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y Drive\INFO\PERSONAL\"/>
    </mc:Choice>
  </mc:AlternateContent>
  <xr:revisionPtr revIDLastSave="0" documentId="13_ncr:1_{6B8E2BC8-D8DF-41C9-A9A2-A2F76DCE0295}" xr6:coauthVersionLast="47" xr6:coauthVersionMax="47" xr10:uidLastSave="{00000000-0000-0000-0000-000000000000}"/>
  <bookViews>
    <workbookView xWindow="-108" yWindow="-108" windowWidth="23256" windowHeight="13176" activeTab="9" xr2:uid="{0A1BB7F4-7D1A-443D-984C-CC8A9EE4FEA7}"/>
  </bookViews>
  <sheets>
    <sheet name="inicio" sheetId="64" r:id="rId1"/>
    <sheet name="pagos" sheetId="280" r:id="rId2"/>
    <sheet name="Fecha de hoy" sheetId="12" state="hidden" r:id="rId3"/>
    <sheet name="Retenciones" sheetId="11" state="hidden" r:id="rId4"/>
    <sheet name="Terceros" sheetId="10" r:id="rId5"/>
    <sheet name="Palabra no opera" sheetId="128" state="hidden" r:id="rId6"/>
    <sheet name="F.Proveedores" sheetId="1" r:id="rId7"/>
    <sheet name="USD" sheetId="104" r:id="rId8"/>
    <sheet name="Reporte" sheetId="16" r:id="rId9"/>
    <sheet name="Financiación" sheetId="6" r:id="rId10"/>
    <sheet name="Financiadores" sheetId="15" r:id="rId11"/>
    <sheet name="facturas vencidas" sheetId="157" r:id="rId12"/>
    <sheet name="Hoja1" sheetId="109" r:id="rId13"/>
  </sheets>
  <externalReferences>
    <externalReference r:id="rId14"/>
  </externalReferences>
  <definedNames>
    <definedName name="_xlnm._FilterDatabase" localSheetId="6" hidden="1">F.Proveedores!$A$1:$Z$2107</definedName>
    <definedName name="_xlnm._FilterDatabase" localSheetId="11" hidden="1">'facturas vencidas'!#REF!</definedName>
    <definedName name="_xlnm._FilterDatabase" localSheetId="12" hidden="1">Hoja1!$D$7:$F$10</definedName>
    <definedName name="_xlnm._FilterDatabase" localSheetId="8" hidden="1">Reporte!$R$34:$V$41</definedName>
    <definedName name="_xlnm._FilterDatabase" localSheetId="7" hidden="1">USD!$C$1:$I$61</definedName>
    <definedName name="area" localSheetId="7">#REF!</definedName>
    <definedName name="area">#REF!</definedName>
    <definedName name="Correo" localSheetId="7">#REF!</definedName>
    <definedName name="Correo">#REF!</definedName>
    <definedName name="_xlnm.Criteria" localSheetId="6">F.Proveedores!#REF!</definedName>
    <definedName name="_xlnm.Criteria" localSheetId="1">pagos!#REF!</definedName>
    <definedName name="_xlnm.Criteria" localSheetId="7">USD!#REF!</definedName>
    <definedName name="depend">[1]vicep!$B$2:$B$3100</definedName>
    <definedName name="_xlnm.Extract" localSheetId="6">F.Proveedores!#REF!</definedName>
    <definedName name="_xlnm.Extract" localSheetId="1">pagos!$A$1:$M$1</definedName>
    <definedName name="_xlnm.Extract" localSheetId="7">USD!#REF!</definedName>
    <definedName name="info">pagos!$A$1:$M$19</definedName>
    <definedName name="_xlnm.Print_Area" localSheetId="1">pagos!$A$18:$N$20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" i="15" l="1"/>
  <c r="U2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T5" i="15"/>
  <c r="W2" i="15"/>
  <c r="W53" i="15"/>
  <c r="W52" i="15"/>
  <c r="W51" i="15"/>
  <c r="W50" i="15"/>
  <c r="W49" i="15"/>
  <c r="W48" i="15"/>
  <c r="W47" i="15"/>
  <c r="W46" i="15"/>
  <c r="W45" i="15"/>
  <c r="W44" i="15"/>
  <c r="W43" i="15"/>
  <c r="W42" i="15"/>
  <c r="W41" i="15"/>
  <c r="W39" i="15"/>
  <c r="W38" i="15"/>
  <c r="W37" i="15"/>
  <c r="W36" i="15"/>
  <c r="W35" i="15"/>
  <c r="W32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18" i="15"/>
  <c r="W17" i="15"/>
  <c r="W16" i="15"/>
  <c r="W15" i="15"/>
  <c r="W14" i="15"/>
  <c r="W13" i="15"/>
  <c r="W12" i="15"/>
  <c r="W10" i="15"/>
  <c r="W9" i="15"/>
  <c r="W8" i="15"/>
  <c r="W6" i="15"/>
  <c r="W5" i="15"/>
  <c r="W4" i="15"/>
  <c r="W3" i="15"/>
  <c r="C1228" i="6"/>
  <c r="I1228" i="6" s="1"/>
  <c r="C1227" i="6"/>
  <c r="E1227" i="6" s="1"/>
  <c r="C1226" i="6"/>
  <c r="E1226" i="6" s="1"/>
  <c r="C1225" i="6"/>
  <c r="E1225" i="6" s="1"/>
  <c r="C1221" i="6"/>
  <c r="C1222" i="6"/>
  <c r="C1223" i="6"/>
  <c r="E1224" i="6"/>
  <c r="F1225" i="6"/>
  <c r="I1224" i="6"/>
  <c r="J1224" i="6"/>
  <c r="J1227" i="6" l="1"/>
  <c r="I1227" i="6"/>
  <c r="J1226" i="6"/>
  <c r="I1226" i="6"/>
  <c r="J1225" i="6"/>
  <c r="I1225" i="6"/>
  <c r="E1228" i="6"/>
  <c r="J1228" i="6"/>
  <c r="A1202" i="1"/>
  <c r="A614" i="1"/>
  <c r="A1277" i="1"/>
  <c r="A329" i="1"/>
  <c r="A641" i="1"/>
  <c r="C1202" i="1"/>
  <c r="B1202" i="1" s="1"/>
  <c r="C614" i="1"/>
  <c r="B614" i="1" s="1"/>
  <c r="C1277" i="1"/>
  <c r="B1277" i="1" s="1"/>
  <c r="C329" i="1"/>
  <c r="B329" i="1" s="1"/>
  <c r="C641" i="1"/>
  <c r="B641" i="1" s="1"/>
  <c r="D1202" i="1"/>
  <c r="D614" i="1"/>
  <c r="D1277" i="1"/>
  <c r="D329" i="1"/>
  <c r="D641" i="1"/>
  <c r="F1202" i="1"/>
  <c r="F614" i="1"/>
  <c r="F1277" i="1"/>
  <c r="F329" i="1"/>
  <c r="F641" i="1"/>
  <c r="M1202" i="1"/>
  <c r="M614" i="1"/>
  <c r="M1277" i="1"/>
  <c r="M329" i="1"/>
  <c r="M641" i="1"/>
  <c r="O1202" i="1"/>
  <c r="O614" i="1"/>
  <c r="O1277" i="1"/>
  <c r="O329" i="1"/>
  <c r="O641" i="1"/>
  <c r="S1202" i="1"/>
  <c r="S614" i="1"/>
  <c r="S1277" i="1"/>
  <c r="S329" i="1"/>
  <c r="S641" i="1"/>
  <c r="T1202" i="1"/>
  <c r="T614" i="1"/>
  <c r="T1277" i="1"/>
  <c r="T329" i="1"/>
  <c r="T641" i="1"/>
  <c r="U1202" i="1"/>
  <c r="Y1202" i="1" s="1"/>
  <c r="U614" i="1"/>
  <c r="U1277" i="1"/>
  <c r="Y1277" i="1" s="1"/>
  <c r="U329" i="1"/>
  <c r="Y329" i="1" s="1"/>
  <c r="U641" i="1"/>
  <c r="V1202" i="1"/>
  <c r="V614" i="1"/>
  <c r="W614" i="1" s="1"/>
  <c r="X614" i="1" s="1"/>
  <c r="V1277" i="1"/>
  <c r="W1277" i="1" s="1"/>
  <c r="V329" i="1"/>
  <c r="W329" i="1" s="1"/>
  <c r="V641" i="1"/>
  <c r="W641" i="1" s="1"/>
  <c r="W1202" i="1"/>
  <c r="X1202" i="1" s="1"/>
  <c r="Y614" i="1"/>
  <c r="Y641" i="1"/>
  <c r="Z1202" i="1"/>
  <c r="Z614" i="1"/>
  <c r="Z1277" i="1"/>
  <c r="Z329" i="1"/>
  <c r="Z641" i="1"/>
  <c r="A223" i="1"/>
  <c r="C223" i="1"/>
  <c r="B223" i="1" s="1"/>
  <c r="F223" i="1"/>
  <c r="M223" i="1"/>
  <c r="O223" i="1"/>
  <c r="S223" i="1"/>
  <c r="T223" i="1"/>
  <c r="U223" i="1"/>
  <c r="Y223" i="1" s="1"/>
  <c r="V223" i="1"/>
  <c r="W223" i="1" s="1"/>
  <c r="Z223" i="1"/>
  <c r="AI28" i="16"/>
  <c r="AI22" i="16"/>
  <c r="AI20" i="16"/>
  <c r="AI19" i="16"/>
  <c r="A2107" i="1"/>
  <c r="C2107" i="1"/>
  <c r="B2107" i="1" s="1"/>
  <c r="F2107" i="1"/>
  <c r="M2107" i="1"/>
  <c r="O2107" i="1"/>
  <c r="T2107" i="1"/>
  <c r="U2107" i="1"/>
  <c r="Y2107" i="1" s="1"/>
  <c r="V2107" i="1"/>
  <c r="W2107" i="1" s="1"/>
  <c r="Z2107" i="1"/>
  <c r="A967" i="1"/>
  <c r="C967" i="1"/>
  <c r="B967" i="1" s="1"/>
  <c r="M967" i="1"/>
  <c r="O967" i="1"/>
  <c r="U967" i="1"/>
  <c r="Y967" i="1" s="1"/>
  <c r="V967" i="1"/>
  <c r="W967" i="1" s="1"/>
  <c r="Z967" i="1"/>
  <c r="A1756" i="1"/>
  <c r="C1756" i="1"/>
  <c r="B1756" i="1" s="1"/>
  <c r="F1756" i="1"/>
  <c r="M1756" i="1"/>
  <c r="O1756" i="1"/>
  <c r="U1756" i="1"/>
  <c r="Y1756" i="1" s="1"/>
  <c r="V1756" i="1"/>
  <c r="W1756" i="1" s="1"/>
  <c r="Z1756" i="1"/>
  <c r="A1891" i="1"/>
  <c r="C1891" i="1"/>
  <c r="B1891" i="1" s="1"/>
  <c r="F1891" i="1"/>
  <c r="M1891" i="1"/>
  <c r="O1891" i="1"/>
  <c r="T1891" i="1"/>
  <c r="U1891" i="1"/>
  <c r="Y1891" i="1" s="1"/>
  <c r="V1891" i="1"/>
  <c r="W1891" i="1" s="1"/>
  <c r="Z1891" i="1"/>
  <c r="I47" i="104"/>
  <c r="I48" i="104"/>
  <c r="I49" i="104"/>
  <c r="I50" i="104"/>
  <c r="I51" i="104"/>
  <c r="I52" i="104"/>
  <c r="I53" i="104"/>
  <c r="I54" i="104"/>
  <c r="I55" i="104"/>
  <c r="I56" i="104"/>
  <c r="I57" i="104"/>
  <c r="I58" i="104"/>
  <c r="I59" i="104"/>
  <c r="I60" i="104"/>
  <c r="I61" i="104"/>
  <c r="I46" i="104"/>
  <c r="A1507" i="1"/>
  <c r="C1507" i="1"/>
  <c r="B1507" i="1" s="1"/>
  <c r="F1507" i="1"/>
  <c r="M1507" i="1"/>
  <c r="O1507" i="1"/>
  <c r="U1507" i="1"/>
  <c r="Y1507" i="1" s="1"/>
  <c r="V1507" i="1"/>
  <c r="W1507" i="1" s="1"/>
  <c r="Z1507" i="1"/>
  <c r="A1190" i="1"/>
  <c r="C1190" i="1"/>
  <c r="B1190" i="1" s="1"/>
  <c r="F1190" i="1"/>
  <c r="M1190" i="1"/>
  <c r="O1190" i="1"/>
  <c r="U1190" i="1"/>
  <c r="Y1190" i="1" s="1"/>
  <c r="V1190" i="1"/>
  <c r="W1190" i="1" s="1"/>
  <c r="Z1190" i="1"/>
  <c r="A1183" i="1"/>
  <c r="C1183" i="1"/>
  <c r="B1183" i="1" s="1"/>
  <c r="F1183" i="1"/>
  <c r="M1183" i="1"/>
  <c r="O1183" i="1"/>
  <c r="U1183" i="1"/>
  <c r="Y1183" i="1" s="1"/>
  <c r="V1183" i="1"/>
  <c r="W1183" i="1" s="1"/>
  <c r="Z1183" i="1"/>
  <c r="A60" i="104"/>
  <c r="A61" i="104"/>
  <c r="B60" i="104"/>
  <c r="B61" i="104"/>
  <c r="C60" i="104"/>
  <c r="C61" i="104"/>
  <c r="A910" i="1"/>
  <c r="C910" i="1"/>
  <c r="B910" i="1" s="1"/>
  <c r="F910" i="1"/>
  <c r="M910" i="1"/>
  <c r="O910" i="1"/>
  <c r="U910" i="1"/>
  <c r="Y910" i="1" s="1"/>
  <c r="V910" i="1"/>
  <c r="W910" i="1" s="1"/>
  <c r="Z910" i="1"/>
  <c r="A902" i="1"/>
  <c r="C902" i="1"/>
  <c r="B902" i="1" s="1"/>
  <c r="F902" i="1"/>
  <c r="M902" i="1"/>
  <c r="O902" i="1"/>
  <c r="U902" i="1"/>
  <c r="Y902" i="1" s="1"/>
  <c r="V902" i="1"/>
  <c r="W902" i="1" s="1"/>
  <c r="Z902" i="1"/>
  <c r="A748" i="1"/>
  <c r="C748" i="1"/>
  <c r="B748" i="1" s="1"/>
  <c r="F748" i="1"/>
  <c r="O748" i="1"/>
  <c r="U748" i="1"/>
  <c r="Y748" i="1" s="1"/>
  <c r="V748" i="1"/>
  <c r="W748" i="1" s="1"/>
  <c r="Z748" i="1"/>
  <c r="A287" i="1"/>
  <c r="C287" i="1"/>
  <c r="B287" i="1" s="1"/>
  <c r="F287" i="1"/>
  <c r="M287" i="1"/>
  <c r="O287" i="1"/>
  <c r="T287" i="1"/>
  <c r="U287" i="1"/>
  <c r="Y287" i="1" s="1"/>
  <c r="V287" i="1"/>
  <c r="W287" i="1" s="1"/>
  <c r="Z287" i="1"/>
  <c r="A330" i="1"/>
  <c r="C330" i="1"/>
  <c r="B330" i="1" s="1"/>
  <c r="F330" i="1"/>
  <c r="M330" i="1"/>
  <c r="O330" i="1"/>
  <c r="T330" i="1"/>
  <c r="U330" i="1"/>
  <c r="Y330" i="1" s="1"/>
  <c r="V330" i="1"/>
  <c r="W330" i="1" s="1"/>
  <c r="Z330" i="1"/>
  <c r="A1589" i="1"/>
  <c r="C1589" i="1"/>
  <c r="B1589" i="1" s="1"/>
  <c r="F1589" i="1"/>
  <c r="M1589" i="1"/>
  <c r="O1589" i="1"/>
  <c r="U1589" i="1"/>
  <c r="Y1589" i="1" s="1"/>
  <c r="V1589" i="1"/>
  <c r="W1589" i="1" s="1"/>
  <c r="Z1589" i="1"/>
  <c r="A1907" i="1"/>
  <c r="C1907" i="1"/>
  <c r="B1907" i="1" s="1"/>
  <c r="F1907" i="1"/>
  <c r="M1907" i="1"/>
  <c r="O1907" i="1"/>
  <c r="T1907" i="1"/>
  <c r="U1907" i="1"/>
  <c r="V1907" i="1"/>
  <c r="W1907" i="1" s="1"/>
  <c r="Z1907" i="1"/>
  <c r="A2066" i="1"/>
  <c r="C2066" i="1"/>
  <c r="B2066" i="1" s="1"/>
  <c r="F2066" i="1"/>
  <c r="M2066" i="1"/>
  <c r="O2066" i="1"/>
  <c r="U2066" i="1"/>
  <c r="Y2066" i="1" s="1"/>
  <c r="V2066" i="1"/>
  <c r="W2066" i="1" s="1"/>
  <c r="Z2066" i="1"/>
  <c r="A1179" i="1"/>
  <c r="C1179" i="1"/>
  <c r="B1179" i="1" s="1"/>
  <c r="F1179" i="1"/>
  <c r="M1179" i="1"/>
  <c r="O1179" i="1"/>
  <c r="U1179" i="1"/>
  <c r="Y1179" i="1" s="1"/>
  <c r="V1179" i="1"/>
  <c r="W1179" i="1" s="1"/>
  <c r="Z1179" i="1"/>
  <c r="A708" i="1"/>
  <c r="C708" i="1"/>
  <c r="B708" i="1" s="1"/>
  <c r="F708" i="1"/>
  <c r="M708" i="1"/>
  <c r="O708" i="1"/>
  <c r="U708" i="1"/>
  <c r="Y708" i="1" s="1"/>
  <c r="V708" i="1"/>
  <c r="W708" i="1" s="1"/>
  <c r="Z708" i="1"/>
  <c r="A383" i="1"/>
  <c r="C383" i="1"/>
  <c r="B383" i="1" s="1"/>
  <c r="F383" i="1"/>
  <c r="M383" i="1"/>
  <c r="O383" i="1"/>
  <c r="U383" i="1"/>
  <c r="Y383" i="1" s="1"/>
  <c r="V383" i="1"/>
  <c r="W383" i="1" s="1"/>
  <c r="Z383" i="1"/>
  <c r="A169" i="1"/>
  <c r="C169" i="1"/>
  <c r="B169" i="1" s="1"/>
  <c r="F169" i="1"/>
  <c r="M169" i="1"/>
  <c r="O169" i="1"/>
  <c r="U169" i="1"/>
  <c r="Y169" i="1" s="1"/>
  <c r="V169" i="1"/>
  <c r="W169" i="1" s="1"/>
  <c r="Z169" i="1"/>
  <c r="A2071" i="1"/>
  <c r="C2071" i="1"/>
  <c r="B2071" i="1" s="1"/>
  <c r="F2071" i="1"/>
  <c r="M2071" i="1"/>
  <c r="O2071" i="1"/>
  <c r="U2071" i="1"/>
  <c r="Y2071" i="1" s="1"/>
  <c r="V2071" i="1"/>
  <c r="W2071" i="1" s="1"/>
  <c r="Z2071" i="1"/>
  <c r="A623" i="1"/>
  <c r="C623" i="1"/>
  <c r="B623" i="1" s="1"/>
  <c r="F623" i="1"/>
  <c r="M623" i="1"/>
  <c r="O623" i="1"/>
  <c r="U623" i="1"/>
  <c r="Y623" i="1" s="1"/>
  <c r="V623" i="1"/>
  <c r="W623" i="1" s="1"/>
  <c r="Z623" i="1"/>
  <c r="A2053" i="1"/>
  <c r="C2053" i="1"/>
  <c r="B2053" i="1" s="1"/>
  <c r="F2053" i="1"/>
  <c r="M2053" i="1"/>
  <c r="O2053" i="1"/>
  <c r="U2053" i="1"/>
  <c r="Y2053" i="1" s="1"/>
  <c r="V2053" i="1"/>
  <c r="W2053" i="1" s="1"/>
  <c r="Z2053" i="1"/>
  <c r="A59" i="104"/>
  <c r="B59" i="104"/>
  <c r="C59" i="104"/>
  <c r="A58" i="104"/>
  <c r="B58" i="104"/>
  <c r="C58" i="104"/>
  <c r="A57" i="104"/>
  <c r="B57" i="104"/>
  <c r="C57" i="104"/>
  <c r="A541" i="1"/>
  <c r="C541" i="1"/>
  <c r="B541" i="1" s="1"/>
  <c r="F541" i="1"/>
  <c r="M541" i="1"/>
  <c r="O541" i="1"/>
  <c r="U541" i="1"/>
  <c r="Y541" i="1" s="1"/>
  <c r="V541" i="1"/>
  <c r="W541" i="1" s="1"/>
  <c r="Z541" i="1"/>
  <c r="A540" i="1"/>
  <c r="C540" i="1"/>
  <c r="T540" i="1" s="1"/>
  <c r="F540" i="1"/>
  <c r="M540" i="1"/>
  <c r="O540" i="1"/>
  <c r="U540" i="1"/>
  <c r="Y540" i="1" s="1"/>
  <c r="V540" i="1"/>
  <c r="W540" i="1" s="1"/>
  <c r="Z540" i="1"/>
  <c r="A595" i="1"/>
  <c r="C595" i="1"/>
  <c r="B595" i="1" s="1"/>
  <c r="F595" i="1"/>
  <c r="M595" i="1"/>
  <c r="O595" i="1"/>
  <c r="U595" i="1"/>
  <c r="Y595" i="1" s="1"/>
  <c r="V595" i="1"/>
  <c r="W595" i="1" s="1"/>
  <c r="Z595" i="1"/>
  <c r="A1027" i="1"/>
  <c r="C1027" i="1"/>
  <c r="B1027" i="1" s="1"/>
  <c r="F1027" i="1"/>
  <c r="M1027" i="1"/>
  <c r="O1027" i="1"/>
  <c r="U1027" i="1"/>
  <c r="Y1027" i="1" s="1"/>
  <c r="V1027" i="1"/>
  <c r="W1027" i="1" s="1"/>
  <c r="Z1027" i="1"/>
  <c r="A1436" i="1"/>
  <c r="C1436" i="1"/>
  <c r="B1436" i="1" s="1"/>
  <c r="F1436" i="1"/>
  <c r="M1436" i="1"/>
  <c r="O1436" i="1"/>
  <c r="U1436" i="1"/>
  <c r="Y1436" i="1" s="1"/>
  <c r="V1436" i="1"/>
  <c r="W1436" i="1" s="1"/>
  <c r="Z1436" i="1"/>
  <c r="A571" i="1"/>
  <c r="C571" i="1"/>
  <c r="B571" i="1" s="1"/>
  <c r="F571" i="1"/>
  <c r="M571" i="1"/>
  <c r="O571" i="1"/>
  <c r="U571" i="1"/>
  <c r="Y571" i="1" s="1"/>
  <c r="V571" i="1"/>
  <c r="W571" i="1" s="1"/>
  <c r="Z571" i="1"/>
  <c r="A1943" i="1"/>
  <c r="C1943" i="1"/>
  <c r="B1943" i="1" s="1"/>
  <c r="F1943" i="1"/>
  <c r="M1943" i="1"/>
  <c r="O1943" i="1"/>
  <c r="U1943" i="1"/>
  <c r="Y1943" i="1" s="1"/>
  <c r="V1943" i="1"/>
  <c r="W1943" i="1" s="1"/>
  <c r="Z1943" i="1"/>
  <c r="A56" i="104"/>
  <c r="B56" i="104"/>
  <c r="C56" i="104"/>
  <c r="A1511" i="1"/>
  <c r="C1511" i="1"/>
  <c r="B1511" i="1" s="1"/>
  <c r="F1511" i="1"/>
  <c r="M1511" i="1"/>
  <c r="O1511" i="1"/>
  <c r="U1511" i="1"/>
  <c r="V1511" i="1"/>
  <c r="W1511" i="1" s="1"/>
  <c r="Z1511" i="1"/>
  <c r="T1507" i="1" l="1"/>
  <c r="AI12" i="16"/>
  <c r="X641" i="1"/>
  <c r="P641" i="1" s="1"/>
  <c r="Q641" i="1" s="1"/>
  <c r="R641" i="1" s="1"/>
  <c r="X223" i="1"/>
  <c r="P223" i="1" s="1"/>
  <c r="Q223" i="1" s="1"/>
  <c r="R223" i="1" s="1"/>
  <c r="D223" i="1" s="1"/>
  <c r="P1202" i="1"/>
  <c r="Q1202" i="1" s="1"/>
  <c r="R1202" i="1" s="1"/>
  <c r="P614" i="1"/>
  <c r="Q614" i="1" s="1"/>
  <c r="R614" i="1" s="1"/>
  <c r="X1277" i="1"/>
  <c r="P1277" i="1" s="1"/>
  <c r="Q1277" i="1" s="1"/>
  <c r="R1277" i="1" s="1"/>
  <c r="X329" i="1"/>
  <c r="P329" i="1" s="1"/>
  <c r="Q329" i="1" s="1"/>
  <c r="R329" i="1" s="1"/>
  <c r="X2107" i="1"/>
  <c r="P2107" i="1" s="1"/>
  <c r="Q2107" i="1" s="1"/>
  <c r="R2107" i="1" s="1"/>
  <c r="D2107" i="1" s="1"/>
  <c r="AI13" i="16"/>
  <c r="X967" i="1"/>
  <c r="P967" i="1" s="1"/>
  <c r="Q967" i="1" s="1"/>
  <c r="R967" i="1" s="1"/>
  <c r="D967" i="1" s="1"/>
  <c r="T967" i="1"/>
  <c r="T1756" i="1"/>
  <c r="X1756" i="1"/>
  <c r="P1756" i="1" s="1"/>
  <c r="Q1756" i="1" s="1"/>
  <c r="R1756" i="1" s="1"/>
  <c r="X1891" i="1"/>
  <c r="P1891" i="1" s="1"/>
  <c r="Q1891" i="1" s="1"/>
  <c r="R1891" i="1" s="1"/>
  <c r="D1891" i="1" s="1"/>
  <c r="T1183" i="1"/>
  <c r="T910" i="1"/>
  <c r="T1190" i="1"/>
  <c r="T902" i="1"/>
  <c r="X1507" i="1"/>
  <c r="P1507" i="1" s="1"/>
  <c r="Q1507" i="1" s="1"/>
  <c r="R1507" i="1" s="1"/>
  <c r="X1190" i="1"/>
  <c r="P1190" i="1" s="1"/>
  <c r="Q1190" i="1" s="1"/>
  <c r="R1190" i="1" s="1"/>
  <c r="X1183" i="1"/>
  <c r="P1183" i="1" s="1"/>
  <c r="Q1183" i="1" s="1"/>
  <c r="R1183" i="1" s="1"/>
  <c r="D1183" i="1" s="1"/>
  <c r="X910" i="1"/>
  <c r="P910" i="1" s="1"/>
  <c r="Q910" i="1" s="1"/>
  <c r="R910" i="1" s="1"/>
  <c r="X902" i="1"/>
  <c r="P902" i="1" s="1"/>
  <c r="Q902" i="1" s="1"/>
  <c r="R902" i="1" s="1"/>
  <c r="X748" i="1"/>
  <c r="P748" i="1" s="1"/>
  <c r="Q748" i="1" s="1"/>
  <c r="R748" i="1" s="1"/>
  <c r="T748" i="1"/>
  <c r="T1589" i="1"/>
  <c r="X287" i="1"/>
  <c r="P287" i="1" s="1"/>
  <c r="Q287" i="1" s="1"/>
  <c r="R287" i="1" s="1"/>
  <c r="X330" i="1"/>
  <c r="P330" i="1" s="1"/>
  <c r="Q330" i="1" s="1"/>
  <c r="R330" i="1" s="1"/>
  <c r="X1589" i="1"/>
  <c r="P1589" i="1" s="1"/>
  <c r="Q1589" i="1" s="1"/>
  <c r="R1589" i="1" s="1"/>
  <c r="D1589" i="1" s="1"/>
  <c r="X1907" i="1"/>
  <c r="Y1907" i="1"/>
  <c r="T2066" i="1"/>
  <c r="X2066" i="1"/>
  <c r="P2066" i="1" s="1"/>
  <c r="Q2066" i="1" s="1"/>
  <c r="R2066" i="1" s="1"/>
  <c r="T541" i="1"/>
  <c r="T169" i="1"/>
  <c r="T1179" i="1"/>
  <c r="X708" i="1"/>
  <c r="P708" i="1" s="1"/>
  <c r="Q708" i="1" s="1"/>
  <c r="R708" i="1" s="1"/>
  <c r="X1179" i="1"/>
  <c r="P1179" i="1" s="1"/>
  <c r="Q1179" i="1" s="1"/>
  <c r="R1179" i="1" s="1"/>
  <c r="T708" i="1"/>
  <c r="T383" i="1"/>
  <c r="T623" i="1"/>
  <c r="X383" i="1"/>
  <c r="P383" i="1" s="1"/>
  <c r="Q383" i="1" s="1"/>
  <c r="R383" i="1" s="1"/>
  <c r="X2071" i="1"/>
  <c r="P2071" i="1" s="1"/>
  <c r="Q2071" i="1" s="1"/>
  <c r="R2071" i="1" s="1"/>
  <c r="T2053" i="1"/>
  <c r="X169" i="1"/>
  <c r="P169" i="1" s="1"/>
  <c r="Q169" i="1" s="1"/>
  <c r="R169" i="1" s="1"/>
  <c r="T2071" i="1"/>
  <c r="X623" i="1"/>
  <c r="P623" i="1" s="1"/>
  <c r="Q623" i="1" s="1"/>
  <c r="R623" i="1" s="1"/>
  <c r="D623" i="1" s="1"/>
  <c r="B540" i="1"/>
  <c r="X2053" i="1"/>
  <c r="P2053" i="1" s="1"/>
  <c r="Q2053" i="1" s="1"/>
  <c r="R2053" i="1" s="1"/>
  <c r="X541" i="1"/>
  <c r="P541" i="1" s="1"/>
  <c r="Q541" i="1" s="1"/>
  <c r="R541" i="1" s="1"/>
  <c r="X540" i="1"/>
  <c r="P540" i="1" s="1"/>
  <c r="Q540" i="1" s="1"/>
  <c r="R540" i="1" s="1"/>
  <c r="T595" i="1"/>
  <c r="X595" i="1"/>
  <c r="P595" i="1" s="1"/>
  <c r="Q595" i="1" s="1"/>
  <c r="R595" i="1" s="1"/>
  <c r="T1027" i="1"/>
  <c r="X1027" i="1"/>
  <c r="P1027" i="1" s="1"/>
  <c r="Q1027" i="1" s="1"/>
  <c r="R1027" i="1" s="1"/>
  <c r="T571" i="1"/>
  <c r="T1436" i="1"/>
  <c r="X1436" i="1"/>
  <c r="P1436" i="1" s="1"/>
  <c r="Q1436" i="1" s="1"/>
  <c r="R1436" i="1" s="1"/>
  <c r="X571" i="1"/>
  <c r="P571" i="1" s="1"/>
  <c r="Q571" i="1" s="1"/>
  <c r="R571" i="1" s="1"/>
  <c r="T1943" i="1"/>
  <c r="X1943" i="1"/>
  <c r="P1943" i="1" s="1"/>
  <c r="Q1943" i="1" s="1"/>
  <c r="R1943" i="1" s="1"/>
  <c r="D1943" i="1" s="1"/>
  <c r="X1511" i="1"/>
  <c r="T1511" i="1"/>
  <c r="Y1511" i="1"/>
  <c r="A1451" i="1"/>
  <c r="C1451" i="1"/>
  <c r="B1451" i="1" s="1"/>
  <c r="F1451" i="1"/>
  <c r="M1451" i="1"/>
  <c r="O1451" i="1"/>
  <c r="U1451" i="1"/>
  <c r="V1451" i="1"/>
  <c r="W1451" i="1" s="1"/>
  <c r="Z1451" i="1"/>
  <c r="D2066" i="1" l="1"/>
  <c r="D1507" i="1"/>
  <c r="D1756" i="1"/>
  <c r="D748" i="1"/>
  <c r="D330" i="1"/>
  <c r="D287" i="1"/>
  <c r="P1907" i="1"/>
  <c r="Q1907" i="1" s="1"/>
  <c r="R1907" i="1" s="1"/>
  <c r="D1907" i="1" s="1"/>
  <c r="P1511" i="1"/>
  <c r="Q1511" i="1" s="1"/>
  <c r="R1511" i="1" s="1"/>
  <c r="D1511" i="1" s="1"/>
  <c r="T1451" i="1"/>
  <c r="X1451" i="1"/>
  <c r="Y1451" i="1"/>
  <c r="A1484" i="1"/>
  <c r="C1484" i="1"/>
  <c r="B1484" i="1" s="1"/>
  <c r="F1484" i="1"/>
  <c r="M1484" i="1"/>
  <c r="O1484" i="1"/>
  <c r="U1484" i="1"/>
  <c r="Y1484" i="1" s="1"/>
  <c r="V1484" i="1"/>
  <c r="W1484" i="1" s="1"/>
  <c r="Z1484" i="1"/>
  <c r="A822" i="1"/>
  <c r="C822" i="1"/>
  <c r="B822" i="1" s="1"/>
  <c r="F822" i="1"/>
  <c r="M822" i="1"/>
  <c r="O822" i="1"/>
  <c r="U822" i="1"/>
  <c r="Y822" i="1" s="1"/>
  <c r="V822" i="1"/>
  <c r="W822" i="1" s="1"/>
  <c r="Z822" i="1"/>
  <c r="A2056" i="1"/>
  <c r="C2056" i="1"/>
  <c r="B2056" i="1" s="1"/>
  <c r="F2056" i="1"/>
  <c r="M2056" i="1"/>
  <c r="O2056" i="1"/>
  <c r="U2056" i="1"/>
  <c r="Y2056" i="1" s="1"/>
  <c r="V2056" i="1"/>
  <c r="W2056" i="1" s="1"/>
  <c r="Z2056" i="1"/>
  <c r="A1830" i="1"/>
  <c r="C1830" i="1"/>
  <c r="B1830" i="1" s="1"/>
  <c r="F1830" i="1"/>
  <c r="M1830" i="1"/>
  <c r="O1830" i="1"/>
  <c r="U1830" i="1"/>
  <c r="Y1830" i="1" s="1"/>
  <c r="V1830" i="1"/>
  <c r="W1830" i="1" s="1"/>
  <c r="Z1830" i="1"/>
  <c r="A721" i="1"/>
  <c r="C721" i="1"/>
  <c r="B721" i="1" s="1"/>
  <c r="F721" i="1"/>
  <c r="M721" i="1"/>
  <c r="O721" i="1"/>
  <c r="U721" i="1"/>
  <c r="Y721" i="1" s="1"/>
  <c r="V721" i="1"/>
  <c r="W721" i="1" s="1"/>
  <c r="Z721" i="1"/>
  <c r="A1517" i="1"/>
  <c r="C1517" i="1"/>
  <c r="B1517" i="1" s="1"/>
  <c r="F1517" i="1"/>
  <c r="M1517" i="1"/>
  <c r="O1517" i="1"/>
  <c r="U1517" i="1"/>
  <c r="Y1517" i="1" s="1"/>
  <c r="V1517" i="1"/>
  <c r="W1517" i="1" s="1"/>
  <c r="Z1517" i="1"/>
  <c r="A1771" i="1"/>
  <c r="C1771" i="1"/>
  <c r="B1771" i="1" s="1"/>
  <c r="F1771" i="1"/>
  <c r="M1771" i="1"/>
  <c r="O1771" i="1"/>
  <c r="U1771" i="1"/>
  <c r="Y1771" i="1" s="1"/>
  <c r="V1771" i="1"/>
  <c r="W1771" i="1" s="1"/>
  <c r="Z1771" i="1"/>
  <c r="A1928" i="1"/>
  <c r="C1928" i="1"/>
  <c r="B1928" i="1" s="1"/>
  <c r="F1928" i="1"/>
  <c r="M1928" i="1"/>
  <c r="O1928" i="1"/>
  <c r="U1928" i="1"/>
  <c r="Y1928" i="1" s="1"/>
  <c r="V1928" i="1"/>
  <c r="W1928" i="1" s="1"/>
  <c r="Z1928" i="1"/>
  <c r="A1259" i="1"/>
  <c r="C1259" i="1"/>
  <c r="B1259" i="1" s="1"/>
  <c r="F1259" i="1"/>
  <c r="M1259" i="1"/>
  <c r="O1259" i="1"/>
  <c r="U1259" i="1"/>
  <c r="V1259" i="1"/>
  <c r="W1259" i="1" s="1"/>
  <c r="Z1259" i="1"/>
  <c r="A843" i="1"/>
  <c r="C843" i="1"/>
  <c r="B843" i="1" s="1"/>
  <c r="F843" i="1"/>
  <c r="M843" i="1"/>
  <c r="O843" i="1"/>
  <c r="T843" i="1"/>
  <c r="U843" i="1"/>
  <c r="Y843" i="1" s="1"/>
  <c r="V843" i="1"/>
  <c r="W843" i="1" s="1"/>
  <c r="Z843" i="1"/>
  <c r="A1386" i="1"/>
  <c r="C1386" i="1"/>
  <c r="B1386" i="1" s="1"/>
  <c r="F1386" i="1"/>
  <c r="M1386" i="1"/>
  <c r="O1386" i="1"/>
  <c r="U1386" i="1"/>
  <c r="V1386" i="1"/>
  <c r="W1386" i="1" s="1"/>
  <c r="Z1386" i="1"/>
  <c r="A380" i="1"/>
  <c r="C380" i="1"/>
  <c r="B380" i="1" s="1"/>
  <c r="F380" i="1"/>
  <c r="M380" i="1"/>
  <c r="O380" i="1"/>
  <c r="U380" i="1"/>
  <c r="Y380" i="1" s="1"/>
  <c r="V380" i="1"/>
  <c r="W380" i="1" s="1"/>
  <c r="Z380" i="1"/>
  <c r="A1752" i="1"/>
  <c r="C1752" i="1"/>
  <c r="B1752" i="1" s="1"/>
  <c r="F1752" i="1"/>
  <c r="M1752" i="1"/>
  <c r="O1752" i="1"/>
  <c r="U1752" i="1"/>
  <c r="Y1752" i="1" s="1"/>
  <c r="V1752" i="1"/>
  <c r="W1752" i="1" s="1"/>
  <c r="Z1752" i="1"/>
  <c r="A877" i="1"/>
  <c r="C877" i="1"/>
  <c r="B877" i="1" s="1"/>
  <c r="F877" i="1"/>
  <c r="M877" i="1"/>
  <c r="O877" i="1"/>
  <c r="T877" i="1"/>
  <c r="U877" i="1"/>
  <c r="Y877" i="1" s="1"/>
  <c r="V877" i="1"/>
  <c r="W877" i="1" s="1"/>
  <c r="Z877" i="1"/>
  <c r="A1033" i="1"/>
  <c r="C1033" i="1"/>
  <c r="B1033" i="1" s="1"/>
  <c r="F1033" i="1"/>
  <c r="M1033" i="1"/>
  <c r="O1033" i="1"/>
  <c r="U1033" i="1"/>
  <c r="Y1033" i="1" s="1"/>
  <c r="V1033" i="1"/>
  <c r="W1033" i="1" s="1"/>
  <c r="Z1033" i="1"/>
  <c r="A246" i="1"/>
  <c r="C246" i="1"/>
  <c r="B246" i="1" s="1"/>
  <c r="F246" i="1"/>
  <c r="M246" i="1"/>
  <c r="O246" i="1"/>
  <c r="T246" i="1"/>
  <c r="U246" i="1"/>
  <c r="Y246" i="1" s="1"/>
  <c r="V246" i="1"/>
  <c r="W246" i="1" s="1"/>
  <c r="Z246" i="1"/>
  <c r="A161" i="1"/>
  <c r="C161" i="1"/>
  <c r="B161" i="1" s="1"/>
  <c r="F161" i="1"/>
  <c r="M161" i="1"/>
  <c r="O161" i="1"/>
  <c r="T161" i="1"/>
  <c r="U161" i="1"/>
  <c r="Y161" i="1" s="1"/>
  <c r="V161" i="1"/>
  <c r="W161" i="1" s="1"/>
  <c r="Z161" i="1"/>
  <c r="A2065" i="1"/>
  <c r="C2065" i="1"/>
  <c r="B2065" i="1" s="1"/>
  <c r="F2065" i="1"/>
  <c r="M2065" i="1"/>
  <c r="O2065" i="1"/>
  <c r="T2065" i="1"/>
  <c r="U2065" i="1"/>
  <c r="Y2065" i="1" s="1"/>
  <c r="V2065" i="1"/>
  <c r="W2065" i="1" s="1"/>
  <c r="Z2065" i="1"/>
  <c r="A1749" i="1"/>
  <c r="C1749" i="1"/>
  <c r="B1749" i="1" s="1"/>
  <c r="F1749" i="1"/>
  <c r="M1749" i="1"/>
  <c r="O1749" i="1"/>
  <c r="U1749" i="1"/>
  <c r="Y1749" i="1" s="1"/>
  <c r="V1749" i="1"/>
  <c r="W1749" i="1" s="1"/>
  <c r="Z1749" i="1"/>
  <c r="A828" i="1"/>
  <c r="C828" i="1"/>
  <c r="B828" i="1" s="1"/>
  <c r="F828" i="1"/>
  <c r="M828" i="1"/>
  <c r="O828" i="1"/>
  <c r="U828" i="1"/>
  <c r="V828" i="1"/>
  <c r="W828" i="1" s="1"/>
  <c r="Z828" i="1"/>
  <c r="A706" i="1"/>
  <c r="C706" i="1"/>
  <c r="B706" i="1" s="1"/>
  <c r="F706" i="1"/>
  <c r="M706" i="1"/>
  <c r="O706" i="1"/>
  <c r="T706" i="1"/>
  <c r="U706" i="1"/>
  <c r="Y706" i="1" s="1"/>
  <c r="V706" i="1"/>
  <c r="W706" i="1" s="1"/>
  <c r="Z706" i="1"/>
  <c r="A701" i="1"/>
  <c r="C701" i="1"/>
  <c r="B701" i="1" s="1"/>
  <c r="F701" i="1"/>
  <c r="M701" i="1"/>
  <c r="O701" i="1"/>
  <c r="U701" i="1"/>
  <c r="Y701" i="1" s="1"/>
  <c r="V701" i="1"/>
  <c r="W701" i="1" s="1"/>
  <c r="Z701" i="1"/>
  <c r="A1310" i="1"/>
  <c r="C1310" i="1"/>
  <c r="B1310" i="1" s="1"/>
  <c r="F1310" i="1"/>
  <c r="M1310" i="1"/>
  <c r="O1310" i="1"/>
  <c r="U1310" i="1"/>
  <c r="Y1310" i="1" s="1"/>
  <c r="V1310" i="1"/>
  <c r="W1310" i="1" s="1"/>
  <c r="Z1310" i="1"/>
  <c r="A471" i="1"/>
  <c r="C471" i="1"/>
  <c r="B471" i="1" s="1"/>
  <c r="F471" i="1"/>
  <c r="M471" i="1"/>
  <c r="O471" i="1"/>
  <c r="U471" i="1"/>
  <c r="Y471" i="1" s="1"/>
  <c r="V471" i="1"/>
  <c r="W471" i="1" s="1"/>
  <c r="Z471" i="1"/>
  <c r="A578" i="1"/>
  <c r="C578" i="1"/>
  <c r="B578" i="1" s="1"/>
  <c r="F578" i="1"/>
  <c r="M578" i="1"/>
  <c r="O578" i="1"/>
  <c r="U578" i="1"/>
  <c r="Y578" i="1" s="1"/>
  <c r="V578" i="1"/>
  <c r="W578" i="1" s="1"/>
  <c r="Z578" i="1"/>
  <c r="A1960" i="1"/>
  <c r="C1960" i="1"/>
  <c r="B1960" i="1" s="1"/>
  <c r="F1960" i="1"/>
  <c r="M1960" i="1"/>
  <c r="O1960" i="1"/>
  <c r="U1960" i="1"/>
  <c r="Y1960" i="1" s="1"/>
  <c r="V1960" i="1"/>
  <c r="W1960" i="1" s="1"/>
  <c r="Z1960" i="1"/>
  <c r="A1024" i="1"/>
  <c r="C1024" i="1"/>
  <c r="B1024" i="1" s="1"/>
  <c r="F1024" i="1"/>
  <c r="M1024" i="1"/>
  <c r="O1024" i="1"/>
  <c r="U1024" i="1"/>
  <c r="V1024" i="1"/>
  <c r="W1024" i="1" s="1"/>
  <c r="Z1024" i="1"/>
  <c r="T1484" i="1" l="1"/>
  <c r="P1451" i="1"/>
  <c r="Q1451" i="1" s="1"/>
  <c r="R1451" i="1" s="1"/>
  <c r="D1451" i="1" s="1"/>
  <c r="T822" i="1"/>
  <c r="X1484" i="1"/>
  <c r="P1484" i="1" s="1"/>
  <c r="Q1484" i="1" s="1"/>
  <c r="R1484" i="1" s="1"/>
  <c r="X822" i="1"/>
  <c r="P822" i="1" s="1"/>
  <c r="Q822" i="1" s="1"/>
  <c r="R822" i="1" s="1"/>
  <c r="X2056" i="1"/>
  <c r="P2056" i="1" s="1"/>
  <c r="Q2056" i="1" s="1"/>
  <c r="R2056" i="1" s="1"/>
  <c r="T2056" i="1"/>
  <c r="X1830" i="1"/>
  <c r="P1830" i="1" s="1"/>
  <c r="Q1830" i="1" s="1"/>
  <c r="R1830" i="1" s="1"/>
  <c r="T1830" i="1"/>
  <c r="X721" i="1"/>
  <c r="P721" i="1" s="1"/>
  <c r="Q721" i="1" s="1"/>
  <c r="R721" i="1" s="1"/>
  <c r="T721" i="1"/>
  <c r="T1517" i="1"/>
  <c r="X1517" i="1"/>
  <c r="P1517" i="1" s="1"/>
  <c r="Q1517" i="1" s="1"/>
  <c r="R1517" i="1" s="1"/>
  <c r="T1259" i="1"/>
  <c r="X843" i="1"/>
  <c r="P843" i="1" s="1"/>
  <c r="Q843" i="1" s="1"/>
  <c r="R843" i="1" s="1"/>
  <c r="T1771" i="1"/>
  <c r="X1771" i="1"/>
  <c r="P1771" i="1" s="1"/>
  <c r="Q1771" i="1" s="1"/>
  <c r="R1771" i="1" s="1"/>
  <c r="D1771" i="1" s="1"/>
  <c r="X1928" i="1"/>
  <c r="P1928" i="1" s="1"/>
  <c r="Q1928" i="1" s="1"/>
  <c r="R1928" i="1" s="1"/>
  <c r="T1928" i="1"/>
  <c r="X1259" i="1"/>
  <c r="Y1259" i="1"/>
  <c r="T1386" i="1"/>
  <c r="X1386" i="1"/>
  <c r="Y1386" i="1"/>
  <c r="T380" i="1"/>
  <c r="X380" i="1"/>
  <c r="P380" i="1" s="1"/>
  <c r="Q380" i="1" s="1"/>
  <c r="R380" i="1" s="1"/>
  <c r="T1752" i="1"/>
  <c r="X1752" i="1"/>
  <c r="P1752" i="1" s="1"/>
  <c r="Q1752" i="1" s="1"/>
  <c r="R1752" i="1" s="1"/>
  <c r="X877" i="1"/>
  <c r="P877" i="1" s="1"/>
  <c r="Q877" i="1" s="1"/>
  <c r="R877" i="1" s="1"/>
  <c r="T1033" i="1"/>
  <c r="X1033" i="1"/>
  <c r="P1033" i="1" s="1"/>
  <c r="Q1033" i="1" s="1"/>
  <c r="R1033" i="1" s="1"/>
  <c r="D1033" i="1" s="1"/>
  <c r="X246" i="1"/>
  <c r="P246" i="1" s="1"/>
  <c r="Q246" i="1" s="1"/>
  <c r="R246" i="1" s="1"/>
  <c r="D246" i="1" s="1"/>
  <c r="X2065" i="1"/>
  <c r="P2065" i="1" s="1"/>
  <c r="Q2065" i="1" s="1"/>
  <c r="R2065" i="1" s="1"/>
  <c r="D2065" i="1" s="1"/>
  <c r="X161" i="1"/>
  <c r="P161" i="1" s="1"/>
  <c r="Q161" i="1" s="1"/>
  <c r="R161" i="1" s="1"/>
  <c r="D161" i="1" s="1"/>
  <c r="T1749" i="1"/>
  <c r="X1749" i="1"/>
  <c r="P1749" i="1" s="1"/>
  <c r="Q1749" i="1" s="1"/>
  <c r="R1749" i="1" s="1"/>
  <c r="D1749" i="1" s="1"/>
  <c r="X828" i="1"/>
  <c r="Y828" i="1"/>
  <c r="T828" i="1"/>
  <c r="X706" i="1"/>
  <c r="P706" i="1" s="1"/>
  <c r="Q706" i="1" s="1"/>
  <c r="R706" i="1" s="1"/>
  <c r="D706" i="1" s="1"/>
  <c r="T701" i="1"/>
  <c r="X701" i="1"/>
  <c r="Q701" i="1" s="1"/>
  <c r="R701" i="1" s="1"/>
  <c r="D701" i="1" s="1"/>
  <c r="T1310" i="1"/>
  <c r="X1310" i="1"/>
  <c r="P1310" i="1" s="1"/>
  <c r="Q1310" i="1" s="1"/>
  <c r="R1310" i="1" s="1"/>
  <c r="D1310" i="1" s="1"/>
  <c r="T471" i="1"/>
  <c r="X471" i="1"/>
  <c r="P471" i="1" s="1"/>
  <c r="Q471" i="1" s="1"/>
  <c r="R471" i="1" s="1"/>
  <c r="T1024" i="1"/>
  <c r="X578" i="1"/>
  <c r="P578" i="1" s="1"/>
  <c r="Q578" i="1" s="1"/>
  <c r="R578" i="1" s="1"/>
  <c r="T578" i="1"/>
  <c r="T1960" i="1"/>
  <c r="X1960" i="1"/>
  <c r="P1960" i="1" s="1"/>
  <c r="Q1960" i="1" s="1"/>
  <c r="R1960" i="1" s="1"/>
  <c r="X1024" i="1"/>
  <c r="P1024" i="1" s="1"/>
  <c r="Q1024" i="1" s="1"/>
  <c r="R1024" i="1" s="1"/>
  <c r="D1024" i="1" s="1"/>
  <c r="Y1024" i="1"/>
  <c r="A848" i="1"/>
  <c r="C848" i="1"/>
  <c r="B848" i="1" s="1"/>
  <c r="F848" i="1"/>
  <c r="M848" i="1"/>
  <c r="O848" i="1"/>
  <c r="U848" i="1"/>
  <c r="Y848" i="1" s="1"/>
  <c r="V848" i="1"/>
  <c r="W848" i="1" s="1"/>
  <c r="Z848" i="1"/>
  <c r="A568" i="1"/>
  <c r="C568" i="1"/>
  <c r="B568" i="1" s="1"/>
  <c r="F568" i="1"/>
  <c r="M568" i="1"/>
  <c r="O568" i="1"/>
  <c r="U568" i="1"/>
  <c r="Y568" i="1" s="1"/>
  <c r="V568" i="1"/>
  <c r="W568" i="1" s="1"/>
  <c r="Z568" i="1"/>
  <c r="A539" i="1"/>
  <c r="C539" i="1"/>
  <c r="B539" i="1" s="1"/>
  <c r="F539" i="1"/>
  <c r="M539" i="1"/>
  <c r="O539" i="1"/>
  <c r="U539" i="1"/>
  <c r="Y539" i="1" s="1"/>
  <c r="V539" i="1"/>
  <c r="W539" i="1" s="1"/>
  <c r="Z539" i="1"/>
  <c r="A457" i="1"/>
  <c r="C457" i="1"/>
  <c r="B457" i="1" s="1"/>
  <c r="F457" i="1"/>
  <c r="M457" i="1"/>
  <c r="O457" i="1"/>
  <c r="U457" i="1"/>
  <c r="V457" i="1"/>
  <c r="W457" i="1" s="1"/>
  <c r="Z457" i="1"/>
  <c r="A55" i="104"/>
  <c r="B55" i="104"/>
  <c r="C55" i="104"/>
  <c r="A54" i="104"/>
  <c r="B54" i="104"/>
  <c r="C54" i="104"/>
  <c r="A53" i="104"/>
  <c r="B53" i="104"/>
  <c r="C53" i="104"/>
  <c r="A52" i="104"/>
  <c r="B52" i="104"/>
  <c r="C52" i="104"/>
  <c r="A1494" i="1"/>
  <c r="C1494" i="1"/>
  <c r="B1494" i="1" s="1"/>
  <c r="F1494" i="1"/>
  <c r="M1494" i="1"/>
  <c r="O1494" i="1"/>
  <c r="U1494" i="1"/>
  <c r="V1494" i="1"/>
  <c r="W1494" i="1" s="1"/>
  <c r="Z1494" i="1"/>
  <c r="A963" i="1"/>
  <c r="C963" i="1"/>
  <c r="B963" i="1" s="1"/>
  <c r="F963" i="1"/>
  <c r="M963" i="1"/>
  <c r="O963" i="1"/>
  <c r="T963" i="1"/>
  <c r="U963" i="1"/>
  <c r="V963" i="1"/>
  <c r="W963" i="1" s="1"/>
  <c r="Z963" i="1"/>
  <c r="A1701" i="1"/>
  <c r="C1701" i="1"/>
  <c r="B1701" i="1" s="1"/>
  <c r="D1701" i="1"/>
  <c r="F1701" i="1"/>
  <c r="M1701" i="1"/>
  <c r="O1701" i="1"/>
  <c r="S1701" i="1"/>
  <c r="T1701" i="1"/>
  <c r="U1701" i="1"/>
  <c r="V1701" i="1"/>
  <c r="W1701" i="1" s="1"/>
  <c r="Z1701" i="1"/>
  <c r="A1379" i="1"/>
  <c r="C1379" i="1"/>
  <c r="B1379" i="1" s="1"/>
  <c r="F1379" i="1"/>
  <c r="M1379" i="1"/>
  <c r="O1379" i="1"/>
  <c r="T1379" i="1"/>
  <c r="U1379" i="1"/>
  <c r="V1379" i="1"/>
  <c r="W1379" i="1" s="1"/>
  <c r="Z1379" i="1"/>
  <c r="A1352" i="1"/>
  <c r="C1352" i="1"/>
  <c r="B1352" i="1" s="1"/>
  <c r="F1352" i="1"/>
  <c r="M1352" i="1"/>
  <c r="U1352" i="1"/>
  <c r="Y1352" i="1" s="1"/>
  <c r="V1352" i="1"/>
  <c r="W1352" i="1" s="1"/>
  <c r="Z1352" i="1"/>
  <c r="A955" i="1"/>
  <c r="C955" i="1"/>
  <c r="B955" i="1" s="1"/>
  <c r="F955" i="1"/>
  <c r="M955" i="1"/>
  <c r="O955" i="1"/>
  <c r="T955" i="1"/>
  <c r="U955" i="1"/>
  <c r="Y955" i="1" s="1"/>
  <c r="V955" i="1"/>
  <c r="W955" i="1" s="1"/>
  <c r="Z955" i="1"/>
  <c r="A489" i="1"/>
  <c r="C489" i="1"/>
  <c r="B489" i="1" s="1"/>
  <c r="F489" i="1"/>
  <c r="M489" i="1"/>
  <c r="O489" i="1"/>
  <c r="U489" i="1"/>
  <c r="Y489" i="1" s="1"/>
  <c r="V489" i="1"/>
  <c r="W489" i="1" s="1"/>
  <c r="Z489" i="1"/>
  <c r="A205" i="1"/>
  <c r="C205" i="1"/>
  <c r="B205" i="1" s="1"/>
  <c r="F205" i="1"/>
  <c r="M205" i="1"/>
  <c r="O205" i="1"/>
  <c r="U205" i="1"/>
  <c r="Y205" i="1" s="1"/>
  <c r="V205" i="1"/>
  <c r="W205" i="1" s="1"/>
  <c r="Z205" i="1"/>
  <c r="A189" i="1"/>
  <c r="C189" i="1"/>
  <c r="B189" i="1" s="1"/>
  <c r="F189" i="1"/>
  <c r="M189" i="1"/>
  <c r="O189" i="1"/>
  <c r="U189" i="1"/>
  <c r="Y189" i="1" s="1"/>
  <c r="V189" i="1"/>
  <c r="W189" i="1" s="1"/>
  <c r="Z189" i="1"/>
  <c r="A1961" i="1"/>
  <c r="C1961" i="1"/>
  <c r="B1961" i="1" s="1"/>
  <c r="F1961" i="1"/>
  <c r="M1961" i="1"/>
  <c r="O1961" i="1"/>
  <c r="U1961" i="1"/>
  <c r="Y1961" i="1" s="1"/>
  <c r="V1961" i="1"/>
  <c r="W1961" i="1" s="1"/>
  <c r="Z1961" i="1"/>
  <c r="A1819" i="1"/>
  <c r="C1819" i="1"/>
  <c r="B1819" i="1" s="1"/>
  <c r="F1819" i="1"/>
  <c r="M1819" i="1"/>
  <c r="O1819" i="1"/>
  <c r="U1819" i="1"/>
  <c r="Y1819" i="1" s="1"/>
  <c r="V1819" i="1"/>
  <c r="W1819" i="1" s="1"/>
  <c r="Z1819" i="1"/>
  <c r="A316" i="1"/>
  <c r="C316" i="1"/>
  <c r="B316" i="1" s="1"/>
  <c r="F316" i="1"/>
  <c r="M316" i="1"/>
  <c r="O316" i="1"/>
  <c r="U316" i="1"/>
  <c r="V316" i="1"/>
  <c r="W316" i="1" s="1"/>
  <c r="Z316" i="1"/>
  <c r="D1752" i="1" l="1"/>
  <c r="D1190" i="1"/>
  <c r="D2053" i="1"/>
  <c r="D471" i="1"/>
  <c r="D1027" i="1"/>
  <c r="D1830" i="1"/>
  <c r="D578" i="1"/>
  <c r="D721" i="1"/>
  <c r="P1259" i="1"/>
  <c r="Q1259" i="1" s="1"/>
  <c r="R1259" i="1" s="1"/>
  <c r="D1259" i="1" s="1"/>
  <c r="P1386" i="1"/>
  <c r="Q1386" i="1" s="1"/>
  <c r="R1386" i="1" s="1"/>
  <c r="P828" i="1"/>
  <c r="Q828" i="1" s="1"/>
  <c r="R828" i="1" s="1"/>
  <c r="T539" i="1"/>
  <c r="T457" i="1"/>
  <c r="T568" i="1"/>
  <c r="T848" i="1"/>
  <c r="X848" i="1"/>
  <c r="P848" i="1" s="1"/>
  <c r="Q848" i="1" s="1"/>
  <c r="R848" i="1" s="1"/>
  <c r="T1494" i="1"/>
  <c r="X457" i="1"/>
  <c r="Y457" i="1"/>
  <c r="X539" i="1"/>
  <c r="P539" i="1" s="1"/>
  <c r="Q539" i="1" s="1"/>
  <c r="R539" i="1" s="1"/>
  <c r="X568" i="1"/>
  <c r="P568" i="1" s="1"/>
  <c r="Q568" i="1" s="1"/>
  <c r="R568" i="1" s="1"/>
  <c r="X205" i="1"/>
  <c r="P205" i="1" s="1"/>
  <c r="Q205" i="1" s="1"/>
  <c r="R205" i="1" s="1"/>
  <c r="X955" i="1"/>
  <c r="P955" i="1" s="1"/>
  <c r="Q955" i="1" s="1"/>
  <c r="R955" i="1" s="1"/>
  <c r="X1494" i="1"/>
  <c r="Y1494" i="1"/>
  <c r="X963" i="1"/>
  <c r="Y963" i="1"/>
  <c r="X1701" i="1"/>
  <c r="Y1701" i="1"/>
  <c r="X1379" i="1"/>
  <c r="Y1379" i="1"/>
  <c r="T1352" i="1"/>
  <c r="X1352" i="1"/>
  <c r="P1352" i="1" s="1"/>
  <c r="Q1352" i="1" s="1"/>
  <c r="R1352" i="1" s="1"/>
  <c r="D1352" i="1" s="1"/>
  <c r="T205" i="1"/>
  <c r="T189" i="1"/>
  <c r="T489" i="1"/>
  <c r="X489" i="1"/>
  <c r="P489" i="1" s="1"/>
  <c r="Q489" i="1" s="1"/>
  <c r="R489" i="1" s="1"/>
  <c r="X189" i="1"/>
  <c r="P189" i="1" s="1"/>
  <c r="Q189" i="1" s="1"/>
  <c r="R189" i="1" s="1"/>
  <c r="T1961" i="1"/>
  <c r="X1961" i="1"/>
  <c r="P1961" i="1" s="1"/>
  <c r="Q1961" i="1" s="1"/>
  <c r="R1961" i="1" s="1"/>
  <c r="D1961" i="1" s="1"/>
  <c r="T1819" i="1"/>
  <c r="X1819" i="1"/>
  <c r="P1819" i="1" s="1"/>
  <c r="Q1819" i="1" s="1"/>
  <c r="R1819" i="1" s="1"/>
  <c r="D1819" i="1" s="1"/>
  <c r="T316" i="1"/>
  <c r="X316" i="1"/>
  <c r="Y316" i="1"/>
  <c r="A429" i="1"/>
  <c r="C429" i="1"/>
  <c r="B429" i="1" s="1"/>
  <c r="F429" i="1"/>
  <c r="M429" i="1"/>
  <c r="O429" i="1"/>
  <c r="T429" i="1"/>
  <c r="U429" i="1"/>
  <c r="Y429" i="1" s="1"/>
  <c r="V429" i="1"/>
  <c r="W429" i="1" s="1"/>
  <c r="Z429" i="1"/>
  <c r="A456" i="1"/>
  <c r="A678" i="1"/>
  <c r="A483" i="1"/>
  <c r="A417" i="1"/>
  <c r="A514" i="1"/>
  <c r="A809" i="1"/>
  <c r="C456" i="1"/>
  <c r="B456" i="1" s="1"/>
  <c r="C678" i="1"/>
  <c r="B678" i="1" s="1"/>
  <c r="C483" i="1"/>
  <c r="B483" i="1" s="1"/>
  <c r="C417" i="1"/>
  <c r="B417" i="1" s="1"/>
  <c r="C514" i="1"/>
  <c r="B514" i="1" s="1"/>
  <c r="C809" i="1"/>
  <c r="B809" i="1" s="1"/>
  <c r="F456" i="1"/>
  <c r="F678" i="1"/>
  <c r="F483" i="1"/>
  <c r="F417" i="1"/>
  <c r="F514" i="1"/>
  <c r="F809" i="1"/>
  <c r="M456" i="1"/>
  <c r="M678" i="1"/>
  <c r="M514" i="1"/>
  <c r="M809" i="1"/>
  <c r="O678" i="1"/>
  <c r="O417" i="1"/>
  <c r="O809" i="1"/>
  <c r="U456" i="1"/>
  <c r="U678" i="1"/>
  <c r="U483" i="1"/>
  <c r="U417" i="1"/>
  <c r="Y417" i="1" s="1"/>
  <c r="U514" i="1"/>
  <c r="Y514" i="1" s="1"/>
  <c r="U809" i="1"/>
  <c r="Y809" i="1" s="1"/>
  <c r="V456" i="1"/>
  <c r="W456" i="1" s="1"/>
  <c r="V678" i="1"/>
  <c r="W678" i="1" s="1"/>
  <c r="V483" i="1"/>
  <c r="W483" i="1" s="1"/>
  <c r="V417" i="1"/>
  <c r="W417" i="1" s="1"/>
  <c r="V514" i="1"/>
  <c r="W514" i="1" s="1"/>
  <c r="V809" i="1"/>
  <c r="W809" i="1" s="1"/>
  <c r="Z456" i="1"/>
  <c r="Z678" i="1"/>
  <c r="Z483" i="1"/>
  <c r="Z417" i="1"/>
  <c r="Z514" i="1"/>
  <c r="Z809" i="1"/>
  <c r="O514" i="1"/>
  <c r="M417" i="1"/>
  <c r="M483" i="1"/>
  <c r="O456" i="1"/>
  <c r="A51" i="104"/>
  <c r="B51" i="104"/>
  <c r="C51" i="104"/>
  <c r="A47" i="104"/>
  <c r="A48" i="104"/>
  <c r="A49" i="104"/>
  <c r="A50" i="104"/>
  <c r="B47" i="104"/>
  <c r="B48" i="104"/>
  <c r="B49" i="104"/>
  <c r="B50" i="104"/>
  <c r="C47" i="104"/>
  <c r="C48" i="104"/>
  <c r="C49" i="104"/>
  <c r="C50" i="104"/>
  <c r="A46" i="104"/>
  <c r="B46" i="104"/>
  <c r="C46" i="104"/>
  <c r="P457" i="1" l="1"/>
  <c r="Q457" i="1" s="1"/>
  <c r="R457" i="1" s="1"/>
  <c r="P1494" i="1"/>
  <c r="Q1494" i="1" s="1"/>
  <c r="R1494" i="1" s="1"/>
  <c r="P963" i="1"/>
  <c r="Q963" i="1" s="1"/>
  <c r="R963" i="1" s="1"/>
  <c r="D963" i="1" s="1"/>
  <c r="P1701" i="1"/>
  <c r="Q1701" i="1" s="1"/>
  <c r="R1701" i="1" s="1"/>
  <c r="P1379" i="1"/>
  <c r="Q1379" i="1" s="1"/>
  <c r="R1379" i="1" s="1"/>
  <c r="D1379" i="1" s="1"/>
  <c r="D955" i="1"/>
  <c r="T483" i="1"/>
  <c r="D189" i="1"/>
  <c r="D205" i="1"/>
  <c r="P316" i="1"/>
  <c r="Q316" i="1" s="1"/>
  <c r="R316" i="1" s="1"/>
  <c r="X429" i="1"/>
  <c r="P429" i="1" s="1"/>
  <c r="Q429" i="1" s="1"/>
  <c r="R429" i="1" s="1"/>
  <c r="D429" i="1" s="1"/>
  <c r="T809" i="1"/>
  <c r="T678" i="1"/>
  <c r="X456" i="1"/>
  <c r="Y456" i="1"/>
  <c r="T456" i="1"/>
  <c r="X514" i="1"/>
  <c r="P514" i="1" s="1"/>
  <c r="Q514" i="1" s="1"/>
  <c r="R514" i="1" s="1"/>
  <c r="X483" i="1"/>
  <c r="T514" i="1"/>
  <c r="X678" i="1"/>
  <c r="Y483" i="1"/>
  <c r="X809" i="1"/>
  <c r="P809" i="1" s="1"/>
  <c r="Q809" i="1" s="1"/>
  <c r="R809" i="1" s="1"/>
  <c r="T417" i="1"/>
  <c r="Y678" i="1"/>
  <c r="X417" i="1"/>
  <c r="P417" i="1" s="1"/>
  <c r="Q417" i="1" s="1"/>
  <c r="R417" i="1" s="1"/>
  <c r="O483" i="1"/>
  <c r="A1029" i="1"/>
  <c r="C1029" i="1"/>
  <c r="B1029" i="1" s="1"/>
  <c r="F1029" i="1"/>
  <c r="M1029" i="1"/>
  <c r="O1029" i="1"/>
  <c r="T1029" i="1"/>
  <c r="U1029" i="1"/>
  <c r="Y1029" i="1" s="1"/>
  <c r="V1029" i="1"/>
  <c r="W1029" i="1" s="1"/>
  <c r="Z1029" i="1"/>
  <c r="A163" i="1"/>
  <c r="C163" i="1"/>
  <c r="B163" i="1" s="1"/>
  <c r="F163" i="1"/>
  <c r="M163" i="1"/>
  <c r="O163" i="1"/>
  <c r="U163" i="1"/>
  <c r="V163" i="1"/>
  <c r="W163" i="1" s="1"/>
  <c r="Z163" i="1"/>
  <c r="A391" i="1"/>
  <c r="C391" i="1"/>
  <c r="B391" i="1" s="1"/>
  <c r="F391" i="1"/>
  <c r="M391" i="1"/>
  <c r="O391" i="1"/>
  <c r="U391" i="1"/>
  <c r="Y391" i="1" s="1"/>
  <c r="V391" i="1"/>
  <c r="W391" i="1" s="1"/>
  <c r="Z391" i="1"/>
  <c r="A606" i="1"/>
  <c r="C606" i="1"/>
  <c r="B606" i="1" s="1"/>
  <c r="F606" i="1"/>
  <c r="M606" i="1"/>
  <c r="O606" i="1"/>
  <c r="U606" i="1"/>
  <c r="Y606" i="1" s="1"/>
  <c r="V606" i="1"/>
  <c r="W606" i="1" s="1"/>
  <c r="Z606" i="1"/>
  <c r="D1494" i="1" l="1"/>
  <c r="D1517" i="1"/>
  <c r="D316" i="1"/>
  <c r="D489" i="1"/>
  <c r="P456" i="1"/>
  <c r="Q456" i="1" s="1"/>
  <c r="R456" i="1" s="1"/>
  <c r="P483" i="1"/>
  <c r="Q483" i="1" s="1"/>
  <c r="R483" i="1" s="1"/>
  <c r="P678" i="1"/>
  <c r="Q678" i="1" s="1"/>
  <c r="R678" i="1" s="1"/>
  <c r="X1029" i="1"/>
  <c r="P1029" i="1" s="1"/>
  <c r="Q1029" i="1" s="1"/>
  <c r="R1029" i="1" s="1"/>
  <c r="D1029" i="1" s="1"/>
  <c r="T163" i="1"/>
  <c r="X163" i="1"/>
  <c r="Y163" i="1"/>
  <c r="T391" i="1"/>
  <c r="X391" i="1"/>
  <c r="P391" i="1" s="1"/>
  <c r="Q391" i="1" s="1"/>
  <c r="R391" i="1" s="1"/>
  <c r="T606" i="1"/>
  <c r="X606" i="1"/>
  <c r="P606" i="1" s="1"/>
  <c r="Q606" i="1" s="1"/>
  <c r="R606" i="1" s="1"/>
  <c r="A647" i="1"/>
  <c r="C647" i="1"/>
  <c r="B647" i="1" s="1"/>
  <c r="F647" i="1"/>
  <c r="M647" i="1"/>
  <c r="O647" i="1"/>
  <c r="T647" i="1"/>
  <c r="U647" i="1"/>
  <c r="Y647" i="1" s="1"/>
  <c r="V647" i="1"/>
  <c r="W647" i="1" s="1"/>
  <c r="Z647" i="1"/>
  <c r="E1221" i="6"/>
  <c r="E1222" i="6"/>
  <c r="E1223" i="6"/>
  <c r="F1221" i="6"/>
  <c r="F1222" i="6"/>
  <c r="F1223" i="6"/>
  <c r="I1221" i="6"/>
  <c r="I1222" i="6"/>
  <c r="I1223" i="6"/>
  <c r="J1221" i="6"/>
  <c r="J1222" i="6"/>
  <c r="J1223" i="6"/>
  <c r="E1214" i="6"/>
  <c r="E1215" i="6"/>
  <c r="E1216" i="6"/>
  <c r="E1217" i="6"/>
  <c r="E1218" i="6"/>
  <c r="E1219" i="6"/>
  <c r="E1220" i="6"/>
  <c r="F1214" i="6"/>
  <c r="F1215" i="6"/>
  <c r="F1216" i="6"/>
  <c r="F1217" i="6"/>
  <c r="F1218" i="6"/>
  <c r="F1219" i="6"/>
  <c r="F1220" i="6"/>
  <c r="I1214" i="6"/>
  <c r="I1215" i="6"/>
  <c r="I1216" i="6"/>
  <c r="I1217" i="6"/>
  <c r="I1218" i="6"/>
  <c r="I1219" i="6"/>
  <c r="I1220" i="6"/>
  <c r="J1214" i="6"/>
  <c r="J1215" i="6"/>
  <c r="J1216" i="6"/>
  <c r="J1217" i="6"/>
  <c r="J1218" i="6"/>
  <c r="J1219" i="6"/>
  <c r="J1220" i="6"/>
  <c r="E1204" i="6"/>
  <c r="E1205" i="6"/>
  <c r="E1206" i="6"/>
  <c r="E1207" i="6"/>
  <c r="E1208" i="6"/>
  <c r="E1209" i="6"/>
  <c r="E1210" i="6"/>
  <c r="E1211" i="6"/>
  <c r="E1212" i="6"/>
  <c r="E1213" i="6"/>
  <c r="F1204" i="6"/>
  <c r="F1206" i="6"/>
  <c r="F1207" i="6"/>
  <c r="F1208" i="6"/>
  <c r="F1209" i="6"/>
  <c r="F1210" i="6"/>
  <c r="F1211" i="6"/>
  <c r="F1212" i="6"/>
  <c r="F1213" i="6"/>
  <c r="I1204" i="6"/>
  <c r="I1205" i="6"/>
  <c r="I1206" i="6"/>
  <c r="I1207" i="6"/>
  <c r="I1208" i="6"/>
  <c r="I1209" i="6"/>
  <c r="I1210" i="6"/>
  <c r="I1211" i="6"/>
  <c r="I1212" i="6"/>
  <c r="I1213" i="6"/>
  <c r="J1204" i="6"/>
  <c r="J1205" i="6"/>
  <c r="J1206" i="6"/>
  <c r="J1207" i="6"/>
  <c r="J1208" i="6"/>
  <c r="J1209" i="6"/>
  <c r="J1210" i="6"/>
  <c r="J1211" i="6"/>
  <c r="J1212" i="6"/>
  <c r="J1213" i="6"/>
  <c r="E1203" i="6"/>
  <c r="F1203" i="6"/>
  <c r="I1203" i="6"/>
  <c r="J1203" i="6"/>
  <c r="E1200" i="6"/>
  <c r="E1201" i="6"/>
  <c r="E1202" i="6"/>
  <c r="F1201" i="6"/>
  <c r="I1200" i="6"/>
  <c r="I1201" i="6"/>
  <c r="I1202" i="6"/>
  <c r="J1200" i="6"/>
  <c r="J1201" i="6"/>
  <c r="J1202" i="6"/>
  <c r="E1196" i="6"/>
  <c r="E1197" i="6"/>
  <c r="E1198" i="6"/>
  <c r="E1199" i="6"/>
  <c r="F1196" i="6"/>
  <c r="F1197" i="6"/>
  <c r="F1198" i="6"/>
  <c r="F1199" i="6"/>
  <c r="I1196" i="6"/>
  <c r="I1197" i="6"/>
  <c r="I1198" i="6"/>
  <c r="I1199" i="6"/>
  <c r="J1196" i="6"/>
  <c r="J1197" i="6"/>
  <c r="J1198" i="6"/>
  <c r="J1199" i="6"/>
  <c r="A1620" i="1"/>
  <c r="C1620" i="1"/>
  <c r="B1620" i="1" s="1"/>
  <c r="F1620" i="1"/>
  <c r="M1620" i="1"/>
  <c r="O1620" i="1"/>
  <c r="U1620" i="1"/>
  <c r="V1620" i="1"/>
  <c r="W1620" i="1" s="1"/>
  <c r="Z1620" i="1"/>
  <c r="A260" i="1"/>
  <c r="C260" i="1"/>
  <c r="B260" i="1" s="1"/>
  <c r="F260" i="1"/>
  <c r="M260" i="1"/>
  <c r="O260" i="1"/>
  <c r="U260" i="1"/>
  <c r="V260" i="1"/>
  <c r="W260" i="1" s="1"/>
  <c r="Z260" i="1"/>
  <c r="A168" i="1"/>
  <c r="C168" i="1"/>
  <c r="B168" i="1" s="1"/>
  <c r="F168" i="1"/>
  <c r="M168" i="1"/>
  <c r="O168" i="1"/>
  <c r="U168" i="1"/>
  <c r="Y168" i="1" s="1"/>
  <c r="V168" i="1"/>
  <c r="W168" i="1" s="1"/>
  <c r="Z168" i="1"/>
  <c r="A1155" i="1"/>
  <c r="C1155" i="1"/>
  <c r="B1155" i="1" s="1"/>
  <c r="F1155" i="1"/>
  <c r="M1155" i="1"/>
  <c r="O1155" i="1"/>
  <c r="T1155" i="1"/>
  <c r="U1155" i="1"/>
  <c r="Y1155" i="1" s="1"/>
  <c r="V1155" i="1"/>
  <c r="W1155" i="1" s="1"/>
  <c r="Z1155" i="1"/>
  <c r="A1611" i="1"/>
  <c r="C1611" i="1"/>
  <c r="B1611" i="1" s="1"/>
  <c r="F1611" i="1"/>
  <c r="M1611" i="1"/>
  <c r="O1611" i="1"/>
  <c r="U1611" i="1"/>
  <c r="Y1611" i="1" s="1"/>
  <c r="V1611" i="1"/>
  <c r="W1611" i="1" s="1"/>
  <c r="Z1611" i="1"/>
  <c r="A681" i="1"/>
  <c r="C681" i="1"/>
  <c r="B681" i="1" s="1"/>
  <c r="F681" i="1"/>
  <c r="M681" i="1"/>
  <c r="O681" i="1"/>
  <c r="U681" i="1"/>
  <c r="Y681" i="1" s="1"/>
  <c r="V681" i="1"/>
  <c r="W681" i="1" s="1"/>
  <c r="Z681" i="1"/>
  <c r="A1063" i="1"/>
  <c r="C1063" i="1"/>
  <c r="B1063" i="1" s="1"/>
  <c r="F1063" i="1"/>
  <c r="M1063" i="1"/>
  <c r="O1063" i="1"/>
  <c r="U1063" i="1"/>
  <c r="Y1063" i="1" s="1"/>
  <c r="V1063" i="1"/>
  <c r="W1063" i="1" s="1"/>
  <c r="Z1063" i="1"/>
  <c r="A2073" i="1"/>
  <c r="C2073" i="1"/>
  <c r="B2073" i="1" s="1"/>
  <c r="F2073" i="1"/>
  <c r="M2073" i="1"/>
  <c r="O2073" i="1"/>
  <c r="U2073" i="1"/>
  <c r="Y2073" i="1" s="1"/>
  <c r="V2073" i="1"/>
  <c r="W2073" i="1" s="1"/>
  <c r="Z2073" i="1"/>
  <c r="A2092" i="1"/>
  <c r="C2092" i="1"/>
  <c r="B2092" i="1" s="1"/>
  <c r="F2092" i="1"/>
  <c r="M2092" i="1"/>
  <c r="O2092" i="1"/>
  <c r="U2092" i="1"/>
  <c r="Y2092" i="1" s="1"/>
  <c r="V2092" i="1"/>
  <c r="W2092" i="1" s="1"/>
  <c r="Z2092" i="1"/>
  <c r="A2047" i="1"/>
  <c r="C2047" i="1"/>
  <c r="B2047" i="1" s="1"/>
  <c r="F2047" i="1"/>
  <c r="M2047" i="1"/>
  <c r="O2047" i="1"/>
  <c r="U2047" i="1"/>
  <c r="Y2047" i="1" s="1"/>
  <c r="V2047" i="1"/>
  <c r="W2047" i="1" s="1"/>
  <c r="Z2047" i="1"/>
  <c r="A2033" i="1"/>
  <c r="C2033" i="1"/>
  <c r="B2033" i="1" s="1"/>
  <c r="F2033" i="1"/>
  <c r="M2033" i="1"/>
  <c r="O2033" i="1"/>
  <c r="U2033" i="1"/>
  <c r="Y2033" i="1" s="1"/>
  <c r="V2033" i="1"/>
  <c r="W2033" i="1" s="1"/>
  <c r="Z2033" i="1"/>
  <c r="A2081" i="1"/>
  <c r="C2081" i="1"/>
  <c r="B2081" i="1" s="1"/>
  <c r="F2081" i="1"/>
  <c r="M2081" i="1"/>
  <c r="O2081" i="1"/>
  <c r="U2081" i="1"/>
  <c r="Y2081" i="1" s="1"/>
  <c r="V2081" i="1"/>
  <c r="W2081" i="1" s="1"/>
  <c r="Z2081" i="1"/>
  <c r="A1639" i="1"/>
  <c r="C1639" i="1"/>
  <c r="B1639" i="1" s="1"/>
  <c r="F1639" i="1"/>
  <c r="M1639" i="1"/>
  <c r="O1639" i="1"/>
  <c r="U1639" i="1"/>
  <c r="Y1639" i="1" s="1"/>
  <c r="V1639" i="1"/>
  <c r="W1639" i="1" s="1"/>
  <c r="Z1639" i="1"/>
  <c r="A971" i="1"/>
  <c r="C971" i="1"/>
  <c r="B971" i="1" s="1"/>
  <c r="F971" i="1"/>
  <c r="M971" i="1"/>
  <c r="O971" i="1"/>
  <c r="U971" i="1"/>
  <c r="Y971" i="1" s="1"/>
  <c r="V971" i="1"/>
  <c r="W971" i="1" s="1"/>
  <c r="Z971" i="1"/>
  <c r="A2078" i="1"/>
  <c r="C2078" i="1"/>
  <c r="B2078" i="1" s="1"/>
  <c r="F2078" i="1"/>
  <c r="M2078" i="1"/>
  <c r="O2078" i="1"/>
  <c r="U2078" i="1"/>
  <c r="V2078" i="1"/>
  <c r="W2078" i="1" s="1"/>
  <c r="Z2078" i="1"/>
  <c r="A1822" i="1"/>
  <c r="C1822" i="1"/>
  <c r="B1822" i="1" s="1"/>
  <c r="F1822" i="1"/>
  <c r="M1822" i="1"/>
  <c r="O1822" i="1"/>
  <c r="U1822" i="1"/>
  <c r="Y1822" i="1" s="1"/>
  <c r="V1822" i="1"/>
  <c r="W1822" i="1" s="1"/>
  <c r="Z1822" i="1"/>
  <c r="E1195" i="6"/>
  <c r="F1195" i="6"/>
  <c r="I1195" i="6"/>
  <c r="J1195" i="6"/>
  <c r="D910" i="1" l="1"/>
  <c r="D902" i="1"/>
  <c r="D595" i="1"/>
  <c r="D540" i="1"/>
  <c r="D541" i="1"/>
  <c r="D457" i="1"/>
  <c r="D539" i="1"/>
  <c r="D848" i="1"/>
  <c r="D568" i="1"/>
  <c r="D809" i="1"/>
  <c r="D514" i="1"/>
  <c r="D417" i="1"/>
  <c r="D456" i="1"/>
  <c r="D678" i="1"/>
  <c r="D483" i="1"/>
  <c r="T168" i="1"/>
  <c r="T1620" i="1"/>
  <c r="P163" i="1"/>
  <c r="Q163" i="1" s="1"/>
  <c r="R163" i="1" s="1"/>
  <c r="X647" i="1"/>
  <c r="P647" i="1" s="1"/>
  <c r="Q647" i="1" s="1"/>
  <c r="R647" i="1" s="1"/>
  <c r="D647" i="1" s="1"/>
  <c r="X260" i="1"/>
  <c r="X1620" i="1"/>
  <c r="Y1620" i="1"/>
  <c r="T260" i="1"/>
  <c r="T2033" i="1"/>
  <c r="X168" i="1"/>
  <c r="P168" i="1" s="1"/>
  <c r="Q168" i="1" s="1"/>
  <c r="R168" i="1" s="1"/>
  <c r="Y260" i="1"/>
  <c r="T2092" i="1"/>
  <c r="X1155" i="1"/>
  <c r="P1155" i="1" s="1"/>
  <c r="Q1155" i="1" s="1"/>
  <c r="R1155" i="1" s="1"/>
  <c r="D1155" i="1" s="1"/>
  <c r="X2073" i="1"/>
  <c r="P2073" i="1" s="1"/>
  <c r="Q2073" i="1" s="1"/>
  <c r="R2073" i="1" s="1"/>
  <c r="T2073" i="1"/>
  <c r="X1611" i="1"/>
  <c r="P1611" i="1" s="1"/>
  <c r="Q1611" i="1" s="1"/>
  <c r="R1611" i="1" s="1"/>
  <c r="D1611" i="1" s="1"/>
  <c r="T1611" i="1"/>
  <c r="T681" i="1"/>
  <c r="X681" i="1"/>
  <c r="P681" i="1" s="1"/>
  <c r="Q681" i="1" s="1"/>
  <c r="R681" i="1" s="1"/>
  <c r="X1063" i="1"/>
  <c r="P1063" i="1" s="1"/>
  <c r="Q1063" i="1" s="1"/>
  <c r="R1063" i="1" s="1"/>
  <c r="D1063" i="1" s="1"/>
  <c r="T1063" i="1"/>
  <c r="T2047" i="1"/>
  <c r="T2081" i="1"/>
  <c r="X2092" i="1"/>
  <c r="P2092" i="1" s="1"/>
  <c r="Q2092" i="1" s="1"/>
  <c r="R2092" i="1" s="1"/>
  <c r="X1822" i="1"/>
  <c r="P1822" i="1" s="1"/>
  <c r="Q1822" i="1" s="1"/>
  <c r="R1822" i="1" s="1"/>
  <c r="X2047" i="1"/>
  <c r="P2047" i="1" s="1"/>
  <c r="Q2047" i="1" s="1"/>
  <c r="R2047" i="1" s="1"/>
  <c r="X2033" i="1"/>
  <c r="P2033" i="1" s="1"/>
  <c r="Q2033" i="1" s="1"/>
  <c r="R2033" i="1" s="1"/>
  <c r="X2081" i="1"/>
  <c r="P2081" i="1" s="1"/>
  <c r="Q2081" i="1" s="1"/>
  <c r="R2081" i="1" s="1"/>
  <c r="T1639" i="1"/>
  <c r="X1639" i="1"/>
  <c r="P1639" i="1" s="1"/>
  <c r="Q1639" i="1" s="1"/>
  <c r="R1639" i="1" s="1"/>
  <c r="T971" i="1"/>
  <c r="X971" i="1"/>
  <c r="P971" i="1" s="1"/>
  <c r="Q971" i="1" s="1"/>
  <c r="R971" i="1" s="1"/>
  <c r="T1822" i="1"/>
  <c r="T2078" i="1"/>
  <c r="X2078" i="1"/>
  <c r="Y2078" i="1"/>
  <c r="A1844" i="1"/>
  <c r="C1844" i="1"/>
  <c r="B1844" i="1" s="1"/>
  <c r="F1844" i="1"/>
  <c r="M1844" i="1"/>
  <c r="O1844" i="1"/>
  <c r="S1844" i="1"/>
  <c r="T1844" i="1"/>
  <c r="U1844" i="1"/>
  <c r="Y1844" i="1" s="1"/>
  <c r="V1844" i="1"/>
  <c r="W1844" i="1" s="1"/>
  <c r="Z1844" i="1"/>
  <c r="A1046" i="1"/>
  <c r="C1046" i="1"/>
  <c r="B1046" i="1" s="1"/>
  <c r="F1046" i="1"/>
  <c r="M1046" i="1"/>
  <c r="O1046" i="1"/>
  <c r="S1046" i="1"/>
  <c r="T1046" i="1"/>
  <c r="U1046" i="1"/>
  <c r="Y1046" i="1" s="1"/>
  <c r="V1046" i="1"/>
  <c r="W1046" i="1" s="1"/>
  <c r="Z1046" i="1"/>
  <c r="A142" i="1"/>
  <c r="C142" i="1"/>
  <c r="B142" i="1" s="1"/>
  <c r="F142" i="1"/>
  <c r="M142" i="1"/>
  <c r="O142" i="1"/>
  <c r="S142" i="1"/>
  <c r="T142" i="1"/>
  <c r="U142" i="1"/>
  <c r="Y142" i="1" s="1"/>
  <c r="V142" i="1"/>
  <c r="W142" i="1" s="1"/>
  <c r="Z142" i="1"/>
  <c r="A154" i="1"/>
  <c r="C154" i="1"/>
  <c r="B154" i="1" s="1"/>
  <c r="F154" i="1"/>
  <c r="M154" i="1"/>
  <c r="O154" i="1"/>
  <c r="S154" i="1"/>
  <c r="T154" i="1"/>
  <c r="U154" i="1"/>
  <c r="Y154" i="1" s="1"/>
  <c r="V154" i="1"/>
  <c r="W154" i="1" s="1"/>
  <c r="Z154" i="1"/>
  <c r="S301" i="157"/>
  <c r="S198" i="157"/>
  <c r="S186" i="157"/>
  <c r="S58" i="157"/>
  <c r="S1958" i="157"/>
  <c r="S27" i="157"/>
  <c r="S36" i="157"/>
  <c r="S37" i="157"/>
  <c r="S56" i="157"/>
  <c r="S53" i="157"/>
  <c r="S26" i="157"/>
  <c r="S1963" i="157"/>
  <c r="S49" i="157"/>
  <c r="S52" i="157"/>
  <c r="S63" i="157"/>
  <c r="S46" i="157"/>
  <c r="S47" i="157"/>
  <c r="S44" i="157"/>
  <c r="S1939" i="157"/>
  <c r="S1940" i="157"/>
  <c r="S1949" i="157"/>
  <c r="S38" i="157"/>
  <c r="S81" i="157"/>
  <c r="S32" i="157"/>
  <c r="S1943" i="157"/>
  <c r="S1947" i="157"/>
  <c r="S1944" i="157"/>
  <c r="S1941" i="157"/>
  <c r="S1955" i="157"/>
  <c r="S31" i="157"/>
  <c r="S29" i="157"/>
  <c r="S1933" i="157"/>
  <c r="S33" i="157"/>
  <c r="S34" i="157"/>
  <c r="S39" i="157"/>
  <c r="S40" i="157"/>
  <c r="S1928" i="157"/>
  <c r="S7" i="157"/>
  <c r="S1945" i="157"/>
  <c r="S54" i="157"/>
  <c r="S1934" i="157"/>
  <c r="S1927" i="157"/>
  <c r="S1935" i="157"/>
  <c r="S1946" i="157"/>
  <c r="S43" i="157"/>
  <c r="S1929" i="157"/>
  <c r="S1936" i="157"/>
  <c r="S1942" i="157"/>
  <c r="S1931" i="157"/>
  <c r="S55" i="157"/>
  <c r="S1937" i="157"/>
  <c r="S1938" i="157"/>
  <c r="S1932" i="157"/>
  <c r="S1930" i="157"/>
  <c r="S15" i="157"/>
  <c r="S1924" i="157"/>
  <c r="S1916" i="157"/>
  <c r="S1925" i="157"/>
  <c r="S1926" i="157"/>
  <c r="S16" i="157"/>
  <c r="S1917" i="157"/>
  <c r="S1923" i="157"/>
  <c r="S1918" i="157"/>
  <c r="S1919" i="157"/>
  <c r="S28" i="157"/>
  <c r="S24" i="157"/>
  <c r="S1920" i="157"/>
  <c r="S1921" i="157"/>
  <c r="S1922" i="157"/>
  <c r="S1948" i="157"/>
  <c r="S1981" i="157"/>
  <c r="S18" i="157"/>
  <c r="S19" i="157"/>
  <c r="S20" i="157"/>
  <c r="S21" i="157"/>
  <c r="S22" i="157"/>
  <c r="T301" i="157"/>
  <c r="U301" i="157" s="1"/>
  <c r="T198" i="157"/>
  <c r="U198" i="157" s="1"/>
  <c r="T186" i="157"/>
  <c r="U186" i="157" s="1"/>
  <c r="T58" i="157"/>
  <c r="U58" i="157" s="1"/>
  <c r="T1958" i="157"/>
  <c r="U1958" i="157" s="1"/>
  <c r="T27" i="157"/>
  <c r="U27" i="157" s="1"/>
  <c r="T36" i="157"/>
  <c r="U36" i="157" s="1"/>
  <c r="T37" i="157"/>
  <c r="U37" i="157" s="1"/>
  <c r="T56" i="157"/>
  <c r="U56" i="157" s="1"/>
  <c r="T53" i="157"/>
  <c r="U53" i="157" s="1"/>
  <c r="T26" i="157"/>
  <c r="U26" i="157" s="1"/>
  <c r="T1963" i="157"/>
  <c r="U1963" i="157" s="1"/>
  <c r="T49" i="157"/>
  <c r="U49" i="157" s="1"/>
  <c r="T52" i="157"/>
  <c r="U52" i="157" s="1"/>
  <c r="T63" i="157"/>
  <c r="U63" i="157" s="1"/>
  <c r="T46" i="157"/>
  <c r="U46" i="157" s="1"/>
  <c r="T47" i="157"/>
  <c r="U47" i="157" s="1"/>
  <c r="T44" i="157"/>
  <c r="U44" i="157" s="1"/>
  <c r="T1939" i="157"/>
  <c r="U1939" i="157" s="1"/>
  <c r="T1940" i="157"/>
  <c r="U1940" i="157" s="1"/>
  <c r="T1949" i="157"/>
  <c r="U1949" i="157" s="1"/>
  <c r="T38" i="157"/>
  <c r="U38" i="157" s="1"/>
  <c r="T81" i="157"/>
  <c r="U81" i="157" s="1"/>
  <c r="T32" i="157"/>
  <c r="U32" i="157" s="1"/>
  <c r="T1943" i="157"/>
  <c r="U1943" i="157" s="1"/>
  <c r="T1947" i="157"/>
  <c r="U1947" i="157" s="1"/>
  <c r="T1944" i="157"/>
  <c r="U1944" i="157" s="1"/>
  <c r="T1941" i="157"/>
  <c r="U1941" i="157" s="1"/>
  <c r="T1955" i="157"/>
  <c r="U1955" i="157" s="1"/>
  <c r="T31" i="157"/>
  <c r="U31" i="157" s="1"/>
  <c r="T29" i="157"/>
  <c r="U29" i="157" s="1"/>
  <c r="T1933" i="157"/>
  <c r="U1933" i="157" s="1"/>
  <c r="T33" i="157"/>
  <c r="U33" i="157" s="1"/>
  <c r="T34" i="157"/>
  <c r="U34" i="157" s="1"/>
  <c r="T39" i="157"/>
  <c r="U39" i="157" s="1"/>
  <c r="T40" i="157"/>
  <c r="U40" i="157" s="1"/>
  <c r="T1928" i="157"/>
  <c r="U1928" i="157" s="1"/>
  <c r="T7" i="157"/>
  <c r="U7" i="157" s="1"/>
  <c r="T1945" i="157"/>
  <c r="U1945" i="157" s="1"/>
  <c r="T54" i="157"/>
  <c r="U54" i="157" s="1"/>
  <c r="T1934" i="157"/>
  <c r="U1934" i="157" s="1"/>
  <c r="T1927" i="157"/>
  <c r="U1927" i="157" s="1"/>
  <c r="T1935" i="157"/>
  <c r="U1935" i="157" s="1"/>
  <c r="T1946" i="157"/>
  <c r="U1946" i="157" s="1"/>
  <c r="T43" i="157"/>
  <c r="U43" i="157" s="1"/>
  <c r="T1929" i="157"/>
  <c r="U1929" i="157" s="1"/>
  <c r="T1936" i="157"/>
  <c r="U1936" i="157" s="1"/>
  <c r="T1942" i="157"/>
  <c r="U1942" i="157" s="1"/>
  <c r="T1931" i="157"/>
  <c r="U1931" i="157" s="1"/>
  <c r="T55" i="157"/>
  <c r="U55" i="157" s="1"/>
  <c r="T1937" i="157"/>
  <c r="U1937" i="157" s="1"/>
  <c r="T1938" i="157"/>
  <c r="U1938" i="157" s="1"/>
  <c r="T1932" i="157"/>
  <c r="U1932" i="157" s="1"/>
  <c r="T1930" i="157"/>
  <c r="U1930" i="157" s="1"/>
  <c r="T15" i="157"/>
  <c r="U15" i="157" s="1"/>
  <c r="T1924" i="157"/>
  <c r="U1924" i="157" s="1"/>
  <c r="T1916" i="157"/>
  <c r="U1916" i="157" s="1"/>
  <c r="T1925" i="157"/>
  <c r="U1925" i="157" s="1"/>
  <c r="T1926" i="157"/>
  <c r="U1926" i="157" s="1"/>
  <c r="T16" i="157"/>
  <c r="U16" i="157" s="1"/>
  <c r="T1917" i="157"/>
  <c r="U1917" i="157" s="1"/>
  <c r="T1923" i="157"/>
  <c r="U1923" i="157" s="1"/>
  <c r="T1918" i="157"/>
  <c r="U1918" i="157" s="1"/>
  <c r="T1919" i="157"/>
  <c r="U1919" i="157" s="1"/>
  <c r="T28" i="157"/>
  <c r="U28" i="157" s="1"/>
  <c r="T24" i="157"/>
  <c r="U24" i="157" s="1"/>
  <c r="T1920" i="157"/>
  <c r="U1920" i="157" s="1"/>
  <c r="T1921" i="157"/>
  <c r="U1921" i="157" s="1"/>
  <c r="T1922" i="157"/>
  <c r="U1922" i="157" s="1"/>
  <c r="T1948" i="157"/>
  <c r="U1948" i="157" s="1"/>
  <c r="T1981" i="157"/>
  <c r="U1981" i="157" s="1"/>
  <c r="T18" i="157"/>
  <c r="U18" i="157" s="1"/>
  <c r="T19" i="157"/>
  <c r="U19" i="157" s="1"/>
  <c r="T20" i="157"/>
  <c r="U20" i="157" s="1"/>
  <c r="T21" i="157"/>
  <c r="U21" i="157" s="1"/>
  <c r="T22" i="157"/>
  <c r="U22" i="157" s="1"/>
  <c r="V301" i="157"/>
  <c r="V198" i="157"/>
  <c r="V186" i="157"/>
  <c r="V58" i="157"/>
  <c r="V1958" i="157"/>
  <c r="V27" i="157"/>
  <c r="V36" i="157"/>
  <c r="V37" i="157"/>
  <c r="V56" i="157"/>
  <c r="V53" i="157"/>
  <c r="V26" i="157"/>
  <c r="V1963" i="157"/>
  <c r="V49" i="157"/>
  <c r="V52" i="157"/>
  <c r="V63" i="157"/>
  <c r="V46" i="157"/>
  <c r="V47" i="157"/>
  <c r="V44" i="157"/>
  <c r="V1939" i="157"/>
  <c r="V1940" i="157"/>
  <c r="V1949" i="157"/>
  <c r="V38" i="157"/>
  <c r="V81" i="157"/>
  <c r="V32" i="157"/>
  <c r="V1943" i="157"/>
  <c r="V1947" i="157"/>
  <c r="V1944" i="157"/>
  <c r="V1941" i="157"/>
  <c r="V1955" i="157"/>
  <c r="V31" i="157"/>
  <c r="V29" i="157"/>
  <c r="V1933" i="157"/>
  <c r="V33" i="157"/>
  <c r="V34" i="157"/>
  <c r="V39" i="157"/>
  <c r="V40" i="157"/>
  <c r="V1928" i="157"/>
  <c r="V7" i="157"/>
  <c r="V1945" i="157"/>
  <c r="V54" i="157"/>
  <c r="V1934" i="157"/>
  <c r="V1927" i="157"/>
  <c r="V1935" i="157"/>
  <c r="V1946" i="157"/>
  <c r="V43" i="157"/>
  <c r="V1929" i="157"/>
  <c r="V1936" i="157"/>
  <c r="V1942" i="157"/>
  <c r="V1931" i="157"/>
  <c r="V55" i="157"/>
  <c r="V1937" i="157"/>
  <c r="V1938" i="157"/>
  <c r="V1932" i="157"/>
  <c r="V1930" i="157"/>
  <c r="V15" i="157"/>
  <c r="V1924" i="157"/>
  <c r="V1916" i="157"/>
  <c r="V1925" i="157"/>
  <c r="V1926" i="157"/>
  <c r="V16" i="157"/>
  <c r="V1917" i="157"/>
  <c r="V1923" i="157"/>
  <c r="V1918" i="157"/>
  <c r="V1919" i="157"/>
  <c r="V28" i="157"/>
  <c r="V24" i="157"/>
  <c r="V1920" i="157"/>
  <c r="V1921" i="157"/>
  <c r="V1922" i="157"/>
  <c r="V1948" i="157"/>
  <c r="V1981" i="157"/>
  <c r="V18" i="157"/>
  <c r="V19" i="157"/>
  <c r="V20" i="157"/>
  <c r="V21" i="157"/>
  <c r="V22" i="157"/>
  <c r="AH28" i="16"/>
  <c r="AH22" i="16"/>
  <c r="AH20" i="16"/>
  <c r="V51" i="15"/>
  <c r="V52" i="15"/>
  <c r="V53" i="15"/>
  <c r="V35" i="15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7" i="6"/>
  <c r="E1018" i="6"/>
  <c r="E1020" i="6"/>
  <c r="E1021" i="6"/>
  <c r="E1022" i="6"/>
  <c r="E1023" i="6"/>
  <c r="E1024" i="6"/>
  <c r="E1025" i="6"/>
  <c r="E1026" i="6"/>
  <c r="E1027" i="6"/>
  <c r="E1029" i="6"/>
  <c r="E1030" i="6"/>
  <c r="E1031" i="6"/>
  <c r="E1032" i="6"/>
  <c r="E1033" i="6"/>
  <c r="E1034" i="6"/>
  <c r="E1035" i="6"/>
  <c r="E1036" i="6"/>
  <c r="E1037" i="6"/>
  <c r="E1038" i="6"/>
  <c r="E1040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8" i="6"/>
  <c r="E1059" i="6"/>
  <c r="E1061" i="6"/>
  <c r="E1062" i="6"/>
  <c r="E1063" i="6"/>
  <c r="E1065" i="6"/>
  <c r="E1066" i="6"/>
  <c r="E1067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4" i="6"/>
  <c r="E1095" i="6"/>
  <c r="E1097" i="6"/>
  <c r="E1099" i="6"/>
  <c r="E1100" i="6"/>
  <c r="E1101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D606" i="1" l="1"/>
  <c r="P260" i="1"/>
  <c r="Q260" i="1" s="1"/>
  <c r="R260" i="1" s="1"/>
  <c r="D391" i="1" s="1"/>
  <c r="P1620" i="1"/>
  <c r="Q1620" i="1" s="1"/>
  <c r="R1620" i="1" s="1"/>
  <c r="D1620" i="1" s="1"/>
  <c r="P2078" i="1"/>
  <c r="Q2078" i="1" s="1"/>
  <c r="R2078" i="1" s="1"/>
  <c r="X154" i="1"/>
  <c r="X1046" i="1"/>
  <c r="P1046" i="1" s="1"/>
  <c r="Q1046" i="1" s="1"/>
  <c r="R1046" i="1" s="1"/>
  <c r="D1844" i="1" s="1"/>
  <c r="X1844" i="1"/>
  <c r="P1844" i="1" s="1"/>
  <c r="Q1844" i="1" s="1"/>
  <c r="R1844" i="1" s="1"/>
  <c r="X142" i="1"/>
  <c r="P142" i="1" s="1"/>
  <c r="Q142" i="1" s="1"/>
  <c r="R142" i="1" s="1"/>
  <c r="P154" i="1"/>
  <c r="Q154" i="1" s="1"/>
  <c r="R154" i="1" s="1"/>
  <c r="D154" i="1" s="1"/>
  <c r="W1918" i="157"/>
  <c r="W1924" i="157"/>
  <c r="W1942" i="157"/>
  <c r="W54" i="157"/>
  <c r="W32" i="157"/>
  <c r="W46" i="157"/>
  <c r="W37" i="157"/>
  <c r="W16" i="157"/>
  <c r="W1941" i="157"/>
  <c r="W1981" i="157"/>
  <c r="W21" i="157"/>
  <c r="W1920" i="157"/>
  <c r="W1926" i="157"/>
  <c r="W15" i="157"/>
  <c r="W1937" i="157"/>
  <c r="W1936" i="157"/>
  <c r="W1935" i="157"/>
  <c r="W1945" i="157"/>
  <c r="W39" i="157"/>
  <c r="W29" i="157"/>
  <c r="W1944" i="157"/>
  <c r="W81" i="157"/>
  <c r="W1939" i="157"/>
  <c r="W63" i="157"/>
  <c r="W26" i="157"/>
  <c r="W36" i="157"/>
  <c r="W186" i="157"/>
  <c r="W1933" i="157"/>
  <c r="W1938" i="157"/>
  <c r="W40" i="157"/>
  <c r="W1940" i="157"/>
  <c r="W58" i="157"/>
  <c r="W22" i="157"/>
  <c r="W1946" i="157"/>
  <c r="W1963" i="157"/>
  <c r="W20" i="157"/>
  <c r="W1948" i="157"/>
  <c r="W24" i="157"/>
  <c r="W1923" i="157"/>
  <c r="W19" i="157"/>
  <c r="W28" i="157"/>
  <c r="W1925" i="157"/>
  <c r="W55" i="157"/>
  <c r="W1927" i="157"/>
  <c r="W34" i="157"/>
  <c r="W1947" i="157"/>
  <c r="W44" i="157"/>
  <c r="W53" i="157"/>
  <c r="W198" i="157"/>
  <c r="W18" i="157"/>
  <c r="W1921" i="157"/>
  <c r="W1919" i="157"/>
  <c r="W1916" i="157"/>
  <c r="W1932" i="157"/>
  <c r="W1931" i="157"/>
  <c r="W43" i="157"/>
  <c r="W1934" i="157"/>
  <c r="W1928" i="157"/>
  <c r="W33" i="157"/>
  <c r="W1955" i="157"/>
  <c r="W1943" i="157"/>
  <c r="W1949" i="157"/>
  <c r="W47" i="157"/>
  <c r="W49" i="157"/>
  <c r="W56" i="157"/>
  <c r="W1958" i="157"/>
  <c r="W301" i="157"/>
  <c r="W1922" i="157"/>
  <c r="W1917" i="157"/>
  <c r="W1930" i="157"/>
  <c r="W1929" i="157"/>
  <c r="W7" i="157"/>
  <c r="W31" i="157"/>
  <c r="W38" i="157"/>
  <c r="W52" i="157"/>
  <c r="W27" i="157"/>
  <c r="A305" i="1"/>
  <c r="C305" i="1"/>
  <c r="B305" i="1" s="1"/>
  <c r="F305" i="1"/>
  <c r="M305" i="1"/>
  <c r="O305" i="1"/>
  <c r="S305" i="1"/>
  <c r="T305" i="1"/>
  <c r="U305" i="1"/>
  <c r="Y305" i="1" s="1"/>
  <c r="V305" i="1"/>
  <c r="W305" i="1" s="1"/>
  <c r="Z305" i="1"/>
  <c r="A183" i="1"/>
  <c r="C183" i="1"/>
  <c r="B183" i="1" s="1"/>
  <c r="F183" i="1"/>
  <c r="M183" i="1"/>
  <c r="O183" i="1"/>
  <c r="S183" i="1"/>
  <c r="U183" i="1"/>
  <c r="Y183" i="1" s="1"/>
  <c r="V183" i="1"/>
  <c r="W183" i="1" s="1"/>
  <c r="Z183" i="1"/>
  <c r="A162" i="1"/>
  <c r="C162" i="1"/>
  <c r="B162" i="1" s="1"/>
  <c r="F162" i="1"/>
  <c r="M162" i="1"/>
  <c r="O162" i="1"/>
  <c r="S162" i="1"/>
  <c r="U162" i="1"/>
  <c r="V162" i="1"/>
  <c r="W162" i="1" s="1"/>
  <c r="Z162" i="1"/>
  <c r="A1471" i="1"/>
  <c r="C1471" i="1"/>
  <c r="B1471" i="1" s="1"/>
  <c r="F1471" i="1"/>
  <c r="M1471" i="1"/>
  <c r="O1471" i="1"/>
  <c r="S1471" i="1"/>
  <c r="U1471" i="1"/>
  <c r="Y1471" i="1" s="1"/>
  <c r="V1471" i="1"/>
  <c r="W1471" i="1" s="1"/>
  <c r="Z1471" i="1"/>
  <c r="A917" i="1"/>
  <c r="C917" i="1"/>
  <c r="B917" i="1" s="1"/>
  <c r="F917" i="1"/>
  <c r="M917" i="1"/>
  <c r="O917" i="1"/>
  <c r="S917" i="1"/>
  <c r="U917" i="1"/>
  <c r="Y917" i="1" s="1"/>
  <c r="V917" i="1"/>
  <c r="W917" i="1" s="1"/>
  <c r="Z917" i="1"/>
  <c r="C1194" i="6"/>
  <c r="B35" i="15"/>
  <c r="N35" i="15"/>
  <c r="O35" i="15"/>
  <c r="P35" i="15"/>
  <c r="Q35" i="15"/>
  <c r="R35" i="15"/>
  <c r="S35" i="15"/>
  <c r="T35" i="15"/>
  <c r="I1193" i="6"/>
  <c r="J1193" i="6"/>
  <c r="I1192" i="6"/>
  <c r="J1192" i="6"/>
  <c r="F1191" i="6"/>
  <c r="I1191" i="6"/>
  <c r="J1191" i="6"/>
  <c r="A1288" i="1"/>
  <c r="C1288" i="1"/>
  <c r="B1288" i="1" s="1"/>
  <c r="F1288" i="1"/>
  <c r="M1288" i="1"/>
  <c r="O1288" i="1"/>
  <c r="U1288" i="1"/>
  <c r="Y1288" i="1" s="1"/>
  <c r="V1288" i="1"/>
  <c r="W1288" i="1" s="1"/>
  <c r="Z1288" i="1"/>
  <c r="A1289" i="1"/>
  <c r="C1289" i="1"/>
  <c r="B1289" i="1" s="1"/>
  <c r="F1289" i="1"/>
  <c r="M1289" i="1"/>
  <c r="O1289" i="1"/>
  <c r="U1289" i="1"/>
  <c r="V1289" i="1"/>
  <c r="W1289" i="1" s="1"/>
  <c r="Z1289" i="1"/>
  <c r="E1194" i="6" l="1"/>
  <c r="F1228" i="6"/>
  <c r="F1194" i="6"/>
  <c r="D260" i="1"/>
  <c r="D163" i="1"/>
  <c r="D168" i="1"/>
  <c r="D142" i="1"/>
  <c r="D1046" i="1"/>
  <c r="J1194" i="6"/>
  <c r="X305" i="1"/>
  <c r="P305" i="1" s="1"/>
  <c r="Q305" i="1" s="1"/>
  <c r="R305" i="1" s="1"/>
  <c r="X162" i="1"/>
  <c r="Y162" i="1"/>
  <c r="X183" i="1"/>
  <c r="P183" i="1" s="1"/>
  <c r="Q183" i="1" s="1"/>
  <c r="R183" i="1" s="1"/>
  <c r="T183" i="1"/>
  <c r="T917" i="1"/>
  <c r="X917" i="1"/>
  <c r="P917" i="1" s="1"/>
  <c r="Q917" i="1" s="1"/>
  <c r="R917" i="1" s="1"/>
  <c r="X1471" i="1"/>
  <c r="P1471" i="1" s="1"/>
  <c r="Q1471" i="1" s="1"/>
  <c r="R1471" i="1" s="1"/>
  <c r="T162" i="1"/>
  <c r="T1471" i="1"/>
  <c r="I1194" i="6"/>
  <c r="T1288" i="1"/>
  <c r="X1288" i="1"/>
  <c r="P1288" i="1" s="1"/>
  <c r="Q1288" i="1" s="1"/>
  <c r="R1288" i="1" s="1"/>
  <c r="T1289" i="1"/>
  <c r="X1289" i="1"/>
  <c r="Y1289" i="1"/>
  <c r="A918" i="1"/>
  <c r="C918" i="1"/>
  <c r="B918" i="1" s="1"/>
  <c r="F918" i="1"/>
  <c r="M918" i="1"/>
  <c r="O918" i="1"/>
  <c r="U918" i="1"/>
  <c r="Y918" i="1" s="1"/>
  <c r="V918" i="1"/>
  <c r="W918" i="1" s="1"/>
  <c r="Z918" i="1"/>
  <c r="A291" i="1"/>
  <c r="C291" i="1"/>
  <c r="B291" i="1" s="1"/>
  <c r="F291" i="1"/>
  <c r="M291" i="1"/>
  <c r="O291" i="1"/>
  <c r="U291" i="1"/>
  <c r="V291" i="1"/>
  <c r="W291" i="1" s="1"/>
  <c r="Z291" i="1"/>
  <c r="A734" i="1"/>
  <c r="C734" i="1"/>
  <c r="B734" i="1" s="1"/>
  <c r="F734" i="1"/>
  <c r="M734" i="1"/>
  <c r="O734" i="1"/>
  <c r="U734" i="1"/>
  <c r="Y734" i="1" s="1"/>
  <c r="V734" i="1"/>
  <c r="W734" i="1" s="1"/>
  <c r="Z734" i="1"/>
  <c r="A693" i="1"/>
  <c r="C693" i="1"/>
  <c r="B693" i="1" s="1"/>
  <c r="F693" i="1"/>
  <c r="M693" i="1"/>
  <c r="O693" i="1"/>
  <c r="T693" i="1"/>
  <c r="U693" i="1"/>
  <c r="Y693" i="1" s="1"/>
  <c r="V693" i="1"/>
  <c r="W693" i="1" s="1"/>
  <c r="Z693" i="1"/>
  <c r="A833" i="1"/>
  <c r="C833" i="1"/>
  <c r="B833" i="1" s="1"/>
  <c r="F833" i="1"/>
  <c r="M833" i="1"/>
  <c r="O833" i="1"/>
  <c r="T833" i="1"/>
  <c r="U833" i="1"/>
  <c r="Y833" i="1" s="1"/>
  <c r="V833" i="1"/>
  <c r="W833" i="1" s="1"/>
  <c r="Z833" i="1"/>
  <c r="A1438" i="1"/>
  <c r="C1438" i="1"/>
  <c r="B1438" i="1" s="1"/>
  <c r="F1438" i="1"/>
  <c r="M1438" i="1"/>
  <c r="O1438" i="1"/>
  <c r="U1438" i="1"/>
  <c r="Y1438" i="1" s="1"/>
  <c r="V1438" i="1"/>
  <c r="W1438" i="1" s="1"/>
  <c r="Z1438" i="1"/>
  <c r="A1239" i="1"/>
  <c r="C1239" i="1"/>
  <c r="B1239" i="1" s="1"/>
  <c r="F1239" i="1"/>
  <c r="M1239" i="1"/>
  <c r="O1239" i="1"/>
  <c r="U1239" i="1"/>
  <c r="Y1239" i="1" s="1"/>
  <c r="V1239" i="1"/>
  <c r="W1239" i="1" s="1"/>
  <c r="Z1239" i="1"/>
  <c r="A659" i="1"/>
  <c r="C659" i="1"/>
  <c r="B659" i="1" s="1"/>
  <c r="F659" i="1"/>
  <c r="M659" i="1"/>
  <c r="O659" i="1"/>
  <c r="U659" i="1"/>
  <c r="Y659" i="1" s="1"/>
  <c r="V659" i="1"/>
  <c r="W659" i="1" s="1"/>
  <c r="Z659" i="1"/>
  <c r="A1491" i="1"/>
  <c r="C1491" i="1"/>
  <c r="B1491" i="1" s="1"/>
  <c r="F1491" i="1"/>
  <c r="M1491" i="1"/>
  <c r="O1491" i="1"/>
  <c r="U1491" i="1"/>
  <c r="Y1491" i="1" s="1"/>
  <c r="V1491" i="1"/>
  <c r="W1491" i="1" s="1"/>
  <c r="Z1491" i="1"/>
  <c r="A664" i="1"/>
  <c r="C664" i="1"/>
  <c r="B664" i="1" s="1"/>
  <c r="F664" i="1"/>
  <c r="M664" i="1"/>
  <c r="O664" i="1"/>
  <c r="T664" i="1"/>
  <c r="U664" i="1"/>
  <c r="Y664" i="1" s="1"/>
  <c r="V664" i="1"/>
  <c r="W664" i="1" s="1"/>
  <c r="Z664" i="1"/>
  <c r="A1017" i="1"/>
  <c r="C1017" i="1"/>
  <c r="B1017" i="1" s="1"/>
  <c r="F1017" i="1"/>
  <c r="M1017" i="1"/>
  <c r="O1017" i="1"/>
  <c r="T1017" i="1"/>
  <c r="U1017" i="1"/>
  <c r="Y1017" i="1" s="1"/>
  <c r="V1017" i="1"/>
  <c r="W1017" i="1" s="1"/>
  <c r="Z1017" i="1"/>
  <c r="AH13" i="16"/>
  <c r="AH19" i="16"/>
  <c r="AH12" i="16"/>
  <c r="V49" i="15"/>
  <c r="V48" i="15"/>
  <c r="V47" i="15"/>
  <c r="V46" i="15"/>
  <c r="V45" i="15"/>
  <c r="V44" i="15"/>
  <c r="V43" i="15"/>
  <c r="V42" i="15"/>
  <c r="V41" i="15"/>
  <c r="V39" i="15"/>
  <c r="V38" i="15"/>
  <c r="V37" i="15"/>
  <c r="V36" i="15"/>
  <c r="V32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0" i="15"/>
  <c r="V9" i="15"/>
  <c r="V8" i="15"/>
  <c r="V6" i="15"/>
  <c r="V5" i="15"/>
  <c r="V4" i="15"/>
  <c r="V3" i="15"/>
  <c r="V2" i="15"/>
  <c r="F1177" i="6"/>
  <c r="F1178" i="6"/>
  <c r="F1179" i="6"/>
  <c r="F1180" i="6"/>
  <c r="F1181" i="6"/>
  <c r="F1182" i="6"/>
  <c r="F1183" i="6"/>
  <c r="F1185" i="6"/>
  <c r="F1188" i="6"/>
  <c r="F1189" i="6"/>
  <c r="F1190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A720" i="1"/>
  <c r="C720" i="1"/>
  <c r="B720" i="1" s="1"/>
  <c r="F720" i="1"/>
  <c r="M720" i="1"/>
  <c r="O720" i="1"/>
  <c r="U720" i="1"/>
  <c r="Y720" i="1" s="1"/>
  <c r="V720" i="1"/>
  <c r="W720" i="1" s="1"/>
  <c r="Z720" i="1"/>
  <c r="A216" i="1"/>
  <c r="C216" i="1"/>
  <c r="B216" i="1" s="1"/>
  <c r="F216" i="1"/>
  <c r="M216" i="1"/>
  <c r="O216" i="1"/>
  <c r="U216" i="1"/>
  <c r="Y216" i="1" s="1"/>
  <c r="V216" i="1"/>
  <c r="W216" i="1" s="1"/>
  <c r="Z216" i="1"/>
  <c r="A2020" i="1"/>
  <c r="C2020" i="1"/>
  <c r="B2020" i="1" s="1"/>
  <c r="F2020" i="1"/>
  <c r="M2020" i="1"/>
  <c r="O2020" i="1"/>
  <c r="U2020" i="1"/>
  <c r="Y2020" i="1" s="1"/>
  <c r="V2020" i="1"/>
  <c r="W2020" i="1" s="1"/>
  <c r="Z2020" i="1"/>
  <c r="A1216" i="1"/>
  <c r="C1216" i="1"/>
  <c r="B1216" i="1" s="1"/>
  <c r="F1216" i="1"/>
  <c r="M1216" i="1"/>
  <c r="O1216" i="1"/>
  <c r="U1216" i="1"/>
  <c r="V1216" i="1"/>
  <c r="W1216" i="1" s="1"/>
  <c r="Z1216" i="1"/>
  <c r="T734" i="1" l="1"/>
  <c r="P162" i="1"/>
  <c r="Q162" i="1" s="1"/>
  <c r="R162" i="1" s="1"/>
  <c r="D183" i="1"/>
  <c r="D305" i="1"/>
  <c r="D917" i="1"/>
  <c r="D1471" i="1"/>
  <c r="D162" i="1"/>
  <c r="T918" i="1"/>
  <c r="P1289" i="1"/>
  <c r="Q1289" i="1" s="1"/>
  <c r="R1289" i="1" s="1"/>
  <c r="X918" i="1"/>
  <c r="P918" i="1" s="1"/>
  <c r="Q918" i="1" s="1"/>
  <c r="R918" i="1" s="1"/>
  <c r="D918" i="1" s="1"/>
  <c r="X291" i="1"/>
  <c r="X833" i="1"/>
  <c r="P833" i="1" s="1"/>
  <c r="Q833" i="1" s="1"/>
  <c r="R833" i="1" s="1"/>
  <c r="T1239" i="1"/>
  <c r="Y291" i="1"/>
  <c r="T291" i="1"/>
  <c r="X734" i="1"/>
  <c r="P734" i="1" s="1"/>
  <c r="Q734" i="1" s="1"/>
  <c r="R734" i="1" s="1"/>
  <c r="D734" i="1" s="1"/>
  <c r="T1438" i="1"/>
  <c r="X693" i="1"/>
  <c r="P693" i="1" s="1"/>
  <c r="Q693" i="1" s="1"/>
  <c r="R693" i="1" s="1"/>
  <c r="X1438" i="1"/>
  <c r="P1438" i="1" s="1"/>
  <c r="Q1438" i="1" s="1"/>
  <c r="R1438" i="1" s="1"/>
  <c r="D1438" i="1" s="1"/>
  <c r="X1239" i="1"/>
  <c r="P1239" i="1" s="1"/>
  <c r="Q1239" i="1" s="1"/>
  <c r="R1239" i="1" s="1"/>
  <c r="T659" i="1"/>
  <c r="X659" i="1"/>
  <c r="P659" i="1" s="1"/>
  <c r="Q659" i="1" s="1"/>
  <c r="R659" i="1" s="1"/>
  <c r="X1491" i="1"/>
  <c r="P1491" i="1" s="1"/>
  <c r="Q1491" i="1" s="1"/>
  <c r="R1491" i="1" s="1"/>
  <c r="D380" i="1" s="1"/>
  <c r="T1491" i="1"/>
  <c r="X664" i="1"/>
  <c r="P664" i="1" s="1"/>
  <c r="Q664" i="1" s="1"/>
  <c r="R664" i="1" s="1"/>
  <c r="D664" i="1" s="1"/>
  <c r="X1017" i="1"/>
  <c r="P1017" i="1" s="1"/>
  <c r="Q1017" i="1" s="1"/>
  <c r="R1017" i="1" s="1"/>
  <c r="D1017" i="1" s="1"/>
  <c r="T216" i="1"/>
  <c r="T720" i="1"/>
  <c r="T1216" i="1"/>
  <c r="X720" i="1"/>
  <c r="P720" i="1" s="1"/>
  <c r="Q720" i="1" s="1"/>
  <c r="R720" i="1" s="1"/>
  <c r="X216" i="1"/>
  <c r="P216" i="1" s="1"/>
  <c r="Q216" i="1" s="1"/>
  <c r="R216" i="1" s="1"/>
  <c r="X1216" i="1"/>
  <c r="X2020" i="1"/>
  <c r="P2020" i="1" s="1"/>
  <c r="Q2020" i="1" s="1"/>
  <c r="R2020" i="1" s="1"/>
  <c r="D2071" i="1" s="1"/>
  <c r="T2020" i="1"/>
  <c r="Y1216" i="1"/>
  <c r="A624" i="1"/>
  <c r="C624" i="1"/>
  <c r="B624" i="1" s="1"/>
  <c r="F624" i="1"/>
  <c r="M624" i="1"/>
  <c r="O624" i="1"/>
  <c r="U624" i="1"/>
  <c r="Y624" i="1" s="1"/>
  <c r="V624" i="1"/>
  <c r="W624" i="1" s="1"/>
  <c r="Z624" i="1"/>
  <c r="A616" i="1"/>
  <c r="C616" i="1"/>
  <c r="B616" i="1" s="1"/>
  <c r="F616" i="1"/>
  <c r="M616" i="1"/>
  <c r="O616" i="1"/>
  <c r="U616" i="1"/>
  <c r="Y616" i="1" s="1"/>
  <c r="V616" i="1"/>
  <c r="W616" i="1" s="1"/>
  <c r="Z616" i="1"/>
  <c r="A968" i="1"/>
  <c r="C968" i="1"/>
  <c r="B968" i="1" s="1"/>
  <c r="F968" i="1"/>
  <c r="M968" i="1"/>
  <c r="O968" i="1"/>
  <c r="U968" i="1"/>
  <c r="Y968" i="1" s="1"/>
  <c r="V968" i="1"/>
  <c r="W968" i="1" s="1"/>
  <c r="Z968" i="1"/>
  <c r="A529" i="1"/>
  <c r="C529" i="1"/>
  <c r="B529" i="1" s="1"/>
  <c r="F529" i="1"/>
  <c r="M529" i="1"/>
  <c r="O529" i="1"/>
  <c r="U529" i="1"/>
  <c r="Y529" i="1" s="1"/>
  <c r="V529" i="1"/>
  <c r="W529" i="1" s="1"/>
  <c r="Z529" i="1"/>
  <c r="A904" i="1"/>
  <c r="C904" i="1"/>
  <c r="B904" i="1" s="1"/>
  <c r="F904" i="1"/>
  <c r="M904" i="1"/>
  <c r="O904" i="1"/>
  <c r="U904" i="1"/>
  <c r="V904" i="1"/>
  <c r="W904" i="1" s="1"/>
  <c r="Z904" i="1"/>
  <c r="A1036" i="1"/>
  <c r="C1036" i="1"/>
  <c r="B1036" i="1" s="1"/>
  <c r="F1036" i="1"/>
  <c r="M1036" i="1"/>
  <c r="O1036" i="1"/>
  <c r="T1036" i="1"/>
  <c r="U1036" i="1"/>
  <c r="Y1036" i="1" s="1"/>
  <c r="V1036" i="1"/>
  <c r="W1036" i="1" s="1"/>
  <c r="Z1036" i="1"/>
  <c r="A1612" i="1"/>
  <c r="C1612" i="1"/>
  <c r="B1612" i="1" s="1"/>
  <c r="F1612" i="1"/>
  <c r="M1612" i="1"/>
  <c r="O1612" i="1"/>
  <c r="U1612" i="1"/>
  <c r="Y1612" i="1" s="1"/>
  <c r="V1612" i="1"/>
  <c r="W1612" i="1" s="1"/>
  <c r="Z1612" i="1"/>
  <c r="A1242" i="1"/>
  <c r="C1242" i="1"/>
  <c r="B1242" i="1" s="1"/>
  <c r="F1242" i="1"/>
  <c r="M1242" i="1"/>
  <c r="O1242" i="1"/>
  <c r="U1242" i="1"/>
  <c r="Y1242" i="1" s="1"/>
  <c r="V1242" i="1"/>
  <c r="W1242" i="1" s="1"/>
  <c r="Z1242" i="1"/>
  <c r="A513" i="1"/>
  <c r="C513" i="1"/>
  <c r="B513" i="1" s="1"/>
  <c r="F513" i="1"/>
  <c r="M513" i="1"/>
  <c r="O513" i="1"/>
  <c r="U513" i="1"/>
  <c r="Y513" i="1" s="1"/>
  <c r="V513" i="1"/>
  <c r="W513" i="1" s="1"/>
  <c r="Z513" i="1"/>
  <c r="A538" i="1"/>
  <c r="C538" i="1"/>
  <c r="B538" i="1" s="1"/>
  <c r="F538" i="1"/>
  <c r="M538" i="1"/>
  <c r="O538" i="1"/>
  <c r="U538" i="1"/>
  <c r="Y538" i="1" s="1"/>
  <c r="V538" i="1"/>
  <c r="W538" i="1" s="1"/>
  <c r="Z538" i="1"/>
  <c r="A416" i="1"/>
  <c r="C416" i="1"/>
  <c r="B416" i="1" s="1"/>
  <c r="F416" i="1"/>
  <c r="M416" i="1"/>
  <c r="O416" i="1"/>
  <c r="U416" i="1"/>
  <c r="Y416" i="1" s="1"/>
  <c r="V416" i="1"/>
  <c r="W416" i="1" s="1"/>
  <c r="Z416" i="1"/>
  <c r="A1266" i="1"/>
  <c r="C1266" i="1"/>
  <c r="B1266" i="1" s="1"/>
  <c r="F1266" i="1"/>
  <c r="M1266" i="1"/>
  <c r="O1266" i="1"/>
  <c r="U1266" i="1"/>
  <c r="Y1266" i="1" s="1"/>
  <c r="V1266" i="1"/>
  <c r="W1266" i="1" s="1"/>
  <c r="Z1266" i="1"/>
  <c r="A432" i="1"/>
  <c r="C432" i="1"/>
  <c r="B432" i="1" s="1"/>
  <c r="F432" i="1"/>
  <c r="M432" i="1"/>
  <c r="O432" i="1"/>
  <c r="U432" i="1"/>
  <c r="Y432" i="1" s="1"/>
  <c r="V432" i="1"/>
  <c r="W432" i="1" s="1"/>
  <c r="Z432" i="1"/>
  <c r="A1355" i="1"/>
  <c r="C1355" i="1"/>
  <c r="B1355" i="1" s="1"/>
  <c r="F1355" i="1"/>
  <c r="M1355" i="1"/>
  <c r="O1355" i="1"/>
  <c r="U1355" i="1"/>
  <c r="Y1355" i="1" s="1"/>
  <c r="V1355" i="1"/>
  <c r="W1355" i="1" s="1"/>
  <c r="Z1355" i="1"/>
  <c r="A615" i="1"/>
  <c r="C615" i="1"/>
  <c r="B615" i="1" s="1"/>
  <c r="F615" i="1"/>
  <c r="M615" i="1"/>
  <c r="O615" i="1"/>
  <c r="U615" i="1"/>
  <c r="Y615" i="1" s="1"/>
  <c r="V615" i="1"/>
  <c r="W615" i="1" s="1"/>
  <c r="Z615" i="1"/>
  <c r="A1942" i="1"/>
  <c r="C1942" i="1"/>
  <c r="B1942" i="1" s="1"/>
  <c r="F1942" i="1"/>
  <c r="M1942" i="1"/>
  <c r="O1942" i="1"/>
  <c r="U1942" i="1"/>
  <c r="Y1942" i="1" s="1"/>
  <c r="V1942" i="1"/>
  <c r="W1942" i="1" s="1"/>
  <c r="Z1942" i="1"/>
  <c r="A1676" i="1"/>
  <c r="C1676" i="1"/>
  <c r="B1676" i="1" s="1"/>
  <c r="F1676" i="1"/>
  <c r="M1676" i="1"/>
  <c r="O1676" i="1"/>
  <c r="U1676" i="1"/>
  <c r="Y1676" i="1" s="1"/>
  <c r="V1676" i="1"/>
  <c r="W1676" i="1" s="1"/>
  <c r="Z1676" i="1"/>
  <c r="A1530" i="1"/>
  <c r="C1530" i="1"/>
  <c r="B1530" i="1" s="1"/>
  <c r="F1530" i="1"/>
  <c r="M1530" i="1"/>
  <c r="O1530" i="1"/>
  <c r="U1530" i="1"/>
  <c r="Y1530" i="1" s="1"/>
  <c r="V1530" i="1"/>
  <c r="W1530" i="1" s="1"/>
  <c r="Z1530" i="1"/>
  <c r="F1171" i="6"/>
  <c r="F1172" i="6"/>
  <c r="F1173" i="6"/>
  <c r="F1174" i="6"/>
  <c r="F1175" i="6"/>
  <c r="F1176" i="6"/>
  <c r="I1171" i="6"/>
  <c r="I1172" i="6"/>
  <c r="I1173" i="6"/>
  <c r="I1174" i="6"/>
  <c r="I1175" i="6"/>
  <c r="I1176" i="6"/>
  <c r="J1171" i="6"/>
  <c r="J1172" i="6"/>
  <c r="J1173" i="6"/>
  <c r="J1174" i="6"/>
  <c r="J1175" i="6"/>
  <c r="J1176" i="6"/>
  <c r="A594" i="1"/>
  <c r="C594" i="1"/>
  <c r="B594" i="1" s="1"/>
  <c r="F594" i="1"/>
  <c r="M594" i="1"/>
  <c r="O594" i="1"/>
  <c r="U594" i="1"/>
  <c r="V594" i="1"/>
  <c r="W594" i="1" s="1"/>
  <c r="Z594" i="1"/>
  <c r="A1700" i="1"/>
  <c r="C1700" i="1"/>
  <c r="B1700" i="1" s="1"/>
  <c r="F1700" i="1"/>
  <c r="M1700" i="1"/>
  <c r="O1700" i="1"/>
  <c r="T1700" i="1"/>
  <c r="U1700" i="1"/>
  <c r="Y1700" i="1" s="1"/>
  <c r="V1700" i="1"/>
  <c r="W1700" i="1" s="1"/>
  <c r="Z1700" i="1"/>
  <c r="A1951" i="1"/>
  <c r="C1951" i="1"/>
  <c r="B1951" i="1" s="1"/>
  <c r="F1951" i="1"/>
  <c r="M1951" i="1"/>
  <c r="O1951" i="1"/>
  <c r="T1951" i="1"/>
  <c r="U1951" i="1"/>
  <c r="V1951" i="1"/>
  <c r="W1951" i="1" s="1"/>
  <c r="Z1951" i="1"/>
  <c r="A188" i="1"/>
  <c r="A204" i="1"/>
  <c r="C188" i="1"/>
  <c r="B188" i="1" s="1"/>
  <c r="C204" i="1"/>
  <c r="B204" i="1" s="1"/>
  <c r="F188" i="1"/>
  <c r="F204" i="1"/>
  <c r="M188" i="1"/>
  <c r="M204" i="1"/>
  <c r="O188" i="1"/>
  <c r="O204" i="1"/>
  <c r="T204" i="1"/>
  <c r="U188" i="1"/>
  <c r="Y188" i="1" s="1"/>
  <c r="U204" i="1"/>
  <c r="Y204" i="1" s="1"/>
  <c r="V188" i="1"/>
  <c r="W188" i="1" s="1"/>
  <c r="V204" i="1"/>
  <c r="W204" i="1" s="1"/>
  <c r="Z188" i="1"/>
  <c r="Z204" i="1"/>
  <c r="A1126" i="1"/>
  <c r="C1126" i="1"/>
  <c r="B1126" i="1" s="1"/>
  <c r="F1126" i="1"/>
  <c r="M1126" i="1"/>
  <c r="O1126" i="1"/>
  <c r="T1126" i="1"/>
  <c r="U1126" i="1"/>
  <c r="Y1126" i="1" s="1"/>
  <c r="V1126" i="1"/>
  <c r="W1126" i="1" s="1"/>
  <c r="Z1126" i="1"/>
  <c r="A1506" i="1"/>
  <c r="C1506" i="1"/>
  <c r="B1506" i="1" s="1"/>
  <c r="F1506" i="1"/>
  <c r="M1506" i="1"/>
  <c r="O1506" i="1"/>
  <c r="U1506" i="1"/>
  <c r="Y1506" i="1" s="1"/>
  <c r="V1506" i="1"/>
  <c r="W1506" i="1" s="1"/>
  <c r="Z1506" i="1"/>
  <c r="A566" i="1"/>
  <c r="C566" i="1"/>
  <c r="B566" i="1" s="1"/>
  <c r="F566" i="1"/>
  <c r="M566" i="1"/>
  <c r="O566" i="1"/>
  <c r="U566" i="1"/>
  <c r="Y566" i="1" s="1"/>
  <c r="V566" i="1"/>
  <c r="W566" i="1" s="1"/>
  <c r="Z566" i="1"/>
  <c r="A40" i="1"/>
  <c r="C40" i="1"/>
  <c r="B40" i="1" s="1"/>
  <c r="F40" i="1"/>
  <c r="O40" i="1"/>
  <c r="U40" i="1"/>
  <c r="Y40" i="1" s="1"/>
  <c r="V40" i="1"/>
  <c r="W40" i="1" s="1"/>
  <c r="Z40" i="1"/>
  <c r="A1634" i="1"/>
  <c r="C1634" i="1"/>
  <c r="B1634" i="1" s="1"/>
  <c r="F1634" i="1"/>
  <c r="M1634" i="1"/>
  <c r="O1634" i="1"/>
  <c r="U1634" i="1"/>
  <c r="Y1634" i="1" s="1"/>
  <c r="V1634" i="1"/>
  <c r="W1634" i="1" s="1"/>
  <c r="Z1634" i="1"/>
  <c r="A2031" i="1"/>
  <c r="C2031" i="1"/>
  <c r="B2031" i="1" s="1"/>
  <c r="F2031" i="1"/>
  <c r="M2031" i="1"/>
  <c r="O2031" i="1"/>
  <c r="U2031" i="1"/>
  <c r="Y2031" i="1" s="1"/>
  <c r="V2031" i="1"/>
  <c r="W2031" i="1" s="1"/>
  <c r="Z2031" i="1"/>
  <c r="A450" i="1"/>
  <c r="C450" i="1"/>
  <c r="B450" i="1" s="1"/>
  <c r="F450" i="1"/>
  <c r="M450" i="1"/>
  <c r="O450" i="1"/>
  <c r="U450" i="1"/>
  <c r="Y450" i="1" s="1"/>
  <c r="V450" i="1"/>
  <c r="W450" i="1" s="1"/>
  <c r="Z450" i="1"/>
  <c r="A646" i="1"/>
  <c r="C646" i="1"/>
  <c r="B646" i="1" s="1"/>
  <c r="F646" i="1"/>
  <c r="M646" i="1"/>
  <c r="O646" i="1"/>
  <c r="U646" i="1"/>
  <c r="Y646" i="1" s="1"/>
  <c r="V646" i="1"/>
  <c r="W646" i="1" s="1"/>
  <c r="Z646" i="1"/>
  <c r="A1966" i="1"/>
  <c r="C1966" i="1"/>
  <c r="B1966" i="1" s="1"/>
  <c r="F1966" i="1"/>
  <c r="M1966" i="1"/>
  <c r="O1966" i="1"/>
  <c r="U1966" i="1"/>
  <c r="Y1966" i="1" s="1"/>
  <c r="V1966" i="1"/>
  <c r="W1966" i="1" s="1"/>
  <c r="Z1966" i="1"/>
  <c r="A897" i="1"/>
  <c r="C897" i="1"/>
  <c r="B897" i="1" s="1"/>
  <c r="F897" i="1"/>
  <c r="M897" i="1"/>
  <c r="O897" i="1"/>
  <c r="U897" i="1"/>
  <c r="Y897" i="1" s="1"/>
  <c r="V897" i="1"/>
  <c r="W897" i="1" s="1"/>
  <c r="Z897" i="1"/>
  <c r="A482" i="1"/>
  <c r="C482" i="1"/>
  <c r="B482" i="1" s="1"/>
  <c r="F482" i="1"/>
  <c r="M482" i="1"/>
  <c r="O482" i="1"/>
  <c r="T482" i="1"/>
  <c r="U482" i="1"/>
  <c r="Y482" i="1" s="1"/>
  <c r="V482" i="1"/>
  <c r="W482" i="1" s="1"/>
  <c r="Z482" i="1"/>
  <c r="A68" i="1"/>
  <c r="C68" i="1"/>
  <c r="B68" i="1" s="1"/>
  <c r="F68" i="1"/>
  <c r="M68" i="1"/>
  <c r="O68" i="1"/>
  <c r="U68" i="1"/>
  <c r="Y68" i="1" s="1"/>
  <c r="V68" i="1"/>
  <c r="W68" i="1" s="1"/>
  <c r="Z68" i="1"/>
  <c r="A542" i="1"/>
  <c r="C542" i="1"/>
  <c r="B542" i="1" s="1"/>
  <c r="F542" i="1"/>
  <c r="M542" i="1"/>
  <c r="O542" i="1"/>
  <c r="U542" i="1"/>
  <c r="Y542" i="1" s="1"/>
  <c r="V542" i="1"/>
  <c r="W542" i="1" s="1"/>
  <c r="Z542" i="1"/>
  <c r="A129" i="1"/>
  <c r="C129" i="1"/>
  <c r="B129" i="1" s="1"/>
  <c r="F129" i="1"/>
  <c r="M129" i="1"/>
  <c r="O129" i="1"/>
  <c r="U129" i="1"/>
  <c r="Y129" i="1" s="1"/>
  <c r="V129" i="1"/>
  <c r="W129" i="1" s="1"/>
  <c r="Z129" i="1"/>
  <c r="A1263" i="1"/>
  <c r="C1263" i="1"/>
  <c r="B1263" i="1" s="1"/>
  <c r="F1263" i="1"/>
  <c r="M1263" i="1"/>
  <c r="O1263" i="1"/>
  <c r="T1263" i="1"/>
  <c r="U1263" i="1"/>
  <c r="Y1263" i="1" s="1"/>
  <c r="V1263" i="1"/>
  <c r="W1263" i="1" s="1"/>
  <c r="Z1263" i="1"/>
  <c r="A1411" i="1"/>
  <c r="C1411" i="1"/>
  <c r="B1411" i="1" s="1"/>
  <c r="F1411" i="1"/>
  <c r="M1411" i="1"/>
  <c r="O1411" i="1"/>
  <c r="T1411" i="1"/>
  <c r="U1411" i="1"/>
  <c r="Y1411" i="1" s="1"/>
  <c r="V1411" i="1"/>
  <c r="W1411" i="1" s="1"/>
  <c r="Z1411" i="1"/>
  <c r="F1170" i="6"/>
  <c r="I1170" i="6"/>
  <c r="J1170" i="6"/>
  <c r="F1169" i="6"/>
  <c r="I1169" i="6"/>
  <c r="J1169" i="6"/>
  <c r="I1168" i="6"/>
  <c r="J1168" i="6"/>
  <c r="F1167" i="6"/>
  <c r="I1167" i="6"/>
  <c r="J1167" i="6"/>
  <c r="F1166" i="6"/>
  <c r="I1166" i="6"/>
  <c r="J1166" i="6"/>
  <c r="F1165" i="6"/>
  <c r="I1165" i="6"/>
  <c r="I1164" i="6"/>
  <c r="J1164" i="6"/>
  <c r="A1045" i="1"/>
  <c r="C1045" i="1"/>
  <c r="B1045" i="1" s="1"/>
  <c r="D1045" i="1"/>
  <c r="F1045" i="1"/>
  <c r="M1045" i="1"/>
  <c r="O1045" i="1"/>
  <c r="S1045" i="1"/>
  <c r="T1045" i="1"/>
  <c r="U1045" i="1"/>
  <c r="V1045" i="1"/>
  <c r="W1045" i="1" s="1"/>
  <c r="Z1045" i="1"/>
  <c r="A1843" i="1"/>
  <c r="C1843" i="1"/>
  <c r="B1843" i="1" s="1"/>
  <c r="F1843" i="1"/>
  <c r="M1843" i="1"/>
  <c r="O1843" i="1"/>
  <c r="U1843" i="1"/>
  <c r="Y1843" i="1" s="1"/>
  <c r="V1843" i="1"/>
  <c r="W1843" i="1" s="1"/>
  <c r="Z1843" i="1"/>
  <c r="I5" i="109"/>
  <c r="J5" i="109" s="1"/>
  <c r="F1163" i="6"/>
  <c r="I1163" i="6"/>
  <c r="J1163" i="6"/>
  <c r="A1351" i="1"/>
  <c r="C1351" i="1"/>
  <c r="B1351" i="1" s="1"/>
  <c r="F1351" i="1"/>
  <c r="M1351" i="1"/>
  <c r="T1351" i="1"/>
  <c r="U1351" i="1"/>
  <c r="V1351" i="1"/>
  <c r="W1351" i="1" s="1"/>
  <c r="Z1351" i="1"/>
  <c r="C1161" i="6"/>
  <c r="E1161" i="6" s="1"/>
  <c r="F1162" i="6"/>
  <c r="I1162" i="6"/>
  <c r="J1162" i="6"/>
  <c r="F1160" i="6"/>
  <c r="I1160" i="6"/>
  <c r="J1160" i="6"/>
  <c r="F1159" i="6"/>
  <c r="I1159" i="6"/>
  <c r="J1159" i="6"/>
  <c r="A478" i="1"/>
  <c r="C478" i="1"/>
  <c r="B478" i="1" s="1"/>
  <c r="F478" i="1"/>
  <c r="M478" i="1"/>
  <c r="S478" i="1"/>
  <c r="T478" i="1"/>
  <c r="U478" i="1"/>
  <c r="Y478" i="1" s="1"/>
  <c r="V478" i="1"/>
  <c r="W478" i="1" s="1"/>
  <c r="Z478" i="1"/>
  <c r="F1158" i="6"/>
  <c r="I1158" i="6"/>
  <c r="J1158" i="6"/>
  <c r="A1025" i="1"/>
  <c r="C1025" i="1"/>
  <c r="B1025" i="1" s="1"/>
  <c r="F1025" i="1"/>
  <c r="M1025" i="1"/>
  <c r="O1025" i="1"/>
  <c r="T1025" i="1"/>
  <c r="U1025" i="1"/>
  <c r="V1025" i="1"/>
  <c r="W1025" i="1" s="1"/>
  <c r="Z1025" i="1"/>
  <c r="D822" i="1" l="1"/>
  <c r="D1484" i="1"/>
  <c r="D659" i="1"/>
  <c r="D1386" i="1"/>
  <c r="P291" i="1"/>
  <c r="Q291" i="1" s="1"/>
  <c r="R291" i="1" s="1"/>
  <c r="D1491" i="1"/>
  <c r="D693" i="1"/>
  <c r="T616" i="1"/>
  <c r="T513" i="1"/>
  <c r="T904" i="1"/>
  <c r="T624" i="1"/>
  <c r="P1216" i="1"/>
  <c r="Q1216" i="1" s="1"/>
  <c r="R1216" i="1" s="1"/>
  <c r="X624" i="1"/>
  <c r="P624" i="1" s="1"/>
  <c r="Q624" i="1" s="1"/>
  <c r="R624" i="1" s="1"/>
  <c r="D624" i="1" s="1"/>
  <c r="X1036" i="1"/>
  <c r="P1036" i="1" s="1"/>
  <c r="Q1036" i="1" s="1"/>
  <c r="R1036" i="1" s="1"/>
  <c r="D1036" i="1" s="1"/>
  <c r="X616" i="1"/>
  <c r="P616" i="1" s="1"/>
  <c r="Q616" i="1" s="1"/>
  <c r="R616" i="1" s="1"/>
  <c r="T968" i="1"/>
  <c r="X968" i="1"/>
  <c r="P968" i="1" s="1"/>
  <c r="Q968" i="1" s="1"/>
  <c r="R968" i="1" s="1"/>
  <c r="T529" i="1"/>
  <c r="X529" i="1"/>
  <c r="P529" i="1" s="1"/>
  <c r="Q529" i="1" s="1"/>
  <c r="R529" i="1" s="1"/>
  <c r="X904" i="1"/>
  <c r="Y904" i="1"/>
  <c r="T1676" i="1"/>
  <c r="T1612" i="1"/>
  <c r="T1355" i="1"/>
  <c r="T432" i="1"/>
  <c r="T1266" i="1"/>
  <c r="X1612" i="1"/>
  <c r="P1612" i="1" s="1"/>
  <c r="Q1612" i="1" s="1"/>
  <c r="R1612" i="1" s="1"/>
  <c r="T1942" i="1"/>
  <c r="T538" i="1"/>
  <c r="T1530" i="1"/>
  <c r="T1242" i="1"/>
  <c r="X1242" i="1"/>
  <c r="P1242" i="1" s="1"/>
  <c r="Q1242" i="1" s="1"/>
  <c r="R1242" i="1" s="1"/>
  <c r="X513" i="1"/>
  <c r="P513" i="1" s="1"/>
  <c r="Q513" i="1" s="1"/>
  <c r="R513" i="1" s="1"/>
  <c r="X538" i="1"/>
  <c r="P538" i="1" s="1"/>
  <c r="Q538" i="1" s="1"/>
  <c r="R538" i="1" s="1"/>
  <c r="X416" i="1"/>
  <c r="P416" i="1" s="1"/>
  <c r="Q416" i="1" s="1"/>
  <c r="R416" i="1" s="1"/>
  <c r="D416" i="1" s="1"/>
  <c r="T416" i="1"/>
  <c r="X1266" i="1"/>
  <c r="P1266" i="1" s="1"/>
  <c r="Q1266" i="1" s="1"/>
  <c r="R1266" i="1" s="1"/>
  <c r="X432" i="1"/>
  <c r="P432" i="1" s="1"/>
  <c r="Q432" i="1" s="1"/>
  <c r="R432" i="1" s="1"/>
  <c r="X1355" i="1"/>
  <c r="P1355" i="1" s="1"/>
  <c r="Q1355" i="1" s="1"/>
  <c r="R1355" i="1" s="1"/>
  <c r="D1355" i="1" s="1"/>
  <c r="T615" i="1"/>
  <c r="X615" i="1"/>
  <c r="P615" i="1" s="1"/>
  <c r="Q615" i="1" s="1"/>
  <c r="R615" i="1" s="1"/>
  <c r="D615" i="1" s="1"/>
  <c r="X1676" i="1"/>
  <c r="P1676" i="1" s="1"/>
  <c r="Q1676" i="1" s="1"/>
  <c r="R1676" i="1" s="1"/>
  <c r="D1676" i="1" s="1"/>
  <c r="X1942" i="1"/>
  <c r="P1942" i="1" s="1"/>
  <c r="Q1942" i="1" s="1"/>
  <c r="R1942" i="1" s="1"/>
  <c r="X594" i="1"/>
  <c r="X1530" i="1"/>
  <c r="P1530" i="1" s="1"/>
  <c r="Q1530" i="1" s="1"/>
  <c r="R1530" i="1" s="1"/>
  <c r="D1530" i="1" s="1"/>
  <c r="T594" i="1"/>
  <c r="Y594" i="1"/>
  <c r="X1700" i="1"/>
  <c r="P1700" i="1" s="1"/>
  <c r="Q1700" i="1" s="1"/>
  <c r="R1700" i="1" s="1"/>
  <c r="D1700" i="1" s="1"/>
  <c r="X1951" i="1"/>
  <c r="Y1951" i="1"/>
  <c r="X188" i="1"/>
  <c r="P188" i="1" s="1"/>
  <c r="Q188" i="1" s="1"/>
  <c r="R188" i="1" s="1"/>
  <c r="T188" i="1"/>
  <c r="X204" i="1"/>
  <c r="P204" i="1" s="1"/>
  <c r="Q204" i="1" s="1"/>
  <c r="R204" i="1" s="1"/>
  <c r="T1506" i="1"/>
  <c r="X1126" i="1"/>
  <c r="P1126" i="1" s="1"/>
  <c r="Q1126" i="1" s="1"/>
  <c r="R1126" i="1" s="1"/>
  <c r="D1126" i="1" s="1"/>
  <c r="T566" i="1"/>
  <c r="X1506" i="1"/>
  <c r="P1506" i="1" s="1"/>
  <c r="Q1506" i="1" s="1"/>
  <c r="R1506" i="1" s="1"/>
  <c r="D1506" i="1" s="1"/>
  <c r="T1966" i="1"/>
  <c r="T1634" i="1"/>
  <c r="T897" i="1"/>
  <c r="T450" i="1"/>
  <c r="X566" i="1"/>
  <c r="P566" i="1" s="1"/>
  <c r="Q566" i="1" s="1"/>
  <c r="R566" i="1" s="1"/>
  <c r="D566" i="1" s="1"/>
  <c r="T2031" i="1"/>
  <c r="X2031" i="1"/>
  <c r="P2031" i="1" s="1"/>
  <c r="Q2031" i="1" s="1"/>
  <c r="R2031" i="1" s="1"/>
  <c r="T40" i="1"/>
  <c r="X40" i="1"/>
  <c r="P40" i="1" s="1"/>
  <c r="Q40" i="1" s="1"/>
  <c r="R40" i="1" s="1"/>
  <c r="X1634" i="1"/>
  <c r="P1634" i="1" s="1"/>
  <c r="Q1634" i="1" s="1"/>
  <c r="R1634" i="1" s="1"/>
  <c r="X450" i="1"/>
  <c r="P450" i="1" s="1"/>
  <c r="Q450" i="1" s="1"/>
  <c r="R450" i="1" s="1"/>
  <c r="X1966" i="1"/>
  <c r="P1966" i="1" s="1"/>
  <c r="Q1966" i="1" s="1"/>
  <c r="R1966" i="1" s="1"/>
  <c r="X646" i="1"/>
  <c r="P646" i="1" s="1"/>
  <c r="Q646" i="1" s="1"/>
  <c r="R646" i="1" s="1"/>
  <c r="D1179" i="1" s="1"/>
  <c r="T646" i="1"/>
  <c r="X897" i="1"/>
  <c r="P897" i="1" s="1"/>
  <c r="Q897" i="1" s="1"/>
  <c r="R897" i="1" s="1"/>
  <c r="D897" i="1" s="1"/>
  <c r="X482" i="1"/>
  <c r="P482" i="1" s="1"/>
  <c r="Q482" i="1" s="1"/>
  <c r="R482" i="1" s="1"/>
  <c r="D482" i="1" s="1"/>
  <c r="T68" i="1"/>
  <c r="X68" i="1"/>
  <c r="P68" i="1" s="1"/>
  <c r="Q68" i="1" s="1"/>
  <c r="R68" i="1" s="1"/>
  <c r="D68" i="1" s="1"/>
  <c r="T542" i="1"/>
  <c r="X542" i="1"/>
  <c r="P542" i="1" s="1"/>
  <c r="Q542" i="1" s="1"/>
  <c r="R542" i="1" s="1"/>
  <c r="T129" i="1"/>
  <c r="X129" i="1"/>
  <c r="P129" i="1" s="1"/>
  <c r="Q129" i="1" s="1"/>
  <c r="R129" i="1" s="1"/>
  <c r="X1263" i="1"/>
  <c r="P1263" i="1" s="1"/>
  <c r="Q1263" i="1" s="1"/>
  <c r="R1263" i="1" s="1"/>
  <c r="D1263" i="1" s="1"/>
  <c r="X1411" i="1"/>
  <c r="P1411" i="1" s="1"/>
  <c r="Q1411" i="1" s="1"/>
  <c r="R1411" i="1" s="1"/>
  <c r="J1165" i="6"/>
  <c r="X1045" i="1"/>
  <c r="Y1045" i="1"/>
  <c r="T1843" i="1"/>
  <c r="X1843" i="1"/>
  <c r="P1843" i="1" s="1"/>
  <c r="Q1843" i="1" s="1"/>
  <c r="R1843" i="1" s="1"/>
  <c r="D1843" i="1" s="1"/>
  <c r="I6" i="109"/>
  <c r="J6" i="109" s="1"/>
  <c r="X1351" i="1"/>
  <c r="Y1351" i="1"/>
  <c r="X478" i="1"/>
  <c r="P478" i="1" s="1"/>
  <c r="Q478" i="1" s="1"/>
  <c r="R478" i="1" s="1"/>
  <c r="X1025" i="1"/>
  <c r="Y1025" i="1"/>
  <c r="D383" i="1" l="1"/>
  <c r="D708" i="1"/>
  <c r="D571" i="1"/>
  <c r="D169" i="1"/>
  <c r="D1436" i="1"/>
  <c r="D2056" i="1"/>
  <c r="D1928" i="1"/>
  <c r="D877" i="1"/>
  <c r="D843" i="1"/>
  <c r="D1242" i="1"/>
  <c r="D828" i="1"/>
  <c r="D1960" i="1"/>
  <c r="D1942" i="1"/>
  <c r="D833" i="1"/>
  <c r="P904" i="1"/>
  <c r="Q904" i="1" s="1"/>
  <c r="R904" i="1" s="1"/>
  <c r="D432" i="1"/>
  <c r="D1411" i="1"/>
  <c r="P594" i="1"/>
  <c r="Q594" i="1" s="1"/>
  <c r="R594" i="1" s="1"/>
  <c r="D513" i="1" s="1"/>
  <c r="P1951" i="1"/>
  <c r="Q1951" i="1" s="1"/>
  <c r="R1951" i="1" s="1"/>
  <c r="D1951" i="1" s="1"/>
  <c r="P1045" i="1"/>
  <c r="Q1045" i="1" s="1"/>
  <c r="R1045" i="1" s="1"/>
  <c r="P1351" i="1"/>
  <c r="Q1351" i="1" s="1"/>
  <c r="R1351" i="1" s="1"/>
  <c r="D1351" i="1" s="1"/>
  <c r="P1025" i="1"/>
  <c r="Q1025" i="1" s="1"/>
  <c r="R1025" i="1" s="1"/>
  <c r="D1025" i="1" s="1"/>
  <c r="A357" i="1"/>
  <c r="C357" i="1"/>
  <c r="B357" i="1" s="1"/>
  <c r="F357" i="1"/>
  <c r="M357" i="1"/>
  <c r="O357" i="1"/>
  <c r="T357" i="1"/>
  <c r="U357" i="1"/>
  <c r="Y357" i="1" s="1"/>
  <c r="V357" i="1"/>
  <c r="W357" i="1" s="1"/>
  <c r="Z357" i="1"/>
  <c r="A499" i="1"/>
  <c r="C499" i="1"/>
  <c r="B499" i="1" s="1"/>
  <c r="F499" i="1"/>
  <c r="M499" i="1"/>
  <c r="O499" i="1"/>
  <c r="S499" i="1"/>
  <c r="T499" i="1"/>
  <c r="U499" i="1"/>
  <c r="Y499" i="1" s="1"/>
  <c r="V499" i="1"/>
  <c r="W499" i="1" s="1"/>
  <c r="Z499" i="1"/>
  <c r="A668" i="1"/>
  <c r="C668" i="1"/>
  <c r="B668" i="1" s="1"/>
  <c r="F668" i="1"/>
  <c r="M668" i="1"/>
  <c r="O668" i="1"/>
  <c r="S668" i="1"/>
  <c r="T668" i="1"/>
  <c r="U668" i="1"/>
  <c r="V668" i="1"/>
  <c r="W668" i="1" s="1"/>
  <c r="Z668" i="1"/>
  <c r="A954" i="1"/>
  <c r="A962" i="1"/>
  <c r="C954" i="1"/>
  <c r="B954" i="1" s="1"/>
  <c r="C962" i="1"/>
  <c r="B962" i="1" s="1"/>
  <c r="F954" i="1"/>
  <c r="F962" i="1"/>
  <c r="M954" i="1"/>
  <c r="M962" i="1"/>
  <c r="O954" i="1"/>
  <c r="O962" i="1"/>
  <c r="U954" i="1"/>
  <c r="Y954" i="1" s="1"/>
  <c r="U962" i="1"/>
  <c r="Y962" i="1" s="1"/>
  <c r="V954" i="1"/>
  <c r="W954" i="1" s="1"/>
  <c r="V962" i="1"/>
  <c r="W962" i="1" s="1"/>
  <c r="Z954" i="1"/>
  <c r="Z962" i="1"/>
  <c r="D216" i="1" l="1"/>
  <c r="D720" i="1"/>
  <c r="D904" i="1"/>
  <c r="D529" i="1"/>
  <c r="D594" i="1"/>
  <c r="D538" i="1"/>
  <c r="T962" i="1"/>
  <c r="T954" i="1"/>
  <c r="X357" i="1"/>
  <c r="P357" i="1" s="1"/>
  <c r="Q357" i="1" s="1"/>
  <c r="R357" i="1" s="1"/>
  <c r="D357" i="1" s="1"/>
  <c r="X954" i="1"/>
  <c r="P954" i="1" s="1"/>
  <c r="Q954" i="1" s="1"/>
  <c r="R954" i="1" s="1"/>
  <c r="X499" i="1"/>
  <c r="P499" i="1" s="1"/>
  <c r="Q499" i="1" s="1"/>
  <c r="R499" i="1" s="1"/>
  <c r="D499" i="1" s="1"/>
  <c r="X668" i="1"/>
  <c r="Y668" i="1"/>
  <c r="X962" i="1"/>
  <c r="P962" i="1" s="1"/>
  <c r="Q962" i="1" s="1"/>
  <c r="R962" i="1" s="1"/>
  <c r="I45" i="104"/>
  <c r="I44" i="104"/>
  <c r="I43" i="104"/>
  <c r="I42" i="104"/>
  <c r="I41" i="104"/>
  <c r="I40" i="104"/>
  <c r="I39" i="104"/>
  <c r="I38" i="104"/>
  <c r="I36" i="104"/>
  <c r="A767" i="1"/>
  <c r="C767" i="1"/>
  <c r="B767" i="1" s="1"/>
  <c r="D767" i="1"/>
  <c r="F767" i="1"/>
  <c r="M767" i="1"/>
  <c r="O767" i="1"/>
  <c r="T767" i="1"/>
  <c r="U767" i="1"/>
  <c r="Y767" i="1" s="1"/>
  <c r="V767" i="1"/>
  <c r="W767" i="1" s="1"/>
  <c r="Z767" i="1"/>
  <c r="A1037" i="1"/>
  <c r="A1162" i="1"/>
  <c r="A209" i="1"/>
  <c r="A123" i="1"/>
  <c r="A1684" i="1"/>
  <c r="C1037" i="1"/>
  <c r="B1037" i="1" s="1"/>
  <c r="C1162" i="1"/>
  <c r="T1162" i="1" s="1"/>
  <c r="C209" i="1"/>
  <c r="B209" i="1" s="1"/>
  <c r="C123" i="1"/>
  <c r="B123" i="1" s="1"/>
  <c r="C1684" i="1"/>
  <c r="B1684" i="1" s="1"/>
  <c r="F1037" i="1"/>
  <c r="F1162" i="1"/>
  <c r="F209" i="1"/>
  <c r="F123" i="1"/>
  <c r="F1684" i="1"/>
  <c r="M1037" i="1"/>
  <c r="M1162" i="1"/>
  <c r="M209" i="1"/>
  <c r="M123" i="1"/>
  <c r="M1684" i="1"/>
  <c r="O1037" i="1"/>
  <c r="O1162" i="1"/>
  <c r="O209" i="1"/>
  <c r="O123" i="1"/>
  <c r="O1684" i="1"/>
  <c r="S1037" i="1"/>
  <c r="S1162" i="1"/>
  <c r="S209" i="1"/>
  <c r="S123" i="1"/>
  <c r="S1684" i="1"/>
  <c r="T1037" i="1"/>
  <c r="T209" i="1"/>
  <c r="T123" i="1"/>
  <c r="T1684" i="1"/>
  <c r="U1037" i="1"/>
  <c r="Y1037" i="1" s="1"/>
  <c r="U1162" i="1"/>
  <c r="Y1162" i="1" s="1"/>
  <c r="U209" i="1"/>
  <c r="Y209" i="1" s="1"/>
  <c r="U123" i="1"/>
  <c r="Y123" i="1" s="1"/>
  <c r="U1684" i="1"/>
  <c r="Y1684" i="1" s="1"/>
  <c r="V1037" i="1"/>
  <c r="W1037" i="1" s="1"/>
  <c r="V1162" i="1"/>
  <c r="W1162" i="1" s="1"/>
  <c r="V209" i="1"/>
  <c r="W209" i="1" s="1"/>
  <c r="V123" i="1"/>
  <c r="W123" i="1" s="1"/>
  <c r="V1684" i="1"/>
  <c r="W1684" i="1" s="1"/>
  <c r="Z1037" i="1"/>
  <c r="Z1162" i="1"/>
  <c r="Z209" i="1"/>
  <c r="Z123" i="1"/>
  <c r="Z1684" i="1"/>
  <c r="S1579" i="157"/>
  <c r="S872" i="157"/>
  <c r="S575" i="157"/>
  <c r="S1481" i="157"/>
  <c r="S311" i="157"/>
  <c r="S667" i="157"/>
  <c r="S1708" i="157"/>
  <c r="S272" i="157"/>
  <c r="S134" i="157"/>
  <c r="S160" i="157"/>
  <c r="S871" i="157"/>
  <c r="S431" i="157"/>
  <c r="S205" i="157"/>
  <c r="S381" i="157"/>
  <c r="S151" i="157"/>
  <c r="S1915" i="157"/>
  <c r="S1911" i="157"/>
  <c r="S787" i="157"/>
  <c r="S901" i="157"/>
  <c r="S902" i="157"/>
  <c r="S778" i="157"/>
  <c r="S1084" i="157"/>
  <c r="S1999" i="157"/>
  <c r="S903" i="157"/>
  <c r="S870" i="157"/>
  <c r="S1742" i="157"/>
  <c r="S1612" i="157"/>
  <c r="S741" i="157"/>
  <c r="S1630" i="157"/>
  <c r="S1874" i="157"/>
  <c r="S1845" i="157"/>
  <c r="S378" i="157"/>
  <c r="S942" i="157"/>
  <c r="S742" i="157"/>
  <c r="S344" i="157"/>
  <c r="S206" i="157"/>
  <c r="S1303" i="157"/>
  <c r="S338" i="157"/>
  <c r="S867" i="157"/>
  <c r="S1860" i="157"/>
  <c r="S1593" i="157"/>
  <c r="S1241" i="157"/>
  <c r="S1383" i="157"/>
  <c r="S1743" i="157"/>
  <c r="S1522" i="157"/>
  <c r="S1043" i="157"/>
  <c r="S825" i="157"/>
  <c r="S1703" i="157"/>
  <c r="S1477" i="157"/>
  <c r="S1897" i="157"/>
  <c r="S253" i="157"/>
  <c r="S831" i="157"/>
  <c r="S791" i="157"/>
  <c r="S287" i="157"/>
  <c r="S1692" i="157"/>
  <c r="S1301" i="157"/>
  <c r="S645" i="157"/>
  <c r="S1816" i="157"/>
  <c r="S1822" i="157"/>
  <c r="S597" i="157"/>
  <c r="S1635" i="157"/>
  <c r="S1438" i="157"/>
  <c r="S354" i="157"/>
  <c r="S815" i="157"/>
  <c r="S1254" i="157"/>
  <c r="S506" i="157"/>
  <c r="S908" i="157"/>
  <c r="S1120" i="157"/>
  <c r="S1302" i="157"/>
  <c r="S1573" i="157"/>
  <c r="S249" i="157"/>
  <c r="S1909" i="157"/>
  <c r="S608" i="157"/>
  <c r="S1750" i="157"/>
  <c r="S1495" i="157"/>
  <c r="S790" i="157"/>
  <c r="S1286" i="157"/>
  <c r="S1259" i="157"/>
  <c r="S694" i="157"/>
  <c r="S734" i="157"/>
  <c r="S699" i="157"/>
  <c r="S327" i="157"/>
  <c r="S218" i="157"/>
  <c r="S181" i="157"/>
  <c r="S1861" i="157"/>
  <c r="S641" i="157"/>
  <c r="S1891" i="157"/>
  <c r="S427" i="157"/>
  <c r="S159" i="157"/>
  <c r="S1496" i="157"/>
  <c r="S1390" i="157"/>
  <c r="S1022" i="157"/>
  <c r="S1654" i="157"/>
  <c r="S1889" i="157"/>
  <c r="S1789" i="157"/>
  <c r="S1726" i="157"/>
  <c r="S1514" i="157"/>
  <c r="S141" i="157"/>
  <c r="S1892" i="157"/>
  <c r="S1533" i="157"/>
  <c r="S138" i="157"/>
  <c r="S1858" i="157"/>
  <c r="S1391" i="157"/>
  <c r="S156" i="157"/>
  <c r="S264" i="157"/>
  <c r="S1773" i="157"/>
  <c r="S1785" i="157"/>
  <c r="S638" i="157"/>
  <c r="S1701" i="157"/>
  <c r="S1605" i="157"/>
  <c r="S1562" i="157"/>
  <c r="S1502" i="157"/>
  <c r="S1454" i="157"/>
  <c r="S1400" i="157"/>
  <c r="S1327" i="157"/>
  <c r="S1264" i="157"/>
  <c r="S1599" i="157"/>
  <c r="S1008" i="157"/>
  <c r="S1425" i="157"/>
  <c r="S1201" i="157"/>
  <c r="S1119" i="157"/>
  <c r="S1163" i="157"/>
  <c r="S1063" i="157"/>
  <c r="S946" i="157"/>
  <c r="S921" i="157"/>
  <c r="S709" i="157"/>
  <c r="S1402" i="157"/>
  <c r="S1260" i="157"/>
  <c r="S1908" i="157"/>
  <c r="S1907" i="157"/>
  <c r="S1449" i="157"/>
  <c r="S1384" i="157"/>
  <c r="S1322" i="157"/>
  <c r="S1238" i="157"/>
  <c r="S1197" i="157"/>
  <c r="S1086" i="157"/>
  <c r="S822" i="157"/>
  <c r="S399" i="157"/>
  <c r="S1170" i="157"/>
  <c r="S527" i="157"/>
  <c r="S1886" i="157"/>
  <c r="S162" i="157"/>
  <c r="S1851" i="157"/>
  <c r="S1862" i="157"/>
  <c r="S1834" i="157"/>
  <c r="S1408" i="157"/>
  <c r="S102" i="157"/>
  <c r="S1998" i="157"/>
  <c r="S1788" i="157"/>
  <c r="S1831" i="157"/>
  <c r="S1414" i="157"/>
  <c r="S920" i="157"/>
  <c r="S1044" i="157"/>
  <c r="S1640" i="157"/>
  <c r="S1542" i="157"/>
  <c r="S1354" i="157"/>
  <c r="S1244" i="157"/>
  <c r="S576" i="157"/>
  <c r="S1700" i="157"/>
  <c r="S1428" i="157"/>
  <c r="S1410" i="157"/>
  <c r="S1806" i="157"/>
  <c r="S909" i="157"/>
  <c r="S1807" i="157"/>
  <c r="S1761" i="157"/>
  <c r="S1602" i="157"/>
  <c r="S1824" i="157"/>
  <c r="S1292" i="157"/>
  <c r="S795" i="157"/>
  <c r="S1156" i="157"/>
  <c r="S1850" i="157"/>
  <c r="S477" i="157"/>
  <c r="S1494" i="157"/>
  <c r="S1890" i="157"/>
  <c r="S807" i="157"/>
  <c r="S1864" i="157"/>
  <c r="S1839" i="157"/>
  <c r="S1047" i="157"/>
  <c r="S1526" i="157"/>
  <c r="S1594" i="157"/>
  <c r="S1389" i="157"/>
  <c r="S1793" i="157"/>
  <c r="S1787" i="157"/>
  <c r="S1665" i="157"/>
  <c r="S1293" i="157"/>
  <c r="S1693" i="157"/>
  <c r="S1493" i="157"/>
  <c r="S1091" i="157"/>
  <c r="S1873" i="157"/>
  <c r="S1747" i="157"/>
  <c r="S1702" i="157"/>
  <c r="S1621" i="157"/>
  <c r="S1618" i="157"/>
  <c r="S1508" i="157"/>
  <c r="S1685" i="157"/>
  <c r="S1686" i="157"/>
  <c r="S1687" i="157"/>
  <c r="S1688" i="157"/>
  <c r="S1214" i="157"/>
  <c r="S445" i="157"/>
  <c r="S1178" i="157"/>
  <c r="S748" i="157"/>
  <c r="S1997" i="157"/>
  <c r="S341" i="157"/>
  <c r="S1318" i="157"/>
  <c r="S1411" i="157"/>
  <c r="S1437" i="157"/>
  <c r="S1412" i="157"/>
  <c r="S1760" i="157"/>
  <c r="S1447" i="157"/>
  <c r="S680" i="157"/>
  <c r="S1326" i="157"/>
  <c r="S1346" i="157"/>
  <c r="S1841" i="157"/>
  <c r="S1857" i="157"/>
  <c r="S1859" i="157"/>
  <c r="S1403" i="157"/>
  <c r="S594" i="157"/>
  <c r="S1067" i="157"/>
  <c r="S1328" i="157"/>
  <c r="S663" i="157"/>
  <c r="S534" i="157"/>
  <c r="S1778" i="157"/>
  <c r="S1744" i="157"/>
  <c r="S1611" i="157"/>
  <c r="S1728" i="157"/>
  <c r="S1729" i="157"/>
  <c r="S1296" i="157"/>
  <c r="S1182" i="157"/>
  <c r="S1378" i="157"/>
  <c r="S343" i="157"/>
  <c r="S593" i="157"/>
  <c r="S1756" i="157"/>
  <c r="S1722" i="157"/>
  <c r="S1305" i="157"/>
  <c r="S1730" i="157"/>
  <c r="S1287" i="157"/>
  <c r="S1619" i="157"/>
  <c r="S1488" i="157"/>
  <c r="S220" i="157"/>
  <c r="S888" i="157"/>
  <c r="S1620" i="157"/>
  <c r="S1077" i="157"/>
  <c r="S812" i="157"/>
  <c r="S1667" i="157"/>
  <c r="S1689" i="157"/>
  <c r="S1202" i="157"/>
  <c r="S1910" i="157"/>
  <c r="S1576" i="157"/>
  <c r="S765" i="157"/>
  <c r="S1632" i="157"/>
  <c r="S1609" i="157"/>
  <c r="S1311" i="157"/>
  <c r="S1906" i="157"/>
  <c r="S1879" i="157"/>
  <c r="S457" i="157"/>
  <c r="S1613" i="157"/>
  <c r="S1472" i="157"/>
  <c r="S1471" i="157"/>
  <c r="S1590" i="157"/>
  <c r="S1591" i="157"/>
  <c r="S1592" i="157"/>
  <c r="S1492" i="157"/>
  <c r="S1405" i="157"/>
  <c r="S1406" i="157"/>
  <c r="S1407" i="157"/>
  <c r="S1309" i="157"/>
  <c r="S828" i="157"/>
  <c r="S1865" i="157"/>
  <c r="S1846" i="157"/>
  <c r="S1664" i="157"/>
  <c r="S966" i="157"/>
  <c r="S876" i="157"/>
  <c r="S1521" i="157"/>
  <c r="S1523" i="157"/>
  <c r="S1413" i="157"/>
  <c r="S1489" i="157"/>
  <c r="S640" i="157"/>
  <c r="S731" i="157"/>
  <c r="S827" i="157"/>
  <c r="S826" i="157"/>
  <c r="S760" i="157"/>
  <c r="S1203" i="157"/>
  <c r="S1490" i="157"/>
  <c r="S317" i="157"/>
  <c r="S656" i="157"/>
  <c r="S318" i="157"/>
  <c r="S1491" i="157"/>
  <c r="S1374" i="157"/>
  <c r="S1427" i="157"/>
  <c r="S1429" i="157"/>
  <c r="S554" i="157"/>
  <c r="S328" i="157"/>
  <c r="S905" i="157"/>
  <c r="S217" i="157"/>
  <c r="S476" i="157"/>
  <c r="S1551" i="157"/>
  <c r="S1306" i="157"/>
  <c r="S707" i="157"/>
  <c r="S178" i="157"/>
  <c r="S1307" i="157"/>
  <c r="S1404" i="157"/>
  <c r="S555" i="157"/>
  <c r="S293" i="157"/>
  <c r="S1045" i="157"/>
  <c r="S1310" i="157"/>
  <c r="S838" i="157"/>
  <c r="S749" i="157"/>
  <c r="S1387" i="157"/>
  <c r="S1388" i="157"/>
  <c r="S1385" i="157"/>
  <c r="S1372" i="157"/>
  <c r="S1213" i="157"/>
  <c r="S1187" i="157"/>
  <c r="S1827" i="157"/>
  <c r="S1510" i="157"/>
  <c r="S1395" i="157"/>
  <c r="S1375" i="157"/>
  <c r="S824" i="157"/>
  <c r="S819" i="157"/>
  <c r="S1646" i="157"/>
  <c r="S1595" i="157"/>
  <c r="S1552" i="157"/>
  <c r="S1511" i="157"/>
  <c r="S1444" i="157"/>
  <c r="S1329" i="157"/>
  <c r="S1012" i="157"/>
  <c r="S1515" i="157"/>
  <c r="S1089" i="157"/>
  <c r="S1288" i="157"/>
  <c r="S346" i="157"/>
  <c r="S1731" i="157"/>
  <c r="S1289" i="157"/>
  <c r="S1290" i="157"/>
  <c r="S1482" i="157"/>
  <c r="S1291" i="157"/>
  <c r="S1243" i="157"/>
  <c r="S1849" i="157"/>
  <c r="S250" i="157"/>
  <c r="S1023" i="157"/>
  <c r="S1204" i="157"/>
  <c r="S580" i="157"/>
  <c r="S455" i="157"/>
  <c r="S1000" i="157"/>
  <c r="S1124" i="157"/>
  <c r="S454" i="157"/>
  <c r="S733" i="157"/>
  <c r="S961" i="157"/>
  <c r="S1218" i="157"/>
  <c r="S1299" i="157"/>
  <c r="S1556" i="157"/>
  <c r="S1298" i="157"/>
  <c r="S1009" i="157"/>
  <c r="S179" i="157"/>
  <c r="S161" i="157"/>
  <c r="S730" i="157"/>
  <c r="S348" i="157"/>
  <c r="S1371" i="157"/>
  <c r="S524" i="157"/>
  <c r="S1480" i="157"/>
  <c r="S1074" i="157"/>
  <c r="S1171" i="157"/>
  <c r="S149" i="157"/>
  <c r="S146" i="157"/>
  <c r="S316" i="157"/>
  <c r="S1263" i="157"/>
  <c r="S139" i="157"/>
  <c r="S1162" i="157"/>
  <c r="S245" i="157"/>
  <c r="S968" i="157"/>
  <c r="S278" i="157"/>
  <c r="S137" i="157"/>
  <c r="S668" i="157"/>
  <c r="S1603" i="157"/>
  <c r="S941" i="157"/>
  <c r="S619" i="157"/>
  <c r="S1161" i="157"/>
  <c r="S808" i="157"/>
  <c r="S916" i="157"/>
  <c r="S967" i="157"/>
  <c r="S890" i="157"/>
  <c r="S239" i="157"/>
  <c r="S223" i="157"/>
  <c r="S596" i="157"/>
  <c r="S618" i="157"/>
  <c r="S573" i="157"/>
  <c r="S887" i="157"/>
  <c r="S93" i="157"/>
  <c r="S94" i="157"/>
  <c r="S342" i="157"/>
  <c r="S1519" i="157"/>
  <c r="S526" i="157"/>
  <c r="S377" i="157"/>
  <c r="S689" i="157"/>
  <c r="S1359" i="157"/>
  <c r="S839" i="157"/>
  <c r="S1842" i="157"/>
  <c r="S1779" i="157"/>
  <c r="S1129" i="157"/>
  <c r="S907" i="157"/>
  <c r="S420" i="157"/>
  <c r="S611" i="157"/>
  <c r="S583" i="157"/>
  <c r="S1520" i="157"/>
  <c r="S1274" i="157"/>
  <c r="S1478" i="157"/>
  <c r="S1791" i="157"/>
  <c r="S1776" i="157"/>
  <c r="S1765" i="157"/>
  <c r="S1652" i="157"/>
  <c r="S1631" i="157"/>
  <c r="S1600" i="157"/>
  <c r="S1483" i="157"/>
  <c r="S1443" i="157"/>
  <c r="S1416" i="157"/>
  <c r="S1386" i="157"/>
  <c r="S1373" i="157"/>
  <c r="S1266" i="157"/>
  <c r="S1199" i="157"/>
  <c r="S126" i="157"/>
  <c r="S845" i="157"/>
  <c r="S844" i="157"/>
  <c r="S868" i="157"/>
  <c r="S813" i="157"/>
  <c r="S1323" i="157"/>
  <c r="S1198" i="157"/>
  <c r="S376" i="157"/>
  <c r="S1325" i="157"/>
  <c r="S356" i="157"/>
  <c r="S584" i="157"/>
  <c r="S1227" i="157"/>
  <c r="S1872" i="157"/>
  <c r="S443" i="157"/>
  <c r="S340" i="157"/>
  <c r="S135" i="157"/>
  <c r="S136" i="157"/>
  <c r="S105" i="157"/>
  <c r="S1360" i="157"/>
  <c r="S1996" i="157"/>
  <c r="S1152" i="157"/>
  <c r="S357" i="157"/>
  <c r="S312" i="157"/>
  <c r="S1056" i="157"/>
  <c r="S679" i="157"/>
  <c r="S313" i="157"/>
  <c r="S1423" i="157"/>
  <c r="S710" i="157"/>
  <c r="S1256" i="157"/>
  <c r="S779" i="157"/>
  <c r="S1224" i="157"/>
  <c r="S1169" i="157"/>
  <c r="S762" i="157"/>
  <c r="S843" i="157"/>
  <c r="S1875" i="157"/>
  <c r="S1847" i="157"/>
  <c r="S415" i="157"/>
  <c r="S184" i="157"/>
  <c r="S152" i="157"/>
  <c r="S176" i="157"/>
  <c r="S1272" i="157"/>
  <c r="S1164" i="157"/>
  <c r="S1117" i="157"/>
  <c r="S314" i="157"/>
  <c r="S315" i="157"/>
  <c r="S1818" i="157"/>
  <c r="S1737" i="157"/>
  <c r="S1596" i="157"/>
  <c r="S729" i="157"/>
  <c r="S721" i="157"/>
  <c r="S204" i="157"/>
  <c r="S1029" i="157"/>
  <c r="S1027" i="157"/>
  <c r="S690" i="157"/>
  <c r="S1766" i="157"/>
  <c r="S937" i="157"/>
  <c r="S1821" i="157"/>
  <c r="S1725" i="157"/>
  <c r="S1563" i="157"/>
  <c r="S1237" i="157"/>
  <c r="S155" i="157"/>
  <c r="S1676" i="157"/>
  <c r="S1658" i="157"/>
  <c r="S1118" i="157"/>
  <c r="S1222" i="157"/>
  <c r="S1448" i="157"/>
  <c r="S182" i="157"/>
  <c r="S1353" i="157"/>
  <c r="S1297" i="157"/>
  <c r="S664" i="157"/>
  <c r="S869" i="157"/>
  <c r="S177" i="157"/>
  <c r="S609" i="157"/>
  <c r="S665" i="157"/>
  <c r="S877" i="157"/>
  <c r="S1219" i="157"/>
  <c r="S1190" i="157"/>
  <c r="S180" i="157"/>
  <c r="S1893" i="157"/>
  <c r="S820" i="157"/>
  <c r="S1174" i="157"/>
  <c r="S1888" i="157"/>
  <c r="S610" i="157"/>
  <c r="S1175" i="157"/>
  <c r="S1155" i="157"/>
  <c r="S798" i="157"/>
  <c r="S788" i="157"/>
  <c r="S1062" i="157"/>
  <c r="S349" i="157"/>
  <c r="S1127" i="157"/>
  <c r="S919" i="157"/>
  <c r="S1358" i="157"/>
  <c r="S1409" i="157"/>
  <c r="S1065" i="157"/>
  <c r="S620" i="157"/>
  <c r="S577" i="157"/>
  <c r="S551" i="157"/>
  <c r="S535" i="157"/>
  <c r="S505" i="157"/>
  <c r="S398" i="157"/>
  <c r="S768" i="157"/>
  <c r="S478" i="157"/>
  <c r="S432" i="157"/>
  <c r="S153" i="157"/>
  <c r="S154" i="157"/>
  <c r="S127" i="157"/>
  <c r="S761" i="157"/>
  <c r="S751" i="157"/>
  <c r="S700" i="157"/>
  <c r="S631" i="157"/>
  <c r="S504" i="157"/>
  <c r="S552" i="157"/>
  <c r="S1749" i="157"/>
  <c r="S1844" i="157"/>
  <c r="S1588" i="157"/>
  <c r="S678" i="157"/>
  <c r="S935" i="157"/>
  <c r="S243" i="157"/>
  <c r="S1538" i="157"/>
  <c r="S1876" i="157"/>
  <c r="S842" i="157"/>
  <c r="S681" i="157"/>
  <c r="S358" i="157"/>
  <c r="S1088" i="157"/>
  <c r="S604" i="157"/>
  <c r="S501" i="157"/>
  <c r="S1633" i="157"/>
  <c r="S1078" i="157"/>
  <c r="S471" i="157"/>
  <c r="S889" i="157"/>
  <c r="S472" i="157"/>
  <c r="S320" i="157"/>
  <c r="S1467" i="157"/>
  <c r="S394" i="157"/>
  <c r="S811" i="157"/>
  <c r="S816" i="157"/>
  <c r="S128" i="157"/>
  <c r="S129" i="157"/>
  <c r="S1634" i="157"/>
  <c r="S1528" i="157"/>
  <c r="S1843" i="157"/>
  <c r="S556" i="157"/>
  <c r="S259" i="157"/>
  <c r="S806" i="157"/>
  <c r="S1852" i="157"/>
  <c r="S1561" i="157"/>
  <c r="S814" i="157"/>
  <c r="S124" i="157"/>
  <c r="S752" i="157"/>
  <c r="S1370" i="157"/>
  <c r="S459" i="157"/>
  <c r="S1392" i="157"/>
  <c r="S601" i="157"/>
  <c r="S1228" i="157"/>
  <c r="S1781" i="157"/>
  <c r="S131" i="157"/>
  <c r="S1275" i="157"/>
  <c r="S395" i="157"/>
  <c r="S391" i="157"/>
  <c r="S895" i="157"/>
  <c r="S878" i="157"/>
  <c r="S1732" i="157"/>
  <c r="S460" i="157"/>
  <c r="S461" i="157"/>
  <c r="S1339" i="157"/>
  <c r="S207" i="157"/>
  <c r="S183" i="157"/>
  <c r="S1638" i="157"/>
  <c r="S208" i="157"/>
  <c r="S1990" i="157"/>
  <c r="S1987" i="157"/>
  <c r="S1121" i="157"/>
  <c r="S1331" i="157"/>
  <c r="S1817" i="157"/>
  <c r="S1697" i="157"/>
  <c r="S1674" i="157"/>
  <c r="S1366" i="157"/>
  <c r="S1064" i="157"/>
  <c r="S1189" i="157"/>
  <c r="S511" i="157"/>
  <c r="S1554" i="157"/>
  <c r="S1465" i="157"/>
  <c r="S1188" i="157"/>
  <c r="S1877" i="157"/>
  <c r="S1878" i="157"/>
  <c r="S1497" i="157"/>
  <c r="S1479" i="157"/>
  <c r="S1172" i="157"/>
  <c r="S933" i="157"/>
  <c r="S585" i="157"/>
  <c r="S507" i="157"/>
  <c r="S289" i="157"/>
  <c r="S237" i="157"/>
  <c r="S235" i="157"/>
  <c r="S1782" i="157"/>
  <c r="S392" i="157"/>
  <c r="S17" i="157"/>
  <c r="S1993" i="157"/>
  <c r="S1991" i="157"/>
  <c r="S1651" i="157"/>
  <c r="S1128" i="157"/>
  <c r="S1894" i="157"/>
  <c r="S319" i="157"/>
  <c r="S104" i="157"/>
  <c r="S932" i="157"/>
  <c r="S763" i="157"/>
  <c r="S926" i="157"/>
  <c r="S988" i="157"/>
  <c r="S1116" i="157"/>
  <c r="S103" i="157"/>
  <c r="S503" i="157"/>
  <c r="S1783" i="157"/>
  <c r="S875" i="157"/>
  <c r="S759" i="157"/>
  <c r="S489" i="157"/>
  <c r="S1790" i="157"/>
  <c r="S1146" i="157"/>
  <c r="S1046" i="157"/>
  <c r="S701" i="157"/>
  <c r="S1885" i="157"/>
  <c r="S1560" i="157"/>
  <c r="S502" i="157"/>
  <c r="S352" i="157"/>
  <c r="S1215" i="157"/>
  <c r="S91" i="157"/>
  <c r="S263" i="157"/>
  <c r="S1512" i="157"/>
  <c r="S642" i="157"/>
  <c r="S1052" i="157"/>
  <c r="S1994" i="157"/>
  <c r="S1848" i="157"/>
  <c r="S1786" i="157"/>
  <c r="S1784" i="157"/>
  <c r="S1709" i="157"/>
  <c r="S587" i="157"/>
  <c r="S691" i="157"/>
  <c r="S1642" i="157"/>
  <c r="S355" i="157"/>
  <c r="S939" i="157"/>
  <c r="S756" i="157"/>
  <c r="S848" i="157"/>
  <c r="S963" i="157"/>
  <c r="S119" i="157"/>
  <c r="S508" i="157"/>
  <c r="S1780" i="157"/>
  <c r="S236" i="157"/>
  <c r="S234" i="157"/>
  <c r="S473" i="157"/>
  <c r="S792" i="157"/>
  <c r="S122" i="157"/>
  <c r="S783" i="157"/>
  <c r="S373" i="157"/>
  <c r="S1200" i="157"/>
  <c r="S944" i="157"/>
  <c r="S1426" i="157"/>
  <c r="S266" i="157"/>
  <c r="S1261" i="157"/>
  <c r="S1534" i="157"/>
  <c r="S1330" i="157"/>
  <c r="S1060" i="157"/>
  <c r="S1763" i="157"/>
  <c r="S118" i="157"/>
  <c r="S1555" i="157"/>
  <c r="S769" i="157"/>
  <c r="S1623" i="157"/>
  <c r="S1030" i="157"/>
  <c r="S1079" i="157"/>
  <c r="S837" i="157"/>
  <c r="S116" i="157"/>
  <c r="S1132" i="157"/>
  <c r="S965" i="157"/>
  <c r="S866" i="157"/>
  <c r="S1223" i="157"/>
  <c r="S830" i="157"/>
  <c r="S574" i="157"/>
  <c r="S1072" i="157"/>
  <c r="S781" i="157"/>
  <c r="S87" i="157"/>
  <c r="S330" i="157"/>
  <c r="S1192" i="157"/>
  <c r="S1080" i="157"/>
  <c r="S989" i="157"/>
  <c r="S1154" i="157"/>
  <c r="S512" i="157"/>
  <c r="S1196" i="157"/>
  <c r="S829" i="157"/>
  <c r="S659" i="157"/>
  <c r="S1153" i="157"/>
  <c r="S1764" i="157"/>
  <c r="S770" i="157"/>
  <c r="S1644" i="157"/>
  <c r="S1712" i="157"/>
  <c r="S262" i="157"/>
  <c r="S1193" i="157"/>
  <c r="S1097" i="157"/>
  <c r="S1826" i="157"/>
  <c r="S1755" i="157"/>
  <c r="S1645" i="157"/>
  <c r="S1643" i="157"/>
  <c r="S1636" i="157"/>
  <c r="S1399" i="157"/>
  <c r="S1393" i="157"/>
  <c r="S1394" i="157"/>
  <c r="S1283" i="157"/>
  <c r="S260" i="157"/>
  <c r="S1547" i="157"/>
  <c r="S1673" i="157"/>
  <c r="S1081" i="157"/>
  <c r="S771" i="157"/>
  <c r="S1441" i="157"/>
  <c r="S1269" i="157"/>
  <c r="S1578" i="157"/>
  <c r="S1226" i="157"/>
  <c r="S894" i="157"/>
  <c r="S777" i="157"/>
  <c r="S582" i="157"/>
  <c r="S661" i="157"/>
  <c r="S581" i="157"/>
  <c r="S560" i="157"/>
  <c r="S1069" i="157"/>
  <c r="S1071" i="157"/>
  <c r="S1070" i="157"/>
  <c r="S1026" i="157"/>
  <c r="S785" i="157"/>
  <c r="S784" i="157"/>
  <c r="S782" i="157"/>
  <c r="S1019" i="157"/>
  <c r="S647" i="157"/>
  <c r="S1082" i="157"/>
  <c r="S805" i="157"/>
  <c r="S772" i="157"/>
  <c r="S400" i="157"/>
  <c r="S1262" i="157"/>
  <c r="S261" i="157"/>
  <c r="S1450" i="157"/>
  <c r="S1191" i="157"/>
  <c r="S79" i="157"/>
  <c r="S1083" i="157"/>
  <c r="S1024" i="157"/>
  <c r="S992" i="157"/>
  <c r="S549" i="157"/>
  <c r="S498" i="157"/>
  <c r="S568" i="157"/>
  <c r="S80" i="157"/>
  <c r="S1173" i="157"/>
  <c r="S1113" i="157"/>
  <c r="S943" i="157"/>
  <c r="S666" i="157"/>
  <c r="S1895" i="157"/>
  <c r="S780" i="157"/>
  <c r="S546" i="157"/>
  <c r="S1194" i="157"/>
  <c r="S1347" i="157"/>
  <c r="S1252" i="157"/>
  <c r="S754" i="157"/>
  <c r="S470" i="157"/>
  <c r="S1988" i="157"/>
  <c r="S1505" i="157"/>
  <c r="S1183" i="157"/>
  <c r="S698" i="157"/>
  <c r="S1179" i="157"/>
  <c r="S1180" i="157"/>
  <c r="S1020" i="157"/>
  <c r="S702" i="157"/>
  <c r="S1034" i="157"/>
  <c r="S1031" i="157"/>
  <c r="S240" i="157"/>
  <c r="S1950" i="157"/>
  <c r="S1195" i="157"/>
  <c r="S1001" i="157"/>
  <c r="S1983" i="157"/>
  <c r="S1002" i="157"/>
  <c r="S1566" i="157"/>
  <c r="S456" i="157"/>
  <c r="S444" i="157"/>
  <c r="S279" i="157"/>
  <c r="S1061" i="157"/>
  <c r="S993" i="157"/>
  <c r="S125" i="157"/>
  <c r="S994" i="157"/>
  <c r="S635" i="157"/>
  <c r="S1363" i="157"/>
  <c r="S1140" i="157"/>
  <c r="S912" i="157"/>
  <c r="S518" i="157"/>
  <c r="S1796" i="157"/>
  <c r="S147" i="157"/>
  <c r="S750" i="157"/>
  <c r="S1099" i="157"/>
  <c r="S695" i="157"/>
  <c r="S497" i="157"/>
  <c r="S210" i="157"/>
  <c r="S209" i="157"/>
  <c r="S84" i="157"/>
  <c r="S83" i="157"/>
  <c r="S696" i="157"/>
  <c r="S693" i="157"/>
  <c r="S692" i="157"/>
  <c r="S697" i="157"/>
  <c r="S270" i="157"/>
  <c r="S269" i="157"/>
  <c r="S268" i="157"/>
  <c r="S1126" i="157"/>
  <c r="S267" i="157"/>
  <c r="S265" i="157"/>
  <c r="S1902" i="157"/>
  <c r="S1025" i="157"/>
  <c r="S1855" i="157"/>
  <c r="S1100" i="157"/>
  <c r="S959" i="157"/>
  <c r="S999" i="157"/>
  <c r="S1010" i="157"/>
  <c r="S1011" i="157"/>
  <c r="S981" i="157"/>
  <c r="S891" i="157"/>
  <c r="S922" i="157"/>
  <c r="S917" i="157"/>
  <c r="S918" i="157"/>
  <c r="S906" i="157"/>
  <c r="S737" i="157"/>
  <c r="S833" i="157"/>
  <c r="S703" i="157"/>
  <c r="S1813" i="157"/>
  <c r="S76" i="157"/>
  <c r="S78" i="157"/>
  <c r="S462" i="157"/>
  <c r="S1035" i="157"/>
  <c r="S1101" i="157"/>
  <c r="S998" i="157"/>
  <c r="S174" i="157"/>
  <c r="S1125" i="157"/>
  <c r="S85" i="157"/>
  <c r="S1984" i="157"/>
  <c r="S1670" i="157"/>
  <c r="S979" i="157"/>
  <c r="S495" i="157"/>
  <c r="S1854" i="157"/>
  <c r="S77" i="157"/>
  <c r="S82" i="157"/>
  <c r="S1085" i="157"/>
  <c r="S1814" i="157"/>
  <c r="S1856" i="157"/>
  <c r="S1571" i="157"/>
  <c r="S1572" i="157"/>
  <c r="S283" i="157"/>
  <c r="S547" i="157"/>
  <c r="S1059" i="157"/>
  <c r="S834" i="157"/>
  <c r="S632" i="157"/>
  <c r="S986" i="157"/>
  <c r="S1168" i="157"/>
  <c r="S1139" i="157"/>
  <c r="S1102" i="157"/>
  <c r="S980" i="157"/>
  <c r="S985" i="157"/>
  <c r="S983" i="157"/>
  <c r="S1863" i="157"/>
  <c r="S1003" i="157"/>
  <c r="S977" i="157"/>
  <c r="S1013" i="157"/>
  <c r="S995" i="157"/>
  <c r="S1135" i="157"/>
  <c r="S1096" i="157"/>
  <c r="S684" i="157"/>
  <c r="S621" i="157"/>
  <c r="S940" i="157"/>
  <c r="S886" i="157"/>
  <c r="S1960" i="157"/>
  <c r="S595" i="157"/>
  <c r="S864" i="157"/>
  <c r="S704" i="157"/>
  <c r="S1820" i="157"/>
  <c r="S1812" i="157"/>
  <c r="S650" i="157"/>
  <c r="S949" i="157"/>
  <c r="S548" i="157"/>
  <c r="S652" i="157"/>
  <c r="S1669" i="157"/>
  <c r="S996" i="157"/>
  <c r="S997" i="157"/>
  <c r="S853" i="157"/>
  <c r="S1961" i="157"/>
  <c r="S1668" i="157"/>
  <c r="S1804" i="157"/>
  <c r="S1165" i="157"/>
  <c r="S569" i="157"/>
  <c r="S570" i="157"/>
  <c r="S519" i="157"/>
  <c r="S516" i="157"/>
  <c r="S705" i="157"/>
  <c r="S1769" i="157"/>
  <c r="S789" i="157"/>
  <c r="S1871" i="157"/>
  <c r="S1832" i="157"/>
  <c r="S835" i="157"/>
  <c r="S836" i="157"/>
  <c r="S499" i="157"/>
  <c r="S653" i="157"/>
  <c r="S550" i="157"/>
  <c r="S1706" i="157"/>
  <c r="S766" i="157"/>
  <c r="S711" i="157"/>
  <c r="S712" i="157"/>
  <c r="S1401" i="157"/>
  <c r="S1137" i="157"/>
  <c r="S1733" i="157"/>
  <c r="S732" i="157"/>
  <c r="S713" i="157"/>
  <c r="S571" i="157"/>
  <c r="S572" i="157"/>
  <c r="S725" i="157"/>
  <c r="S588" i="157"/>
  <c r="S706" i="157"/>
  <c r="S634" i="157"/>
  <c r="S627" i="157"/>
  <c r="S1279" i="157"/>
  <c r="S1278" i="157"/>
  <c r="S1273" i="157"/>
  <c r="S1143" i="157"/>
  <c r="S1142" i="157"/>
  <c r="S898" i="157"/>
  <c r="S854" i="157"/>
  <c r="S687" i="157"/>
  <c r="S688" i="157"/>
  <c r="S636" i="157"/>
  <c r="S252" i="157"/>
  <c r="S41" i="157"/>
  <c r="S42" i="157"/>
  <c r="S244" i="157"/>
  <c r="S982" i="157"/>
  <c r="S1319" i="157"/>
  <c r="S1249" i="157"/>
  <c r="S515" i="157"/>
  <c r="S513" i="157"/>
  <c r="S622" i="157"/>
  <c r="S633" i="157"/>
  <c r="S1295" i="157"/>
  <c r="S1772" i="157"/>
  <c r="S441" i="157"/>
  <c r="S651" i="157"/>
  <c r="S1705" i="157"/>
  <c r="S1771" i="157"/>
  <c r="S1136" i="157"/>
  <c r="S1087" i="157"/>
  <c r="S1704" i="157"/>
  <c r="S1699" i="157"/>
  <c r="S1819" i="157"/>
  <c r="S1698" i="157"/>
  <c r="S226" i="157"/>
  <c r="S858" i="157"/>
  <c r="S1672" i="157"/>
  <c r="S1641" i="157"/>
  <c r="S1160" i="157"/>
  <c r="S1757" i="157"/>
  <c r="S801" i="157"/>
  <c r="S1671" i="157"/>
  <c r="S1475" i="157"/>
  <c r="S1905" i="157"/>
  <c r="S1015" i="157"/>
  <c r="S450" i="157"/>
  <c r="S1473" i="157"/>
  <c r="S938" i="157"/>
  <c r="S447" i="157"/>
  <c r="S1334" i="157"/>
  <c r="S1333" i="157"/>
  <c r="S1775" i="157"/>
  <c r="S227" i="157"/>
  <c r="S927" i="157"/>
  <c r="S1570" i="157"/>
  <c r="S525" i="157"/>
  <c r="S537" i="157"/>
  <c r="S310" i="157"/>
  <c r="S1637" i="157"/>
  <c r="S170" i="157"/>
  <c r="S719" i="157"/>
  <c r="S388" i="157"/>
  <c r="S386" i="157"/>
  <c r="S307" i="157"/>
  <c r="S308" i="157"/>
  <c r="S874" i="157"/>
  <c r="S1509" i="157"/>
  <c r="S1567" i="157"/>
  <c r="S1986" i="157"/>
  <c r="S1123" i="157"/>
  <c r="S1867" i="157"/>
  <c r="S1736" i="157"/>
  <c r="S1735" i="157"/>
  <c r="S536" i="157"/>
  <c r="S793" i="157"/>
  <c r="S1558" i="157"/>
  <c r="S1486" i="157"/>
  <c r="S1216" i="157"/>
  <c r="S817" i="157"/>
  <c r="S818" i="157"/>
  <c r="S241" i="157"/>
  <c r="S1710" i="157"/>
  <c r="S1445" i="157"/>
  <c r="S1723" i="157"/>
  <c r="S1130" i="157"/>
  <c r="S1114" i="157"/>
  <c r="S1870" i="157"/>
  <c r="S947" i="157"/>
  <c r="S578" i="157"/>
  <c r="S1677" i="157"/>
  <c r="S1610" i="157"/>
  <c r="S203" i="157"/>
  <c r="S193" i="157"/>
  <c r="S1985" i="157"/>
  <c r="S1186" i="157"/>
  <c r="S1830" i="157"/>
  <c r="S1904" i="157"/>
  <c r="S274" i="157"/>
  <c r="S379" i="157"/>
  <c r="S374" i="157"/>
  <c r="S496" i="157"/>
  <c r="S1659" i="157"/>
  <c r="S1912" i="157"/>
  <c r="S1805" i="157"/>
  <c r="S1969" i="157"/>
  <c r="S1575" i="157"/>
  <c r="S1549" i="157"/>
  <c r="S1504" i="157"/>
  <c r="S1457" i="157"/>
  <c r="S893" i="157"/>
  <c r="S1982" i="157"/>
  <c r="S14" i="157"/>
  <c r="S1853" i="157"/>
  <c r="S173" i="157"/>
  <c r="S799" i="157"/>
  <c r="S1721" i="157"/>
  <c r="S1715" i="157"/>
  <c r="S517" i="157"/>
  <c r="S1357" i="157"/>
  <c r="S1221" i="157"/>
  <c r="S360" i="157"/>
  <c r="S1439" i="157"/>
  <c r="S1544" i="157"/>
  <c r="S1545" i="157"/>
  <c r="S73" i="157"/>
  <c r="S1869" i="157"/>
  <c r="S1717" i="157"/>
  <c r="S1740" i="157"/>
  <c r="S1868" i="157"/>
  <c r="S1762" i="157"/>
  <c r="S1913" i="157"/>
  <c r="S1815" i="157"/>
  <c r="S856" i="157"/>
  <c r="S1680" i="157"/>
  <c r="S1601" i="157"/>
  <c r="S846" i="157"/>
  <c r="S639" i="157"/>
  <c r="S1498" i="157"/>
  <c r="S500" i="157"/>
  <c r="S309" i="157"/>
  <c r="S1419" i="157"/>
  <c r="S199" i="157"/>
  <c r="S188" i="157"/>
  <c r="S606" i="157"/>
  <c r="S1883" i="157"/>
  <c r="S1835" i="157"/>
  <c r="S1829" i="157"/>
  <c r="S1376" i="157"/>
  <c r="S1458" i="157"/>
  <c r="S1122" i="157"/>
  <c r="S607" i="157"/>
  <c r="S405" i="157"/>
  <c r="S1092" i="157"/>
  <c r="S1068" i="157"/>
  <c r="S45" i="157"/>
  <c r="S1075" i="157"/>
  <c r="S1518" i="157"/>
  <c r="S897" i="157"/>
  <c r="S1185" i="157"/>
  <c r="S1799" i="157"/>
  <c r="S1343" i="157"/>
  <c r="S1176" i="157"/>
  <c r="S1177" i="157"/>
  <c r="S430" i="157"/>
  <c r="S1342" i="157"/>
  <c r="S1250" i="157"/>
  <c r="S850" i="157"/>
  <c r="S1055" i="157"/>
  <c r="S1166" i="157"/>
  <c r="S925" i="157"/>
  <c r="S1451" i="157"/>
  <c r="S851" i="157"/>
  <c r="S57" i="157"/>
  <c r="S1133" i="157"/>
  <c r="S1033" i="157"/>
  <c r="S1032" i="157"/>
  <c r="S1332" i="157"/>
  <c r="S1229" i="157"/>
  <c r="S1727" i="157"/>
  <c r="S852" i="157"/>
  <c r="S1300" i="157"/>
  <c r="S1004" i="157"/>
  <c r="S403" i="157"/>
  <c r="S602" i="157"/>
  <c r="S832" i="157"/>
  <c r="S720" i="157"/>
  <c r="S1738" i="157"/>
  <c r="S1887" i="157"/>
  <c r="S1460" i="157"/>
  <c r="S194" i="157"/>
  <c r="S189" i="157"/>
  <c r="S598" i="157"/>
  <c r="S408" i="157"/>
  <c r="S991" i="157"/>
  <c r="S794" i="157"/>
  <c r="S148" i="157"/>
  <c r="S1355" i="157"/>
  <c r="S924" i="157"/>
  <c r="S1270" i="157"/>
  <c r="S746" i="157"/>
  <c r="S682" i="157"/>
  <c r="S1559" i="157"/>
  <c r="S1225" i="157"/>
  <c r="S1050" i="157"/>
  <c r="S1014" i="157"/>
  <c r="S936" i="157"/>
  <c r="S915" i="157"/>
  <c r="S914" i="157"/>
  <c r="S683" i="157"/>
  <c r="S74" i="157"/>
  <c r="S603" i="157"/>
  <c r="S1048" i="157"/>
  <c r="S823" i="157"/>
  <c r="S821" i="157"/>
  <c r="S736" i="157"/>
  <c r="S735" i="157"/>
  <c r="S657" i="157"/>
  <c r="S248" i="157"/>
  <c r="S191" i="157"/>
  <c r="S12" i="157"/>
  <c r="S1975" i="157"/>
  <c r="S1976" i="157"/>
  <c r="S1235" i="157"/>
  <c r="S1977" i="157"/>
  <c r="S1978" i="157"/>
  <c r="S1265" i="157"/>
  <c r="S586" i="157"/>
  <c r="S359" i="157"/>
  <c r="S1801" i="157"/>
  <c r="S382" i="157"/>
  <c r="S71" i="157"/>
  <c r="S1546" i="157"/>
  <c r="S51" i="157"/>
  <c r="S1466" i="157"/>
  <c r="S1980" i="157"/>
  <c r="S1418" i="157"/>
  <c r="S72" i="157"/>
  <c r="S990" i="157"/>
  <c r="S1992" i="157"/>
  <c r="S1694" i="157"/>
  <c r="S1840" i="157"/>
  <c r="S1157" i="157"/>
  <c r="S1795" i="157"/>
  <c r="S1768" i="157"/>
  <c r="S1345" i="157"/>
  <c r="S509" i="157"/>
  <c r="S246" i="157"/>
  <c r="S797" i="157"/>
  <c r="S336" i="157"/>
  <c r="S331" i="157"/>
  <c r="S1655" i="157"/>
  <c r="S463" i="157"/>
  <c r="S1718" i="157"/>
  <c r="S614" i="157"/>
  <c r="S615" i="157"/>
  <c r="S157" i="157"/>
  <c r="S69" i="157"/>
  <c r="S879" i="157"/>
  <c r="S1131" i="157"/>
  <c r="S1115" i="157"/>
  <c r="S1021" i="157"/>
  <c r="S1246" i="157"/>
  <c r="S764" i="157"/>
  <c r="S295" i="157"/>
  <c r="S1716" i="157"/>
  <c r="S773" i="157"/>
  <c r="S1049" i="157"/>
  <c r="S1421" i="157"/>
  <c r="S1501" i="157"/>
  <c r="S1653" i="157"/>
  <c r="S1422" i="157"/>
  <c r="S767" i="157"/>
  <c r="S1758" i="157"/>
  <c r="S353" i="157"/>
  <c r="S1499" i="157"/>
  <c r="S637" i="157"/>
  <c r="S1800" i="157"/>
  <c r="S1517" i="157"/>
  <c r="S910" i="157"/>
  <c r="S1487" i="157"/>
  <c r="S1753" i="157"/>
  <c r="S1066" i="157"/>
  <c r="S436" i="157"/>
  <c r="S1974" i="157"/>
  <c r="S429" i="157"/>
  <c r="S1167" i="157"/>
  <c r="S934" i="157"/>
  <c r="S1639" i="157"/>
  <c r="S718" i="157"/>
  <c r="S337" i="157"/>
  <c r="S971" i="157"/>
  <c r="S745" i="157"/>
  <c r="S428" i="157"/>
  <c r="S559" i="157"/>
  <c r="S347" i="157"/>
  <c r="S1656" i="157"/>
  <c r="S1615" i="157"/>
  <c r="S475" i="157"/>
  <c r="S329" i="157"/>
  <c r="S493" i="157"/>
  <c r="S613" i="157"/>
  <c r="S616" i="157"/>
  <c r="S50" i="157"/>
  <c r="S1808" i="157"/>
  <c r="S1430" i="157"/>
  <c r="S545" i="157"/>
  <c r="S538" i="157"/>
  <c r="S158" i="157"/>
  <c r="S1415" i="157"/>
  <c r="S1679" i="157"/>
  <c r="S1446" i="157"/>
  <c r="S1340" i="157"/>
  <c r="S1076" i="157"/>
  <c r="S469" i="157"/>
  <c r="S1898" i="157"/>
  <c r="S1513" i="157"/>
  <c r="S786" i="157"/>
  <c r="S1660" i="157"/>
  <c r="S1598" i="157"/>
  <c r="S1803" i="157"/>
  <c r="S1210" i="157"/>
  <c r="S1211" i="157"/>
  <c r="S612" i="157"/>
  <c r="S714" i="157"/>
  <c r="S1500" i="157"/>
  <c r="S1147" i="157"/>
  <c r="S1802" i="157"/>
  <c r="S1158" i="157"/>
  <c r="S1036" i="157"/>
  <c r="S458" i="157"/>
  <c r="S304" i="157"/>
  <c r="S1312" i="157"/>
  <c r="S1095" i="157"/>
  <c r="S10" i="157"/>
  <c r="S510" i="157"/>
  <c r="S928" i="157"/>
  <c r="S800" i="157"/>
  <c r="S1205" i="157"/>
  <c r="S948" i="157"/>
  <c r="S305" i="157"/>
  <c r="S1614" i="157"/>
  <c r="S758" i="157"/>
  <c r="S437" i="157"/>
  <c r="S1962" i="157"/>
  <c r="S1103" i="157"/>
  <c r="S1255" i="157"/>
  <c r="S1720" i="157"/>
  <c r="S623" i="157"/>
  <c r="S70" i="157"/>
  <c r="S1236" i="157"/>
  <c r="S738" i="157"/>
  <c r="S674" i="157"/>
  <c r="S1707" i="157"/>
  <c r="S1417" i="157"/>
  <c r="S1365" i="157"/>
  <c r="S282" i="157"/>
  <c r="S1586" i="157"/>
  <c r="S860" i="157"/>
  <c r="S434" i="157"/>
  <c r="S643" i="157"/>
  <c r="S1251" i="157"/>
  <c r="S669" i="157"/>
  <c r="S1018" i="157"/>
  <c r="S414" i="157"/>
  <c r="S285" i="157"/>
  <c r="S955" i="157"/>
  <c r="S1914" i="157"/>
  <c r="S494" i="157"/>
  <c r="S442" i="157"/>
  <c r="S339" i="157"/>
  <c r="S228" i="157"/>
  <c r="S1972" i="157"/>
  <c r="S1356" i="157"/>
  <c r="S1268" i="157"/>
  <c r="S562" i="157"/>
  <c r="S1899" i="157"/>
  <c r="S744" i="157"/>
  <c r="S1724" i="157"/>
  <c r="S1536" i="157"/>
  <c r="S1535" i="157"/>
  <c r="S1337" i="157"/>
  <c r="S987" i="157"/>
  <c r="S172" i="157"/>
  <c r="S1362" i="157"/>
  <c r="S406" i="157"/>
  <c r="S276" i="157"/>
  <c r="S121" i="157"/>
  <c r="S120" i="157"/>
  <c r="S117" i="157"/>
  <c r="S114" i="157"/>
  <c r="S481" i="157"/>
  <c r="S1209" i="157"/>
  <c r="S1134" i="157"/>
  <c r="S448" i="157"/>
  <c r="S1240" i="157"/>
  <c r="S1217" i="157"/>
  <c r="S1090" i="157"/>
  <c r="S727" i="157"/>
  <c r="S453" i="157"/>
  <c r="S419" i="157"/>
  <c r="S579" i="157"/>
  <c r="S271" i="157"/>
  <c r="S708" i="157"/>
  <c r="S1585" i="157"/>
  <c r="S449" i="157"/>
  <c r="S380" i="157"/>
  <c r="S375" i="157"/>
  <c r="S361" i="157"/>
  <c r="S1582" i="157"/>
  <c r="S467" i="157"/>
  <c r="S865" i="157"/>
  <c r="S976" i="157"/>
  <c r="S840" i="157"/>
  <c r="S975" i="157"/>
  <c r="S1581" i="157"/>
  <c r="S972" i="157"/>
  <c r="S969" i="157"/>
  <c r="S1577" i="157"/>
  <c r="S658" i="157"/>
  <c r="S861" i="157"/>
  <c r="S857" i="157"/>
  <c r="S1459" i="157"/>
  <c r="S1476" i="157"/>
  <c r="S1281" i="157"/>
  <c r="S280" i="157"/>
  <c r="S1093" i="157"/>
  <c r="S1524" i="157"/>
  <c r="S685" i="157"/>
  <c r="S1368" i="157"/>
  <c r="S303" i="157"/>
  <c r="S201" i="157"/>
  <c r="S425" i="157"/>
  <c r="S1267" i="157"/>
  <c r="S1884" i="157"/>
  <c r="S1836" i="157"/>
  <c r="S1833" i="157"/>
  <c r="S1657" i="157"/>
  <c r="S1587" i="157"/>
  <c r="S1565" i="157"/>
  <c r="S1461" i="157"/>
  <c r="S1280" i="157"/>
  <c r="S660" i="157"/>
  <c r="S222" i="157"/>
  <c r="S1248" i="157"/>
  <c r="S200" i="157"/>
  <c r="S479" i="157"/>
  <c r="S599" i="157"/>
  <c r="S1320" i="157"/>
  <c r="S1882" i="157"/>
  <c r="S1896" i="157"/>
  <c r="S883" i="157"/>
  <c r="S855" i="157"/>
  <c r="S1431" i="157"/>
  <c r="S1316" i="157"/>
  <c r="S387" i="157"/>
  <c r="S284" i="157"/>
  <c r="S190" i="157"/>
  <c r="S302" i="157"/>
  <c r="S1313" i="157"/>
  <c r="S142" i="157"/>
  <c r="S1823" i="157"/>
  <c r="S1767" i="157"/>
  <c r="S1711" i="157"/>
  <c r="S1647" i="157"/>
  <c r="S1539" i="157"/>
  <c r="S426" i="157"/>
  <c r="S292" i="157"/>
  <c r="S1271" i="157"/>
  <c r="S1053" i="157"/>
  <c r="S1054" i="157"/>
  <c r="S1051" i="157"/>
  <c r="S1016" i="157"/>
  <c r="S950" i="157"/>
  <c r="S951" i="157"/>
  <c r="S952" i="157"/>
  <c r="S247" i="157"/>
  <c r="S62" i="157"/>
  <c r="S1675" i="157"/>
  <c r="S1666" i="157"/>
  <c r="S1629" i="157"/>
  <c r="S1627" i="157"/>
  <c r="S1628" i="157"/>
  <c r="S523" i="157"/>
  <c r="S163" i="157"/>
  <c r="S67" i="157"/>
  <c r="S617" i="157"/>
  <c r="S1304" i="157"/>
  <c r="S1754" i="157"/>
  <c r="S1470" i="157"/>
  <c r="S1253" i="157"/>
  <c r="S1468" i="157"/>
  <c r="S277" i="157"/>
  <c r="S1206" i="157"/>
  <c r="S66" i="157"/>
  <c r="S9" i="157"/>
  <c r="S351" i="157"/>
  <c r="S1247" i="157"/>
  <c r="S306" i="157"/>
  <c r="S539" i="157"/>
  <c r="S1810" i="157"/>
  <c r="S960" i="157"/>
  <c r="S648" i="157"/>
  <c r="S958" i="157"/>
  <c r="S372" i="157"/>
  <c r="S464" i="157"/>
  <c r="S465" i="157"/>
  <c r="S466" i="157"/>
  <c r="S68" i="157"/>
  <c r="S362" i="157"/>
  <c r="S847" i="157"/>
  <c r="S1967" i="157"/>
  <c r="S238" i="157"/>
  <c r="S600" i="157"/>
  <c r="S231" i="157"/>
  <c r="S106" i="157"/>
  <c r="S1530" i="157"/>
  <c r="S522" i="157"/>
  <c r="S350" i="157"/>
  <c r="S1484" i="157"/>
  <c r="S1104" i="157"/>
  <c r="S775" i="157"/>
  <c r="S558" i="157"/>
  <c r="S716" i="157"/>
  <c r="S1650" i="157"/>
  <c r="S1734" i="157"/>
  <c r="S1005" i="157"/>
  <c r="S214" i="157"/>
  <c r="S911" i="157"/>
  <c r="S654" i="157"/>
  <c r="S213" i="157"/>
  <c r="S1257" i="157"/>
  <c r="S1691" i="157"/>
  <c r="S333" i="157"/>
  <c r="S175" i="157"/>
  <c r="S1625" i="157"/>
  <c r="S1258" i="157"/>
  <c r="S884" i="157"/>
  <c r="S521" i="157"/>
  <c r="S254" i="157"/>
  <c r="S885" i="157"/>
  <c r="S675" i="157"/>
  <c r="S676" i="157"/>
  <c r="S490" i="157"/>
  <c r="S491" i="157"/>
  <c r="S112" i="157"/>
  <c r="S113" i="157"/>
  <c r="S30" i="157"/>
  <c r="S1954" i="157"/>
  <c r="S1739" i="157"/>
  <c r="S1442" i="157"/>
  <c r="S1276" i="157"/>
  <c r="S1138" i="157"/>
  <c r="S954" i="157"/>
  <c r="S662" i="157"/>
  <c r="S468" i="157"/>
  <c r="S528" i="157"/>
  <c r="S529" i="157"/>
  <c r="S530" i="157"/>
  <c r="S531" i="157"/>
  <c r="S1690" i="157"/>
  <c r="S841" i="157"/>
  <c r="S1557" i="157"/>
  <c r="S809" i="157"/>
  <c r="S810" i="157"/>
  <c r="S92" i="157"/>
  <c r="S421" i="157"/>
  <c r="S150" i="157"/>
  <c r="S880" i="157"/>
  <c r="S251" i="157"/>
  <c r="S273" i="157"/>
  <c r="S345" i="157"/>
  <c r="S133" i="157"/>
  <c r="S132" i="157"/>
  <c r="S1350" i="157"/>
  <c r="S728" i="157"/>
  <c r="S1245" i="157"/>
  <c r="S1964" i="157"/>
  <c r="S215" i="157"/>
  <c r="S514" i="157"/>
  <c r="S1746" i="157"/>
  <c r="S625" i="157"/>
  <c r="S557" i="157"/>
  <c r="S438" i="157"/>
  <c r="S187" i="157"/>
  <c r="S255" i="157"/>
  <c r="S451" i="157"/>
  <c r="S553" i="157"/>
  <c r="S446" i="157"/>
  <c r="S532" i="157"/>
  <c r="S1242" i="157"/>
  <c r="S321" i="157"/>
  <c r="S533" i="157"/>
  <c r="S1719" i="157"/>
  <c r="S322" i="157"/>
  <c r="S540" i="157"/>
  <c r="S803" i="157"/>
  <c r="S75" i="157"/>
  <c r="S1622" i="157"/>
  <c r="S541" i="157"/>
  <c r="S722" i="157"/>
  <c r="S774" i="157"/>
  <c r="S723" i="157"/>
  <c r="S670" i="157"/>
  <c r="S1282" i="157"/>
  <c r="S1903" i="157"/>
  <c r="S256" i="157"/>
  <c r="S671" i="157"/>
  <c r="S397" i="157"/>
  <c r="S487" i="157"/>
  <c r="S435" i="157"/>
  <c r="S216" i="157"/>
  <c r="S167" i="157"/>
  <c r="S221" i="157"/>
  <c r="S393" i="157"/>
  <c r="S1900" i="157"/>
  <c r="S1901" i="157"/>
  <c r="S422" i="157"/>
  <c r="S715" i="157"/>
  <c r="S542" i="157"/>
  <c r="S166" i="157"/>
  <c r="S563" i="157"/>
  <c r="S168" i="157"/>
  <c r="S65" i="157"/>
  <c r="S413" i="157"/>
  <c r="S962" i="157"/>
  <c r="S1741" i="157"/>
  <c r="S1553" i="157"/>
  <c r="S197" i="157"/>
  <c r="S1094" i="157"/>
  <c r="S423" i="157"/>
  <c r="S424" i="157"/>
  <c r="S230" i="157"/>
  <c r="S257" i="157"/>
  <c r="S904" i="157"/>
  <c r="S363" i="157"/>
  <c r="S364" i="157"/>
  <c r="S365" i="157"/>
  <c r="S1548" i="157"/>
  <c r="S1678" i="157"/>
  <c r="S1564" i="157"/>
  <c r="S1485" i="157"/>
  <c r="S757" i="157"/>
  <c r="S130" i="157"/>
  <c r="S1220" i="157"/>
  <c r="S1809" i="157"/>
  <c r="S1745" i="157"/>
  <c r="S323" i="157"/>
  <c r="S64" i="157"/>
  <c r="S8" i="157"/>
  <c r="S1626" i="157"/>
  <c r="S1531" i="157"/>
  <c r="S1532" i="157"/>
  <c r="S1432" i="157"/>
  <c r="S1433" i="157"/>
  <c r="S1348" i="157"/>
  <c r="S1349" i="157"/>
  <c r="S1230" i="157"/>
  <c r="S1231" i="157"/>
  <c r="S1148" i="157"/>
  <c r="S1149" i="157"/>
  <c r="S930" i="157"/>
  <c r="S802" i="157"/>
  <c r="S564" i="157"/>
  <c r="S107" i="157"/>
  <c r="S108" i="157"/>
  <c r="S1748" i="157"/>
  <c r="S1965" i="157"/>
  <c r="S325" i="157"/>
  <c r="S1989" i="157"/>
  <c r="S892" i="157"/>
  <c r="S978" i="157"/>
  <c r="S439" i="157"/>
  <c r="S1589" i="157"/>
  <c r="S1529" i="157"/>
  <c r="S1321" i="157"/>
  <c r="S1695" i="157"/>
  <c r="S1527" i="157"/>
  <c r="S1507" i="157"/>
  <c r="S297" i="157"/>
  <c r="S1968" i="157"/>
  <c r="S1966" i="157"/>
  <c r="S624" i="157"/>
  <c r="S334" i="157"/>
  <c r="S169" i="157"/>
  <c r="S1541" i="157"/>
  <c r="S1336" i="157"/>
  <c r="S480" i="157"/>
  <c r="S185" i="157"/>
  <c r="S566" i="157"/>
  <c r="S110" i="157"/>
  <c r="S1951" i="157"/>
  <c r="S1979" i="157"/>
  <c r="S1338" i="157"/>
  <c r="S332" i="157"/>
  <c r="S109" i="157"/>
  <c r="S1624" i="157"/>
  <c r="S396" i="157"/>
  <c r="S956" i="157"/>
  <c r="S1583" i="157"/>
  <c r="S1108" i="157"/>
  <c r="S1574" i="157"/>
  <c r="S1584" i="157"/>
  <c r="S1424" i="157"/>
  <c r="S192" i="157"/>
  <c r="S565" i="157"/>
  <c r="S1648" i="157"/>
  <c r="S1792" i="157"/>
  <c r="S953" i="157"/>
  <c r="S964" i="157"/>
  <c r="S433" i="157"/>
  <c r="S324" i="157"/>
  <c r="S1037" i="157"/>
  <c r="S482" i="157"/>
  <c r="S483" i="157"/>
  <c r="S655" i="157"/>
  <c r="S1663" i="157"/>
  <c r="S896" i="157"/>
  <c r="S275" i="157"/>
  <c r="S418" i="157"/>
  <c r="S1662" i="157"/>
  <c r="S1335" i="157"/>
  <c r="S1038" i="157"/>
  <c r="S929" i="157"/>
  <c r="S1661" i="157"/>
  <c r="S1369" i="157"/>
  <c r="S165" i="157"/>
  <c r="S326" i="157"/>
  <c r="S484" i="157"/>
  <c r="S296" i="157"/>
  <c r="S1144" i="157"/>
  <c r="S724" i="157"/>
  <c r="S1649" i="157"/>
  <c r="S1540" i="157"/>
  <c r="S630" i="157"/>
  <c r="S1506" i="157"/>
  <c r="S485" i="157"/>
  <c r="S973" i="157"/>
  <c r="S1352" i="157"/>
  <c r="S366" i="157"/>
  <c r="S367" i="157"/>
  <c r="S368" i="157"/>
  <c r="S298" i="157"/>
  <c r="S369" i="157"/>
  <c r="S1537" i="157"/>
  <c r="S383" i="157"/>
  <c r="S1453" i="157"/>
  <c r="S1351" i="157"/>
  <c r="S1233" i="157"/>
  <c r="S1463" i="157"/>
  <c r="S196" i="157"/>
  <c r="S35" i="157"/>
  <c r="S1150" i="157"/>
  <c r="S101" i="157"/>
  <c r="S1141" i="157"/>
  <c r="S1284" i="157"/>
  <c r="S90" i="157"/>
  <c r="S299" i="157"/>
  <c r="S219" i="157"/>
  <c r="S232" i="157"/>
  <c r="S88" i="157"/>
  <c r="S294" i="157"/>
  <c r="S171" i="157"/>
  <c r="S486" i="157"/>
  <c r="S1041" i="157"/>
  <c r="S242" i="157"/>
  <c r="S23" i="157"/>
  <c r="S115" i="157"/>
  <c r="S211" i="157"/>
  <c r="S212" i="157"/>
  <c r="S1696" i="157"/>
  <c r="S1616" i="157"/>
  <c r="S1516" i="157"/>
  <c r="S1434" i="157"/>
  <c r="S1314" i="157"/>
  <c r="S1207" i="157"/>
  <c r="S873" i="157"/>
  <c r="S143" i="157"/>
  <c r="S144" i="157"/>
  <c r="S145" i="157"/>
  <c r="S140" i="157"/>
  <c r="S1714" i="157"/>
  <c r="S644" i="157"/>
  <c r="S677" i="157"/>
  <c r="S410" i="157"/>
  <c r="S1452" i="157"/>
  <c r="S1232" i="157"/>
  <c r="S370" i="157"/>
  <c r="S1464" i="157"/>
  <c r="S1058" i="157"/>
  <c r="S945" i="157"/>
  <c r="S796" i="157"/>
  <c r="S229" i="157"/>
  <c r="S1057" i="157"/>
  <c r="S407" i="157"/>
  <c r="S1377" i="157"/>
  <c r="S89" i="157"/>
  <c r="S1234" i="157"/>
  <c r="S416" i="157"/>
  <c r="S1970" i="157"/>
  <c r="S1105" i="157"/>
  <c r="S1006" i="157"/>
  <c r="S1151" i="157"/>
  <c r="S1828" i="157"/>
  <c r="S86" i="157"/>
  <c r="S1971" i="157"/>
  <c r="S1042" i="157"/>
  <c r="S417" i="157"/>
  <c r="S1181" i="157"/>
  <c r="S1017" i="157"/>
  <c r="S970" i="157"/>
  <c r="S48" i="157"/>
  <c r="S1957" i="157"/>
  <c r="S1838" i="157"/>
  <c r="S13" i="157"/>
  <c r="S25" i="157"/>
  <c r="S1462" i="157"/>
  <c r="S1285" i="157"/>
  <c r="S1952" i="157"/>
  <c r="S1953" i="157"/>
  <c r="S1956" i="157"/>
  <c r="S862" i="157"/>
  <c r="S412" i="157"/>
  <c r="S123" i="157"/>
  <c r="S291" i="157"/>
  <c r="S290" i="157"/>
  <c r="S11" i="157"/>
  <c r="S95" i="157"/>
  <c r="S96" i="157"/>
  <c r="S97" i="157"/>
  <c r="S98" i="157"/>
  <c r="S1866" i="157"/>
  <c r="S492" i="157"/>
  <c r="S411" i="157"/>
  <c r="S673" i="157"/>
  <c r="S957" i="157"/>
  <c r="S99" i="157"/>
  <c r="S281" i="157"/>
  <c r="S1825" i="157"/>
  <c r="S1503" i="157"/>
  <c r="S984" i="157"/>
  <c r="S402" i="157"/>
  <c r="S488" i="157"/>
  <c r="S164" i="157"/>
  <c r="S881" i="157"/>
  <c r="S100" i="157"/>
  <c r="S1973" i="157"/>
  <c r="S1770" i="157"/>
  <c r="S1777" i="157"/>
  <c r="S1597" i="157"/>
  <c r="S646" i="157"/>
  <c r="S1396" i="157"/>
  <c r="S1456" i="157"/>
  <c r="S1455" i="157"/>
  <c r="S1341" i="157"/>
  <c r="S1212" i="157"/>
  <c r="S974" i="157"/>
  <c r="S401" i="157"/>
  <c r="S1995" i="157"/>
  <c r="S1308" i="157"/>
  <c r="S740" i="157"/>
  <c r="S726" i="157"/>
  <c r="S743" i="157"/>
  <c r="S899" i="157"/>
  <c r="S900" i="157"/>
  <c r="S1543" i="157"/>
  <c r="S61" i="157"/>
  <c r="S1159" i="157"/>
  <c r="S1039" i="157"/>
  <c r="S1040" i="157"/>
  <c r="S931" i="157"/>
  <c r="S913" i="157"/>
  <c r="S804" i="157"/>
  <c r="S739" i="157"/>
  <c r="S672" i="157"/>
  <c r="S567" i="157"/>
  <c r="S649" i="157"/>
  <c r="S561" i="157"/>
  <c r="S474" i="157"/>
  <c r="S371" i="157"/>
  <c r="S258" i="157"/>
  <c r="S1713" i="157"/>
  <c r="S1294" i="157"/>
  <c r="S1239" i="157"/>
  <c r="S1145" i="157"/>
  <c r="S1797" i="157"/>
  <c r="S1794" i="157"/>
  <c r="S1683" i="157"/>
  <c r="S1607" i="157"/>
  <c r="S60" i="157"/>
  <c r="S1397" i="157"/>
  <c r="S225" i="157"/>
  <c r="S1398" i="157"/>
  <c r="S1324" i="157"/>
  <c r="S224" i="157"/>
  <c r="S1811" i="157"/>
  <c r="S384" i="157"/>
  <c r="S1382" i="157"/>
  <c r="S1367" i="157"/>
  <c r="S1379" i="157"/>
  <c r="S1752" i="157"/>
  <c r="S1751" i="157"/>
  <c r="S1112" i="157"/>
  <c r="S300" i="157"/>
  <c r="S1380" i="157"/>
  <c r="S1381" i="157"/>
  <c r="S1774" i="157"/>
  <c r="S1604" i="157"/>
  <c r="S1684" i="157"/>
  <c r="S1617" i="157"/>
  <c r="S1525" i="157"/>
  <c r="S1111" i="157"/>
  <c r="S1436" i="157"/>
  <c r="S1435" i="157"/>
  <c r="S1317" i="157"/>
  <c r="S195" i="157"/>
  <c r="S1959" i="157"/>
  <c r="S1110" i="157"/>
  <c r="S1361" i="157"/>
  <c r="S863" i="157"/>
  <c r="S1315" i="157"/>
  <c r="S1109" i="157"/>
  <c r="S1208" i="157"/>
  <c r="S1107" i="157"/>
  <c r="S1880" i="157"/>
  <c r="S1608" i="157"/>
  <c r="S1569" i="157"/>
  <c r="S1106" i="157"/>
  <c r="S1098" i="157"/>
  <c r="S1007" i="157"/>
  <c r="S882" i="157"/>
  <c r="S776" i="157"/>
  <c r="S59" i="157"/>
  <c r="S717" i="157"/>
  <c r="S628" i="157"/>
  <c r="S755" i="157"/>
  <c r="S753" i="157"/>
  <c r="S629" i="157"/>
  <c r="S626" i="157"/>
  <c r="S543" i="157"/>
  <c r="S591" i="157"/>
  <c r="S544" i="157"/>
  <c r="S440" i="157"/>
  <c r="S335" i="157"/>
  <c r="S1606" i="157"/>
  <c r="S233" i="157"/>
  <c r="S111" i="157"/>
  <c r="S1837" i="157"/>
  <c r="S1881" i="157"/>
  <c r="S1798" i="157"/>
  <c r="S1759" i="157"/>
  <c r="S1568" i="157"/>
  <c r="S592" i="157"/>
  <c r="S409" i="157"/>
  <c r="S589" i="157"/>
  <c r="S590" i="157"/>
  <c r="S1682" i="157"/>
  <c r="S1681" i="157"/>
  <c r="S1580" i="157"/>
  <c r="S1550" i="157"/>
  <c r="S1474" i="157"/>
  <c r="S1364" i="157"/>
  <c r="S288" i="157"/>
  <c r="S1469" i="157"/>
  <c r="S1420" i="157"/>
  <c r="S1440" i="157"/>
  <c r="S1344" i="157"/>
  <c r="S1277" i="157"/>
  <c r="S1184" i="157"/>
  <c r="S1073" i="157"/>
  <c r="S1028" i="157"/>
  <c r="S923" i="157"/>
  <c r="S859" i="157"/>
  <c r="S849" i="157"/>
  <c r="S747" i="157"/>
  <c r="S686" i="157"/>
  <c r="S286" i="157"/>
  <c r="S202" i="157"/>
  <c r="T1579" i="157"/>
  <c r="U1579" i="157" s="1"/>
  <c r="T872" i="157"/>
  <c r="U872" i="157" s="1"/>
  <c r="T575" i="157"/>
  <c r="U575" i="157" s="1"/>
  <c r="T1481" i="157"/>
  <c r="U1481" i="157" s="1"/>
  <c r="T311" i="157"/>
  <c r="U311" i="157" s="1"/>
  <c r="T667" i="157"/>
  <c r="U667" i="157" s="1"/>
  <c r="T1708" i="157"/>
  <c r="U1708" i="157" s="1"/>
  <c r="T272" i="157"/>
  <c r="U272" i="157" s="1"/>
  <c r="T134" i="157"/>
  <c r="U134" i="157" s="1"/>
  <c r="T160" i="157"/>
  <c r="U160" i="157" s="1"/>
  <c r="T871" i="157"/>
  <c r="U871" i="157" s="1"/>
  <c r="T431" i="157"/>
  <c r="U431" i="157" s="1"/>
  <c r="T205" i="157"/>
  <c r="U205" i="157" s="1"/>
  <c r="T381" i="157"/>
  <c r="U381" i="157" s="1"/>
  <c r="T151" i="157"/>
  <c r="U151" i="157" s="1"/>
  <c r="T1915" i="157"/>
  <c r="U1915" i="157" s="1"/>
  <c r="T1911" i="157"/>
  <c r="U1911" i="157" s="1"/>
  <c r="T787" i="157"/>
  <c r="U787" i="157" s="1"/>
  <c r="T901" i="157"/>
  <c r="U901" i="157" s="1"/>
  <c r="T902" i="157"/>
  <c r="U902" i="157" s="1"/>
  <c r="T778" i="157"/>
  <c r="U778" i="157" s="1"/>
  <c r="T1084" i="157"/>
  <c r="U1084" i="157" s="1"/>
  <c r="T1999" i="157"/>
  <c r="U1999" i="157" s="1"/>
  <c r="T903" i="157"/>
  <c r="U903" i="157" s="1"/>
  <c r="T870" i="157"/>
  <c r="U870" i="157" s="1"/>
  <c r="T1742" i="157"/>
  <c r="U1742" i="157" s="1"/>
  <c r="T1612" i="157"/>
  <c r="U1612" i="157" s="1"/>
  <c r="T741" i="157"/>
  <c r="U741" i="157" s="1"/>
  <c r="T1630" i="157"/>
  <c r="U1630" i="157" s="1"/>
  <c r="T1874" i="157"/>
  <c r="U1874" i="157" s="1"/>
  <c r="T1845" i="157"/>
  <c r="U1845" i="157" s="1"/>
  <c r="T378" i="157"/>
  <c r="U378" i="157" s="1"/>
  <c r="T942" i="157"/>
  <c r="U942" i="157" s="1"/>
  <c r="T742" i="157"/>
  <c r="U742" i="157" s="1"/>
  <c r="T344" i="157"/>
  <c r="U344" i="157" s="1"/>
  <c r="T206" i="157"/>
  <c r="U206" i="157" s="1"/>
  <c r="T1303" i="157"/>
  <c r="U1303" i="157" s="1"/>
  <c r="T338" i="157"/>
  <c r="U338" i="157" s="1"/>
  <c r="T867" i="157"/>
  <c r="U867" i="157" s="1"/>
  <c r="T1860" i="157"/>
  <c r="U1860" i="157" s="1"/>
  <c r="T1593" i="157"/>
  <c r="U1593" i="157" s="1"/>
  <c r="T1241" i="157"/>
  <c r="U1241" i="157" s="1"/>
  <c r="T1383" i="157"/>
  <c r="U1383" i="157" s="1"/>
  <c r="T1743" i="157"/>
  <c r="U1743" i="157" s="1"/>
  <c r="T1522" i="157"/>
  <c r="U1522" i="157" s="1"/>
  <c r="T1043" i="157"/>
  <c r="U1043" i="157" s="1"/>
  <c r="T825" i="157"/>
  <c r="U825" i="157" s="1"/>
  <c r="T1703" i="157"/>
  <c r="U1703" i="157" s="1"/>
  <c r="T1477" i="157"/>
  <c r="U1477" i="157" s="1"/>
  <c r="T1897" i="157"/>
  <c r="U1897" i="157" s="1"/>
  <c r="T253" i="157"/>
  <c r="U253" i="157" s="1"/>
  <c r="T831" i="157"/>
  <c r="U831" i="157" s="1"/>
  <c r="T791" i="157"/>
  <c r="U791" i="157" s="1"/>
  <c r="T287" i="157"/>
  <c r="U287" i="157" s="1"/>
  <c r="T1692" i="157"/>
  <c r="U1692" i="157" s="1"/>
  <c r="T1301" i="157"/>
  <c r="U1301" i="157" s="1"/>
  <c r="T645" i="157"/>
  <c r="U645" i="157" s="1"/>
  <c r="T1816" i="157"/>
  <c r="U1816" i="157" s="1"/>
  <c r="T1822" i="157"/>
  <c r="U1822" i="157" s="1"/>
  <c r="T597" i="157"/>
  <c r="U597" i="157" s="1"/>
  <c r="T1635" i="157"/>
  <c r="U1635" i="157" s="1"/>
  <c r="T1438" i="157"/>
  <c r="U1438" i="157" s="1"/>
  <c r="T354" i="157"/>
  <c r="U354" i="157" s="1"/>
  <c r="T815" i="157"/>
  <c r="U815" i="157" s="1"/>
  <c r="T1254" i="157"/>
  <c r="U1254" i="157" s="1"/>
  <c r="T506" i="157"/>
  <c r="U506" i="157" s="1"/>
  <c r="T908" i="157"/>
  <c r="U908" i="157" s="1"/>
  <c r="T1120" i="157"/>
  <c r="U1120" i="157" s="1"/>
  <c r="T1302" i="157"/>
  <c r="U1302" i="157" s="1"/>
  <c r="T1573" i="157"/>
  <c r="U1573" i="157" s="1"/>
  <c r="T249" i="157"/>
  <c r="U249" i="157" s="1"/>
  <c r="T1909" i="157"/>
  <c r="U1909" i="157" s="1"/>
  <c r="T608" i="157"/>
  <c r="U608" i="157" s="1"/>
  <c r="T1750" i="157"/>
  <c r="U1750" i="157" s="1"/>
  <c r="T1495" i="157"/>
  <c r="U1495" i="157" s="1"/>
  <c r="T790" i="157"/>
  <c r="U790" i="157" s="1"/>
  <c r="T1286" i="157"/>
  <c r="U1286" i="157" s="1"/>
  <c r="T1259" i="157"/>
  <c r="U1259" i="157" s="1"/>
  <c r="T694" i="157"/>
  <c r="U694" i="157" s="1"/>
  <c r="T734" i="157"/>
  <c r="U734" i="157" s="1"/>
  <c r="T699" i="157"/>
  <c r="U699" i="157" s="1"/>
  <c r="T327" i="157"/>
  <c r="U327" i="157" s="1"/>
  <c r="T218" i="157"/>
  <c r="U218" i="157" s="1"/>
  <c r="T181" i="157"/>
  <c r="U181" i="157" s="1"/>
  <c r="T1861" i="157"/>
  <c r="U1861" i="157" s="1"/>
  <c r="T641" i="157"/>
  <c r="U641" i="157" s="1"/>
  <c r="T1891" i="157"/>
  <c r="U1891" i="157" s="1"/>
  <c r="T427" i="157"/>
  <c r="U427" i="157" s="1"/>
  <c r="T159" i="157"/>
  <c r="U159" i="157" s="1"/>
  <c r="T1496" i="157"/>
  <c r="U1496" i="157" s="1"/>
  <c r="T1390" i="157"/>
  <c r="U1390" i="157" s="1"/>
  <c r="T1022" i="157"/>
  <c r="U1022" i="157" s="1"/>
  <c r="T1654" i="157"/>
  <c r="U1654" i="157" s="1"/>
  <c r="T1889" i="157"/>
  <c r="U1889" i="157" s="1"/>
  <c r="T1789" i="157"/>
  <c r="U1789" i="157" s="1"/>
  <c r="T1726" i="157"/>
  <c r="U1726" i="157" s="1"/>
  <c r="T1514" i="157"/>
  <c r="U1514" i="157" s="1"/>
  <c r="T141" i="157"/>
  <c r="U141" i="157" s="1"/>
  <c r="T1892" i="157"/>
  <c r="U1892" i="157" s="1"/>
  <c r="T1533" i="157"/>
  <c r="U1533" i="157" s="1"/>
  <c r="T138" i="157"/>
  <c r="U138" i="157" s="1"/>
  <c r="T1858" i="157"/>
  <c r="U1858" i="157" s="1"/>
  <c r="T1391" i="157"/>
  <c r="U1391" i="157" s="1"/>
  <c r="T156" i="157"/>
  <c r="U156" i="157" s="1"/>
  <c r="T264" i="157"/>
  <c r="U264" i="157" s="1"/>
  <c r="T1773" i="157"/>
  <c r="U1773" i="157" s="1"/>
  <c r="T1785" i="157"/>
  <c r="U1785" i="157" s="1"/>
  <c r="T638" i="157"/>
  <c r="U638" i="157" s="1"/>
  <c r="T1701" i="157"/>
  <c r="U1701" i="157" s="1"/>
  <c r="T1605" i="157"/>
  <c r="U1605" i="157" s="1"/>
  <c r="T1562" i="157"/>
  <c r="U1562" i="157" s="1"/>
  <c r="T1502" i="157"/>
  <c r="U1502" i="157" s="1"/>
  <c r="T1454" i="157"/>
  <c r="U1454" i="157" s="1"/>
  <c r="T1400" i="157"/>
  <c r="U1400" i="157" s="1"/>
  <c r="T1327" i="157"/>
  <c r="U1327" i="157" s="1"/>
  <c r="T1264" i="157"/>
  <c r="U1264" i="157" s="1"/>
  <c r="T1599" i="157"/>
  <c r="U1599" i="157" s="1"/>
  <c r="T1008" i="157"/>
  <c r="U1008" i="157" s="1"/>
  <c r="T1425" i="157"/>
  <c r="U1425" i="157" s="1"/>
  <c r="T1201" i="157"/>
  <c r="U1201" i="157" s="1"/>
  <c r="T1119" i="157"/>
  <c r="U1119" i="157" s="1"/>
  <c r="T1163" i="157"/>
  <c r="U1163" i="157" s="1"/>
  <c r="T1063" i="157"/>
  <c r="U1063" i="157" s="1"/>
  <c r="T946" i="157"/>
  <c r="U946" i="157" s="1"/>
  <c r="T921" i="157"/>
  <c r="U921" i="157" s="1"/>
  <c r="T709" i="157"/>
  <c r="U709" i="157" s="1"/>
  <c r="T1402" i="157"/>
  <c r="U1402" i="157" s="1"/>
  <c r="T1260" i="157"/>
  <c r="U1260" i="157" s="1"/>
  <c r="T1908" i="157"/>
  <c r="U1908" i="157" s="1"/>
  <c r="T1907" i="157"/>
  <c r="U1907" i="157" s="1"/>
  <c r="T1449" i="157"/>
  <c r="U1449" i="157" s="1"/>
  <c r="T1384" i="157"/>
  <c r="U1384" i="157" s="1"/>
  <c r="T1322" i="157"/>
  <c r="U1322" i="157" s="1"/>
  <c r="T1238" i="157"/>
  <c r="U1238" i="157" s="1"/>
  <c r="T1197" i="157"/>
  <c r="U1197" i="157" s="1"/>
  <c r="T1086" i="157"/>
  <c r="U1086" i="157" s="1"/>
  <c r="T822" i="157"/>
  <c r="U822" i="157" s="1"/>
  <c r="T399" i="157"/>
  <c r="U399" i="157" s="1"/>
  <c r="T1170" i="157"/>
  <c r="U1170" i="157" s="1"/>
  <c r="T527" i="157"/>
  <c r="U527" i="157" s="1"/>
  <c r="T1886" i="157"/>
  <c r="U1886" i="157" s="1"/>
  <c r="T162" i="157"/>
  <c r="U162" i="157" s="1"/>
  <c r="T1851" i="157"/>
  <c r="U1851" i="157" s="1"/>
  <c r="T1862" i="157"/>
  <c r="U1862" i="157" s="1"/>
  <c r="T1834" i="157"/>
  <c r="U1834" i="157" s="1"/>
  <c r="T1408" i="157"/>
  <c r="U1408" i="157" s="1"/>
  <c r="T102" i="157"/>
  <c r="U102" i="157" s="1"/>
  <c r="T1998" i="157"/>
  <c r="U1998" i="157" s="1"/>
  <c r="T1788" i="157"/>
  <c r="U1788" i="157" s="1"/>
  <c r="T1831" i="157"/>
  <c r="U1831" i="157" s="1"/>
  <c r="T1414" i="157"/>
  <c r="U1414" i="157" s="1"/>
  <c r="T920" i="157"/>
  <c r="U920" i="157" s="1"/>
  <c r="T1044" i="157"/>
  <c r="U1044" i="157" s="1"/>
  <c r="T1640" i="157"/>
  <c r="U1640" i="157" s="1"/>
  <c r="T1542" i="157"/>
  <c r="U1542" i="157" s="1"/>
  <c r="T1354" i="157"/>
  <c r="U1354" i="157" s="1"/>
  <c r="T1244" i="157"/>
  <c r="U1244" i="157" s="1"/>
  <c r="T576" i="157"/>
  <c r="U576" i="157" s="1"/>
  <c r="T1700" i="157"/>
  <c r="U1700" i="157" s="1"/>
  <c r="T1428" i="157"/>
  <c r="U1428" i="157" s="1"/>
  <c r="T1410" i="157"/>
  <c r="U1410" i="157" s="1"/>
  <c r="T1806" i="157"/>
  <c r="U1806" i="157" s="1"/>
  <c r="T909" i="157"/>
  <c r="U909" i="157" s="1"/>
  <c r="T1807" i="157"/>
  <c r="U1807" i="157" s="1"/>
  <c r="T1761" i="157"/>
  <c r="U1761" i="157" s="1"/>
  <c r="T1602" i="157"/>
  <c r="U1602" i="157" s="1"/>
  <c r="T1824" i="157"/>
  <c r="U1824" i="157" s="1"/>
  <c r="T1292" i="157"/>
  <c r="U1292" i="157" s="1"/>
  <c r="T795" i="157"/>
  <c r="U795" i="157" s="1"/>
  <c r="T1156" i="157"/>
  <c r="U1156" i="157" s="1"/>
  <c r="T1850" i="157"/>
  <c r="U1850" i="157" s="1"/>
  <c r="T477" i="157"/>
  <c r="U477" i="157" s="1"/>
  <c r="T1494" i="157"/>
  <c r="U1494" i="157" s="1"/>
  <c r="T1890" i="157"/>
  <c r="U1890" i="157" s="1"/>
  <c r="T807" i="157"/>
  <c r="U807" i="157" s="1"/>
  <c r="T1864" i="157"/>
  <c r="U1864" i="157" s="1"/>
  <c r="T1839" i="157"/>
  <c r="U1839" i="157" s="1"/>
  <c r="T1047" i="157"/>
  <c r="U1047" i="157" s="1"/>
  <c r="T1526" i="157"/>
  <c r="U1526" i="157" s="1"/>
  <c r="T1594" i="157"/>
  <c r="U1594" i="157" s="1"/>
  <c r="T1389" i="157"/>
  <c r="U1389" i="157" s="1"/>
  <c r="T1793" i="157"/>
  <c r="U1793" i="157" s="1"/>
  <c r="T1787" i="157"/>
  <c r="U1787" i="157" s="1"/>
  <c r="T1665" i="157"/>
  <c r="U1665" i="157" s="1"/>
  <c r="T1293" i="157"/>
  <c r="U1293" i="157" s="1"/>
  <c r="T1693" i="157"/>
  <c r="U1693" i="157" s="1"/>
  <c r="T1493" i="157"/>
  <c r="U1493" i="157" s="1"/>
  <c r="T1091" i="157"/>
  <c r="U1091" i="157" s="1"/>
  <c r="T1873" i="157"/>
  <c r="U1873" i="157" s="1"/>
  <c r="T1747" i="157"/>
  <c r="U1747" i="157" s="1"/>
  <c r="T1702" i="157"/>
  <c r="U1702" i="157" s="1"/>
  <c r="T1621" i="157"/>
  <c r="U1621" i="157" s="1"/>
  <c r="T1618" i="157"/>
  <c r="U1618" i="157" s="1"/>
  <c r="T1508" i="157"/>
  <c r="U1508" i="157" s="1"/>
  <c r="T1685" i="157"/>
  <c r="U1685" i="157" s="1"/>
  <c r="T1686" i="157"/>
  <c r="U1686" i="157" s="1"/>
  <c r="T1687" i="157"/>
  <c r="U1687" i="157" s="1"/>
  <c r="T1688" i="157"/>
  <c r="U1688" i="157" s="1"/>
  <c r="T1214" i="157"/>
  <c r="U1214" i="157" s="1"/>
  <c r="T445" i="157"/>
  <c r="U445" i="157" s="1"/>
  <c r="T1178" i="157"/>
  <c r="U1178" i="157" s="1"/>
  <c r="T748" i="157"/>
  <c r="U748" i="157" s="1"/>
  <c r="T1997" i="157"/>
  <c r="U1997" i="157" s="1"/>
  <c r="T341" i="157"/>
  <c r="U341" i="157" s="1"/>
  <c r="T1318" i="157"/>
  <c r="U1318" i="157" s="1"/>
  <c r="T1411" i="157"/>
  <c r="U1411" i="157" s="1"/>
  <c r="T1437" i="157"/>
  <c r="U1437" i="157" s="1"/>
  <c r="T1412" i="157"/>
  <c r="U1412" i="157" s="1"/>
  <c r="T1760" i="157"/>
  <c r="U1760" i="157" s="1"/>
  <c r="T1447" i="157"/>
  <c r="U1447" i="157" s="1"/>
  <c r="T680" i="157"/>
  <c r="U680" i="157" s="1"/>
  <c r="T1326" i="157"/>
  <c r="U1326" i="157" s="1"/>
  <c r="T1346" i="157"/>
  <c r="U1346" i="157" s="1"/>
  <c r="T1841" i="157"/>
  <c r="U1841" i="157" s="1"/>
  <c r="T1857" i="157"/>
  <c r="U1857" i="157" s="1"/>
  <c r="T1859" i="157"/>
  <c r="U1859" i="157" s="1"/>
  <c r="T1403" i="157"/>
  <c r="U1403" i="157" s="1"/>
  <c r="T594" i="157"/>
  <c r="U594" i="157" s="1"/>
  <c r="T1067" i="157"/>
  <c r="U1067" i="157" s="1"/>
  <c r="T1328" i="157"/>
  <c r="U1328" i="157" s="1"/>
  <c r="T663" i="157"/>
  <c r="U663" i="157" s="1"/>
  <c r="T534" i="157"/>
  <c r="U534" i="157" s="1"/>
  <c r="T1778" i="157"/>
  <c r="U1778" i="157" s="1"/>
  <c r="T1744" i="157"/>
  <c r="U1744" i="157" s="1"/>
  <c r="T1611" i="157"/>
  <c r="U1611" i="157" s="1"/>
  <c r="T1728" i="157"/>
  <c r="U1728" i="157" s="1"/>
  <c r="T1729" i="157"/>
  <c r="U1729" i="157" s="1"/>
  <c r="T1296" i="157"/>
  <c r="U1296" i="157" s="1"/>
  <c r="T1182" i="157"/>
  <c r="U1182" i="157" s="1"/>
  <c r="T1378" i="157"/>
  <c r="U1378" i="157" s="1"/>
  <c r="T343" i="157"/>
  <c r="U343" i="157" s="1"/>
  <c r="T593" i="157"/>
  <c r="U593" i="157" s="1"/>
  <c r="T1756" i="157"/>
  <c r="U1756" i="157" s="1"/>
  <c r="T1722" i="157"/>
  <c r="U1722" i="157" s="1"/>
  <c r="T1305" i="157"/>
  <c r="U1305" i="157" s="1"/>
  <c r="T1730" i="157"/>
  <c r="U1730" i="157" s="1"/>
  <c r="T1287" i="157"/>
  <c r="U1287" i="157" s="1"/>
  <c r="T1619" i="157"/>
  <c r="U1619" i="157" s="1"/>
  <c r="T1488" i="157"/>
  <c r="U1488" i="157" s="1"/>
  <c r="T220" i="157"/>
  <c r="U220" i="157" s="1"/>
  <c r="T888" i="157"/>
  <c r="U888" i="157" s="1"/>
  <c r="T1620" i="157"/>
  <c r="U1620" i="157" s="1"/>
  <c r="T1077" i="157"/>
  <c r="U1077" i="157" s="1"/>
  <c r="T812" i="157"/>
  <c r="U812" i="157" s="1"/>
  <c r="T1667" i="157"/>
  <c r="U1667" i="157" s="1"/>
  <c r="T1689" i="157"/>
  <c r="U1689" i="157" s="1"/>
  <c r="T1202" i="157"/>
  <c r="U1202" i="157" s="1"/>
  <c r="T1910" i="157"/>
  <c r="U1910" i="157" s="1"/>
  <c r="T1576" i="157"/>
  <c r="U1576" i="157" s="1"/>
  <c r="T765" i="157"/>
  <c r="U765" i="157" s="1"/>
  <c r="T1632" i="157"/>
  <c r="U1632" i="157" s="1"/>
  <c r="T1609" i="157"/>
  <c r="U1609" i="157" s="1"/>
  <c r="T1311" i="157"/>
  <c r="U1311" i="157" s="1"/>
  <c r="T1906" i="157"/>
  <c r="U1906" i="157" s="1"/>
  <c r="T1879" i="157"/>
  <c r="U1879" i="157" s="1"/>
  <c r="T457" i="157"/>
  <c r="U457" i="157" s="1"/>
  <c r="T1613" i="157"/>
  <c r="U1613" i="157" s="1"/>
  <c r="T1472" i="157"/>
  <c r="U1472" i="157" s="1"/>
  <c r="T1471" i="157"/>
  <c r="U1471" i="157" s="1"/>
  <c r="T1590" i="157"/>
  <c r="U1590" i="157" s="1"/>
  <c r="T1591" i="157"/>
  <c r="U1591" i="157" s="1"/>
  <c r="T1592" i="157"/>
  <c r="U1592" i="157" s="1"/>
  <c r="T1492" i="157"/>
  <c r="U1492" i="157" s="1"/>
  <c r="T1405" i="157"/>
  <c r="U1405" i="157" s="1"/>
  <c r="T1406" i="157"/>
  <c r="U1406" i="157" s="1"/>
  <c r="T1407" i="157"/>
  <c r="U1407" i="157" s="1"/>
  <c r="T1309" i="157"/>
  <c r="U1309" i="157" s="1"/>
  <c r="T828" i="157"/>
  <c r="U828" i="157" s="1"/>
  <c r="T1865" i="157"/>
  <c r="U1865" i="157" s="1"/>
  <c r="T1846" i="157"/>
  <c r="U1846" i="157" s="1"/>
  <c r="T1664" i="157"/>
  <c r="U1664" i="157" s="1"/>
  <c r="T966" i="157"/>
  <c r="U966" i="157" s="1"/>
  <c r="T876" i="157"/>
  <c r="U876" i="157" s="1"/>
  <c r="T1521" i="157"/>
  <c r="U1521" i="157" s="1"/>
  <c r="T1523" i="157"/>
  <c r="U1523" i="157" s="1"/>
  <c r="T1413" i="157"/>
  <c r="U1413" i="157" s="1"/>
  <c r="T1489" i="157"/>
  <c r="U1489" i="157" s="1"/>
  <c r="T640" i="157"/>
  <c r="U640" i="157" s="1"/>
  <c r="T731" i="157"/>
  <c r="U731" i="157" s="1"/>
  <c r="T827" i="157"/>
  <c r="U827" i="157" s="1"/>
  <c r="T826" i="157"/>
  <c r="U826" i="157" s="1"/>
  <c r="T760" i="157"/>
  <c r="U760" i="157" s="1"/>
  <c r="T1203" i="157"/>
  <c r="U1203" i="157" s="1"/>
  <c r="T1490" i="157"/>
  <c r="U1490" i="157" s="1"/>
  <c r="T317" i="157"/>
  <c r="U317" i="157" s="1"/>
  <c r="T656" i="157"/>
  <c r="U656" i="157" s="1"/>
  <c r="T318" i="157"/>
  <c r="U318" i="157" s="1"/>
  <c r="T1491" i="157"/>
  <c r="U1491" i="157" s="1"/>
  <c r="T1374" i="157"/>
  <c r="U1374" i="157" s="1"/>
  <c r="T1427" i="157"/>
  <c r="U1427" i="157" s="1"/>
  <c r="T1429" i="157"/>
  <c r="U1429" i="157" s="1"/>
  <c r="T554" i="157"/>
  <c r="U554" i="157" s="1"/>
  <c r="T328" i="157"/>
  <c r="U328" i="157" s="1"/>
  <c r="T905" i="157"/>
  <c r="U905" i="157" s="1"/>
  <c r="T217" i="157"/>
  <c r="U217" i="157" s="1"/>
  <c r="T476" i="157"/>
  <c r="U476" i="157" s="1"/>
  <c r="T1551" i="157"/>
  <c r="U1551" i="157" s="1"/>
  <c r="T1306" i="157"/>
  <c r="U1306" i="157" s="1"/>
  <c r="T707" i="157"/>
  <c r="U707" i="157" s="1"/>
  <c r="T178" i="157"/>
  <c r="U178" i="157" s="1"/>
  <c r="T1307" i="157"/>
  <c r="U1307" i="157" s="1"/>
  <c r="T1404" i="157"/>
  <c r="U1404" i="157" s="1"/>
  <c r="T555" i="157"/>
  <c r="U555" i="157" s="1"/>
  <c r="T293" i="157"/>
  <c r="U293" i="157" s="1"/>
  <c r="T1045" i="157"/>
  <c r="U1045" i="157" s="1"/>
  <c r="T1310" i="157"/>
  <c r="U1310" i="157" s="1"/>
  <c r="T838" i="157"/>
  <c r="U838" i="157" s="1"/>
  <c r="T749" i="157"/>
  <c r="U749" i="157" s="1"/>
  <c r="T1387" i="157"/>
  <c r="U1387" i="157" s="1"/>
  <c r="T1388" i="157"/>
  <c r="U1388" i="157" s="1"/>
  <c r="T1385" i="157"/>
  <c r="U1385" i="157" s="1"/>
  <c r="T1372" i="157"/>
  <c r="U1372" i="157" s="1"/>
  <c r="T1213" i="157"/>
  <c r="U1213" i="157" s="1"/>
  <c r="T1187" i="157"/>
  <c r="U1187" i="157" s="1"/>
  <c r="T1827" i="157"/>
  <c r="U1827" i="157" s="1"/>
  <c r="T1510" i="157"/>
  <c r="U1510" i="157" s="1"/>
  <c r="T1395" i="157"/>
  <c r="U1395" i="157" s="1"/>
  <c r="T1375" i="157"/>
  <c r="U1375" i="157" s="1"/>
  <c r="T824" i="157"/>
  <c r="U824" i="157" s="1"/>
  <c r="T819" i="157"/>
  <c r="U819" i="157" s="1"/>
  <c r="T1646" i="157"/>
  <c r="U1646" i="157" s="1"/>
  <c r="T1595" i="157"/>
  <c r="U1595" i="157" s="1"/>
  <c r="T1552" i="157"/>
  <c r="U1552" i="157" s="1"/>
  <c r="T1511" i="157"/>
  <c r="U1511" i="157" s="1"/>
  <c r="T1444" i="157"/>
  <c r="U1444" i="157" s="1"/>
  <c r="T1329" i="157"/>
  <c r="U1329" i="157" s="1"/>
  <c r="T1012" i="157"/>
  <c r="U1012" i="157" s="1"/>
  <c r="T1515" i="157"/>
  <c r="U1515" i="157" s="1"/>
  <c r="T1089" i="157"/>
  <c r="U1089" i="157" s="1"/>
  <c r="T1288" i="157"/>
  <c r="U1288" i="157" s="1"/>
  <c r="T346" i="157"/>
  <c r="U346" i="157" s="1"/>
  <c r="T1731" i="157"/>
  <c r="U1731" i="157" s="1"/>
  <c r="T1289" i="157"/>
  <c r="U1289" i="157" s="1"/>
  <c r="T1290" i="157"/>
  <c r="U1290" i="157" s="1"/>
  <c r="T1482" i="157"/>
  <c r="U1482" i="157" s="1"/>
  <c r="T1291" i="157"/>
  <c r="U1291" i="157" s="1"/>
  <c r="T1243" i="157"/>
  <c r="U1243" i="157" s="1"/>
  <c r="T1849" i="157"/>
  <c r="U1849" i="157" s="1"/>
  <c r="T250" i="157"/>
  <c r="U250" i="157" s="1"/>
  <c r="T1023" i="157"/>
  <c r="U1023" i="157" s="1"/>
  <c r="T1204" i="157"/>
  <c r="U1204" i="157" s="1"/>
  <c r="T580" i="157"/>
  <c r="U580" i="157" s="1"/>
  <c r="T455" i="157"/>
  <c r="U455" i="157" s="1"/>
  <c r="T1000" i="157"/>
  <c r="U1000" i="157" s="1"/>
  <c r="T1124" i="157"/>
  <c r="U1124" i="157" s="1"/>
  <c r="T454" i="157"/>
  <c r="U454" i="157" s="1"/>
  <c r="T733" i="157"/>
  <c r="U733" i="157" s="1"/>
  <c r="T961" i="157"/>
  <c r="U961" i="157" s="1"/>
  <c r="T1218" i="157"/>
  <c r="U1218" i="157" s="1"/>
  <c r="T1299" i="157"/>
  <c r="U1299" i="157" s="1"/>
  <c r="T1556" i="157"/>
  <c r="U1556" i="157" s="1"/>
  <c r="T1298" i="157"/>
  <c r="U1298" i="157" s="1"/>
  <c r="T1009" i="157"/>
  <c r="U1009" i="157" s="1"/>
  <c r="T179" i="157"/>
  <c r="U179" i="157" s="1"/>
  <c r="T161" i="157"/>
  <c r="U161" i="157" s="1"/>
  <c r="T730" i="157"/>
  <c r="U730" i="157" s="1"/>
  <c r="T348" i="157"/>
  <c r="U348" i="157" s="1"/>
  <c r="T1371" i="157"/>
  <c r="U1371" i="157" s="1"/>
  <c r="T524" i="157"/>
  <c r="U524" i="157" s="1"/>
  <c r="T1480" i="157"/>
  <c r="U1480" i="157" s="1"/>
  <c r="T1074" i="157"/>
  <c r="U1074" i="157" s="1"/>
  <c r="T1171" i="157"/>
  <c r="U1171" i="157" s="1"/>
  <c r="T149" i="157"/>
  <c r="U149" i="157" s="1"/>
  <c r="T146" i="157"/>
  <c r="U146" i="157" s="1"/>
  <c r="T316" i="157"/>
  <c r="U316" i="157" s="1"/>
  <c r="T1263" i="157"/>
  <c r="U1263" i="157" s="1"/>
  <c r="T139" i="157"/>
  <c r="U139" i="157" s="1"/>
  <c r="T1162" i="157"/>
  <c r="U1162" i="157" s="1"/>
  <c r="T245" i="157"/>
  <c r="U245" i="157" s="1"/>
  <c r="T968" i="157"/>
  <c r="U968" i="157" s="1"/>
  <c r="T278" i="157"/>
  <c r="U278" i="157" s="1"/>
  <c r="T137" i="157"/>
  <c r="U137" i="157" s="1"/>
  <c r="T668" i="157"/>
  <c r="U668" i="157" s="1"/>
  <c r="T1603" i="157"/>
  <c r="U1603" i="157" s="1"/>
  <c r="T941" i="157"/>
  <c r="U941" i="157" s="1"/>
  <c r="T619" i="157"/>
  <c r="U619" i="157" s="1"/>
  <c r="T1161" i="157"/>
  <c r="U1161" i="157" s="1"/>
  <c r="T808" i="157"/>
  <c r="U808" i="157" s="1"/>
  <c r="T916" i="157"/>
  <c r="U916" i="157" s="1"/>
  <c r="T967" i="157"/>
  <c r="U967" i="157" s="1"/>
  <c r="T890" i="157"/>
  <c r="U890" i="157" s="1"/>
  <c r="T239" i="157"/>
  <c r="U239" i="157" s="1"/>
  <c r="T223" i="157"/>
  <c r="U223" i="157" s="1"/>
  <c r="T596" i="157"/>
  <c r="U596" i="157" s="1"/>
  <c r="T618" i="157"/>
  <c r="U618" i="157" s="1"/>
  <c r="T573" i="157"/>
  <c r="U573" i="157" s="1"/>
  <c r="T887" i="157"/>
  <c r="U887" i="157" s="1"/>
  <c r="T93" i="157"/>
  <c r="U93" i="157" s="1"/>
  <c r="T94" i="157"/>
  <c r="U94" i="157" s="1"/>
  <c r="T342" i="157"/>
  <c r="U342" i="157" s="1"/>
  <c r="T1519" i="157"/>
  <c r="U1519" i="157" s="1"/>
  <c r="T526" i="157"/>
  <c r="U526" i="157" s="1"/>
  <c r="T377" i="157"/>
  <c r="U377" i="157" s="1"/>
  <c r="T689" i="157"/>
  <c r="U689" i="157" s="1"/>
  <c r="T1359" i="157"/>
  <c r="U1359" i="157" s="1"/>
  <c r="T839" i="157"/>
  <c r="U839" i="157" s="1"/>
  <c r="T1842" i="157"/>
  <c r="U1842" i="157" s="1"/>
  <c r="T1779" i="157"/>
  <c r="U1779" i="157" s="1"/>
  <c r="T1129" i="157"/>
  <c r="U1129" i="157" s="1"/>
  <c r="T907" i="157"/>
  <c r="U907" i="157" s="1"/>
  <c r="T420" i="157"/>
  <c r="U420" i="157" s="1"/>
  <c r="T611" i="157"/>
  <c r="U611" i="157" s="1"/>
  <c r="T583" i="157"/>
  <c r="U583" i="157" s="1"/>
  <c r="T1520" i="157"/>
  <c r="U1520" i="157" s="1"/>
  <c r="T1274" i="157"/>
  <c r="U1274" i="157" s="1"/>
  <c r="T1478" i="157"/>
  <c r="U1478" i="157" s="1"/>
  <c r="T1791" i="157"/>
  <c r="U1791" i="157" s="1"/>
  <c r="T1776" i="157"/>
  <c r="U1776" i="157" s="1"/>
  <c r="T1765" i="157"/>
  <c r="U1765" i="157" s="1"/>
  <c r="T1652" i="157"/>
  <c r="U1652" i="157" s="1"/>
  <c r="T1631" i="157"/>
  <c r="U1631" i="157" s="1"/>
  <c r="T1600" i="157"/>
  <c r="U1600" i="157" s="1"/>
  <c r="T1483" i="157"/>
  <c r="U1483" i="157" s="1"/>
  <c r="T1443" i="157"/>
  <c r="U1443" i="157" s="1"/>
  <c r="T1416" i="157"/>
  <c r="U1416" i="157" s="1"/>
  <c r="T1386" i="157"/>
  <c r="U1386" i="157" s="1"/>
  <c r="T1373" i="157"/>
  <c r="U1373" i="157" s="1"/>
  <c r="T1266" i="157"/>
  <c r="U1266" i="157" s="1"/>
  <c r="T1199" i="157"/>
  <c r="U1199" i="157" s="1"/>
  <c r="T126" i="157"/>
  <c r="U126" i="157" s="1"/>
  <c r="T845" i="157"/>
  <c r="U845" i="157" s="1"/>
  <c r="T844" i="157"/>
  <c r="U844" i="157" s="1"/>
  <c r="T868" i="157"/>
  <c r="U868" i="157" s="1"/>
  <c r="T813" i="157"/>
  <c r="U813" i="157" s="1"/>
  <c r="T1323" i="157"/>
  <c r="U1323" i="157" s="1"/>
  <c r="T1198" i="157"/>
  <c r="U1198" i="157" s="1"/>
  <c r="T376" i="157"/>
  <c r="U376" i="157" s="1"/>
  <c r="T1325" i="157"/>
  <c r="U1325" i="157" s="1"/>
  <c r="T356" i="157"/>
  <c r="U356" i="157" s="1"/>
  <c r="T584" i="157"/>
  <c r="U584" i="157" s="1"/>
  <c r="T1227" i="157"/>
  <c r="U1227" i="157" s="1"/>
  <c r="T1872" i="157"/>
  <c r="U1872" i="157" s="1"/>
  <c r="T443" i="157"/>
  <c r="U443" i="157" s="1"/>
  <c r="T340" i="157"/>
  <c r="U340" i="157" s="1"/>
  <c r="T135" i="157"/>
  <c r="U135" i="157" s="1"/>
  <c r="T136" i="157"/>
  <c r="U136" i="157" s="1"/>
  <c r="T105" i="157"/>
  <c r="U105" i="157" s="1"/>
  <c r="T1360" i="157"/>
  <c r="U1360" i="157" s="1"/>
  <c r="T1996" i="157"/>
  <c r="U1996" i="157" s="1"/>
  <c r="T1152" i="157"/>
  <c r="U1152" i="157" s="1"/>
  <c r="T357" i="157"/>
  <c r="U357" i="157" s="1"/>
  <c r="T312" i="157"/>
  <c r="U312" i="157" s="1"/>
  <c r="T1056" i="157"/>
  <c r="U1056" i="157" s="1"/>
  <c r="T679" i="157"/>
  <c r="U679" i="157" s="1"/>
  <c r="T313" i="157"/>
  <c r="U313" i="157" s="1"/>
  <c r="T1423" i="157"/>
  <c r="U1423" i="157" s="1"/>
  <c r="T710" i="157"/>
  <c r="U710" i="157" s="1"/>
  <c r="T1256" i="157"/>
  <c r="U1256" i="157" s="1"/>
  <c r="T779" i="157"/>
  <c r="U779" i="157" s="1"/>
  <c r="T1224" i="157"/>
  <c r="U1224" i="157" s="1"/>
  <c r="T1169" i="157"/>
  <c r="U1169" i="157" s="1"/>
  <c r="T762" i="157"/>
  <c r="U762" i="157" s="1"/>
  <c r="T843" i="157"/>
  <c r="U843" i="157" s="1"/>
  <c r="T1875" i="157"/>
  <c r="U1875" i="157" s="1"/>
  <c r="T1847" i="157"/>
  <c r="U1847" i="157" s="1"/>
  <c r="T415" i="157"/>
  <c r="U415" i="157" s="1"/>
  <c r="T184" i="157"/>
  <c r="U184" i="157" s="1"/>
  <c r="T152" i="157"/>
  <c r="U152" i="157" s="1"/>
  <c r="T176" i="157"/>
  <c r="U176" i="157" s="1"/>
  <c r="T1272" i="157"/>
  <c r="U1272" i="157" s="1"/>
  <c r="T1164" i="157"/>
  <c r="U1164" i="157" s="1"/>
  <c r="T1117" i="157"/>
  <c r="U1117" i="157" s="1"/>
  <c r="T314" i="157"/>
  <c r="U314" i="157" s="1"/>
  <c r="T315" i="157"/>
  <c r="U315" i="157" s="1"/>
  <c r="T1818" i="157"/>
  <c r="U1818" i="157" s="1"/>
  <c r="T1737" i="157"/>
  <c r="U1737" i="157" s="1"/>
  <c r="T1596" i="157"/>
  <c r="U1596" i="157" s="1"/>
  <c r="T729" i="157"/>
  <c r="U729" i="157" s="1"/>
  <c r="T721" i="157"/>
  <c r="U721" i="157" s="1"/>
  <c r="T204" i="157"/>
  <c r="U204" i="157" s="1"/>
  <c r="T1029" i="157"/>
  <c r="U1029" i="157" s="1"/>
  <c r="T1027" i="157"/>
  <c r="U1027" i="157" s="1"/>
  <c r="T690" i="157"/>
  <c r="U690" i="157" s="1"/>
  <c r="T1766" i="157"/>
  <c r="U1766" i="157" s="1"/>
  <c r="T937" i="157"/>
  <c r="U937" i="157" s="1"/>
  <c r="T1821" i="157"/>
  <c r="U1821" i="157" s="1"/>
  <c r="T1725" i="157"/>
  <c r="U1725" i="157" s="1"/>
  <c r="T1563" i="157"/>
  <c r="U1563" i="157" s="1"/>
  <c r="T1237" i="157"/>
  <c r="U1237" i="157" s="1"/>
  <c r="T155" i="157"/>
  <c r="U155" i="157" s="1"/>
  <c r="T1676" i="157"/>
  <c r="U1676" i="157" s="1"/>
  <c r="T1658" i="157"/>
  <c r="U1658" i="157" s="1"/>
  <c r="T1118" i="157"/>
  <c r="U1118" i="157" s="1"/>
  <c r="T1222" i="157"/>
  <c r="U1222" i="157" s="1"/>
  <c r="T1448" i="157"/>
  <c r="U1448" i="157" s="1"/>
  <c r="T182" i="157"/>
  <c r="U182" i="157" s="1"/>
  <c r="T1353" i="157"/>
  <c r="U1353" i="157" s="1"/>
  <c r="T1297" i="157"/>
  <c r="U1297" i="157" s="1"/>
  <c r="T664" i="157"/>
  <c r="U664" i="157" s="1"/>
  <c r="T869" i="157"/>
  <c r="U869" i="157" s="1"/>
  <c r="T177" i="157"/>
  <c r="U177" i="157" s="1"/>
  <c r="T609" i="157"/>
  <c r="U609" i="157" s="1"/>
  <c r="T665" i="157"/>
  <c r="U665" i="157" s="1"/>
  <c r="T877" i="157"/>
  <c r="U877" i="157" s="1"/>
  <c r="T1219" i="157"/>
  <c r="U1219" i="157" s="1"/>
  <c r="T1190" i="157"/>
  <c r="U1190" i="157" s="1"/>
  <c r="T180" i="157"/>
  <c r="U180" i="157" s="1"/>
  <c r="T1893" i="157"/>
  <c r="U1893" i="157" s="1"/>
  <c r="T820" i="157"/>
  <c r="U820" i="157" s="1"/>
  <c r="T1174" i="157"/>
  <c r="U1174" i="157" s="1"/>
  <c r="T1888" i="157"/>
  <c r="U1888" i="157" s="1"/>
  <c r="T610" i="157"/>
  <c r="U610" i="157" s="1"/>
  <c r="T1175" i="157"/>
  <c r="U1175" i="157" s="1"/>
  <c r="T1155" i="157"/>
  <c r="U1155" i="157" s="1"/>
  <c r="T798" i="157"/>
  <c r="U798" i="157" s="1"/>
  <c r="T788" i="157"/>
  <c r="U788" i="157" s="1"/>
  <c r="T1062" i="157"/>
  <c r="U1062" i="157" s="1"/>
  <c r="T349" i="157"/>
  <c r="U349" i="157" s="1"/>
  <c r="T1127" i="157"/>
  <c r="U1127" i="157" s="1"/>
  <c r="T919" i="157"/>
  <c r="U919" i="157" s="1"/>
  <c r="T1358" i="157"/>
  <c r="U1358" i="157" s="1"/>
  <c r="T1409" i="157"/>
  <c r="U1409" i="157" s="1"/>
  <c r="T1065" i="157"/>
  <c r="U1065" i="157" s="1"/>
  <c r="T620" i="157"/>
  <c r="U620" i="157" s="1"/>
  <c r="T577" i="157"/>
  <c r="U577" i="157" s="1"/>
  <c r="T551" i="157"/>
  <c r="U551" i="157" s="1"/>
  <c r="T535" i="157"/>
  <c r="U535" i="157" s="1"/>
  <c r="T505" i="157"/>
  <c r="U505" i="157" s="1"/>
  <c r="T398" i="157"/>
  <c r="U398" i="157" s="1"/>
  <c r="T768" i="157"/>
  <c r="U768" i="157" s="1"/>
  <c r="T478" i="157"/>
  <c r="U478" i="157" s="1"/>
  <c r="T432" i="157"/>
  <c r="U432" i="157" s="1"/>
  <c r="T153" i="157"/>
  <c r="U153" i="157" s="1"/>
  <c r="T154" i="157"/>
  <c r="U154" i="157" s="1"/>
  <c r="T127" i="157"/>
  <c r="U127" i="157" s="1"/>
  <c r="T761" i="157"/>
  <c r="U761" i="157" s="1"/>
  <c r="T751" i="157"/>
  <c r="U751" i="157" s="1"/>
  <c r="T700" i="157"/>
  <c r="U700" i="157" s="1"/>
  <c r="T631" i="157"/>
  <c r="U631" i="157" s="1"/>
  <c r="T504" i="157"/>
  <c r="U504" i="157" s="1"/>
  <c r="T552" i="157"/>
  <c r="U552" i="157" s="1"/>
  <c r="T1749" i="157"/>
  <c r="U1749" i="157" s="1"/>
  <c r="T1844" i="157"/>
  <c r="U1844" i="157" s="1"/>
  <c r="T1588" i="157"/>
  <c r="U1588" i="157" s="1"/>
  <c r="T678" i="157"/>
  <c r="U678" i="157" s="1"/>
  <c r="T935" i="157"/>
  <c r="U935" i="157" s="1"/>
  <c r="T243" i="157"/>
  <c r="U243" i="157" s="1"/>
  <c r="T1538" i="157"/>
  <c r="U1538" i="157" s="1"/>
  <c r="T1876" i="157"/>
  <c r="U1876" i="157" s="1"/>
  <c r="T842" i="157"/>
  <c r="U842" i="157" s="1"/>
  <c r="T681" i="157"/>
  <c r="U681" i="157" s="1"/>
  <c r="T358" i="157"/>
  <c r="U358" i="157" s="1"/>
  <c r="T1088" i="157"/>
  <c r="U1088" i="157" s="1"/>
  <c r="T604" i="157"/>
  <c r="U604" i="157" s="1"/>
  <c r="T501" i="157"/>
  <c r="U501" i="157" s="1"/>
  <c r="T1633" i="157"/>
  <c r="U1633" i="157" s="1"/>
  <c r="T1078" i="157"/>
  <c r="U1078" i="157" s="1"/>
  <c r="T471" i="157"/>
  <c r="U471" i="157" s="1"/>
  <c r="T889" i="157"/>
  <c r="U889" i="157" s="1"/>
  <c r="T472" i="157"/>
  <c r="U472" i="157" s="1"/>
  <c r="T320" i="157"/>
  <c r="U320" i="157" s="1"/>
  <c r="T1467" i="157"/>
  <c r="U1467" i="157" s="1"/>
  <c r="T394" i="157"/>
  <c r="U394" i="157" s="1"/>
  <c r="T811" i="157"/>
  <c r="U811" i="157" s="1"/>
  <c r="T816" i="157"/>
  <c r="U816" i="157" s="1"/>
  <c r="T128" i="157"/>
  <c r="U128" i="157" s="1"/>
  <c r="T129" i="157"/>
  <c r="U129" i="157" s="1"/>
  <c r="T1634" i="157"/>
  <c r="U1634" i="157" s="1"/>
  <c r="T1528" i="157"/>
  <c r="U1528" i="157" s="1"/>
  <c r="T1843" i="157"/>
  <c r="U1843" i="157" s="1"/>
  <c r="T556" i="157"/>
  <c r="U556" i="157" s="1"/>
  <c r="T259" i="157"/>
  <c r="U259" i="157" s="1"/>
  <c r="T806" i="157"/>
  <c r="U806" i="157" s="1"/>
  <c r="T1852" i="157"/>
  <c r="U1852" i="157" s="1"/>
  <c r="T1561" i="157"/>
  <c r="U1561" i="157" s="1"/>
  <c r="T814" i="157"/>
  <c r="U814" i="157" s="1"/>
  <c r="T124" i="157"/>
  <c r="U124" i="157" s="1"/>
  <c r="T752" i="157"/>
  <c r="U752" i="157" s="1"/>
  <c r="T1370" i="157"/>
  <c r="U1370" i="157" s="1"/>
  <c r="T459" i="157"/>
  <c r="U459" i="157" s="1"/>
  <c r="T1392" i="157"/>
  <c r="U1392" i="157" s="1"/>
  <c r="T601" i="157"/>
  <c r="U601" i="157" s="1"/>
  <c r="T1228" i="157"/>
  <c r="U1228" i="157" s="1"/>
  <c r="T1781" i="157"/>
  <c r="U1781" i="157" s="1"/>
  <c r="T131" i="157"/>
  <c r="U131" i="157" s="1"/>
  <c r="T1275" i="157"/>
  <c r="U1275" i="157" s="1"/>
  <c r="T395" i="157"/>
  <c r="U395" i="157" s="1"/>
  <c r="T391" i="157"/>
  <c r="U391" i="157" s="1"/>
  <c r="T895" i="157"/>
  <c r="U895" i="157" s="1"/>
  <c r="T878" i="157"/>
  <c r="U878" i="157" s="1"/>
  <c r="T1732" i="157"/>
  <c r="U1732" i="157" s="1"/>
  <c r="T460" i="157"/>
  <c r="U460" i="157" s="1"/>
  <c r="T461" i="157"/>
  <c r="U461" i="157" s="1"/>
  <c r="T1339" i="157"/>
  <c r="U1339" i="157" s="1"/>
  <c r="T207" i="157"/>
  <c r="U207" i="157" s="1"/>
  <c r="T183" i="157"/>
  <c r="U183" i="157" s="1"/>
  <c r="T1638" i="157"/>
  <c r="U1638" i="157" s="1"/>
  <c r="T208" i="157"/>
  <c r="U208" i="157" s="1"/>
  <c r="T1990" i="157"/>
  <c r="U1990" i="157" s="1"/>
  <c r="T1987" i="157"/>
  <c r="U1987" i="157" s="1"/>
  <c r="T1121" i="157"/>
  <c r="U1121" i="157" s="1"/>
  <c r="T1331" i="157"/>
  <c r="U1331" i="157" s="1"/>
  <c r="T1817" i="157"/>
  <c r="U1817" i="157" s="1"/>
  <c r="T1697" i="157"/>
  <c r="U1697" i="157" s="1"/>
  <c r="T1674" i="157"/>
  <c r="U1674" i="157" s="1"/>
  <c r="T1366" i="157"/>
  <c r="U1366" i="157" s="1"/>
  <c r="T1064" i="157"/>
  <c r="U1064" i="157" s="1"/>
  <c r="T1189" i="157"/>
  <c r="U1189" i="157" s="1"/>
  <c r="T511" i="157"/>
  <c r="U511" i="157" s="1"/>
  <c r="T1554" i="157"/>
  <c r="U1554" i="157" s="1"/>
  <c r="T1465" i="157"/>
  <c r="U1465" i="157" s="1"/>
  <c r="T1188" i="157"/>
  <c r="U1188" i="157" s="1"/>
  <c r="T1877" i="157"/>
  <c r="U1877" i="157" s="1"/>
  <c r="T1878" i="157"/>
  <c r="U1878" i="157" s="1"/>
  <c r="T1497" i="157"/>
  <c r="U1497" i="157" s="1"/>
  <c r="T1479" i="157"/>
  <c r="U1479" i="157" s="1"/>
  <c r="T1172" i="157"/>
  <c r="U1172" i="157" s="1"/>
  <c r="T933" i="157"/>
  <c r="U933" i="157" s="1"/>
  <c r="T585" i="157"/>
  <c r="U585" i="157" s="1"/>
  <c r="T507" i="157"/>
  <c r="U507" i="157" s="1"/>
  <c r="T289" i="157"/>
  <c r="U289" i="157" s="1"/>
  <c r="T237" i="157"/>
  <c r="U237" i="157" s="1"/>
  <c r="T235" i="157"/>
  <c r="U235" i="157" s="1"/>
  <c r="T1782" i="157"/>
  <c r="U1782" i="157" s="1"/>
  <c r="T392" i="157"/>
  <c r="U392" i="157" s="1"/>
  <c r="T17" i="157"/>
  <c r="U17" i="157" s="1"/>
  <c r="T1993" i="157"/>
  <c r="U1993" i="157" s="1"/>
  <c r="T1991" i="157"/>
  <c r="U1991" i="157" s="1"/>
  <c r="T1651" i="157"/>
  <c r="U1651" i="157" s="1"/>
  <c r="T1128" i="157"/>
  <c r="U1128" i="157" s="1"/>
  <c r="T1894" i="157"/>
  <c r="U1894" i="157" s="1"/>
  <c r="T319" i="157"/>
  <c r="U319" i="157" s="1"/>
  <c r="T104" i="157"/>
  <c r="U104" i="157" s="1"/>
  <c r="T932" i="157"/>
  <c r="U932" i="157" s="1"/>
  <c r="T763" i="157"/>
  <c r="U763" i="157" s="1"/>
  <c r="T926" i="157"/>
  <c r="U926" i="157" s="1"/>
  <c r="T988" i="157"/>
  <c r="U988" i="157" s="1"/>
  <c r="T1116" i="157"/>
  <c r="U1116" i="157" s="1"/>
  <c r="T103" i="157"/>
  <c r="U103" i="157" s="1"/>
  <c r="T503" i="157"/>
  <c r="U503" i="157" s="1"/>
  <c r="T1783" i="157"/>
  <c r="U1783" i="157" s="1"/>
  <c r="T875" i="157"/>
  <c r="U875" i="157" s="1"/>
  <c r="T759" i="157"/>
  <c r="U759" i="157" s="1"/>
  <c r="T489" i="157"/>
  <c r="U489" i="157" s="1"/>
  <c r="T1790" i="157"/>
  <c r="U1790" i="157" s="1"/>
  <c r="T1146" i="157"/>
  <c r="U1146" i="157" s="1"/>
  <c r="T1046" i="157"/>
  <c r="U1046" i="157" s="1"/>
  <c r="T701" i="157"/>
  <c r="U701" i="157" s="1"/>
  <c r="T1885" i="157"/>
  <c r="U1885" i="157" s="1"/>
  <c r="T1560" i="157"/>
  <c r="U1560" i="157" s="1"/>
  <c r="T502" i="157"/>
  <c r="U502" i="157" s="1"/>
  <c r="T352" i="157"/>
  <c r="U352" i="157" s="1"/>
  <c r="T1215" i="157"/>
  <c r="U1215" i="157" s="1"/>
  <c r="T91" i="157"/>
  <c r="U91" i="157" s="1"/>
  <c r="T263" i="157"/>
  <c r="U263" i="157" s="1"/>
  <c r="T1512" i="157"/>
  <c r="U1512" i="157" s="1"/>
  <c r="T642" i="157"/>
  <c r="U642" i="157" s="1"/>
  <c r="T1052" i="157"/>
  <c r="U1052" i="157" s="1"/>
  <c r="T1994" i="157"/>
  <c r="U1994" i="157" s="1"/>
  <c r="T1848" i="157"/>
  <c r="U1848" i="157" s="1"/>
  <c r="T1786" i="157"/>
  <c r="U1786" i="157" s="1"/>
  <c r="T1784" i="157"/>
  <c r="U1784" i="157" s="1"/>
  <c r="T1709" i="157"/>
  <c r="U1709" i="157" s="1"/>
  <c r="T587" i="157"/>
  <c r="U587" i="157" s="1"/>
  <c r="T691" i="157"/>
  <c r="U691" i="157" s="1"/>
  <c r="T1642" i="157"/>
  <c r="U1642" i="157" s="1"/>
  <c r="T355" i="157"/>
  <c r="U355" i="157" s="1"/>
  <c r="T939" i="157"/>
  <c r="U939" i="157" s="1"/>
  <c r="T756" i="157"/>
  <c r="U756" i="157" s="1"/>
  <c r="T848" i="157"/>
  <c r="U848" i="157" s="1"/>
  <c r="T963" i="157"/>
  <c r="U963" i="157" s="1"/>
  <c r="T119" i="157"/>
  <c r="U119" i="157" s="1"/>
  <c r="T508" i="157"/>
  <c r="U508" i="157" s="1"/>
  <c r="T1780" i="157"/>
  <c r="U1780" i="157" s="1"/>
  <c r="T236" i="157"/>
  <c r="U236" i="157" s="1"/>
  <c r="T234" i="157"/>
  <c r="U234" i="157" s="1"/>
  <c r="T473" i="157"/>
  <c r="U473" i="157" s="1"/>
  <c r="T792" i="157"/>
  <c r="U792" i="157" s="1"/>
  <c r="T122" i="157"/>
  <c r="U122" i="157" s="1"/>
  <c r="T783" i="157"/>
  <c r="U783" i="157" s="1"/>
  <c r="T373" i="157"/>
  <c r="U373" i="157" s="1"/>
  <c r="T1200" i="157"/>
  <c r="U1200" i="157" s="1"/>
  <c r="T944" i="157"/>
  <c r="U944" i="157" s="1"/>
  <c r="T1426" i="157"/>
  <c r="U1426" i="157" s="1"/>
  <c r="T266" i="157"/>
  <c r="U266" i="157" s="1"/>
  <c r="T1261" i="157"/>
  <c r="U1261" i="157" s="1"/>
  <c r="T1534" i="157"/>
  <c r="U1534" i="157" s="1"/>
  <c r="T1330" i="157"/>
  <c r="U1330" i="157" s="1"/>
  <c r="T1060" i="157"/>
  <c r="U1060" i="157" s="1"/>
  <c r="T1763" i="157"/>
  <c r="U1763" i="157" s="1"/>
  <c r="T118" i="157"/>
  <c r="U118" i="157" s="1"/>
  <c r="T1555" i="157"/>
  <c r="U1555" i="157" s="1"/>
  <c r="T769" i="157"/>
  <c r="U769" i="157" s="1"/>
  <c r="T1623" i="157"/>
  <c r="U1623" i="157" s="1"/>
  <c r="T1030" i="157"/>
  <c r="U1030" i="157" s="1"/>
  <c r="T1079" i="157"/>
  <c r="U1079" i="157" s="1"/>
  <c r="T837" i="157"/>
  <c r="U837" i="157" s="1"/>
  <c r="T116" i="157"/>
  <c r="U116" i="157" s="1"/>
  <c r="T1132" i="157"/>
  <c r="U1132" i="157" s="1"/>
  <c r="T965" i="157"/>
  <c r="U965" i="157" s="1"/>
  <c r="T866" i="157"/>
  <c r="U866" i="157" s="1"/>
  <c r="T1223" i="157"/>
  <c r="U1223" i="157" s="1"/>
  <c r="T830" i="157"/>
  <c r="U830" i="157" s="1"/>
  <c r="T574" i="157"/>
  <c r="U574" i="157" s="1"/>
  <c r="T1072" i="157"/>
  <c r="U1072" i="157" s="1"/>
  <c r="T781" i="157"/>
  <c r="U781" i="157" s="1"/>
  <c r="T87" i="157"/>
  <c r="U87" i="157" s="1"/>
  <c r="T330" i="157"/>
  <c r="U330" i="157" s="1"/>
  <c r="T1192" i="157"/>
  <c r="U1192" i="157" s="1"/>
  <c r="T1080" i="157"/>
  <c r="U1080" i="157" s="1"/>
  <c r="T989" i="157"/>
  <c r="U989" i="157" s="1"/>
  <c r="T1154" i="157"/>
  <c r="U1154" i="157" s="1"/>
  <c r="T512" i="157"/>
  <c r="U512" i="157" s="1"/>
  <c r="T1196" i="157"/>
  <c r="U1196" i="157" s="1"/>
  <c r="T829" i="157"/>
  <c r="U829" i="157" s="1"/>
  <c r="T659" i="157"/>
  <c r="U659" i="157" s="1"/>
  <c r="T1153" i="157"/>
  <c r="U1153" i="157" s="1"/>
  <c r="T1764" i="157"/>
  <c r="U1764" i="157" s="1"/>
  <c r="T770" i="157"/>
  <c r="U770" i="157" s="1"/>
  <c r="T1644" i="157"/>
  <c r="U1644" i="157" s="1"/>
  <c r="T1712" i="157"/>
  <c r="U1712" i="157" s="1"/>
  <c r="T262" i="157"/>
  <c r="U262" i="157" s="1"/>
  <c r="T1193" i="157"/>
  <c r="U1193" i="157" s="1"/>
  <c r="T1097" i="157"/>
  <c r="U1097" i="157" s="1"/>
  <c r="T1826" i="157"/>
  <c r="U1826" i="157" s="1"/>
  <c r="T1755" i="157"/>
  <c r="U1755" i="157" s="1"/>
  <c r="T1645" i="157"/>
  <c r="U1645" i="157" s="1"/>
  <c r="T1643" i="157"/>
  <c r="U1643" i="157" s="1"/>
  <c r="T1636" i="157"/>
  <c r="U1636" i="157" s="1"/>
  <c r="T1399" i="157"/>
  <c r="U1399" i="157" s="1"/>
  <c r="T1393" i="157"/>
  <c r="U1393" i="157" s="1"/>
  <c r="T1394" i="157"/>
  <c r="U1394" i="157" s="1"/>
  <c r="T1283" i="157"/>
  <c r="U1283" i="157" s="1"/>
  <c r="T260" i="157"/>
  <c r="U260" i="157" s="1"/>
  <c r="T1547" i="157"/>
  <c r="U1547" i="157" s="1"/>
  <c r="T1673" i="157"/>
  <c r="U1673" i="157" s="1"/>
  <c r="T1081" i="157"/>
  <c r="U1081" i="157" s="1"/>
  <c r="T771" i="157"/>
  <c r="U771" i="157" s="1"/>
  <c r="T1441" i="157"/>
  <c r="U1441" i="157" s="1"/>
  <c r="T1269" i="157"/>
  <c r="U1269" i="157" s="1"/>
  <c r="T1578" i="157"/>
  <c r="U1578" i="157" s="1"/>
  <c r="T1226" i="157"/>
  <c r="U1226" i="157" s="1"/>
  <c r="T894" i="157"/>
  <c r="U894" i="157" s="1"/>
  <c r="T777" i="157"/>
  <c r="U777" i="157" s="1"/>
  <c r="T582" i="157"/>
  <c r="U582" i="157" s="1"/>
  <c r="T661" i="157"/>
  <c r="U661" i="157" s="1"/>
  <c r="T581" i="157"/>
  <c r="U581" i="157" s="1"/>
  <c r="T560" i="157"/>
  <c r="U560" i="157" s="1"/>
  <c r="T1069" i="157"/>
  <c r="U1069" i="157" s="1"/>
  <c r="T1071" i="157"/>
  <c r="U1071" i="157" s="1"/>
  <c r="T1070" i="157"/>
  <c r="U1070" i="157" s="1"/>
  <c r="T1026" i="157"/>
  <c r="U1026" i="157" s="1"/>
  <c r="T785" i="157"/>
  <c r="U785" i="157" s="1"/>
  <c r="T784" i="157"/>
  <c r="U784" i="157" s="1"/>
  <c r="T782" i="157"/>
  <c r="U782" i="157" s="1"/>
  <c r="T1019" i="157"/>
  <c r="U1019" i="157" s="1"/>
  <c r="T647" i="157"/>
  <c r="U647" i="157" s="1"/>
  <c r="T1082" i="157"/>
  <c r="U1082" i="157" s="1"/>
  <c r="T805" i="157"/>
  <c r="U805" i="157" s="1"/>
  <c r="T772" i="157"/>
  <c r="U772" i="157" s="1"/>
  <c r="T400" i="157"/>
  <c r="U400" i="157" s="1"/>
  <c r="T1262" i="157"/>
  <c r="U1262" i="157" s="1"/>
  <c r="T261" i="157"/>
  <c r="U261" i="157" s="1"/>
  <c r="T1450" i="157"/>
  <c r="U1450" i="157" s="1"/>
  <c r="T1191" i="157"/>
  <c r="U1191" i="157" s="1"/>
  <c r="T79" i="157"/>
  <c r="U79" i="157" s="1"/>
  <c r="T1083" i="157"/>
  <c r="U1083" i="157" s="1"/>
  <c r="T1024" i="157"/>
  <c r="U1024" i="157" s="1"/>
  <c r="T992" i="157"/>
  <c r="U992" i="157" s="1"/>
  <c r="T549" i="157"/>
  <c r="U549" i="157" s="1"/>
  <c r="T498" i="157"/>
  <c r="U498" i="157" s="1"/>
  <c r="T568" i="157"/>
  <c r="U568" i="157" s="1"/>
  <c r="T80" i="157"/>
  <c r="U80" i="157" s="1"/>
  <c r="T1173" i="157"/>
  <c r="U1173" i="157" s="1"/>
  <c r="T1113" i="157"/>
  <c r="U1113" i="157" s="1"/>
  <c r="T943" i="157"/>
  <c r="U943" i="157" s="1"/>
  <c r="T666" i="157"/>
  <c r="U666" i="157" s="1"/>
  <c r="T1895" i="157"/>
  <c r="U1895" i="157" s="1"/>
  <c r="T780" i="157"/>
  <c r="U780" i="157" s="1"/>
  <c r="T546" i="157"/>
  <c r="U546" i="157" s="1"/>
  <c r="T1194" i="157"/>
  <c r="U1194" i="157" s="1"/>
  <c r="T1347" i="157"/>
  <c r="U1347" i="157" s="1"/>
  <c r="T1252" i="157"/>
  <c r="U1252" i="157" s="1"/>
  <c r="T754" i="157"/>
  <c r="U754" i="157" s="1"/>
  <c r="T470" i="157"/>
  <c r="U470" i="157" s="1"/>
  <c r="T1988" i="157"/>
  <c r="U1988" i="157" s="1"/>
  <c r="T1505" i="157"/>
  <c r="U1505" i="157" s="1"/>
  <c r="T1183" i="157"/>
  <c r="U1183" i="157" s="1"/>
  <c r="T698" i="157"/>
  <c r="U698" i="157" s="1"/>
  <c r="T1179" i="157"/>
  <c r="U1179" i="157" s="1"/>
  <c r="T1180" i="157"/>
  <c r="U1180" i="157" s="1"/>
  <c r="T1020" i="157"/>
  <c r="U1020" i="157" s="1"/>
  <c r="T702" i="157"/>
  <c r="U702" i="157" s="1"/>
  <c r="T1034" i="157"/>
  <c r="U1034" i="157" s="1"/>
  <c r="T1031" i="157"/>
  <c r="U1031" i="157" s="1"/>
  <c r="T240" i="157"/>
  <c r="U240" i="157" s="1"/>
  <c r="T1950" i="157"/>
  <c r="U1950" i="157" s="1"/>
  <c r="T1195" i="157"/>
  <c r="U1195" i="157" s="1"/>
  <c r="T1001" i="157"/>
  <c r="U1001" i="157" s="1"/>
  <c r="T1983" i="157"/>
  <c r="U1983" i="157" s="1"/>
  <c r="T1002" i="157"/>
  <c r="U1002" i="157" s="1"/>
  <c r="T1566" i="157"/>
  <c r="U1566" i="157" s="1"/>
  <c r="T456" i="157"/>
  <c r="U456" i="157" s="1"/>
  <c r="T444" i="157"/>
  <c r="U444" i="157" s="1"/>
  <c r="T279" i="157"/>
  <c r="U279" i="157" s="1"/>
  <c r="T1061" i="157"/>
  <c r="U1061" i="157" s="1"/>
  <c r="T993" i="157"/>
  <c r="U993" i="157" s="1"/>
  <c r="T125" i="157"/>
  <c r="U125" i="157" s="1"/>
  <c r="T994" i="157"/>
  <c r="U994" i="157" s="1"/>
  <c r="T635" i="157"/>
  <c r="U635" i="157" s="1"/>
  <c r="T1363" i="157"/>
  <c r="U1363" i="157" s="1"/>
  <c r="T1140" i="157"/>
  <c r="U1140" i="157" s="1"/>
  <c r="T912" i="157"/>
  <c r="U912" i="157" s="1"/>
  <c r="T518" i="157"/>
  <c r="U518" i="157" s="1"/>
  <c r="T1796" i="157"/>
  <c r="U1796" i="157" s="1"/>
  <c r="T147" i="157"/>
  <c r="U147" i="157" s="1"/>
  <c r="T750" i="157"/>
  <c r="U750" i="157" s="1"/>
  <c r="T1099" i="157"/>
  <c r="U1099" i="157" s="1"/>
  <c r="T695" i="157"/>
  <c r="U695" i="157" s="1"/>
  <c r="T497" i="157"/>
  <c r="U497" i="157" s="1"/>
  <c r="T210" i="157"/>
  <c r="U210" i="157" s="1"/>
  <c r="T209" i="157"/>
  <c r="U209" i="157" s="1"/>
  <c r="T84" i="157"/>
  <c r="U84" i="157" s="1"/>
  <c r="T83" i="157"/>
  <c r="U83" i="157" s="1"/>
  <c r="T696" i="157"/>
  <c r="U696" i="157" s="1"/>
  <c r="T693" i="157"/>
  <c r="U693" i="157" s="1"/>
  <c r="T692" i="157"/>
  <c r="U692" i="157" s="1"/>
  <c r="T697" i="157"/>
  <c r="U697" i="157" s="1"/>
  <c r="T270" i="157"/>
  <c r="U270" i="157" s="1"/>
  <c r="T269" i="157"/>
  <c r="U269" i="157" s="1"/>
  <c r="T268" i="157"/>
  <c r="U268" i="157" s="1"/>
  <c r="T1126" i="157"/>
  <c r="U1126" i="157" s="1"/>
  <c r="T267" i="157"/>
  <c r="U267" i="157" s="1"/>
  <c r="T265" i="157"/>
  <c r="U265" i="157" s="1"/>
  <c r="T1902" i="157"/>
  <c r="U1902" i="157" s="1"/>
  <c r="T1025" i="157"/>
  <c r="U1025" i="157" s="1"/>
  <c r="T1855" i="157"/>
  <c r="U1855" i="157" s="1"/>
  <c r="T1100" i="157"/>
  <c r="U1100" i="157" s="1"/>
  <c r="T959" i="157"/>
  <c r="U959" i="157" s="1"/>
  <c r="T999" i="157"/>
  <c r="U999" i="157" s="1"/>
  <c r="T1010" i="157"/>
  <c r="U1010" i="157" s="1"/>
  <c r="T1011" i="157"/>
  <c r="U1011" i="157" s="1"/>
  <c r="T981" i="157"/>
  <c r="U981" i="157" s="1"/>
  <c r="T891" i="157"/>
  <c r="U891" i="157" s="1"/>
  <c r="T922" i="157"/>
  <c r="U922" i="157" s="1"/>
  <c r="T917" i="157"/>
  <c r="U917" i="157" s="1"/>
  <c r="T918" i="157"/>
  <c r="U918" i="157" s="1"/>
  <c r="T906" i="157"/>
  <c r="U906" i="157" s="1"/>
  <c r="T737" i="157"/>
  <c r="U737" i="157" s="1"/>
  <c r="T833" i="157"/>
  <c r="U833" i="157" s="1"/>
  <c r="T703" i="157"/>
  <c r="U703" i="157" s="1"/>
  <c r="T1813" i="157"/>
  <c r="U1813" i="157" s="1"/>
  <c r="T76" i="157"/>
  <c r="U76" i="157" s="1"/>
  <c r="T78" i="157"/>
  <c r="U78" i="157" s="1"/>
  <c r="T462" i="157"/>
  <c r="U462" i="157" s="1"/>
  <c r="T1035" i="157"/>
  <c r="U1035" i="157" s="1"/>
  <c r="T1101" i="157"/>
  <c r="U1101" i="157" s="1"/>
  <c r="T998" i="157"/>
  <c r="U998" i="157" s="1"/>
  <c r="T174" i="157"/>
  <c r="U174" i="157" s="1"/>
  <c r="T1125" i="157"/>
  <c r="U1125" i="157" s="1"/>
  <c r="T85" i="157"/>
  <c r="U85" i="157" s="1"/>
  <c r="T1984" i="157"/>
  <c r="U1984" i="157" s="1"/>
  <c r="T1670" i="157"/>
  <c r="U1670" i="157" s="1"/>
  <c r="T979" i="157"/>
  <c r="U979" i="157" s="1"/>
  <c r="T495" i="157"/>
  <c r="U495" i="157" s="1"/>
  <c r="T1854" i="157"/>
  <c r="U1854" i="157" s="1"/>
  <c r="T77" i="157"/>
  <c r="U77" i="157" s="1"/>
  <c r="T82" i="157"/>
  <c r="U82" i="157" s="1"/>
  <c r="T1085" i="157"/>
  <c r="U1085" i="157" s="1"/>
  <c r="T1814" i="157"/>
  <c r="U1814" i="157" s="1"/>
  <c r="T1856" i="157"/>
  <c r="U1856" i="157" s="1"/>
  <c r="T1571" i="157"/>
  <c r="U1571" i="157" s="1"/>
  <c r="T1572" i="157"/>
  <c r="U1572" i="157" s="1"/>
  <c r="T283" i="157"/>
  <c r="U283" i="157" s="1"/>
  <c r="T547" i="157"/>
  <c r="U547" i="157" s="1"/>
  <c r="T1059" i="157"/>
  <c r="U1059" i="157" s="1"/>
  <c r="T834" i="157"/>
  <c r="U834" i="157" s="1"/>
  <c r="T632" i="157"/>
  <c r="U632" i="157" s="1"/>
  <c r="T986" i="157"/>
  <c r="U986" i="157" s="1"/>
  <c r="T1168" i="157"/>
  <c r="U1168" i="157" s="1"/>
  <c r="T1139" i="157"/>
  <c r="U1139" i="157" s="1"/>
  <c r="T1102" i="157"/>
  <c r="U1102" i="157" s="1"/>
  <c r="T980" i="157"/>
  <c r="U980" i="157" s="1"/>
  <c r="T985" i="157"/>
  <c r="U985" i="157" s="1"/>
  <c r="T983" i="157"/>
  <c r="U983" i="157" s="1"/>
  <c r="T1863" i="157"/>
  <c r="U1863" i="157" s="1"/>
  <c r="T1003" i="157"/>
  <c r="U1003" i="157" s="1"/>
  <c r="T977" i="157"/>
  <c r="U977" i="157" s="1"/>
  <c r="T1013" i="157"/>
  <c r="U1013" i="157" s="1"/>
  <c r="T995" i="157"/>
  <c r="U995" i="157" s="1"/>
  <c r="T1135" i="157"/>
  <c r="U1135" i="157" s="1"/>
  <c r="T1096" i="157"/>
  <c r="U1096" i="157" s="1"/>
  <c r="T684" i="157"/>
  <c r="U684" i="157" s="1"/>
  <c r="T621" i="157"/>
  <c r="U621" i="157" s="1"/>
  <c r="T940" i="157"/>
  <c r="U940" i="157" s="1"/>
  <c r="T886" i="157"/>
  <c r="U886" i="157" s="1"/>
  <c r="T1960" i="157"/>
  <c r="U1960" i="157" s="1"/>
  <c r="T595" i="157"/>
  <c r="U595" i="157" s="1"/>
  <c r="T864" i="157"/>
  <c r="U864" i="157" s="1"/>
  <c r="T704" i="157"/>
  <c r="U704" i="157" s="1"/>
  <c r="T1820" i="157"/>
  <c r="U1820" i="157" s="1"/>
  <c r="T1812" i="157"/>
  <c r="U1812" i="157" s="1"/>
  <c r="T650" i="157"/>
  <c r="U650" i="157" s="1"/>
  <c r="T949" i="157"/>
  <c r="U949" i="157" s="1"/>
  <c r="T548" i="157"/>
  <c r="U548" i="157" s="1"/>
  <c r="T652" i="157"/>
  <c r="U652" i="157" s="1"/>
  <c r="T1669" i="157"/>
  <c r="U1669" i="157" s="1"/>
  <c r="T996" i="157"/>
  <c r="U996" i="157" s="1"/>
  <c r="T997" i="157"/>
  <c r="U997" i="157" s="1"/>
  <c r="T853" i="157"/>
  <c r="U853" i="157" s="1"/>
  <c r="T1961" i="157"/>
  <c r="U1961" i="157" s="1"/>
  <c r="T1668" i="157"/>
  <c r="U1668" i="157" s="1"/>
  <c r="T1804" i="157"/>
  <c r="U1804" i="157" s="1"/>
  <c r="T1165" i="157"/>
  <c r="U1165" i="157" s="1"/>
  <c r="T569" i="157"/>
  <c r="U569" i="157" s="1"/>
  <c r="T570" i="157"/>
  <c r="U570" i="157" s="1"/>
  <c r="T519" i="157"/>
  <c r="U519" i="157" s="1"/>
  <c r="T516" i="157"/>
  <c r="U516" i="157" s="1"/>
  <c r="T705" i="157"/>
  <c r="U705" i="157" s="1"/>
  <c r="T1769" i="157"/>
  <c r="U1769" i="157" s="1"/>
  <c r="T789" i="157"/>
  <c r="U789" i="157" s="1"/>
  <c r="T1871" i="157"/>
  <c r="U1871" i="157" s="1"/>
  <c r="T1832" i="157"/>
  <c r="U1832" i="157" s="1"/>
  <c r="T835" i="157"/>
  <c r="U835" i="157" s="1"/>
  <c r="T836" i="157"/>
  <c r="U836" i="157" s="1"/>
  <c r="T499" i="157"/>
  <c r="U499" i="157" s="1"/>
  <c r="T653" i="157"/>
  <c r="U653" i="157" s="1"/>
  <c r="T550" i="157"/>
  <c r="U550" i="157" s="1"/>
  <c r="T1706" i="157"/>
  <c r="U1706" i="157" s="1"/>
  <c r="T766" i="157"/>
  <c r="U766" i="157" s="1"/>
  <c r="T711" i="157"/>
  <c r="U711" i="157" s="1"/>
  <c r="T712" i="157"/>
  <c r="U712" i="157" s="1"/>
  <c r="T1401" i="157"/>
  <c r="U1401" i="157" s="1"/>
  <c r="T1137" i="157"/>
  <c r="U1137" i="157" s="1"/>
  <c r="T1733" i="157"/>
  <c r="U1733" i="157" s="1"/>
  <c r="T732" i="157"/>
  <c r="U732" i="157" s="1"/>
  <c r="T713" i="157"/>
  <c r="U713" i="157" s="1"/>
  <c r="T571" i="157"/>
  <c r="U571" i="157" s="1"/>
  <c r="T572" i="157"/>
  <c r="U572" i="157" s="1"/>
  <c r="T725" i="157"/>
  <c r="U725" i="157" s="1"/>
  <c r="T588" i="157"/>
  <c r="U588" i="157" s="1"/>
  <c r="T706" i="157"/>
  <c r="U706" i="157" s="1"/>
  <c r="T634" i="157"/>
  <c r="U634" i="157" s="1"/>
  <c r="T627" i="157"/>
  <c r="U627" i="157" s="1"/>
  <c r="T1279" i="157"/>
  <c r="U1279" i="157" s="1"/>
  <c r="T1278" i="157"/>
  <c r="U1278" i="157" s="1"/>
  <c r="T1273" i="157"/>
  <c r="U1273" i="157" s="1"/>
  <c r="T1143" i="157"/>
  <c r="U1143" i="157" s="1"/>
  <c r="T1142" i="157"/>
  <c r="U1142" i="157" s="1"/>
  <c r="T898" i="157"/>
  <c r="U898" i="157" s="1"/>
  <c r="T854" i="157"/>
  <c r="U854" i="157" s="1"/>
  <c r="T687" i="157"/>
  <c r="U687" i="157" s="1"/>
  <c r="T688" i="157"/>
  <c r="U688" i="157" s="1"/>
  <c r="T636" i="157"/>
  <c r="U636" i="157" s="1"/>
  <c r="T252" i="157"/>
  <c r="U252" i="157" s="1"/>
  <c r="T41" i="157"/>
  <c r="U41" i="157" s="1"/>
  <c r="T42" i="157"/>
  <c r="U42" i="157" s="1"/>
  <c r="T244" i="157"/>
  <c r="U244" i="157" s="1"/>
  <c r="T982" i="157"/>
  <c r="U982" i="157" s="1"/>
  <c r="T1319" i="157"/>
  <c r="U1319" i="157" s="1"/>
  <c r="T1249" i="157"/>
  <c r="U1249" i="157" s="1"/>
  <c r="T515" i="157"/>
  <c r="U515" i="157" s="1"/>
  <c r="T513" i="157"/>
  <c r="U513" i="157" s="1"/>
  <c r="T622" i="157"/>
  <c r="U622" i="157" s="1"/>
  <c r="T633" i="157"/>
  <c r="U633" i="157" s="1"/>
  <c r="T1295" i="157"/>
  <c r="U1295" i="157" s="1"/>
  <c r="T1772" i="157"/>
  <c r="U1772" i="157" s="1"/>
  <c r="T441" i="157"/>
  <c r="U441" i="157" s="1"/>
  <c r="T651" i="157"/>
  <c r="U651" i="157" s="1"/>
  <c r="T1705" i="157"/>
  <c r="U1705" i="157" s="1"/>
  <c r="T1771" i="157"/>
  <c r="U1771" i="157" s="1"/>
  <c r="T1136" i="157"/>
  <c r="U1136" i="157" s="1"/>
  <c r="T1087" i="157"/>
  <c r="U1087" i="157" s="1"/>
  <c r="T1704" i="157"/>
  <c r="U1704" i="157" s="1"/>
  <c r="T1699" i="157"/>
  <c r="U1699" i="157" s="1"/>
  <c r="T1819" i="157"/>
  <c r="U1819" i="157" s="1"/>
  <c r="T1698" i="157"/>
  <c r="U1698" i="157" s="1"/>
  <c r="T226" i="157"/>
  <c r="U226" i="157" s="1"/>
  <c r="T858" i="157"/>
  <c r="U858" i="157" s="1"/>
  <c r="T1672" i="157"/>
  <c r="U1672" i="157" s="1"/>
  <c r="T1641" i="157"/>
  <c r="U1641" i="157" s="1"/>
  <c r="T1160" i="157"/>
  <c r="U1160" i="157" s="1"/>
  <c r="T1757" i="157"/>
  <c r="U1757" i="157" s="1"/>
  <c r="T801" i="157"/>
  <c r="U801" i="157" s="1"/>
  <c r="T1671" i="157"/>
  <c r="U1671" i="157" s="1"/>
  <c r="T1475" i="157"/>
  <c r="U1475" i="157" s="1"/>
  <c r="T1905" i="157"/>
  <c r="U1905" i="157" s="1"/>
  <c r="T1015" i="157"/>
  <c r="U1015" i="157" s="1"/>
  <c r="T450" i="157"/>
  <c r="U450" i="157" s="1"/>
  <c r="T1473" i="157"/>
  <c r="U1473" i="157" s="1"/>
  <c r="T938" i="157"/>
  <c r="U938" i="157" s="1"/>
  <c r="T447" i="157"/>
  <c r="U447" i="157" s="1"/>
  <c r="T1334" i="157"/>
  <c r="U1334" i="157" s="1"/>
  <c r="T1333" i="157"/>
  <c r="U1333" i="157" s="1"/>
  <c r="T1775" i="157"/>
  <c r="U1775" i="157" s="1"/>
  <c r="T227" i="157"/>
  <c r="U227" i="157" s="1"/>
  <c r="T927" i="157"/>
  <c r="U927" i="157" s="1"/>
  <c r="T1570" i="157"/>
  <c r="U1570" i="157" s="1"/>
  <c r="T525" i="157"/>
  <c r="U525" i="157" s="1"/>
  <c r="T537" i="157"/>
  <c r="U537" i="157" s="1"/>
  <c r="T310" i="157"/>
  <c r="U310" i="157" s="1"/>
  <c r="T1637" i="157"/>
  <c r="U1637" i="157" s="1"/>
  <c r="T170" i="157"/>
  <c r="U170" i="157" s="1"/>
  <c r="T719" i="157"/>
  <c r="U719" i="157" s="1"/>
  <c r="T388" i="157"/>
  <c r="U388" i="157" s="1"/>
  <c r="T386" i="157"/>
  <c r="U386" i="157" s="1"/>
  <c r="T307" i="157"/>
  <c r="U307" i="157" s="1"/>
  <c r="T308" i="157"/>
  <c r="U308" i="157" s="1"/>
  <c r="T874" i="157"/>
  <c r="U874" i="157" s="1"/>
  <c r="T1509" i="157"/>
  <c r="U1509" i="157" s="1"/>
  <c r="T1567" i="157"/>
  <c r="U1567" i="157" s="1"/>
  <c r="T1986" i="157"/>
  <c r="U1986" i="157" s="1"/>
  <c r="T1123" i="157"/>
  <c r="U1123" i="157" s="1"/>
  <c r="T1867" i="157"/>
  <c r="U1867" i="157" s="1"/>
  <c r="T1736" i="157"/>
  <c r="U1736" i="157" s="1"/>
  <c r="T1735" i="157"/>
  <c r="U1735" i="157" s="1"/>
  <c r="T536" i="157"/>
  <c r="U536" i="157" s="1"/>
  <c r="T793" i="157"/>
  <c r="U793" i="157" s="1"/>
  <c r="T1558" i="157"/>
  <c r="U1558" i="157" s="1"/>
  <c r="T1486" i="157"/>
  <c r="U1486" i="157" s="1"/>
  <c r="T1216" i="157"/>
  <c r="U1216" i="157" s="1"/>
  <c r="T817" i="157"/>
  <c r="U817" i="157" s="1"/>
  <c r="T818" i="157"/>
  <c r="U818" i="157" s="1"/>
  <c r="T241" i="157"/>
  <c r="U241" i="157" s="1"/>
  <c r="T1710" i="157"/>
  <c r="U1710" i="157" s="1"/>
  <c r="T1445" i="157"/>
  <c r="U1445" i="157" s="1"/>
  <c r="T1723" i="157"/>
  <c r="U1723" i="157" s="1"/>
  <c r="T1130" i="157"/>
  <c r="U1130" i="157" s="1"/>
  <c r="T1114" i="157"/>
  <c r="U1114" i="157" s="1"/>
  <c r="T1870" i="157"/>
  <c r="U1870" i="157" s="1"/>
  <c r="T947" i="157"/>
  <c r="U947" i="157" s="1"/>
  <c r="T578" i="157"/>
  <c r="U578" i="157" s="1"/>
  <c r="T1677" i="157"/>
  <c r="U1677" i="157" s="1"/>
  <c r="T1610" i="157"/>
  <c r="U1610" i="157" s="1"/>
  <c r="T203" i="157"/>
  <c r="U203" i="157" s="1"/>
  <c r="T193" i="157"/>
  <c r="U193" i="157" s="1"/>
  <c r="T1985" i="157"/>
  <c r="U1985" i="157" s="1"/>
  <c r="T1186" i="157"/>
  <c r="U1186" i="157" s="1"/>
  <c r="T1830" i="157"/>
  <c r="U1830" i="157" s="1"/>
  <c r="T1904" i="157"/>
  <c r="U1904" i="157" s="1"/>
  <c r="T274" i="157"/>
  <c r="U274" i="157" s="1"/>
  <c r="T379" i="157"/>
  <c r="U379" i="157" s="1"/>
  <c r="T374" i="157"/>
  <c r="U374" i="157" s="1"/>
  <c r="T496" i="157"/>
  <c r="U496" i="157" s="1"/>
  <c r="T1659" i="157"/>
  <c r="U1659" i="157" s="1"/>
  <c r="T1912" i="157"/>
  <c r="U1912" i="157" s="1"/>
  <c r="T1805" i="157"/>
  <c r="U1805" i="157" s="1"/>
  <c r="T1969" i="157"/>
  <c r="U1969" i="157" s="1"/>
  <c r="T1575" i="157"/>
  <c r="U1575" i="157" s="1"/>
  <c r="T1549" i="157"/>
  <c r="U1549" i="157" s="1"/>
  <c r="T1504" i="157"/>
  <c r="U1504" i="157" s="1"/>
  <c r="T1457" i="157"/>
  <c r="U1457" i="157" s="1"/>
  <c r="T893" i="157"/>
  <c r="U893" i="157" s="1"/>
  <c r="T1982" i="157"/>
  <c r="U1982" i="157" s="1"/>
  <c r="T14" i="157"/>
  <c r="U14" i="157" s="1"/>
  <c r="T1853" i="157"/>
  <c r="U1853" i="157" s="1"/>
  <c r="T173" i="157"/>
  <c r="U173" i="157" s="1"/>
  <c r="T799" i="157"/>
  <c r="U799" i="157" s="1"/>
  <c r="T1721" i="157"/>
  <c r="U1721" i="157" s="1"/>
  <c r="T1715" i="157"/>
  <c r="U1715" i="157" s="1"/>
  <c r="T517" i="157"/>
  <c r="U517" i="157" s="1"/>
  <c r="T1357" i="157"/>
  <c r="U1357" i="157" s="1"/>
  <c r="T1221" i="157"/>
  <c r="U1221" i="157" s="1"/>
  <c r="T360" i="157"/>
  <c r="U360" i="157" s="1"/>
  <c r="T1439" i="157"/>
  <c r="U1439" i="157" s="1"/>
  <c r="T1544" i="157"/>
  <c r="U1544" i="157" s="1"/>
  <c r="T1545" i="157"/>
  <c r="U1545" i="157" s="1"/>
  <c r="T73" i="157"/>
  <c r="U73" i="157" s="1"/>
  <c r="T1869" i="157"/>
  <c r="U1869" i="157" s="1"/>
  <c r="T1717" i="157"/>
  <c r="U1717" i="157" s="1"/>
  <c r="T1740" i="157"/>
  <c r="U1740" i="157" s="1"/>
  <c r="T1868" i="157"/>
  <c r="U1868" i="157" s="1"/>
  <c r="T1762" i="157"/>
  <c r="U1762" i="157" s="1"/>
  <c r="T1913" i="157"/>
  <c r="U1913" i="157" s="1"/>
  <c r="T1815" i="157"/>
  <c r="U1815" i="157" s="1"/>
  <c r="T856" i="157"/>
  <c r="U856" i="157" s="1"/>
  <c r="T1680" i="157"/>
  <c r="U1680" i="157" s="1"/>
  <c r="T1601" i="157"/>
  <c r="U1601" i="157" s="1"/>
  <c r="T846" i="157"/>
  <c r="U846" i="157" s="1"/>
  <c r="T639" i="157"/>
  <c r="U639" i="157" s="1"/>
  <c r="T1498" i="157"/>
  <c r="U1498" i="157" s="1"/>
  <c r="T500" i="157"/>
  <c r="U500" i="157" s="1"/>
  <c r="T309" i="157"/>
  <c r="U309" i="157" s="1"/>
  <c r="T1419" i="157"/>
  <c r="U1419" i="157" s="1"/>
  <c r="T199" i="157"/>
  <c r="U199" i="157" s="1"/>
  <c r="T188" i="157"/>
  <c r="U188" i="157" s="1"/>
  <c r="T606" i="157"/>
  <c r="U606" i="157" s="1"/>
  <c r="T1883" i="157"/>
  <c r="U1883" i="157" s="1"/>
  <c r="T1835" i="157"/>
  <c r="U1835" i="157" s="1"/>
  <c r="T1829" i="157"/>
  <c r="U1829" i="157" s="1"/>
  <c r="T1376" i="157"/>
  <c r="U1376" i="157" s="1"/>
  <c r="T1458" i="157"/>
  <c r="U1458" i="157" s="1"/>
  <c r="T1122" i="157"/>
  <c r="U1122" i="157" s="1"/>
  <c r="T607" i="157"/>
  <c r="U607" i="157" s="1"/>
  <c r="T405" i="157"/>
  <c r="U405" i="157" s="1"/>
  <c r="T1092" i="157"/>
  <c r="U1092" i="157" s="1"/>
  <c r="T1068" i="157"/>
  <c r="U1068" i="157" s="1"/>
  <c r="T45" i="157"/>
  <c r="U45" i="157" s="1"/>
  <c r="T1075" i="157"/>
  <c r="U1075" i="157" s="1"/>
  <c r="T1518" i="157"/>
  <c r="U1518" i="157" s="1"/>
  <c r="T897" i="157"/>
  <c r="U897" i="157" s="1"/>
  <c r="T1185" i="157"/>
  <c r="U1185" i="157" s="1"/>
  <c r="T1799" i="157"/>
  <c r="U1799" i="157" s="1"/>
  <c r="T1343" i="157"/>
  <c r="U1343" i="157" s="1"/>
  <c r="T1176" i="157"/>
  <c r="U1176" i="157" s="1"/>
  <c r="T1177" i="157"/>
  <c r="U1177" i="157" s="1"/>
  <c r="T430" i="157"/>
  <c r="U430" i="157" s="1"/>
  <c r="T1342" i="157"/>
  <c r="U1342" i="157" s="1"/>
  <c r="T1250" i="157"/>
  <c r="U1250" i="157" s="1"/>
  <c r="T850" i="157"/>
  <c r="U850" i="157" s="1"/>
  <c r="T1055" i="157"/>
  <c r="U1055" i="157" s="1"/>
  <c r="T1166" i="157"/>
  <c r="U1166" i="157" s="1"/>
  <c r="T925" i="157"/>
  <c r="U925" i="157" s="1"/>
  <c r="T1451" i="157"/>
  <c r="U1451" i="157" s="1"/>
  <c r="T851" i="157"/>
  <c r="U851" i="157" s="1"/>
  <c r="T57" i="157"/>
  <c r="U57" i="157" s="1"/>
  <c r="T1133" i="157"/>
  <c r="U1133" i="157" s="1"/>
  <c r="T1033" i="157"/>
  <c r="U1033" i="157" s="1"/>
  <c r="T1032" i="157"/>
  <c r="U1032" i="157" s="1"/>
  <c r="T1332" i="157"/>
  <c r="U1332" i="157" s="1"/>
  <c r="T1229" i="157"/>
  <c r="U1229" i="157" s="1"/>
  <c r="T1727" i="157"/>
  <c r="U1727" i="157" s="1"/>
  <c r="T852" i="157"/>
  <c r="U852" i="157" s="1"/>
  <c r="T1300" i="157"/>
  <c r="U1300" i="157" s="1"/>
  <c r="T1004" i="157"/>
  <c r="U1004" i="157" s="1"/>
  <c r="T403" i="157"/>
  <c r="U403" i="157" s="1"/>
  <c r="T602" i="157"/>
  <c r="U602" i="157" s="1"/>
  <c r="T832" i="157"/>
  <c r="U832" i="157" s="1"/>
  <c r="T720" i="157"/>
  <c r="U720" i="157" s="1"/>
  <c r="T1738" i="157"/>
  <c r="U1738" i="157" s="1"/>
  <c r="T1887" i="157"/>
  <c r="U1887" i="157" s="1"/>
  <c r="T1460" i="157"/>
  <c r="U1460" i="157" s="1"/>
  <c r="T194" i="157"/>
  <c r="U194" i="157" s="1"/>
  <c r="T189" i="157"/>
  <c r="U189" i="157" s="1"/>
  <c r="T598" i="157"/>
  <c r="U598" i="157" s="1"/>
  <c r="T408" i="157"/>
  <c r="U408" i="157" s="1"/>
  <c r="T991" i="157"/>
  <c r="U991" i="157" s="1"/>
  <c r="T794" i="157"/>
  <c r="U794" i="157" s="1"/>
  <c r="T148" i="157"/>
  <c r="U148" i="157" s="1"/>
  <c r="T1355" i="157"/>
  <c r="U1355" i="157" s="1"/>
  <c r="T924" i="157"/>
  <c r="U924" i="157" s="1"/>
  <c r="T1270" i="157"/>
  <c r="U1270" i="157" s="1"/>
  <c r="T746" i="157"/>
  <c r="U746" i="157" s="1"/>
  <c r="T682" i="157"/>
  <c r="U682" i="157" s="1"/>
  <c r="T1559" i="157"/>
  <c r="U1559" i="157" s="1"/>
  <c r="T1225" i="157"/>
  <c r="U1225" i="157" s="1"/>
  <c r="T1050" i="157"/>
  <c r="U1050" i="157" s="1"/>
  <c r="T1014" i="157"/>
  <c r="U1014" i="157" s="1"/>
  <c r="T936" i="157"/>
  <c r="U936" i="157" s="1"/>
  <c r="T915" i="157"/>
  <c r="U915" i="157" s="1"/>
  <c r="T914" i="157"/>
  <c r="U914" i="157" s="1"/>
  <c r="T683" i="157"/>
  <c r="U683" i="157" s="1"/>
  <c r="T74" i="157"/>
  <c r="U74" i="157" s="1"/>
  <c r="T603" i="157"/>
  <c r="U603" i="157" s="1"/>
  <c r="T1048" i="157"/>
  <c r="U1048" i="157" s="1"/>
  <c r="T823" i="157"/>
  <c r="U823" i="157" s="1"/>
  <c r="T821" i="157"/>
  <c r="U821" i="157" s="1"/>
  <c r="T736" i="157"/>
  <c r="U736" i="157" s="1"/>
  <c r="T735" i="157"/>
  <c r="U735" i="157" s="1"/>
  <c r="T657" i="157"/>
  <c r="U657" i="157" s="1"/>
  <c r="T248" i="157"/>
  <c r="U248" i="157" s="1"/>
  <c r="T191" i="157"/>
  <c r="U191" i="157" s="1"/>
  <c r="T12" i="157"/>
  <c r="U12" i="157" s="1"/>
  <c r="T1975" i="157"/>
  <c r="U1975" i="157" s="1"/>
  <c r="T1976" i="157"/>
  <c r="U1976" i="157" s="1"/>
  <c r="T1235" i="157"/>
  <c r="U1235" i="157" s="1"/>
  <c r="T1977" i="157"/>
  <c r="U1977" i="157" s="1"/>
  <c r="T1978" i="157"/>
  <c r="U1978" i="157" s="1"/>
  <c r="T1265" i="157"/>
  <c r="U1265" i="157" s="1"/>
  <c r="T586" i="157"/>
  <c r="U586" i="157" s="1"/>
  <c r="T359" i="157"/>
  <c r="U359" i="157" s="1"/>
  <c r="T1801" i="157"/>
  <c r="U1801" i="157" s="1"/>
  <c r="T382" i="157"/>
  <c r="U382" i="157" s="1"/>
  <c r="T71" i="157"/>
  <c r="U71" i="157" s="1"/>
  <c r="T1546" i="157"/>
  <c r="U1546" i="157" s="1"/>
  <c r="T51" i="157"/>
  <c r="U51" i="157" s="1"/>
  <c r="T1466" i="157"/>
  <c r="U1466" i="157" s="1"/>
  <c r="T1980" i="157"/>
  <c r="U1980" i="157" s="1"/>
  <c r="T1418" i="157"/>
  <c r="U1418" i="157" s="1"/>
  <c r="T72" i="157"/>
  <c r="U72" i="157" s="1"/>
  <c r="T990" i="157"/>
  <c r="U990" i="157" s="1"/>
  <c r="T1992" i="157"/>
  <c r="U1992" i="157" s="1"/>
  <c r="T1694" i="157"/>
  <c r="U1694" i="157" s="1"/>
  <c r="T1840" i="157"/>
  <c r="U1840" i="157" s="1"/>
  <c r="T1157" i="157"/>
  <c r="U1157" i="157" s="1"/>
  <c r="T1795" i="157"/>
  <c r="U1795" i="157" s="1"/>
  <c r="T1768" i="157"/>
  <c r="U1768" i="157" s="1"/>
  <c r="T1345" i="157"/>
  <c r="U1345" i="157" s="1"/>
  <c r="T509" i="157"/>
  <c r="U509" i="157" s="1"/>
  <c r="T246" i="157"/>
  <c r="U246" i="157" s="1"/>
  <c r="T797" i="157"/>
  <c r="U797" i="157" s="1"/>
  <c r="T336" i="157"/>
  <c r="U336" i="157" s="1"/>
  <c r="T331" i="157"/>
  <c r="U331" i="157" s="1"/>
  <c r="T1655" i="157"/>
  <c r="U1655" i="157" s="1"/>
  <c r="T463" i="157"/>
  <c r="U463" i="157" s="1"/>
  <c r="T1718" i="157"/>
  <c r="U1718" i="157" s="1"/>
  <c r="T614" i="157"/>
  <c r="U614" i="157" s="1"/>
  <c r="T615" i="157"/>
  <c r="U615" i="157" s="1"/>
  <c r="T157" i="157"/>
  <c r="U157" i="157" s="1"/>
  <c r="T69" i="157"/>
  <c r="U69" i="157" s="1"/>
  <c r="T879" i="157"/>
  <c r="U879" i="157" s="1"/>
  <c r="T1131" i="157"/>
  <c r="U1131" i="157" s="1"/>
  <c r="T1115" i="157"/>
  <c r="U1115" i="157" s="1"/>
  <c r="T1021" i="157"/>
  <c r="U1021" i="157" s="1"/>
  <c r="T1246" i="157"/>
  <c r="U1246" i="157" s="1"/>
  <c r="T764" i="157"/>
  <c r="U764" i="157" s="1"/>
  <c r="T295" i="157"/>
  <c r="U295" i="157" s="1"/>
  <c r="T1716" i="157"/>
  <c r="U1716" i="157" s="1"/>
  <c r="T773" i="157"/>
  <c r="U773" i="157" s="1"/>
  <c r="T1049" i="157"/>
  <c r="U1049" i="157" s="1"/>
  <c r="T1421" i="157"/>
  <c r="U1421" i="157" s="1"/>
  <c r="T1501" i="157"/>
  <c r="U1501" i="157" s="1"/>
  <c r="T1653" i="157"/>
  <c r="U1653" i="157" s="1"/>
  <c r="T1422" i="157"/>
  <c r="U1422" i="157" s="1"/>
  <c r="T767" i="157"/>
  <c r="U767" i="157" s="1"/>
  <c r="T1758" i="157"/>
  <c r="U1758" i="157" s="1"/>
  <c r="T353" i="157"/>
  <c r="U353" i="157" s="1"/>
  <c r="T1499" i="157"/>
  <c r="U1499" i="157" s="1"/>
  <c r="T637" i="157"/>
  <c r="U637" i="157" s="1"/>
  <c r="T1800" i="157"/>
  <c r="U1800" i="157" s="1"/>
  <c r="T1517" i="157"/>
  <c r="U1517" i="157" s="1"/>
  <c r="T910" i="157"/>
  <c r="U910" i="157" s="1"/>
  <c r="T1487" i="157"/>
  <c r="U1487" i="157" s="1"/>
  <c r="T1753" i="157"/>
  <c r="U1753" i="157" s="1"/>
  <c r="T1066" i="157"/>
  <c r="U1066" i="157" s="1"/>
  <c r="T436" i="157"/>
  <c r="U436" i="157" s="1"/>
  <c r="T1974" i="157"/>
  <c r="U1974" i="157" s="1"/>
  <c r="T429" i="157"/>
  <c r="U429" i="157" s="1"/>
  <c r="T1167" i="157"/>
  <c r="U1167" i="157" s="1"/>
  <c r="T934" i="157"/>
  <c r="U934" i="157" s="1"/>
  <c r="T1639" i="157"/>
  <c r="U1639" i="157" s="1"/>
  <c r="T718" i="157"/>
  <c r="U718" i="157" s="1"/>
  <c r="T337" i="157"/>
  <c r="U337" i="157" s="1"/>
  <c r="T971" i="157"/>
  <c r="U971" i="157" s="1"/>
  <c r="T745" i="157"/>
  <c r="U745" i="157" s="1"/>
  <c r="T428" i="157"/>
  <c r="U428" i="157" s="1"/>
  <c r="T559" i="157"/>
  <c r="U559" i="157" s="1"/>
  <c r="T347" i="157"/>
  <c r="U347" i="157" s="1"/>
  <c r="T1656" i="157"/>
  <c r="U1656" i="157" s="1"/>
  <c r="T1615" i="157"/>
  <c r="U1615" i="157" s="1"/>
  <c r="T475" i="157"/>
  <c r="U475" i="157" s="1"/>
  <c r="T329" i="157"/>
  <c r="U329" i="157" s="1"/>
  <c r="T493" i="157"/>
  <c r="U493" i="157" s="1"/>
  <c r="T613" i="157"/>
  <c r="U613" i="157" s="1"/>
  <c r="T616" i="157"/>
  <c r="U616" i="157" s="1"/>
  <c r="T50" i="157"/>
  <c r="U50" i="157" s="1"/>
  <c r="T1808" i="157"/>
  <c r="U1808" i="157" s="1"/>
  <c r="T1430" i="157"/>
  <c r="U1430" i="157" s="1"/>
  <c r="T545" i="157"/>
  <c r="U545" i="157" s="1"/>
  <c r="T538" i="157"/>
  <c r="U538" i="157" s="1"/>
  <c r="T158" i="157"/>
  <c r="U158" i="157" s="1"/>
  <c r="T1415" i="157"/>
  <c r="U1415" i="157" s="1"/>
  <c r="T1679" i="157"/>
  <c r="U1679" i="157" s="1"/>
  <c r="T1446" i="157"/>
  <c r="U1446" i="157" s="1"/>
  <c r="T1340" i="157"/>
  <c r="U1340" i="157" s="1"/>
  <c r="T1076" i="157"/>
  <c r="U1076" i="157" s="1"/>
  <c r="T469" i="157"/>
  <c r="U469" i="157" s="1"/>
  <c r="T1898" i="157"/>
  <c r="U1898" i="157" s="1"/>
  <c r="T1513" i="157"/>
  <c r="U1513" i="157" s="1"/>
  <c r="T786" i="157"/>
  <c r="U786" i="157" s="1"/>
  <c r="T1660" i="157"/>
  <c r="U1660" i="157" s="1"/>
  <c r="T1598" i="157"/>
  <c r="U1598" i="157" s="1"/>
  <c r="T1803" i="157"/>
  <c r="U1803" i="157" s="1"/>
  <c r="T1210" i="157"/>
  <c r="U1210" i="157" s="1"/>
  <c r="T1211" i="157"/>
  <c r="U1211" i="157" s="1"/>
  <c r="T612" i="157"/>
  <c r="U612" i="157" s="1"/>
  <c r="T714" i="157"/>
  <c r="U714" i="157" s="1"/>
  <c r="T1500" i="157"/>
  <c r="U1500" i="157" s="1"/>
  <c r="T1147" i="157"/>
  <c r="U1147" i="157" s="1"/>
  <c r="T1802" i="157"/>
  <c r="U1802" i="157" s="1"/>
  <c r="T1158" i="157"/>
  <c r="U1158" i="157" s="1"/>
  <c r="T1036" i="157"/>
  <c r="U1036" i="157" s="1"/>
  <c r="T458" i="157"/>
  <c r="U458" i="157" s="1"/>
  <c r="T304" i="157"/>
  <c r="U304" i="157" s="1"/>
  <c r="T1312" i="157"/>
  <c r="U1312" i="157" s="1"/>
  <c r="T1095" i="157"/>
  <c r="U1095" i="157" s="1"/>
  <c r="T10" i="157"/>
  <c r="U10" i="157" s="1"/>
  <c r="T510" i="157"/>
  <c r="U510" i="157" s="1"/>
  <c r="T928" i="157"/>
  <c r="U928" i="157" s="1"/>
  <c r="T800" i="157"/>
  <c r="U800" i="157" s="1"/>
  <c r="T1205" i="157"/>
  <c r="U1205" i="157" s="1"/>
  <c r="T948" i="157"/>
  <c r="U948" i="157" s="1"/>
  <c r="T305" i="157"/>
  <c r="U305" i="157" s="1"/>
  <c r="T1614" i="157"/>
  <c r="U1614" i="157" s="1"/>
  <c r="T758" i="157"/>
  <c r="U758" i="157" s="1"/>
  <c r="T437" i="157"/>
  <c r="U437" i="157" s="1"/>
  <c r="T1962" i="157"/>
  <c r="U1962" i="157" s="1"/>
  <c r="T1103" i="157"/>
  <c r="U1103" i="157" s="1"/>
  <c r="T1255" i="157"/>
  <c r="U1255" i="157" s="1"/>
  <c r="T1720" i="157"/>
  <c r="U1720" i="157" s="1"/>
  <c r="T623" i="157"/>
  <c r="U623" i="157" s="1"/>
  <c r="T70" i="157"/>
  <c r="U70" i="157" s="1"/>
  <c r="T1236" i="157"/>
  <c r="U1236" i="157" s="1"/>
  <c r="T738" i="157"/>
  <c r="U738" i="157" s="1"/>
  <c r="T674" i="157"/>
  <c r="U674" i="157" s="1"/>
  <c r="T1707" i="157"/>
  <c r="U1707" i="157" s="1"/>
  <c r="T1417" i="157"/>
  <c r="U1417" i="157" s="1"/>
  <c r="T1365" i="157"/>
  <c r="U1365" i="157" s="1"/>
  <c r="T282" i="157"/>
  <c r="U282" i="157" s="1"/>
  <c r="T1586" i="157"/>
  <c r="U1586" i="157" s="1"/>
  <c r="T860" i="157"/>
  <c r="U860" i="157" s="1"/>
  <c r="T434" i="157"/>
  <c r="U434" i="157" s="1"/>
  <c r="T643" i="157"/>
  <c r="U643" i="157" s="1"/>
  <c r="T1251" i="157"/>
  <c r="U1251" i="157" s="1"/>
  <c r="T669" i="157"/>
  <c r="U669" i="157" s="1"/>
  <c r="T1018" i="157"/>
  <c r="U1018" i="157" s="1"/>
  <c r="T414" i="157"/>
  <c r="U414" i="157" s="1"/>
  <c r="T285" i="157"/>
  <c r="U285" i="157" s="1"/>
  <c r="T955" i="157"/>
  <c r="U955" i="157" s="1"/>
  <c r="T1914" i="157"/>
  <c r="U1914" i="157" s="1"/>
  <c r="T494" i="157"/>
  <c r="U494" i="157" s="1"/>
  <c r="T442" i="157"/>
  <c r="U442" i="157" s="1"/>
  <c r="T339" i="157"/>
  <c r="U339" i="157" s="1"/>
  <c r="T228" i="157"/>
  <c r="U228" i="157" s="1"/>
  <c r="T1972" i="157"/>
  <c r="U1972" i="157" s="1"/>
  <c r="T1356" i="157"/>
  <c r="U1356" i="157" s="1"/>
  <c r="T1268" i="157"/>
  <c r="U1268" i="157" s="1"/>
  <c r="T562" i="157"/>
  <c r="U562" i="157" s="1"/>
  <c r="T1899" i="157"/>
  <c r="U1899" i="157" s="1"/>
  <c r="T744" i="157"/>
  <c r="U744" i="157" s="1"/>
  <c r="T1724" i="157"/>
  <c r="U1724" i="157" s="1"/>
  <c r="T1536" i="157"/>
  <c r="U1536" i="157" s="1"/>
  <c r="T1535" i="157"/>
  <c r="U1535" i="157" s="1"/>
  <c r="T1337" i="157"/>
  <c r="U1337" i="157" s="1"/>
  <c r="T987" i="157"/>
  <c r="U987" i="157" s="1"/>
  <c r="T172" i="157"/>
  <c r="U172" i="157" s="1"/>
  <c r="T1362" i="157"/>
  <c r="U1362" i="157" s="1"/>
  <c r="T406" i="157"/>
  <c r="U406" i="157" s="1"/>
  <c r="T276" i="157"/>
  <c r="U276" i="157" s="1"/>
  <c r="T121" i="157"/>
  <c r="U121" i="157" s="1"/>
  <c r="T120" i="157"/>
  <c r="U120" i="157" s="1"/>
  <c r="T117" i="157"/>
  <c r="U117" i="157" s="1"/>
  <c r="T114" i="157"/>
  <c r="U114" i="157" s="1"/>
  <c r="T481" i="157"/>
  <c r="U481" i="157" s="1"/>
  <c r="T1209" i="157"/>
  <c r="U1209" i="157" s="1"/>
  <c r="T1134" i="157"/>
  <c r="U1134" i="157" s="1"/>
  <c r="T448" i="157"/>
  <c r="U448" i="157" s="1"/>
  <c r="T1240" i="157"/>
  <c r="U1240" i="157" s="1"/>
  <c r="T1217" i="157"/>
  <c r="U1217" i="157" s="1"/>
  <c r="T1090" i="157"/>
  <c r="U1090" i="157" s="1"/>
  <c r="T727" i="157"/>
  <c r="U727" i="157" s="1"/>
  <c r="T453" i="157"/>
  <c r="U453" i="157" s="1"/>
  <c r="T419" i="157"/>
  <c r="U419" i="157" s="1"/>
  <c r="T579" i="157"/>
  <c r="U579" i="157" s="1"/>
  <c r="T271" i="157"/>
  <c r="U271" i="157" s="1"/>
  <c r="T708" i="157"/>
  <c r="U708" i="157" s="1"/>
  <c r="T1585" i="157"/>
  <c r="U1585" i="157" s="1"/>
  <c r="T449" i="157"/>
  <c r="U449" i="157" s="1"/>
  <c r="T380" i="157"/>
  <c r="U380" i="157" s="1"/>
  <c r="T375" i="157"/>
  <c r="U375" i="157" s="1"/>
  <c r="T361" i="157"/>
  <c r="U361" i="157" s="1"/>
  <c r="T1582" i="157"/>
  <c r="U1582" i="157" s="1"/>
  <c r="T467" i="157"/>
  <c r="U467" i="157" s="1"/>
  <c r="T865" i="157"/>
  <c r="U865" i="157" s="1"/>
  <c r="T976" i="157"/>
  <c r="U976" i="157" s="1"/>
  <c r="T840" i="157"/>
  <c r="U840" i="157" s="1"/>
  <c r="T975" i="157"/>
  <c r="U975" i="157" s="1"/>
  <c r="T1581" i="157"/>
  <c r="U1581" i="157" s="1"/>
  <c r="T972" i="157"/>
  <c r="U972" i="157" s="1"/>
  <c r="T969" i="157"/>
  <c r="U969" i="157" s="1"/>
  <c r="T1577" i="157"/>
  <c r="U1577" i="157" s="1"/>
  <c r="T658" i="157"/>
  <c r="U658" i="157" s="1"/>
  <c r="T861" i="157"/>
  <c r="U861" i="157" s="1"/>
  <c r="T857" i="157"/>
  <c r="U857" i="157" s="1"/>
  <c r="T1459" i="157"/>
  <c r="U1459" i="157" s="1"/>
  <c r="T1476" i="157"/>
  <c r="U1476" i="157" s="1"/>
  <c r="T1281" i="157"/>
  <c r="U1281" i="157" s="1"/>
  <c r="T280" i="157"/>
  <c r="U280" i="157" s="1"/>
  <c r="T1093" i="157"/>
  <c r="U1093" i="157" s="1"/>
  <c r="T1524" i="157"/>
  <c r="U1524" i="157" s="1"/>
  <c r="T685" i="157"/>
  <c r="U685" i="157" s="1"/>
  <c r="T1368" i="157"/>
  <c r="U1368" i="157" s="1"/>
  <c r="T303" i="157"/>
  <c r="U303" i="157" s="1"/>
  <c r="T201" i="157"/>
  <c r="U201" i="157" s="1"/>
  <c r="T425" i="157"/>
  <c r="U425" i="157" s="1"/>
  <c r="T1267" i="157"/>
  <c r="U1267" i="157" s="1"/>
  <c r="T1884" i="157"/>
  <c r="U1884" i="157" s="1"/>
  <c r="T1836" i="157"/>
  <c r="U1836" i="157" s="1"/>
  <c r="T1833" i="157"/>
  <c r="U1833" i="157" s="1"/>
  <c r="T1657" i="157"/>
  <c r="U1657" i="157" s="1"/>
  <c r="T1587" i="157"/>
  <c r="U1587" i="157" s="1"/>
  <c r="T1565" i="157"/>
  <c r="U1565" i="157" s="1"/>
  <c r="T1461" i="157"/>
  <c r="U1461" i="157" s="1"/>
  <c r="T1280" i="157"/>
  <c r="U1280" i="157" s="1"/>
  <c r="T660" i="157"/>
  <c r="U660" i="157" s="1"/>
  <c r="T222" i="157"/>
  <c r="U222" i="157" s="1"/>
  <c r="T1248" i="157"/>
  <c r="U1248" i="157" s="1"/>
  <c r="T200" i="157"/>
  <c r="U200" i="157" s="1"/>
  <c r="T479" i="157"/>
  <c r="U479" i="157" s="1"/>
  <c r="T599" i="157"/>
  <c r="U599" i="157" s="1"/>
  <c r="T1320" i="157"/>
  <c r="U1320" i="157" s="1"/>
  <c r="T1882" i="157"/>
  <c r="U1882" i="157" s="1"/>
  <c r="T1896" i="157"/>
  <c r="U1896" i="157" s="1"/>
  <c r="T883" i="157"/>
  <c r="U883" i="157" s="1"/>
  <c r="T855" i="157"/>
  <c r="U855" i="157" s="1"/>
  <c r="T1431" i="157"/>
  <c r="U1431" i="157" s="1"/>
  <c r="T1316" i="157"/>
  <c r="U1316" i="157" s="1"/>
  <c r="T387" i="157"/>
  <c r="U387" i="157" s="1"/>
  <c r="T284" i="157"/>
  <c r="U284" i="157" s="1"/>
  <c r="T190" i="157"/>
  <c r="U190" i="157" s="1"/>
  <c r="T302" i="157"/>
  <c r="U302" i="157" s="1"/>
  <c r="T1313" i="157"/>
  <c r="U1313" i="157" s="1"/>
  <c r="T142" i="157"/>
  <c r="U142" i="157" s="1"/>
  <c r="T1823" i="157"/>
  <c r="U1823" i="157" s="1"/>
  <c r="T1767" i="157"/>
  <c r="U1767" i="157" s="1"/>
  <c r="T1711" i="157"/>
  <c r="U1711" i="157" s="1"/>
  <c r="T1647" i="157"/>
  <c r="U1647" i="157" s="1"/>
  <c r="T1539" i="157"/>
  <c r="U1539" i="157" s="1"/>
  <c r="T426" i="157"/>
  <c r="U426" i="157" s="1"/>
  <c r="T292" i="157"/>
  <c r="U292" i="157" s="1"/>
  <c r="T1271" i="157"/>
  <c r="U1271" i="157" s="1"/>
  <c r="T1053" i="157"/>
  <c r="U1053" i="157" s="1"/>
  <c r="T1054" i="157"/>
  <c r="U1054" i="157" s="1"/>
  <c r="T1051" i="157"/>
  <c r="U1051" i="157" s="1"/>
  <c r="T1016" i="157"/>
  <c r="U1016" i="157" s="1"/>
  <c r="T950" i="157"/>
  <c r="U950" i="157" s="1"/>
  <c r="T951" i="157"/>
  <c r="U951" i="157" s="1"/>
  <c r="T952" i="157"/>
  <c r="U952" i="157" s="1"/>
  <c r="T247" i="157"/>
  <c r="U247" i="157" s="1"/>
  <c r="T62" i="157"/>
  <c r="U62" i="157" s="1"/>
  <c r="T1675" i="157"/>
  <c r="U1675" i="157" s="1"/>
  <c r="T1666" i="157"/>
  <c r="U1666" i="157" s="1"/>
  <c r="T1629" i="157"/>
  <c r="U1629" i="157" s="1"/>
  <c r="T1627" i="157"/>
  <c r="U1627" i="157" s="1"/>
  <c r="T1628" i="157"/>
  <c r="U1628" i="157" s="1"/>
  <c r="T523" i="157"/>
  <c r="U523" i="157" s="1"/>
  <c r="T163" i="157"/>
  <c r="U163" i="157" s="1"/>
  <c r="T67" i="157"/>
  <c r="U67" i="157" s="1"/>
  <c r="T617" i="157"/>
  <c r="U617" i="157" s="1"/>
  <c r="T1304" i="157"/>
  <c r="U1304" i="157" s="1"/>
  <c r="T1754" i="157"/>
  <c r="U1754" i="157" s="1"/>
  <c r="T1470" i="157"/>
  <c r="U1470" i="157" s="1"/>
  <c r="T1253" i="157"/>
  <c r="U1253" i="157" s="1"/>
  <c r="T1468" i="157"/>
  <c r="U1468" i="157" s="1"/>
  <c r="T277" i="157"/>
  <c r="U277" i="157" s="1"/>
  <c r="T1206" i="157"/>
  <c r="U1206" i="157" s="1"/>
  <c r="T66" i="157"/>
  <c r="U66" i="157" s="1"/>
  <c r="T9" i="157"/>
  <c r="U9" i="157" s="1"/>
  <c r="T351" i="157"/>
  <c r="U351" i="157" s="1"/>
  <c r="T1247" i="157"/>
  <c r="U1247" i="157" s="1"/>
  <c r="T306" i="157"/>
  <c r="U306" i="157" s="1"/>
  <c r="T539" i="157"/>
  <c r="U539" i="157" s="1"/>
  <c r="T1810" i="157"/>
  <c r="U1810" i="157" s="1"/>
  <c r="T960" i="157"/>
  <c r="U960" i="157" s="1"/>
  <c r="T648" i="157"/>
  <c r="U648" i="157" s="1"/>
  <c r="T958" i="157"/>
  <c r="U958" i="157" s="1"/>
  <c r="T372" i="157"/>
  <c r="U372" i="157" s="1"/>
  <c r="T464" i="157"/>
  <c r="U464" i="157" s="1"/>
  <c r="T465" i="157"/>
  <c r="U465" i="157" s="1"/>
  <c r="T466" i="157"/>
  <c r="U466" i="157" s="1"/>
  <c r="T68" i="157"/>
  <c r="U68" i="157" s="1"/>
  <c r="T362" i="157"/>
  <c r="U362" i="157" s="1"/>
  <c r="T847" i="157"/>
  <c r="U847" i="157" s="1"/>
  <c r="T1967" i="157"/>
  <c r="U1967" i="157" s="1"/>
  <c r="T238" i="157"/>
  <c r="U238" i="157" s="1"/>
  <c r="T600" i="157"/>
  <c r="U600" i="157" s="1"/>
  <c r="T231" i="157"/>
  <c r="U231" i="157" s="1"/>
  <c r="T106" i="157"/>
  <c r="U106" i="157" s="1"/>
  <c r="T1530" i="157"/>
  <c r="U1530" i="157" s="1"/>
  <c r="T522" i="157"/>
  <c r="U522" i="157" s="1"/>
  <c r="T350" i="157"/>
  <c r="U350" i="157" s="1"/>
  <c r="T1484" i="157"/>
  <c r="U1484" i="157" s="1"/>
  <c r="T1104" i="157"/>
  <c r="U1104" i="157" s="1"/>
  <c r="T775" i="157"/>
  <c r="U775" i="157" s="1"/>
  <c r="T558" i="157"/>
  <c r="U558" i="157" s="1"/>
  <c r="T716" i="157"/>
  <c r="U716" i="157" s="1"/>
  <c r="T1650" i="157"/>
  <c r="U1650" i="157" s="1"/>
  <c r="T1734" i="157"/>
  <c r="U1734" i="157" s="1"/>
  <c r="T1005" i="157"/>
  <c r="U1005" i="157" s="1"/>
  <c r="T214" i="157"/>
  <c r="U214" i="157" s="1"/>
  <c r="T911" i="157"/>
  <c r="U911" i="157" s="1"/>
  <c r="T654" i="157"/>
  <c r="U654" i="157" s="1"/>
  <c r="T213" i="157"/>
  <c r="U213" i="157" s="1"/>
  <c r="T1257" i="157"/>
  <c r="U1257" i="157" s="1"/>
  <c r="T1691" i="157"/>
  <c r="U1691" i="157" s="1"/>
  <c r="T333" i="157"/>
  <c r="U333" i="157" s="1"/>
  <c r="T175" i="157"/>
  <c r="U175" i="157" s="1"/>
  <c r="T1625" i="157"/>
  <c r="U1625" i="157" s="1"/>
  <c r="T1258" i="157"/>
  <c r="U1258" i="157" s="1"/>
  <c r="T884" i="157"/>
  <c r="U884" i="157" s="1"/>
  <c r="T521" i="157"/>
  <c r="U521" i="157" s="1"/>
  <c r="T254" i="157"/>
  <c r="U254" i="157" s="1"/>
  <c r="T885" i="157"/>
  <c r="U885" i="157" s="1"/>
  <c r="T675" i="157"/>
  <c r="U675" i="157" s="1"/>
  <c r="T676" i="157"/>
  <c r="U676" i="157" s="1"/>
  <c r="T490" i="157"/>
  <c r="U490" i="157" s="1"/>
  <c r="T491" i="157"/>
  <c r="U491" i="157" s="1"/>
  <c r="T112" i="157"/>
  <c r="U112" i="157" s="1"/>
  <c r="T113" i="157"/>
  <c r="U113" i="157" s="1"/>
  <c r="T30" i="157"/>
  <c r="U30" i="157" s="1"/>
  <c r="T1954" i="157"/>
  <c r="U1954" i="157" s="1"/>
  <c r="T1739" i="157"/>
  <c r="U1739" i="157" s="1"/>
  <c r="T1442" i="157"/>
  <c r="U1442" i="157" s="1"/>
  <c r="T1276" i="157"/>
  <c r="U1276" i="157" s="1"/>
  <c r="T1138" i="157"/>
  <c r="U1138" i="157" s="1"/>
  <c r="T954" i="157"/>
  <c r="U954" i="157" s="1"/>
  <c r="T662" i="157"/>
  <c r="U662" i="157" s="1"/>
  <c r="T468" i="157"/>
  <c r="U468" i="157" s="1"/>
  <c r="T528" i="157"/>
  <c r="U528" i="157" s="1"/>
  <c r="T529" i="157"/>
  <c r="U529" i="157" s="1"/>
  <c r="T530" i="157"/>
  <c r="U530" i="157" s="1"/>
  <c r="T531" i="157"/>
  <c r="U531" i="157" s="1"/>
  <c r="T1690" i="157"/>
  <c r="U1690" i="157" s="1"/>
  <c r="T841" i="157"/>
  <c r="U841" i="157" s="1"/>
  <c r="T1557" i="157"/>
  <c r="U1557" i="157" s="1"/>
  <c r="T809" i="157"/>
  <c r="U809" i="157" s="1"/>
  <c r="T810" i="157"/>
  <c r="U810" i="157" s="1"/>
  <c r="T92" i="157"/>
  <c r="U92" i="157" s="1"/>
  <c r="T421" i="157"/>
  <c r="U421" i="157" s="1"/>
  <c r="T150" i="157"/>
  <c r="U150" i="157" s="1"/>
  <c r="T880" i="157"/>
  <c r="U880" i="157" s="1"/>
  <c r="T251" i="157"/>
  <c r="U251" i="157" s="1"/>
  <c r="T273" i="157"/>
  <c r="U273" i="157" s="1"/>
  <c r="T345" i="157"/>
  <c r="U345" i="157" s="1"/>
  <c r="T133" i="157"/>
  <c r="U133" i="157" s="1"/>
  <c r="T132" i="157"/>
  <c r="U132" i="157" s="1"/>
  <c r="T1350" i="157"/>
  <c r="U1350" i="157" s="1"/>
  <c r="T728" i="157"/>
  <c r="U728" i="157" s="1"/>
  <c r="T1245" i="157"/>
  <c r="U1245" i="157" s="1"/>
  <c r="T1964" i="157"/>
  <c r="U1964" i="157" s="1"/>
  <c r="T215" i="157"/>
  <c r="U215" i="157" s="1"/>
  <c r="T514" i="157"/>
  <c r="U514" i="157" s="1"/>
  <c r="T1746" i="157"/>
  <c r="U1746" i="157" s="1"/>
  <c r="T625" i="157"/>
  <c r="U625" i="157" s="1"/>
  <c r="T557" i="157"/>
  <c r="U557" i="157" s="1"/>
  <c r="T438" i="157"/>
  <c r="U438" i="157" s="1"/>
  <c r="T187" i="157"/>
  <c r="U187" i="157" s="1"/>
  <c r="T255" i="157"/>
  <c r="U255" i="157" s="1"/>
  <c r="T451" i="157"/>
  <c r="U451" i="157" s="1"/>
  <c r="T553" i="157"/>
  <c r="U553" i="157" s="1"/>
  <c r="T446" i="157"/>
  <c r="U446" i="157" s="1"/>
  <c r="T532" i="157"/>
  <c r="U532" i="157" s="1"/>
  <c r="T1242" i="157"/>
  <c r="U1242" i="157" s="1"/>
  <c r="T321" i="157"/>
  <c r="U321" i="157" s="1"/>
  <c r="T533" i="157"/>
  <c r="U533" i="157" s="1"/>
  <c r="T1719" i="157"/>
  <c r="U1719" i="157" s="1"/>
  <c r="T322" i="157"/>
  <c r="U322" i="157" s="1"/>
  <c r="T540" i="157"/>
  <c r="U540" i="157" s="1"/>
  <c r="T803" i="157"/>
  <c r="U803" i="157" s="1"/>
  <c r="T75" i="157"/>
  <c r="U75" i="157" s="1"/>
  <c r="T1622" i="157"/>
  <c r="U1622" i="157" s="1"/>
  <c r="T541" i="157"/>
  <c r="U541" i="157" s="1"/>
  <c r="T722" i="157"/>
  <c r="U722" i="157" s="1"/>
  <c r="T774" i="157"/>
  <c r="U774" i="157" s="1"/>
  <c r="T723" i="157"/>
  <c r="U723" i="157" s="1"/>
  <c r="T670" i="157"/>
  <c r="U670" i="157" s="1"/>
  <c r="T1282" i="157"/>
  <c r="U1282" i="157" s="1"/>
  <c r="T1903" i="157"/>
  <c r="U1903" i="157" s="1"/>
  <c r="T256" i="157"/>
  <c r="U256" i="157" s="1"/>
  <c r="T671" i="157"/>
  <c r="U671" i="157" s="1"/>
  <c r="T397" i="157"/>
  <c r="U397" i="157" s="1"/>
  <c r="T487" i="157"/>
  <c r="U487" i="157" s="1"/>
  <c r="T435" i="157"/>
  <c r="U435" i="157" s="1"/>
  <c r="T216" i="157"/>
  <c r="U216" i="157" s="1"/>
  <c r="T167" i="157"/>
  <c r="U167" i="157" s="1"/>
  <c r="T221" i="157"/>
  <c r="U221" i="157" s="1"/>
  <c r="T393" i="157"/>
  <c r="U393" i="157" s="1"/>
  <c r="T1900" i="157"/>
  <c r="U1900" i="157" s="1"/>
  <c r="T1901" i="157"/>
  <c r="U1901" i="157" s="1"/>
  <c r="T422" i="157"/>
  <c r="U422" i="157" s="1"/>
  <c r="T715" i="157"/>
  <c r="U715" i="157" s="1"/>
  <c r="T542" i="157"/>
  <c r="U542" i="157" s="1"/>
  <c r="T166" i="157"/>
  <c r="U166" i="157" s="1"/>
  <c r="T563" i="157"/>
  <c r="U563" i="157" s="1"/>
  <c r="T168" i="157"/>
  <c r="U168" i="157" s="1"/>
  <c r="T65" i="157"/>
  <c r="U65" i="157" s="1"/>
  <c r="T413" i="157"/>
  <c r="U413" i="157" s="1"/>
  <c r="T962" i="157"/>
  <c r="U962" i="157" s="1"/>
  <c r="T1741" i="157"/>
  <c r="U1741" i="157" s="1"/>
  <c r="T1553" i="157"/>
  <c r="U1553" i="157" s="1"/>
  <c r="T197" i="157"/>
  <c r="U197" i="157" s="1"/>
  <c r="T1094" i="157"/>
  <c r="U1094" i="157" s="1"/>
  <c r="T423" i="157"/>
  <c r="U423" i="157" s="1"/>
  <c r="T424" i="157"/>
  <c r="U424" i="157" s="1"/>
  <c r="T230" i="157"/>
  <c r="U230" i="157" s="1"/>
  <c r="T257" i="157"/>
  <c r="U257" i="157" s="1"/>
  <c r="T904" i="157"/>
  <c r="U904" i="157" s="1"/>
  <c r="T363" i="157"/>
  <c r="U363" i="157" s="1"/>
  <c r="T364" i="157"/>
  <c r="U364" i="157" s="1"/>
  <c r="T365" i="157"/>
  <c r="U365" i="157" s="1"/>
  <c r="T1548" i="157"/>
  <c r="U1548" i="157" s="1"/>
  <c r="T1678" i="157"/>
  <c r="U1678" i="157" s="1"/>
  <c r="T1564" i="157"/>
  <c r="U1564" i="157" s="1"/>
  <c r="T1485" i="157"/>
  <c r="U1485" i="157" s="1"/>
  <c r="T757" i="157"/>
  <c r="U757" i="157" s="1"/>
  <c r="T130" i="157"/>
  <c r="U130" i="157" s="1"/>
  <c r="T1220" i="157"/>
  <c r="U1220" i="157" s="1"/>
  <c r="T1809" i="157"/>
  <c r="U1809" i="157" s="1"/>
  <c r="T1745" i="157"/>
  <c r="U1745" i="157" s="1"/>
  <c r="T323" i="157"/>
  <c r="U323" i="157" s="1"/>
  <c r="T64" i="157"/>
  <c r="U64" i="157" s="1"/>
  <c r="T8" i="157"/>
  <c r="U8" i="157" s="1"/>
  <c r="T1626" i="157"/>
  <c r="U1626" i="157" s="1"/>
  <c r="T1531" i="157"/>
  <c r="U1531" i="157" s="1"/>
  <c r="T1532" i="157"/>
  <c r="U1532" i="157" s="1"/>
  <c r="T1432" i="157"/>
  <c r="U1432" i="157" s="1"/>
  <c r="T1433" i="157"/>
  <c r="U1433" i="157" s="1"/>
  <c r="T1348" i="157"/>
  <c r="U1348" i="157" s="1"/>
  <c r="T1349" i="157"/>
  <c r="U1349" i="157" s="1"/>
  <c r="T1230" i="157"/>
  <c r="U1230" i="157" s="1"/>
  <c r="T1231" i="157"/>
  <c r="U1231" i="157" s="1"/>
  <c r="T1148" i="157"/>
  <c r="U1148" i="157" s="1"/>
  <c r="T1149" i="157"/>
  <c r="U1149" i="157" s="1"/>
  <c r="T930" i="157"/>
  <c r="U930" i="157" s="1"/>
  <c r="T802" i="157"/>
  <c r="U802" i="157" s="1"/>
  <c r="T564" i="157"/>
  <c r="U564" i="157" s="1"/>
  <c r="T107" i="157"/>
  <c r="U107" i="157" s="1"/>
  <c r="T108" i="157"/>
  <c r="U108" i="157" s="1"/>
  <c r="T1748" i="157"/>
  <c r="U1748" i="157" s="1"/>
  <c r="T1965" i="157"/>
  <c r="U1965" i="157" s="1"/>
  <c r="T325" i="157"/>
  <c r="U325" i="157" s="1"/>
  <c r="T1989" i="157"/>
  <c r="U1989" i="157" s="1"/>
  <c r="T892" i="157"/>
  <c r="U892" i="157" s="1"/>
  <c r="T978" i="157"/>
  <c r="U978" i="157" s="1"/>
  <c r="T439" i="157"/>
  <c r="U439" i="157" s="1"/>
  <c r="T1589" i="157"/>
  <c r="U1589" i="157" s="1"/>
  <c r="T1529" i="157"/>
  <c r="U1529" i="157" s="1"/>
  <c r="T1321" i="157"/>
  <c r="U1321" i="157" s="1"/>
  <c r="T1695" i="157"/>
  <c r="U1695" i="157" s="1"/>
  <c r="T1527" i="157"/>
  <c r="U1527" i="157" s="1"/>
  <c r="T1507" i="157"/>
  <c r="U1507" i="157" s="1"/>
  <c r="T297" i="157"/>
  <c r="U297" i="157" s="1"/>
  <c r="T1968" i="157"/>
  <c r="U1968" i="157" s="1"/>
  <c r="T1966" i="157"/>
  <c r="U1966" i="157" s="1"/>
  <c r="T624" i="157"/>
  <c r="U624" i="157" s="1"/>
  <c r="T334" i="157"/>
  <c r="U334" i="157" s="1"/>
  <c r="T169" i="157"/>
  <c r="U169" i="157" s="1"/>
  <c r="T1541" i="157"/>
  <c r="U1541" i="157" s="1"/>
  <c r="T1336" i="157"/>
  <c r="U1336" i="157" s="1"/>
  <c r="T480" i="157"/>
  <c r="U480" i="157" s="1"/>
  <c r="T185" i="157"/>
  <c r="U185" i="157" s="1"/>
  <c r="T566" i="157"/>
  <c r="U566" i="157" s="1"/>
  <c r="T110" i="157"/>
  <c r="U110" i="157" s="1"/>
  <c r="T1951" i="157"/>
  <c r="U1951" i="157" s="1"/>
  <c r="T1979" i="157"/>
  <c r="U1979" i="157" s="1"/>
  <c r="T1338" i="157"/>
  <c r="U1338" i="157" s="1"/>
  <c r="T332" i="157"/>
  <c r="U332" i="157" s="1"/>
  <c r="T109" i="157"/>
  <c r="U109" i="157" s="1"/>
  <c r="T1624" i="157"/>
  <c r="U1624" i="157" s="1"/>
  <c r="T396" i="157"/>
  <c r="U396" i="157" s="1"/>
  <c r="T956" i="157"/>
  <c r="U956" i="157" s="1"/>
  <c r="T1583" i="157"/>
  <c r="U1583" i="157" s="1"/>
  <c r="T1108" i="157"/>
  <c r="U1108" i="157" s="1"/>
  <c r="T1574" i="157"/>
  <c r="U1574" i="157" s="1"/>
  <c r="T1584" i="157"/>
  <c r="U1584" i="157" s="1"/>
  <c r="T1424" i="157"/>
  <c r="U1424" i="157" s="1"/>
  <c r="T192" i="157"/>
  <c r="U192" i="157" s="1"/>
  <c r="T565" i="157"/>
  <c r="U565" i="157" s="1"/>
  <c r="T1648" i="157"/>
  <c r="U1648" i="157" s="1"/>
  <c r="T1792" i="157"/>
  <c r="U1792" i="157" s="1"/>
  <c r="T953" i="157"/>
  <c r="U953" i="157" s="1"/>
  <c r="T964" i="157"/>
  <c r="U964" i="157" s="1"/>
  <c r="T433" i="157"/>
  <c r="U433" i="157" s="1"/>
  <c r="T324" i="157"/>
  <c r="U324" i="157" s="1"/>
  <c r="T1037" i="157"/>
  <c r="U1037" i="157" s="1"/>
  <c r="T482" i="157"/>
  <c r="U482" i="157" s="1"/>
  <c r="T483" i="157"/>
  <c r="U483" i="157" s="1"/>
  <c r="T655" i="157"/>
  <c r="U655" i="157" s="1"/>
  <c r="T1663" i="157"/>
  <c r="U1663" i="157" s="1"/>
  <c r="T896" i="157"/>
  <c r="U896" i="157" s="1"/>
  <c r="T275" i="157"/>
  <c r="U275" i="157" s="1"/>
  <c r="T418" i="157"/>
  <c r="U418" i="157" s="1"/>
  <c r="T1662" i="157"/>
  <c r="U1662" i="157" s="1"/>
  <c r="T1335" i="157"/>
  <c r="U1335" i="157" s="1"/>
  <c r="T1038" i="157"/>
  <c r="U1038" i="157" s="1"/>
  <c r="T929" i="157"/>
  <c r="U929" i="157" s="1"/>
  <c r="T1661" i="157"/>
  <c r="U1661" i="157" s="1"/>
  <c r="T1369" i="157"/>
  <c r="U1369" i="157" s="1"/>
  <c r="T165" i="157"/>
  <c r="U165" i="157" s="1"/>
  <c r="T326" i="157"/>
  <c r="U326" i="157" s="1"/>
  <c r="T484" i="157"/>
  <c r="U484" i="157" s="1"/>
  <c r="T296" i="157"/>
  <c r="U296" i="157" s="1"/>
  <c r="T1144" i="157"/>
  <c r="U1144" i="157" s="1"/>
  <c r="T724" i="157"/>
  <c r="U724" i="157" s="1"/>
  <c r="T1649" i="157"/>
  <c r="U1649" i="157" s="1"/>
  <c r="T1540" i="157"/>
  <c r="U1540" i="157" s="1"/>
  <c r="T630" i="157"/>
  <c r="U630" i="157" s="1"/>
  <c r="T1506" i="157"/>
  <c r="U1506" i="157" s="1"/>
  <c r="T485" i="157"/>
  <c r="U485" i="157" s="1"/>
  <c r="T973" i="157"/>
  <c r="U973" i="157" s="1"/>
  <c r="T1352" i="157"/>
  <c r="U1352" i="157" s="1"/>
  <c r="T366" i="157"/>
  <c r="U366" i="157" s="1"/>
  <c r="T367" i="157"/>
  <c r="U367" i="157" s="1"/>
  <c r="T368" i="157"/>
  <c r="U368" i="157" s="1"/>
  <c r="T298" i="157"/>
  <c r="U298" i="157" s="1"/>
  <c r="T369" i="157"/>
  <c r="U369" i="157" s="1"/>
  <c r="T1537" i="157"/>
  <c r="U1537" i="157" s="1"/>
  <c r="T383" i="157"/>
  <c r="U383" i="157" s="1"/>
  <c r="T1453" i="157"/>
  <c r="U1453" i="157" s="1"/>
  <c r="T1351" i="157"/>
  <c r="U1351" i="157" s="1"/>
  <c r="T1233" i="157"/>
  <c r="U1233" i="157" s="1"/>
  <c r="T1463" i="157"/>
  <c r="U1463" i="157" s="1"/>
  <c r="T196" i="157"/>
  <c r="U196" i="157" s="1"/>
  <c r="T35" i="157"/>
  <c r="U35" i="157" s="1"/>
  <c r="T1150" i="157"/>
  <c r="U1150" i="157" s="1"/>
  <c r="T101" i="157"/>
  <c r="U101" i="157" s="1"/>
  <c r="T1141" i="157"/>
  <c r="U1141" i="157" s="1"/>
  <c r="T1284" i="157"/>
  <c r="U1284" i="157" s="1"/>
  <c r="T90" i="157"/>
  <c r="U90" i="157" s="1"/>
  <c r="T299" i="157"/>
  <c r="U299" i="157" s="1"/>
  <c r="T219" i="157"/>
  <c r="U219" i="157" s="1"/>
  <c r="T232" i="157"/>
  <c r="U232" i="157" s="1"/>
  <c r="T88" i="157"/>
  <c r="U88" i="157" s="1"/>
  <c r="T294" i="157"/>
  <c r="U294" i="157" s="1"/>
  <c r="T171" i="157"/>
  <c r="U171" i="157" s="1"/>
  <c r="T486" i="157"/>
  <c r="U486" i="157" s="1"/>
  <c r="T1041" i="157"/>
  <c r="U1041" i="157" s="1"/>
  <c r="T242" i="157"/>
  <c r="U242" i="157" s="1"/>
  <c r="T23" i="157"/>
  <c r="U23" i="157" s="1"/>
  <c r="T115" i="157"/>
  <c r="U115" i="157" s="1"/>
  <c r="T211" i="157"/>
  <c r="U211" i="157" s="1"/>
  <c r="T212" i="157"/>
  <c r="U212" i="157" s="1"/>
  <c r="T1696" i="157"/>
  <c r="U1696" i="157" s="1"/>
  <c r="T1616" i="157"/>
  <c r="U1616" i="157" s="1"/>
  <c r="T1516" i="157"/>
  <c r="U1516" i="157" s="1"/>
  <c r="T1434" i="157"/>
  <c r="U1434" i="157" s="1"/>
  <c r="T1314" i="157"/>
  <c r="U1314" i="157" s="1"/>
  <c r="T1207" i="157"/>
  <c r="U1207" i="157" s="1"/>
  <c r="T873" i="157"/>
  <c r="U873" i="157" s="1"/>
  <c r="T143" i="157"/>
  <c r="U143" i="157" s="1"/>
  <c r="T144" i="157"/>
  <c r="U144" i="157" s="1"/>
  <c r="T145" i="157"/>
  <c r="U145" i="157" s="1"/>
  <c r="T140" i="157"/>
  <c r="U140" i="157" s="1"/>
  <c r="T1714" i="157"/>
  <c r="U1714" i="157" s="1"/>
  <c r="T644" i="157"/>
  <c r="U644" i="157" s="1"/>
  <c r="T677" i="157"/>
  <c r="U677" i="157" s="1"/>
  <c r="T410" i="157"/>
  <c r="U410" i="157" s="1"/>
  <c r="T1452" i="157"/>
  <c r="U1452" i="157" s="1"/>
  <c r="T1232" i="157"/>
  <c r="U1232" i="157" s="1"/>
  <c r="T370" i="157"/>
  <c r="U370" i="157" s="1"/>
  <c r="T1464" i="157"/>
  <c r="U1464" i="157" s="1"/>
  <c r="T1058" i="157"/>
  <c r="U1058" i="157" s="1"/>
  <c r="T945" i="157"/>
  <c r="U945" i="157" s="1"/>
  <c r="T796" i="157"/>
  <c r="U796" i="157" s="1"/>
  <c r="T229" i="157"/>
  <c r="U229" i="157" s="1"/>
  <c r="T1057" i="157"/>
  <c r="U1057" i="157" s="1"/>
  <c r="T407" i="157"/>
  <c r="U407" i="157" s="1"/>
  <c r="T1377" i="157"/>
  <c r="U1377" i="157" s="1"/>
  <c r="T89" i="157"/>
  <c r="U89" i="157" s="1"/>
  <c r="T1234" i="157"/>
  <c r="U1234" i="157" s="1"/>
  <c r="T416" i="157"/>
  <c r="U416" i="157" s="1"/>
  <c r="T1970" i="157"/>
  <c r="U1970" i="157" s="1"/>
  <c r="T1105" i="157"/>
  <c r="U1105" i="157" s="1"/>
  <c r="T1006" i="157"/>
  <c r="U1006" i="157" s="1"/>
  <c r="T1151" i="157"/>
  <c r="U1151" i="157" s="1"/>
  <c r="T1828" i="157"/>
  <c r="U1828" i="157" s="1"/>
  <c r="T86" i="157"/>
  <c r="U86" i="157" s="1"/>
  <c r="T1971" i="157"/>
  <c r="U1971" i="157" s="1"/>
  <c r="T1042" i="157"/>
  <c r="U1042" i="157" s="1"/>
  <c r="T417" i="157"/>
  <c r="U417" i="157" s="1"/>
  <c r="T1181" i="157"/>
  <c r="U1181" i="157" s="1"/>
  <c r="T1017" i="157"/>
  <c r="U1017" i="157" s="1"/>
  <c r="T970" i="157"/>
  <c r="U970" i="157" s="1"/>
  <c r="T48" i="157"/>
  <c r="U48" i="157" s="1"/>
  <c r="T1957" i="157"/>
  <c r="U1957" i="157" s="1"/>
  <c r="T1838" i="157"/>
  <c r="U1838" i="157" s="1"/>
  <c r="T13" i="157"/>
  <c r="U13" i="157" s="1"/>
  <c r="T25" i="157"/>
  <c r="U25" i="157" s="1"/>
  <c r="T1462" i="157"/>
  <c r="U1462" i="157" s="1"/>
  <c r="T1285" i="157"/>
  <c r="U1285" i="157" s="1"/>
  <c r="T1952" i="157"/>
  <c r="U1952" i="157" s="1"/>
  <c r="T1953" i="157"/>
  <c r="U1953" i="157" s="1"/>
  <c r="T1956" i="157"/>
  <c r="U1956" i="157" s="1"/>
  <c r="T862" i="157"/>
  <c r="U862" i="157" s="1"/>
  <c r="T412" i="157"/>
  <c r="U412" i="157" s="1"/>
  <c r="T123" i="157"/>
  <c r="U123" i="157" s="1"/>
  <c r="T291" i="157"/>
  <c r="U291" i="157" s="1"/>
  <c r="T290" i="157"/>
  <c r="U290" i="157" s="1"/>
  <c r="T11" i="157"/>
  <c r="U11" i="157" s="1"/>
  <c r="T95" i="157"/>
  <c r="U95" i="157" s="1"/>
  <c r="T96" i="157"/>
  <c r="U96" i="157" s="1"/>
  <c r="T97" i="157"/>
  <c r="U97" i="157" s="1"/>
  <c r="T98" i="157"/>
  <c r="U98" i="157" s="1"/>
  <c r="T1866" i="157"/>
  <c r="U1866" i="157" s="1"/>
  <c r="T492" i="157"/>
  <c r="U492" i="157" s="1"/>
  <c r="T411" i="157"/>
  <c r="U411" i="157" s="1"/>
  <c r="T673" i="157"/>
  <c r="U673" i="157" s="1"/>
  <c r="T957" i="157"/>
  <c r="U957" i="157" s="1"/>
  <c r="T99" i="157"/>
  <c r="U99" i="157" s="1"/>
  <c r="T281" i="157"/>
  <c r="U281" i="157" s="1"/>
  <c r="T1825" i="157"/>
  <c r="U1825" i="157" s="1"/>
  <c r="T1503" i="157"/>
  <c r="U1503" i="157" s="1"/>
  <c r="T984" i="157"/>
  <c r="U984" i="157" s="1"/>
  <c r="T402" i="157"/>
  <c r="U402" i="157" s="1"/>
  <c r="T488" i="157"/>
  <c r="U488" i="157" s="1"/>
  <c r="T164" i="157"/>
  <c r="U164" i="157" s="1"/>
  <c r="T881" i="157"/>
  <c r="U881" i="157" s="1"/>
  <c r="T100" i="157"/>
  <c r="U100" i="157" s="1"/>
  <c r="T1973" i="157"/>
  <c r="U1973" i="157" s="1"/>
  <c r="T1770" i="157"/>
  <c r="U1770" i="157" s="1"/>
  <c r="T1777" i="157"/>
  <c r="U1777" i="157" s="1"/>
  <c r="T1597" i="157"/>
  <c r="U1597" i="157" s="1"/>
  <c r="T646" i="157"/>
  <c r="U646" i="157" s="1"/>
  <c r="T1396" i="157"/>
  <c r="U1396" i="157" s="1"/>
  <c r="T1456" i="157"/>
  <c r="U1456" i="157" s="1"/>
  <c r="T1455" i="157"/>
  <c r="U1455" i="157" s="1"/>
  <c r="T1341" i="157"/>
  <c r="U1341" i="157" s="1"/>
  <c r="T1212" i="157"/>
  <c r="U1212" i="157" s="1"/>
  <c r="T974" i="157"/>
  <c r="U974" i="157" s="1"/>
  <c r="T401" i="157"/>
  <c r="U401" i="157" s="1"/>
  <c r="T1995" i="157"/>
  <c r="U1995" i="157" s="1"/>
  <c r="T1308" i="157"/>
  <c r="U1308" i="157" s="1"/>
  <c r="T740" i="157"/>
  <c r="U740" i="157" s="1"/>
  <c r="T726" i="157"/>
  <c r="U726" i="157" s="1"/>
  <c r="T743" i="157"/>
  <c r="U743" i="157" s="1"/>
  <c r="T899" i="157"/>
  <c r="U899" i="157" s="1"/>
  <c r="T900" i="157"/>
  <c r="U900" i="157" s="1"/>
  <c r="T1543" i="157"/>
  <c r="U1543" i="157" s="1"/>
  <c r="T61" i="157"/>
  <c r="U61" i="157" s="1"/>
  <c r="T1159" i="157"/>
  <c r="U1159" i="157" s="1"/>
  <c r="T1039" i="157"/>
  <c r="U1039" i="157" s="1"/>
  <c r="T1040" i="157"/>
  <c r="U1040" i="157" s="1"/>
  <c r="T931" i="157"/>
  <c r="U931" i="157" s="1"/>
  <c r="T913" i="157"/>
  <c r="U913" i="157" s="1"/>
  <c r="T804" i="157"/>
  <c r="U804" i="157" s="1"/>
  <c r="T739" i="157"/>
  <c r="U739" i="157" s="1"/>
  <c r="T672" i="157"/>
  <c r="U672" i="157" s="1"/>
  <c r="T567" i="157"/>
  <c r="U567" i="157" s="1"/>
  <c r="T649" i="157"/>
  <c r="U649" i="157" s="1"/>
  <c r="T561" i="157"/>
  <c r="U561" i="157" s="1"/>
  <c r="T474" i="157"/>
  <c r="U474" i="157" s="1"/>
  <c r="T371" i="157"/>
  <c r="U371" i="157" s="1"/>
  <c r="T258" i="157"/>
  <c r="U258" i="157" s="1"/>
  <c r="T1713" i="157"/>
  <c r="U1713" i="157" s="1"/>
  <c r="T1294" i="157"/>
  <c r="U1294" i="157" s="1"/>
  <c r="T1239" i="157"/>
  <c r="U1239" i="157" s="1"/>
  <c r="T1145" i="157"/>
  <c r="U1145" i="157" s="1"/>
  <c r="T1797" i="157"/>
  <c r="U1797" i="157" s="1"/>
  <c r="T1794" i="157"/>
  <c r="U1794" i="157" s="1"/>
  <c r="T1683" i="157"/>
  <c r="U1683" i="157" s="1"/>
  <c r="T1607" i="157"/>
  <c r="U1607" i="157" s="1"/>
  <c r="T60" i="157"/>
  <c r="U60" i="157" s="1"/>
  <c r="T1397" i="157"/>
  <c r="U1397" i="157" s="1"/>
  <c r="T225" i="157"/>
  <c r="U225" i="157" s="1"/>
  <c r="T1398" i="157"/>
  <c r="U1398" i="157" s="1"/>
  <c r="T1324" i="157"/>
  <c r="U1324" i="157" s="1"/>
  <c r="T224" i="157"/>
  <c r="U224" i="157" s="1"/>
  <c r="T1811" i="157"/>
  <c r="U1811" i="157" s="1"/>
  <c r="T384" i="157"/>
  <c r="U384" i="157" s="1"/>
  <c r="T1382" i="157"/>
  <c r="U1382" i="157" s="1"/>
  <c r="T1367" i="157"/>
  <c r="U1367" i="157" s="1"/>
  <c r="T1379" i="157"/>
  <c r="U1379" i="157" s="1"/>
  <c r="T1752" i="157"/>
  <c r="U1752" i="157" s="1"/>
  <c r="T1751" i="157"/>
  <c r="U1751" i="157" s="1"/>
  <c r="T1112" i="157"/>
  <c r="U1112" i="157" s="1"/>
  <c r="T300" i="157"/>
  <c r="U300" i="157" s="1"/>
  <c r="T1380" i="157"/>
  <c r="U1380" i="157" s="1"/>
  <c r="T1381" i="157"/>
  <c r="U1381" i="157" s="1"/>
  <c r="T1774" i="157"/>
  <c r="U1774" i="157" s="1"/>
  <c r="T1604" i="157"/>
  <c r="U1604" i="157" s="1"/>
  <c r="T1684" i="157"/>
  <c r="U1684" i="157" s="1"/>
  <c r="T1617" i="157"/>
  <c r="U1617" i="157" s="1"/>
  <c r="T1525" i="157"/>
  <c r="U1525" i="157" s="1"/>
  <c r="T1111" i="157"/>
  <c r="U1111" i="157" s="1"/>
  <c r="T1436" i="157"/>
  <c r="U1436" i="157" s="1"/>
  <c r="T1435" i="157"/>
  <c r="U1435" i="157" s="1"/>
  <c r="T1317" i="157"/>
  <c r="U1317" i="157" s="1"/>
  <c r="T195" i="157"/>
  <c r="U195" i="157" s="1"/>
  <c r="T1959" i="157"/>
  <c r="U1959" i="157" s="1"/>
  <c r="T1110" i="157"/>
  <c r="U1110" i="157" s="1"/>
  <c r="T1361" i="157"/>
  <c r="U1361" i="157" s="1"/>
  <c r="T863" i="157"/>
  <c r="U863" i="157" s="1"/>
  <c r="T1315" i="157"/>
  <c r="U1315" i="157" s="1"/>
  <c r="T1109" i="157"/>
  <c r="U1109" i="157" s="1"/>
  <c r="T1208" i="157"/>
  <c r="U1208" i="157" s="1"/>
  <c r="T1107" i="157"/>
  <c r="U1107" i="157" s="1"/>
  <c r="T1880" i="157"/>
  <c r="U1880" i="157" s="1"/>
  <c r="T1608" i="157"/>
  <c r="U1608" i="157" s="1"/>
  <c r="T1569" i="157"/>
  <c r="U1569" i="157" s="1"/>
  <c r="T1106" i="157"/>
  <c r="U1106" i="157" s="1"/>
  <c r="T1098" i="157"/>
  <c r="U1098" i="157" s="1"/>
  <c r="T1007" i="157"/>
  <c r="U1007" i="157" s="1"/>
  <c r="T882" i="157"/>
  <c r="U882" i="157" s="1"/>
  <c r="T776" i="157"/>
  <c r="U776" i="157" s="1"/>
  <c r="T59" i="157"/>
  <c r="U59" i="157" s="1"/>
  <c r="T717" i="157"/>
  <c r="U717" i="157" s="1"/>
  <c r="T628" i="157"/>
  <c r="U628" i="157" s="1"/>
  <c r="T755" i="157"/>
  <c r="U755" i="157" s="1"/>
  <c r="T753" i="157"/>
  <c r="U753" i="157" s="1"/>
  <c r="T629" i="157"/>
  <c r="U629" i="157" s="1"/>
  <c r="T626" i="157"/>
  <c r="U626" i="157" s="1"/>
  <c r="T543" i="157"/>
  <c r="U543" i="157" s="1"/>
  <c r="T591" i="157"/>
  <c r="U591" i="157" s="1"/>
  <c r="T544" i="157"/>
  <c r="U544" i="157" s="1"/>
  <c r="T440" i="157"/>
  <c r="U440" i="157" s="1"/>
  <c r="T335" i="157"/>
  <c r="U335" i="157" s="1"/>
  <c r="T1606" i="157"/>
  <c r="U1606" i="157" s="1"/>
  <c r="T233" i="157"/>
  <c r="U233" i="157" s="1"/>
  <c r="T111" i="157"/>
  <c r="U111" i="157" s="1"/>
  <c r="T1837" i="157"/>
  <c r="U1837" i="157" s="1"/>
  <c r="T1881" i="157"/>
  <c r="U1881" i="157" s="1"/>
  <c r="T1798" i="157"/>
  <c r="U1798" i="157" s="1"/>
  <c r="T1759" i="157"/>
  <c r="U1759" i="157" s="1"/>
  <c r="T1568" i="157"/>
  <c r="U1568" i="157" s="1"/>
  <c r="T592" i="157"/>
  <c r="U592" i="157" s="1"/>
  <c r="T409" i="157"/>
  <c r="U409" i="157" s="1"/>
  <c r="T589" i="157"/>
  <c r="U589" i="157" s="1"/>
  <c r="T590" i="157"/>
  <c r="U590" i="157" s="1"/>
  <c r="T1682" i="157"/>
  <c r="U1682" i="157" s="1"/>
  <c r="T1681" i="157"/>
  <c r="U1681" i="157" s="1"/>
  <c r="T1580" i="157"/>
  <c r="U1580" i="157" s="1"/>
  <c r="T1550" i="157"/>
  <c r="U1550" i="157" s="1"/>
  <c r="T1474" i="157"/>
  <c r="U1474" i="157" s="1"/>
  <c r="T1364" i="157"/>
  <c r="U1364" i="157" s="1"/>
  <c r="T288" i="157"/>
  <c r="U288" i="157" s="1"/>
  <c r="T1469" i="157"/>
  <c r="U1469" i="157" s="1"/>
  <c r="T1420" i="157"/>
  <c r="U1420" i="157" s="1"/>
  <c r="T1440" i="157"/>
  <c r="U1440" i="157" s="1"/>
  <c r="T1344" i="157"/>
  <c r="U1344" i="157" s="1"/>
  <c r="T1277" i="157"/>
  <c r="U1277" i="157" s="1"/>
  <c r="T1184" i="157"/>
  <c r="U1184" i="157" s="1"/>
  <c r="T1073" i="157"/>
  <c r="U1073" i="157" s="1"/>
  <c r="T1028" i="157"/>
  <c r="U1028" i="157" s="1"/>
  <c r="T923" i="157"/>
  <c r="U923" i="157" s="1"/>
  <c r="T859" i="157"/>
  <c r="U859" i="157" s="1"/>
  <c r="T849" i="157"/>
  <c r="U849" i="157" s="1"/>
  <c r="T747" i="157"/>
  <c r="U747" i="157" s="1"/>
  <c r="T686" i="157"/>
  <c r="U686" i="157" s="1"/>
  <c r="T286" i="157"/>
  <c r="U286" i="157" s="1"/>
  <c r="T202" i="157"/>
  <c r="U202" i="157" s="1"/>
  <c r="V1579" i="157"/>
  <c r="V872" i="157"/>
  <c r="V575" i="157"/>
  <c r="V1481" i="157"/>
  <c r="V311" i="157"/>
  <c r="V667" i="157"/>
  <c r="V1708" i="157"/>
  <c r="V272" i="157"/>
  <c r="V134" i="157"/>
  <c r="V160" i="157"/>
  <c r="V871" i="157"/>
  <c r="V431" i="157"/>
  <c r="V205" i="157"/>
  <c r="V381" i="157"/>
  <c r="V151" i="157"/>
  <c r="V1915" i="157"/>
  <c r="V1911" i="157"/>
  <c r="V787" i="157"/>
  <c r="V901" i="157"/>
  <c r="V902" i="157"/>
  <c r="V778" i="157"/>
  <c r="V1084" i="157"/>
  <c r="V1999" i="157"/>
  <c r="V903" i="157"/>
  <c r="V870" i="157"/>
  <c r="V1742" i="157"/>
  <c r="V1612" i="157"/>
  <c r="V741" i="157"/>
  <c r="V1630" i="157"/>
  <c r="V1874" i="157"/>
  <c r="V1845" i="157"/>
  <c r="V378" i="157"/>
  <c r="V942" i="157"/>
  <c r="V742" i="157"/>
  <c r="V344" i="157"/>
  <c r="V206" i="157"/>
  <c r="V1303" i="157"/>
  <c r="V338" i="157"/>
  <c r="V867" i="157"/>
  <c r="V1860" i="157"/>
  <c r="V1593" i="157"/>
  <c r="V1241" i="157"/>
  <c r="V1383" i="157"/>
  <c r="V1743" i="157"/>
  <c r="V1522" i="157"/>
  <c r="V1043" i="157"/>
  <c r="V825" i="157"/>
  <c r="V1703" i="157"/>
  <c r="V1477" i="157"/>
  <c r="V1897" i="157"/>
  <c r="V253" i="157"/>
  <c r="V831" i="157"/>
  <c r="V791" i="157"/>
  <c r="V287" i="157"/>
  <c r="V1692" i="157"/>
  <c r="V1301" i="157"/>
  <c r="V645" i="157"/>
  <c r="V1816" i="157"/>
  <c r="V1822" i="157"/>
  <c r="V597" i="157"/>
  <c r="V1635" i="157"/>
  <c r="V1438" i="157"/>
  <c r="V354" i="157"/>
  <c r="V815" i="157"/>
  <c r="V1254" i="157"/>
  <c r="V506" i="157"/>
  <c r="V908" i="157"/>
  <c r="V1120" i="157"/>
  <c r="V1302" i="157"/>
  <c r="V1573" i="157"/>
  <c r="V249" i="157"/>
  <c r="V1909" i="157"/>
  <c r="V608" i="157"/>
  <c r="V1750" i="157"/>
  <c r="V1495" i="157"/>
  <c r="V790" i="157"/>
  <c r="V1286" i="157"/>
  <c r="V1259" i="157"/>
  <c r="V694" i="157"/>
  <c r="V734" i="157"/>
  <c r="V699" i="157"/>
  <c r="V327" i="157"/>
  <c r="V218" i="157"/>
  <c r="V181" i="157"/>
  <c r="V1861" i="157"/>
  <c r="V641" i="157"/>
  <c r="V1891" i="157"/>
  <c r="V427" i="157"/>
  <c r="V159" i="157"/>
  <c r="V1496" i="157"/>
  <c r="V1390" i="157"/>
  <c r="V1022" i="157"/>
  <c r="V1654" i="157"/>
  <c r="V1889" i="157"/>
  <c r="V1789" i="157"/>
  <c r="V1726" i="157"/>
  <c r="V1514" i="157"/>
  <c r="V141" i="157"/>
  <c r="V1892" i="157"/>
  <c r="V1533" i="157"/>
  <c r="V138" i="157"/>
  <c r="V1858" i="157"/>
  <c r="V1391" i="157"/>
  <c r="V156" i="157"/>
  <c r="V264" i="157"/>
  <c r="V1773" i="157"/>
  <c r="V1785" i="157"/>
  <c r="V638" i="157"/>
  <c r="V1701" i="157"/>
  <c r="V1605" i="157"/>
  <c r="V1562" i="157"/>
  <c r="V1502" i="157"/>
  <c r="V1454" i="157"/>
  <c r="V1400" i="157"/>
  <c r="V1327" i="157"/>
  <c r="V1264" i="157"/>
  <c r="V1599" i="157"/>
  <c r="V1008" i="157"/>
  <c r="V1425" i="157"/>
  <c r="V1201" i="157"/>
  <c r="V1119" i="157"/>
  <c r="V1163" i="157"/>
  <c r="V1063" i="157"/>
  <c r="V946" i="157"/>
  <c r="V921" i="157"/>
  <c r="V709" i="157"/>
  <c r="V1402" i="157"/>
  <c r="V1260" i="157"/>
  <c r="V1908" i="157"/>
  <c r="V1907" i="157"/>
  <c r="V1449" i="157"/>
  <c r="V1384" i="157"/>
  <c r="V1322" i="157"/>
  <c r="V1238" i="157"/>
  <c r="V1197" i="157"/>
  <c r="V1086" i="157"/>
  <c r="V822" i="157"/>
  <c r="V399" i="157"/>
  <c r="V1170" i="157"/>
  <c r="V527" i="157"/>
  <c r="V1886" i="157"/>
  <c r="V162" i="157"/>
  <c r="V1851" i="157"/>
  <c r="V1862" i="157"/>
  <c r="V1834" i="157"/>
  <c r="V1408" i="157"/>
  <c r="V102" i="157"/>
  <c r="V1998" i="157"/>
  <c r="V1788" i="157"/>
  <c r="V1831" i="157"/>
  <c r="V1414" i="157"/>
  <c r="V920" i="157"/>
  <c r="V1044" i="157"/>
  <c r="V1640" i="157"/>
  <c r="V1542" i="157"/>
  <c r="V1354" i="157"/>
  <c r="V1244" i="157"/>
  <c r="V576" i="157"/>
  <c r="V1700" i="157"/>
  <c r="V1428" i="157"/>
  <c r="V1410" i="157"/>
  <c r="V1806" i="157"/>
  <c r="V909" i="157"/>
  <c r="V1807" i="157"/>
  <c r="V1761" i="157"/>
  <c r="V1602" i="157"/>
  <c r="V1824" i="157"/>
  <c r="V1292" i="157"/>
  <c r="V795" i="157"/>
  <c r="V1156" i="157"/>
  <c r="V1850" i="157"/>
  <c r="V477" i="157"/>
  <c r="V1494" i="157"/>
  <c r="V1890" i="157"/>
  <c r="V807" i="157"/>
  <c r="V1864" i="157"/>
  <c r="V1839" i="157"/>
  <c r="V1047" i="157"/>
  <c r="V1526" i="157"/>
  <c r="V1594" i="157"/>
  <c r="V1389" i="157"/>
  <c r="V1793" i="157"/>
  <c r="V1787" i="157"/>
  <c r="V1665" i="157"/>
  <c r="V1293" i="157"/>
  <c r="V1693" i="157"/>
  <c r="V1493" i="157"/>
  <c r="V1091" i="157"/>
  <c r="V1873" i="157"/>
  <c r="V1747" i="157"/>
  <c r="V1702" i="157"/>
  <c r="V1621" i="157"/>
  <c r="V1618" i="157"/>
  <c r="V1508" i="157"/>
  <c r="V1685" i="157"/>
  <c r="V1686" i="157"/>
  <c r="V1687" i="157"/>
  <c r="V1688" i="157"/>
  <c r="V1214" i="157"/>
  <c r="V445" i="157"/>
  <c r="V1178" i="157"/>
  <c r="V748" i="157"/>
  <c r="V1997" i="157"/>
  <c r="V341" i="157"/>
  <c r="V1318" i="157"/>
  <c r="V1411" i="157"/>
  <c r="V1437" i="157"/>
  <c r="V1412" i="157"/>
  <c r="V1760" i="157"/>
  <c r="V1447" i="157"/>
  <c r="V680" i="157"/>
  <c r="V1326" i="157"/>
  <c r="V1346" i="157"/>
  <c r="V1841" i="157"/>
  <c r="V1857" i="157"/>
  <c r="V1859" i="157"/>
  <c r="V1403" i="157"/>
  <c r="V594" i="157"/>
  <c r="V1067" i="157"/>
  <c r="V1328" i="157"/>
  <c r="V663" i="157"/>
  <c r="V534" i="157"/>
  <c r="V1778" i="157"/>
  <c r="V1744" i="157"/>
  <c r="V1611" i="157"/>
  <c r="V1728" i="157"/>
  <c r="V1729" i="157"/>
  <c r="V1296" i="157"/>
  <c r="V1182" i="157"/>
  <c r="V1378" i="157"/>
  <c r="V343" i="157"/>
  <c r="V593" i="157"/>
  <c r="V1756" i="157"/>
  <c r="V1722" i="157"/>
  <c r="V1305" i="157"/>
  <c r="V1730" i="157"/>
  <c r="V1287" i="157"/>
  <c r="V1619" i="157"/>
  <c r="V1488" i="157"/>
  <c r="V220" i="157"/>
  <c r="V888" i="157"/>
  <c r="V1620" i="157"/>
  <c r="V1077" i="157"/>
  <c r="V812" i="157"/>
  <c r="V1667" i="157"/>
  <c r="V1689" i="157"/>
  <c r="V1202" i="157"/>
  <c r="V1910" i="157"/>
  <c r="V1576" i="157"/>
  <c r="V765" i="157"/>
  <c r="V1632" i="157"/>
  <c r="V1609" i="157"/>
  <c r="V1311" i="157"/>
  <c r="V1906" i="157"/>
  <c r="V1879" i="157"/>
  <c r="V457" i="157"/>
  <c r="V1613" i="157"/>
  <c r="V1472" i="157"/>
  <c r="V1471" i="157"/>
  <c r="V1590" i="157"/>
  <c r="V1591" i="157"/>
  <c r="V1592" i="157"/>
  <c r="V1492" i="157"/>
  <c r="V1405" i="157"/>
  <c r="V1406" i="157"/>
  <c r="V1407" i="157"/>
  <c r="V1309" i="157"/>
  <c r="V828" i="157"/>
  <c r="V1865" i="157"/>
  <c r="V1846" i="157"/>
  <c r="V1664" i="157"/>
  <c r="V966" i="157"/>
  <c r="V876" i="157"/>
  <c r="V1521" i="157"/>
  <c r="V1523" i="157"/>
  <c r="V1413" i="157"/>
  <c r="V1489" i="157"/>
  <c r="V640" i="157"/>
  <c r="V731" i="157"/>
  <c r="V827" i="157"/>
  <c r="V826" i="157"/>
  <c r="V760" i="157"/>
  <c r="V1203" i="157"/>
  <c r="V1490" i="157"/>
  <c r="V317" i="157"/>
  <c r="V656" i="157"/>
  <c r="V318" i="157"/>
  <c r="V1491" i="157"/>
  <c r="V1374" i="157"/>
  <c r="V1427" i="157"/>
  <c r="V1429" i="157"/>
  <c r="V554" i="157"/>
  <c r="V328" i="157"/>
  <c r="V905" i="157"/>
  <c r="V217" i="157"/>
  <c r="V476" i="157"/>
  <c r="V1551" i="157"/>
  <c r="V1306" i="157"/>
  <c r="V707" i="157"/>
  <c r="V178" i="157"/>
  <c r="V1307" i="157"/>
  <c r="V1404" i="157"/>
  <c r="V555" i="157"/>
  <c r="V293" i="157"/>
  <c r="V1045" i="157"/>
  <c r="V1310" i="157"/>
  <c r="V838" i="157"/>
  <c r="V749" i="157"/>
  <c r="V1387" i="157"/>
  <c r="V1388" i="157"/>
  <c r="V1385" i="157"/>
  <c r="V1372" i="157"/>
  <c r="V1213" i="157"/>
  <c r="V1187" i="157"/>
  <c r="V1827" i="157"/>
  <c r="V1510" i="157"/>
  <c r="V1395" i="157"/>
  <c r="V1375" i="157"/>
  <c r="V824" i="157"/>
  <c r="V819" i="157"/>
  <c r="V1646" i="157"/>
  <c r="V1595" i="157"/>
  <c r="V1552" i="157"/>
  <c r="V1511" i="157"/>
  <c r="V1444" i="157"/>
  <c r="V1329" i="157"/>
  <c r="V1012" i="157"/>
  <c r="V1515" i="157"/>
  <c r="V1089" i="157"/>
  <c r="V1288" i="157"/>
  <c r="V346" i="157"/>
  <c r="V1731" i="157"/>
  <c r="V1289" i="157"/>
  <c r="V1290" i="157"/>
  <c r="V1482" i="157"/>
  <c r="V1291" i="157"/>
  <c r="V1243" i="157"/>
  <c r="V1849" i="157"/>
  <c r="V250" i="157"/>
  <c r="V1023" i="157"/>
  <c r="V1204" i="157"/>
  <c r="V580" i="157"/>
  <c r="V455" i="157"/>
  <c r="V1000" i="157"/>
  <c r="V1124" i="157"/>
  <c r="V454" i="157"/>
  <c r="V733" i="157"/>
  <c r="V961" i="157"/>
  <c r="V1218" i="157"/>
  <c r="V1299" i="157"/>
  <c r="V1556" i="157"/>
  <c r="V1298" i="157"/>
  <c r="V1009" i="157"/>
  <c r="V179" i="157"/>
  <c r="V161" i="157"/>
  <c r="V730" i="157"/>
  <c r="V348" i="157"/>
  <c r="V1371" i="157"/>
  <c r="V524" i="157"/>
  <c r="V1480" i="157"/>
  <c r="V1074" i="157"/>
  <c r="V1171" i="157"/>
  <c r="V149" i="157"/>
  <c r="V146" i="157"/>
  <c r="V316" i="157"/>
  <c r="V1263" i="157"/>
  <c r="V139" i="157"/>
  <c r="V1162" i="157"/>
  <c r="V245" i="157"/>
  <c r="V968" i="157"/>
  <c r="V278" i="157"/>
  <c r="V137" i="157"/>
  <c r="V668" i="157"/>
  <c r="V1603" i="157"/>
  <c r="V941" i="157"/>
  <c r="V619" i="157"/>
  <c r="V1161" i="157"/>
  <c r="V808" i="157"/>
  <c r="V916" i="157"/>
  <c r="V967" i="157"/>
  <c r="V890" i="157"/>
  <c r="V239" i="157"/>
  <c r="V223" i="157"/>
  <c r="V596" i="157"/>
  <c r="V618" i="157"/>
  <c r="V573" i="157"/>
  <c r="V887" i="157"/>
  <c r="V93" i="157"/>
  <c r="V94" i="157"/>
  <c r="V342" i="157"/>
  <c r="V1519" i="157"/>
  <c r="V526" i="157"/>
  <c r="V377" i="157"/>
  <c r="V689" i="157"/>
  <c r="V1359" i="157"/>
  <c r="V839" i="157"/>
  <c r="V1842" i="157"/>
  <c r="V1779" i="157"/>
  <c r="V1129" i="157"/>
  <c r="V907" i="157"/>
  <c r="V420" i="157"/>
  <c r="V611" i="157"/>
  <c r="V583" i="157"/>
  <c r="V1520" i="157"/>
  <c r="V1274" i="157"/>
  <c r="V1478" i="157"/>
  <c r="V1791" i="157"/>
  <c r="V1776" i="157"/>
  <c r="V1765" i="157"/>
  <c r="V1652" i="157"/>
  <c r="V1631" i="157"/>
  <c r="V1600" i="157"/>
  <c r="V1483" i="157"/>
  <c r="V1443" i="157"/>
  <c r="V1416" i="157"/>
  <c r="V1386" i="157"/>
  <c r="V1373" i="157"/>
  <c r="V1266" i="157"/>
  <c r="V1199" i="157"/>
  <c r="V126" i="157"/>
  <c r="V845" i="157"/>
  <c r="V844" i="157"/>
  <c r="V868" i="157"/>
  <c r="V813" i="157"/>
  <c r="V1323" i="157"/>
  <c r="V1198" i="157"/>
  <c r="V376" i="157"/>
  <c r="V1325" i="157"/>
  <c r="V356" i="157"/>
  <c r="V584" i="157"/>
  <c r="V1227" i="157"/>
  <c r="V1872" i="157"/>
  <c r="V443" i="157"/>
  <c r="V340" i="157"/>
  <c r="V135" i="157"/>
  <c r="V136" i="157"/>
  <c r="V105" i="157"/>
  <c r="V1360" i="157"/>
  <c r="V1996" i="157"/>
  <c r="V1152" i="157"/>
  <c r="V357" i="157"/>
  <c r="V312" i="157"/>
  <c r="V1056" i="157"/>
  <c r="V679" i="157"/>
  <c r="V313" i="157"/>
  <c r="V1423" i="157"/>
  <c r="V710" i="157"/>
  <c r="V1256" i="157"/>
  <c r="V779" i="157"/>
  <c r="V1224" i="157"/>
  <c r="V1169" i="157"/>
  <c r="V762" i="157"/>
  <c r="V843" i="157"/>
  <c r="V1875" i="157"/>
  <c r="V1847" i="157"/>
  <c r="V415" i="157"/>
  <c r="V184" i="157"/>
  <c r="V152" i="157"/>
  <c r="V176" i="157"/>
  <c r="V1272" i="157"/>
  <c r="V1164" i="157"/>
  <c r="V1117" i="157"/>
  <c r="V314" i="157"/>
  <c r="V315" i="157"/>
  <c r="V1818" i="157"/>
  <c r="V1737" i="157"/>
  <c r="V1596" i="157"/>
  <c r="V729" i="157"/>
  <c r="V721" i="157"/>
  <c r="V204" i="157"/>
  <c r="V1029" i="157"/>
  <c r="V1027" i="157"/>
  <c r="V690" i="157"/>
  <c r="V1766" i="157"/>
  <c r="V937" i="157"/>
  <c r="V1821" i="157"/>
  <c r="V1725" i="157"/>
  <c r="V1563" i="157"/>
  <c r="V1237" i="157"/>
  <c r="V155" i="157"/>
  <c r="V1676" i="157"/>
  <c r="V1658" i="157"/>
  <c r="V1118" i="157"/>
  <c r="V1222" i="157"/>
  <c r="V1448" i="157"/>
  <c r="V182" i="157"/>
  <c r="V1353" i="157"/>
  <c r="V1297" i="157"/>
  <c r="V664" i="157"/>
  <c r="V869" i="157"/>
  <c r="V177" i="157"/>
  <c r="V609" i="157"/>
  <c r="V665" i="157"/>
  <c r="V877" i="157"/>
  <c r="V1219" i="157"/>
  <c r="V1190" i="157"/>
  <c r="V180" i="157"/>
  <c r="V1893" i="157"/>
  <c r="V820" i="157"/>
  <c r="V1174" i="157"/>
  <c r="V1888" i="157"/>
  <c r="V610" i="157"/>
  <c r="V1175" i="157"/>
  <c r="V1155" i="157"/>
  <c r="V798" i="157"/>
  <c r="V788" i="157"/>
  <c r="V1062" i="157"/>
  <c r="V349" i="157"/>
  <c r="V1127" i="157"/>
  <c r="V919" i="157"/>
  <c r="V1358" i="157"/>
  <c r="V1409" i="157"/>
  <c r="V1065" i="157"/>
  <c r="V620" i="157"/>
  <c r="V577" i="157"/>
  <c r="V551" i="157"/>
  <c r="V535" i="157"/>
  <c r="V505" i="157"/>
  <c r="V398" i="157"/>
  <c r="V768" i="157"/>
  <c r="V478" i="157"/>
  <c r="V432" i="157"/>
  <c r="V153" i="157"/>
  <c r="V154" i="157"/>
  <c r="V127" i="157"/>
  <c r="V761" i="157"/>
  <c r="V751" i="157"/>
  <c r="V700" i="157"/>
  <c r="V631" i="157"/>
  <c r="V504" i="157"/>
  <c r="V552" i="157"/>
  <c r="V1749" i="157"/>
  <c r="V1844" i="157"/>
  <c r="V1588" i="157"/>
  <c r="V678" i="157"/>
  <c r="V935" i="157"/>
  <c r="V243" i="157"/>
  <c r="V1538" i="157"/>
  <c r="V1876" i="157"/>
  <c r="V842" i="157"/>
  <c r="V681" i="157"/>
  <c r="V358" i="157"/>
  <c r="V1088" i="157"/>
  <c r="V604" i="157"/>
  <c r="V501" i="157"/>
  <c r="V1633" i="157"/>
  <c r="V1078" i="157"/>
  <c r="V471" i="157"/>
  <c r="V889" i="157"/>
  <c r="V472" i="157"/>
  <c r="V320" i="157"/>
  <c r="V1467" i="157"/>
  <c r="V394" i="157"/>
  <c r="V811" i="157"/>
  <c r="V816" i="157"/>
  <c r="V128" i="157"/>
  <c r="V129" i="157"/>
  <c r="V1634" i="157"/>
  <c r="V1528" i="157"/>
  <c r="V1843" i="157"/>
  <c r="V556" i="157"/>
  <c r="V259" i="157"/>
  <c r="V806" i="157"/>
  <c r="V1852" i="157"/>
  <c r="V1561" i="157"/>
  <c r="V814" i="157"/>
  <c r="V124" i="157"/>
  <c r="V752" i="157"/>
  <c r="V1370" i="157"/>
  <c r="V459" i="157"/>
  <c r="V1392" i="157"/>
  <c r="V601" i="157"/>
  <c r="V1228" i="157"/>
  <c r="V1781" i="157"/>
  <c r="V131" i="157"/>
  <c r="V1275" i="157"/>
  <c r="V395" i="157"/>
  <c r="V391" i="157"/>
  <c r="V895" i="157"/>
  <c r="V878" i="157"/>
  <c r="V1732" i="157"/>
  <c r="V460" i="157"/>
  <c r="V461" i="157"/>
  <c r="V1339" i="157"/>
  <c r="V207" i="157"/>
  <c r="V183" i="157"/>
  <c r="V1638" i="157"/>
  <c r="V208" i="157"/>
  <c r="V1990" i="157"/>
  <c r="V1987" i="157"/>
  <c r="V1121" i="157"/>
  <c r="V1331" i="157"/>
  <c r="V1817" i="157"/>
  <c r="V1697" i="157"/>
  <c r="V1674" i="157"/>
  <c r="V1366" i="157"/>
  <c r="V1064" i="157"/>
  <c r="V1189" i="157"/>
  <c r="V511" i="157"/>
  <c r="V1554" i="157"/>
  <c r="V1465" i="157"/>
  <c r="V1188" i="157"/>
  <c r="V1877" i="157"/>
  <c r="V1878" i="157"/>
  <c r="V1497" i="157"/>
  <c r="V1479" i="157"/>
  <c r="V1172" i="157"/>
  <c r="V933" i="157"/>
  <c r="V585" i="157"/>
  <c r="V507" i="157"/>
  <c r="V289" i="157"/>
  <c r="V237" i="157"/>
  <c r="V235" i="157"/>
  <c r="V1782" i="157"/>
  <c r="V392" i="157"/>
  <c r="V17" i="157"/>
  <c r="V1993" i="157"/>
  <c r="V1991" i="157"/>
  <c r="V1651" i="157"/>
  <c r="V1128" i="157"/>
  <c r="V1894" i="157"/>
  <c r="V319" i="157"/>
  <c r="V104" i="157"/>
  <c r="V932" i="157"/>
  <c r="V763" i="157"/>
  <c r="V926" i="157"/>
  <c r="V988" i="157"/>
  <c r="V1116" i="157"/>
  <c r="V103" i="157"/>
  <c r="V503" i="157"/>
  <c r="V1783" i="157"/>
  <c r="V875" i="157"/>
  <c r="V759" i="157"/>
  <c r="V489" i="157"/>
  <c r="V1790" i="157"/>
  <c r="V1146" i="157"/>
  <c r="V1046" i="157"/>
  <c r="V701" i="157"/>
  <c r="V1885" i="157"/>
  <c r="V1560" i="157"/>
  <c r="V502" i="157"/>
  <c r="V352" i="157"/>
  <c r="V1215" i="157"/>
  <c r="V91" i="157"/>
  <c r="V263" i="157"/>
  <c r="V1512" i="157"/>
  <c r="V642" i="157"/>
  <c r="V1052" i="157"/>
  <c r="V1994" i="157"/>
  <c r="V1848" i="157"/>
  <c r="V1786" i="157"/>
  <c r="V1784" i="157"/>
  <c r="V1709" i="157"/>
  <c r="V587" i="157"/>
  <c r="V691" i="157"/>
  <c r="V1642" i="157"/>
  <c r="V355" i="157"/>
  <c r="V939" i="157"/>
  <c r="V756" i="157"/>
  <c r="V848" i="157"/>
  <c r="V963" i="157"/>
  <c r="V119" i="157"/>
  <c r="V508" i="157"/>
  <c r="V1780" i="157"/>
  <c r="V236" i="157"/>
  <c r="V234" i="157"/>
  <c r="V473" i="157"/>
  <c r="V792" i="157"/>
  <c r="V122" i="157"/>
  <c r="V783" i="157"/>
  <c r="V373" i="157"/>
  <c r="V1200" i="157"/>
  <c r="V944" i="157"/>
  <c r="V1426" i="157"/>
  <c r="V266" i="157"/>
  <c r="V1261" i="157"/>
  <c r="V1534" i="157"/>
  <c r="V1330" i="157"/>
  <c r="V1060" i="157"/>
  <c r="V1763" i="157"/>
  <c r="V118" i="157"/>
  <c r="V1555" i="157"/>
  <c r="V769" i="157"/>
  <c r="V1623" i="157"/>
  <c r="V1030" i="157"/>
  <c r="V1079" i="157"/>
  <c r="V837" i="157"/>
  <c r="V116" i="157"/>
  <c r="V1132" i="157"/>
  <c r="V965" i="157"/>
  <c r="V866" i="157"/>
  <c r="V1223" i="157"/>
  <c r="V830" i="157"/>
  <c r="V574" i="157"/>
  <c r="V1072" i="157"/>
  <c r="V781" i="157"/>
  <c r="V87" i="157"/>
  <c r="V330" i="157"/>
  <c r="V1192" i="157"/>
  <c r="V1080" i="157"/>
  <c r="V989" i="157"/>
  <c r="V1154" i="157"/>
  <c r="V512" i="157"/>
  <c r="V1196" i="157"/>
  <c r="V829" i="157"/>
  <c r="V659" i="157"/>
  <c r="V1153" i="157"/>
  <c r="V1764" i="157"/>
  <c r="V770" i="157"/>
  <c r="V1644" i="157"/>
  <c r="V1712" i="157"/>
  <c r="V262" i="157"/>
  <c r="V1193" i="157"/>
  <c r="V1097" i="157"/>
  <c r="V1826" i="157"/>
  <c r="V1755" i="157"/>
  <c r="V1645" i="157"/>
  <c r="V1643" i="157"/>
  <c r="V1636" i="157"/>
  <c r="V1399" i="157"/>
  <c r="V1393" i="157"/>
  <c r="V1394" i="157"/>
  <c r="V1283" i="157"/>
  <c r="V260" i="157"/>
  <c r="V1547" i="157"/>
  <c r="V1673" i="157"/>
  <c r="V1081" i="157"/>
  <c r="V771" i="157"/>
  <c r="V1441" i="157"/>
  <c r="V1269" i="157"/>
  <c r="V1578" i="157"/>
  <c r="V1226" i="157"/>
  <c r="V894" i="157"/>
  <c r="V777" i="157"/>
  <c r="V582" i="157"/>
  <c r="V661" i="157"/>
  <c r="V581" i="157"/>
  <c r="V560" i="157"/>
  <c r="V1069" i="157"/>
  <c r="V1071" i="157"/>
  <c r="V1070" i="157"/>
  <c r="V1026" i="157"/>
  <c r="V785" i="157"/>
  <c r="V784" i="157"/>
  <c r="V782" i="157"/>
  <c r="V1019" i="157"/>
  <c r="V647" i="157"/>
  <c r="V1082" i="157"/>
  <c r="V805" i="157"/>
  <c r="V772" i="157"/>
  <c r="V400" i="157"/>
  <c r="V1262" i="157"/>
  <c r="V261" i="157"/>
  <c r="V1450" i="157"/>
  <c r="V1191" i="157"/>
  <c r="V79" i="157"/>
  <c r="V1083" i="157"/>
  <c r="V1024" i="157"/>
  <c r="V992" i="157"/>
  <c r="V549" i="157"/>
  <c r="V498" i="157"/>
  <c r="V568" i="157"/>
  <c r="V80" i="157"/>
  <c r="V1173" i="157"/>
  <c r="V1113" i="157"/>
  <c r="V943" i="157"/>
  <c r="V666" i="157"/>
  <c r="V1895" i="157"/>
  <c r="V780" i="157"/>
  <c r="V546" i="157"/>
  <c r="V1194" i="157"/>
  <c r="V1347" i="157"/>
  <c r="V1252" i="157"/>
  <c r="V754" i="157"/>
  <c r="V470" i="157"/>
  <c r="V1988" i="157"/>
  <c r="V1505" i="157"/>
  <c r="V1183" i="157"/>
  <c r="V698" i="157"/>
  <c r="V1179" i="157"/>
  <c r="V1180" i="157"/>
  <c r="V1020" i="157"/>
  <c r="V702" i="157"/>
  <c r="V1034" i="157"/>
  <c r="V1031" i="157"/>
  <c r="V240" i="157"/>
  <c r="V1950" i="157"/>
  <c r="V1195" i="157"/>
  <c r="V1001" i="157"/>
  <c r="V1983" i="157"/>
  <c r="V1002" i="157"/>
  <c r="V1566" i="157"/>
  <c r="V456" i="157"/>
  <c r="V444" i="157"/>
  <c r="V279" i="157"/>
  <c r="V1061" i="157"/>
  <c r="V993" i="157"/>
  <c r="V125" i="157"/>
  <c r="V994" i="157"/>
  <c r="V635" i="157"/>
  <c r="V1363" i="157"/>
  <c r="V1140" i="157"/>
  <c r="V912" i="157"/>
  <c r="V518" i="157"/>
  <c r="V1796" i="157"/>
  <c r="V147" i="157"/>
  <c r="V750" i="157"/>
  <c r="V1099" i="157"/>
  <c r="V695" i="157"/>
  <c r="V497" i="157"/>
  <c r="V210" i="157"/>
  <c r="V209" i="157"/>
  <c r="V84" i="157"/>
  <c r="V83" i="157"/>
  <c r="V696" i="157"/>
  <c r="V693" i="157"/>
  <c r="V692" i="157"/>
  <c r="V697" i="157"/>
  <c r="V270" i="157"/>
  <c r="V269" i="157"/>
  <c r="V268" i="157"/>
  <c r="V1126" i="157"/>
  <c r="V267" i="157"/>
  <c r="V265" i="157"/>
  <c r="V1902" i="157"/>
  <c r="V1025" i="157"/>
  <c r="V1855" i="157"/>
  <c r="V1100" i="157"/>
  <c r="V959" i="157"/>
  <c r="V999" i="157"/>
  <c r="V1010" i="157"/>
  <c r="V1011" i="157"/>
  <c r="V981" i="157"/>
  <c r="V891" i="157"/>
  <c r="V922" i="157"/>
  <c r="V917" i="157"/>
  <c r="V918" i="157"/>
  <c r="V906" i="157"/>
  <c r="V737" i="157"/>
  <c r="V833" i="157"/>
  <c r="V703" i="157"/>
  <c r="V1813" i="157"/>
  <c r="V76" i="157"/>
  <c r="V78" i="157"/>
  <c r="V462" i="157"/>
  <c r="V1035" i="157"/>
  <c r="V1101" i="157"/>
  <c r="V998" i="157"/>
  <c r="V174" i="157"/>
  <c r="V1125" i="157"/>
  <c r="V85" i="157"/>
  <c r="V1984" i="157"/>
  <c r="V1670" i="157"/>
  <c r="V979" i="157"/>
  <c r="V495" i="157"/>
  <c r="V1854" i="157"/>
  <c r="V77" i="157"/>
  <c r="V82" i="157"/>
  <c r="V1085" i="157"/>
  <c r="V1814" i="157"/>
  <c r="V1856" i="157"/>
  <c r="V1571" i="157"/>
  <c r="V1572" i="157"/>
  <c r="V283" i="157"/>
  <c r="V547" i="157"/>
  <c r="V1059" i="157"/>
  <c r="V834" i="157"/>
  <c r="V632" i="157"/>
  <c r="V986" i="157"/>
  <c r="V1168" i="157"/>
  <c r="V1139" i="157"/>
  <c r="V1102" i="157"/>
  <c r="V980" i="157"/>
  <c r="V985" i="157"/>
  <c r="V983" i="157"/>
  <c r="V1863" i="157"/>
  <c r="V1003" i="157"/>
  <c r="V977" i="157"/>
  <c r="V1013" i="157"/>
  <c r="V995" i="157"/>
  <c r="V1135" i="157"/>
  <c r="V1096" i="157"/>
  <c r="V684" i="157"/>
  <c r="V621" i="157"/>
  <c r="V940" i="157"/>
  <c r="V886" i="157"/>
  <c r="V1960" i="157"/>
  <c r="V595" i="157"/>
  <c r="V864" i="157"/>
  <c r="V704" i="157"/>
  <c r="V1820" i="157"/>
  <c r="V1812" i="157"/>
  <c r="V650" i="157"/>
  <c r="V949" i="157"/>
  <c r="V548" i="157"/>
  <c r="V652" i="157"/>
  <c r="V1669" i="157"/>
  <c r="V996" i="157"/>
  <c r="V997" i="157"/>
  <c r="V853" i="157"/>
  <c r="V1961" i="157"/>
  <c r="V1668" i="157"/>
  <c r="V1804" i="157"/>
  <c r="V1165" i="157"/>
  <c r="V569" i="157"/>
  <c r="V570" i="157"/>
  <c r="V519" i="157"/>
  <c r="V516" i="157"/>
  <c r="V705" i="157"/>
  <c r="V1769" i="157"/>
  <c r="V789" i="157"/>
  <c r="V1871" i="157"/>
  <c r="V1832" i="157"/>
  <c r="V835" i="157"/>
  <c r="V836" i="157"/>
  <c r="V499" i="157"/>
  <c r="V653" i="157"/>
  <c r="V550" i="157"/>
  <c r="V1706" i="157"/>
  <c r="V766" i="157"/>
  <c r="V711" i="157"/>
  <c r="V712" i="157"/>
  <c r="V1401" i="157"/>
  <c r="V1137" i="157"/>
  <c r="V1733" i="157"/>
  <c r="V732" i="157"/>
  <c r="V713" i="157"/>
  <c r="V571" i="157"/>
  <c r="V572" i="157"/>
  <c r="V725" i="157"/>
  <c r="V588" i="157"/>
  <c r="V706" i="157"/>
  <c r="V634" i="157"/>
  <c r="V627" i="157"/>
  <c r="V1279" i="157"/>
  <c r="V1278" i="157"/>
  <c r="V1273" i="157"/>
  <c r="V1143" i="157"/>
  <c r="V1142" i="157"/>
  <c r="V898" i="157"/>
  <c r="V854" i="157"/>
  <c r="V687" i="157"/>
  <c r="V688" i="157"/>
  <c r="V636" i="157"/>
  <c r="V252" i="157"/>
  <c r="V41" i="157"/>
  <c r="V42" i="157"/>
  <c r="V244" i="157"/>
  <c r="V982" i="157"/>
  <c r="V1319" i="157"/>
  <c r="V1249" i="157"/>
  <c r="V515" i="157"/>
  <c r="V513" i="157"/>
  <c r="V622" i="157"/>
  <c r="V633" i="157"/>
  <c r="V1295" i="157"/>
  <c r="V1772" i="157"/>
  <c r="V441" i="157"/>
  <c r="V651" i="157"/>
  <c r="V1705" i="157"/>
  <c r="V1771" i="157"/>
  <c r="V1136" i="157"/>
  <c r="V1087" i="157"/>
  <c r="V1704" i="157"/>
  <c r="V1699" i="157"/>
  <c r="V1819" i="157"/>
  <c r="V1698" i="157"/>
  <c r="V226" i="157"/>
  <c r="V858" i="157"/>
  <c r="V1672" i="157"/>
  <c r="V1641" i="157"/>
  <c r="V1160" i="157"/>
  <c r="V1757" i="157"/>
  <c r="V801" i="157"/>
  <c r="V1671" i="157"/>
  <c r="V1475" i="157"/>
  <c r="V1905" i="157"/>
  <c r="V1015" i="157"/>
  <c r="V450" i="157"/>
  <c r="V1473" i="157"/>
  <c r="V938" i="157"/>
  <c r="V447" i="157"/>
  <c r="V1334" i="157"/>
  <c r="V1333" i="157"/>
  <c r="V1775" i="157"/>
  <c r="V227" i="157"/>
  <c r="V927" i="157"/>
  <c r="V1570" i="157"/>
  <c r="V525" i="157"/>
  <c r="V537" i="157"/>
  <c r="V310" i="157"/>
  <c r="V1637" i="157"/>
  <c r="V170" i="157"/>
  <c r="V719" i="157"/>
  <c r="V388" i="157"/>
  <c r="V386" i="157"/>
  <c r="V307" i="157"/>
  <c r="V308" i="157"/>
  <c r="V874" i="157"/>
  <c r="V1509" i="157"/>
  <c r="V1567" i="157"/>
  <c r="V1986" i="157"/>
  <c r="V1123" i="157"/>
  <c r="V1867" i="157"/>
  <c r="V1736" i="157"/>
  <c r="V1735" i="157"/>
  <c r="V536" i="157"/>
  <c r="V793" i="157"/>
  <c r="V1558" i="157"/>
  <c r="V1486" i="157"/>
  <c r="V1216" i="157"/>
  <c r="V817" i="157"/>
  <c r="V818" i="157"/>
  <c r="V241" i="157"/>
  <c r="V1710" i="157"/>
  <c r="V1445" i="157"/>
  <c r="V1723" i="157"/>
  <c r="V1130" i="157"/>
  <c r="V1114" i="157"/>
  <c r="V1870" i="157"/>
  <c r="V947" i="157"/>
  <c r="V578" i="157"/>
  <c r="V1677" i="157"/>
  <c r="V1610" i="157"/>
  <c r="V203" i="157"/>
  <c r="V193" i="157"/>
  <c r="V1985" i="157"/>
  <c r="V1186" i="157"/>
  <c r="V1830" i="157"/>
  <c r="V1904" i="157"/>
  <c r="V274" i="157"/>
  <c r="V379" i="157"/>
  <c r="V374" i="157"/>
  <c r="V496" i="157"/>
  <c r="V1659" i="157"/>
  <c r="V1912" i="157"/>
  <c r="V1805" i="157"/>
  <c r="V1969" i="157"/>
  <c r="V1575" i="157"/>
  <c r="V1549" i="157"/>
  <c r="V1504" i="157"/>
  <c r="V1457" i="157"/>
  <c r="V893" i="157"/>
  <c r="V1982" i="157"/>
  <c r="V14" i="157"/>
  <c r="V1853" i="157"/>
  <c r="V173" i="157"/>
  <c r="V799" i="157"/>
  <c r="V1721" i="157"/>
  <c r="V1715" i="157"/>
  <c r="V517" i="157"/>
  <c r="V1357" i="157"/>
  <c r="V1221" i="157"/>
  <c r="V360" i="157"/>
  <c r="V1439" i="157"/>
  <c r="V1544" i="157"/>
  <c r="V1545" i="157"/>
  <c r="V73" i="157"/>
  <c r="V1869" i="157"/>
  <c r="V1717" i="157"/>
  <c r="V1740" i="157"/>
  <c r="V1868" i="157"/>
  <c r="V1762" i="157"/>
  <c r="V1913" i="157"/>
  <c r="V1815" i="157"/>
  <c r="V856" i="157"/>
  <c r="V1680" i="157"/>
  <c r="V1601" i="157"/>
  <c r="V846" i="157"/>
  <c r="V639" i="157"/>
  <c r="V1498" i="157"/>
  <c r="V500" i="157"/>
  <c r="V309" i="157"/>
  <c r="V1419" i="157"/>
  <c r="V199" i="157"/>
  <c r="V188" i="157"/>
  <c r="V606" i="157"/>
  <c r="V1883" i="157"/>
  <c r="V1835" i="157"/>
  <c r="V1829" i="157"/>
  <c r="V1376" i="157"/>
  <c r="V1458" i="157"/>
  <c r="V1122" i="157"/>
  <c r="V607" i="157"/>
  <c r="V405" i="157"/>
  <c r="V1092" i="157"/>
  <c r="V1068" i="157"/>
  <c r="V45" i="157"/>
  <c r="V1075" i="157"/>
  <c r="V1518" i="157"/>
  <c r="V897" i="157"/>
  <c r="V1185" i="157"/>
  <c r="V1799" i="157"/>
  <c r="V1343" i="157"/>
  <c r="V1176" i="157"/>
  <c r="V1177" i="157"/>
  <c r="V430" i="157"/>
  <c r="V1342" i="157"/>
  <c r="V1250" i="157"/>
  <c r="V850" i="157"/>
  <c r="V1055" i="157"/>
  <c r="V1166" i="157"/>
  <c r="V925" i="157"/>
  <c r="V1451" i="157"/>
  <c r="V851" i="157"/>
  <c r="V57" i="157"/>
  <c r="V1133" i="157"/>
  <c r="V1033" i="157"/>
  <c r="V1032" i="157"/>
  <c r="V1332" i="157"/>
  <c r="V1229" i="157"/>
  <c r="V1727" i="157"/>
  <c r="V852" i="157"/>
  <c r="V1300" i="157"/>
  <c r="V1004" i="157"/>
  <c r="V403" i="157"/>
  <c r="V602" i="157"/>
  <c r="V832" i="157"/>
  <c r="V720" i="157"/>
  <c r="V1738" i="157"/>
  <c r="V1887" i="157"/>
  <c r="V1460" i="157"/>
  <c r="V194" i="157"/>
  <c r="V189" i="157"/>
  <c r="V598" i="157"/>
  <c r="V408" i="157"/>
  <c r="V991" i="157"/>
  <c r="V794" i="157"/>
  <c r="V148" i="157"/>
  <c r="V1355" i="157"/>
  <c r="V924" i="157"/>
  <c r="V1270" i="157"/>
  <c r="V746" i="157"/>
  <c r="V682" i="157"/>
  <c r="V1559" i="157"/>
  <c r="V1225" i="157"/>
  <c r="V1050" i="157"/>
  <c r="V1014" i="157"/>
  <c r="V936" i="157"/>
  <c r="V915" i="157"/>
  <c r="V914" i="157"/>
  <c r="V683" i="157"/>
  <c r="V74" i="157"/>
  <c r="V603" i="157"/>
  <c r="V1048" i="157"/>
  <c r="V823" i="157"/>
  <c r="V821" i="157"/>
  <c r="V736" i="157"/>
  <c r="V735" i="157"/>
  <c r="V657" i="157"/>
  <c r="V248" i="157"/>
  <c r="V191" i="157"/>
  <c r="V12" i="157"/>
  <c r="V1975" i="157"/>
  <c r="V1976" i="157"/>
  <c r="V1235" i="157"/>
  <c r="V1977" i="157"/>
  <c r="V1978" i="157"/>
  <c r="V1265" i="157"/>
  <c r="V586" i="157"/>
  <c r="V359" i="157"/>
  <c r="V1801" i="157"/>
  <c r="V382" i="157"/>
  <c r="V71" i="157"/>
  <c r="V1546" i="157"/>
  <c r="V51" i="157"/>
  <c r="V1466" i="157"/>
  <c r="V1980" i="157"/>
  <c r="V1418" i="157"/>
  <c r="V72" i="157"/>
  <c r="V990" i="157"/>
  <c r="V1992" i="157"/>
  <c r="V1694" i="157"/>
  <c r="V1840" i="157"/>
  <c r="V1157" i="157"/>
  <c r="V1795" i="157"/>
  <c r="V1768" i="157"/>
  <c r="V1345" i="157"/>
  <c r="V509" i="157"/>
  <c r="V246" i="157"/>
  <c r="V797" i="157"/>
  <c r="V336" i="157"/>
  <c r="V331" i="157"/>
  <c r="V1655" i="157"/>
  <c r="V463" i="157"/>
  <c r="V1718" i="157"/>
  <c r="V614" i="157"/>
  <c r="V615" i="157"/>
  <c r="V157" i="157"/>
  <c r="V69" i="157"/>
  <c r="V879" i="157"/>
  <c r="V1131" i="157"/>
  <c r="V1115" i="157"/>
  <c r="V1021" i="157"/>
  <c r="V1246" i="157"/>
  <c r="V764" i="157"/>
  <c r="V295" i="157"/>
  <c r="V1716" i="157"/>
  <c r="V773" i="157"/>
  <c r="V1049" i="157"/>
  <c r="V1421" i="157"/>
  <c r="V1501" i="157"/>
  <c r="V1653" i="157"/>
  <c r="V1422" i="157"/>
  <c r="V767" i="157"/>
  <c r="V1758" i="157"/>
  <c r="V353" i="157"/>
  <c r="V1499" i="157"/>
  <c r="V637" i="157"/>
  <c r="V1800" i="157"/>
  <c r="V1517" i="157"/>
  <c r="V910" i="157"/>
  <c r="V1487" i="157"/>
  <c r="V1753" i="157"/>
  <c r="V1066" i="157"/>
  <c r="V436" i="157"/>
  <c r="V1974" i="157"/>
  <c r="V429" i="157"/>
  <c r="V1167" i="157"/>
  <c r="V934" i="157"/>
  <c r="V1639" i="157"/>
  <c r="V718" i="157"/>
  <c r="V337" i="157"/>
  <c r="V971" i="157"/>
  <c r="V745" i="157"/>
  <c r="V428" i="157"/>
  <c r="V559" i="157"/>
  <c r="V347" i="157"/>
  <c r="V1656" i="157"/>
  <c r="V1615" i="157"/>
  <c r="V475" i="157"/>
  <c r="V329" i="157"/>
  <c r="V493" i="157"/>
  <c r="V613" i="157"/>
  <c r="V616" i="157"/>
  <c r="V50" i="157"/>
  <c r="V1808" i="157"/>
  <c r="V1430" i="157"/>
  <c r="V545" i="157"/>
  <c r="V538" i="157"/>
  <c r="V158" i="157"/>
  <c r="V1415" i="157"/>
  <c r="V1679" i="157"/>
  <c r="V1446" i="157"/>
  <c r="V1340" i="157"/>
  <c r="V1076" i="157"/>
  <c r="V469" i="157"/>
  <c r="V1898" i="157"/>
  <c r="V1513" i="157"/>
  <c r="V786" i="157"/>
  <c r="V1660" i="157"/>
  <c r="V1598" i="157"/>
  <c r="V1803" i="157"/>
  <c r="V1210" i="157"/>
  <c r="V1211" i="157"/>
  <c r="V612" i="157"/>
  <c r="V714" i="157"/>
  <c r="V1500" i="157"/>
  <c r="V1147" i="157"/>
  <c r="V1802" i="157"/>
  <c r="V1158" i="157"/>
  <c r="V1036" i="157"/>
  <c r="V458" i="157"/>
  <c r="V304" i="157"/>
  <c r="V1312" i="157"/>
  <c r="V1095" i="157"/>
  <c r="V10" i="157"/>
  <c r="V510" i="157"/>
  <c r="V928" i="157"/>
  <c r="V800" i="157"/>
  <c r="V1205" i="157"/>
  <c r="V948" i="157"/>
  <c r="V305" i="157"/>
  <c r="V1614" i="157"/>
  <c r="V758" i="157"/>
  <c r="V437" i="157"/>
  <c r="V1962" i="157"/>
  <c r="V1103" i="157"/>
  <c r="V1255" i="157"/>
  <c r="V1720" i="157"/>
  <c r="V623" i="157"/>
  <c r="V70" i="157"/>
  <c r="V1236" i="157"/>
  <c r="V738" i="157"/>
  <c r="V674" i="157"/>
  <c r="V1707" i="157"/>
  <c r="V1417" i="157"/>
  <c r="V1365" i="157"/>
  <c r="V282" i="157"/>
  <c r="V1586" i="157"/>
  <c r="V860" i="157"/>
  <c r="V434" i="157"/>
  <c r="V643" i="157"/>
  <c r="V1251" i="157"/>
  <c r="V669" i="157"/>
  <c r="V1018" i="157"/>
  <c r="V414" i="157"/>
  <c r="V285" i="157"/>
  <c r="V955" i="157"/>
  <c r="V1914" i="157"/>
  <c r="V494" i="157"/>
  <c r="V442" i="157"/>
  <c r="V339" i="157"/>
  <c r="V228" i="157"/>
  <c r="V1972" i="157"/>
  <c r="V1356" i="157"/>
  <c r="V1268" i="157"/>
  <c r="V562" i="157"/>
  <c r="V1899" i="157"/>
  <c r="V744" i="157"/>
  <c r="V1724" i="157"/>
  <c r="V1536" i="157"/>
  <c r="V1535" i="157"/>
  <c r="V1337" i="157"/>
  <c r="V987" i="157"/>
  <c r="V172" i="157"/>
  <c r="V1362" i="157"/>
  <c r="V406" i="157"/>
  <c r="V276" i="157"/>
  <c r="V121" i="157"/>
  <c r="V120" i="157"/>
  <c r="V117" i="157"/>
  <c r="V114" i="157"/>
  <c r="V481" i="157"/>
  <c r="V1209" i="157"/>
  <c r="V1134" i="157"/>
  <c r="V448" i="157"/>
  <c r="V1240" i="157"/>
  <c r="V1217" i="157"/>
  <c r="V1090" i="157"/>
  <c r="V727" i="157"/>
  <c r="V453" i="157"/>
  <c r="V419" i="157"/>
  <c r="V579" i="157"/>
  <c r="V271" i="157"/>
  <c r="V708" i="157"/>
  <c r="V1585" i="157"/>
  <c r="V449" i="157"/>
  <c r="V380" i="157"/>
  <c r="V375" i="157"/>
  <c r="V361" i="157"/>
  <c r="V1582" i="157"/>
  <c r="V467" i="157"/>
  <c r="V865" i="157"/>
  <c r="V976" i="157"/>
  <c r="V840" i="157"/>
  <c r="V975" i="157"/>
  <c r="V1581" i="157"/>
  <c r="V972" i="157"/>
  <c r="V969" i="157"/>
  <c r="V1577" i="157"/>
  <c r="V658" i="157"/>
  <c r="V861" i="157"/>
  <c r="V857" i="157"/>
  <c r="V1459" i="157"/>
  <c r="V1476" i="157"/>
  <c r="V1281" i="157"/>
  <c r="V280" i="157"/>
  <c r="V1093" i="157"/>
  <c r="V1524" i="157"/>
  <c r="V685" i="157"/>
  <c r="V1368" i="157"/>
  <c r="V303" i="157"/>
  <c r="V201" i="157"/>
  <c r="V425" i="157"/>
  <c r="V1267" i="157"/>
  <c r="V1884" i="157"/>
  <c r="V1836" i="157"/>
  <c r="V1833" i="157"/>
  <c r="V1657" i="157"/>
  <c r="V1587" i="157"/>
  <c r="V1565" i="157"/>
  <c r="V1461" i="157"/>
  <c r="V1280" i="157"/>
  <c r="V660" i="157"/>
  <c r="V222" i="157"/>
  <c r="V1248" i="157"/>
  <c r="V200" i="157"/>
  <c r="V479" i="157"/>
  <c r="V599" i="157"/>
  <c r="V1320" i="157"/>
  <c r="V1882" i="157"/>
  <c r="V1896" i="157"/>
  <c r="V883" i="157"/>
  <c r="V855" i="157"/>
  <c r="V1431" i="157"/>
  <c r="V1316" i="157"/>
  <c r="V387" i="157"/>
  <c r="V284" i="157"/>
  <c r="V190" i="157"/>
  <c r="V302" i="157"/>
  <c r="V1313" i="157"/>
  <c r="V142" i="157"/>
  <c r="V1823" i="157"/>
  <c r="V1767" i="157"/>
  <c r="V1711" i="157"/>
  <c r="V1647" i="157"/>
  <c r="V1539" i="157"/>
  <c r="V426" i="157"/>
  <c r="V292" i="157"/>
  <c r="V1271" i="157"/>
  <c r="V1053" i="157"/>
  <c r="V1054" i="157"/>
  <c r="V1051" i="157"/>
  <c r="V1016" i="157"/>
  <c r="V950" i="157"/>
  <c r="V951" i="157"/>
  <c r="V952" i="157"/>
  <c r="V247" i="157"/>
  <c r="V62" i="157"/>
  <c r="V1675" i="157"/>
  <c r="V1666" i="157"/>
  <c r="V1629" i="157"/>
  <c r="V1627" i="157"/>
  <c r="V1628" i="157"/>
  <c r="V523" i="157"/>
  <c r="V163" i="157"/>
  <c r="V67" i="157"/>
  <c r="V617" i="157"/>
  <c r="V1304" i="157"/>
  <c r="V1754" i="157"/>
  <c r="V1470" i="157"/>
  <c r="V1253" i="157"/>
  <c r="V1468" i="157"/>
  <c r="V277" i="157"/>
  <c r="V1206" i="157"/>
  <c r="V66" i="157"/>
  <c r="V9" i="157"/>
  <c r="V351" i="157"/>
  <c r="V1247" i="157"/>
  <c r="V306" i="157"/>
  <c r="V539" i="157"/>
  <c r="V1810" i="157"/>
  <c r="V960" i="157"/>
  <c r="V648" i="157"/>
  <c r="V958" i="157"/>
  <c r="V372" i="157"/>
  <c r="V464" i="157"/>
  <c r="V465" i="157"/>
  <c r="V466" i="157"/>
  <c r="V68" i="157"/>
  <c r="V362" i="157"/>
  <c r="V847" i="157"/>
  <c r="V1967" i="157"/>
  <c r="V238" i="157"/>
  <c r="V600" i="157"/>
  <c r="V231" i="157"/>
  <c r="V106" i="157"/>
  <c r="V1530" i="157"/>
  <c r="V522" i="157"/>
  <c r="V350" i="157"/>
  <c r="V1484" i="157"/>
  <c r="V1104" i="157"/>
  <c r="V775" i="157"/>
  <c r="V558" i="157"/>
  <c r="V716" i="157"/>
  <c r="V1650" i="157"/>
  <c r="V1734" i="157"/>
  <c r="V1005" i="157"/>
  <c r="V214" i="157"/>
  <c r="V911" i="157"/>
  <c r="V654" i="157"/>
  <c r="V213" i="157"/>
  <c r="V1257" i="157"/>
  <c r="V1691" i="157"/>
  <c r="V333" i="157"/>
  <c r="V175" i="157"/>
  <c r="V1625" i="157"/>
  <c r="V1258" i="157"/>
  <c r="V884" i="157"/>
  <c r="V521" i="157"/>
  <c r="V254" i="157"/>
  <c r="V885" i="157"/>
  <c r="V675" i="157"/>
  <c r="V676" i="157"/>
  <c r="V490" i="157"/>
  <c r="V491" i="157"/>
  <c r="V112" i="157"/>
  <c r="V113" i="157"/>
  <c r="V30" i="157"/>
  <c r="V1954" i="157"/>
  <c r="V1739" i="157"/>
  <c r="V1442" i="157"/>
  <c r="V1276" i="157"/>
  <c r="V1138" i="157"/>
  <c r="V954" i="157"/>
  <c r="V662" i="157"/>
  <c r="V468" i="157"/>
  <c r="V528" i="157"/>
  <c r="V529" i="157"/>
  <c r="V530" i="157"/>
  <c r="V531" i="157"/>
  <c r="V1690" i="157"/>
  <c r="V841" i="157"/>
  <c r="V1557" i="157"/>
  <c r="V809" i="157"/>
  <c r="V810" i="157"/>
  <c r="V92" i="157"/>
  <c r="V421" i="157"/>
  <c r="V150" i="157"/>
  <c r="V880" i="157"/>
  <c r="V251" i="157"/>
  <c r="V273" i="157"/>
  <c r="V345" i="157"/>
  <c r="V133" i="157"/>
  <c r="V132" i="157"/>
  <c r="V1350" i="157"/>
  <c r="V728" i="157"/>
  <c r="V1245" i="157"/>
  <c r="V1964" i="157"/>
  <c r="V215" i="157"/>
  <c r="V514" i="157"/>
  <c r="V1746" i="157"/>
  <c r="V625" i="157"/>
  <c r="V557" i="157"/>
  <c r="V438" i="157"/>
  <c r="V187" i="157"/>
  <c r="V255" i="157"/>
  <c r="V451" i="157"/>
  <c r="V553" i="157"/>
  <c r="V446" i="157"/>
  <c r="V532" i="157"/>
  <c r="V1242" i="157"/>
  <c r="V321" i="157"/>
  <c r="V533" i="157"/>
  <c r="V1719" i="157"/>
  <c r="V322" i="157"/>
  <c r="V540" i="157"/>
  <c r="V803" i="157"/>
  <c r="V75" i="157"/>
  <c r="V1622" i="157"/>
  <c r="V541" i="157"/>
  <c r="V722" i="157"/>
  <c r="V774" i="157"/>
  <c r="V723" i="157"/>
  <c r="V670" i="157"/>
  <c r="V1282" i="157"/>
  <c r="V1903" i="157"/>
  <c r="V256" i="157"/>
  <c r="V671" i="157"/>
  <c r="V397" i="157"/>
  <c r="V487" i="157"/>
  <c r="V435" i="157"/>
  <c r="V216" i="157"/>
  <c r="V167" i="157"/>
  <c r="V221" i="157"/>
  <c r="V393" i="157"/>
  <c r="V1900" i="157"/>
  <c r="V1901" i="157"/>
  <c r="V422" i="157"/>
  <c r="V715" i="157"/>
  <c r="V542" i="157"/>
  <c r="V166" i="157"/>
  <c r="V563" i="157"/>
  <c r="V168" i="157"/>
  <c r="V65" i="157"/>
  <c r="V413" i="157"/>
  <c r="V962" i="157"/>
  <c r="V1741" i="157"/>
  <c r="V1553" i="157"/>
  <c r="V197" i="157"/>
  <c r="V1094" i="157"/>
  <c r="V423" i="157"/>
  <c r="V424" i="157"/>
  <c r="V230" i="157"/>
  <c r="V257" i="157"/>
  <c r="V904" i="157"/>
  <c r="V363" i="157"/>
  <c r="V364" i="157"/>
  <c r="V365" i="157"/>
  <c r="V1548" i="157"/>
  <c r="V1678" i="157"/>
  <c r="V1564" i="157"/>
  <c r="V1485" i="157"/>
  <c r="V757" i="157"/>
  <c r="V130" i="157"/>
  <c r="V1220" i="157"/>
  <c r="V1809" i="157"/>
  <c r="V1745" i="157"/>
  <c r="V323" i="157"/>
  <c r="V64" i="157"/>
  <c r="V8" i="157"/>
  <c r="V1626" i="157"/>
  <c r="V1531" i="157"/>
  <c r="V1532" i="157"/>
  <c r="V1432" i="157"/>
  <c r="V1433" i="157"/>
  <c r="V1348" i="157"/>
  <c r="V1349" i="157"/>
  <c r="V1230" i="157"/>
  <c r="V1231" i="157"/>
  <c r="V1148" i="157"/>
  <c r="V1149" i="157"/>
  <c r="V930" i="157"/>
  <c r="V802" i="157"/>
  <c r="V564" i="157"/>
  <c r="V107" i="157"/>
  <c r="V108" i="157"/>
  <c r="V1748" i="157"/>
  <c r="V1965" i="157"/>
  <c r="V325" i="157"/>
  <c r="V1989" i="157"/>
  <c r="V892" i="157"/>
  <c r="V978" i="157"/>
  <c r="V439" i="157"/>
  <c r="V1589" i="157"/>
  <c r="V1529" i="157"/>
  <c r="V1321" i="157"/>
  <c r="V1695" i="157"/>
  <c r="V1527" i="157"/>
  <c r="V1507" i="157"/>
  <c r="V297" i="157"/>
  <c r="V1968" i="157"/>
  <c r="V1966" i="157"/>
  <c r="V624" i="157"/>
  <c r="V334" i="157"/>
  <c r="V169" i="157"/>
  <c r="V1541" i="157"/>
  <c r="V1336" i="157"/>
  <c r="V480" i="157"/>
  <c r="V185" i="157"/>
  <c r="V566" i="157"/>
  <c r="V110" i="157"/>
  <c r="V1951" i="157"/>
  <c r="V1979" i="157"/>
  <c r="V1338" i="157"/>
  <c r="V332" i="157"/>
  <c r="V109" i="157"/>
  <c r="V1624" i="157"/>
  <c r="V396" i="157"/>
  <c r="V956" i="157"/>
  <c r="V1583" i="157"/>
  <c r="V1108" i="157"/>
  <c r="V1574" i="157"/>
  <c r="V1584" i="157"/>
  <c r="V1424" i="157"/>
  <c r="V192" i="157"/>
  <c r="V565" i="157"/>
  <c r="V1648" i="157"/>
  <c r="V1792" i="157"/>
  <c r="V953" i="157"/>
  <c r="V964" i="157"/>
  <c r="V433" i="157"/>
  <c r="V324" i="157"/>
  <c r="V1037" i="157"/>
  <c r="V482" i="157"/>
  <c r="V483" i="157"/>
  <c r="V655" i="157"/>
  <c r="V1663" i="157"/>
  <c r="V896" i="157"/>
  <c r="V275" i="157"/>
  <c r="V418" i="157"/>
  <c r="V1662" i="157"/>
  <c r="V1335" i="157"/>
  <c r="V1038" i="157"/>
  <c r="V929" i="157"/>
  <c r="V1661" i="157"/>
  <c r="V1369" i="157"/>
  <c r="V165" i="157"/>
  <c r="V326" i="157"/>
  <c r="V484" i="157"/>
  <c r="V296" i="157"/>
  <c r="V1144" i="157"/>
  <c r="V724" i="157"/>
  <c r="V1649" i="157"/>
  <c r="V1540" i="157"/>
  <c r="V630" i="157"/>
  <c r="V1506" i="157"/>
  <c r="V485" i="157"/>
  <c r="V973" i="157"/>
  <c r="V1352" i="157"/>
  <c r="V366" i="157"/>
  <c r="V367" i="157"/>
  <c r="V368" i="157"/>
  <c r="V298" i="157"/>
  <c r="V369" i="157"/>
  <c r="V1537" i="157"/>
  <c r="V383" i="157"/>
  <c r="V1453" i="157"/>
  <c r="V1351" i="157"/>
  <c r="V1233" i="157"/>
  <c r="V1463" i="157"/>
  <c r="V196" i="157"/>
  <c r="V35" i="157"/>
  <c r="V1150" i="157"/>
  <c r="V101" i="157"/>
  <c r="V1141" i="157"/>
  <c r="V1284" i="157"/>
  <c r="V90" i="157"/>
  <c r="V299" i="157"/>
  <c r="V219" i="157"/>
  <c r="V232" i="157"/>
  <c r="V88" i="157"/>
  <c r="V294" i="157"/>
  <c r="V171" i="157"/>
  <c r="V486" i="157"/>
  <c r="V1041" i="157"/>
  <c r="V242" i="157"/>
  <c r="V23" i="157"/>
  <c r="V115" i="157"/>
  <c r="V211" i="157"/>
  <c r="V212" i="157"/>
  <c r="V1696" i="157"/>
  <c r="V1616" i="157"/>
  <c r="V1516" i="157"/>
  <c r="V1434" i="157"/>
  <c r="V1314" i="157"/>
  <c r="V1207" i="157"/>
  <c r="V873" i="157"/>
  <c r="V143" i="157"/>
  <c r="V144" i="157"/>
  <c r="V145" i="157"/>
  <c r="V140" i="157"/>
  <c r="V1714" i="157"/>
  <c r="V644" i="157"/>
  <c r="V677" i="157"/>
  <c r="V410" i="157"/>
  <c r="V1452" i="157"/>
  <c r="V1232" i="157"/>
  <c r="V370" i="157"/>
  <c r="V1464" i="157"/>
  <c r="V1058" i="157"/>
  <c r="V945" i="157"/>
  <c r="V796" i="157"/>
  <c r="V229" i="157"/>
  <c r="V1057" i="157"/>
  <c r="V407" i="157"/>
  <c r="V1377" i="157"/>
  <c r="V89" i="157"/>
  <c r="V1234" i="157"/>
  <c r="V416" i="157"/>
  <c r="V1970" i="157"/>
  <c r="V1105" i="157"/>
  <c r="V1006" i="157"/>
  <c r="V1151" i="157"/>
  <c r="V1828" i="157"/>
  <c r="V86" i="157"/>
  <c r="V1971" i="157"/>
  <c r="V1042" i="157"/>
  <c r="V417" i="157"/>
  <c r="V1181" i="157"/>
  <c r="V1017" i="157"/>
  <c r="V970" i="157"/>
  <c r="V48" i="157"/>
  <c r="V1957" i="157"/>
  <c r="V1838" i="157"/>
  <c r="V13" i="157"/>
  <c r="V25" i="157"/>
  <c r="V1462" i="157"/>
  <c r="V1285" i="157"/>
  <c r="V1952" i="157"/>
  <c r="V1953" i="157"/>
  <c r="V1956" i="157"/>
  <c r="V862" i="157"/>
  <c r="V412" i="157"/>
  <c r="V123" i="157"/>
  <c r="V291" i="157"/>
  <c r="V290" i="157"/>
  <c r="V11" i="157"/>
  <c r="V95" i="157"/>
  <c r="V96" i="157"/>
  <c r="V97" i="157"/>
  <c r="V98" i="157"/>
  <c r="V1866" i="157"/>
  <c r="V492" i="157"/>
  <c r="V411" i="157"/>
  <c r="V673" i="157"/>
  <c r="V957" i="157"/>
  <c r="V99" i="157"/>
  <c r="V281" i="157"/>
  <c r="V1825" i="157"/>
  <c r="V1503" i="157"/>
  <c r="V984" i="157"/>
  <c r="V402" i="157"/>
  <c r="V488" i="157"/>
  <c r="V164" i="157"/>
  <c r="V881" i="157"/>
  <c r="V100" i="157"/>
  <c r="V1973" i="157"/>
  <c r="V1770" i="157"/>
  <c r="V1777" i="157"/>
  <c r="V1597" i="157"/>
  <c r="V646" i="157"/>
  <c r="V1396" i="157"/>
  <c r="V1456" i="157"/>
  <c r="V1455" i="157"/>
  <c r="V1341" i="157"/>
  <c r="V1212" i="157"/>
  <c r="V974" i="157"/>
  <c r="V401" i="157"/>
  <c r="V1995" i="157"/>
  <c r="V1308" i="157"/>
  <c r="V740" i="157"/>
  <c r="V726" i="157"/>
  <c r="V743" i="157"/>
  <c r="V899" i="157"/>
  <c r="V900" i="157"/>
  <c r="V1543" i="157"/>
  <c r="V61" i="157"/>
  <c r="V1159" i="157"/>
  <c r="V1039" i="157"/>
  <c r="V1040" i="157"/>
  <c r="V931" i="157"/>
  <c r="V913" i="157"/>
  <c r="V804" i="157"/>
  <c r="V739" i="157"/>
  <c r="V672" i="157"/>
  <c r="V567" i="157"/>
  <c r="V649" i="157"/>
  <c r="V561" i="157"/>
  <c r="V474" i="157"/>
  <c r="V371" i="157"/>
  <c r="V258" i="157"/>
  <c r="V1713" i="157"/>
  <c r="V1294" i="157"/>
  <c r="V1239" i="157"/>
  <c r="V1145" i="157"/>
  <c r="V1797" i="157"/>
  <c r="V1794" i="157"/>
  <c r="V1683" i="157"/>
  <c r="V1607" i="157"/>
  <c r="V60" i="157"/>
  <c r="V1397" i="157"/>
  <c r="V225" i="157"/>
  <c r="V1398" i="157"/>
  <c r="V1324" i="157"/>
  <c r="V224" i="157"/>
  <c r="V1811" i="157"/>
  <c r="V384" i="157"/>
  <c r="V1382" i="157"/>
  <c r="V1367" i="157"/>
  <c r="V1379" i="157"/>
  <c r="V1752" i="157"/>
  <c r="V1751" i="157"/>
  <c r="V1112" i="157"/>
  <c r="V300" i="157"/>
  <c r="V1380" i="157"/>
  <c r="V1381" i="157"/>
  <c r="V1774" i="157"/>
  <c r="V1604" i="157"/>
  <c r="V1684" i="157"/>
  <c r="V1617" i="157"/>
  <c r="V1525" i="157"/>
  <c r="V1111" i="157"/>
  <c r="V1436" i="157"/>
  <c r="V1435" i="157"/>
  <c r="V1317" i="157"/>
  <c r="V195" i="157"/>
  <c r="V1959" i="157"/>
  <c r="V1110" i="157"/>
  <c r="V1361" i="157"/>
  <c r="V863" i="157"/>
  <c r="V1315" i="157"/>
  <c r="V1109" i="157"/>
  <c r="V1208" i="157"/>
  <c r="V1107" i="157"/>
  <c r="V1880" i="157"/>
  <c r="V1608" i="157"/>
  <c r="V1569" i="157"/>
  <c r="V1106" i="157"/>
  <c r="V1098" i="157"/>
  <c r="V1007" i="157"/>
  <c r="V882" i="157"/>
  <c r="V776" i="157"/>
  <c r="V59" i="157"/>
  <c r="V717" i="157"/>
  <c r="V628" i="157"/>
  <c r="V755" i="157"/>
  <c r="V753" i="157"/>
  <c r="V629" i="157"/>
  <c r="V626" i="157"/>
  <c r="V543" i="157"/>
  <c r="V591" i="157"/>
  <c r="V544" i="157"/>
  <c r="V440" i="157"/>
  <c r="V335" i="157"/>
  <c r="V1606" i="157"/>
  <c r="V233" i="157"/>
  <c r="V111" i="157"/>
  <c r="V1837" i="157"/>
  <c r="V1881" i="157"/>
  <c r="V1798" i="157"/>
  <c r="V1759" i="157"/>
  <c r="V1568" i="157"/>
  <c r="V592" i="157"/>
  <c r="V409" i="157"/>
  <c r="V589" i="157"/>
  <c r="V590" i="157"/>
  <c r="V1682" i="157"/>
  <c r="V1681" i="157"/>
  <c r="V1580" i="157"/>
  <c r="V1550" i="157"/>
  <c r="V1474" i="157"/>
  <c r="V1364" i="157"/>
  <c r="V288" i="157"/>
  <c r="V1469" i="157"/>
  <c r="V1420" i="157"/>
  <c r="V1440" i="157"/>
  <c r="V1344" i="157"/>
  <c r="V1277" i="157"/>
  <c r="V1184" i="157"/>
  <c r="V1073" i="157"/>
  <c r="V1028" i="157"/>
  <c r="V923" i="157"/>
  <c r="V859" i="157"/>
  <c r="V849" i="157"/>
  <c r="V747" i="157"/>
  <c r="V686" i="157"/>
  <c r="V286" i="157"/>
  <c r="V202" i="157"/>
  <c r="F1155" i="6"/>
  <c r="F1156" i="6"/>
  <c r="F1157" i="6"/>
  <c r="I1155" i="6"/>
  <c r="I1156" i="6"/>
  <c r="I1157" i="6"/>
  <c r="J1155" i="6"/>
  <c r="J1156" i="6"/>
  <c r="J1157" i="6"/>
  <c r="F1151" i="6"/>
  <c r="F1154" i="6"/>
  <c r="I1150" i="6"/>
  <c r="I1151" i="6"/>
  <c r="I1152" i="6"/>
  <c r="I1153" i="6"/>
  <c r="I1154" i="6"/>
  <c r="J1150" i="6"/>
  <c r="J1151" i="6"/>
  <c r="J1152" i="6"/>
  <c r="J1153" i="6"/>
  <c r="J1154" i="6"/>
  <c r="AG28" i="16"/>
  <c r="AG22" i="16"/>
  <c r="AG20" i="16"/>
  <c r="AG19" i="16"/>
  <c r="D204" i="1" l="1"/>
  <c r="D188" i="1"/>
  <c r="W1079" i="157"/>
  <c r="W846" i="157"/>
  <c r="W295" i="157"/>
  <c r="W430" i="157"/>
  <c r="W525" i="157"/>
  <c r="W858" i="157"/>
  <c r="W711" i="157"/>
  <c r="W456" i="157"/>
  <c r="W631" i="157"/>
  <c r="W779" i="157"/>
  <c r="W94" i="157"/>
  <c r="W1243" i="157"/>
  <c r="W1374" i="157"/>
  <c r="W1591" i="157"/>
  <c r="W1611" i="157"/>
  <c r="W795" i="157"/>
  <c r="W1119" i="157"/>
  <c r="W159" i="157"/>
  <c r="W1676" i="157"/>
  <c r="P668" i="1"/>
  <c r="Q668" i="1" s="1"/>
  <c r="R668" i="1" s="1"/>
  <c r="D668" i="1" s="1"/>
  <c r="W1636" i="157"/>
  <c r="W1702" i="157"/>
  <c r="W686" i="157"/>
  <c r="W335" i="157"/>
  <c r="W1111" i="157"/>
  <c r="W371" i="157"/>
  <c r="W1770" i="157"/>
  <c r="W25" i="157"/>
  <c r="W677" i="157"/>
  <c r="W35" i="157"/>
  <c r="W418" i="157"/>
  <c r="W480" i="157"/>
  <c r="W1348" i="157"/>
  <c r="W65" i="157"/>
  <c r="W321" i="157"/>
  <c r="W1550" i="157"/>
  <c r="W1106" i="157"/>
  <c r="W1811" i="157"/>
  <c r="W899" i="157"/>
  <c r="W1866" i="157"/>
  <c r="W1970" i="157"/>
  <c r="W115" i="157"/>
  <c r="W1506" i="157"/>
  <c r="W1424" i="157"/>
  <c r="W978" i="157"/>
  <c r="W1678" i="157"/>
  <c r="W671" i="157"/>
  <c r="W169" i="157"/>
  <c r="W446" i="157"/>
  <c r="W271" i="157"/>
  <c r="W276" i="157"/>
  <c r="W339" i="157"/>
  <c r="W1417" i="157"/>
  <c r="W1147" i="157"/>
  <c r="W1679" i="157"/>
  <c r="W559" i="157"/>
  <c r="W1517" i="157"/>
  <c r="W773" i="157"/>
  <c r="W331" i="157"/>
  <c r="W1466" i="157"/>
  <c r="W248" i="157"/>
  <c r="W936" i="157"/>
  <c r="W194" i="157"/>
  <c r="W1133" i="157"/>
  <c r="W897" i="157"/>
  <c r="W1835" i="157"/>
  <c r="W1762" i="157"/>
  <c r="W173" i="157"/>
  <c r="W274" i="157"/>
  <c r="W1114" i="157"/>
  <c r="W536" i="157"/>
  <c r="W310" i="157"/>
  <c r="W1671" i="157"/>
  <c r="W1087" i="157"/>
  <c r="W1249" i="157"/>
  <c r="W1279" i="157"/>
  <c r="W1706" i="157"/>
  <c r="W1804" i="157"/>
  <c r="W1820" i="157"/>
  <c r="W1013" i="157"/>
  <c r="W1572" i="157"/>
  <c r="W1101" i="157"/>
  <c r="W922" i="157"/>
  <c r="W267" i="157"/>
  <c r="W750" i="157"/>
  <c r="W1002" i="157"/>
  <c r="W470" i="157"/>
  <c r="W400" i="157"/>
  <c r="W582" i="157"/>
  <c r="W1153" i="157"/>
  <c r="W1072" i="157"/>
  <c r="W1060" i="157"/>
  <c r="W508" i="157"/>
  <c r="W642" i="157"/>
  <c r="W1790" i="157"/>
  <c r="W1651" i="157"/>
  <c r="W1877" i="157"/>
  <c r="W1638" i="157"/>
  <c r="W1392" i="157"/>
  <c r="W710" i="157"/>
  <c r="W941" i="157"/>
  <c r="W824" i="157"/>
  <c r="W1202" i="157"/>
  <c r="W1542" i="157"/>
  <c r="D954" i="1"/>
  <c r="D962" i="1"/>
  <c r="W89" i="157"/>
  <c r="W1690" i="157"/>
  <c r="W1530" i="157"/>
  <c r="W928" i="157"/>
  <c r="W791" i="157"/>
  <c r="W985" i="157"/>
  <c r="W90" i="157"/>
  <c r="W1535" i="157"/>
  <c r="W441" i="157"/>
  <c r="W163" i="157"/>
  <c r="W80" i="157"/>
  <c r="W1358" i="157"/>
  <c r="W1797" i="157"/>
  <c r="W896" i="157"/>
  <c r="W627" i="157"/>
  <c r="W704" i="157"/>
  <c r="W125" i="157"/>
  <c r="W1020" i="157"/>
  <c r="W1330" i="157"/>
  <c r="W726" i="157"/>
  <c r="W1500" i="157"/>
  <c r="W336" i="157"/>
  <c r="W51" i="157"/>
  <c r="W1300" i="157"/>
  <c r="W227" i="157"/>
  <c r="W886" i="157"/>
  <c r="W1059" i="157"/>
  <c r="W1035" i="157"/>
  <c r="W1126" i="157"/>
  <c r="W240" i="157"/>
  <c r="W546" i="157"/>
  <c r="W1154" i="157"/>
  <c r="W561" i="157"/>
  <c r="W1369" i="157"/>
  <c r="W954" i="157"/>
  <c r="W1103" i="157"/>
  <c r="W683" i="157"/>
  <c r="W360" i="157"/>
  <c r="W1969" i="157"/>
  <c r="W537" i="157"/>
  <c r="W949" i="157"/>
  <c r="W1125" i="157"/>
  <c r="W999" i="157"/>
  <c r="W1450" i="157"/>
  <c r="W777" i="157"/>
  <c r="W587" i="157"/>
  <c r="W923" i="157"/>
  <c r="W590" i="157"/>
  <c r="W543" i="157"/>
  <c r="W776" i="157"/>
  <c r="W1107" i="157"/>
  <c r="W195" i="157"/>
  <c r="W300" i="157"/>
  <c r="W1379" i="157"/>
  <c r="W1683" i="157"/>
  <c r="W1239" i="157"/>
  <c r="W913" i="157"/>
  <c r="W1159" i="157"/>
  <c r="W1212" i="157"/>
  <c r="W1396" i="157"/>
  <c r="W1503" i="157"/>
  <c r="W957" i="157"/>
  <c r="W123" i="157"/>
  <c r="W1953" i="157"/>
  <c r="W417" i="157"/>
  <c r="W1828" i="157"/>
  <c r="W796" i="157"/>
  <c r="W370" i="157"/>
  <c r="W1207" i="157"/>
  <c r="W1616" i="157"/>
  <c r="W232" i="157"/>
  <c r="W1284" i="157"/>
  <c r="W369" i="157"/>
  <c r="W366" i="157"/>
  <c r="W326" i="157"/>
  <c r="W929" i="157"/>
  <c r="W324" i="157"/>
  <c r="W1792" i="157"/>
  <c r="W109" i="157"/>
  <c r="W1951" i="157"/>
  <c r="W297" i="157"/>
  <c r="W1321" i="157"/>
  <c r="W564" i="157"/>
  <c r="W1148" i="157"/>
  <c r="W323" i="157"/>
  <c r="W130" i="157"/>
  <c r="W424" i="157"/>
  <c r="W1553" i="157"/>
  <c r="W1900" i="157"/>
  <c r="W216" i="157"/>
  <c r="W541" i="157"/>
  <c r="W540" i="157"/>
  <c r="W438" i="157"/>
  <c r="W514" i="157"/>
  <c r="W150" i="157"/>
  <c r="W809" i="157"/>
  <c r="W1276" i="157"/>
  <c r="W30" i="157"/>
  <c r="W1625" i="157"/>
  <c r="W1257" i="157"/>
  <c r="W1484" i="157"/>
  <c r="W106" i="157"/>
  <c r="W958" i="157"/>
  <c r="W539" i="157"/>
  <c r="W1304" i="157"/>
  <c r="W523" i="157"/>
  <c r="W1051" i="157"/>
  <c r="W292" i="157"/>
  <c r="W387" i="157"/>
  <c r="W883" i="157"/>
  <c r="W1565" i="157"/>
  <c r="W1836" i="157"/>
  <c r="W1476" i="157"/>
  <c r="W658" i="157"/>
  <c r="W375" i="157"/>
  <c r="W708" i="157"/>
  <c r="W481" i="157"/>
  <c r="W121" i="157"/>
  <c r="W1536" i="157"/>
  <c r="W562" i="157"/>
  <c r="W1018" i="157"/>
  <c r="W434" i="157"/>
  <c r="W1720" i="157"/>
  <c r="W304" i="157"/>
  <c r="W1898" i="157"/>
  <c r="W329" i="157"/>
  <c r="W736" i="157"/>
  <c r="W1270" i="157"/>
  <c r="W1843" i="157"/>
  <c r="W619" i="157"/>
  <c r="W741" i="157"/>
  <c r="W286" i="157"/>
  <c r="W859" i="157"/>
  <c r="W1184" i="157"/>
  <c r="W1420" i="157"/>
  <c r="W1474" i="157"/>
  <c r="W1682" i="157"/>
  <c r="W1881" i="157"/>
  <c r="W1606" i="157"/>
  <c r="W591" i="157"/>
  <c r="W753" i="157"/>
  <c r="W59" i="157"/>
  <c r="W1098" i="157"/>
  <c r="W1880" i="157"/>
  <c r="W1959" i="157"/>
  <c r="W1436" i="157"/>
  <c r="W1684" i="157"/>
  <c r="W1380" i="157"/>
  <c r="W1752" i="157"/>
  <c r="W384" i="157"/>
  <c r="W1398" i="157"/>
  <c r="W1145" i="157"/>
  <c r="W258" i="157"/>
  <c r="W649" i="157"/>
  <c r="W804" i="157"/>
  <c r="W1039" i="157"/>
  <c r="W900" i="157"/>
  <c r="W740" i="157"/>
  <c r="W1456" i="157"/>
  <c r="W1777" i="157"/>
  <c r="W881" i="157"/>
  <c r="W984" i="157"/>
  <c r="W99" i="157"/>
  <c r="W492" i="157"/>
  <c r="W96" i="157"/>
  <c r="W1956" i="157"/>
  <c r="W1624" i="157"/>
  <c r="W1362" i="157"/>
  <c r="W1462" i="157"/>
  <c r="W1957" i="157"/>
  <c r="W1181" i="157"/>
  <c r="W86" i="157"/>
  <c r="W1105" i="157"/>
  <c r="W1464" i="157"/>
  <c r="W410" i="157"/>
  <c r="W140" i="157"/>
  <c r="W873" i="157"/>
  <c r="W1516" i="157"/>
  <c r="W211" i="157"/>
  <c r="W1041" i="157"/>
  <c r="W1150" i="157"/>
  <c r="W1233" i="157"/>
  <c r="W1537" i="157"/>
  <c r="W367" i="157"/>
  <c r="W485" i="157"/>
  <c r="W1649" i="157"/>
  <c r="W1661" i="157"/>
  <c r="W1662" i="157"/>
  <c r="W1663" i="157"/>
  <c r="W1037" i="157"/>
  <c r="W953" i="157"/>
  <c r="W192" i="157"/>
  <c r="W1108" i="157"/>
  <c r="W1979" i="157"/>
  <c r="W185" i="157"/>
  <c r="W1968" i="157"/>
  <c r="W1695" i="157"/>
  <c r="W439" i="157"/>
  <c r="W325" i="157"/>
  <c r="W107" i="157"/>
  <c r="W1349" i="157"/>
  <c r="W1532" i="157"/>
  <c r="W64" i="157"/>
  <c r="W1220" i="157"/>
  <c r="W1564" i="157"/>
  <c r="W364" i="157"/>
  <c r="W230" i="157"/>
  <c r="W197" i="157"/>
  <c r="W413" i="157"/>
  <c r="W166" i="157"/>
  <c r="W1901" i="157"/>
  <c r="W167" i="157"/>
  <c r="W397" i="157"/>
  <c r="W1282" i="157"/>
  <c r="W722" i="157"/>
  <c r="W803" i="157"/>
  <c r="W533" i="157"/>
  <c r="W187" i="157"/>
  <c r="W1746" i="157"/>
  <c r="W1245" i="157"/>
  <c r="W133" i="157"/>
  <c r="W880" i="157"/>
  <c r="W810" i="157"/>
  <c r="W528" i="157"/>
  <c r="W1138" i="157"/>
  <c r="W1954" i="157"/>
  <c r="W491" i="157"/>
  <c r="W885" i="157"/>
  <c r="W1258" i="157"/>
  <c r="W911" i="157"/>
  <c r="W1650" i="157"/>
  <c r="W1104" i="157"/>
  <c r="W238" i="157"/>
  <c r="W68" i="157"/>
  <c r="W372" i="157"/>
  <c r="W1810" i="157"/>
  <c r="W351" i="157"/>
  <c r="W277" i="157"/>
  <c r="W1754" i="157"/>
  <c r="W1629" i="157"/>
  <c r="W247" i="157"/>
  <c r="W1016" i="157"/>
  <c r="W1647" i="157"/>
  <c r="W142" i="157"/>
  <c r="W284" i="157"/>
  <c r="W855" i="157"/>
  <c r="W1320" i="157"/>
  <c r="W1248" i="157"/>
  <c r="W1461" i="157"/>
  <c r="W1833" i="157"/>
  <c r="W425" i="157"/>
  <c r="W685" i="157"/>
  <c r="W1281" i="157"/>
  <c r="W861" i="157"/>
  <c r="W972" i="157"/>
  <c r="W976" i="157"/>
  <c r="W361" i="157"/>
  <c r="W419" i="157"/>
  <c r="W1217" i="157"/>
  <c r="W1209" i="157"/>
  <c r="W120" i="157"/>
  <c r="W1899" i="157"/>
  <c r="W1972" i="157"/>
  <c r="W494" i="157"/>
  <c r="W414" i="157"/>
  <c r="W643" i="157"/>
  <c r="W282" i="157"/>
  <c r="W674" i="157"/>
  <c r="W623" i="157"/>
  <c r="W1962" i="157"/>
  <c r="W1312" i="157"/>
  <c r="W1158" i="157"/>
  <c r="W714" i="157"/>
  <c r="W1803" i="157"/>
  <c r="W1513" i="157"/>
  <c r="W1340" i="157"/>
  <c r="W158" i="157"/>
  <c r="W1808" i="157"/>
  <c r="W493" i="157"/>
  <c r="W1656" i="157"/>
  <c r="W745" i="157"/>
  <c r="W1639" i="157"/>
  <c r="W1974" i="157"/>
  <c r="W1487" i="157"/>
  <c r="W767" i="157"/>
  <c r="W1421" i="157"/>
  <c r="W1115" i="157"/>
  <c r="W157" i="157"/>
  <c r="W463" i="157"/>
  <c r="W797" i="157"/>
  <c r="W1768" i="157"/>
  <c r="W1694" i="157"/>
  <c r="W1418" i="157"/>
  <c r="W1546" i="157"/>
  <c r="W359" i="157"/>
  <c r="W1977" i="157"/>
  <c r="W12" i="157"/>
  <c r="W735" i="157"/>
  <c r="W914" i="157"/>
  <c r="W1050" i="157"/>
  <c r="W746" i="157"/>
  <c r="W148" i="157"/>
  <c r="W598" i="157"/>
  <c r="W1887" i="157"/>
  <c r="W602" i="157"/>
  <c r="W852" i="157"/>
  <c r="W1032" i="157"/>
  <c r="W851" i="157"/>
  <c r="W1055" i="157"/>
  <c r="W1799" i="157"/>
  <c r="W1075" i="157"/>
  <c r="W405" i="157"/>
  <c r="W606" i="157"/>
  <c r="W309" i="157"/>
  <c r="W1815" i="157"/>
  <c r="W1740" i="157"/>
  <c r="W1545" i="157"/>
  <c r="W1221" i="157"/>
  <c r="W1721" i="157"/>
  <c r="W14" i="157"/>
  <c r="W1504" i="157"/>
  <c r="W1805" i="157"/>
  <c r="W374" i="157"/>
  <c r="W203" i="157"/>
  <c r="W1558" i="157"/>
  <c r="W1736" i="157"/>
  <c r="W1567" i="157"/>
  <c r="W307" i="157"/>
  <c r="W170" i="157"/>
  <c r="W1775" i="157"/>
  <c r="W938" i="157"/>
  <c r="W1905" i="157"/>
  <c r="W1757" i="157"/>
  <c r="W1771" i="157"/>
  <c r="W1772" i="157"/>
  <c r="W982" i="157"/>
  <c r="W252" i="157"/>
  <c r="W854" i="157"/>
  <c r="W1277" i="157"/>
  <c r="W1469" i="157"/>
  <c r="W1568" i="157"/>
  <c r="W1837" i="157"/>
  <c r="W755" i="157"/>
  <c r="W863" i="157"/>
  <c r="W1604" i="157"/>
  <c r="W225" i="157"/>
  <c r="W567" i="157"/>
  <c r="W1308" i="157"/>
  <c r="W164" i="157"/>
  <c r="W95" i="157"/>
  <c r="W48" i="157"/>
  <c r="W1377" i="157"/>
  <c r="W145" i="157"/>
  <c r="W486" i="157"/>
  <c r="W1351" i="157"/>
  <c r="W724" i="157"/>
  <c r="W655" i="157"/>
  <c r="W1583" i="157"/>
  <c r="W334" i="157"/>
  <c r="W1965" i="157"/>
  <c r="W1531" i="157"/>
  <c r="W363" i="157"/>
  <c r="W542" i="157"/>
  <c r="W670" i="157"/>
  <c r="W553" i="157"/>
  <c r="W728" i="157"/>
  <c r="W345" i="157"/>
  <c r="W531" i="157"/>
  <c r="W468" i="157"/>
  <c r="W490" i="157"/>
  <c r="W254" i="157"/>
  <c r="W214" i="157"/>
  <c r="W716" i="157"/>
  <c r="W1967" i="157"/>
  <c r="W466" i="157"/>
  <c r="W9" i="157"/>
  <c r="W1468" i="157"/>
  <c r="W1666" i="157"/>
  <c r="W952" i="157"/>
  <c r="W1711" i="157"/>
  <c r="W1313" i="157"/>
  <c r="W599" i="157"/>
  <c r="W222" i="157"/>
  <c r="W201" i="157"/>
  <c r="W1524" i="157"/>
  <c r="W1581" i="157"/>
  <c r="W865" i="157"/>
  <c r="W453" i="157"/>
  <c r="W1240" i="157"/>
  <c r="W172" i="157"/>
  <c r="W228" i="157"/>
  <c r="W1914" i="157"/>
  <c r="W1365" i="157"/>
  <c r="W738" i="157"/>
  <c r="W948" i="157"/>
  <c r="W612" i="157"/>
  <c r="W538" i="157"/>
  <c r="W971" i="157"/>
  <c r="W1795" i="157"/>
  <c r="W586" i="157"/>
  <c r="W1273" i="157"/>
  <c r="W634" i="157"/>
  <c r="W572" i="157"/>
  <c r="W1733" i="157"/>
  <c r="W653" i="157"/>
  <c r="W1832" i="157"/>
  <c r="W705" i="157"/>
  <c r="W569" i="157"/>
  <c r="W1669" i="157"/>
  <c r="W650" i="157"/>
  <c r="W940" i="157"/>
  <c r="W1135" i="157"/>
  <c r="W1003" i="157"/>
  <c r="W980" i="157"/>
  <c r="W986" i="157"/>
  <c r="W547" i="157"/>
  <c r="W1856" i="157"/>
  <c r="W77" i="157"/>
  <c r="W1670" i="157"/>
  <c r="W174" i="157"/>
  <c r="W462" i="157"/>
  <c r="W703" i="157"/>
  <c r="W981" i="157"/>
  <c r="W959" i="157"/>
  <c r="W268" i="157"/>
  <c r="W692" i="157"/>
  <c r="W84" i="157"/>
  <c r="W695" i="157"/>
  <c r="W1796" i="157"/>
  <c r="W1363" i="157"/>
  <c r="W993" i="157"/>
  <c r="W1001" i="157"/>
  <c r="W1031" i="157"/>
  <c r="W1180" i="157"/>
  <c r="W1505" i="157"/>
  <c r="W780" i="157"/>
  <c r="W1113" i="157"/>
  <c r="W1083" i="157"/>
  <c r="W261" i="157"/>
  <c r="W805" i="157"/>
  <c r="W782" i="157"/>
  <c r="W1070" i="157"/>
  <c r="W581" i="157"/>
  <c r="W894" i="157"/>
  <c r="W1547" i="157"/>
  <c r="W1645" i="157"/>
  <c r="W1193" i="157"/>
  <c r="W829" i="157"/>
  <c r="W989" i="157"/>
  <c r="W830" i="157"/>
  <c r="W1132" i="157"/>
  <c r="W1030" i="157"/>
  <c r="W118" i="157"/>
  <c r="W1534" i="157"/>
  <c r="W944" i="157"/>
  <c r="W122" i="157"/>
  <c r="W236" i="157"/>
  <c r="W355" i="157"/>
  <c r="W1994" i="157"/>
  <c r="W502" i="157"/>
  <c r="W1046" i="157"/>
  <c r="W103" i="157"/>
  <c r="W763" i="157"/>
  <c r="W1894" i="157"/>
  <c r="W1993" i="157"/>
  <c r="W235" i="157"/>
  <c r="W585" i="157"/>
  <c r="W1497" i="157"/>
  <c r="W1465" i="157"/>
  <c r="W1064" i="157"/>
  <c r="W1817" i="157"/>
  <c r="W1990" i="157"/>
  <c r="W207" i="157"/>
  <c r="W1732" i="157"/>
  <c r="W395" i="157"/>
  <c r="W1228" i="157"/>
  <c r="W1561" i="157"/>
  <c r="W556" i="157"/>
  <c r="W129" i="157"/>
  <c r="W394" i="157"/>
  <c r="W889" i="157"/>
  <c r="W501" i="157"/>
  <c r="W243" i="157"/>
  <c r="W1844" i="157"/>
  <c r="W478" i="157"/>
  <c r="W1509" i="157"/>
  <c r="W1333" i="157"/>
  <c r="W226" i="157"/>
  <c r="W1278" i="157"/>
  <c r="W766" i="157"/>
  <c r="W1165" i="157"/>
  <c r="W595" i="157"/>
  <c r="W1763" i="157"/>
  <c r="W1780" i="157"/>
  <c r="W1052" i="157"/>
  <c r="W875" i="157"/>
  <c r="W679" i="157"/>
  <c r="W136" i="157"/>
  <c r="W1325" i="157"/>
  <c r="W1520" i="157"/>
  <c r="W1162" i="157"/>
  <c r="W819" i="157"/>
  <c r="W1490" i="157"/>
  <c r="W457" i="157"/>
  <c r="W1328" i="157"/>
  <c r="W1621" i="157"/>
  <c r="W1864" i="157"/>
  <c r="W1354" i="157"/>
  <c r="W1998" i="157"/>
  <c r="W1384" i="157"/>
  <c r="W1120" i="157"/>
  <c r="W1915" i="157"/>
  <c r="W849" i="157"/>
  <c r="W1440" i="157"/>
  <c r="W1364" i="157"/>
  <c r="W1681" i="157"/>
  <c r="W1435" i="157"/>
  <c r="W1381" i="157"/>
  <c r="W1382" i="157"/>
  <c r="W60" i="157"/>
  <c r="W739" i="157"/>
  <c r="W1040" i="157"/>
  <c r="W1543" i="157"/>
  <c r="W401" i="157"/>
  <c r="W290" i="157"/>
  <c r="W862" i="157"/>
  <c r="W1838" i="157"/>
  <c r="W1017" i="157"/>
  <c r="W1971" i="157"/>
  <c r="W1057" i="157"/>
  <c r="W212" i="157"/>
  <c r="W299" i="157"/>
  <c r="W101" i="157"/>
  <c r="W383" i="157"/>
  <c r="W368" i="157"/>
  <c r="W296" i="157"/>
  <c r="W964" i="157"/>
  <c r="W1574" i="157"/>
  <c r="W1338" i="157"/>
  <c r="W1541" i="157"/>
  <c r="AG12" i="16"/>
  <c r="W1432" i="157"/>
  <c r="W1809" i="157"/>
  <c r="W1485" i="157"/>
  <c r="W365" i="157"/>
  <c r="W1094" i="157"/>
  <c r="W563" i="157"/>
  <c r="W221" i="157"/>
  <c r="W487" i="157"/>
  <c r="W1903" i="157"/>
  <c r="W75" i="157"/>
  <c r="W1719" i="157"/>
  <c r="W532" i="157"/>
  <c r="W1964" i="157"/>
  <c r="W132" i="157"/>
  <c r="W92" i="157"/>
  <c r="W529" i="157"/>
  <c r="W1739" i="157"/>
  <c r="W112" i="157"/>
  <c r="W675" i="157"/>
  <c r="W333" i="157"/>
  <c r="W654" i="157"/>
  <c r="W775" i="157"/>
  <c r="W600" i="157"/>
  <c r="W362" i="157"/>
  <c r="W464" i="157"/>
  <c r="W1247" i="157"/>
  <c r="W1470" i="157"/>
  <c r="W67" i="157"/>
  <c r="W1627" i="157"/>
  <c r="W62" i="157"/>
  <c r="W950" i="157"/>
  <c r="W1053" i="157"/>
  <c r="W1539" i="157"/>
  <c r="W190" i="157"/>
  <c r="W1882" i="157"/>
  <c r="W1280" i="157"/>
  <c r="W1657" i="157"/>
  <c r="W1267" i="157"/>
  <c r="W280" i="157"/>
  <c r="W969" i="157"/>
  <c r="W1582" i="157"/>
  <c r="W449" i="157"/>
  <c r="W579" i="157"/>
  <c r="W1134" i="157"/>
  <c r="W406" i="157"/>
  <c r="W744" i="157"/>
  <c r="W1356" i="157"/>
  <c r="W442" i="157"/>
  <c r="W1251" i="157"/>
  <c r="W1586" i="157"/>
  <c r="W70" i="157"/>
  <c r="W1614" i="157"/>
  <c r="W800" i="157"/>
  <c r="W1036" i="157"/>
  <c r="W1210" i="157"/>
  <c r="W786" i="157"/>
  <c r="W1076" i="157"/>
  <c r="W1415" i="157"/>
  <c r="W1430" i="157"/>
  <c r="W613" i="157"/>
  <c r="W1615" i="157"/>
  <c r="W428" i="157"/>
  <c r="W429" i="157"/>
  <c r="W1800" i="157"/>
  <c r="W1716" i="157"/>
  <c r="W69" i="157"/>
  <c r="W1801" i="157"/>
  <c r="W1978" i="157"/>
  <c r="W1975" i="157"/>
  <c r="W823" i="157"/>
  <c r="W1014" i="157"/>
  <c r="W1355" i="157"/>
  <c r="W1460" i="157"/>
  <c r="W832" i="157"/>
  <c r="W1332" i="157"/>
  <c r="W1166" i="157"/>
  <c r="W1343" i="157"/>
  <c r="W1518" i="157"/>
  <c r="W1458" i="157"/>
  <c r="W1419" i="157"/>
  <c r="W639" i="157"/>
  <c r="W1868" i="157"/>
  <c r="W73" i="157"/>
  <c r="W1715" i="157"/>
  <c r="W1904" i="157"/>
  <c r="W1130" i="157"/>
  <c r="W241" i="157"/>
  <c r="W1486" i="157"/>
  <c r="W1735" i="157"/>
  <c r="W1986" i="157"/>
  <c r="W308" i="157"/>
  <c r="W801" i="157"/>
  <c r="W1672" i="157"/>
  <c r="W1136" i="157"/>
  <c r="W622" i="157"/>
  <c r="W1319" i="157"/>
  <c r="W41" i="157"/>
  <c r="W725" i="157"/>
  <c r="W732" i="157"/>
  <c r="W712" i="157"/>
  <c r="W550" i="157"/>
  <c r="W835" i="157"/>
  <c r="W1769" i="157"/>
  <c r="W570" i="157"/>
  <c r="W1668" i="157"/>
  <c r="W996" i="157"/>
  <c r="W1096" i="157"/>
  <c r="W977" i="157"/>
  <c r="W1168" i="157"/>
  <c r="W1571" i="157"/>
  <c r="W82" i="157"/>
  <c r="W979" i="157"/>
  <c r="W1813" i="157"/>
  <c r="W906" i="157"/>
  <c r="W891" i="157"/>
  <c r="W1025" i="157"/>
  <c r="W697" i="157"/>
  <c r="W83" i="157"/>
  <c r="W147" i="157"/>
  <c r="W1140" i="157"/>
  <c r="W444" i="157"/>
  <c r="W1983" i="157"/>
  <c r="W1183" i="157"/>
  <c r="W754" i="157"/>
  <c r="W943" i="157"/>
  <c r="W568" i="157"/>
  <c r="W1024" i="157"/>
  <c r="W772" i="157"/>
  <c r="W1019" i="157"/>
  <c r="W1026" i="157"/>
  <c r="W560" i="157"/>
  <c r="W1269" i="157"/>
  <c r="W1673" i="157"/>
  <c r="W1394" i="157"/>
  <c r="W1643" i="157"/>
  <c r="W1097" i="157"/>
  <c r="W1644" i="157"/>
  <c r="W659" i="157"/>
  <c r="W330" i="157"/>
  <c r="W574" i="157"/>
  <c r="W965" i="157"/>
  <c r="W1426" i="157"/>
  <c r="W783" i="157"/>
  <c r="W234" i="157"/>
  <c r="W119" i="157"/>
  <c r="W939" i="157"/>
  <c r="W1848" i="157"/>
  <c r="W1512" i="157"/>
  <c r="W352" i="157"/>
  <c r="W701" i="157"/>
  <c r="W489" i="157"/>
  <c r="W709" i="157"/>
  <c r="W1163" i="157"/>
  <c r="W1605" i="157"/>
  <c r="W1773" i="157"/>
  <c r="W1889" i="157"/>
  <c r="W1438" i="157"/>
  <c r="W1043" i="157"/>
  <c r="W1241" i="157"/>
  <c r="W160" i="157"/>
  <c r="W436" i="157"/>
  <c r="W1499" i="157"/>
  <c r="W1049" i="157"/>
  <c r="W1131" i="157"/>
  <c r="W1655" i="157"/>
  <c r="W1980" i="157"/>
  <c r="W191" i="157"/>
  <c r="W915" i="157"/>
  <c r="W189" i="157"/>
  <c r="W403" i="157"/>
  <c r="W1033" i="157"/>
  <c r="W850" i="157"/>
  <c r="W1185" i="157"/>
  <c r="W607" i="157"/>
  <c r="W188" i="157"/>
  <c r="W1601" i="157"/>
  <c r="W1913" i="157"/>
  <c r="W1544" i="157"/>
  <c r="W799" i="157"/>
  <c r="W1549" i="157"/>
  <c r="W379" i="157"/>
  <c r="W1610" i="157"/>
  <c r="W1445" i="157"/>
  <c r="W793" i="157"/>
  <c r="W1637" i="157"/>
  <c r="W1475" i="157"/>
  <c r="W1705" i="157"/>
  <c r="W571" i="157"/>
  <c r="W1871" i="157"/>
  <c r="W652" i="157"/>
  <c r="W995" i="157"/>
  <c r="W1102" i="157"/>
  <c r="W283" i="157"/>
  <c r="W1854" i="157"/>
  <c r="W998" i="157"/>
  <c r="W833" i="157"/>
  <c r="W1011" i="157"/>
  <c r="W265" i="157"/>
  <c r="W693" i="157"/>
  <c r="W1099" i="157"/>
  <c r="W635" i="157"/>
  <c r="W1566" i="157"/>
  <c r="W1034" i="157"/>
  <c r="W1988" i="157"/>
  <c r="W1895" i="157"/>
  <c r="W1173" i="157"/>
  <c r="W79" i="157"/>
  <c r="W1082" i="157"/>
  <c r="W1071" i="157"/>
  <c r="W1226" i="157"/>
  <c r="W260" i="157"/>
  <c r="W1755" i="157"/>
  <c r="W1764" i="157"/>
  <c r="W1200" i="157"/>
  <c r="W1642" i="157"/>
  <c r="W1560" i="157"/>
  <c r="W932" i="157"/>
  <c r="W601" i="157"/>
  <c r="W1852" i="157"/>
  <c r="W128" i="157"/>
  <c r="W1155" i="157"/>
  <c r="W1190" i="157"/>
  <c r="W1515" i="157"/>
  <c r="W554" i="157"/>
  <c r="W1405" i="157"/>
  <c r="W1296" i="157"/>
  <c r="W445" i="157"/>
  <c r="W1807" i="157"/>
  <c r="W527" i="157"/>
  <c r="W1201" i="157"/>
  <c r="W1022" i="157"/>
  <c r="W734" i="157"/>
  <c r="W1301" i="157"/>
  <c r="W1481" i="157"/>
  <c r="W1911" i="157"/>
  <c r="W535" i="157"/>
  <c r="W1065" i="157"/>
  <c r="W798" i="157"/>
  <c r="W1888" i="157"/>
  <c r="W180" i="157"/>
  <c r="W664" i="157"/>
  <c r="W1448" i="157"/>
  <c r="W690" i="157"/>
  <c r="W721" i="157"/>
  <c r="W1818" i="157"/>
  <c r="W184" i="157"/>
  <c r="W843" i="157"/>
  <c r="W357" i="157"/>
  <c r="W105" i="157"/>
  <c r="W443" i="157"/>
  <c r="W1323" i="157"/>
  <c r="W845" i="157"/>
  <c r="W1373" i="157"/>
  <c r="W1765" i="157"/>
  <c r="W1274" i="157"/>
  <c r="W420" i="157"/>
  <c r="W377" i="157"/>
  <c r="W618" i="157"/>
  <c r="W1161" i="157"/>
  <c r="W668" i="157"/>
  <c r="W245" i="157"/>
  <c r="W1074" i="157"/>
  <c r="W348" i="157"/>
  <c r="W1009" i="157"/>
  <c r="W1124" i="157"/>
  <c r="W1204" i="157"/>
  <c r="W1089" i="157"/>
  <c r="W1444" i="157"/>
  <c r="W1646" i="157"/>
  <c r="W1213" i="157"/>
  <c r="W1387" i="157"/>
  <c r="W1045" i="157"/>
  <c r="W1551" i="157"/>
  <c r="W328" i="157"/>
  <c r="W826" i="157"/>
  <c r="W1489" i="157"/>
  <c r="W876" i="157"/>
  <c r="W1406" i="157"/>
  <c r="W1613" i="157"/>
  <c r="W1576" i="157"/>
  <c r="W1667" i="157"/>
  <c r="W888" i="157"/>
  <c r="W1756" i="157"/>
  <c r="W1182" i="157"/>
  <c r="W1403" i="157"/>
  <c r="W1346" i="157"/>
  <c r="W1760" i="157"/>
  <c r="W1318" i="157"/>
  <c r="W1178" i="157"/>
  <c r="W1687" i="157"/>
  <c r="W1618" i="157"/>
  <c r="W1293" i="157"/>
  <c r="W1389" i="157"/>
  <c r="W1839" i="157"/>
  <c r="W1761" i="157"/>
  <c r="W1410" i="157"/>
  <c r="W1044" i="157"/>
  <c r="W1788" i="157"/>
  <c r="W822" i="157"/>
  <c r="W1322" i="157"/>
  <c r="W1908" i="157"/>
  <c r="W1599" i="157"/>
  <c r="W264" i="157"/>
  <c r="W138" i="157"/>
  <c r="W1514" i="157"/>
  <c r="W1861" i="157"/>
  <c r="W699" i="157"/>
  <c r="W1286" i="157"/>
  <c r="W608" i="157"/>
  <c r="W1302" i="157"/>
  <c r="W1254" i="157"/>
  <c r="W645" i="157"/>
  <c r="W1593" i="157"/>
  <c r="W942" i="157"/>
  <c r="W870" i="157"/>
  <c r="W778" i="157"/>
  <c r="W205" i="157"/>
  <c r="W134" i="157"/>
  <c r="W311" i="157"/>
  <c r="W1579" i="157"/>
  <c r="W729" i="157"/>
  <c r="W1750" i="157"/>
  <c r="W1816" i="157"/>
  <c r="W790" i="157"/>
  <c r="W681" i="157"/>
  <c r="W127" i="157"/>
  <c r="W1483" i="157"/>
  <c r="W1842" i="157"/>
  <c r="W1307" i="157"/>
  <c r="W1494" i="157"/>
  <c r="W1701" i="157"/>
  <c r="W1522" i="157"/>
  <c r="W657" i="157"/>
  <c r="W202" i="157"/>
  <c r="W1073" i="157"/>
  <c r="W409" i="157"/>
  <c r="W1798" i="157"/>
  <c r="W233" i="157"/>
  <c r="W544" i="157"/>
  <c r="W629" i="157"/>
  <c r="W717" i="157"/>
  <c r="W1007" i="157"/>
  <c r="W1608" i="157"/>
  <c r="W1109" i="157"/>
  <c r="W1110" i="157"/>
  <c r="W1617" i="157"/>
  <c r="W1751" i="157"/>
  <c r="W1324" i="157"/>
  <c r="W1713" i="157"/>
  <c r="W1455" i="157"/>
  <c r="W1597" i="157"/>
  <c r="W100" i="157"/>
  <c r="W402" i="157"/>
  <c r="W281" i="157"/>
  <c r="W411" i="157"/>
  <c r="W97" i="157"/>
  <c r="W1285" i="157"/>
  <c r="W1006" i="157"/>
  <c r="W1058" i="157"/>
  <c r="W1452" i="157"/>
  <c r="W1714" i="157"/>
  <c r="W143" i="157"/>
  <c r="W1434" i="157"/>
  <c r="W242" i="157"/>
  <c r="W294" i="157"/>
  <c r="W1463" i="157"/>
  <c r="W1540" i="157"/>
  <c r="W1335" i="157"/>
  <c r="W482" i="157"/>
  <c r="W1386" i="157"/>
  <c r="W1413" i="157"/>
  <c r="W431" i="157"/>
  <c r="W604" i="157"/>
  <c r="W1731" i="157"/>
  <c r="W341" i="157"/>
  <c r="W565" i="157"/>
  <c r="W396" i="157"/>
  <c r="W566" i="157"/>
  <c r="W1966" i="157"/>
  <c r="W1527" i="157"/>
  <c r="W1589" i="157"/>
  <c r="W1989" i="157"/>
  <c r="W108" i="157"/>
  <c r="W930" i="157"/>
  <c r="W1230" i="157"/>
  <c r="W8" i="157"/>
  <c r="W257" i="157"/>
  <c r="W962" i="157"/>
  <c r="W422" i="157"/>
  <c r="W774" i="157"/>
  <c r="W255" i="157"/>
  <c r="W251" i="157"/>
  <c r="W841" i="157"/>
  <c r="W884" i="157"/>
  <c r="W1734" i="157"/>
  <c r="W522" i="157"/>
  <c r="W960" i="157"/>
  <c r="W1206" i="157"/>
  <c r="W1823" i="157"/>
  <c r="W1431" i="157"/>
  <c r="W200" i="157"/>
  <c r="W1368" i="157"/>
  <c r="W857" i="157"/>
  <c r="W840" i="157"/>
  <c r="W1090" i="157"/>
  <c r="W1337" i="157"/>
  <c r="W285" i="157"/>
  <c r="W1707" i="157"/>
  <c r="W1095" i="157"/>
  <c r="W718" i="157"/>
  <c r="W1753" i="157"/>
  <c r="W1758" i="157"/>
  <c r="W1501" i="157"/>
  <c r="W1718" i="157"/>
  <c r="W1345" i="157"/>
  <c r="W1840" i="157"/>
  <c r="W72" i="157"/>
  <c r="W682" i="157"/>
  <c r="W408" i="157"/>
  <c r="W57" i="157"/>
  <c r="W1342" i="157"/>
  <c r="W1092" i="157"/>
  <c r="W1883" i="157"/>
  <c r="W1853" i="157"/>
  <c r="W1457" i="157"/>
  <c r="W496" i="157"/>
  <c r="W193" i="157"/>
  <c r="W578" i="157"/>
  <c r="W719" i="157"/>
  <c r="W447" i="157"/>
  <c r="W1015" i="157"/>
  <c r="W1819" i="157"/>
  <c r="W687" i="157"/>
  <c r="X209" i="1"/>
  <c r="P209" i="1" s="1"/>
  <c r="Q209" i="1" s="1"/>
  <c r="R209" i="1" s="1"/>
  <c r="X1037" i="1"/>
  <c r="P1037" i="1" s="1"/>
  <c r="Q1037" i="1" s="1"/>
  <c r="R1037" i="1" s="1"/>
  <c r="X767" i="1"/>
  <c r="P767" i="1" s="1"/>
  <c r="Q767" i="1" s="1"/>
  <c r="R767" i="1" s="1"/>
  <c r="X1684" i="1"/>
  <c r="P1684" i="1" s="1"/>
  <c r="Q1684" i="1" s="1"/>
  <c r="R1684" i="1" s="1"/>
  <c r="X123" i="1"/>
  <c r="P123" i="1" s="1"/>
  <c r="Q123" i="1" s="1"/>
  <c r="R123" i="1" s="1"/>
  <c r="X1162" i="1"/>
  <c r="P1162" i="1" s="1"/>
  <c r="Q1162" i="1" s="1"/>
  <c r="R1162" i="1" s="1"/>
  <c r="D1162" i="1"/>
  <c r="D1684" i="1"/>
  <c r="D209" i="1"/>
  <c r="D123" i="1"/>
  <c r="D1037" i="1"/>
  <c r="B1162" i="1"/>
  <c r="W973" i="157"/>
  <c r="W1021" i="157"/>
  <c r="W437" i="157"/>
  <c r="W510" i="157"/>
  <c r="W1802" i="157"/>
  <c r="W1598" i="157"/>
  <c r="W1446" i="157"/>
  <c r="W50" i="157"/>
  <c r="W347" i="157"/>
  <c r="W934" i="157"/>
  <c r="W910" i="157"/>
  <c r="W1422" i="157"/>
  <c r="W764" i="157"/>
  <c r="W615" i="157"/>
  <c r="W246" i="157"/>
  <c r="W1992" i="157"/>
  <c r="W71" i="157"/>
  <c r="W1235" i="157"/>
  <c r="W603" i="157"/>
  <c r="W1225" i="157"/>
  <c r="W794" i="157"/>
  <c r="W1738" i="157"/>
  <c r="W1727" i="157"/>
  <c r="W1451" i="157"/>
  <c r="W1177" i="157"/>
  <c r="W45" i="157"/>
  <c r="W1829" i="157"/>
  <c r="W500" i="157"/>
  <c r="W1717" i="157"/>
  <c r="W1357" i="157"/>
  <c r="W1982" i="157"/>
  <c r="W1912" i="157"/>
  <c r="W1186" i="157"/>
  <c r="W1870" i="157"/>
  <c r="W817" i="157"/>
  <c r="W1867" i="157"/>
  <c r="W386" i="157"/>
  <c r="W1570" i="157"/>
  <c r="W1473" i="157"/>
  <c r="W1160" i="157"/>
  <c r="W1704" i="157"/>
  <c r="W1295" i="157"/>
  <c r="W244" i="157"/>
  <c r="W898" i="157"/>
  <c r="W706" i="157"/>
  <c r="W1137" i="157"/>
  <c r="W499" i="157"/>
  <c r="W516" i="157"/>
  <c r="W853" i="157"/>
  <c r="W1812" i="157"/>
  <c r="W621" i="157"/>
  <c r="W1863" i="157"/>
  <c r="W632" i="157"/>
  <c r="W1814" i="157"/>
  <c r="W1984" i="157"/>
  <c r="W78" i="157"/>
  <c r="W917" i="157"/>
  <c r="W1100" i="157"/>
  <c r="W269" i="157"/>
  <c r="W209" i="157"/>
  <c r="W518" i="157"/>
  <c r="W1061" i="157"/>
  <c r="W1195" i="157"/>
  <c r="W1179" i="157"/>
  <c r="W1347" i="157"/>
  <c r="W781" i="157"/>
  <c r="W116" i="157"/>
  <c r="W1146" i="157"/>
  <c r="W1116" i="157"/>
  <c r="W1128" i="157"/>
  <c r="W237" i="157"/>
  <c r="W1878" i="157"/>
  <c r="W1366" i="157"/>
  <c r="W208" i="157"/>
  <c r="W878" i="157"/>
  <c r="W1467" i="157"/>
  <c r="W935" i="157"/>
  <c r="W700" i="157"/>
  <c r="W768" i="157"/>
  <c r="W1409" i="157"/>
  <c r="W1222" i="157"/>
  <c r="W1821" i="157"/>
  <c r="W1272" i="157"/>
  <c r="W762" i="157"/>
  <c r="W813" i="157"/>
  <c r="W1776" i="157"/>
  <c r="W907" i="157"/>
  <c r="W526" i="157"/>
  <c r="W596" i="157"/>
  <c r="W730" i="157"/>
  <c r="W961" i="157"/>
  <c r="W1023" i="157"/>
  <c r="W1874" i="157"/>
  <c r="W1234" i="157"/>
  <c r="W313" i="157"/>
  <c r="W356" i="157"/>
  <c r="W317" i="157"/>
  <c r="W1244" i="157"/>
  <c r="W1886" i="157"/>
  <c r="W1654" i="157"/>
  <c r="W1630" i="157"/>
  <c r="W549" i="157"/>
  <c r="W1262" i="157"/>
  <c r="W784" i="157"/>
  <c r="W661" i="157"/>
  <c r="W771" i="157"/>
  <c r="W1399" i="157"/>
  <c r="W262" i="157"/>
  <c r="W1196" i="157"/>
  <c r="W1261" i="157"/>
  <c r="W792" i="157"/>
  <c r="W848" i="157"/>
  <c r="W1784" i="157"/>
  <c r="W91" i="157"/>
  <c r="W752" i="157"/>
  <c r="W1372" i="157"/>
  <c r="W293" i="157"/>
  <c r="W828" i="157"/>
  <c r="W1910" i="157"/>
  <c r="W220" i="157"/>
  <c r="W1326" i="157"/>
  <c r="W1665" i="157"/>
  <c r="W1260" i="157"/>
  <c r="W1264" i="157"/>
  <c r="W156" i="157"/>
  <c r="W815" i="157"/>
  <c r="W831" i="157"/>
  <c r="W1860" i="157"/>
  <c r="W947" i="157"/>
  <c r="W818" i="157"/>
  <c r="W1699" i="157"/>
  <c r="W1441" i="157"/>
  <c r="W1393" i="157"/>
  <c r="W963" i="157"/>
  <c r="W1709" i="157"/>
  <c r="W263" i="157"/>
  <c r="W1370" i="157"/>
  <c r="W1834" i="157"/>
  <c r="W921" i="157"/>
  <c r="W1454" i="157"/>
  <c r="W1635" i="157"/>
  <c r="W1477" i="157"/>
  <c r="W1303" i="157"/>
  <c r="W625" i="157"/>
  <c r="W811" i="157"/>
  <c r="W1749" i="157"/>
  <c r="W155" i="157"/>
  <c r="W1198" i="157"/>
  <c r="W1907" i="157"/>
  <c r="W1008" i="157"/>
  <c r="W506" i="157"/>
  <c r="W287" i="157"/>
  <c r="W872" i="157"/>
  <c r="W1376" i="157"/>
  <c r="W1252" i="157"/>
  <c r="W87" i="157"/>
  <c r="W637" i="157"/>
  <c r="W747" i="157"/>
  <c r="W1028" i="157"/>
  <c r="W1344" i="157"/>
  <c r="W288" i="157"/>
  <c r="W1580" i="157"/>
  <c r="W589" i="157"/>
  <c r="W1759" i="157"/>
  <c r="W111" i="157"/>
  <c r="W440" i="157"/>
  <c r="W626" i="157"/>
  <c r="W628" i="157"/>
  <c r="W882" i="157"/>
  <c r="W1569" i="157"/>
  <c r="W1208" i="157"/>
  <c r="W1361" i="157"/>
  <c r="W1317" i="157"/>
  <c r="W1525" i="157"/>
  <c r="W1774" i="157"/>
  <c r="W1112" i="157"/>
  <c r="W1367" i="157"/>
  <c r="W224" i="157"/>
  <c r="W1397" i="157"/>
  <c r="W1794" i="157"/>
  <c r="W1294" i="157"/>
  <c r="W474" i="157"/>
  <c r="W672" i="157"/>
  <c r="W931" i="157"/>
  <c r="W61" i="157"/>
  <c r="W743" i="157"/>
  <c r="W1995" i="157"/>
  <c r="W1341" i="157"/>
  <c r="W646" i="157"/>
  <c r="W1973" i="157"/>
  <c r="W488" i="157"/>
  <c r="W1825" i="157"/>
  <c r="W673" i="157"/>
  <c r="W98" i="157"/>
  <c r="W11" i="157"/>
  <c r="W412" i="157"/>
  <c r="W1952" i="157"/>
  <c r="W13" i="157"/>
  <c r="W970" i="157"/>
  <c r="W1042" i="157"/>
  <c r="W1151" i="157"/>
  <c r="W416" i="157"/>
  <c r="W407" i="157"/>
  <c r="W945" i="157"/>
  <c r="W1232" i="157"/>
  <c r="W644" i="157"/>
  <c r="W144" i="157"/>
  <c r="W1314" i="157"/>
  <c r="W1696" i="157"/>
  <c r="W23" i="157"/>
  <c r="W171" i="157"/>
  <c r="W219" i="157"/>
  <c r="W1141" i="157"/>
  <c r="W196" i="157"/>
  <c r="W1453" i="157"/>
  <c r="W298" i="157"/>
  <c r="W1352" i="157"/>
  <c r="W630" i="157"/>
  <c r="W1144" i="157"/>
  <c r="W165" i="157"/>
  <c r="W1038" i="157"/>
  <c r="W275" i="157"/>
  <c r="W483" i="157"/>
  <c r="W433" i="157"/>
  <c r="W1648" i="157"/>
  <c r="W1584" i="157"/>
  <c r="W956" i="157"/>
  <c r="W332" i="157"/>
  <c r="W110" i="157"/>
  <c r="W1336" i="157"/>
  <c r="W624" i="157"/>
  <c r="W1507" i="157"/>
  <c r="W1529" i="157"/>
  <c r="W892" i="157"/>
  <c r="W1748" i="157"/>
  <c r="W802" i="157"/>
  <c r="W1231" i="157"/>
  <c r="W1433" i="157"/>
  <c r="W1626" i="157"/>
  <c r="W1745" i="157"/>
  <c r="W757" i="157"/>
  <c r="W1548" i="157"/>
  <c r="W904" i="157"/>
  <c r="W423" i="157"/>
  <c r="W1741" i="157"/>
  <c r="W168" i="157"/>
  <c r="W715" i="157"/>
  <c r="W393" i="157"/>
  <c r="W435" i="157"/>
  <c r="W256" i="157"/>
  <c r="W723" i="157"/>
  <c r="W1622" i="157"/>
  <c r="W322" i="157"/>
  <c r="W1242" i="157"/>
  <c r="W451" i="157"/>
  <c r="W557" i="157"/>
  <c r="W215" i="157"/>
  <c r="W1350" i="157"/>
  <c r="W273" i="157"/>
  <c r="W421" i="157"/>
  <c r="W1557" i="157"/>
  <c r="W530" i="157"/>
  <c r="W662" i="157"/>
  <c r="W1442" i="157"/>
  <c r="W113" i="157"/>
  <c r="W676" i="157"/>
  <c r="W521" i="157"/>
  <c r="W175" i="157"/>
  <c r="W213" i="157"/>
  <c r="W1005" i="157"/>
  <c r="W558" i="157"/>
  <c r="W350" i="157"/>
  <c r="W231" i="157"/>
  <c r="W847" i="157"/>
  <c r="W465" i="157"/>
  <c r="W648" i="157"/>
  <c r="W306" i="157"/>
  <c r="W66" i="157"/>
  <c r="W1253" i="157"/>
  <c r="W617" i="157"/>
  <c r="W1628" i="157"/>
  <c r="W1675" i="157"/>
  <c r="W951" i="157"/>
  <c r="W1054" i="157"/>
  <c r="W426" i="157"/>
  <c r="W1767" i="157"/>
  <c r="W302" i="157"/>
  <c r="W1316" i="157"/>
  <c r="W1896" i="157"/>
  <c r="W479" i="157"/>
  <c r="W660" i="157"/>
  <c r="W1587" i="157"/>
  <c r="W1884" i="157"/>
  <c r="W303" i="157"/>
  <c r="W1093" i="157"/>
  <c r="W1459" i="157"/>
  <c r="W1577" i="157"/>
  <c r="W975" i="157"/>
  <c r="W467" i="157"/>
  <c r="W380" i="157"/>
  <c r="W727" i="157"/>
  <c r="W448" i="157"/>
  <c r="W114" i="157"/>
  <c r="W987" i="157"/>
  <c r="W1724" i="157"/>
  <c r="W1268" i="157"/>
  <c r="W955" i="157"/>
  <c r="W669" i="157"/>
  <c r="W860" i="157"/>
  <c r="W1236" i="157"/>
  <c r="W1255" i="157"/>
  <c r="W758" i="157"/>
  <c r="W1205" i="157"/>
  <c r="W10" i="157"/>
  <c r="W458" i="157"/>
  <c r="W1211" i="157"/>
  <c r="W1660" i="157"/>
  <c r="W469" i="157"/>
  <c r="W545" i="157"/>
  <c r="W616" i="157"/>
  <c r="W1496" i="157"/>
  <c r="W1259" i="157"/>
  <c r="W1742" i="157"/>
  <c r="W381" i="157"/>
  <c r="W856" i="157"/>
  <c r="W1555" i="157"/>
  <c r="W1781" i="157"/>
  <c r="W1423" i="157"/>
  <c r="W1831" i="157"/>
  <c r="W1238" i="157"/>
  <c r="W117" i="157"/>
  <c r="W1143" i="157"/>
  <c r="W497" i="157"/>
  <c r="W515" i="157"/>
  <c r="W636" i="157"/>
  <c r="W1080" i="157"/>
  <c r="W1223" i="157"/>
  <c r="W1623" i="157"/>
  <c r="W17" i="157"/>
  <c r="W933" i="157"/>
  <c r="W1554" i="157"/>
  <c r="W1331" i="157"/>
  <c r="W1339" i="157"/>
  <c r="W1275" i="157"/>
  <c r="W471" i="157"/>
  <c r="W842" i="157"/>
  <c r="W154" i="157"/>
  <c r="W551" i="157"/>
  <c r="W475" i="157"/>
  <c r="W337" i="157"/>
  <c r="W1167" i="157"/>
  <c r="W1066" i="157"/>
  <c r="W353" i="157"/>
  <c r="W1653" i="157"/>
  <c r="W1246" i="157"/>
  <c r="W879" i="157"/>
  <c r="W614" i="157"/>
  <c r="W509" i="157"/>
  <c r="W1157" i="157"/>
  <c r="W990" i="157"/>
  <c r="W382" i="157"/>
  <c r="W1265" i="157"/>
  <c r="W1976" i="157"/>
  <c r="W821" i="157"/>
  <c r="W74" i="157"/>
  <c r="W1559" i="157"/>
  <c r="W924" i="157"/>
  <c r="W991" i="157"/>
  <c r="W720" i="157"/>
  <c r="W1004" i="157"/>
  <c r="W1229" i="157"/>
  <c r="W925" i="157"/>
  <c r="W1250" i="157"/>
  <c r="W1176" i="157"/>
  <c r="W1068" i="157"/>
  <c r="W1122" i="157"/>
  <c r="W199" i="157"/>
  <c r="W1498" i="157"/>
  <c r="W1680" i="157"/>
  <c r="W1869" i="157"/>
  <c r="W1439" i="157"/>
  <c r="W517" i="157"/>
  <c r="W893" i="157"/>
  <c r="W1575" i="157"/>
  <c r="W1659" i="157"/>
  <c r="W1985" i="157"/>
  <c r="W1677" i="157"/>
  <c r="W1710" i="157"/>
  <c r="W1216" i="157"/>
  <c r="W1123" i="157"/>
  <c r="W874" i="157"/>
  <c r="W388" i="157"/>
  <c r="W927" i="157"/>
  <c r="W1334" i="157"/>
  <c r="W450" i="157"/>
  <c r="W1641" i="157"/>
  <c r="W1698" i="157"/>
  <c r="W651" i="157"/>
  <c r="W633" i="157"/>
  <c r="W42" i="157"/>
  <c r="W688" i="157"/>
  <c r="W1142" i="157"/>
  <c r="W588" i="157"/>
  <c r="W713" i="157"/>
  <c r="W1401" i="157"/>
  <c r="W836" i="157"/>
  <c r="W789" i="157"/>
  <c r="W519" i="157"/>
  <c r="W997" i="157"/>
  <c r="W548" i="157"/>
  <c r="W1960" i="157"/>
  <c r="W684" i="157"/>
  <c r="W983" i="157"/>
  <c r="W1139" i="157"/>
  <c r="W834" i="157"/>
  <c r="W1085" i="157"/>
  <c r="W495" i="157"/>
  <c r="W85" i="157"/>
  <c r="W76" i="157"/>
  <c r="W737" i="157"/>
  <c r="W1010" i="157"/>
  <c r="W1855" i="157"/>
  <c r="W270" i="157"/>
  <c r="W696" i="157"/>
  <c r="W210" i="157"/>
  <c r="W912" i="157"/>
  <c r="W994" i="157"/>
  <c r="W279" i="157"/>
  <c r="W1950" i="157"/>
  <c r="W702" i="157"/>
  <c r="W698" i="157"/>
  <c r="W1194" i="157"/>
  <c r="W666" i="157"/>
  <c r="W992" i="157"/>
  <c r="W1191" i="157"/>
  <c r="W647" i="157"/>
  <c r="W785" i="157"/>
  <c r="W1069" i="157"/>
  <c r="W1578" i="157"/>
  <c r="W1081" i="157"/>
  <c r="W1283" i="157"/>
  <c r="W1826" i="157"/>
  <c r="W1712" i="157"/>
  <c r="W512" i="157"/>
  <c r="W1192" i="157"/>
  <c r="W866" i="157"/>
  <c r="W837" i="157"/>
  <c r="W769" i="157"/>
  <c r="W266" i="157"/>
  <c r="W373" i="157"/>
  <c r="W473" i="157"/>
  <c r="W756" i="157"/>
  <c r="W691" i="157"/>
  <c r="W1786" i="157"/>
  <c r="W1215" i="157"/>
  <c r="W1885" i="157"/>
  <c r="W1783" i="157"/>
  <c r="W988" i="157"/>
  <c r="W104" i="157"/>
  <c r="W392" i="157"/>
  <c r="W289" i="157"/>
  <c r="W1172" i="157"/>
  <c r="W511" i="157"/>
  <c r="W1674" i="157"/>
  <c r="W1121" i="157"/>
  <c r="W461" i="157"/>
  <c r="W895" i="157"/>
  <c r="W131" i="157"/>
  <c r="W124" i="157"/>
  <c r="W806" i="157"/>
  <c r="W1528" i="157"/>
  <c r="W816" i="157"/>
  <c r="W320" i="157"/>
  <c r="W1078" i="157"/>
  <c r="W1088" i="157"/>
  <c r="W1876" i="157"/>
  <c r="W678" i="157"/>
  <c r="W552" i="157"/>
  <c r="W751" i="157"/>
  <c r="W153" i="157"/>
  <c r="W398" i="157"/>
  <c r="W577" i="157"/>
  <c r="W1062" i="157"/>
  <c r="W1175" i="157"/>
  <c r="W820" i="157"/>
  <c r="W1219" i="157"/>
  <c r="W177" i="157"/>
  <c r="W1353" i="157"/>
  <c r="W1118" i="157"/>
  <c r="W1237" i="157"/>
  <c r="W937" i="157"/>
  <c r="W1029" i="157"/>
  <c r="W1596" i="157"/>
  <c r="W314" i="157"/>
  <c r="W176" i="157"/>
  <c r="W1847" i="157"/>
  <c r="W1169" i="157"/>
  <c r="W1056" i="157"/>
  <c r="W1996" i="157"/>
  <c r="W135" i="157"/>
  <c r="W1227" i="157"/>
  <c r="W376" i="157"/>
  <c r="W868" i="157"/>
  <c r="W1199" i="157"/>
  <c r="W1416" i="157"/>
  <c r="W1631" i="157"/>
  <c r="W1791" i="157"/>
  <c r="W583" i="157"/>
  <c r="W1129" i="157"/>
  <c r="W1359" i="157"/>
  <c r="W1519" i="157"/>
  <c r="W887" i="157"/>
  <c r="W223" i="157"/>
  <c r="W916" i="157"/>
  <c r="W278" i="157"/>
  <c r="W139" i="157"/>
  <c r="W149" i="157"/>
  <c r="W524" i="157"/>
  <c r="W327" i="157"/>
  <c r="W1573" i="157"/>
  <c r="W787" i="157"/>
  <c r="W667" i="157"/>
  <c r="W1991" i="157"/>
  <c r="W1127" i="157"/>
  <c r="W665" i="157"/>
  <c r="W1725" i="157"/>
  <c r="W1164" i="157"/>
  <c r="W890" i="157"/>
  <c r="W316" i="157"/>
  <c r="W1218" i="157"/>
  <c r="W1289" i="157"/>
  <c r="W1395" i="157"/>
  <c r="W1865" i="157"/>
  <c r="W1311" i="157"/>
  <c r="W1873" i="157"/>
  <c r="W1585" i="157"/>
  <c r="W1961" i="157"/>
  <c r="W1902" i="157"/>
  <c r="W770" i="157"/>
  <c r="W349" i="157"/>
  <c r="W1174" i="157"/>
  <c r="W609" i="157"/>
  <c r="W1297" i="157"/>
  <c r="W1027" i="157"/>
  <c r="W315" i="157"/>
  <c r="W415" i="157"/>
  <c r="W1256" i="157"/>
  <c r="W1152" i="157"/>
  <c r="W1872" i="157"/>
  <c r="W126" i="157"/>
  <c r="W1600" i="157"/>
  <c r="W839" i="157"/>
  <c r="W93" i="157"/>
  <c r="W967" i="157"/>
  <c r="W137" i="157"/>
  <c r="W146" i="157"/>
  <c r="W1480" i="157"/>
  <c r="W1298" i="157"/>
  <c r="W1000" i="157"/>
  <c r="W1291" i="157"/>
  <c r="W1511" i="157"/>
  <c r="W1510" i="157"/>
  <c r="W749" i="157"/>
  <c r="W178" i="157"/>
  <c r="W476" i="157"/>
  <c r="W1491" i="157"/>
  <c r="W827" i="157"/>
  <c r="W966" i="157"/>
  <c r="W1590" i="157"/>
  <c r="W1609" i="157"/>
  <c r="W812" i="157"/>
  <c r="W1730" i="157"/>
  <c r="W593" i="157"/>
  <c r="W1744" i="157"/>
  <c r="W1859" i="157"/>
  <c r="W1412" i="157"/>
  <c r="W1686" i="157"/>
  <c r="W1091" i="157"/>
  <c r="W1594" i="157"/>
  <c r="W477" i="157"/>
  <c r="W1428" i="157"/>
  <c r="W920" i="157"/>
  <c r="W1862" i="157"/>
  <c r="W946" i="157"/>
  <c r="W1502" i="157"/>
  <c r="W1533" i="157"/>
  <c r="W1726" i="157"/>
  <c r="W181" i="157"/>
  <c r="W597" i="157"/>
  <c r="W1703" i="157"/>
  <c r="W206" i="157"/>
  <c r="W378" i="157"/>
  <c r="W902" i="157"/>
  <c r="W592" i="157"/>
  <c r="W1315" i="157"/>
  <c r="W1607" i="157"/>
  <c r="W974" i="157"/>
  <c r="W291" i="157"/>
  <c r="W229" i="157"/>
  <c r="W88" i="157"/>
  <c r="W484" i="157"/>
  <c r="W1149" i="157"/>
  <c r="W1691" i="157"/>
  <c r="W1830" i="157"/>
  <c r="W513" i="157"/>
  <c r="W918" i="157"/>
  <c r="W161" i="157"/>
  <c r="W1556" i="157"/>
  <c r="W733" i="157"/>
  <c r="W455" i="157"/>
  <c r="W250" i="157"/>
  <c r="W1482" i="157"/>
  <c r="W346" i="157"/>
  <c r="W1012" i="157"/>
  <c r="W1552" i="157"/>
  <c r="W1827" i="157"/>
  <c r="W1385" i="157"/>
  <c r="W838" i="157"/>
  <c r="W555" i="157"/>
  <c r="W707" i="157"/>
  <c r="W217" i="157"/>
  <c r="W1429" i="157"/>
  <c r="W318" i="157"/>
  <c r="W1203" i="157"/>
  <c r="W731" i="157"/>
  <c r="W1523" i="157"/>
  <c r="W1664" i="157"/>
  <c r="W1309" i="157"/>
  <c r="W1492" i="157"/>
  <c r="W1471" i="157"/>
  <c r="W1879" i="157"/>
  <c r="W1632" i="157"/>
  <c r="W1077" i="157"/>
  <c r="W1488" i="157"/>
  <c r="W1305" i="157"/>
  <c r="W343" i="157"/>
  <c r="W1729" i="157"/>
  <c r="W1778" i="157"/>
  <c r="W1067" i="157"/>
  <c r="W1857" i="157"/>
  <c r="W680" i="157"/>
  <c r="W1437" i="157"/>
  <c r="W1997" i="157"/>
  <c r="W1214" i="157"/>
  <c r="W1685" i="157"/>
  <c r="W1493" i="157"/>
  <c r="W1787" i="157"/>
  <c r="W1526" i="157"/>
  <c r="W807" i="157"/>
  <c r="W1850" i="157"/>
  <c r="W1824" i="157"/>
  <c r="W909" i="157"/>
  <c r="W1700" i="157"/>
  <c r="W1414" i="157"/>
  <c r="W102" i="157"/>
  <c r="W1851" i="157"/>
  <c r="W1170" i="157"/>
  <c r="W1197" i="157"/>
  <c r="W1449" i="157"/>
  <c r="W1402" i="157"/>
  <c r="W1063" i="157"/>
  <c r="W1425" i="157"/>
  <c r="W1327" i="157"/>
  <c r="W1562" i="157"/>
  <c r="W1785" i="157"/>
  <c r="W1391" i="157"/>
  <c r="W1892" i="157"/>
  <c r="W1789" i="157"/>
  <c r="W1390" i="157"/>
  <c r="W1891" i="157"/>
  <c r="W218" i="157"/>
  <c r="W694" i="157"/>
  <c r="W1495" i="157"/>
  <c r="W249" i="157"/>
  <c r="W908" i="157"/>
  <c r="W354" i="157"/>
  <c r="W1822" i="157"/>
  <c r="W1692" i="157"/>
  <c r="W253" i="157"/>
  <c r="W825" i="157"/>
  <c r="W1383" i="157"/>
  <c r="W867" i="157"/>
  <c r="W344" i="157"/>
  <c r="W1845" i="157"/>
  <c r="W1612" i="157"/>
  <c r="W1999" i="157"/>
  <c r="W901" i="157"/>
  <c r="W151" i="157"/>
  <c r="W871" i="157"/>
  <c r="W1708" i="157"/>
  <c r="W575" i="157"/>
  <c r="W503" i="157"/>
  <c r="W926" i="157"/>
  <c r="W319" i="157"/>
  <c r="W1782" i="157"/>
  <c r="W507" i="157"/>
  <c r="W1479" i="157"/>
  <c r="W1188" i="157"/>
  <c r="W1189" i="157"/>
  <c r="W1697" i="157"/>
  <c r="W1987" i="157"/>
  <c r="W183" i="157"/>
  <c r="W460" i="157"/>
  <c r="W391" i="157"/>
  <c r="W459" i="157"/>
  <c r="W814" i="157"/>
  <c r="W259" i="157"/>
  <c r="W1634" i="157"/>
  <c r="W472" i="157"/>
  <c r="W1633" i="157"/>
  <c r="W358" i="157"/>
  <c r="W1538" i="157"/>
  <c r="W1588" i="157"/>
  <c r="W504" i="157"/>
  <c r="W761" i="157"/>
  <c r="W432" i="157"/>
  <c r="W505" i="157"/>
  <c r="W620" i="157"/>
  <c r="W788" i="157"/>
  <c r="W610" i="157"/>
  <c r="W1893" i="157"/>
  <c r="W877" i="157"/>
  <c r="W182" i="157"/>
  <c r="W1658" i="157"/>
  <c r="W1563" i="157"/>
  <c r="W1766" i="157"/>
  <c r="W204" i="157"/>
  <c r="W1737" i="157"/>
  <c r="W1117" i="157"/>
  <c r="W152" i="157"/>
  <c r="W1875" i="157"/>
  <c r="W1224" i="157"/>
  <c r="W312" i="157"/>
  <c r="W1360" i="157"/>
  <c r="W340" i="157"/>
  <c r="W584" i="157"/>
  <c r="W844" i="157"/>
  <c r="W1266" i="157"/>
  <c r="W1443" i="157"/>
  <c r="W1652" i="157"/>
  <c r="W1478" i="157"/>
  <c r="W611" i="157"/>
  <c r="W1779" i="157"/>
  <c r="W689" i="157"/>
  <c r="W342" i="157"/>
  <c r="W573" i="157"/>
  <c r="W808" i="157"/>
  <c r="W1603" i="157"/>
  <c r="W968" i="157"/>
  <c r="W1263" i="157"/>
  <c r="W1371" i="157"/>
  <c r="W1299" i="157"/>
  <c r="W1388" i="157"/>
  <c r="W1271" i="157"/>
  <c r="W305" i="157"/>
  <c r="W1048" i="157"/>
  <c r="W1723" i="157"/>
  <c r="W864" i="157"/>
  <c r="W498" i="157"/>
  <c r="W759" i="157"/>
  <c r="W869" i="157"/>
  <c r="W1171" i="157"/>
  <c r="W919" i="157"/>
  <c r="W239" i="157"/>
  <c r="W638" i="157"/>
  <c r="W1909" i="157"/>
  <c r="W1086" i="157"/>
  <c r="W1743" i="157"/>
  <c r="W272" i="157"/>
  <c r="W1292" i="157"/>
  <c r="W427" i="157"/>
  <c r="W903" i="157"/>
  <c r="W179" i="157"/>
  <c r="W454" i="157"/>
  <c r="W580" i="157"/>
  <c r="W1849" i="157"/>
  <c r="W1290" i="157"/>
  <c r="W1288" i="157"/>
  <c r="W1329" i="157"/>
  <c r="W1595" i="157"/>
  <c r="W1375" i="157"/>
  <c r="W1187" i="157"/>
  <c r="W1310" i="157"/>
  <c r="W1404" i="157"/>
  <c r="W1306" i="157"/>
  <c r="W905" i="157"/>
  <c r="W1427" i="157"/>
  <c r="W656" i="157"/>
  <c r="W760" i="157"/>
  <c r="W640" i="157"/>
  <c r="W1521" i="157"/>
  <c r="W1846" i="157"/>
  <c r="W1407" i="157"/>
  <c r="W1592" i="157"/>
  <c r="W1472" i="157"/>
  <c r="W1906" i="157"/>
  <c r="W765" i="157"/>
  <c r="W1689" i="157"/>
  <c r="W1620" i="157"/>
  <c r="W1619" i="157"/>
  <c r="W1722" i="157"/>
  <c r="W1378" i="157"/>
  <c r="W1728" i="157"/>
  <c r="W534" i="157"/>
  <c r="W594" i="157"/>
  <c r="W1841" i="157"/>
  <c r="W1447" i="157"/>
  <c r="W1411" i="157"/>
  <c r="W748" i="157"/>
  <c r="W1688" i="157"/>
  <c r="W1508" i="157"/>
  <c r="W1747" i="157"/>
  <c r="W1693" i="157"/>
  <c r="W1793" i="157"/>
  <c r="W1047" i="157"/>
  <c r="W663" i="157"/>
  <c r="W1287" i="157"/>
  <c r="W1890" i="157"/>
  <c r="W1156" i="157"/>
  <c r="W1602" i="157"/>
  <c r="W1806" i="157"/>
  <c r="W576" i="157"/>
  <c r="W1640" i="157"/>
  <c r="W1408" i="157"/>
  <c r="W162" i="157"/>
  <c r="W399" i="157"/>
  <c r="W141" i="157"/>
  <c r="W641" i="157"/>
  <c r="W742" i="157"/>
  <c r="W1084" i="157"/>
  <c r="W1400" i="157"/>
  <c r="W1858" i="157"/>
  <c r="W1897" i="157"/>
  <c r="W338" i="157"/>
  <c r="AG13" i="16"/>
  <c r="F1148" i="6" l="1"/>
  <c r="F1149" i="6"/>
  <c r="I1148" i="6"/>
  <c r="I1149" i="6"/>
  <c r="J1148" i="6"/>
  <c r="J1149" i="6"/>
  <c r="O1832" i="1"/>
  <c r="F1147" i="6"/>
  <c r="I1147" i="6"/>
  <c r="J1147" i="6"/>
  <c r="F1143" i="6"/>
  <c r="F1144" i="6"/>
  <c r="F1145" i="6"/>
  <c r="F1146" i="6"/>
  <c r="I1143" i="6"/>
  <c r="I1144" i="6"/>
  <c r="I1145" i="6"/>
  <c r="I1146" i="6"/>
  <c r="J1143" i="6"/>
  <c r="J1144" i="6"/>
  <c r="J1145" i="6"/>
  <c r="J1146" i="6"/>
  <c r="A428" i="1"/>
  <c r="C428" i="1"/>
  <c r="B428" i="1" s="1"/>
  <c r="F428" i="1"/>
  <c r="M428" i="1"/>
  <c r="O428" i="1"/>
  <c r="T428" i="1"/>
  <c r="U428" i="1"/>
  <c r="Y428" i="1" s="1"/>
  <c r="V428" i="1"/>
  <c r="W428" i="1" s="1"/>
  <c r="Z428" i="1"/>
  <c r="A1818" i="1"/>
  <c r="C1818" i="1"/>
  <c r="B1818" i="1" s="1"/>
  <c r="F1818" i="1"/>
  <c r="M1818" i="1"/>
  <c r="O1818" i="1"/>
  <c r="U1818" i="1"/>
  <c r="Y1818" i="1" s="1"/>
  <c r="V1818" i="1"/>
  <c r="W1818" i="1" s="1"/>
  <c r="Z1818" i="1"/>
  <c r="A477" i="1"/>
  <c r="C477" i="1"/>
  <c r="B477" i="1" s="1"/>
  <c r="F477" i="1"/>
  <c r="M477" i="1"/>
  <c r="U477" i="1"/>
  <c r="Y477" i="1" s="1"/>
  <c r="V477" i="1"/>
  <c r="W477" i="1" s="1"/>
  <c r="Z477" i="1"/>
  <c r="A633" i="1"/>
  <c r="C633" i="1"/>
  <c r="B633" i="1" s="1"/>
  <c r="D633" i="1"/>
  <c r="F633" i="1"/>
  <c r="M633" i="1"/>
  <c r="O633" i="1"/>
  <c r="S633" i="1"/>
  <c r="T633" i="1"/>
  <c r="U633" i="1"/>
  <c r="Y633" i="1" s="1"/>
  <c r="V633" i="1"/>
  <c r="W633" i="1" s="1"/>
  <c r="Z633" i="1"/>
  <c r="A816" i="1"/>
  <c r="A819" i="1"/>
  <c r="A1422" i="1"/>
  <c r="C816" i="1"/>
  <c r="B816" i="1" s="1"/>
  <c r="C819" i="1"/>
  <c r="B819" i="1" s="1"/>
  <c r="C1422" i="1"/>
  <c r="B1422" i="1" s="1"/>
  <c r="F816" i="1"/>
  <c r="F819" i="1"/>
  <c r="F1422" i="1"/>
  <c r="M816" i="1"/>
  <c r="M819" i="1"/>
  <c r="M1422" i="1"/>
  <c r="O816" i="1"/>
  <c r="O819" i="1"/>
  <c r="O1422" i="1"/>
  <c r="T816" i="1"/>
  <c r="T819" i="1"/>
  <c r="T1422" i="1"/>
  <c r="U816" i="1"/>
  <c r="Y816" i="1" s="1"/>
  <c r="U819" i="1"/>
  <c r="Y819" i="1" s="1"/>
  <c r="U1422" i="1"/>
  <c r="Y1422" i="1" s="1"/>
  <c r="V816" i="1"/>
  <c r="W816" i="1" s="1"/>
  <c r="V819" i="1"/>
  <c r="W819" i="1" s="1"/>
  <c r="V1422" i="1"/>
  <c r="W1422" i="1" s="1"/>
  <c r="Z816" i="1"/>
  <c r="Z819" i="1"/>
  <c r="Z1422" i="1"/>
  <c r="A2074" i="1"/>
  <c r="C2074" i="1"/>
  <c r="B2074" i="1" s="1"/>
  <c r="D2074" i="1"/>
  <c r="F2074" i="1"/>
  <c r="M2074" i="1"/>
  <c r="O2074" i="1"/>
  <c r="S2074" i="1"/>
  <c r="T2074" i="1"/>
  <c r="U2074" i="1"/>
  <c r="Y2074" i="1" s="1"/>
  <c r="V2074" i="1"/>
  <c r="W2074" i="1" s="1"/>
  <c r="Z2074" i="1"/>
  <c r="O1254" i="1"/>
  <c r="O1648" i="1"/>
  <c r="O396" i="1"/>
  <c r="O1849" i="1"/>
  <c r="O1395" i="1"/>
  <c r="O1618" i="1"/>
  <c r="O1856" i="1"/>
  <c r="O1184" i="1"/>
  <c r="O1812" i="1"/>
  <c r="O1346" i="1"/>
  <c r="O1374" i="1"/>
  <c r="O1057" i="1"/>
  <c r="O1180" i="1"/>
  <c r="O32" i="1"/>
  <c r="O1827" i="1"/>
  <c r="O1077" i="1"/>
  <c r="O519" i="1"/>
  <c r="O740" i="1"/>
  <c r="O1174" i="1"/>
  <c r="O738" i="1"/>
  <c r="O1078" i="1"/>
  <c r="O1071" i="1"/>
  <c r="O75" i="1"/>
  <c r="O696" i="1"/>
  <c r="O974" i="1"/>
  <c r="O1556" i="1"/>
  <c r="O1195" i="1"/>
  <c r="O178" i="1"/>
  <c r="O155" i="1"/>
  <c r="O849" i="1"/>
  <c r="O1703" i="1"/>
  <c r="O657" i="1"/>
  <c r="O661" i="1"/>
  <c r="O2005" i="1"/>
  <c r="O1757" i="1"/>
  <c r="O1500" i="1"/>
  <c r="O1147" i="1"/>
  <c r="O821" i="1"/>
  <c r="O1433" i="1"/>
  <c r="O1536" i="1"/>
  <c r="O435" i="1"/>
  <c r="O1823" i="1"/>
  <c r="O367" i="1"/>
  <c r="O778" i="1"/>
  <c r="O1525" i="1"/>
  <c r="O1488" i="1"/>
  <c r="O1774" i="1"/>
  <c r="O841" i="1"/>
  <c r="O352" i="1"/>
  <c r="O1373" i="1"/>
  <c r="O620" i="1"/>
  <c r="O2017" i="1"/>
  <c r="O792" i="1"/>
  <c r="O645" i="1"/>
  <c r="O1981" i="1"/>
  <c r="O1799" i="1"/>
  <c r="O212" i="1"/>
  <c r="O55" i="1"/>
  <c r="O1869" i="1"/>
  <c r="O1173" i="1"/>
  <c r="O1786" i="1"/>
  <c r="O977" i="1"/>
  <c r="O2067" i="1"/>
  <c r="O1633" i="1"/>
  <c r="O1649" i="1"/>
  <c r="O1704" i="1"/>
  <c r="O397" i="1"/>
  <c r="O1079" i="1"/>
  <c r="O2101" i="1"/>
  <c r="O1255" i="1"/>
  <c r="O1287" i="1"/>
  <c r="O276" i="1"/>
  <c r="O537" i="1"/>
  <c r="O669" i="1"/>
  <c r="O1151" i="1"/>
  <c r="O1522" i="1"/>
  <c r="O289" i="1"/>
  <c r="O269" i="1"/>
  <c r="O1276" i="1"/>
  <c r="O1520" i="1"/>
  <c r="O1164" i="1"/>
  <c r="O1679" i="1"/>
  <c r="O1080" i="1"/>
  <c r="O460" i="1"/>
  <c r="O530" i="1"/>
  <c r="O2055" i="1"/>
  <c r="O80" i="1"/>
  <c r="O1150" i="1"/>
  <c r="O1496" i="1"/>
  <c r="O764" i="1"/>
  <c r="O1061" i="1"/>
  <c r="O73" i="1"/>
  <c r="O1687" i="1"/>
  <c r="O940" i="1"/>
  <c r="O2062" i="1"/>
  <c r="O491" i="1"/>
  <c r="O1938" i="1"/>
  <c r="O509" i="1"/>
  <c r="O1329" i="1"/>
  <c r="O1763" i="1"/>
  <c r="O713" i="1"/>
  <c r="O48" i="1"/>
  <c r="O1348" i="1"/>
  <c r="O1409" i="1"/>
  <c r="O1554" i="1"/>
  <c r="O1269" i="1"/>
  <c r="O1540" i="1"/>
  <c r="O776" i="1"/>
  <c r="O1271" i="1"/>
  <c r="O1936" i="1"/>
  <c r="O334" i="1"/>
  <c r="O714" i="1"/>
  <c r="O978" i="1"/>
  <c r="O1327" i="1"/>
  <c r="O398" i="1"/>
  <c r="O399" i="1"/>
  <c r="O208" i="1"/>
  <c r="O221" i="1"/>
  <c r="O319" i="1"/>
  <c r="O702" i="1"/>
  <c r="O1328" i="1"/>
  <c r="O1064" i="1"/>
  <c r="O31" i="1"/>
  <c r="O932" i="1"/>
  <c r="O1393" i="1"/>
  <c r="O750" i="1"/>
  <c r="O310" i="1"/>
  <c r="O1864" i="1"/>
  <c r="O1054" i="1"/>
  <c r="O1878" i="1"/>
  <c r="O1583" i="1"/>
  <c r="O1584" i="1"/>
  <c r="O213" i="1"/>
  <c r="O1673" i="1"/>
  <c r="O653" i="1"/>
  <c r="O1865" i="1"/>
  <c r="O78" i="1"/>
  <c r="O1715" i="1"/>
  <c r="O1304" i="1"/>
  <c r="O861" i="1"/>
  <c r="O222" i="1"/>
  <c r="O649" i="1"/>
  <c r="O210" i="1"/>
  <c r="O610" i="1"/>
  <c r="O928" i="1"/>
  <c r="O82" i="1"/>
  <c r="O228" i="1"/>
  <c r="O715" i="1"/>
  <c r="O679" i="1"/>
  <c r="O1993" i="1"/>
  <c r="O1717" i="1"/>
  <c r="O65" i="1"/>
  <c r="O62" i="1"/>
  <c r="O386" i="1"/>
  <c r="O781" i="1"/>
  <c r="O1991" i="1"/>
  <c r="O601" i="1"/>
  <c r="O376" i="1"/>
  <c r="O510" i="1"/>
  <c r="O1732" i="1"/>
  <c r="O908" i="1"/>
  <c r="O582" i="1"/>
  <c r="O1903" i="1"/>
  <c r="O605" i="1"/>
  <c r="O1613" i="1"/>
  <c r="O492" i="1"/>
  <c r="O371" i="1"/>
  <c r="O1009" i="1"/>
  <c r="O1240" i="1"/>
  <c r="O1640" i="1"/>
  <c r="O1886" i="1"/>
  <c r="O1637" i="1"/>
  <c r="O1521" i="1"/>
  <c r="O1592" i="1"/>
  <c r="O229" i="1"/>
  <c r="O577" i="1"/>
  <c r="O782" i="1"/>
  <c r="O775" i="1"/>
  <c r="O1222" i="1"/>
  <c r="O447" i="1"/>
  <c r="O1337" i="1"/>
  <c r="O866" i="1"/>
  <c r="O884" i="1"/>
  <c r="O520" i="1"/>
  <c r="O631" i="1"/>
  <c r="O57" i="1"/>
  <c r="O1787" i="1"/>
  <c r="O28" i="1"/>
  <c r="O979" i="1"/>
  <c r="O808" i="1"/>
  <c r="O1307" i="1"/>
  <c r="O365" i="1"/>
  <c r="O1510" i="1"/>
  <c r="O1609" i="1"/>
  <c r="O1543" i="1"/>
  <c r="O88" i="1"/>
  <c r="O97" i="1"/>
  <c r="O400" i="1"/>
  <c r="O1824" i="1"/>
  <c r="O1750" i="1"/>
  <c r="O389" i="1"/>
  <c r="O2008" i="1"/>
  <c r="O1141" i="1"/>
  <c r="O1296" i="1"/>
  <c r="O1375" i="1"/>
  <c r="O783" i="1"/>
  <c r="O2064" i="1"/>
  <c r="O1911" i="1"/>
  <c r="O1765" i="1"/>
  <c r="O299" i="1"/>
  <c r="O413" i="1"/>
  <c r="O100" i="1"/>
  <c r="O850" i="1"/>
  <c r="O1172" i="1"/>
  <c r="O1568" i="1"/>
  <c r="O1691" i="1"/>
  <c r="O611" i="1"/>
  <c r="O784" i="1"/>
  <c r="O1630" i="1"/>
  <c r="O676" i="1"/>
  <c r="O618" i="1"/>
  <c r="O1158" i="1"/>
  <c r="O1131" i="1"/>
  <c r="O1004" i="1"/>
  <c r="O1203" i="1"/>
  <c r="O1439" i="1"/>
  <c r="O1380" i="1"/>
  <c r="O42" i="1"/>
  <c r="O1527" i="1"/>
  <c r="O1241" i="1"/>
  <c r="O1365" i="1"/>
  <c r="O1247" i="1"/>
  <c r="O1400" i="1"/>
  <c r="O1163" i="1"/>
  <c r="O723" i="1"/>
  <c r="O1501" i="1"/>
  <c r="O2069" i="1"/>
  <c r="O1984" i="1"/>
  <c r="O90" i="1"/>
  <c r="O58" i="1"/>
  <c r="O5" i="1"/>
  <c r="O1728" i="1"/>
  <c r="O415" i="1"/>
  <c r="O1857" i="1"/>
  <c r="O1198" i="1"/>
  <c r="O1170" i="1"/>
  <c r="O862" i="1"/>
  <c r="O705" i="1"/>
  <c r="O1551" i="1"/>
  <c r="O1270" i="1"/>
  <c r="O826" i="1"/>
  <c r="O314" i="1"/>
  <c r="O1007" i="1"/>
  <c r="O2034" i="1"/>
  <c r="O1282" i="1"/>
  <c r="O1066" i="1"/>
  <c r="O1502" i="1"/>
  <c r="O1718" i="1"/>
  <c r="O627" i="1"/>
  <c r="O366" i="1"/>
  <c r="O1778" i="1"/>
  <c r="O581" i="1"/>
  <c r="O1747" i="1"/>
  <c r="O1944" i="1"/>
  <c r="O1477" i="1"/>
  <c r="O444" i="1"/>
  <c r="O602" i="1"/>
  <c r="O511" i="1"/>
  <c r="O521" i="1"/>
  <c r="O999" i="1"/>
  <c r="O544" i="1"/>
  <c r="O2011" i="1"/>
  <c r="O1245" i="1"/>
  <c r="O933" i="1"/>
  <c r="O677" i="1"/>
  <c r="O1604" i="1"/>
  <c r="O1224" i="1"/>
  <c r="O867" i="1"/>
  <c r="O885" i="1"/>
  <c r="O1976" i="1"/>
  <c r="O211" i="1"/>
  <c r="O916" i="1"/>
  <c r="O36" i="1"/>
  <c r="O1788" i="1"/>
  <c r="O980" i="1"/>
  <c r="O1650" i="1"/>
  <c r="O1705" i="1"/>
  <c r="O1156" i="1"/>
  <c r="O1876" i="1"/>
  <c r="O1733" i="1"/>
  <c r="O1081" i="1"/>
  <c r="O656" i="1"/>
  <c r="O1326" i="1"/>
  <c r="O401" i="1"/>
  <c r="O709" i="1"/>
  <c r="O490" i="1"/>
  <c r="O729" i="1"/>
  <c r="O2088" i="1"/>
  <c r="O1462" i="1"/>
  <c r="O1286" i="1"/>
  <c r="O1566" i="1"/>
  <c r="O1617" i="1"/>
  <c r="O141" i="1"/>
  <c r="O230" i="1"/>
  <c r="O741" i="1"/>
  <c r="O1978" i="1"/>
  <c r="O1597" i="1"/>
  <c r="O1686" i="1"/>
  <c r="O59" i="1"/>
  <c r="O436" i="1"/>
  <c r="O727" i="1"/>
  <c r="O101" i="1"/>
  <c r="O697" i="1"/>
  <c r="O733" i="1"/>
  <c r="O858" i="1"/>
  <c r="O1955" i="1"/>
  <c r="O1323" i="1"/>
  <c r="O1772" i="1"/>
  <c r="O2089" i="1"/>
  <c r="O864" i="1"/>
  <c r="O1456" i="1"/>
  <c r="O1424" i="1"/>
  <c r="O1082" i="1"/>
  <c r="O34" i="1"/>
  <c r="O1776" i="1"/>
  <c r="O1356" i="1"/>
  <c r="O757" i="1"/>
  <c r="O1644" i="1"/>
  <c r="O227" i="1"/>
  <c r="O1672" i="1"/>
  <c r="O518" i="1"/>
  <c r="O315" i="1"/>
  <c r="O1353" i="1"/>
  <c r="O1253" i="1"/>
  <c r="O1234" i="1"/>
  <c r="O1642" i="1"/>
  <c r="O1579" i="1"/>
  <c r="O562" i="1"/>
  <c r="O1497" i="1"/>
  <c r="O1523" i="1"/>
  <c r="O765" i="1"/>
  <c r="O1736" i="1"/>
  <c r="O1619" i="1"/>
  <c r="O1625" i="1"/>
  <c r="O2070" i="1"/>
  <c r="O1628" i="1"/>
  <c r="O378" i="1"/>
  <c r="O735" i="1"/>
  <c r="O1192" i="1"/>
  <c r="O248" i="1"/>
  <c r="O964" i="1"/>
  <c r="O343" i="1"/>
  <c r="O1303" i="1"/>
  <c r="O1157" i="1"/>
  <c r="O1528" i="1"/>
  <c r="O637" i="1"/>
  <c r="O503" i="1"/>
  <c r="O522" i="1"/>
  <c r="O1002" i="1"/>
  <c r="O165" i="1"/>
  <c r="O1015" i="1"/>
  <c r="O1372" i="1"/>
  <c r="O2061" i="1"/>
  <c r="O1332" i="1"/>
  <c r="O1403" i="1"/>
  <c r="O1030" i="1"/>
  <c r="O452" i="1"/>
  <c r="O1789" i="1"/>
  <c r="O981" i="1"/>
  <c r="O1244" i="1"/>
  <c r="O1341" i="1"/>
  <c r="O1361" i="1"/>
  <c r="O1532" i="1"/>
  <c r="O1651" i="1"/>
  <c r="O868" i="1"/>
  <c r="O886" i="1"/>
  <c r="O87" i="1"/>
  <c r="O1706" i="1"/>
  <c r="O402" i="1"/>
  <c r="O43" i="1"/>
  <c r="O1892" i="1"/>
  <c r="O1974" i="1"/>
  <c r="O1806" i="1"/>
  <c r="O545" i="1"/>
  <c r="O1144" i="1"/>
  <c r="O1083" i="1"/>
  <c r="O1988" i="1"/>
  <c r="O1453" i="1"/>
  <c r="O1161" i="1"/>
  <c r="O81" i="1"/>
  <c r="O206" i="1"/>
  <c r="O295" i="1"/>
  <c r="O1941" i="1"/>
  <c r="O1236" i="1"/>
  <c r="O233" i="1"/>
  <c r="O235" i="1"/>
  <c r="O296" i="1"/>
  <c r="O1443" i="1"/>
  <c r="O628" i="1"/>
  <c r="O102" i="1"/>
  <c r="O199" i="1"/>
  <c r="O253" i="1"/>
  <c r="O673" i="1"/>
  <c r="O1979" i="1"/>
  <c r="O604" i="1"/>
  <c r="O914" i="1"/>
  <c r="O1479" i="1"/>
  <c r="O1754" i="1"/>
  <c r="O461" i="1"/>
  <c r="O912" i="1"/>
  <c r="O1621" i="1"/>
  <c r="O1084" i="1"/>
  <c r="O921" i="1"/>
  <c r="O920" i="1"/>
  <c r="O445" i="1"/>
  <c r="O1295" i="1"/>
  <c r="O284" i="1"/>
  <c r="O762" i="1"/>
  <c r="O455" i="1"/>
  <c r="O771" i="1"/>
  <c r="O1745" i="1"/>
  <c r="O1370" i="1"/>
  <c r="O517" i="1"/>
  <c r="O1410" i="1"/>
  <c r="O533" i="1"/>
  <c r="O913" i="1"/>
  <c r="O41" i="1"/>
  <c r="O1873" i="1"/>
  <c r="O373" i="1"/>
  <c r="O704" i="1"/>
  <c r="O1085" i="1"/>
  <c r="O1629" i="1"/>
  <c r="O802" i="1"/>
  <c r="O1297" i="1"/>
  <c r="O1212" i="1"/>
  <c r="O355" i="1"/>
  <c r="O1688" i="1"/>
  <c r="O1231" i="1"/>
  <c r="O1023" i="1"/>
  <c r="O684" i="1"/>
  <c r="O1768" i="1"/>
  <c r="O1526" i="1"/>
  <c r="O309" i="1"/>
  <c r="O1168" i="1"/>
  <c r="O737" i="1"/>
  <c r="O1283" i="1"/>
  <c r="O469" i="1"/>
  <c r="O1347" i="1"/>
  <c r="O1186" i="1"/>
  <c r="O1447" i="1"/>
  <c r="O1396" i="1"/>
  <c r="O1315" i="1"/>
  <c r="O1425" i="1"/>
  <c r="O1995" i="1"/>
  <c r="O966" i="1"/>
  <c r="O337" i="1"/>
  <c r="O1782" i="1"/>
  <c r="O869" i="1"/>
  <c r="O887" i="1"/>
  <c r="O523" i="1"/>
  <c r="O995" i="1"/>
  <c r="O546" i="1"/>
  <c r="O392" i="1"/>
  <c r="O1065" i="1"/>
  <c r="O2048" i="1"/>
  <c r="O180" i="1"/>
  <c r="O688" i="1"/>
  <c r="O895" i="1"/>
  <c r="O322" i="1"/>
  <c r="O1335" i="1"/>
  <c r="O277" i="1"/>
  <c r="O1623" i="1"/>
  <c r="O2063" i="1"/>
  <c r="O732" i="1"/>
  <c r="O1598" i="1"/>
  <c r="O730" i="1"/>
  <c r="O1140" i="1"/>
  <c r="O1831" i="1"/>
  <c r="O504" i="1"/>
  <c r="O1261" i="1"/>
  <c r="O1690" i="1"/>
  <c r="O1862" i="1"/>
  <c r="O2015" i="1"/>
  <c r="O1086" i="1"/>
  <c r="O1143" i="1"/>
  <c r="O2006" i="1"/>
  <c r="O1790" i="1"/>
  <c r="O982" i="1"/>
  <c r="O1994" i="1"/>
  <c r="O1726" i="1"/>
  <c r="O1342" i="1"/>
  <c r="O282" i="1"/>
  <c r="O283" i="1"/>
  <c r="O596" i="1"/>
  <c r="O1652" i="1"/>
  <c r="O29" i="1"/>
  <c r="O30" i="1"/>
  <c r="O1653" i="1"/>
  <c r="O38" i="1"/>
  <c r="O1707" i="1"/>
  <c r="O403" i="1"/>
  <c r="O1340" i="1"/>
  <c r="O147" i="1"/>
  <c r="O1918" i="1"/>
  <c r="O1569" i="1"/>
  <c r="O1350" i="1"/>
  <c r="O274" i="1"/>
  <c r="O834" i="1"/>
  <c r="O390" i="1"/>
  <c r="O941" i="1"/>
  <c r="O1087" i="1"/>
  <c r="O1665" i="1"/>
  <c r="O103" i="1"/>
  <c r="O146" i="1"/>
  <c r="O297" i="1"/>
  <c r="O377" i="1"/>
  <c r="O563" i="1"/>
  <c r="O1560" i="1"/>
  <c r="O1458" i="1"/>
  <c r="O1606" i="1"/>
  <c r="O175" i="1"/>
  <c r="O266" i="1"/>
  <c r="O1088" i="1"/>
  <c r="O825" i="1"/>
  <c r="O938" i="1"/>
  <c r="O1311" i="1"/>
  <c r="O84" i="1"/>
  <c r="O835" i="1"/>
  <c r="O836" i="1"/>
  <c r="O1018" i="1"/>
  <c r="O1956" i="1"/>
  <c r="O135" i="1"/>
  <c r="O1667" i="1"/>
  <c r="O67" i="1"/>
  <c r="O1381" i="1"/>
  <c r="O1362" i="1"/>
  <c r="O479" i="1"/>
  <c r="O689" i="1"/>
  <c r="O1258" i="1"/>
  <c r="O617" i="1"/>
  <c r="O1055" i="1"/>
  <c r="O1737" i="1"/>
  <c r="O1780" i="1"/>
  <c r="O1318" i="1"/>
  <c r="O573" i="1"/>
  <c r="O1803" i="1"/>
  <c r="O795" i="1"/>
  <c r="O724" i="1"/>
  <c r="O340" i="1"/>
  <c r="O1781" i="1"/>
  <c r="O1427" i="1"/>
  <c r="O588" i="1"/>
  <c r="O448" i="1"/>
  <c r="O1338" i="1"/>
  <c r="O328" i="1"/>
  <c r="O342" i="1"/>
  <c r="O1420" i="1"/>
  <c r="O1541" i="1"/>
  <c r="O1221" i="1"/>
  <c r="O1437" i="1"/>
  <c r="O896" i="1"/>
  <c r="O670" i="1"/>
  <c r="O1483" i="1"/>
  <c r="O1833" i="1"/>
  <c r="O332" i="1"/>
  <c r="O728" i="1"/>
  <c r="O217" i="1"/>
  <c r="O1426" i="1"/>
  <c r="O1178" i="1"/>
  <c r="O2036" i="1"/>
  <c r="O1089" i="1"/>
  <c r="O1987" i="1"/>
  <c r="O1905" i="1"/>
  <c r="O505" i="1"/>
  <c r="O870" i="1"/>
  <c r="O888" i="1"/>
  <c r="O524" i="1"/>
  <c r="O998" i="1"/>
  <c r="O547" i="1"/>
  <c r="O1090" i="1"/>
  <c r="O197" i="1"/>
  <c r="O33" i="1"/>
  <c r="O1406" i="1"/>
  <c r="O1209" i="1"/>
  <c r="O1595" i="1"/>
  <c r="O1858" i="1"/>
  <c r="O1464" i="1"/>
  <c r="O770" i="1"/>
  <c r="O1588" i="1"/>
  <c r="O690" i="1"/>
  <c r="O694" i="1"/>
  <c r="O1636" i="1"/>
  <c r="O1467" i="1"/>
  <c r="O1446" i="1"/>
  <c r="O1791" i="1"/>
  <c r="O1792" i="1"/>
  <c r="O983" i="1"/>
  <c r="O1343" i="1"/>
  <c r="O829" i="1"/>
  <c r="O930" i="1"/>
  <c r="O1130" i="1"/>
  <c r="O1654" i="1"/>
  <c r="O1708" i="1"/>
  <c r="O404" i="1"/>
  <c r="O685" i="1"/>
  <c r="O1919" i="1"/>
  <c r="O1136" i="1"/>
  <c r="O388" i="1"/>
  <c r="O360" i="1"/>
  <c r="O943" i="1"/>
  <c r="O1512" i="1"/>
  <c r="O232" i="1"/>
  <c r="O286" i="1"/>
  <c r="O382" i="1"/>
  <c r="O437" i="1"/>
  <c r="O863" i="1"/>
  <c r="O1740" i="1"/>
  <c r="O1091" i="1"/>
  <c r="O361" i="1"/>
  <c r="O1196" i="1"/>
  <c r="O2003" i="1"/>
  <c r="O1092" i="1"/>
  <c r="O1572" i="1"/>
  <c r="O1369" i="1"/>
  <c r="O1175" i="1"/>
  <c r="O1073" i="1"/>
  <c r="O300" i="1"/>
  <c r="O2103" i="1"/>
  <c r="O128" i="1"/>
  <c r="O136" i="1"/>
  <c r="O1917" i="1"/>
  <c r="O798" i="1"/>
  <c r="O1897" i="1"/>
  <c r="O362" i="1"/>
  <c r="O1587" i="1"/>
  <c r="O680" i="1"/>
  <c r="O698" i="1"/>
  <c r="O1354" i="1"/>
  <c r="O975" i="1"/>
  <c r="O1405" i="1"/>
  <c r="O1225" i="1"/>
  <c r="O1548" i="1"/>
  <c r="O957" i="1"/>
  <c r="O1954" i="1"/>
  <c r="O1777" i="1"/>
  <c r="O63" i="1"/>
  <c r="O749" i="1"/>
  <c r="O543" i="1"/>
  <c r="O1093" i="1"/>
  <c r="O1334" i="1"/>
  <c r="O264" i="1"/>
  <c r="O506" i="1"/>
  <c r="O525" i="1"/>
  <c r="O1217" i="1"/>
  <c r="O635" i="1"/>
  <c r="O133" i="1"/>
  <c r="O1559" i="1"/>
  <c r="O359" i="1"/>
  <c r="O871" i="1"/>
  <c r="O889" i="1"/>
  <c r="O790" i="1"/>
  <c r="O1000" i="1"/>
  <c r="O557" i="1"/>
  <c r="O1996" i="1"/>
  <c r="O1265" i="1"/>
  <c r="O1783" i="1"/>
  <c r="O2083" i="1"/>
  <c r="O1206" i="1"/>
  <c r="O1779" i="1"/>
  <c r="O104" i="1"/>
  <c r="O2000" i="1"/>
  <c r="O1835" i="1"/>
  <c r="O924" i="1"/>
  <c r="O805" i="1"/>
  <c r="O431" i="1"/>
  <c r="O800" i="1"/>
  <c r="O1333" i="1"/>
  <c r="O1417" i="1"/>
  <c r="O1319" i="1"/>
  <c r="O1094" i="1"/>
  <c r="O249" i="1"/>
  <c r="O1957" i="1"/>
  <c r="O1998" i="1"/>
  <c r="O105" i="1"/>
  <c r="O878" i="1"/>
  <c r="O2052" i="1"/>
  <c r="O1256" i="1"/>
  <c r="O1553" i="1"/>
  <c r="O214" i="1"/>
  <c r="O1160" i="1"/>
  <c r="O929" i="1"/>
  <c r="O2049" i="1"/>
  <c r="O1904" i="1"/>
  <c r="O1188" i="1"/>
  <c r="O1868" i="1"/>
  <c r="O148" i="1"/>
  <c r="O1793" i="1"/>
  <c r="O984" i="1"/>
  <c r="O1344" i="1"/>
  <c r="O1655" i="1"/>
  <c r="O1744" i="1"/>
  <c r="O1724" i="1"/>
  <c r="O875" i="1"/>
  <c r="O405" i="1"/>
  <c r="O1902" i="1"/>
  <c r="O23" i="1"/>
  <c r="O24" i="1"/>
  <c r="O25" i="1"/>
  <c r="O26" i="1"/>
  <c r="O1920" i="1"/>
  <c r="O22" i="1"/>
  <c r="O1967" i="1"/>
  <c r="O1847" i="1"/>
  <c r="O159" i="1"/>
  <c r="O1095" i="1"/>
  <c r="O294" i="1"/>
  <c r="O731" i="1"/>
  <c r="O1134" i="1"/>
  <c r="O412" i="1"/>
  <c r="O990" i="1"/>
  <c r="O655" i="1"/>
  <c r="O1534" i="1"/>
  <c r="O969" i="1"/>
  <c r="O1229" i="1"/>
  <c r="O242" i="1"/>
  <c r="O372" i="1"/>
  <c r="O418" i="1"/>
  <c r="O650" i="1"/>
  <c r="O663" i="1"/>
  <c r="O1719" i="1"/>
  <c r="O1661" i="1"/>
  <c r="O2016" i="1"/>
  <c r="O1314" i="1"/>
  <c r="O2010" i="1"/>
  <c r="O345" i="1"/>
  <c r="O761" i="1"/>
  <c r="O1367" i="1"/>
  <c r="O1616" i="1"/>
  <c r="O1585" i="1"/>
  <c r="O1096" i="1"/>
  <c r="O934" i="1"/>
  <c r="O1969" i="1"/>
  <c r="O1610" i="1"/>
  <c r="O166" i="1"/>
  <c r="O1407" i="1"/>
  <c r="O674" i="1"/>
  <c r="O894" i="1"/>
  <c r="O1272" i="1"/>
  <c r="O363" i="1"/>
  <c r="O1187" i="1"/>
  <c r="O1677" i="1"/>
  <c r="O1875" i="1"/>
  <c r="O1519" i="1"/>
  <c r="O797" i="1"/>
  <c r="O751" i="1"/>
  <c r="O799" i="1"/>
  <c r="O780" i="1"/>
  <c r="O1357" i="1"/>
  <c r="O687" i="1"/>
  <c r="O994" i="1"/>
  <c r="O1829" i="1"/>
  <c r="O1097" i="1"/>
  <c r="O1580" i="1"/>
  <c r="O1069" i="1"/>
  <c r="O789" i="1"/>
  <c r="O507" i="1"/>
  <c r="O872" i="1"/>
  <c r="O890" i="1"/>
  <c r="O467" i="1"/>
  <c r="O526" i="1"/>
  <c r="O1013" i="1"/>
  <c r="O548" i="1"/>
  <c r="O1201" i="1"/>
  <c r="O50" i="1"/>
  <c r="O1767" i="1"/>
  <c r="O1622" i="1"/>
  <c r="O1669" i="1"/>
  <c r="O1237" i="1"/>
  <c r="O106" i="1"/>
  <c r="O74" i="1"/>
  <c r="O1454" i="1"/>
  <c r="O1828" i="1"/>
  <c r="O1694" i="1"/>
  <c r="O574" i="1"/>
  <c r="O1098" i="1"/>
  <c r="O716" i="1"/>
  <c r="O160" i="1"/>
  <c r="O1939" i="1"/>
  <c r="O1169" i="1"/>
  <c r="O1646" i="1"/>
  <c r="O198" i="1"/>
  <c r="O1524" i="1"/>
  <c r="O1855" i="1"/>
  <c r="O2051" i="1"/>
  <c r="O592" i="1"/>
  <c r="O1899" i="1"/>
  <c r="O758" i="1"/>
  <c r="O317" i="1"/>
  <c r="O575" i="1"/>
  <c r="O1099" i="1"/>
  <c r="O810" i="1"/>
  <c r="O1794" i="1"/>
  <c r="O985" i="1"/>
  <c r="O1345" i="1"/>
  <c r="O1656" i="1"/>
  <c r="O1725" i="1"/>
  <c r="O406" i="1"/>
  <c r="O1921" i="1"/>
  <c r="O218" i="1"/>
  <c r="O303" i="1"/>
  <c r="O613" i="1"/>
  <c r="O882" i="1"/>
  <c r="O903" i="1"/>
  <c r="O1743" i="1"/>
  <c r="O1274" i="1"/>
  <c r="O1808" i="1"/>
  <c r="O2098" i="1"/>
  <c r="O742" i="1"/>
  <c r="O265" i="1"/>
  <c r="O307" i="1"/>
  <c r="O638" i="1"/>
  <c r="O1100" i="1"/>
  <c r="O881" i="1"/>
  <c r="O262" i="1"/>
  <c r="O1416" i="1"/>
  <c r="O1185" i="1"/>
  <c r="O1210" i="1"/>
  <c r="O1414" i="1"/>
  <c r="O131" i="1"/>
  <c r="O2085" i="1"/>
  <c r="O15" i="1"/>
  <c r="O16" i="1"/>
  <c r="O17" i="1"/>
  <c r="O4" i="1"/>
  <c r="O1885" i="1"/>
  <c r="O651" i="1"/>
  <c r="O2080" i="1"/>
  <c r="O10" i="1"/>
  <c r="O8" i="1"/>
  <c r="O7" i="1"/>
  <c r="O351" i="1"/>
  <c r="O1602" i="1"/>
  <c r="O279" i="1"/>
  <c r="O854" i="1"/>
  <c r="O2039" i="1"/>
  <c r="O1535" i="1"/>
  <c r="O1547" i="1"/>
  <c r="O1645" i="1"/>
  <c r="O1418" i="1"/>
  <c r="O1028" i="1"/>
  <c r="O1014" i="1"/>
  <c r="O644" i="1"/>
  <c r="O1145" i="1"/>
  <c r="O584" i="1"/>
  <c r="O1741" i="1"/>
  <c r="O801" i="1"/>
  <c r="O1712" i="1"/>
  <c r="O569" i="1"/>
  <c r="O831" i="1"/>
  <c r="O1363" i="1"/>
  <c r="O699" i="1"/>
  <c r="O1755" i="1"/>
  <c r="O1997" i="1"/>
  <c r="O1889" i="1"/>
  <c r="O261" i="1"/>
  <c r="O1034" i="1"/>
  <c r="O1101" i="1"/>
  <c r="O736" i="1"/>
  <c r="O1312" i="1"/>
  <c r="O1408" i="1"/>
  <c r="O83" i="1"/>
  <c r="O1127" i="1"/>
  <c r="O1349" i="1"/>
  <c r="O1990" i="1"/>
  <c r="O1935" i="1"/>
  <c r="O2072" i="1"/>
  <c r="O1800" i="1"/>
  <c r="O905" i="1"/>
  <c r="O1399" i="1"/>
  <c r="O1635" i="1"/>
  <c r="O508" i="1"/>
  <c r="O873" i="1"/>
  <c r="O891" i="1"/>
  <c r="O494" i="1"/>
  <c r="O1932" i="1"/>
  <c r="O1900" i="1"/>
  <c r="O883" i="1"/>
  <c r="O339" i="1"/>
  <c r="O1478" i="1"/>
  <c r="O534" i="1"/>
  <c r="O1060" i="1"/>
  <c r="O1529" i="1"/>
  <c r="O793" i="1"/>
  <c r="O1149" i="1"/>
  <c r="O1321" i="1"/>
  <c r="O806" i="1"/>
  <c r="O695" i="1"/>
  <c r="O1945" i="1"/>
  <c r="O580" i="1"/>
  <c r="O1762" i="1"/>
  <c r="O231" i="1"/>
  <c r="O1193" i="1"/>
  <c r="O1232" i="1"/>
  <c r="O1898" i="1"/>
  <c r="O1914" i="1"/>
  <c r="O956" i="1"/>
  <c r="O1544" i="1"/>
  <c r="O92" i="1"/>
  <c r="O856" i="1"/>
  <c r="O1670" i="1"/>
  <c r="O1940" i="1"/>
  <c r="O1626" i="1"/>
  <c r="O1191" i="1"/>
  <c r="O1531" i="1"/>
  <c r="O1390" i="1"/>
  <c r="O1647" i="1"/>
  <c r="O2044" i="1"/>
  <c r="O6" i="1"/>
  <c r="O304" i="1"/>
  <c r="O1503" i="1"/>
  <c r="O258" i="1"/>
  <c r="O1489" i="1"/>
  <c r="O1795" i="1"/>
  <c r="O986" i="1"/>
  <c r="O1882" i="1"/>
  <c r="O280" i="1"/>
  <c r="O1435" i="1"/>
  <c r="O449" i="1"/>
  <c r="O1339" i="1"/>
  <c r="O515" i="1"/>
  <c r="O1657" i="1"/>
  <c r="O1810" i="1"/>
  <c r="O407" i="1"/>
  <c r="O549" i="1"/>
  <c r="O1922" i="1"/>
  <c r="O462" i="1"/>
  <c r="O321" i="1"/>
  <c r="O1432" i="1"/>
  <c r="O1305" i="1"/>
  <c r="O1693" i="1"/>
  <c r="O717" i="1"/>
  <c r="O324" i="1"/>
  <c r="O2041" i="1"/>
  <c r="O726" i="1"/>
  <c r="O972" i="1"/>
  <c r="O2035" i="1"/>
  <c r="O1468" i="1"/>
  <c r="O1927" i="1"/>
  <c r="O1132" i="1"/>
  <c r="O358" i="1"/>
  <c r="O1223" i="1"/>
  <c r="O1021" i="1"/>
  <c r="O1176" i="1"/>
  <c r="O847" i="1"/>
  <c r="O454" i="1"/>
  <c r="O585" i="1"/>
  <c r="O1228" i="1"/>
  <c r="O1003" i="1"/>
  <c r="O753" i="1"/>
  <c r="O1006" i="1"/>
  <c r="O1742" i="1"/>
  <c r="O1965" i="1"/>
  <c r="O1727" i="1"/>
  <c r="O1504" i="1"/>
  <c r="O27" i="1"/>
  <c r="O19" i="1"/>
  <c r="O158" i="1"/>
  <c r="O501" i="1"/>
  <c r="O844" i="1"/>
  <c r="O925" i="1"/>
  <c r="O1026" i="1"/>
  <c r="O1909" i="1"/>
  <c r="O1068" i="1"/>
  <c r="O898" i="1"/>
  <c r="O320" i="1"/>
  <c r="O626" i="1"/>
  <c r="O911" i="1"/>
  <c r="O1666" i="1"/>
  <c r="O589" i="1"/>
  <c r="O1802" i="1"/>
  <c r="O813" i="1"/>
  <c r="O44" i="1"/>
  <c r="O1561" i="1"/>
  <c r="O997" i="1"/>
  <c r="O194" i="1"/>
  <c r="O181" i="1"/>
  <c r="O1008" i="1"/>
  <c r="O254" i="1"/>
  <c r="O414" i="1"/>
  <c r="O257" i="1"/>
  <c r="O1215" i="1"/>
  <c r="O263" i="1"/>
  <c r="O1492" i="1"/>
  <c r="O1246" i="1"/>
  <c r="O1545" i="1"/>
  <c r="O1575" i="1"/>
  <c r="O2028" i="1"/>
  <c r="O683" i="1"/>
  <c r="O1581" i="1"/>
  <c r="O498" i="1"/>
  <c r="O1890" i="1"/>
  <c r="O190" i="1"/>
  <c r="O238" i="1"/>
  <c r="O354" i="1"/>
  <c r="O1498" i="1"/>
  <c r="O926" i="1"/>
  <c r="O313" i="1"/>
  <c r="O1284" i="1"/>
  <c r="O325" i="1"/>
  <c r="O1486" i="1"/>
  <c r="O1448" i="1"/>
  <c r="O278" i="1"/>
  <c r="O1826" i="1"/>
  <c r="O1641" i="1"/>
  <c r="O1047" i="1"/>
  <c r="O2082" i="1"/>
  <c r="O151" i="1"/>
  <c r="O625" i="1"/>
  <c r="O224" i="1"/>
  <c r="O347" i="1"/>
  <c r="O368" i="1"/>
  <c r="O385" i="1"/>
  <c r="O1574" i="1"/>
  <c r="O612" i="1"/>
  <c r="O1309" i="1"/>
  <c r="O768" i="1"/>
  <c r="O1605" i="1"/>
  <c r="O1671" i="1"/>
  <c r="O1056" i="1"/>
  <c r="O1171" i="1"/>
  <c r="O1807" i="1"/>
  <c r="O1499" i="1"/>
  <c r="O1539" i="1"/>
  <c r="O1205" i="1"/>
  <c r="O1005" i="1"/>
  <c r="O931" i="1"/>
  <c r="O344" i="1"/>
  <c r="O1513" i="1"/>
  <c r="O1615" i="1"/>
  <c r="O1910" i="1"/>
  <c r="O1759" i="1"/>
  <c r="O855" i="1"/>
  <c r="O312" i="1"/>
  <c r="O1463" i="1"/>
  <c r="O47" i="1"/>
  <c r="O288" i="1"/>
  <c r="O901" i="1"/>
  <c r="O600" i="1"/>
  <c r="O1893" i="1"/>
  <c r="O1563" i="1"/>
  <c r="O1985" i="1"/>
  <c r="O1582" i="1"/>
  <c r="O1971" i="1"/>
  <c r="O857" i="1"/>
  <c r="O1485" i="1"/>
  <c r="O434" i="1"/>
  <c r="O1533" i="1"/>
  <c r="O1982" i="1"/>
  <c r="O1075" i="1"/>
  <c r="O1076" i="1"/>
  <c r="O1487" i="1"/>
  <c r="O1204" i="1"/>
  <c r="O150" i="1"/>
  <c r="O744" i="1"/>
  <c r="O1275" i="1"/>
  <c r="O1785" i="1"/>
  <c r="O976" i="1"/>
  <c r="O2021" i="1"/>
  <c r="O77" i="1"/>
  <c r="O2009" i="1"/>
  <c r="O79" i="1"/>
  <c r="O1383" i="1"/>
  <c r="O1401" i="1"/>
  <c r="O1238" i="1"/>
  <c r="O179" i="1"/>
  <c r="O1148" i="1"/>
  <c r="O1809" i="1"/>
  <c r="M1401" i="1"/>
  <c r="M1238" i="1"/>
  <c r="M179" i="1"/>
  <c r="M1148" i="1"/>
  <c r="M1809" i="1"/>
  <c r="M226" i="1"/>
  <c r="M465" i="1"/>
  <c r="M1068" i="1"/>
  <c r="M898" i="1"/>
  <c r="M320" i="1"/>
  <c r="M626" i="1"/>
  <c r="M911" i="1"/>
  <c r="M1666" i="1"/>
  <c r="M589" i="1"/>
  <c r="M1802" i="1"/>
  <c r="M813" i="1"/>
  <c r="M44" i="1"/>
  <c r="M1561" i="1"/>
  <c r="M997" i="1"/>
  <c r="M194" i="1"/>
  <c r="M181" i="1"/>
  <c r="M1008" i="1"/>
  <c r="M254" i="1"/>
  <c r="M414" i="1"/>
  <c r="M257" i="1"/>
  <c r="M1215" i="1"/>
  <c r="M263" i="1"/>
  <c r="M1492" i="1"/>
  <c r="M1246" i="1"/>
  <c r="M1545" i="1"/>
  <c r="M1575" i="1"/>
  <c r="M2028" i="1"/>
  <c r="M683" i="1"/>
  <c r="M1581" i="1"/>
  <c r="M498" i="1"/>
  <c r="M1890" i="1"/>
  <c r="M190" i="1"/>
  <c r="M238" i="1"/>
  <c r="M354" i="1"/>
  <c r="M1498" i="1"/>
  <c r="M926" i="1"/>
  <c r="M313" i="1"/>
  <c r="M1284" i="1"/>
  <c r="M325" i="1"/>
  <c r="M1486" i="1"/>
  <c r="M1448" i="1"/>
  <c r="M278" i="1"/>
  <c r="M1826" i="1"/>
  <c r="M1641" i="1"/>
  <c r="M1047" i="1"/>
  <c r="M2082" i="1"/>
  <c r="M151" i="1"/>
  <c r="M625" i="1"/>
  <c r="M224" i="1"/>
  <c r="M347" i="1"/>
  <c r="M368" i="1"/>
  <c r="M385" i="1"/>
  <c r="M1574" i="1"/>
  <c r="M612" i="1"/>
  <c r="M1309" i="1"/>
  <c r="M768" i="1"/>
  <c r="M1605" i="1"/>
  <c r="M1671" i="1"/>
  <c r="M1056" i="1"/>
  <c r="M1171" i="1"/>
  <c r="M1807" i="1"/>
  <c r="M1499" i="1"/>
  <c r="M1539" i="1"/>
  <c r="M1205" i="1"/>
  <c r="M1005" i="1"/>
  <c r="M931" i="1"/>
  <c r="M344" i="1"/>
  <c r="M1513" i="1"/>
  <c r="M1615" i="1"/>
  <c r="M1910" i="1"/>
  <c r="M1759" i="1"/>
  <c r="M855" i="1"/>
  <c r="M312" i="1"/>
  <c r="M1463" i="1"/>
  <c r="M47" i="1"/>
  <c r="M288" i="1"/>
  <c r="M901" i="1"/>
  <c r="M600" i="1"/>
  <c r="M1893" i="1"/>
  <c r="M1563" i="1"/>
  <c r="M1985" i="1"/>
  <c r="M1582" i="1"/>
  <c r="M1971" i="1"/>
  <c r="M857" i="1"/>
  <c r="M1485" i="1"/>
  <c r="M434" i="1"/>
  <c r="M1533" i="1"/>
  <c r="M1982" i="1"/>
  <c r="M1075" i="1"/>
  <c r="M1076" i="1"/>
  <c r="M1487" i="1"/>
  <c r="M1204" i="1"/>
  <c r="M150" i="1"/>
  <c r="M744" i="1"/>
  <c r="M1275" i="1"/>
  <c r="M1785" i="1"/>
  <c r="M976" i="1"/>
  <c r="M2021" i="1"/>
  <c r="M77" i="1"/>
  <c r="M2009" i="1"/>
  <c r="M79" i="1"/>
  <c r="M1383" i="1"/>
  <c r="M1254" i="1"/>
  <c r="M1648" i="1"/>
  <c r="M396" i="1"/>
  <c r="M1849" i="1"/>
  <c r="M1395" i="1"/>
  <c r="M1618" i="1"/>
  <c r="M1856" i="1"/>
  <c r="M1184" i="1"/>
  <c r="M1812" i="1"/>
  <c r="M1346" i="1"/>
  <c r="M1374" i="1"/>
  <c r="M1057" i="1"/>
  <c r="M1180" i="1"/>
  <c r="M32" i="1"/>
  <c r="M1827" i="1"/>
  <c r="M1077" i="1"/>
  <c r="M519" i="1"/>
  <c r="M740" i="1"/>
  <c r="M1174" i="1"/>
  <c r="M738" i="1"/>
  <c r="M1078" i="1"/>
  <c r="M1071" i="1"/>
  <c r="M75" i="1"/>
  <c r="M696" i="1"/>
  <c r="M974" i="1"/>
  <c r="M1556" i="1"/>
  <c r="M1195" i="1"/>
  <c r="M178" i="1"/>
  <c r="M155" i="1"/>
  <c r="M849" i="1"/>
  <c r="M1703" i="1"/>
  <c r="M657" i="1"/>
  <c r="M661" i="1"/>
  <c r="M2005" i="1"/>
  <c r="M1757" i="1"/>
  <c r="M1500" i="1"/>
  <c r="M1147" i="1"/>
  <c r="M821" i="1"/>
  <c r="M1433" i="1"/>
  <c r="M1536" i="1"/>
  <c r="M435" i="1"/>
  <c r="M1823" i="1"/>
  <c r="M367" i="1"/>
  <c r="M778" i="1"/>
  <c r="M1525" i="1"/>
  <c r="M1488" i="1"/>
  <c r="M1774" i="1"/>
  <c r="M841" i="1"/>
  <c r="M352" i="1"/>
  <c r="M1373" i="1"/>
  <c r="M620" i="1"/>
  <c r="M2017" i="1"/>
  <c r="M792" i="1"/>
  <c r="M645" i="1"/>
  <c r="M1981" i="1"/>
  <c r="M1799" i="1"/>
  <c r="M212" i="1"/>
  <c r="M55" i="1"/>
  <c r="M1869" i="1"/>
  <c r="M1173" i="1"/>
  <c r="M1786" i="1"/>
  <c r="M977" i="1"/>
  <c r="M2067" i="1"/>
  <c r="M1633" i="1"/>
  <c r="M1649" i="1"/>
  <c r="M1704" i="1"/>
  <c r="M397" i="1"/>
  <c r="M1079" i="1"/>
  <c r="M2101" i="1"/>
  <c r="M1255" i="1"/>
  <c r="M1287" i="1"/>
  <c r="M276" i="1"/>
  <c r="M537" i="1"/>
  <c r="M669" i="1"/>
  <c r="M1151" i="1"/>
  <c r="M1522" i="1"/>
  <c r="M289" i="1"/>
  <c r="M269" i="1"/>
  <c r="M1276" i="1"/>
  <c r="M1520" i="1"/>
  <c r="M1164" i="1"/>
  <c r="M1679" i="1"/>
  <c r="M1080" i="1"/>
  <c r="M460" i="1"/>
  <c r="M530" i="1"/>
  <c r="M2055" i="1"/>
  <c r="M80" i="1"/>
  <c r="M1150" i="1"/>
  <c r="M1496" i="1"/>
  <c r="M764" i="1"/>
  <c r="M1061" i="1"/>
  <c r="M73" i="1"/>
  <c r="M1687" i="1"/>
  <c r="M940" i="1"/>
  <c r="M2062" i="1"/>
  <c r="M491" i="1"/>
  <c r="M1938" i="1"/>
  <c r="M509" i="1"/>
  <c r="M1329" i="1"/>
  <c r="M1763" i="1"/>
  <c r="M713" i="1"/>
  <c r="M48" i="1"/>
  <c r="M1348" i="1"/>
  <c r="M1409" i="1"/>
  <c r="M1554" i="1"/>
  <c r="M1269" i="1"/>
  <c r="M1540" i="1"/>
  <c r="M776" i="1"/>
  <c r="M1271" i="1"/>
  <c r="M1936" i="1"/>
  <c r="M334" i="1"/>
  <c r="M714" i="1"/>
  <c r="M978" i="1"/>
  <c r="M1327" i="1"/>
  <c r="M398" i="1"/>
  <c r="M399" i="1"/>
  <c r="M208" i="1"/>
  <c r="M221" i="1"/>
  <c r="M319" i="1"/>
  <c r="M702" i="1"/>
  <c r="M1328" i="1"/>
  <c r="M1064" i="1"/>
  <c r="M31" i="1"/>
  <c r="M932" i="1"/>
  <c r="M1393" i="1"/>
  <c r="M750" i="1"/>
  <c r="M310" i="1"/>
  <c r="M1864" i="1"/>
  <c r="M1054" i="1"/>
  <c r="M1878" i="1"/>
  <c r="M1583" i="1"/>
  <c r="M1584" i="1"/>
  <c r="M213" i="1"/>
  <c r="M1673" i="1"/>
  <c r="M653" i="1"/>
  <c r="M1865" i="1"/>
  <c r="M78" i="1"/>
  <c r="M1715" i="1"/>
  <c r="M1304" i="1"/>
  <c r="M861" i="1"/>
  <c r="M222" i="1"/>
  <c r="M649" i="1"/>
  <c r="M210" i="1"/>
  <c r="M610" i="1"/>
  <c r="M928" i="1"/>
  <c r="M82" i="1"/>
  <c r="M228" i="1"/>
  <c r="M715" i="1"/>
  <c r="M679" i="1"/>
  <c r="M1993" i="1"/>
  <c r="M1717" i="1"/>
  <c r="M65" i="1"/>
  <c r="M62" i="1"/>
  <c r="M386" i="1"/>
  <c r="M781" i="1"/>
  <c r="M1991" i="1"/>
  <c r="M601" i="1"/>
  <c r="M376" i="1"/>
  <c r="M510" i="1"/>
  <c r="M1732" i="1"/>
  <c r="M908" i="1"/>
  <c r="M582" i="1"/>
  <c r="M1903" i="1"/>
  <c r="M605" i="1"/>
  <c r="M1613" i="1"/>
  <c r="M492" i="1"/>
  <c r="M371" i="1"/>
  <c r="M1009" i="1"/>
  <c r="M1240" i="1"/>
  <c r="M1640" i="1"/>
  <c r="M1886" i="1"/>
  <c r="M1637" i="1"/>
  <c r="M1521" i="1"/>
  <c r="M1592" i="1"/>
  <c r="M229" i="1"/>
  <c r="M577" i="1"/>
  <c r="M782" i="1"/>
  <c r="M775" i="1"/>
  <c r="M1222" i="1"/>
  <c r="M447" i="1"/>
  <c r="M1337" i="1"/>
  <c r="M866" i="1"/>
  <c r="M884" i="1"/>
  <c r="M520" i="1"/>
  <c r="M631" i="1"/>
  <c r="M57" i="1"/>
  <c r="M1787" i="1"/>
  <c r="M28" i="1"/>
  <c r="M979" i="1"/>
  <c r="M808" i="1"/>
  <c r="M1307" i="1"/>
  <c r="M365" i="1"/>
  <c r="M1510" i="1"/>
  <c r="M1609" i="1"/>
  <c r="M1543" i="1"/>
  <c r="M88" i="1"/>
  <c r="M97" i="1"/>
  <c r="M400" i="1"/>
  <c r="M1824" i="1"/>
  <c r="M1750" i="1"/>
  <c r="M389" i="1"/>
  <c r="M2008" i="1"/>
  <c r="M1141" i="1"/>
  <c r="M1296" i="1"/>
  <c r="M1375" i="1"/>
  <c r="M783" i="1"/>
  <c r="M2064" i="1"/>
  <c r="M1911" i="1"/>
  <c r="M1765" i="1"/>
  <c r="M299" i="1"/>
  <c r="M413" i="1"/>
  <c r="M100" i="1"/>
  <c r="M850" i="1"/>
  <c r="M1172" i="1"/>
  <c r="M1568" i="1"/>
  <c r="M1691" i="1"/>
  <c r="M611" i="1"/>
  <c r="M784" i="1"/>
  <c r="M1630" i="1"/>
  <c r="M676" i="1"/>
  <c r="M618" i="1"/>
  <c r="M1158" i="1"/>
  <c r="M1131" i="1"/>
  <c r="M1004" i="1"/>
  <c r="M1203" i="1"/>
  <c r="M1439" i="1"/>
  <c r="M1380" i="1"/>
  <c r="M42" i="1"/>
  <c r="M1527" i="1"/>
  <c r="M1241" i="1"/>
  <c r="M1365" i="1"/>
  <c r="M1247" i="1"/>
  <c r="M1400" i="1"/>
  <c r="M1163" i="1"/>
  <c r="M723" i="1"/>
  <c r="M1501" i="1"/>
  <c r="M2069" i="1"/>
  <c r="M1984" i="1"/>
  <c r="M90" i="1"/>
  <c r="M58" i="1"/>
  <c r="M5" i="1"/>
  <c r="M1728" i="1"/>
  <c r="M415" i="1"/>
  <c r="M1857" i="1"/>
  <c r="M1198" i="1"/>
  <c r="M1170" i="1"/>
  <c r="M862" i="1"/>
  <c r="M705" i="1"/>
  <c r="M1551" i="1"/>
  <c r="M1270" i="1"/>
  <c r="M826" i="1"/>
  <c r="M314" i="1"/>
  <c r="M1007" i="1"/>
  <c r="M2034" i="1"/>
  <c r="M1282" i="1"/>
  <c r="M1066" i="1"/>
  <c r="M1502" i="1"/>
  <c r="M1718" i="1"/>
  <c r="M627" i="1"/>
  <c r="M366" i="1"/>
  <c r="M1778" i="1"/>
  <c r="M581" i="1"/>
  <c r="M1747" i="1"/>
  <c r="M1944" i="1"/>
  <c r="M1477" i="1"/>
  <c r="M444" i="1"/>
  <c r="M602" i="1"/>
  <c r="M511" i="1"/>
  <c r="M521" i="1"/>
  <c r="M999" i="1"/>
  <c r="M544" i="1"/>
  <c r="M2011" i="1"/>
  <c r="M1245" i="1"/>
  <c r="M933" i="1"/>
  <c r="M677" i="1"/>
  <c r="M1604" i="1"/>
  <c r="M1224" i="1"/>
  <c r="M867" i="1"/>
  <c r="M885" i="1"/>
  <c r="M1976" i="1"/>
  <c r="M211" i="1"/>
  <c r="M916" i="1"/>
  <c r="M36" i="1"/>
  <c r="M1788" i="1"/>
  <c r="M980" i="1"/>
  <c r="M1650" i="1"/>
  <c r="M1705" i="1"/>
  <c r="M1156" i="1"/>
  <c r="M1876" i="1"/>
  <c r="M1733" i="1"/>
  <c r="M1081" i="1"/>
  <c r="M656" i="1"/>
  <c r="M1326" i="1"/>
  <c r="M401" i="1"/>
  <c r="M709" i="1"/>
  <c r="M490" i="1"/>
  <c r="M729" i="1"/>
  <c r="M2088" i="1"/>
  <c r="M1462" i="1"/>
  <c r="M1286" i="1"/>
  <c r="M1566" i="1"/>
  <c r="M1617" i="1"/>
  <c r="M141" i="1"/>
  <c r="M230" i="1"/>
  <c r="M741" i="1"/>
  <c r="M1978" i="1"/>
  <c r="M1597" i="1"/>
  <c r="M1686" i="1"/>
  <c r="M59" i="1"/>
  <c r="M436" i="1"/>
  <c r="M727" i="1"/>
  <c r="M101" i="1"/>
  <c r="M697" i="1"/>
  <c r="M733" i="1"/>
  <c r="M858" i="1"/>
  <c r="M1955" i="1"/>
  <c r="M1323" i="1"/>
  <c r="M1772" i="1"/>
  <c r="M2089" i="1"/>
  <c r="M864" i="1"/>
  <c r="M1456" i="1"/>
  <c r="M1424" i="1"/>
  <c r="M1082" i="1"/>
  <c r="M34" i="1"/>
  <c r="M1776" i="1"/>
  <c r="M1356" i="1"/>
  <c r="M757" i="1"/>
  <c r="M1644" i="1"/>
  <c r="M227" i="1"/>
  <c r="M1672" i="1"/>
  <c r="M518" i="1"/>
  <c r="M315" i="1"/>
  <c r="M1353" i="1"/>
  <c r="M1253" i="1"/>
  <c r="M1234" i="1"/>
  <c r="M1642" i="1"/>
  <c r="M1579" i="1"/>
  <c r="M562" i="1"/>
  <c r="M1497" i="1"/>
  <c r="M1523" i="1"/>
  <c r="M765" i="1"/>
  <c r="M1736" i="1"/>
  <c r="M1619" i="1"/>
  <c r="M1625" i="1"/>
  <c r="M2070" i="1"/>
  <c r="M1628" i="1"/>
  <c r="M378" i="1"/>
  <c r="M735" i="1"/>
  <c r="M1192" i="1"/>
  <c r="M248" i="1"/>
  <c r="M964" i="1"/>
  <c r="M343" i="1"/>
  <c r="M1303" i="1"/>
  <c r="M1157" i="1"/>
  <c r="M1528" i="1"/>
  <c r="M637" i="1"/>
  <c r="M503" i="1"/>
  <c r="M522" i="1"/>
  <c r="M1002" i="1"/>
  <c r="M165" i="1"/>
  <c r="M1015" i="1"/>
  <c r="M1372" i="1"/>
  <c r="M2061" i="1"/>
  <c r="M1332" i="1"/>
  <c r="M1403" i="1"/>
  <c r="M1030" i="1"/>
  <c r="M452" i="1"/>
  <c r="M1789" i="1"/>
  <c r="M981" i="1"/>
  <c r="M1244" i="1"/>
  <c r="M1341" i="1"/>
  <c r="M1361" i="1"/>
  <c r="M1532" i="1"/>
  <c r="M1651" i="1"/>
  <c r="M868" i="1"/>
  <c r="M886" i="1"/>
  <c r="M87" i="1"/>
  <c r="M1706" i="1"/>
  <c r="M402" i="1"/>
  <c r="M43" i="1"/>
  <c r="M1892" i="1"/>
  <c r="M1974" i="1"/>
  <c r="M1806" i="1"/>
  <c r="M545" i="1"/>
  <c r="M1144" i="1"/>
  <c r="M1083" i="1"/>
  <c r="M1988" i="1"/>
  <c r="M1453" i="1"/>
  <c r="M1161" i="1"/>
  <c r="M81" i="1"/>
  <c r="M206" i="1"/>
  <c r="M295" i="1"/>
  <c r="M1941" i="1"/>
  <c r="M1236" i="1"/>
  <c r="M233" i="1"/>
  <c r="M235" i="1"/>
  <c r="M296" i="1"/>
  <c r="M1443" i="1"/>
  <c r="M628" i="1"/>
  <c r="M102" i="1"/>
  <c r="M199" i="1"/>
  <c r="M253" i="1"/>
  <c r="M673" i="1"/>
  <c r="M1979" i="1"/>
  <c r="M604" i="1"/>
  <c r="M914" i="1"/>
  <c r="M1479" i="1"/>
  <c r="M1754" i="1"/>
  <c r="M461" i="1"/>
  <c r="M912" i="1"/>
  <c r="M1621" i="1"/>
  <c r="M1084" i="1"/>
  <c r="M921" i="1"/>
  <c r="M920" i="1"/>
  <c r="M445" i="1"/>
  <c r="M1295" i="1"/>
  <c r="M284" i="1"/>
  <c r="M762" i="1"/>
  <c r="M455" i="1"/>
  <c r="M771" i="1"/>
  <c r="M1745" i="1"/>
  <c r="M1370" i="1"/>
  <c r="M517" i="1"/>
  <c r="M1410" i="1"/>
  <c r="M533" i="1"/>
  <c r="M913" i="1"/>
  <c r="M41" i="1"/>
  <c r="M1873" i="1"/>
  <c r="M373" i="1"/>
  <c r="M704" i="1"/>
  <c r="M1085" i="1"/>
  <c r="M1629" i="1"/>
  <c r="M802" i="1"/>
  <c r="M1297" i="1"/>
  <c r="M1212" i="1"/>
  <c r="M355" i="1"/>
  <c r="M1688" i="1"/>
  <c r="M1231" i="1"/>
  <c r="M1023" i="1"/>
  <c r="M684" i="1"/>
  <c r="M1768" i="1"/>
  <c r="M1526" i="1"/>
  <c r="M309" i="1"/>
  <c r="M1168" i="1"/>
  <c r="M737" i="1"/>
  <c r="M1283" i="1"/>
  <c r="M469" i="1"/>
  <c r="M1347" i="1"/>
  <c r="M1186" i="1"/>
  <c r="M1447" i="1"/>
  <c r="M1396" i="1"/>
  <c r="M1315" i="1"/>
  <c r="M1425" i="1"/>
  <c r="M1995" i="1"/>
  <c r="M966" i="1"/>
  <c r="M337" i="1"/>
  <c r="M1782" i="1"/>
  <c r="M869" i="1"/>
  <c r="M887" i="1"/>
  <c r="M523" i="1"/>
  <c r="M995" i="1"/>
  <c r="M546" i="1"/>
  <c r="M392" i="1"/>
  <c r="M1065" i="1"/>
  <c r="M2048" i="1"/>
  <c r="M180" i="1"/>
  <c r="M688" i="1"/>
  <c r="M895" i="1"/>
  <c r="M322" i="1"/>
  <c r="M1335" i="1"/>
  <c r="M277" i="1"/>
  <c r="M1623" i="1"/>
  <c r="M2063" i="1"/>
  <c r="M732" i="1"/>
  <c r="M1598" i="1"/>
  <c r="M730" i="1"/>
  <c r="M1140" i="1"/>
  <c r="M1831" i="1"/>
  <c r="M504" i="1"/>
  <c r="M1261" i="1"/>
  <c r="M1690" i="1"/>
  <c r="M1862" i="1"/>
  <c r="M2015" i="1"/>
  <c r="M1086" i="1"/>
  <c r="M1143" i="1"/>
  <c r="M2006" i="1"/>
  <c r="M1790" i="1"/>
  <c r="M982" i="1"/>
  <c r="M1994" i="1"/>
  <c r="M1726" i="1"/>
  <c r="M1342" i="1"/>
  <c r="M282" i="1"/>
  <c r="M283" i="1"/>
  <c r="M596" i="1"/>
  <c r="M1652" i="1"/>
  <c r="M29" i="1"/>
  <c r="M30" i="1"/>
  <c r="M1653" i="1"/>
  <c r="M38" i="1"/>
  <c r="M1707" i="1"/>
  <c r="M403" i="1"/>
  <c r="M1340" i="1"/>
  <c r="M147" i="1"/>
  <c r="M1918" i="1"/>
  <c r="M1569" i="1"/>
  <c r="M1350" i="1"/>
  <c r="M274" i="1"/>
  <c r="M834" i="1"/>
  <c r="M390" i="1"/>
  <c r="M941" i="1"/>
  <c r="M1087" i="1"/>
  <c r="M1665" i="1"/>
  <c r="M103" i="1"/>
  <c r="M146" i="1"/>
  <c r="M297" i="1"/>
  <c r="M377" i="1"/>
  <c r="M563" i="1"/>
  <c r="M1560" i="1"/>
  <c r="M1458" i="1"/>
  <c r="M1606" i="1"/>
  <c r="M175" i="1"/>
  <c r="M266" i="1"/>
  <c r="M1088" i="1"/>
  <c r="M825" i="1"/>
  <c r="M938" i="1"/>
  <c r="M1311" i="1"/>
  <c r="M84" i="1"/>
  <c r="M835" i="1"/>
  <c r="M836" i="1"/>
  <c r="M1018" i="1"/>
  <c r="M1956" i="1"/>
  <c r="M135" i="1"/>
  <c r="M1667" i="1"/>
  <c r="M67" i="1"/>
  <c r="M1381" i="1"/>
  <c r="M1362" i="1"/>
  <c r="M479" i="1"/>
  <c r="M689" i="1"/>
  <c r="M1258" i="1"/>
  <c r="M617" i="1"/>
  <c r="M1055" i="1"/>
  <c r="M1737" i="1"/>
  <c r="M1780" i="1"/>
  <c r="M1318" i="1"/>
  <c r="M573" i="1"/>
  <c r="M1803" i="1"/>
  <c r="M795" i="1"/>
  <c r="M724" i="1"/>
  <c r="M340" i="1"/>
  <c r="M1781" i="1"/>
  <c r="M1427" i="1"/>
  <c r="M588" i="1"/>
  <c r="M448" i="1"/>
  <c r="M1338" i="1"/>
  <c r="M328" i="1"/>
  <c r="M342" i="1"/>
  <c r="M1420" i="1"/>
  <c r="M1541" i="1"/>
  <c r="M1221" i="1"/>
  <c r="M1437" i="1"/>
  <c r="M896" i="1"/>
  <c r="M670" i="1"/>
  <c r="M1483" i="1"/>
  <c r="M1833" i="1"/>
  <c r="M332" i="1"/>
  <c r="M728" i="1"/>
  <c r="M217" i="1"/>
  <c r="M1426" i="1"/>
  <c r="M1178" i="1"/>
  <c r="M2036" i="1"/>
  <c r="M1089" i="1"/>
  <c r="M1987" i="1"/>
  <c r="M1905" i="1"/>
  <c r="M505" i="1"/>
  <c r="M870" i="1"/>
  <c r="M888" i="1"/>
  <c r="M524" i="1"/>
  <c r="M998" i="1"/>
  <c r="M547" i="1"/>
  <c r="M1090" i="1"/>
  <c r="M197" i="1"/>
  <c r="M33" i="1"/>
  <c r="M1406" i="1"/>
  <c r="M1209" i="1"/>
  <c r="M1595" i="1"/>
  <c r="M1858" i="1"/>
  <c r="M1464" i="1"/>
  <c r="M770" i="1"/>
  <c r="M1588" i="1"/>
  <c r="M690" i="1"/>
  <c r="M694" i="1"/>
  <c r="M1636" i="1"/>
  <c r="M1467" i="1"/>
  <c r="M1446" i="1"/>
  <c r="M1791" i="1"/>
  <c r="M1792" i="1"/>
  <c r="M983" i="1"/>
  <c r="M1343" i="1"/>
  <c r="M829" i="1"/>
  <c r="M930" i="1"/>
  <c r="M1130" i="1"/>
  <c r="M1654" i="1"/>
  <c r="M1708" i="1"/>
  <c r="M404" i="1"/>
  <c r="M685" i="1"/>
  <c r="M1919" i="1"/>
  <c r="M1136" i="1"/>
  <c r="M388" i="1"/>
  <c r="M360" i="1"/>
  <c r="M943" i="1"/>
  <c r="M1512" i="1"/>
  <c r="M232" i="1"/>
  <c r="M286" i="1"/>
  <c r="M382" i="1"/>
  <c r="M437" i="1"/>
  <c r="M863" i="1"/>
  <c r="M1740" i="1"/>
  <c r="M1091" i="1"/>
  <c r="M361" i="1"/>
  <c r="M1196" i="1"/>
  <c r="M2003" i="1"/>
  <c r="M1092" i="1"/>
  <c r="M1572" i="1"/>
  <c r="M1369" i="1"/>
  <c r="M1175" i="1"/>
  <c r="M1073" i="1"/>
  <c r="M300" i="1"/>
  <c r="M2103" i="1"/>
  <c r="M128" i="1"/>
  <c r="M136" i="1"/>
  <c r="M1917" i="1"/>
  <c r="M798" i="1"/>
  <c r="M1897" i="1"/>
  <c r="M362" i="1"/>
  <c r="M1587" i="1"/>
  <c r="M680" i="1"/>
  <c r="M698" i="1"/>
  <c r="M1354" i="1"/>
  <c r="M975" i="1"/>
  <c r="M1405" i="1"/>
  <c r="M1225" i="1"/>
  <c r="M1548" i="1"/>
  <c r="M957" i="1"/>
  <c r="M1954" i="1"/>
  <c r="M1777" i="1"/>
  <c r="M63" i="1"/>
  <c r="M749" i="1"/>
  <c r="M543" i="1"/>
  <c r="M1093" i="1"/>
  <c r="M1334" i="1"/>
  <c r="M264" i="1"/>
  <c r="M506" i="1"/>
  <c r="M525" i="1"/>
  <c r="M1217" i="1"/>
  <c r="M635" i="1"/>
  <c r="M133" i="1"/>
  <c r="M1559" i="1"/>
  <c r="M359" i="1"/>
  <c r="M871" i="1"/>
  <c r="M889" i="1"/>
  <c r="M790" i="1"/>
  <c r="M1000" i="1"/>
  <c r="M557" i="1"/>
  <c r="M1996" i="1"/>
  <c r="M1265" i="1"/>
  <c r="M1783" i="1"/>
  <c r="M2083" i="1"/>
  <c r="M1206" i="1"/>
  <c r="M1779" i="1"/>
  <c r="M104" i="1"/>
  <c r="M2000" i="1"/>
  <c r="M1835" i="1"/>
  <c r="M924" i="1"/>
  <c r="M805" i="1"/>
  <c r="M431" i="1"/>
  <c r="M800" i="1"/>
  <c r="M1333" i="1"/>
  <c r="M1417" i="1"/>
  <c r="M1319" i="1"/>
  <c r="M1094" i="1"/>
  <c r="M249" i="1"/>
  <c r="M1957" i="1"/>
  <c r="M1998" i="1"/>
  <c r="M105" i="1"/>
  <c r="M878" i="1"/>
  <c r="M2052" i="1"/>
  <c r="M1256" i="1"/>
  <c r="M1553" i="1"/>
  <c r="M214" i="1"/>
  <c r="M1160" i="1"/>
  <c r="M929" i="1"/>
  <c r="M2049" i="1"/>
  <c r="M1904" i="1"/>
  <c r="M1188" i="1"/>
  <c r="M1868" i="1"/>
  <c r="M148" i="1"/>
  <c r="M1793" i="1"/>
  <c r="M984" i="1"/>
  <c r="M1344" i="1"/>
  <c r="M1655" i="1"/>
  <c r="M1744" i="1"/>
  <c r="M1724" i="1"/>
  <c r="M875" i="1"/>
  <c r="M405" i="1"/>
  <c r="M1902" i="1"/>
  <c r="M23" i="1"/>
  <c r="M24" i="1"/>
  <c r="M25" i="1"/>
  <c r="M26" i="1"/>
  <c r="M1920" i="1"/>
  <c r="M22" i="1"/>
  <c r="M1967" i="1"/>
  <c r="M1847" i="1"/>
  <c r="M159" i="1"/>
  <c r="M1095" i="1"/>
  <c r="M294" i="1"/>
  <c r="M731" i="1"/>
  <c r="M1134" i="1"/>
  <c r="M412" i="1"/>
  <c r="M990" i="1"/>
  <c r="M655" i="1"/>
  <c r="M1534" i="1"/>
  <c r="M969" i="1"/>
  <c r="M1229" i="1"/>
  <c r="M242" i="1"/>
  <c r="M372" i="1"/>
  <c r="M418" i="1"/>
  <c r="M650" i="1"/>
  <c r="M663" i="1"/>
  <c r="M1719" i="1"/>
  <c r="M1661" i="1"/>
  <c r="M2016" i="1"/>
  <c r="M1314" i="1"/>
  <c r="M2010" i="1"/>
  <c r="M345" i="1"/>
  <c r="M761" i="1"/>
  <c r="M1367" i="1"/>
  <c r="M1616" i="1"/>
  <c r="M1585" i="1"/>
  <c r="M1096" i="1"/>
  <c r="M934" i="1"/>
  <c r="M1969" i="1"/>
  <c r="M1610" i="1"/>
  <c r="M166" i="1"/>
  <c r="M1407" i="1"/>
  <c r="M674" i="1"/>
  <c r="M894" i="1"/>
  <c r="M1272" i="1"/>
  <c r="M363" i="1"/>
  <c r="M1187" i="1"/>
  <c r="M1677" i="1"/>
  <c r="M1875" i="1"/>
  <c r="M1519" i="1"/>
  <c r="M797" i="1"/>
  <c r="M751" i="1"/>
  <c r="M799" i="1"/>
  <c r="M780" i="1"/>
  <c r="M1357" i="1"/>
  <c r="M687" i="1"/>
  <c r="M994" i="1"/>
  <c r="M1829" i="1"/>
  <c r="M1097" i="1"/>
  <c r="M1580" i="1"/>
  <c r="M1069" i="1"/>
  <c r="M789" i="1"/>
  <c r="M507" i="1"/>
  <c r="M872" i="1"/>
  <c r="M890" i="1"/>
  <c r="M467" i="1"/>
  <c r="M526" i="1"/>
  <c r="M1013" i="1"/>
  <c r="M548" i="1"/>
  <c r="M1201" i="1"/>
  <c r="M50" i="1"/>
  <c r="M1767" i="1"/>
  <c r="M1622" i="1"/>
  <c r="M1669" i="1"/>
  <c r="M1237" i="1"/>
  <c r="M106" i="1"/>
  <c r="M74" i="1"/>
  <c r="M1454" i="1"/>
  <c r="M1828" i="1"/>
  <c r="M1694" i="1"/>
  <c r="M574" i="1"/>
  <c r="M1098" i="1"/>
  <c r="M716" i="1"/>
  <c r="M160" i="1"/>
  <c r="M1939" i="1"/>
  <c r="M1169" i="1"/>
  <c r="M1646" i="1"/>
  <c r="M198" i="1"/>
  <c r="M1524" i="1"/>
  <c r="M1855" i="1"/>
  <c r="M2051" i="1"/>
  <c r="M592" i="1"/>
  <c r="M1899" i="1"/>
  <c r="M758" i="1"/>
  <c r="M317" i="1"/>
  <c r="M575" i="1"/>
  <c r="M1099" i="1"/>
  <c r="M810" i="1"/>
  <c r="M1794" i="1"/>
  <c r="M985" i="1"/>
  <c r="M1345" i="1"/>
  <c r="M1656" i="1"/>
  <c r="M1725" i="1"/>
  <c r="M406" i="1"/>
  <c r="M1921" i="1"/>
  <c r="M218" i="1"/>
  <c r="M303" i="1"/>
  <c r="M613" i="1"/>
  <c r="M882" i="1"/>
  <c r="M903" i="1"/>
  <c r="M1743" i="1"/>
  <c r="M1274" i="1"/>
  <c r="M1808" i="1"/>
  <c r="M2098" i="1"/>
  <c r="M742" i="1"/>
  <c r="M265" i="1"/>
  <c r="M307" i="1"/>
  <c r="M638" i="1"/>
  <c r="M1100" i="1"/>
  <c r="M881" i="1"/>
  <c r="M262" i="1"/>
  <c r="M1416" i="1"/>
  <c r="M1185" i="1"/>
  <c r="M1210" i="1"/>
  <c r="M1414" i="1"/>
  <c r="M131" i="1"/>
  <c r="M2085" i="1"/>
  <c r="M15" i="1"/>
  <c r="M16" i="1"/>
  <c r="M17" i="1"/>
  <c r="M4" i="1"/>
  <c r="M1885" i="1"/>
  <c r="M651" i="1"/>
  <c r="M2080" i="1"/>
  <c r="M10" i="1"/>
  <c r="M8" i="1"/>
  <c r="M7" i="1"/>
  <c r="M351" i="1"/>
  <c r="M1602" i="1"/>
  <c r="M279" i="1"/>
  <c r="M854" i="1"/>
  <c r="M2039" i="1"/>
  <c r="M1535" i="1"/>
  <c r="M1547" i="1"/>
  <c r="M1645" i="1"/>
  <c r="M1418" i="1"/>
  <c r="M1028" i="1"/>
  <c r="M1014" i="1"/>
  <c r="M644" i="1"/>
  <c r="M1145" i="1"/>
  <c r="M584" i="1"/>
  <c r="M1741" i="1"/>
  <c r="M801" i="1"/>
  <c r="M1712" i="1"/>
  <c r="M569" i="1"/>
  <c r="M831" i="1"/>
  <c r="M1363" i="1"/>
  <c r="M699" i="1"/>
  <c r="M1755" i="1"/>
  <c r="M1997" i="1"/>
  <c r="M1889" i="1"/>
  <c r="M261" i="1"/>
  <c r="M1034" i="1"/>
  <c r="M1101" i="1"/>
  <c r="M736" i="1"/>
  <c r="M1312" i="1"/>
  <c r="M1408" i="1"/>
  <c r="M83" i="1"/>
  <c r="M1127" i="1"/>
  <c r="M1349" i="1"/>
  <c r="M1990" i="1"/>
  <c r="M1935" i="1"/>
  <c r="M2072" i="1"/>
  <c r="M1800" i="1"/>
  <c r="M905" i="1"/>
  <c r="M1399" i="1"/>
  <c r="M1635" i="1"/>
  <c r="M508" i="1"/>
  <c r="M873" i="1"/>
  <c r="M891" i="1"/>
  <c r="M494" i="1"/>
  <c r="M1932" i="1"/>
  <c r="M1900" i="1"/>
  <c r="M883" i="1"/>
  <c r="M339" i="1"/>
  <c r="M1478" i="1"/>
  <c r="M534" i="1"/>
  <c r="M1060" i="1"/>
  <c r="M1529" i="1"/>
  <c r="M793" i="1"/>
  <c r="M1149" i="1"/>
  <c r="M1321" i="1"/>
  <c r="M806" i="1"/>
  <c r="M695" i="1"/>
  <c r="M1945" i="1"/>
  <c r="M580" i="1"/>
  <c r="M1762" i="1"/>
  <c r="M231" i="1"/>
  <c r="M1193" i="1"/>
  <c r="M1232" i="1"/>
  <c r="M1898" i="1"/>
  <c r="M1914" i="1"/>
  <c r="M956" i="1"/>
  <c r="M1544" i="1"/>
  <c r="M92" i="1"/>
  <c r="M856" i="1"/>
  <c r="M1670" i="1"/>
  <c r="M1940" i="1"/>
  <c r="M1626" i="1"/>
  <c r="M1191" i="1"/>
  <c r="M1531" i="1"/>
  <c r="M1390" i="1"/>
  <c r="M1647" i="1"/>
  <c r="M2044" i="1"/>
  <c r="M6" i="1"/>
  <c r="M304" i="1"/>
  <c r="M1503" i="1"/>
  <c r="M258" i="1"/>
  <c r="M1489" i="1"/>
  <c r="M1795" i="1"/>
  <c r="M986" i="1"/>
  <c r="M1882" i="1"/>
  <c r="M280" i="1"/>
  <c r="M1435" i="1"/>
  <c r="M449" i="1"/>
  <c r="M1339" i="1"/>
  <c r="M515" i="1"/>
  <c r="M1657" i="1"/>
  <c r="M1810" i="1"/>
  <c r="M407" i="1"/>
  <c r="M549" i="1"/>
  <c r="M1922" i="1"/>
  <c r="M462" i="1"/>
  <c r="M321" i="1"/>
  <c r="M1432" i="1"/>
  <c r="M1305" i="1"/>
  <c r="M1693" i="1"/>
  <c r="M717" i="1"/>
  <c r="M324" i="1"/>
  <c r="M2041" i="1"/>
  <c r="M726" i="1"/>
  <c r="M972" i="1"/>
  <c r="M2035" i="1"/>
  <c r="M1468" i="1"/>
  <c r="M1927" i="1"/>
  <c r="M1132" i="1"/>
  <c r="M358" i="1"/>
  <c r="M1223" i="1"/>
  <c r="M1021" i="1"/>
  <c r="M1176" i="1"/>
  <c r="M847" i="1"/>
  <c r="M454" i="1"/>
  <c r="M585" i="1"/>
  <c r="M1228" i="1"/>
  <c r="M1003" i="1"/>
  <c r="M753" i="1"/>
  <c r="M1006" i="1"/>
  <c r="M1742" i="1"/>
  <c r="M1965" i="1"/>
  <c r="M1727" i="1"/>
  <c r="M1504" i="1"/>
  <c r="M27" i="1"/>
  <c r="M19" i="1"/>
  <c r="M158" i="1"/>
  <c r="M501" i="1"/>
  <c r="M844" i="1"/>
  <c r="M925" i="1"/>
  <c r="M1026" i="1"/>
  <c r="M1909" i="1"/>
  <c r="M236" i="1"/>
  <c r="M2099" i="1"/>
  <c r="M21" i="1"/>
  <c r="M127" i="1"/>
  <c r="O127" i="1"/>
  <c r="M170" i="1"/>
  <c r="O170" i="1"/>
  <c r="M379" i="1"/>
  <c r="O379" i="1"/>
  <c r="M381" i="1"/>
  <c r="O381" i="1"/>
  <c r="M535" i="1"/>
  <c r="O535" i="1"/>
  <c r="M1850" i="1"/>
  <c r="O1850" i="1"/>
  <c r="M157" i="1"/>
  <c r="O157" i="1"/>
  <c r="M164" i="1"/>
  <c r="O164" i="1"/>
  <c r="M350" i="1"/>
  <c r="O350" i="1"/>
  <c r="M893" i="1"/>
  <c r="O893" i="1"/>
  <c r="M939" i="1"/>
  <c r="O939" i="1"/>
  <c r="M1784" i="1"/>
  <c r="O1784" i="1"/>
  <c r="M598" i="1"/>
  <c r="O598" i="1"/>
  <c r="M915" i="1"/>
  <c r="O915" i="1"/>
  <c r="M270" i="1"/>
  <c r="O270" i="1"/>
  <c r="M1509" i="1"/>
  <c r="O1509" i="1"/>
  <c r="M256" i="1"/>
  <c r="O256" i="1"/>
  <c r="M654" i="1"/>
  <c r="O654" i="1"/>
  <c r="M191" i="1"/>
  <c r="O191" i="1"/>
  <c r="M171" i="1"/>
  <c r="O171" i="1"/>
  <c r="M219" i="1"/>
  <c r="O219" i="1"/>
  <c r="M1638" i="1"/>
  <c r="O1638" i="1"/>
  <c r="M472" i="1"/>
  <c r="O472" i="1"/>
  <c r="M773" i="1"/>
  <c r="O773" i="1"/>
  <c r="M239" i="1"/>
  <c r="O239" i="1"/>
  <c r="M167" i="1"/>
  <c r="O167" i="1"/>
  <c r="M311" i="1"/>
  <c r="O311" i="1"/>
  <c r="M195" i="1"/>
  <c r="O195" i="1"/>
  <c r="M1455" i="1"/>
  <c r="O1455" i="1"/>
  <c r="M823" i="1"/>
  <c r="O823" i="1"/>
  <c r="M1243" i="1"/>
  <c r="O1243" i="1"/>
  <c r="M1067" i="1"/>
  <c r="O1067" i="1"/>
  <c r="M196" i="1"/>
  <c r="O196" i="1"/>
  <c r="M1714" i="1"/>
  <c r="O1714" i="1"/>
  <c r="M271" i="1"/>
  <c r="O271" i="1"/>
  <c r="M874" i="1"/>
  <c r="O874" i="1"/>
  <c r="M824" i="1"/>
  <c r="O824" i="1"/>
  <c r="M126" i="1"/>
  <c r="O126" i="1"/>
  <c r="M1607" i="1"/>
  <c r="O1607" i="1"/>
  <c r="M755" i="1"/>
  <c r="O755" i="1"/>
  <c r="M1267" i="1"/>
  <c r="O1267" i="1"/>
  <c r="M2025" i="1"/>
  <c r="O2025" i="1"/>
  <c r="M56" i="1"/>
  <c r="O56" i="1"/>
  <c r="M639" i="1"/>
  <c r="O639" i="1"/>
  <c r="M1692" i="1"/>
  <c r="O1692" i="1"/>
  <c r="M1729" i="1"/>
  <c r="O1729" i="1"/>
  <c r="M480" i="1"/>
  <c r="O480" i="1"/>
  <c r="M590" i="1"/>
  <c r="O590" i="1"/>
  <c r="M2014" i="1"/>
  <c r="O2014" i="1"/>
  <c r="M119" i="1"/>
  <c r="O119" i="1"/>
  <c r="M122" i="1"/>
  <c r="O122" i="1"/>
  <c r="M2102" i="1"/>
  <c r="O2102" i="1"/>
  <c r="M2" i="1"/>
  <c r="O2" i="1"/>
  <c r="M12" i="1"/>
  <c r="O12" i="1"/>
  <c r="M3" i="1"/>
  <c r="O3" i="1"/>
  <c r="M818" i="1"/>
  <c r="O818" i="1"/>
  <c r="M1934" i="1"/>
  <c r="O1934" i="1"/>
  <c r="M1104" i="1"/>
  <c r="O1104" i="1"/>
  <c r="M745" i="1"/>
  <c r="O745" i="1"/>
  <c r="M658" i="1"/>
  <c r="O658" i="1"/>
  <c r="M409" i="1"/>
  <c r="O409" i="1"/>
  <c r="M812" i="1"/>
  <c r="O812" i="1"/>
  <c r="M298" i="1"/>
  <c r="O298" i="1"/>
  <c r="M1249" i="1"/>
  <c r="O1249" i="1"/>
  <c r="M1226" i="1"/>
  <c r="O1226" i="1"/>
  <c r="M1302" i="1"/>
  <c r="O1302" i="1"/>
  <c r="M859" i="1"/>
  <c r="O859" i="1"/>
  <c r="M900" i="1"/>
  <c r="O900" i="1"/>
  <c r="M852" i="1"/>
  <c r="O852" i="1"/>
  <c r="O236" i="1"/>
  <c r="M899" i="1"/>
  <c r="O899" i="1"/>
  <c r="M686" i="1"/>
  <c r="O686" i="1"/>
  <c r="M268" i="1"/>
  <c r="O268" i="1"/>
  <c r="M636" i="1"/>
  <c r="O636" i="1"/>
  <c r="M586" i="1"/>
  <c r="O586" i="1"/>
  <c r="M622" i="1"/>
  <c r="O622" i="1"/>
  <c r="M442" i="1"/>
  <c r="O442" i="1"/>
  <c r="M599" i="1"/>
  <c r="O599" i="1"/>
  <c r="M139" i="1"/>
  <c r="O139" i="1"/>
  <c r="M512" i="1"/>
  <c r="O512" i="1"/>
  <c r="M1070" i="1"/>
  <c r="O1070" i="1"/>
  <c r="M1181" i="1"/>
  <c r="O1181" i="1"/>
  <c r="M1963" i="1"/>
  <c r="O1963" i="1"/>
  <c r="M1146" i="1"/>
  <c r="O1146" i="1"/>
  <c r="M1142" i="1"/>
  <c r="O1142" i="1"/>
  <c r="M1643" i="1"/>
  <c r="O1643" i="1"/>
  <c r="M1434" i="1"/>
  <c r="O1434" i="1"/>
  <c r="M942" i="1"/>
  <c r="O942" i="1"/>
  <c r="M234" i="1"/>
  <c r="O234" i="1"/>
  <c r="M473" i="1"/>
  <c r="O473" i="1"/>
  <c r="M466" i="1"/>
  <c r="O466" i="1"/>
  <c r="M275" i="1"/>
  <c r="O275" i="1"/>
  <c r="M1571" i="1"/>
  <c r="O1571" i="1"/>
  <c r="M1854" i="1"/>
  <c r="O1854" i="1"/>
  <c r="M1603" i="1"/>
  <c r="O1603" i="1"/>
  <c r="M754" i="1"/>
  <c r="O754" i="1"/>
  <c r="M1251" i="1"/>
  <c r="O1251" i="1"/>
  <c r="M1415" i="1"/>
  <c r="O1415" i="1"/>
  <c r="M1801" i="1"/>
  <c r="O1801" i="1"/>
  <c r="M1590" i="1"/>
  <c r="O1590" i="1"/>
  <c r="M1457" i="1"/>
  <c r="O1457" i="1"/>
  <c r="M1273" i="1"/>
  <c r="O1273" i="1"/>
  <c r="M1601" i="1"/>
  <c r="O1601" i="1"/>
  <c r="M1773" i="1"/>
  <c r="O1773" i="1"/>
  <c r="M1578" i="1"/>
  <c r="O1578" i="1"/>
  <c r="M1291" i="1"/>
  <c r="O1291" i="1"/>
  <c r="M1316" i="1"/>
  <c r="O1316" i="1"/>
  <c r="M725" i="1"/>
  <c r="O725" i="1"/>
  <c r="M576" i="1"/>
  <c r="O576" i="1"/>
  <c r="M787" i="1"/>
  <c r="O787" i="1"/>
  <c r="O226" i="1"/>
  <c r="O465" i="1"/>
  <c r="M786" i="1"/>
  <c r="O786" i="1"/>
  <c r="M1154" i="1"/>
  <c r="O1154" i="1"/>
  <c r="M832" i="1"/>
  <c r="O832" i="1"/>
  <c r="M1516" i="1"/>
  <c r="O1516" i="1"/>
  <c r="M107" i="1"/>
  <c r="O107" i="1"/>
  <c r="M1937" i="1"/>
  <c r="O1937" i="1"/>
  <c r="M1449" i="1"/>
  <c r="O1449" i="1"/>
  <c r="M1908" i="1"/>
  <c r="O1908" i="1"/>
  <c r="M640" i="1"/>
  <c r="O640" i="1"/>
  <c r="M1881" i="1"/>
  <c r="O1881" i="1"/>
  <c r="M603" i="1"/>
  <c r="O603" i="1"/>
  <c r="M2094" i="1"/>
  <c r="O2094" i="1"/>
  <c r="M1557" i="1"/>
  <c r="O1557" i="1"/>
  <c r="M1675" i="1"/>
  <c r="O1675" i="1"/>
  <c r="M1848" i="1"/>
  <c r="O1848" i="1"/>
  <c r="M1490" i="1"/>
  <c r="O1490" i="1"/>
  <c r="M1977" i="1"/>
  <c r="O1977" i="1"/>
  <c r="M1871" i="1"/>
  <c r="O1871" i="1"/>
  <c r="M1394" i="1"/>
  <c r="O1394" i="1"/>
  <c r="M756" i="1"/>
  <c r="O756" i="1"/>
  <c r="M446" i="1"/>
  <c r="O446" i="1"/>
  <c r="M572" i="1"/>
  <c r="O572" i="1"/>
  <c r="M1555" i="1"/>
  <c r="O1555" i="1"/>
  <c r="M1836" i="1"/>
  <c r="O1836" i="1"/>
  <c r="M95" i="1"/>
  <c r="O95" i="1"/>
  <c r="M1459" i="1"/>
  <c r="O1459" i="1"/>
  <c r="M1989" i="1"/>
  <c r="O1989" i="1"/>
  <c r="M2042" i="1"/>
  <c r="O2042" i="1"/>
  <c r="M2075" i="1"/>
  <c r="O2075" i="1"/>
  <c r="M144" i="1"/>
  <c r="O144" i="1"/>
  <c r="O1958" i="1"/>
  <c r="O1883" i="1"/>
  <c r="O2038" i="1"/>
  <c r="O1306" i="1"/>
  <c r="O1877" i="1"/>
  <c r="O1549" i="1"/>
  <c r="O1946" i="1"/>
  <c r="O1542" i="1"/>
  <c r="O1577" i="1"/>
  <c r="O1299" i="1"/>
  <c r="O1959" i="1"/>
  <c r="O1884" i="1"/>
  <c r="O1421" i="1"/>
  <c r="O970" i="1"/>
  <c r="O281" i="1"/>
  <c r="O61" i="1"/>
  <c r="O86" i="1"/>
  <c r="O630" i="1"/>
  <c r="O587" i="1"/>
  <c r="O621" i="1"/>
  <c r="O433" i="1"/>
  <c r="O496" i="1"/>
  <c r="O497" i="1"/>
  <c r="O632" i="1"/>
  <c r="O1460" i="1"/>
  <c r="O98" i="1"/>
  <c r="O66" i="1"/>
  <c r="O909" i="1"/>
  <c r="O134" i="1"/>
  <c r="O803" i="1"/>
  <c r="O672" i="1"/>
  <c r="O766" i="1"/>
  <c r="O441" i="1"/>
  <c r="O642" i="1"/>
  <c r="O1906" i="1"/>
  <c r="O1879" i="1"/>
  <c r="O2093" i="1"/>
  <c r="O1189" i="1"/>
  <c r="O1962" i="1"/>
  <c r="O1608" i="1"/>
  <c r="O1382" i="1"/>
  <c r="O838" i="1"/>
  <c r="O1404" i="1"/>
  <c r="O1166" i="1"/>
  <c r="O46" i="1"/>
  <c r="O2104" i="1"/>
  <c r="O2100" i="1"/>
  <c r="O760" i="1"/>
  <c r="O2045" i="1"/>
  <c r="O1986" i="1"/>
  <c r="O250" i="1"/>
  <c r="O1594" i="1"/>
  <c r="O2032" i="1"/>
  <c r="O1470" i="1"/>
  <c r="O1366" i="1"/>
  <c r="O1475" i="1"/>
  <c r="O51" i="1"/>
  <c r="O1476" i="1"/>
  <c r="O1376" i="1"/>
  <c r="O220" i="1"/>
  <c r="O1377" i="1"/>
  <c r="O1378" i="1"/>
  <c r="O597" i="1"/>
  <c r="O1428" i="1"/>
  <c r="O177" i="1"/>
  <c r="O1429" i="1"/>
  <c r="O438" i="1"/>
  <c r="O1430" i="1"/>
  <c r="O156" i="1"/>
  <c r="O1472" i="1"/>
  <c r="O130" i="1"/>
  <c r="O1413" i="1"/>
  <c r="O443" i="1"/>
  <c r="O341" i="1"/>
  <c r="O132" i="1"/>
  <c r="O1440" i="1"/>
  <c r="O464" i="1"/>
  <c r="O1431" i="1"/>
  <c r="O1473" i="1"/>
  <c r="O356" i="1"/>
  <c r="O125" i="1"/>
  <c r="O1461" i="1"/>
  <c r="O2099" i="1"/>
  <c r="O2095" i="1"/>
  <c r="O18" i="1"/>
  <c r="O1713" i="1"/>
  <c r="O267" i="1"/>
  <c r="O712" i="1"/>
  <c r="O779" i="1"/>
  <c r="O1682" i="1"/>
  <c r="O1683" i="1"/>
  <c r="O331" i="1"/>
  <c r="O648" i="1"/>
  <c r="O430" i="1"/>
  <c r="O91" i="1"/>
  <c r="O722" i="1"/>
  <c r="O1859" i="1"/>
  <c r="O143" i="1"/>
  <c r="O1392" i="1"/>
  <c r="O1281" i="1"/>
  <c r="O93" i="1"/>
  <c r="O1165" i="1"/>
  <c r="O1852" i="1"/>
  <c r="O559" i="1"/>
  <c r="O485" i="1"/>
  <c r="O96" i="1"/>
  <c r="O474" i="1"/>
  <c r="O475" i="1"/>
  <c r="O486" i="1"/>
  <c r="O487" i="1"/>
  <c r="O488" i="1"/>
  <c r="O2030" i="1"/>
  <c r="O565" i="1"/>
  <c r="O1398" i="1"/>
  <c r="O1293" i="1"/>
  <c r="O1546" i="1"/>
  <c r="O54" i="1"/>
  <c r="O827" i="1"/>
  <c r="O652" i="1"/>
  <c r="O1495" i="1"/>
  <c r="O1072" i="1"/>
  <c r="O1567" i="1"/>
  <c r="O1294" i="1"/>
  <c r="O769" i="1"/>
  <c r="O1194" i="1"/>
  <c r="O69" i="1"/>
  <c r="O458" i="1"/>
  <c r="O1358" i="1"/>
  <c r="O463" i="1"/>
  <c r="O1360" i="1"/>
  <c r="O459" i="1"/>
  <c r="O1359" i="1"/>
  <c r="O1764" i="1"/>
  <c r="O906" i="1"/>
  <c r="O671" i="1"/>
  <c r="O1481" i="1"/>
  <c r="O52" i="1"/>
  <c r="O76" i="1"/>
  <c r="O531" i="1"/>
  <c r="O1441" i="1"/>
  <c r="O907" i="1"/>
  <c r="O1442" i="1"/>
  <c r="O301" i="1"/>
  <c r="O1798" i="1"/>
  <c r="O853" i="1"/>
  <c r="O1953" i="1"/>
  <c r="O1866" i="1"/>
  <c r="O1711" i="1"/>
  <c r="O743" i="1"/>
  <c r="O1723" i="1"/>
  <c r="O707" i="1"/>
  <c r="O1896" i="1"/>
  <c r="O1167" i="1"/>
  <c r="O2058" i="1"/>
  <c r="O1860" i="1"/>
  <c r="O2060" i="1"/>
  <c r="O1279" i="1"/>
  <c r="O2077" i="1"/>
  <c r="O2054" i="1"/>
  <c r="O1758" i="1"/>
  <c r="O1423" i="1"/>
  <c r="O2086" i="1"/>
  <c r="O327" i="1"/>
  <c r="O2059" i="1"/>
  <c r="O2087" i="1"/>
  <c r="O2076" i="1"/>
  <c r="O1260" i="1"/>
  <c r="O2057" i="1"/>
  <c r="O1846" i="1"/>
  <c r="O1973" i="1"/>
  <c r="O1662" i="1"/>
  <c r="O21" i="1"/>
  <c r="O1916" i="1"/>
  <c r="O2090" i="1"/>
  <c r="O302" i="1"/>
  <c r="O1658" i="1"/>
  <c r="O1659" i="1"/>
  <c r="O1660" i="1"/>
  <c r="O1695" i="1"/>
  <c r="O1696" i="1"/>
  <c r="O1697" i="1"/>
  <c r="O1698" i="1"/>
  <c r="O1699" i="1"/>
  <c r="O14" i="1"/>
  <c r="O1912" i="1"/>
  <c r="O1668" i="1"/>
  <c r="O1565" i="1"/>
  <c r="O1761" i="1"/>
  <c r="O1731" i="1"/>
  <c r="O1805" i="1"/>
  <c r="O1685" i="1"/>
  <c r="O1011" i="1"/>
  <c r="O1324" i="1"/>
  <c r="O1419" i="1"/>
  <c r="O570" i="1"/>
  <c r="O1444" i="1"/>
  <c r="O935" i="1"/>
  <c r="O947" i="1"/>
  <c r="O936" i="1"/>
  <c r="O948" i="1"/>
  <c r="O937" i="1"/>
  <c r="O949" i="1"/>
  <c r="O950" i="1"/>
  <c r="O958" i="1"/>
  <c r="O200" i="1"/>
  <c r="O184" i="1"/>
  <c r="O951" i="1"/>
  <c r="O959" i="1"/>
  <c r="O952" i="1"/>
  <c r="O960" i="1"/>
  <c r="O201" i="1"/>
  <c r="O185" i="1"/>
  <c r="O953" i="1"/>
  <c r="O961" i="1"/>
  <c r="O202" i="1"/>
  <c r="O186" i="1"/>
  <c r="O203" i="1"/>
  <c r="O187" i="1"/>
  <c r="O152" i="1"/>
  <c r="O1811" i="1"/>
  <c r="O1813" i="1"/>
  <c r="O1814" i="1"/>
  <c r="O1815" i="1"/>
  <c r="O1816" i="1"/>
  <c r="O94" i="1"/>
  <c r="O138" i="1"/>
  <c r="O1820" i="1"/>
  <c r="O1821" i="1"/>
  <c r="O99" i="1"/>
  <c r="O1817" i="1"/>
  <c r="O420" i="1"/>
  <c r="O421" i="1"/>
  <c r="O422" i="1"/>
  <c r="O423" i="1"/>
  <c r="O424" i="1"/>
  <c r="O425" i="1"/>
  <c r="O426" i="1"/>
  <c r="O427" i="1"/>
  <c r="O1317" i="1"/>
  <c r="O1710" i="1"/>
  <c r="O634" i="1"/>
  <c r="O1482" i="1"/>
  <c r="O53" i="1"/>
  <c r="O110" i="1"/>
  <c r="O1159" i="1"/>
  <c r="O308" i="1"/>
  <c r="O2004" i="1"/>
  <c r="O746" i="1"/>
  <c r="O120" i="1"/>
  <c r="O306" i="1"/>
  <c r="O662" i="1"/>
  <c r="O830" i="1"/>
  <c r="O2097" i="1"/>
  <c r="O13" i="1"/>
  <c r="O374" i="1"/>
  <c r="O2091" i="1"/>
  <c r="O112" i="1"/>
  <c r="O113" i="1"/>
  <c r="O114" i="1"/>
  <c r="O2084" i="1"/>
  <c r="O527" i="1"/>
  <c r="O528" i="1"/>
  <c r="O481" i="1"/>
  <c r="O567" i="1"/>
  <c r="O1330" i="1"/>
  <c r="O346" i="1"/>
  <c r="O629" i="1"/>
  <c r="O1970" i="1"/>
  <c r="O665" i="1"/>
  <c r="O1331" i="1"/>
  <c r="O666" i="1"/>
  <c r="O667" i="1"/>
  <c r="O240" i="1"/>
  <c r="O682" i="1"/>
  <c r="O349" i="1"/>
  <c r="O1048" i="1"/>
  <c r="O1049" i="1"/>
  <c r="O1038" i="1"/>
  <c r="O1051" i="1"/>
  <c r="O1052" i="1"/>
  <c r="O1053" i="1"/>
  <c r="O1153" i="1"/>
  <c r="O1177" i="1"/>
  <c r="O550" i="1"/>
  <c r="O551" i="1"/>
  <c r="O552" i="1"/>
  <c r="O553" i="1"/>
  <c r="O554" i="1"/>
  <c r="O555" i="1"/>
  <c r="O556" i="1"/>
  <c r="O2079" i="1"/>
  <c r="O2046" i="1"/>
  <c r="O710" i="1"/>
  <c r="O1022" i="1"/>
  <c r="O1199" i="1"/>
  <c r="O1469" i="1"/>
  <c r="O1298" i="1"/>
  <c r="O1385" i="1"/>
  <c r="O1268" i="1"/>
  <c r="O609" i="1"/>
  <c r="O796" i="1"/>
  <c r="O1368" i="1"/>
  <c r="O846" i="1"/>
  <c r="O1031" i="1"/>
  <c r="O72" i="1"/>
  <c r="O1397" i="1"/>
  <c r="O244" i="1"/>
  <c r="O1001" i="1"/>
  <c r="O1537" i="1"/>
  <c r="O1474" i="1"/>
  <c r="O243" i="1"/>
  <c r="O1599" i="1"/>
  <c r="O1825" i="1"/>
  <c r="O1020" i="1"/>
  <c r="O1716" i="1"/>
  <c r="O747" i="1"/>
  <c r="O1012" i="1"/>
  <c r="O1514" i="1"/>
  <c r="O1445" i="1"/>
  <c r="O411" i="1"/>
  <c r="O353" i="1"/>
  <c r="O323" i="1"/>
  <c r="O772" i="1"/>
  <c r="O1211" i="1"/>
  <c r="O860" i="1"/>
  <c r="O124" i="1"/>
  <c r="O1552" i="1"/>
  <c r="O777" i="1"/>
  <c r="O70" i="1"/>
  <c r="O285" i="1"/>
  <c r="O1923" i="1"/>
  <c r="O1924" i="1"/>
  <c r="O49" i="1"/>
  <c r="O1925" i="1"/>
  <c r="O1926" i="1"/>
  <c r="O173" i="1"/>
  <c r="O1947" i="1"/>
  <c r="O1948" i="1"/>
  <c r="O1949" i="1"/>
  <c r="O1950" i="1"/>
  <c r="O1751" i="1"/>
  <c r="O1746" i="1"/>
  <c r="O1870" i="1"/>
  <c r="O1894" i="1"/>
  <c r="O1975" i="1"/>
  <c r="O1336" i="1"/>
  <c r="O927" i="1"/>
  <c r="O336" i="1"/>
  <c r="O1586" i="1"/>
  <c r="O1738" i="1"/>
  <c r="O1739" i="1"/>
  <c r="O1901" i="1"/>
  <c r="O1895" i="1"/>
  <c r="O500" i="1"/>
  <c r="O2022" i="1"/>
  <c r="M281" i="1"/>
  <c r="M61" i="1"/>
  <c r="M86" i="1"/>
  <c r="M630" i="1"/>
  <c r="M587" i="1"/>
  <c r="M621" i="1"/>
  <c r="M433" i="1"/>
  <c r="M496" i="1"/>
  <c r="M497" i="1"/>
  <c r="M632" i="1"/>
  <c r="M1460" i="1"/>
  <c r="M98" i="1"/>
  <c r="M66" i="1"/>
  <c r="M909" i="1"/>
  <c r="M134" i="1"/>
  <c r="M803" i="1"/>
  <c r="M672" i="1"/>
  <c r="M766" i="1"/>
  <c r="M441" i="1"/>
  <c r="M642" i="1"/>
  <c r="M1906" i="1"/>
  <c r="M1879" i="1"/>
  <c r="M2093" i="1"/>
  <c r="M1189" i="1"/>
  <c r="M1962" i="1"/>
  <c r="M1608" i="1"/>
  <c r="M1382" i="1"/>
  <c r="M838" i="1"/>
  <c r="M1404" i="1"/>
  <c r="M1166" i="1"/>
  <c r="M46" i="1"/>
  <c r="M2104" i="1"/>
  <c r="M2100" i="1"/>
  <c r="M760" i="1"/>
  <c r="M2045" i="1"/>
  <c r="M1986" i="1"/>
  <c r="M250" i="1"/>
  <c r="M1594" i="1"/>
  <c r="M2032" i="1"/>
  <c r="M1470" i="1"/>
  <c r="M1366" i="1"/>
  <c r="M1475" i="1"/>
  <c r="M51" i="1"/>
  <c r="M1476" i="1"/>
  <c r="M1376" i="1"/>
  <c r="M220" i="1"/>
  <c r="M1377" i="1"/>
  <c r="M1378" i="1"/>
  <c r="M1278" i="1"/>
  <c r="M597" i="1"/>
  <c r="M1428" i="1"/>
  <c r="M177" i="1"/>
  <c r="M1429" i="1"/>
  <c r="M438" i="1"/>
  <c r="M1430" i="1"/>
  <c r="M156" i="1"/>
  <c r="M1472" i="1"/>
  <c r="M130" i="1"/>
  <c r="M1413" i="1"/>
  <c r="M443" i="1"/>
  <c r="M341" i="1"/>
  <c r="M132" i="1"/>
  <c r="M1440" i="1"/>
  <c r="M464" i="1"/>
  <c r="M1431" i="1"/>
  <c r="M1473" i="1"/>
  <c r="M356" i="1"/>
  <c r="M125" i="1"/>
  <c r="M1461" i="1"/>
  <c r="M2095" i="1"/>
  <c r="M18" i="1"/>
  <c r="M1713" i="1"/>
  <c r="M267" i="1"/>
  <c r="M712" i="1"/>
  <c r="M779" i="1"/>
  <c r="M1682" i="1"/>
  <c r="M1683" i="1"/>
  <c r="M331" i="1"/>
  <c r="M648" i="1"/>
  <c r="M430" i="1"/>
  <c r="M91" i="1"/>
  <c r="M722" i="1"/>
  <c r="M1859" i="1"/>
  <c r="M143" i="1"/>
  <c r="M1392" i="1"/>
  <c r="M1281" i="1"/>
  <c r="M93" i="1"/>
  <c r="M1165" i="1"/>
  <c r="M1852" i="1"/>
  <c r="M559" i="1"/>
  <c r="M485" i="1"/>
  <c r="M96" i="1"/>
  <c r="M474" i="1"/>
  <c r="M475" i="1"/>
  <c r="M486" i="1"/>
  <c r="M487" i="1"/>
  <c r="M488" i="1"/>
  <c r="M476" i="1"/>
  <c r="M2030" i="1"/>
  <c r="M565" i="1"/>
  <c r="M1398" i="1"/>
  <c r="M1293" i="1"/>
  <c r="M1546" i="1"/>
  <c r="M54" i="1"/>
  <c r="M827" i="1"/>
  <c r="M652" i="1"/>
  <c r="M1495" i="1"/>
  <c r="M1072" i="1"/>
  <c r="M1567" i="1"/>
  <c r="M1294" i="1"/>
  <c r="M769" i="1"/>
  <c r="M1194" i="1"/>
  <c r="M69" i="1"/>
  <c r="M458" i="1"/>
  <c r="M1358" i="1"/>
  <c r="M463" i="1"/>
  <c r="M1360" i="1"/>
  <c r="M459" i="1"/>
  <c r="M1359" i="1"/>
  <c r="M1764" i="1"/>
  <c r="M906" i="1"/>
  <c r="M671" i="1"/>
  <c r="M1481" i="1"/>
  <c r="M52" i="1"/>
  <c r="M76" i="1"/>
  <c r="M531" i="1"/>
  <c r="M1441" i="1"/>
  <c r="M907" i="1"/>
  <c r="M1442" i="1"/>
  <c r="M301" i="1"/>
  <c r="M1798" i="1"/>
  <c r="M853" i="1"/>
  <c r="M1953" i="1"/>
  <c r="M1866" i="1"/>
  <c r="M1711" i="1"/>
  <c r="M743" i="1"/>
  <c r="M1723" i="1"/>
  <c r="M707" i="1"/>
  <c r="M1896" i="1"/>
  <c r="M1167" i="1"/>
  <c r="M2058" i="1"/>
  <c r="M1860" i="1"/>
  <c r="M2060" i="1"/>
  <c r="M1279" i="1"/>
  <c r="M2077" i="1"/>
  <c r="M2054" i="1"/>
  <c r="M1758" i="1"/>
  <c r="M1423" i="1"/>
  <c r="M2086" i="1"/>
  <c r="M327" i="1"/>
  <c r="M2059" i="1"/>
  <c r="M2087" i="1"/>
  <c r="M2076" i="1"/>
  <c r="M1260" i="1"/>
  <c r="M2057" i="1"/>
  <c r="M1846" i="1"/>
  <c r="M1973" i="1"/>
  <c r="M1662" i="1"/>
  <c r="M1916" i="1"/>
  <c r="M2090" i="1"/>
  <c r="M302" i="1"/>
  <c r="M1658" i="1"/>
  <c r="M1659" i="1"/>
  <c r="M1660" i="1"/>
  <c r="M1695" i="1"/>
  <c r="M1696" i="1"/>
  <c r="M1697" i="1"/>
  <c r="M1698" i="1"/>
  <c r="M1699" i="1"/>
  <c r="M14" i="1"/>
  <c r="M1912" i="1"/>
  <c r="M1668" i="1"/>
  <c r="M1565" i="1"/>
  <c r="M1761" i="1"/>
  <c r="M1731" i="1"/>
  <c r="M1805" i="1"/>
  <c r="M1678" i="1"/>
  <c r="M1685" i="1"/>
  <c r="M1011" i="1"/>
  <c r="M1324" i="1"/>
  <c r="M1419" i="1"/>
  <c r="M570" i="1"/>
  <c r="M1444" i="1"/>
  <c r="M935" i="1"/>
  <c r="M947" i="1"/>
  <c r="M936" i="1"/>
  <c r="M948" i="1"/>
  <c r="M937" i="1"/>
  <c r="M949" i="1"/>
  <c r="M950" i="1"/>
  <c r="M958" i="1"/>
  <c r="M200" i="1"/>
  <c r="M184" i="1"/>
  <c r="M951" i="1"/>
  <c r="M959" i="1"/>
  <c r="M952" i="1"/>
  <c r="M960" i="1"/>
  <c r="M201" i="1"/>
  <c r="M185" i="1"/>
  <c r="M953" i="1"/>
  <c r="M961" i="1"/>
  <c r="M202" i="1"/>
  <c r="M186" i="1"/>
  <c r="M203" i="1"/>
  <c r="M187" i="1"/>
  <c r="M1832" i="1"/>
  <c r="M152" i="1"/>
  <c r="M1811" i="1"/>
  <c r="M1813" i="1"/>
  <c r="M1814" i="1"/>
  <c r="M1815" i="1"/>
  <c r="M1816" i="1"/>
  <c r="M94" i="1"/>
  <c r="M138" i="1"/>
  <c r="M1820" i="1"/>
  <c r="M1821" i="1"/>
  <c r="M99" i="1"/>
  <c r="M1817" i="1"/>
  <c r="M420" i="1"/>
  <c r="M421" i="1"/>
  <c r="M422" i="1"/>
  <c r="M423" i="1"/>
  <c r="M424" i="1"/>
  <c r="M425" i="1"/>
  <c r="M426" i="1"/>
  <c r="M427" i="1"/>
  <c r="M1317" i="1"/>
  <c r="M1710" i="1"/>
  <c r="M634" i="1"/>
  <c r="M1482" i="1"/>
  <c r="M53" i="1"/>
  <c r="M110" i="1"/>
  <c r="M1159" i="1"/>
  <c r="M308" i="1"/>
  <c r="M2004" i="1"/>
  <c r="M746" i="1"/>
  <c r="M120" i="1"/>
  <c r="M306" i="1"/>
  <c r="M662" i="1"/>
  <c r="M830" i="1"/>
  <c r="M2097" i="1"/>
  <c r="M13" i="1"/>
  <c r="M374" i="1"/>
  <c r="M2091" i="1"/>
  <c r="M112" i="1"/>
  <c r="M113" i="1"/>
  <c r="M114" i="1"/>
  <c r="M2084" i="1"/>
  <c r="M527" i="1"/>
  <c r="M528" i="1"/>
  <c r="M481" i="1"/>
  <c r="M567" i="1"/>
  <c r="M1330" i="1"/>
  <c r="M346" i="1"/>
  <c r="M629" i="1"/>
  <c r="M1970" i="1"/>
  <c r="M665" i="1"/>
  <c r="M1331" i="1"/>
  <c r="M666" i="1"/>
  <c r="M667" i="1"/>
  <c r="M240" i="1"/>
  <c r="M682" i="1"/>
  <c r="M349" i="1"/>
  <c r="M1048" i="1"/>
  <c r="M1049" i="1"/>
  <c r="M1038" i="1"/>
  <c r="M1051" i="1"/>
  <c r="M1052" i="1"/>
  <c r="M1053" i="1"/>
  <c r="M1153" i="1"/>
  <c r="M1177" i="1"/>
  <c r="M550" i="1"/>
  <c r="M551" i="1"/>
  <c r="M552" i="1"/>
  <c r="M553" i="1"/>
  <c r="M554" i="1"/>
  <c r="M555" i="1"/>
  <c r="M556" i="1"/>
  <c r="M2079" i="1"/>
  <c r="M2046" i="1"/>
  <c r="M710" i="1"/>
  <c r="M1022" i="1"/>
  <c r="M1199" i="1"/>
  <c r="M1469" i="1"/>
  <c r="M1298" i="1"/>
  <c r="M1385" i="1"/>
  <c r="M1268" i="1"/>
  <c r="M609" i="1"/>
  <c r="M796" i="1"/>
  <c r="M1368" i="1"/>
  <c r="M846" i="1"/>
  <c r="M1031" i="1"/>
  <c r="M1958" i="1"/>
  <c r="M1883" i="1"/>
  <c r="M2038" i="1"/>
  <c r="M1306" i="1"/>
  <c r="M1877" i="1"/>
  <c r="M1549" i="1"/>
  <c r="M1946" i="1"/>
  <c r="M1542" i="1"/>
  <c r="M1577" i="1"/>
  <c r="M1299" i="1"/>
  <c r="M1959" i="1"/>
  <c r="M1884" i="1"/>
  <c r="M1421" i="1"/>
  <c r="M1837" i="1"/>
  <c r="O1837" i="1"/>
  <c r="A1552" i="1"/>
  <c r="C1552" i="1"/>
  <c r="B1552" i="1" s="1"/>
  <c r="F1552" i="1"/>
  <c r="M1552" i="1"/>
  <c r="U1552" i="1"/>
  <c r="Y1552" i="1" s="1"/>
  <c r="V1552" i="1"/>
  <c r="W1552" i="1" s="1"/>
  <c r="Z1552" i="1"/>
  <c r="A1308" i="1"/>
  <c r="C1308" i="1"/>
  <c r="B1308" i="1" s="1"/>
  <c r="F1308" i="1"/>
  <c r="M1308" i="1"/>
  <c r="O1308" i="1"/>
  <c r="T1308" i="1"/>
  <c r="U1308" i="1"/>
  <c r="Y1308" i="1" s="1"/>
  <c r="V1308" i="1"/>
  <c r="W1308" i="1" s="1"/>
  <c r="Z1308" i="1"/>
  <c r="A1515" i="1"/>
  <c r="C1515" i="1"/>
  <c r="B1515" i="1" s="1"/>
  <c r="F1515" i="1"/>
  <c r="M1515" i="1"/>
  <c r="O1515" i="1"/>
  <c r="U1515" i="1"/>
  <c r="V1515" i="1"/>
  <c r="W1515" i="1" s="1"/>
  <c r="Z1515" i="1"/>
  <c r="A1461" i="1"/>
  <c r="C1461" i="1"/>
  <c r="B1461" i="1" s="1"/>
  <c r="F1461" i="1"/>
  <c r="T1461" i="1"/>
  <c r="U1461" i="1"/>
  <c r="Y1461" i="1" s="1"/>
  <c r="V1461" i="1"/>
  <c r="W1461" i="1" s="1"/>
  <c r="Z1461" i="1"/>
  <c r="A556" i="1"/>
  <c r="C556" i="1"/>
  <c r="B556" i="1" s="1"/>
  <c r="F556" i="1"/>
  <c r="T556" i="1"/>
  <c r="U556" i="1"/>
  <c r="Y556" i="1" s="1"/>
  <c r="V556" i="1"/>
  <c r="W556" i="1" s="1"/>
  <c r="Z556" i="1"/>
  <c r="A719" i="1"/>
  <c r="C719" i="1"/>
  <c r="B719" i="1" s="1"/>
  <c r="F719" i="1"/>
  <c r="M719" i="1"/>
  <c r="O719" i="1"/>
  <c r="T719" i="1"/>
  <c r="U719" i="1"/>
  <c r="Y719" i="1" s="1"/>
  <c r="V719" i="1"/>
  <c r="W719" i="1" s="1"/>
  <c r="Z719" i="1"/>
  <c r="A718" i="1"/>
  <c r="C718" i="1"/>
  <c r="B718" i="1" s="1"/>
  <c r="F718" i="1"/>
  <c r="M718" i="1"/>
  <c r="O718" i="1"/>
  <c r="U718" i="1"/>
  <c r="Y718" i="1" s="1"/>
  <c r="V718" i="1"/>
  <c r="W718" i="1" s="1"/>
  <c r="Z718" i="1"/>
  <c r="A45" i="104"/>
  <c r="B45" i="104"/>
  <c r="C45" i="104"/>
  <c r="A43" i="104"/>
  <c r="A44" i="104"/>
  <c r="B43" i="104"/>
  <c r="B44" i="104"/>
  <c r="C43" i="104"/>
  <c r="C44" i="104"/>
  <c r="A2043" i="1"/>
  <c r="C2043" i="1"/>
  <c r="B2043" i="1" s="1"/>
  <c r="F2043" i="1"/>
  <c r="O2043" i="1"/>
  <c r="U2043" i="1"/>
  <c r="Y2043" i="1" s="1"/>
  <c r="V2043" i="1"/>
  <c r="W2043" i="1" s="1"/>
  <c r="Z2043" i="1"/>
  <c r="A1412" i="1"/>
  <c r="C1412" i="1"/>
  <c r="B1412" i="1" s="1"/>
  <c r="F1412" i="1"/>
  <c r="M1412" i="1"/>
  <c r="O1412" i="1"/>
  <c r="U1412" i="1"/>
  <c r="Y1412" i="1" s="1"/>
  <c r="V1412" i="1"/>
  <c r="W1412" i="1" s="1"/>
  <c r="Z1412" i="1"/>
  <c r="C2084" i="1"/>
  <c r="A1514" i="1"/>
  <c r="C1514" i="1"/>
  <c r="B1514" i="1" s="1"/>
  <c r="F1514" i="1"/>
  <c r="M1514" i="1"/>
  <c r="U1514" i="1"/>
  <c r="Y1514" i="1" s="1"/>
  <c r="V1514" i="1"/>
  <c r="W1514" i="1" s="1"/>
  <c r="Z1514" i="1"/>
  <c r="A2050" i="1"/>
  <c r="C2050" i="1"/>
  <c r="B2050" i="1" s="1"/>
  <c r="F2050" i="1"/>
  <c r="M2050" i="1"/>
  <c r="O2050" i="1"/>
  <c r="U2050" i="1"/>
  <c r="Y2050" i="1" s="1"/>
  <c r="V2050" i="1"/>
  <c r="W2050" i="1" s="1"/>
  <c r="Z2050" i="1"/>
  <c r="A1662" i="1"/>
  <c r="C1662" i="1"/>
  <c r="B1662" i="1" s="1"/>
  <c r="F1662" i="1"/>
  <c r="U1662" i="1"/>
  <c r="Y1662" i="1" s="1"/>
  <c r="V1662" i="1"/>
  <c r="W1662" i="1" s="1"/>
  <c r="Z1662" i="1"/>
  <c r="A124" i="1"/>
  <c r="C124" i="1"/>
  <c r="B124" i="1" s="1"/>
  <c r="F124" i="1"/>
  <c r="M124" i="1"/>
  <c r="U124" i="1"/>
  <c r="Y124" i="1" s="1"/>
  <c r="V124" i="1"/>
  <c r="W124" i="1" s="1"/>
  <c r="Z124" i="1"/>
  <c r="A707" i="1"/>
  <c r="C707" i="1"/>
  <c r="B707" i="1" s="1"/>
  <c r="F707" i="1"/>
  <c r="U707" i="1"/>
  <c r="Y707" i="1" s="1"/>
  <c r="V707" i="1"/>
  <c r="W707" i="1" s="1"/>
  <c r="Z707" i="1"/>
  <c r="A1207" i="1"/>
  <c r="C1207" i="1"/>
  <c r="B1207" i="1" s="1"/>
  <c r="F1207" i="1"/>
  <c r="M1207" i="1"/>
  <c r="O1207" i="1"/>
  <c r="U1207" i="1"/>
  <c r="V1207" i="1"/>
  <c r="W1207" i="1" s="1"/>
  <c r="Z1207" i="1"/>
  <c r="T1818" i="1" l="1"/>
  <c r="X428" i="1"/>
  <c r="P428" i="1" s="1"/>
  <c r="Q428" i="1" s="1"/>
  <c r="R428" i="1" s="1"/>
  <c r="D428" i="1" s="1"/>
  <c r="X1818" i="1"/>
  <c r="P1818" i="1" s="1"/>
  <c r="Q1818" i="1" s="1"/>
  <c r="R1818" i="1" s="1"/>
  <c r="D1818" i="1" s="1"/>
  <c r="T477" i="1"/>
  <c r="X477" i="1"/>
  <c r="P477" i="1" s="1"/>
  <c r="Q477" i="1" s="1"/>
  <c r="R477" i="1" s="1"/>
  <c r="X633" i="1"/>
  <c r="P633" i="1" s="1"/>
  <c r="Q633" i="1" s="1"/>
  <c r="R633" i="1" s="1"/>
  <c r="X1422" i="1"/>
  <c r="P1422" i="1" s="1"/>
  <c r="Q1422" i="1" s="1"/>
  <c r="R1422" i="1" s="1"/>
  <c r="D1422" i="1" s="1"/>
  <c r="X816" i="1"/>
  <c r="P816" i="1" s="1"/>
  <c r="Q816" i="1" s="1"/>
  <c r="R816" i="1" s="1"/>
  <c r="X819" i="1"/>
  <c r="P819" i="1" s="1"/>
  <c r="Q819" i="1" s="1"/>
  <c r="R819" i="1" s="1"/>
  <c r="X2074" i="1"/>
  <c r="P2074" i="1" s="1"/>
  <c r="Q2074" i="1" s="1"/>
  <c r="R2074" i="1" s="1"/>
  <c r="T1552" i="1"/>
  <c r="X1552" i="1"/>
  <c r="P1552" i="1" s="1"/>
  <c r="Q1552" i="1" s="1"/>
  <c r="R1552" i="1" s="1"/>
  <c r="X1308" i="1"/>
  <c r="P1308" i="1" s="1"/>
  <c r="Q1308" i="1" s="1"/>
  <c r="R1308" i="1" s="1"/>
  <c r="T1515" i="1"/>
  <c r="X1461" i="1"/>
  <c r="P1461" i="1" s="1"/>
  <c r="Q1461" i="1" s="1"/>
  <c r="R1461" i="1" s="1"/>
  <c r="X1515" i="1"/>
  <c r="Y1515" i="1"/>
  <c r="X719" i="1"/>
  <c r="P719" i="1" s="1"/>
  <c r="Q719" i="1" s="1"/>
  <c r="R719" i="1" s="1"/>
  <c r="X556" i="1"/>
  <c r="P556" i="1" s="1"/>
  <c r="Q556" i="1" s="1"/>
  <c r="R556" i="1" s="1"/>
  <c r="D556" i="1" s="1"/>
  <c r="X718" i="1"/>
  <c r="P718" i="1" s="1"/>
  <c r="Q718" i="1" s="1"/>
  <c r="R718" i="1" s="1"/>
  <c r="T718" i="1"/>
  <c r="X2043" i="1"/>
  <c r="Q2043" i="1" s="1"/>
  <c r="R2043" i="1" s="1"/>
  <c r="D2043" i="1" s="1"/>
  <c r="T2043" i="1"/>
  <c r="T1412" i="1"/>
  <c r="X1412" i="1"/>
  <c r="P1412" i="1" s="1"/>
  <c r="Q1412" i="1" s="1"/>
  <c r="R1412" i="1" s="1"/>
  <c r="X1514" i="1"/>
  <c r="P1514" i="1" s="1"/>
  <c r="Q1514" i="1" s="1"/>
  <c r="R1514" i="1" s="1"/>
  <c r="T2050" i="1"/>
  <c r="T1514" i="1"/>
  <c r="X2050" i="1"/>
  <c r="P2050" i="1" s="1"/>
  <c r="Q2050" i="1" s="1"/>
  <c r="R2050" i="1" s="1"/>
  <c r="D1639" i="1" s="1"/>
  <c r="T1662" i="1"/>
  <c r="X1662" i="1"/>
  <c r="P1662" i="1" s="1"/>
  <c r="Q1662" i="1" s="1"/>
  <c r="R1662" i="1" s="1"/>
  <c r="T124" i="1"/>
  <c r="X124" i="1"/>
  <c r="P124" i="1" s="1"/>
  <c r="Q124" i="1" s="1"/>
  <c r="T707" i="1"/>
  <c r="X707" i="1"/>
  <c r="P707" i="1" s="1"/>
  <c r="Q707" i="1" s="1"/>
  <c r="R707" i="1" s="1"/>
  <c r="X1207" i="1"/>
  <c r="Y1207" i="1"/>
  <c r="T1207" i="1"/>
  <c r="A1685" i="1"/>
  <c r="C1685" i="1"/>
  <c r="B1685" i="1" s="1"/>
  <c r="F1685" i="1"/>
  <c r="U1685" i="1"/>
  <c r="V1685" i="1"/>
  <c r="W1685" i="1" s="1"/>
  <c r="Z1685" i="1"/>
  <c r="D477" i="1" l="1"/>
  <c r="D478" i="1"/>
  <c r="D124" i="1"/>
  <c r="D1552" i="1"/>
  <c r="P1515" i="1"/>
  <c r="Q1515" i="1" s="1"/>
  <c r="R1515" i="1" s="1"/>
  <c r="D718" i="1"/>
  <c r="D719" i="1"/>
  <c r="P1207" i="1"/>
  <c r="Q1207" i="1" s="1"/>
  <c r="R1207" i="1" s="1"/>
  <c r="X1685" i="1"/>
  <c r="T1685" i="1"/>
  <c r="Y1685" i="1"/>
  <c r="A484" i="1"/>
  <c r="C484" i="1"/>
  <c r="B484" i="1" s="1"/>
  <c r="F484" i="1"/>
  <c r="M484" i="1"/>
  <c r="O484" i="1"/>
  <c r="T484" i="1"/>
  <c r="U484" i="1"/>
  <c r="Y484" i="1" s="1"/>
  <c r="V484" i="1"/>
  <c r="W484" i="1" s="1"/>
  <c r="Z484" i="1"/>
  <c r="A1570" i="1"/>
  <c r="C1570" i="1"/>
  <c r="B1570" i="1" s="1"/>
  <c r="F1570" i="1"/>
  <c r="M1570" i="1"/>
  <c r="O1570" i="1"/>
  <c r="U1570" i="1"/>
  <c r="Y1570" i="1" s="1"/>
  <c r="V1570" i="1"/>
  <c r="W1570" i="1" s="1"/>
  <c r="Z1570" i="1"/>
  <c r="D1515" i="1" l="1"/>
  <c r="D1308" i="1"/>
  <c r="P1685" i="1"/>
  <c r="Q1685" i="1" s="1"/>
  <c r="R1685" i="1" s="1"/>
  <c r="X484" i="1"/>
  <c r="P484" i="1" s="1"/>
  <c r="Q484" i="1" s="1"/>
  <c r="R484" i="1" s="1"/>
  <c r="D484" i="1" s="1"/>
  <c r="X1570" i="1"/>
  <c r="P1570" i="1" s="1"/>
  <c r="Q1570" i="1" s="1"/>
  <c r="R1570" i="1" s="1"/>
  <c r="T1570" i="1"/>
  <c r="A564" i="1"/>
  <c r="A1050" i="1"/>
  <c r="A675" i="1"/>
  <c r="A583" i="1"/>
  <c r="C564" i="1"/>
  <c r="B564" i="1" s="1"/>
  <c r="C1050" i="1"/>
  <c r="B1050" i="1" s="1"/>
  <c r="C675" i="1"/>
  <c r="B675" i="1" s="1"/>
  <c r="C583" i="1"/>
  <c r="T583" i="1" s="1"/>
  <c r="F564" i="1"/>
  <c r="F1050" i="1"/>
  <c r="F675" i="1"/>
  <c r="F583" i="1"/>
  <c r="M564" i="1"/>
  <c r="M1050" i="1"/>
  <c r="M675" i="1"/>
  <c r="M583" i="1"/>
  <c r="O564" i="1"/>
  <c r="O1050" i="1"/>
  <c r="O675" i="1"/>
  <c r="O583" i="1"/>
  <c r="T564" i="1"/>
  <c r="T1050" i="1"/>
  <c r="T675" i="1"/>
  <c r="U564" i="1"/>
  <c r="Y564" i="1" s="1"/>
  <c r="U1050" i="1"/>
  <c r="U675" i="1"/>
  <c r="Y675" i="1" s="1"/>
  <c r="U583" i="1"/>
  <c r="Y583" i="1" s="1"/>
  <c r="V564" i="1"/>
  <c r="W564" i="1" s="1"/>
  <c r="V1050" i="1"/>
  <c r="W1050" i="1" s="1"/>
  <c r="V675" i="1"/>
  <c r="W675" i="1" s="1"/>
  <c r="V583" i="1"/>
  <c r="W583" i="1" s="1"/>
  <c r="Z564" i="1"/>
  <c r="Z1050" i="1"/>
  <c r="Z675" i="1"/>
  <c r="Z583" i="1"/>
  <c r="A40" i="104"/>
  <c r="B40" i="104"/>
  <c r="C40" i="104"/>
  <c r="A41" i="104"/>
  <c r="B41" i="104"/>
  <c r="C41" i="104"/>
  <c r="A42" i="104"/>
  <c r="B42" i="104"/>
  <c r="C42" i="104"/>
  <c r="A39" i="104"/>
  <c r="B39" i="104"/>
  <c r="C39" i="104"/>
  <c r="A1421" i="1"/>
  <c r="C1421" i="1"/>
  <c r="B1421" i="1" s="1"/>
  <c r="F1421" i="1"/>
  <c r="U1421" i="1"/>
  <c r="V1421" i="1"/>
  <c r="W1421" i="1" s="1"/>
  <c r="Z1421" i="1"/>
  <c r="A1888" i="1"/>
  <c r="C1888" i="1"/>
  <c r="B1888" i="1" s="1"/>
  <c r="F1888" i="1"/>
  <c r="M1888" i="1"/>
  <c r="O1888" i="1"/>
  <c r="U1888" i="1"/>
  <c r="Y1888" i="1" s="1"/>
  <c r="V1888" i="1"/>
  <c r="W1888" i="1" s="1"/>
  <c r="Z1888" i="1"/>
  <c r="A1137" i="1"/>
  <c r="C1137" i="1"/>
  <c r="B1137" i="1" s="1"/>
  <c r="F1137" i="1"/>
  <c r="M1137" i="1"/>
  <c r="O1137" i="1"/>
  <c r="U1137" i="1"/>
  <c r="Y1137" i="1" s="1"/>
  <c r="V1137" i="1"/>
  <c r="W1137" i="1" s="1"/>
  <c r="Z1137" i="1"/>
  <c r="A579" i="1"/>
  <c r="C579" i="1"/>
  <c r="B579" i="1" s="1"/>
  <c r="F579" i="1"/>
  <c r="M579" i="1"/>
  <c r="O579" i="1"/>
  <c r="U579" i="1"/>
  <c r="Y579" i="1" s="1"/>
  <c r="V579" i="1"/>
  <c r="W579" i="1" s="1"/>
  <c r="Z579" i="1"/>
  <c r="A174" i="1"/>
  <c r="C174" i="1"/>
  <c r="B174" i="1" s="1"/>
  <c r="F174" i="1"/>
  <c r="M174" i="1"/>
  <c r="O174" i="1"/>
  <c r="U174" i="1"/>
  <c r="Y174" i="1" s="1"/>
  <c r="V174" i="1"/>
  <c r="W174" i="1" s="1"/>
  <c r="Z174" i="1"/>
  <c r="A1730" i="1"/>
  <c r="C1730" i="1"/>
  <c r="B1730" i="1" s="1"/>
  <c r="F1730" i="1"/>
  <c r="M1730" i="1"/>
  <c r="O1730" i="1"/>
  <c r="U1730" i="1"/>
  <c r="Y1730" i="1" s="1"/>
  <c r="V1730" i="1"/>
  <c r="W1730" i="1" s="1"/>
  <c r="Z1730" i="1"/>
  <c r="A2022" i="1"/>
  <c r="C2022" i="1"/>
  <c r="B2022" i="1" s="1"/>
  <c r="F2022" i="1"/>
  <c r="M2022" i="1"/>
  <c r="U2022" i="1"/>
  <c r="V2022" i="1"/>
  <c r="W2022" i="1" s="1"/>
  <c r="Z2022" i="1"/>
  <c r="A1977" i="1"/>
  <c r="C1977" i="1"/>
  <c r="B1977" i="1" s="1"/>
  <c r="D1977" i="1"/>
  <c r="F1977" i="1"/>
  <c r="S1977" i="1"/>
  <c r="T1977" i="1"/>
  <c r="U1977" i="1"/>
  <c r="Y1977" i="1" s="1"/>
  <c r="V1977" i="1"/>
  <c r="W1977" i="1" s="1"/>
  <c r="Z1977" i="1"/>
  <c r="A1578" i="1"/>
  <c r="C1578" i="1"/>
  <c r="B1578" i="1" s="1"/>
  <c r="F1578" i="1"/>
  <c r="U1578" i="1"/>
  <c r="Y1578" i="1" s="1"/>
  <c r="V1578" i="1"/>
  <c r="W1578" i="1" s="1"/>
  <c r="Z1578" i="1"/>
  <c r="A1394" i="1"/>
  <c r="C1394" i="1"/>
  <c r="B1394" i="1" s="1"/>
  <c r="F1394" i="1"/>
  <c r="T1394" i="1"/>
  <c r="U1394" i="1"/>
  <c r="Y1394" i="1" s="1"/>
  <c r="V1394" i="1"/>
  <c r="W1394" i="1" s="1"/>
  <c r="Z1394" i="1"/>
  <c r="A1871" i="1"/>
  <c r="C1871" i="1"/>
  <c r="B1871" i="1" s="1"/>
  <c r="F1871" i="1"/>
  <c r="T1871" i="1"/>
  <c r="U1871" i="1"/>
  <c r="Y1871" i="1" s="1"/>
  <c r="V1871" i="1"/>
  <c r="W1871" i="1" s="1"/>
  <c r="Z1871" i="1"/>
  <c r="A495" i="1"/>
  <c r="C495" i="1"/>
  <c r="B495" i="1" s="1"/>
  <c r="F495" i="1"/>
  <c r="M495" i="1"/>
  <c r="O495" i="1"/>
  <c r="U495" i="1"/>
  <c r="Y495" i="1" s="1"/>
  <c r="V495" i="1"/>
  <c r="W495" i="1" s="1"/>
  <c r="Z495" i="1"/>
  <c r="A837" i="1"/>
  <c r="C837" i="1"/>
  <c r="B837" i="1" s="1"/>
  <c r="F837" i="1"/>
  <c r="M837" i="1"/>
  <c r="O837" i="1"/>
  <c r="U837" i="1"/>
  <c r="Y837" i="1" s="1"/>
  <c r="V837" i="1"/>
  <c r="W837" i="1" s="1"/>
  <c r="Z837" i="1"/>
  <c r="A1128" i="1"/>
  <c r="C1128" i="1"/>
  <c r="B1128" i="1" s="1"/>
  <c r="F1128" i="1"/>
  <c r="M1128" i="1"/>
  <c r="O1128" i="1"/>
  <c r="U1128" i="1"/>
  <c r="Y1128" i="1" s="1"/>
  <c r="V1128" i="1"/>
  <c r="W1128" i="1" s="1"/>
  <c r="Z1128" i="1"/>
  <c r="A1219" i="1"/>
  <c r="C1219" i="1"/>
  <c r="B1219" i="1" s="1"/>
  <c r="F1219" i="1"/>
  <c r="O1219" i="1"/>
  <c r="U1219" i="1"/>
  <c r="Y1219" i="1" s="1"/>
  <c r="V1219" i="1"/>
  <c r="W1219" i="1" s="1"/>
  <c r="Z1219" i="1"/>
  <c r="A1389" i="1"/>
  <c r="C1389" i="1"/>
  <c r="B1389" i="1" s="1"/>
  <c r="F1389" i="1"/>
  <c r="M1389" i="1"/>
  <c r="O1389" i="1"/>
  <c r="U1389" i="1"/>
  <c r="Y1389" i="1" s="1"/>
  <c r="V1389" i="1"/>
  <c r="W1389" i="1" s="1"/>
  <c r="Z1389" i="1"/>
  <c r="A711" i="1"/>
  <c r="C711" i="1"/>
  <c r="B711" i="1" s="1"/>
  <c r="F711" i="1"/>
  <c r="M711" i="1"/>
  <c r="O711" i="1"/>
  <c r="U711" i="1"/>
  <c r="Y711" i="1" s="1"/>
  <c r="V711" i="1"/>
  <c r="W711" i="1" s="1"/>
  <c r="Z711" i="1"/>
  <c r="A766" i="1"/>
  <c r="C766" i="1"/>
  <c r="B766" i="1" s="1"/>
  <c r="F766" i="1"/>
  <c r="U766" i="1"/>
  <c r="Y766" i="1" s="1"/>
  <c r="V766" i="1"/>
  <c r="W766" i="1" s="1"/>
  <c r="Z766" i="1"/>
  <c r="A970" i="1"/>
  <c r="C970" i="1"/>
  <c r="B970" i="1" s="1"/>
  <c r="F970" i="1"/>
  <c r="M970" i="1"/>
  <c r="U970" i="1"/>
  <c r="Y970" i="1" s="1"/>
  <c r="V970" i="1"/>
  <c r="W970" i="1" s="1"/>
  <c r="Z970" i="1"/>
  <c r="A441" i="1"/>
  <c r="C441" i="1"/>
  <c r="B441" i="1" s="1"/>
  <c r="F441" i="1"/>
  <c r="U441" i="1"/>
  <c r="V441" i="1"/>
  <c r="W441" i="1" s="1"/>
  <c r="Z441" i="1"/>
  <c r="A1884" i="1"/>
  <c r="C1884" i="1"/>
  <c r="B1884" i="1" s="1"/>
  <c r="F1884" i="1"/>
  <c r="U1884" i="1"/>
  <c r="Y1884" i="1" s="1"/>
  <c r="V1884" i="1"/>
  <c r="W1884" i="1" s="1"/>
  <c r="Z1884" i="1"/>
  <c r="A430" i="1"/>
  <c r="C430" i="1"/>
  <c r="B430" i="1" s="1"/>
  <c r="F430" i="1"/>
  <c r="U430" i="1"/>
  <c r="Y430" i="1" s="1"/>
  <c r="V430" i="1"/>
  <c r="W430" i="1" s="1"/>
  <c r="Z430" i="1"/>
  <c r="A53" i="1"/>
  <c r="C53" i="1"/>
  <c r="B53" i="1" s="1"/>
  <c r="F53" i="1"/>
  <c r="U53" i="1"/>
  <c r="Y53" i="1" s="1"/>
  <c r="V53" i="1"/>
  <c r="W53" i="1" s="1"/>
  <c r="Z53" i="1"/>
  <c r="A1678" i="1"/>
  <c r="C1678" i="1"/>
  <c r="B1678" i="1" s="1"/>
  <c r="F1678" i="1"/>
  <c r="U1678" i="1"/>
  <c r="Y1678" i="1" s="1"/>
  <c r="V1678" i="1"/>
  <c r="W1678" i="1" s="1"/>
  <c r="Z1678" i="1"/>
  <c r="A1832" i="1"/>
  <c r="C1832" i="1"/>
  <c r="B1832" i="1" s="1"/>
  <c r="F1832" i="1"/>
  <c r="U1832" i="1"/>
  <c r="Y1832" i="1" s="1"/>
  <c r="V1832" i="1"/>
  <c r="W1832" i="1" s="1"/>
  <c r="Z1832" i="1"/>
  <c r="A747" i="1"/>
  <c r="C747" i="1"/>
  <c r="B747" i="1" s="1"/>
  <c r="F747" i="1"/>
  <c r="M747" i="1"/>
  <c r="U747" i="1"/>
  <c r="Y747" i="1" s="1"/>
  <c r="V747" i="1"/>
  <c r="W747" i="1" s="1"/>
  <c r="Z747" i="1"/>
  <c r="A1012" i="1"/>
  <c r="C1012" i="1"/>
  <c r="B1012" i="1" s="1"/>
  <c r="F1012" i="1"/>
  <c r="M1012" i="1"/>
  <c r="U1012" i="1"/>
  <c r="Y1012" i="1" s="1"/>
  <c r="V1012" i="1"/>
  <c r="W1012" i="1" s="1"/>
  <c r="Z1012" i="1"/>
  <c r="A292" i="1"/>
  <c r="C292" i="1"/>
  <c r="B292" i="1" s="1"/>
  <c r="F292" i="1"/>
  <c r="M292" i="1"/>
  <c r="O292" i="1"/>
  <c r="T292" i="1"/>
  <c r="U292" i="1"/>
  <c r="Y292" i="1" s="1"/>
  <c r="V292" i="1"/>
  <c r="W292" i="1" s="1"/>
  <c r="Z292" i="1"/>
  <c r="A1010" i="1"/>
  <c r="C1010" i="1"/>
  <c r="B1010" i="1" s="1"/>
  <c r="F1010" i="1"/>
  <c r="M1010" i="1"/>
  <c r="O1010" i="1"/>
  <c r="S1010" i="1"/>
  <c r="T1010" i="1"/>
  <c r="U1010" i="1"/>
  <c r="Y1010" i="1" s="1"/>
  <c r="V1010" i="1"/>
  <c r="W1010" i="1" s="1"/>
  <c r="Z1010" i="1"/>
  <c r="F1126" i="6"/>
  <c r="I1126" i="6"/>
  <c r="J1126" i="6"/>
  <c r="A241" i="1"/>
  <c r="C241" i="1"/>
  <c r="B241" i="1" s="1"/>
  <c r="F241" i="1"/>
  <c r="M241" i="1"/>
  <c r="O241" i="1"/>
  <c r="T241" i="1"/>
  <c r="U241" i="1"/>
  <c r="Y241" i="1" s="1"/>
  <c r="V241" i="1"/>
  <c r="W241" i="1" s="1"/>
  <c r="Z241" i="1"/>
  <c r="F1142" i="6"/>
  <c r="F1133" i="6"/>
  <c r="F1139" i="6"/>
  <c r="F1140" i="6"/>
  <c r="F1135" i="6"/>
  <c r="F1138" i="6"/>
  <c r="F1137" i="6"/>
  <c r="F1141" i="6"/>
  <c r="F1136" i="6"/>
  <c r="I1142" i="6"/>
  <c r="I1133" i="6"/>
  <c r="I1139" i="6"/>
  <c r="I1140" i="6"/>
  <c r="I1135" i="6"/>
  <c r="I1138" i="6"/>
  <c r="I1137" i="6"/>
  <c r="I1134" i="6"/>
  <c r="I1141" i="6"/>
  <c r="I1136" i="6"/>
  <c r="J1142" i="6"/>
  <c r="J1133" i="6"/>
  <c r="J1140" i="6"/>
  <c r="J1135" i="6"/>
  <c r="J1138" i="6"/>
  <c r="J1134" i="6"/>
  <c r="J1141" i="6"/>
  <c r="J1136" i="6"/>
  <c r="K121" i="1"/>
  <c r="A121" i="1"/>
  <c r="C121" i="1"/>
  <c r="B121" i="1" s="1"/>
  <c r="F121" i="1"/>
  <c r="T121" i="1"/>
  <c r="U121" i="1"/>
  <c r="Y121" i="1" s="1"/>
  <c r="V121" i="1"/>
  <c r="W121" i="1" s="1"/>
  <c r="Z121" i="1"/>
  <c r="D968" i="1" l="1"/>
  <c r="D616" i="1"/>
  <c r="O121" i="1"/>
  <c r="M121" i="1"/>
  <c r="X583" i="1"/>
  <c r="P583" i="1" s="1"/>
  <c r="Q583" i="1" s="1"/>
  <c r="R583" i="1" s="1"/>
  <c r="X675" i="1"/>
  <c r="P675" i="1" s="1"/>
  <c r="Q675" i="1" s="1"/>
  <c r="R675" i="1" s="1"/>
  <c r="X564" i="1"/>
  <c r="P564" i="1" s="1"/>
  <c r="Q564" i="1" s="1"/>
  <c r="R564" i="1" s="1"/>
  <c r="X1050" i="1"/>
  <c r="Y1050" i="1"/>
  <c r="T1421" i="1"/>
  <c r="B583" i="1"/>
  <c r="T1578" i="1"/>
  <c r="T579" i="1"/>
  <c r="X1421" i="1"/>
  <c r="Y1421" i="1"/>
  <c r="T1888" i="1"/>
  <c r="X1888" i="1"/>
  <c r="P1888" i="1" s="1"/>
  <c r="Q1888" i="1" s="1"/>
  <c r="R1888" i="1" s="1"/>
  <c r="X1137" i="1"/>
  <c r="P1137" i="1" s="1"/>
  <c r="Q1137" i="1" s="1"/>
  <c r="R1137" i="1" s="1"/>
  <c r="X579" i="1"/>
  <c r="P579" i="1" s="1"/>
  <c r="Q579" i="1" s="1"/>
  <c r="R579" i="1" s="1"/>
  <c r="T1137" i="1"/>
  <c r="X174" i="1"/>
  <c r="P174" i="1" s="1"/>
  <c r="Q174" i="1" s="1"/>
  <c r="R174" i="1" s="1"/>
  <c r="T174" i="1"/>
  <c r="T1730" i="1"/>
  <c r="X1730" i="1"/>
  <c r="P1730" i="1" s="1"/>
  <c r="Q1730" i="1" s="1"/>
  <c r="R1730" i="1" s="1"/>
  <c r="T2022" i="1"/>
  <c r="X2022" i="1"/>
  <c r="Y2022" i="1"/>
  <c r="X1977" i="1"/>
  <c r="P1977" i="1" s="1"/>
  <c r="Q1977" i="1" s="1"/>
  <c r="R1977" i="1" s="1"/>
  <c r="X1578" i="1"/>
  <c r="P1578" i="1" s="1"/>
  <c r="Q1578" i="1" s="1"/>
  <c r="R1578" i="1" s="1"/>
  <c r="X1394" i="1"/>
  <c r="P1394" i="1" s="1"/>
  <c r="Q1394" i="1" s="1"/>
  <c r="R1394" i="1" s="1"/>
  <c r="D1394" i="1" s="1"/>
  <c r="T1128" i="1"/>
  <c r="X837" i="1"/>
  <c r="P837" i="1" s="1"/>
  <c r="Q837" i="1" s="1"/>
  <c r="R837" i="1" s="1"/>
  <c r="X1871" i="1"/>
  <c r="P1871" i="1" s="1"/>
  <c r="Q1871" i="1" s="1"/>
  <c r="R1871" i="1" s="1"/>
  <c r="D1871" i="1" s="1"/>
  <c r="T837" i="1"/>
  <c r="X495" i="1"/>
  <c r="P495" i="1" s="1"/>
  <c r="Q495" i="1" s="1"/>
  <c r="R495" i="1" s="1"/>
  <c r="T495" i="1"/>
  <c r="X1128" i="1"/>
  <c r="P1128" i="1" s="1"/>
  <c r="Q1128" i="1" s="1"/>
  <c r="R1128" i="1" s="1"/>
  <c r="T711" i="1"/>
  <c r="X1219" i="1"/>
  <c r="P1219" i="1" s="1"/>
  <c r="Q1219" i="1" s="1"/>
  <c r="R1219" i="1" s="1"/>
  <c r="D1219" i="1" s="1"/>
  <c r="T1219" i="1"/>
  <c r="T1389" i="1"/>
  <c r="X1389" i="1"/>
  <c r="P1389" i="1" s="1"/>
  <c r="Q1389" i="1" s="1"/>
  <c r="R1389" i="1" s="1"/>
  <c r="T766" i="1"/>
  <c r="X711" i="1"/>
  <c r="P711" i="1" s="1"/>
  <c r="Q711" i="1" s="1"/>
  <c r="R711" i="1" s="1"/>
  <c r="X970" i="1"/>
  <c r="P970" i="1" s="1"/>
  <c r="Q970" i="1" s="1"/>
  <c r="R970" i="1" s="1"/>
  <c r="D970" i="1" s="1"/>
  <c r="T970" i="1"/>
  <c r="X766" i="1"/>
  <c r="P766" i="1" s="1"/>
  <c r="Q766" i="1" s="1"/>
  <c r="R766" i="1" s="1"/>
  <c r="T1884" i="1"/>
  <c r="X1884" i="1"/>
  <c r="Q1884" i="1" s="1"/>
  <c r="R1884" i="1" s="1"/>
  <c r="T53" i="1"/>
  <c r="X441" i="1"/>
  <c r="P441" i="1" s="1"/>
  <c r="Q441" i="1" s="1"/>
  <c r="R441" i="1" s="1"/>
  <c r="Y441" i="1"/>
  <c r="T441" i="1"/>
  <c r="T430" i="1"/>
  <c r="X430" i="1"/>
  <c r="P430" i="1" s="1"/>
  <c r="Q430" i="1" s="1"/>
  <c r="X53" i="1"/>
  <c r="Q53" i="1" s="1"/>
  <c r="R53" i="1" s="1"/>
  <c r="T1678" i="1"/>
  <c r="X1678" i="1"/>
  <c r="P1678" i="1" s="1"/>
  <c r="R1678" i="1" s="1"/>
  <c r="D1685" i="1" s="1"/>
  <c r="X1832" i="1"/>
  <c r="P1832" i="1" s="1"/>
  <c r="Q1832" i="1" s="1"/>
  <c r="R1832" i="1" s="1"/>
  <c r="D1832" i="1" s="1"/>
  <c r="T1832" i="1"/>
  <c r="X747" i="1"/>
  <c r="P747" i="1" s="1"/>
  <c r="Q747" i="1" s="1"/>
  <c r="R747" i="1" s="1"/>
  <c r="T747" i="1"/>
  <c r="T1012" i="1"/>
  <c r="X1012" i="1"/>
  <c r="P1012" i="1" s="1"/>
  <c r="Q1012" i="1" s="1"/>
  <c r="R1012" i="1" s="1"/>
  <c r="X292" i="1"/>
  <c r="P292" i="1" s="1"/>
  <c r="Q292" i="1" s="1"/>
  <c r="R292" i="1" s="1"/>
  <c r="X1010" i="1"/>
  <c r="P1010" i="1" s="1"/>
  <c r="Q1010" i="1" s="1"/>
  <c r="R1010" i="1" s="1"/>
  <c r="D1010" i="1" s="1"/>
  <c r="X241" i="1"/>
  <c r="P241" i="1" s="1"/>
  <c r="Q241" i="1" s="1"/>
  <c r="R241" i="1" s="1"/>
  <c r="J1137" i="6"/>
  <c r="J1139" i="6"/>
  <c r="X121" i="1"/>
  <c r="P121" i="1" s="1"/>
  <c r="Q121" i="1" s="1"/>
  <c r="D121" i="1"/>
  <c r="D1822" i="1" l="1"/>
  <c r="D2078" i="1"/>
  <c r="D711" i="1"/>
  <c r="D2020" i="1"/>
  <c r="D430" i="1"/>
  <c r="R430" i="1"/>
  <c r="D1207" i="1"/>
  <c r="D1412" i="1"/>
  <c r="P1050" i="1"/>
  <c r="Q1050" i="1" s="1"/>
  <c r="R1050" i="1" s="1"/>
  <c r="Q1421" i="1"/>
  <c r="R1421" i="1" s="1"/>
  <c r="D579" i="1"/>
  <c r="D1730" i="1"/>
  <c r="D174" i="1"/>
  <c r="P2022" i="1"/>
  <c r="Q2022" i="1" s="1"/>
  <c r="R2022" i="1" s="1"/>
  <c r="D681" i="1" s="1"/>
  <c r="D837" i="1"/>
  <c r="D495" i="1"/>
  <c r="A306" i="1"/>
  <c r="C306" i="1"/>
  <c r="B306" i="1" s="1"/>
  <c r="F306" i="1"/>
  <c r="T306" i="1"/>
  <c r="U306" i="1"/>
  <c r="Y306" i="1" s="1"/>
  <c r="V306" i="1"/>
  <c r="W306" i="1" s="1"/>
  <c r="Z306" i="1"/>
  <c r="A120" i="1"/>
  <c r="C120" i="1"/>
  <c r="B120" i="1" s="1"/>
  <c r="F120" i="1"/>
  <c r="T120" i="1"/>
  <c r="U120" i="1"/>
  <c r="Y120" i="1" s="1"/>
  <c r="V120" i="1"/>
  <c r="W120" i="1" s="1"/>
  <c r="Z120" i="1"/>
  <c r="A122" i="1"/>
  <c r="C122" i="1"/>
  <c r="B122" i="1" s="1"/>
  <c r="F122" i="1"/>
  <c r="T122" i="1"/>
  <c r="U122" i="1"/>
  <c r="Y122" i="1" s="1"/>
  <c r="V122" i="1"/>
  <c r="W122" i="1" s="1"/>
  <c r="Z122" i="1"/>
  <c r="A1324" i="1"/>
  <c r="C1324" i="1"/>
  <c r="B1324" i="1" s="1"/>
  <c r="F1324" i="1"/>
  <c r="U1324" i="1"/>
  <c r="Y1324" i="1" s="1"/>
  <c r="V1324" i="1"/>
  <c r="W1324" i="1" s="1"/>
  <c r="Z1324" i="1"/>
  <c r="F1132" i="6"/>
  <c r="I1132" i="6"/>
  <c r="J1132" i="6"/>
  <c r="I1131" i="6"/>
  <c r="C1130" i="6"/>
  <c r="E1130" i="6" s="1"/>
  <c r="C1129" i="6"/>
  <c r="E1129" i="6" s="1"/>
  <c r="F1128" i="6"/>
  <c r="I1128" i="6"/>
  <c r="J1128" i="6"/>
  <c r="F1127" i="6"/>
  <c r="I1127" i="6"/>
  <c r="J1127" i="6"/>
  <c r="A493" i="1"/>
  <c r="A333" i="1"/>
  <c r="C493" i="1"/>
  <c r="B493" i="1" s="1"/>
  <c r="C333" i="1"/>
  <c r="B333" i="1" s="1"/>
  <c r="F493" i="1"/>
  <c r="F333" i="1"/>
  <c r="M493" i="1"/>
  <c r="M333" i="1"/>
  <c r="O493" i="1"/>
  <c r="O333" i="1"/>
  <c r="U493" i="1"/>
  <c r="Y493" i="1" s="1"/>
  <c r="U333" i="1"/>
  <c r="Y333" i="1" s="1"/>
  <c r="V493" i="1"/>
  <c r="W493" i="1" s="1"/>
  <c r="V333" i="1"/>
  <c r="W333" i="1" s="1"/>
  <c r="Z493" i="1"/>
  <c r="Z333" i="1"/>
  <c r="A642" i="1"/>
  <c r="C642" i="1"/>
  <c r="B642" i="1" s="1"/>
  <c r="F642" i="1"/>
  <c r="U642" i="1"/>
  <c r="Y642" i="1" s="1"/>
  <c r="V642" i="1"/>
  <c r="W642" i="1" s="1"/>
  <c r="Z642" i="1"/>
  <c r="A2032" i="1"/>
  <c r="C2032" i="1"/>
  <c r="B2032" i="1" s="1"/>
  <c r="F2032" i="1"/>
  <c r="U2032" i="1"/>
  <c r="Y2032" i="1" s="1"/>
  <c r="V2032" i="1"/>
  <c r="W2032" i="1" s="1"/>
  <c r="Z2032" i="1"/>
  <c r="A1973" i="1"/>
  <c r="C1973" i="1"/>
  <c r="B1973" i="1" s="1"/>
  <c r="F1973" i="1"/>
  <c r="U1973" i="1"/>
  <c r="Y1973" i="1" s="1"/>
  <c r="V1973" i="1"/>
  <c r="W1973" i="1" s="1"/>
  <c r="Z1973" i="1"/>
  <c r="A1723" i="1"/>
  <c r="C1723" i="1"/>
  <c r="B1723" i="1" s="1"/>
  <c r="F1723" i="1"/>
  <c r="U1723" i="1"/>
  <c r="V1723" i="1"/>
  <c r="W1723" i="1" s="1"/>
  <c r="Z1723" i="1"/>
  <c r="A240" i="1"/>
  <c r="C240" i="1"/>
  <c r="B240" i="1" s="1"/>
  <c r="F240" i="1"/>
  <c r="U240" i="1"/>
  <c r="Y240" i="1" s="1"/>
  <c r="V240" i="1"/>
  <c r="W240" i="1" s="1"/>
  <c r="Z240" i="1"/>
  <c r="J1131" i="6" l="1"/>
  <c r="X120" i="1"/>
  <c r="P120" i="1" s="1"/>
  <c r="Q120" i="1" s="1"/>
  <c r="X306" i="1"/>
  <c r="P306" i="1" s="1"/>
  <c r="Q306" i="1" s="1"/>
  <c r="R306" i="1" s="1"/>
  <c r="T1324" i="1"/>
  <c r="X122" i="1"/>
  <c r="P122" i="1" s="1"/>
  <c r="Q122" i="1" s="1"/>
  <c r="D122" i="1" s="1"/>
  <c r="T333" i="1"/>
  <c r="T493" i="1"/>
  <c r="T2032" i="1"/>
  <c r="X1324" i="1"/>
  <c r="P1324" i="1" s="1"/>
  <c r="Q1324" i="1" s="1"/>
  <c r="R1324" i="1" s="1"/>
  <c r="D1324" i="1" s="1"/>
  <c r="T642" i="1"/>
  <c r="X333" i="1"/>
  <c r="P333" i="1" s="1"/>
  <c r="Q333" i="1" s="1"/>
  <c r="R333" i="1" s="1"/>
  <c r="X493" i="1"/>
  <c r="P493" i="1" s="1"/>
  <c r="Q493" i="1" s="1"/>
  <c r="R493" i="1" s="1"/>
  <c r="J1130" i="6"/>
  <c r="I1130" i="6"/>
  <c r="X642" i="1"/>
  <c r="P642" i="1" s="1"/>
  <c r="Q642" i="1" s="1"/>
  <c r="R642" i="1" s="1"/>
  <c r="D766" i="1" s="1"/>
  <c r="X2032" i="1"/>
  <c r="P2032" i="1" s="1"/>
  <c r="Q2032" i="1" s="1"/>
  <c r="T1973" i="1"/>
  <c r="X1973" i="1"/>
  <c r="P1973" i="1" s="1"/>
  <c r="Q1973" i="1" s="1"/>
  <c r="R1973" i="1" s="1"/>
  <c r="X1723" i="1"/>
  <c r="Y1723" i="1"/>
  <c r="T1723" i="1"/>
  <c r="X240" i="1"/>
  <c r="P240" i="1" s="1"/>
  <c r="Q240" i="1" s="1"/>
  <c r="R240" i="1" s="1"/>
  <c r="D240" i="1" s="1"/>
  <c r="T240" i="1"/>
  <c r="A64" i="1"/>
  <c r="C64" i="1"/>
  <c r="B64" i="1" s="1"/>
  <c r="F64" i="1"/>
  <c r="M64" i="1"/>
  <c r="O64" i="1"/>
  <c r="U64" i="1"/>
  <c r="Y64" i="1" s="1"/>
  <c r="V64" i="1"/>
  <c r="W64" i="1" s="1"/>
  <c r="Z64" i="1"/>
  <c r="A686" i="1"/>
  <c r="C686" i="1"/>
  <c r="B686" i="1" s="1"/>
  <c r="F686" i="1"/>
  <c r="T686" i="1"/>
  <c r="U686" i="1"/>
  <c r="Y686" i="1" s="1"/>
  <c r="V686" i="1"/>
  <c r="W686" i="1" s="1"/>
  <c r="Z686" i="1"/>
  <c r="A1125" i="1"/>
  <c r="C1125" i="1"/>
  <c r="B1125" i="1" s="1"/>
  <c r="D1125" i="1"/>
  <c r="F1125" i="1"/>
  <c r="M1125" i="1"/>
  <c r="O1125" i="1"/>
  <c r="S1125" i="1"/>
  <c r="T1125" i="1"/>
  <c r="U1125" i="1"/>
  <c r="Y1125" i="1" s="1"/>
  <c r="V1125" i="1"/>
  <c r="W1125" i="1" s="1"/>
  <c r="Z1125" i="1"/>
  <c r="A852" i="1"/>
  <c r="C852" i="1"/>
  <c r="B852" i="1" s="1"/>
  <c r="F852" i="1"/>
  <c r="T852" i="1"/>
  <c r="U852" i="1"/>
  <c r="Y852" i="1" s="1"/>
  <c r="V852" i="1"/>
  <c r="W852" i="1" s="1"/>
  <c r="Z852" i="1"/>
  <c r="A1159" i="1"/>
  <c r="C1159" i="1"/>
  <c r="B1159" i="1" s="1"/>
  <c r="F1159" i="1"/>
  <c r="U1159" i="1"/>
  <c r="Y1159" i="1" s="1"/>
  <c r="V1159" i="1"/>
  <c r="W1159" i="1" s="1"/>
  <c r="Z1159" i="1"/>
  <c r="A1391" i="1"/>
  <c r="C1391" i="1"/>
  <c r="B1391" i="1" s="1"/>
  <c r="F1391" i="1"/>
  <c r="M1391" i="1"/>
  <c r="O1391" i="1"/>
  <c r="U1391" i="1"/>
  <c r="Y1391" i="1" s="1"/>
  <c r="V1391" i="1"/>
  <c r="W1391" i="1" s="1"/>
  <c r="Z1391" i="1"/>
  <c r="A1177" i="1"/>
  <c r="C1177" i="1"/>
  <c r="B1177" i="1" s="1"/>
  <c r="F1177" i="1"/>
  <c r="S1177" i="1"/>
  <c r="T1177" i="1"/>
  <c r="U1177" i="1"/>
  <c r="Y1177" i="1" s="1"/>
  <c r="V1177" i="1"/>
  <c r="W1177" i="1" s="1"/>
  <c r="Z1177" i="1"/>
  <c r="A196" i="1"/>
  <c r="A1714" i="1"/>
  <c r="A271" i="1"/>
  <c r="A874" i="1"/>
  <c r="A824" i="1"/>
  <c r="C196" i="1"/>
  <c r="B196" i="1" s="1"/>
  <c r="C1714" i="1"/>
  <c r="B1714" i="1" s="1"/>
  <c r="C271" i="1"/>
  <c r="B271" i="1" s="1"/>
  <c r="C874" i="1"/>
  <c r="B874" i="1" s="1"/>
  <c r="C824" i="1"/>
  <c r="B824" i="1" s="1"/>
  <c r="D196" i="1"/>
  <c r="D1714" i="1"/>
  <c r="D271" i="1"/>
  <c r="D874" i="1"/>
  <c r="D824" i="1"/>
  <c r="F196" i="1"/>
  <c r="F1714" i="1"/>
  <c r="F271" i="1"/>
  <c r="F874" i="1"/>
  <c r="F824" i="1"/>
  <c r="S196" i="1"/>
  <c r="S1714" i="1"/>
  <c r="S271" i="1"/>
  <c r="S874" i="1"/>
  <c r="S824" i="1"/>
  <c r="T196" i="1"/>
  <c r="T1714" i="1"/>
  <c r="T271" i="1"/>
  <c r="T874" i="1"/>
  <c r="T824" i="1"/>
  <c r="U196" i="1"/>
  <c r="Y196" i="1" s="1"/>
  <c r="U1714" i="1"/>
  <c r="Y1714" i="1" s="1"/>
  <c r="U271" i="1"/>
  <c r="Y271" i="1" s="1"/>
  <c r="U874" i="1"/>
  <c r="Y874" i="1" s="1"/>
  <c r="U824" i="1"/>
  <c r="Y824" i="1" s="1"/>
  <c r="V196" i="1"/>
  <c r="W196" i="1" s="1"/>
  <c r="V1714" i="1"/>
  <c r="W1714" i="1" s="1"/>
  <c r="V271" i="1"/>
  <c r="W271" i="1" s="1"/>
  <c r="V874" i="1"/>
  <c r="W874" i="1" s="1"/>
  <c r="V824" i="1"/>
  <c r="W824" i="1" s="1"/>
  <c r="Z196" i="1"/>
  <c r="Z1714" i="1"/>
  <c r="Z271" i="1"/>
  <c r="Z874" i="1"/>
  <c r="Z824" i="1"/>
  <c r="A1067" i="1"/>
  <c r="C1067" i="1"/>
  <c r="B1067" i="1" s="1"/>
  <c r="D1067" i="1"/>
  <c r="F1067" i="1"/>
  <c r="S1067" i="1"/>
  <c r="T1067" i="1"/>
  <c r="U1067" i="1"/>
  <c r="Y1067" i="1" s="1"/>
  <c r="V1067" i="1"/>
  <c r="W1067" i="1" s="1"/>
  <c r="Z1067" i="1"/>
  <c r="F1116" i="6"/>
  <c r="F1117" i="6"/>
  <c r="F1118" i="6"/>
  <c r="I1116" i="6"/>
  <c r="I1117" i="6"/>
  <c r="I1118" i="6"/>
  <c r="J1116" i="6"/>
  <c r="J1117" i="6"/>
  <c r="J1118" i="6"/>
  <c r="F1115" i="6"/>
  <c r="I1115" i="6"/>
  <c r="J1115" i="6"/>
  <c r="AF22" i="16"/>
  <c r="AF20" i="16"/>
  <c r="A1466" i="1"/>
  <c r="C1466" i="1"/>
  <c r="B1466" i="1" s="1"/>
  <c r="F1466" i="1"/>
  <c r="M1466" i="1"/>
  <c r="O1466" i="1"/>
  <c r="U1466" i="1"/>
  <c r="Y1466" i="1" s="1"/>
  <c r="V1466" i="1"/>
  <c r="W1466" i="1" s="1"/>
  <c r="Z1466" i="1"/>
  <c r="A1689" i="1"/>
  <c r="C1689" i="1"/>
  <c r="B1689" i="1" s="1"/>
  <c r="F1689" i="1"/>
  <c r="M1689" i="1"/>
  <c r="O1689" i="1"/>
  <c r="U1689" i="1"/>
  <c r="Y1689" i="1" s="1"/>
  <c r="V1689" i="1"/>
  <c r="W1689" i="1" s="1"/>
  <c r="Z1689" i="1"/>
  <c r="A820" i="1"/>
  <c r="C820" i="1"/>
  <c r="T820" i="1" s="1"/>
  <c r="F820" i="1"/>
  <c r="M820" i="1"/>
  <c r="O820" i="1"/>
  <c r="U820" i="1"/>
  <c r="Y820" i="1" s="1"/>
  <c r="V820" i="1"/>
  <c r="W820" i="1" s="1"/>
  <c r="Z820" i="1"/>
  <c r="A1493" i="1"/>
  <c r="C1493" i="1"/>
  <c r="B1493" i="1" s="1"/>
  <c r="F1493" i="1"/>
  <c r="M1493" i="1"/>
  <c r="O1493" i="1"/>
  <c r="U1493" i="1"/>
  <c r="Y1493" i="1" s="1"/>
  <c r="V1493" i="1"/>
  <c r="W1493" i="1" s="1"/>
  <c r="Z1493" i="1"/>
  <c r="A692" i="1"/>
  <c r="C692" i="1"/>
  <c r="T692" i="1" s="1"/>
  <c r="F692" i="1"/>
  <c r="M692" i="1"/>
  <c r="O692" i="1"/>
  <c r="U692" i="1"/>
  <c r="V692" i="1"/>
  <c r="W692" i="1" s="1"/>
  <c r="Z692" i="1"/>
  <c r="A1518" i="1"/>
  <c r="C1518" i="1"/>
  <c r="B1518" i="1" s="1"/>
  <c r="F1518" i="1"/>
  <c r="M1518" i="1"/>
  <c r="O1518" i="1"/>
  <c r="U1518" i="1"/>
  <c r="Y1518" i="1" s="1"/>
  <c r="V1518" i="1"/>
  <c r="W1518" i="1" s="1"/>
  <c r="Z1518" i="1"/>
  <c r="A1278" i="1"/>
  <c r="C1278" i="1"/>
  <c r="B1278" i="1" s="1"/>
  <c r="F1278" i="1"/>
  <c r="U1278" i="1"/>
  <c r="Y1278" i="1" s="1"/>
  <c r="V1278" i="1"/>
  <c r="W1278" i="1" s="1"/>
  <c r="Z1278" i="1"/>
  <c r="A500" i="1"/>
  <c r="C500" i="1"/>
  <c r="T500" i="1" s="1"/>
  <c r="F500" i="1"/>
  <c r="M500" i="1"/>
  <c r="U500" i="1"/>
  <c r="V500" i="1"/>
  <c r="W500" i="1" s="1"/>
  <c r="Z500" i="1"/>
  <c r="A1716" i="1"/>
  <c r="C1716" i="1"/>
  <c r="B1716" i="1" s="1"/>
  <c r="F1716" i="1"/>
  <c r="M1716" i="1"/>
  <c r="U1716" i="1"/>
  <c r="Y1716" i="1" s="1"/>
  <c r="V1716" i="1"/>
  <c r="W1716" i="1" s="1"/>
  <c r="Z1716" i="1"/>
  <c r="A1825" i="1"/>
  <c r="A1020" i="1"/>
  <c r="C1825" i="1"/>
  <c r="B1825" i="1" s="1"/>
  <c r="C1020" i="1"/>
  <c r="B1020" i="1" s="1"/>
  <c r="F1825" i="1"/>
  <c r="F1020" i="1"/>
  <c r="M1825" i="1"/>
  <c r="M1020" i="1"/>
  <c r="U1825" i="1"/>
  <c r="Y1825" i="1" s="1"/>
  <c r="U1020" i="1"/>
  <c r="Y1020" i="1" s="1"/>
  <c r="V1825" i="1"/>
  <c r="W1825" i="1" s="1"/>
  <c r="V1020" i="1"/>
  <c r="W1020" i="1" s="1"/>
  <c r="Z1825" i="1"/>
  <c r="Z1020" i="1"/>
  <c r="A38" i="104"/>
  <c r="B38" i="104"/>
  <c r="C38" i="104"/>
  <c r="A536" i="1"/>
  <c r="C536" i="1"/>
  <c r="B536" i="1" s="1"/>
  <c r="F536" i="1"/>
  <c r="M536" i="1"/>
  <c r="O536" i="1"/>
  <c r="U536" i="1"/>
  <c r="V536" i="1"/>
  <c r="W536" i="1" s="1"/>
  <c r="Z536" i="1"/>
  <c r="A1490" i="1"/>
  <c r="C1490" i="1"/>
  <c r="B1490" i="1" s="1"/>
  <c r="F1490" i="1"/>
  <c r="S1490" i="1"/>
  <c r="T1490" i="1"/>
  <c r="U1490" i="1"/>
  <c r="Y1490" i="1" s="1"/>
  <c r="V1490" i="1"/>
  <c r="W1490" i="1" s="1"/>
  <c r="Z1490" i="1"/>
  <c r="A1846" i="1"/>
  <c r="C1846" i="1"/>
  <c r="B1846" i="1" s="1"/>
  <c r="F1846" i="1"/>
  <c r="U1846" i="1"/>
  <c r="Y1846" i="1" s="1"/>
  <c r="V1846" i="1"/>
  <c r="W1846" i="1" s="1"/>
  <c r="Z1846" i="1"/>
  <c r="A607" i="1"/>
  <c r="C607" i="1"/>
  <c r="B607" i="1" s="1"/>
  <c r="F607" i="1"/>
  <c r="O607" i="1"/>
  <c r="S607" i="1"/>
  <c r="T607" i="1"/>
  <c r="U607" i="1"/>
  <c r="Y607" i="1" s="1"/>
  <c r="V607" i="1"/>
  <c r="W607" i="1" s="1"/>
  <c r="Z607" i="1"/>
  <c r="R2032" i="1" l="1"/>
  <c r="D2032" i="1" s="1"/>
  <c r="D642" i="1"/>
  <c r="D441" i="1"/>
  <c r="D120" i="1"/>
  <c r="D306" i="1"/>
  <c r="T64" i="1"/>
  <c r="P1723" i="1"/>
  <c r="Q1723" i="1" s="1"/>
  <c r="R1723" i="1" s="1"/>
  <c r="X64" i="1"/>
  <c r="P64" i="1" s="1"/>
  <c r="Q64" i="1" s="1"/>
  <c r="R64" i="1" s="1"/>
  <c r="X686" i="1"/>
  <c r="P686" i="1" s="1"/>
  <c r="Q686" i="1" s="1"/>
  <c r="R686" i="1" s="1"/>
  <c r="D686" i="1" s="1"/>
  <c r="X1125" i="1"/>
  <c r="P1125" i="1" s="1"/>
  <c r="Q1125" i="1" s="1"/>
  <c r="R1125" i="1" s="1"/>
  <c r="T1391" i="1"/>
  <c r="X852" i="1"/>
  <c r="P852" i="1" s="1"/>
  <c r="Q852" i="1" s="1"/>
  <c r="R852" i="1" s="1"/>
  <c r="D852" i="1" s="1"/>
  <c r="X1159" i="1"/>
  <c r="Q1159" i="1" s="1"/>
  <c r="R1159" i="1" s="1"/>
  <c r="D1159" i="1" s="1"/>
  <c r="T1159" i="1"/>
  <c r="X1391" i="1"/>
  <c r="P1391" i="1" s="1"/>
  <c r="Q1391" i="1" s="1"/>
  <c r="R1391" i="1" s="1"/>
  <c r="X1177" i="1"/>
  <c r="P1177" i="1" s="1"/>
  <c r="Q1177" i="1" s="1"/>
  <c r="R1177" i="1" s="1"/>
  <c r="D1177" i="1" s="1"/>
  <c r="X1714" i="1"/>
  <c r="P1714" i="1" s="1"/>
  <c r="Q1714" i="1" s="1"/>
  <c r="R1714" i="1" s="1"/>
  <c r="T1466" i="1"/>
  <c r="X1067" i="1"/>
  <c r="P1067" i="1" s="1"/>
  <c r="Q1067" i="1" s="1"/>
  <c r="R1067" i="1" s="1"/>
  <c r="X271" i="1"/>
  <c r="P271" i="1" s="1"/>
  <c r="Q271" i="1" s="1"/>
  <c r="R271" i="1" s="1"/>
  <c r="X824" i="1"/>
  <c r="P824" i="1" s="1"/>
  <c r="Q824" i="1" s="1"/>
  <c r="R824" i="1" s="1"/>
  <c r="X196" i="1"/>
  <c r="P196" i="1" s="1"/>
  <c r="Q196" i="1" s="1"/>
  <c r="R196" i="1" s="1"/>
  <c r="X874" i="1"/>
  <c r="P874" i="1" s="1"/>
  <c r="Q874" i="1" s="1"/>
  <c r="R874" i="1" s="1"/>
  <c r="T1689" i="1"/>
  <c r="X1466" i="1"/>
  <c r="P1466" i="1" s="1"/>
  <c r="Q1466" i="1" s="1"/>
  <c r="R1466" i="1" s="1"/>
  <c r="D1466" i="1" s="1"/>
  <c r="X1689" i="1"/>
  <c r="P1689" i="1" s="1"/>
  <c r="Q1689" i="1" s="1"/>
  <c r="R1689" i="1" s="1"/>
  <c r="T1518" i="1"/>
  <c r="T1493" i="1"/>
  <c r="X1518" i="1"/>
  <c r="P1518" i="1" s="1"/>
  <c r="Q1518" i="1" s="1"/>
  <c r="R1518" i="1" s="1"/>
  <c r="X820" i="1"/>
  <c r="P820" i="1" s="1"/>
  <c r="Q820" i="1" s="1"/>
  <c r="R820" i="1" s="1"/>
  <c r="X1493" i="1"/>
  <c r="P1493" i="1" s="1"/>
  <c r="Q1493" i="1" s="1"/>
  <c r="R1493" i="1" s="1"/>
  <c r="D1493" i="1" s="1"/>
  <c r="B820" i="1"/>
  <c r="T1716" i="1"/>
  <c r="X692" i="1"/>
  <c r="Y692" i="1"/>
  <c r="B692" i="1"/>
  <c r="X1278" i="1"/>
  <c r="P1278" i="1" s="1"/>
  <c r="Q1278" i="1" s="1"/>
  <c r="X500" i="1"/>
  <c r="P500" i="1" s="1"/>
  <c r="Q500" i="1" s="1"/>
  <c r="R500" i="1" s="1"/>
  <c r="T1278" i="1"/>
  <c r="Y500" i="1"/>
  <c r="X1716" i="1"/>
  <c r="P1716" i="1" s="1"/>
  <c r="Q1716" i="1" s="1"/>
  <c r="R1716" i="1" s="1"/>
  <c r="B500" i="1"/>
  <c r="X1020" i="1"/>
  <c r="P1020" i="1" s="1"/>
  <c r="Q1020" i="1" s="1"/>
  <c r="R1020" i="1" s="1"/>
  <c r="T1020" i="1"/>
  <c r="X1825" i="1"/>
  <c r="P1825" i="1" s="1"/>
  <c r="Q1825" i="1" s="1"/>
  <c r="R1825" i="1" s="1"/>
  <c r="D1612" i="1" s="1"/>
  <c r="T1825" i="1"/>
  <c r="T1846" i="1"/>
  <c r="X536" i="1"/>
  <c r="Y536" i="1"/>
  <c r="T536" i="1"/>
  <c r="X1490" i="1"/>
  <c r="P1490" i="1" s="1"/>
  <c r="Q1490" i="1" s="1"/>
  <c r="R1490" i="1" s="1"/>
  <c r="D1490" i="1" s="1"/>
  <c r="X1846" i="1"/>
  <c r="P1846" i="1" s="1"/>
  <c r="Q1846" i="1" s="1"/>
  <c r="R1846" i="1" s="1"/>
  <c r="D1634" i="1" s="1"/>
  <c r="X607" i="1"/>
  <c r="P607" i="1" s="1"/>
  <c r="Q607" i="1" s="1"/>
  <c r="R607" i="1" s="1"/>
  <c r="D607" i="1" s="1"/>
  <c r="A570" i="1"/>
  <c r="C570" i="1"/>
  <c r="B570" i="1" s="1"/>
  <c r="F570" i="1"/>
  <c r="T570" i="1"/>
  <c r="U570" i="1"/>
  <c r="Y570" i="1" s="1"/>
  <c r="V570" i="1"/>
  <c r="W570" i="1" s="1"/>
  <c r="Z570" i="1"/>
  <c r="I37" i="104"/>
  <c r="A37" i="104"/>
  <c r="B37" i="104"/>
  <c r="C37" i="104"/>
  <c r="A763" i="1"/>
  <c r="C763" i="1"/>
  <c r="B763" i="1" s="1"/>
  <c r="F763" i="1"/>
  <c r="M763" i="1"/>
  <c r="O763" i="1"/>
  <c r="T763" i="1"/>
  <c r="U763" i="1"/>
  <c r="Y763" i="1" s="1"/>
  <c r="V763" i="1"/>
  <c r="W763" i="1" s="1"/>
  <c r="Z763" i="1"/>
  <c r="A144" i="1"/>
  <c r="C144" i="1"/>
  <c r="B144" i="1" s="1"/>
  <c r="F144" i="1"/>
  <c r="T144" i="1"/>
  <c r="U144" i="1"/>
  <c r="Y144" i="1" s="1"/>
  <c r="V144" i="1"/>
  <c r="W144" i="1" s="1"/>
  <c r="Z144" i="1"/>
  <c r="K2106" i="1"/>
  <c r="A2075" i="1"/>
  <c r="C2075" i="1"/>
  <c r="B2075" i="1" s="1"/>
  <c r="F2075" i="1"/>
  <c r="U2075" i="1"/>
  <c r="Y2075" i="1" s="1"/>
  <c r="V2075" i="1"/>
  <c r="W2075" i="1" s="1"/>
  <c r="Z2075" i="1"/>
  <c r="A1430" i="1"/>
  <c r="A156" i="1"/>
  <c r="C1430" i="1"/>
  <c r="B1430" i="1" s="1"/>
  <c r="C156" i="1"/>
  <c r="B156" i="1" s="1"/>
  <c r="F1430" i="1"/>
  <c r="F156" i="1"/>
  <c r="U1430" i="1"/>
  <c r="Y1430" i="1" s="1"/>
  <c r="U156" i="1"/>
  <c r="Y156" i="1" s="1"/>
  <c r="V1430" i="1"/>
  <c r="W1430" i="1" s="1"/>
  <c r="V156" i="1"/>
  <c r="W156" i="1" s="1"/>
  <c r="Z1430" i="1"/>
  <c r="Z156" i="1"/>
  <c r="A2106" i="1"/>
  <c r="C2106" i="1"/>
  <c r="B2106" i="1" s="1"/>
  <c r="F2106" i="1"/>
  <c r="U2106" i="1"/>
  <c r="V2106" i="1"/>
  <c r="W2106" i="1" s="1"/>
  <c r="Z2106" i="1"/>
  <c r="F1125" i="6"/>
  <c r="I1125" i="6"/>
  <c r="J1125" i="6"/>
  <c r="A632" i="1"/>
  <c r="C632" i="1"/>
  <c r="B632" i="1" s="1"/>
  <c r="F632" i="1"/>
  <c r="U632" i="1"/>
  <c r="Y632" i="1" s="1"/>
  <c r="V632" i="1"/>
  <c r="W632" i="1" s="1"/>
  <c r="Z632" i="1"/>
  <c r="A839" i="1"/>
  <c r="A259" i="1"/>
  <c r="A410" i="1"/>
  <c r="C839" i="1"/>
  <c r="B839" i="1" s="1"/>
  <c r="C259" i="1"/>
  <c r="B259" i="1" s="1"/>
  <c r="C410" i="1"/>
  <c r="B410" i="1" s="1"/>
  <c r="F839" i="1"/>
  <c r="F259" i="1"/>
  <c r="F410" i="1"/>
  <c r="M839" i="1"/>
  <c r="M259" i="1"/>
  <c r="M410" i="1"/>
  <c r="O839" i="1"/>
  <c r="O259" i="1"/>
  <c r="O410" i="1"/>
  <c r="U839" i="1"/>
  <c r="Y839" i="1" s="1"/>
  <c r="U259" i="1"/>
  <c r="Y259" i="1" s="1"/>
  <c r="U410" i="1"/>
  <c r="Y410" i="1" s="1"/>
  <c r="V839" i="1"/>
  <c r="W839" i="1" s="1"/>
  <c r="V259" i="1"/>
  <c r="W259" i="1" s="1"/>
  <c r="V410" i="1"/>
  <c r="W410" i="1" s="1"/>
  <c r="Z839" i="1"/>
  <c r="Z259" i="1"/>
  <c r="Z410" i="1"/>
  <c r="A1124" i="1"/>
  <c r="C1124" i="1"/>
  <c r="B1124" i="1" s="1"/>
  <c r="D1124" i="1"/>
  <c r="F1124" i="1"/>
  <c r="M1124" i="1"/>
  <c r="O1124" i="1"/>
  <c r="S1124" i="1"/>
  <c r="T1124" i="1"/>
  <c r="U1124" i="1"/>
  <c r="Y1124" i="1" s="1"/>
  <c r="V1124" i="1"/>
  <c r="W1124" i="1" s="1"/>
  <c r="Z1124" i="1"/>
  <c r="A187" i="1"/>
  <c r="C187" i="1"/>
  <c r="B187" i="1" s="1"/>
  <c r="F187" i="1"/>
  <c r="U187" i="1"/>
  <c r="Y187" i="1" s="1"/>
  <c r="V187" i="1"/>
  <c r="W187" i="1" s="1"/>
  <c r="Z187" i="1"/>
  <c r="A203" i="1"/>
  <c r="C203" i="1"/>
  <c r="B203" i="1" s="1"/>
  <c r="F203" i="1"/>
  <c r="U203" i="1"/>
  <c r="Y203" i="1" s="1"/>
  <c r="V203" i="1"/>
  <c r="W203" i="1" s="1"/>
  <c r="Z203" i="1"/>
  <c r="D820" i="1" l="1"/>
  <c r="D971" i="1"/>
  <c r="D1289" i="1"/>
  <c r="D1288" i="1"/>
  <c r="D40" i="1"/>
  <c r="D1966" i="1"/>
  <c r="D2031" i="1"/>
  <c r="M2106" i="1"/>
  <c r="O2106" i="1"/>
  <c r="D1278" i="1"/>
  <c r="R1278" i="1"/>
  <c r="D241" i="1"/>
  <c r="D292" i="1"/>
  <c r="D64" i="1"/>
  <c r="D333" i="1"/>
  <c r="D493" i="1"/>
  <c r="P692" i="1"/>
  <c r="Q692" i="1" s="1"/>
  <c r="R692" i="1" s="1"/>
  <c r="D692" i="1" s="1"/>
  <c r="P536" i="1"/>
  <c r="Q536" i="1" s="1"/>
  <c r="R536" i="1" s="1"/>
  <c r="T839" i="1"/>
  <c r="X570" i="1"/>
  <c r="P570" i="1" s="1"/>
  <c r="Q570" i="1" s="1"/>
  <c r="R570" i="1" s="1"/>
  <c r="D570" i="1" s="1"/>
  <c r="X763" i="1"/>
  <c r="P763" i="1" s="1"/>
  <c r="Q763" i="1" s="1"/>
  <c r="R763" i="1" s="1"/>
  <c r="D763" i="1" s="1"/>
  <c r="X144" i="1"/>
  <c r="P144" i="1" s="1"/>
  <c r="Q144" i="1" s="1"/>
  <c r="R144" i="1" s="1"/>
  <c r="T2106" i="1"/>
  <c r="X156" i="1"/>
  <c r="P156" i="1" s="1"/>
  <c r="Q156" i="1" s="1"/>
  <c r="R156" i="1" s="1"/>
  <c r="T156" i="1"/>
  <c r="X2075" i="1"/>
  <c r="P2075" i="1" s="1"/>
  <c r="Q2075" i="1" s="1"/>
  <c r="R2075" i="1" s="1"/>
  <c r="T2075" i="1"/>
  <c r="X1430" i="1"/>
  <c r="P1430" i="1" s="1"/>
  <c r="Q1430" i="1" s="1"/>
  <c r="R1430" i="1" s="1"/>
  <c r="T1430" i="1"/>
  <c r="X2106" i="1"/>
  <c r="Y2106" i="1"/>
  <c r="X632" i="1"/>
  <c r="P632" i="1" s="1"/>
  <c r="Q632" i="1" s="1"/>
  <c r="R632" i="1" s="1"/>
  <c r="D632" i="1" s="1"/>
  <c r="T632" i="1"/>
  <c r="T187" i="1"/>
  <c r="X410" i="1"/>
  <c r="P410" i="1" s="1"/>
  <c r="Q410" i="1" s="1"/>
  <c r="R410" i="1" s="1"/>
  <c r="X839" i="1"/>
  <c r="P839" i="1" s="1"/>
  <c r="Q839" i="1" s="1"/>
  <c r="R839" i="1" s="1"/>
  <c r="T410" i="1"/>
  <c r="X259" i="1"/>
  <c r="P259" i="1" s="1"/>
  <c r="Q259" i="1" s="1"/>
  <c r="R259" i="1" s="1"/>
  <c r="T259" i="1"/>
  <c r="X1124" i="1"/>
  <c r="P1124" i="1" s="1"/>
  <c r="Q1124" i="1" s="1"/>
  <c r="R1124" i="1" s="1"/>
  <c r="X187" i="1"/>
  <c r="P187" i="1" s="1"/>
  <c r="Q187" i="1" s="1"/>
  <c r="R187" i="1" s="1"/>
  <c r="T203" i="1"/>
  <c r="X203" i="1"/>
  <c r="P203" i="1" s="1"/>
  <c r="Q203" i="1" s="1"/>
  <c r="R203" i="1" s="1"/>
  <c r="A2012" i="1"/>
  <c r="C2012" i="1"/>
  <c r="B2012" i="1" s="1"/>
  <c r="F2012" i="1"/>
  <c r="M2012" i="1"/>
  <c r="O2012" i="1"/>
  <c r="T2012" i="1"/>
  <c r="U2012" i="1"/>
  <c r="Y2012" i="1" s="1"/>
  <c r="V2012" i="1"/>
  <c r="W2012" i="1" s="1"/>
  <c r="Z2012" i="1"/>
  <c r="A1804" i="1"/>
  <c r="C1804" i="1"/>
  <c r="B1804" i="1" s="1"/>
  <c r="F1804" i="1"/>
  <c r="M1804" i="1"/>
  <c r="O1804" i="1"/>
  <c r="S1804" i="1"/>
  <c r="T1804" i="1"/>
  <c r="U1804" i="1"/>
  <c r="Y1804" i="1" s="1"/>
  <c r="V1804" i="1"/>
  <c r="W1804" i="1" s="1"/>
  <c r="Z1804" i="1"/>
  <c r="F1123" i="6"/>
  <c r="F1124" i="6"/>
  <c r="I1123" i="6"/>
  <c r="I1124" i="6"/>
  <c r="J1123" i="6"/>
  <c r="J1124" i="6"/>
  <c r="F1122" i="6"/>
  <c r="I1122" i="6"/>
  <c r="J1122" i="6"/>
  <c r="F1121" i="6"/>
  <c r="I1121" i="6"/>
  <c r="J1121" i="6"/>
  <c r="A1699" i="1"/>
  <c r="C1699" i="1"/>
  <c r="B1699" i="1" s="1"/>
  <c r="F1699" i="1"/>
  <c r="U1699" i="1"/>
  <c r="V1699" i="1"/>
  <c r="W1699" i="1" s="1"/>
  <c r="Z1699" i="1"/>
  <c r="A476" i="1"/>
  <c r="C476" i="1"/>
  <c r="T476" i="1" s="1"/>
  <c r="F476" i="1"/>
  <c r="U476" i="1"/>
  <c r="V476" i="1"/>
  <c r="W476" i="1" s="1"/>
  <c r="Z476" i="1"/>
  <c r="D1430" i="1" l="1"/>
  <c r="D156" i="1"/>
  <c r="D2075" i="1"/>
  <c r="D144" i="1"/>
  <c r="P2106" i="1"/>
  <c r="Q2106" i="1" s="1"/>
  <c r="R2106" i="1" s="1"/>
  <c r="D2106" i="1" s="1"/>
  <c r="D410" i="1"/>
  <c r="D839" i="1"/>
  <c r="D259" i="1"/>
  <c r="D203" i="1"/>
  <c r="D187" i="1"/>
  <c r="X2012" i="1"/>
  <c r="P2012" i="1" s="1"/>
  <c r="Q2012" i="1" s="1"/>
  <c r="R2012" i="1" s="1"/>
  <c r="D2012" i="1" s="1"/>
  <c r="T1699" i="1"/>
  <c r="X1804" i="1"/>
  <c r="P1804" i="1" s="1"/>
  <c r="Q1804" i="1" s="1"/>
  <c r="R1804" i="1" s="1"/>
  <c r="D1804" i="1" s="1"/>
  <c r="X1699" i="1"/>
  <c r="Y1699" i="1"/>
  <c r="X476" i="1"/>
  <c r="Y476" i="1"/>
  <c r="B476" i="1"/>
  <c r="P1699" i="1" l="1"/>
  <c r="Q1699" i="1" s="1"/>
  <c r="R1699" i="1" s="1"/>
  <c r="D1699" i="1" s="1"/>
  <c r="P476" i="1"/>
  <c r="Q476" i="1" s="1"/>
  <c r="R476" i="1" s="1"/>
  <c r="D476" i="1" s="1"/>
  <c r="K1139" i="1" l="1"/>
  <c r="O1139" i="1" s="1"/>
  <c r="A1139" i="1"/>
  <c r="C1139" i="1"/>
  <c r="B1139" i="1" s="1"/>
  <c r="F1139" i="1"/>
  <c r="M1139" i="1"/>
  <c r="U1139" i="1"/>
  <c r="Y1139" i="1" s="1"/>
  <c r="V1139" i="1"/>
  <c r="W1139" i="1" s="1"/>
  <c r="Z1139" i="1"/>
  <c r="F1101" i="6"/>
  <c r="F1114" i="6"/>
  <c r="I1101" i="6"/>
  <c r="I1114" i="6"/>
  <c r="J1101" i="6"/>
  <c r="J1114" i="6"/>
  <c r="F1119" i="6"/>
  <c r="I1119" i="6"/>
  <c r="J1119" i="6"/>
  <c r="F1091" i="6"/>
  <c r="I1091" i="6"/>
  <c r="J1091" i="6"/>
  <c r="F1120" i="6"/>
  <c r="I1120" i="6"/>
  <c r="J1120" i="6"/>
  <c r="F1113" i="6"/>
  <c r="I1113" i="6"/>
  <c r="J1113" i="6"/>
  <c r="A788" i="1"/>
  <c r="C788" i="1"/>
  <c r="B788" i="1" s="1"/>
  <c r="F788" i="1"/>
  <c r="M788" i="1"/>
  <c r="O788" i="1"/>
  <c r="T788" i="1"/>
  <c r="U788" i="1"/>
  <c r="Y788" i="1" s="1"/>
  <c r="V788" i="1"/>
  <c r="W788" i="1" s="1"/>
  <c r="Z788" i="1"/>
  <c r="F1090" i="6"/>
  <c r="I1090" i="6"/>
  <c r="J1090" i="6"/>
  <c r="A1123" i="1"/>
  <c r="C1123" i="1"/>
  <c r="B1123" i="1" s="1"/>
  <c r="D1123" i="1"/>
  <c r="F1123" i="1"/>
  <c r="M1123" i="1"/>
  <c r="O1123" i="1"/>
  <c r="S1123" i="1"/>
  <c r="T1123" i="1"/>
  <c r="U1123" i="1"/>
  <c r="Y1123" i="1" s="1"/>
  <c r="V1123" i="1"/>
  <c r="W1123" i="1" s="1"/>
  <c r="Z1123" i="1"/>
  <c r="A1197" i="1"/>
  <c r="C1197" i="1"/>
  <c r="B1197" i="1" s="1"/>
  <c r="F1197" i="1"/>
  <c r="M1197" i="1"/>
  <c r="O1197" i="1"/>
  <c r="U1197" i="1"/>
  <c r="Y1197" i="1" s="1"/>
  <c r="V1197" i="1"/>
  <c r="W1197" i="1" s="1"/>
  <c r="Z1197" i="1"/>
  <c r="A1218" i="1"/>
  <c r="C1218" i="1"/>
  <c r="B1218" i="1" s="1"/>
  <c r="F1218" i="1"/>
  <c r="M1218" i="1"/>
  <c r="O1218" i="1"/>
  <c r="U1218" i="1"/>
  <c r="Y1218" i="1" s="1"/>
  <c r="V1218" i="1"/>
  <c r="W1218" i="1" s="1"/>
  <c r="Z1218" i="1"/>
  <c r="A348" i="1"/>
  <c r="C348" i="1"/>
  <c r="B348" i="1" s="1"/>
  <c r="F348" i="1"/>
  <c r="M348" i="1"/>
  <c r="O348" i="1"/>
  <c r="U348" i="1"/>
  <c r="Y348" i="1" s="1"/>
  <c r="V348" i="1"/>
  <c r="W348" i="1" s="1"/>
  <c r="Z348" i="1"/>
  <c r="A922" i="1"/>
  <c r="C922" i="1"/>
  <c r="B922" i="1" s="1"/>
  <c r="F922" i="1"/>
  <c r="M922" i="1"/>
  <c r="O922" i="1"/>
  <c r="U922" i="1"/>
  <c r="Y922" i="1" s="1"/>
  <c r="V922" i="1"/>
  <c r="W922" i="1" s="1"/>
  <c r="Z922" i="1"/>
  <c r="A691" i="1"/>
  <c r="C691" i="1"/>
  <c r="B691" i="1" s="1"/>
  <c r="F691" i="1"/>
  <c r="M691" i="1"/>
  <c r="O691" i="1"/>
  <c r="U691" i="1"/>
  <c r="Y691" i="1" s="1"/>
  <c r="V691" i="1"/>
  <c r="W691" i="1" s="1"/>
  <c r="Z691" i="1"/>
  <c r="A1773" i="1"/>
  <c r="C1773" i="1"/>
  <c r="B1773" i="1" s="1"/>
  <c r="F1773" i="1"/>
  <c r="U1773" i="1"/>
  <c r="Y1773" i="1" s="1"/>
  <c r="V1773" i="1"/>
  <c r="W1773" i="1" s="1"/>
  <c r="Z1773" i="1"/>
  <c r="A1845" i="1"/>
  <c r="C1845" i="1"/>
  <c r="B1845" i="1" s="1"/>
  <c r="F1845" i="1"/>
  <c r="M1845" i="1"/>
  <c r="O1845" i="1"/>
  <c r="U1845" i="1"/>
  <c r="Y1845" i="1" s="1"/>
  <c r="V1845" i="1"/>
  <c r="W1845" i="1" s="1"/>
  <c r="Z1845" i="1"/>
  <c r="A384" i="1"/>
  <c r="C384" i="1"/>
  <c r="B384" i="1" s="1"/>
  <c r="F384" i="1"/>
  <c r="M384" i="1"/>
  <c r="O384" i="1"/>
  <c r="S384" i="1"/>
  <c r="T384" i="1"/>
  <c r="U384" i="1"/>
  <c r="V384" i="1"/>
  <c r="W384" i="1" s="1"/>
  <c r="Z384" i="1"/>
  <c r="A1562" i="1"/>
  <c r="C1562" i="1"/>
  <c r="B1562" i="1" s="1"/>
  <c r="F1562" i="1"/>
  <c r="M1562" i="1"/>
  <c r="U1562" i="1"/>
  <c r="Y1562" i="1" s="1"/>
  <c r="V1562" i="1"/>
  <c r="W1562" i="1" s="1"/>
  <c r="Z1562" i="1"/>
  <c r="A93" i="1"/>
  <c r="C93" i="1"/>
  <c r="B93" i="1" s="1"/>
  <c r="F93" i="1"/>
  <c r="U93" i="1"/>
  <c r="Y93" i="1" s="1"/>
  <c r="V93" i="1"/>
  <c r="W93" i="1" s="1"/>
  <c r="Z93" i="1"/>
  <c r="A1230" i="1"/>
  <c r="C1230" i="1"/>
  <c r="B1230" i="1" s="1"/>
  <c r="F1230" i="1"/>
  <c r="M1230" i="1"/>
  <c r="O1230" i="1"/>
  <c r="U1230" i="1"/>
  <c r="Y1230" i="1" s="1"/>
  <c r="V1230" i="1"/>
  <c r="W1230" i="1" s="1"/>
  <c r="Z1230" i="1"/>
  <c r="A2002" i="1"/>
  <c r="C2002" i="1"/>
  <c r="B2002" i="1" s="1"/>
  <c r="F2002" i="1"/>
  <c r="M2002" i="1"/>
  <c r="O2002" i="1"/>
  <c r="U2002" i="1"/>
  <c r="Y2002" i="1" s="1"/>
  <c r="V2002" i="1"/>
  <c r="W2002" i="1" s="1"/>
  <c r="Z2002" i="1"/>
  <c r="A1434" i="1"/>
  <c r="C1434" i="1"/>
  <c r="B1434" i="1" s="1"/>
  <c r="F1434" i="1"/>
  <c r="U1434" i="1"/>
  <c r="Y1434" i="1" s="1"/>
  <c r="V1434" i="1"/>
  <c r="W1434" i="1" s="1"/>
  <c r="Z1434" i="1"/>
  <c r="A648" i="1"/>
  <c r="C648" i="1"/>
  <c r="B648" i="1" s="1"/>
  <c r="F648" i="1"/>
  <c r="U648" i="1"/>
  <c r="Y648" i="1" s="1"/>
  <c r="V648" i="1"/>
  <c r="W648" i="1" s="1"/>
  <c r="Z648" i="1"/>
  <c r="A1608" i="1"/>
  <c r="C1608" i="1"/>
  <c r="B1608" i="1" s="1"/>
  <c r="F1608" i="1"/>
  <c r="U1608" i="1"/>
  <c r="Y1608" i="1" s="1"/>
  <c r="V1608" i="1"/>
  <c r="W1608" i="1" s="1"/>
  <c r="Z1608" i="1"/>
  <c r="A779" i="1"/>
  <c r="C779" i="1"/>
  <c r="B779" i="1" s="1"/>
  <c r="F779" i="1"/>
  <c r="T779" i="1"/>
  <c r="U779" i="1"/>
  <c r="Y779" i="1" s="1"/>
  <c r="V779" i="1"/>
  <c r="W779" i="1" s="1"/>
  <c r="Z779" i="1"/>
  <c r="A1879" i="1"/>
  <c r="C1879" i="1"/>
  <c r="B1879" i="1" s="1"/>
  <c r="F1879" i="1"/>
  <c r="U1879" i="1"/>
  <c r="Y1879" i="1" s="1"/>
  <c r="V1879" i="1"/>
  <c r="W1879" i="1" s="1"/>
  <c r="Z1879" i="1"/>
  <c r="A1906" i="1"/>
  <c r="C1906" i="1"/>
  <c r="T1906" i="1" s="1"/>
  <c r="F1906" i="1"/>
  <c r="U1906" i="1"/>
  <c r="Y1906" i="1" s="1"/>
  <c r="V1906" i="1"/>
  <c r="W1906" i="1" s="1"/>
  <c r="Z1906" i="1"/>
  <c r="A1962" i="1"/>
  <c r="C1962" i="1"/>
  <c r="B1962" i="1" s="1"/>
  <c r="F1962" i="1"/>
  <c r="U1962" i="1"/>
  <c r="Y1962" i="1" s="1"/>
  <c r="V1962" i="1"/>
  <c r="W1962" i="1" s="1"/>
  <c r="Z1962" i="1"/>
  <c r="A1280" i="1"/>
  <c r="C1280" i="1"/>
  <c r="B1280" i="1" s="1"/>
  <c r="F1280" i="1"/>
  <c r="M1280" i="1"/>
  <c r="O1280" i="1"/>
  <c r="U1280" i="1"/>
  <c r="Y1280" i="1" s="1"/>
  <c r="V1280" i="1"/>
  <c r="W1280" i="1" s="1"/>
  <c r="Z1280" i="1"/>
  <c r="A1959" i="1"/>
  <c r="C1959" i="1"/>
  <c r="B1959" i="1" s="1"/>
  <c r="F1959" i="1"/>
  <c r="U1959" i="1"/>
  <c r="Y1959" i="1" s="1"/>
  <c r="V1959" i="1"/>
  <c r="W1959" i="1" s="1"/>
  <c r="Z1959" i="1"/>
  <c r="A1299" i="1"/>
  <c r="C1299" i="1"/>
  <c r="B1299" i="1" s="1"/>
  <c r="F1299" i="1"/>
  <c r="U1299" i="1"/>
  <c r="Y1299" i="1" s="1"/>
  <c r="V1299" i="1"/>
  <c r="W1299" i="1" s="1"/>
  <c r="Z1299" i="1"/>
  <c r="A787" i="1"/>
  <c r="C787" i="1"/>
  <c r="B787" i="1" s="1"/>
  <c r="F787" i="1"/>
  <c r="T787" i="1"/>
  <c r="U787" i="1"/>
  <c r="Y787" i="1" s="1"/>
  <c r="V787" i="1"/>
  <c r="W787" i="1" s="1"/>
  <c r="Z787" i="1"/>
  <c r="A1848" i="1"/>
  <c r="C1848" i="1"/>
  <c r="B1848" i="1" s="1"/>
  <c r="F1848" i="1"/>
  <c r="S1848" i="1"/>
  <c r="U1848" i="1"/>
  <c r="Y1848" i="1" s="1"/>
  <c r="V1848" i="1"/>
  <c r="W1848" i="1" s="1"/>
  <c r="Z1848" i="1"/>
  <c r="A900" i="1"/>
  <c r="C900" i="1"/>
  <c r="B900" i="1" s="1"/>
  <c r="F900" i="1"/>
  <c r="S900" i="1"/>
  <c r="T900" i="1"/>
  <c r="U900" i="1"/>
  <c r="Y900" i="1" s="1"/>
  <c r="V900" i="1"/>
  <c r="W900" i="1" s="1"/>
  <c r="Z900" i="1"/>
  <c r="A2057" i="1"/>
  <c r="C2057" i="1"/>
  <c r="B2057" i="1" s="1"/>
  <c r="F2057" i="1"/>
  <c r="U2057" i="1"/>
  <c r="Y2057" i="1" s="1"/>
  <c r="V2057" i="1"/>
  <c r="W2057" i="1" s="1"/>
  <c r="Z2057" i="1"/>
  <c r="A743" i="1"/>
  <c r="C743" i="1"/>
  <c r="B743" i="1" s="1"/>
  <c r="F743" i="1"/>
  <c r="U743" i="1"/>
  <c r="Y743" i="1" s="1"/>
  <c r="V743" i="1"/>
  <c r="W743" i="1" s="1"/>
  <c r="Z743" i="1"/>
  <c r="A1711" i="1"/>
  <c r="C1711" i="1"/>
  <c r="B1711" i="1" s="1"/>
  <c r="F1711" i="1"/>
  <c r="U1711" i="1"/>
  <c r="Y1711" i="1" s="1"/>
  <c r="V1711" i="1"/>
  <c r="W1711" i="1" s="1"/>
  <c r="Z1711" i="1"/>
  <c r="A1044" i="1"/>
  <c r="C1044" i="1"/>
  <c r="B1044" i="1" s="1"/>
  <c r="F1044" i="1"/>
  <c r="M1044" i="1"/>
  <c r="O1044" i="1"/>
  <c r="U1044" i="1"/>
  <c r="Y1044" i="1" s="1"/>
  <c r="V1044" i="1"/>
  <c r="W1044" i="1" s="1"/>
  <c r="Z1044" i="1"/>
  <c r="A1842" i="1"/>
  <c r="C1842" i="1"/>
  <c r="B1842" i="1" s="1"/>
  <c r="F1842" i="1"/>
  <c r="M1842" i="1"/>
  <c r="O1842" i="1"/>
  <c r="U1842" i="1"/>
  <c r="Y1842" i="1" s="1"/>
  <c r="V1842" i="1"/>
  <c r="W1842" i="1" s="1"/>
  <c r="Z1842" i="1"/>
  <c r="A1950" i="1"/>
  <c r="C1950" i="1"/>
  <c r="B1950" i="1" s="1"/>
  <c r="F1950" i="1"/>
  <c r="M1950" i="1"/>
  <c r="U1950" i="1"/>
  <c r="V1950" i="1"/>
  <c r="W1950" i="1" s="1"/>
  <c r="Z1950" i="1"/>
  <c r="A1805" i="1"/>
  <c r="C1805" i="1"/>
  <c r="B1805" i="1" s="1"/>
  <c r="F1805" i="1"/>
  <c r="U1805" i="1"/>
  <c r="Y1805" i="1" s="1"/>
  <c r="V1805" i="1"/>
  <c r="W1805" i="1" s="1"/>
  <c r="Z1805" i="1"/>
  <c r="A1482" i="1"/>
  <c r="C1482" i="1"/>
  <c r="B1482" i="1" s="1"/>
  <c r="F1482" i="1"/>
  <c r="U1482" i="1"/>
  <c r="Y1482" i="1" s="1"/>
  <c r="V1482" i="1"/>
  <c r="W1482" i="1" s="1"/>
  <c r="Z1482" i="1"/>
  <c r="A667" i="1"/>
  <c r="C667" i="1"/>
  <c r="B667" i="1" s="1"/>
  <c r="F667" i="1"/>
  <c r="U667" i="1"/>
  <c r="V667" i="1"/>
  <c r="W667" i="1" s="1"/>
  <c r="Z667" i="1"/>
  <c r="A1895" i="1"/>
  <c r="C1895" i="1"/>
  <c r="B1895" i="1" s="1"/>
  <c r="F1895" i="1"/>
  <c r="M1895" i="1"/>
  <c r="U1895" i="1"/>
  <c r="V1895" i="1"/>
  <c r="W1895" i="1" s="1"/>
  <c r="Z1895" i="1"/>
  <c r="A1817" i="1"/>
  <c r="C1817" i="1"/>
  <c r="T1817" i="1" s="1"/>
  <c r="F1817" i="1"/>
  <c r="U1817" i="1"/>
  <c r="Y1817" i="1" s="1"/>
  <c r="V1817" i="1"/>
  <c r="W1817" i="1" s="1"/>
  <c r="Z1817" i="1"/>
  <c r="A427" i="1"/>
  <c r="C427" i="1"/>
  <c r="B427" i="1" s="1"/>
  <c r="F427" i="1"/>
  <c r="U427" i="1"/>
  <c r="V427" i="1"/>
  <c r="W427" i="1" s="1"/>
  <c r="Z427" i="1"/>
  <c r="A426" i="1"/>
  <c r="C426" i="1"/>
  <c r="B426" i="1" s="1"/>
  <c r="F426" i="1"/>
  <c r="T426" i="1"/>
  <c r="U426" i="1"/>
  <c r="Y426" i="1" s="1"/>
  <c r="V426" i="1"/>
  <c r="W426" i="1" s="1"/>
  <c r="Z426" i="1"/>
  <c r="T1139" i="1" l="1"/>
  <c r="X1139" i="1"/>
  <c r="P1139" i="1" s="1"/>
  <c r="Q1139" i="1" s="1"/>
  <c r="R1139" i="1" s="1"/>
  <c r="T1218" i="1"/>
  <c r="X788" i="1"/>
  <c r="P788" i="1" s="1"/>
  <c r="Q788" i="1" s="1"/>
  <c r="R788" i="1" s="1"/>
  <c r="D788" i="1" s="1"/>
  <c r="T1197" i="1"/>
  <c r="T1773" i="1"/>
  <c r="T348" i="1"/>
  <c r="T922" i="1"/>
  <c r="T1845" i="1"/>
  <c r="X1218" i="1"/>
  <c r="P1218" i="1" s="1"/>
  <c r="Q1218" i="1" s="1"/>
  <c r="R1218" i="1" s="1"/>
  <c r="X1773" i="1"/>
  <c r="P1773" i="1" s="1"/>
  <c r="Q1773" i="1" s="1"/>
  <c r="R1773" i="1" s="1"/>
  <c r="D1578" i="1" s="1"/>
  <c r="X1123" i="1"/>
  <c r="P1123" i="1" s="1"/>
  <c r="Q1123" i="1" s="1"/>
  <c r="R1123" i="1" s="1"/>
  <c r="X1197" i="1"/>
  <c r="P1197" i="1" s="1"/>
  <c r="Q1197" i="1" s="1"/>
  <c r="R1197" i="1" s="1"/>
  <c r="D1197" i="1" s="1"/>
  <c r="X691" i="1"/>
  <c r="P691" i="1" s="1"/>
  <c r="Q691" i="1" s="1"/>
  <c r="R691" i="1" s="1"/>
  <c r="D691" i="1" s="1"/>
  <c r="X922" i="1"/>
  <c r="P922" i="1" s="1"/>
  <c r="Q922" i="1" s="1"/>
  <c r="R922" i="1" s="1"/>
  <c r="X348" i="1"/>
  <c r="P348" i="1" s="1"/>
  <c r="Q348" i="1" s="1"/>
  <c r="R348" i="1" s="1"/>
  <c r="T691" i="1"/>
  <c r="X1845" i="1"/>
  <c r="P1845" i="1" s="1"/>
  <c r="Q1845" i="1" s="1"/>
  <c r="R1845" i="1" s="1"/>
  <c r="D1845" i="1" s="1"/>
  <c r="T1434" i="1"/>
  <c r="T1562" i="1"/>
  <c r="T1230" i="1"/>
  <c r="X384" i="1"/>
  <c r="P384" i="1" s="1"/>
  <c r="Q384" i="1" s="1"/>
  <c r="R384" i="1" s="1"/>
  <c r="D384" i="1" s="1"/>
  <c r="T2002" i="1"/>
  <c r="Y384" i="1"/>
  <c r="T1879" i="1"/>
  <c r="T648" i="1"/>
  <c r="X1562" i="1"/>
  <c r="P1562" i="1" s="1"/>
  <c r="Q1562" i="1" s="1"/>
  <c r="R1562" i="1" s="1"/>
  <c r="X648" i="1"/>
  <c r="P648" i="1" s="1"/>
  <c r="Q648" i="1" s="1"/>
  <c r="X1230" i="1"/>
  <c r="P1230" i="1" s="1"/>
  <c r="Q1230" i="1" s="1"/>
  <c r="R1230" i="1" s="1"/>
  <c r="T1608" i="1"/>
  <c r="T93" i="1"/>
  <c r="X1434" i="1"/>
  <c r="P1434" i="1" s="1"/>
  <c r="Q1434" i="1" s="1"/>
  <c r="R1434" i="1" s="1"/>
  <c r="X93" i="1"/>
  <c r="P93" i="1" s="1"/>
  <c r="Q93" i="1" s="1"/>
  <c r="R93" i="1" s="1"/>
  <c r="X2002" i="1"/>
  <c r="P2002" i="1" s="1"/>
  <c r="Q2002" i="1" s="1"/>
  <c r="R2002" i="1" s="1"/>
  <c r="D2002" i="1" s="1"/>
  <c r="T1962" i="1"/>
  <c r="T1044" i="1"/>
  <c r="B1906" i="1"/>
  <c r="X1608" i="1"/>
  <c r="P1608" i="1" s="1"/>
  <c r="Q1608" i="1" s="1"/>
  <c r="R1608" i="1" s="1"/>
  <c r="X1879" i="1"/>
  <c r="P1879" i="1" s="1"/>
  <c r="Q1879" i="1" s="1"/>
  <c r="R1879" i="1" s="1"/>
  <c r="X779" i="1"/>
  <c r="P779" i="1" s="1"/>
  <c r="Q779" i="1" s="1"/>
  <c r="X1906" i="1"/>
  <c r="P1906" i="1" s="1"/>
  <c r="Q1906" i="1" s="1"/>
  <c r="R1906" i="1" s="1"/>
  <c r="T1280" i="1"/>
  <c r="T1959" i="1"/>
  <c r="X1962" i="1"/>
  <c r="P1962" i="1" s="1"/>
  <c r="Q1962" i="1" s="1"/>
  <c r="R1962" i="1" s="1"/>
  <c r="T1842" i="1"/>
  <c r="X1280" i="1"/>
  <c r="P1280" i="1" s="1"/>
  <c r="Q1280" i="1" s="1"/>
  <c r="R1280" i="1" s="1"/>
  <c r="X1959" i="1"/>
  <c r="Q1959" i="1" s="1"/>
  <c r="R1959" i="1" s="1"/>
  <c r="X1299" i="1"/>
  <c r="Q1299" i="1" s="1"/>
  <c r="R1299" i="1" s="1"/>
  <c r="X787" i="1"/>
  <c r="P787" i="1" s="1"/>
  <c r="Q787" i="1" s="1"/>
  <c r="R787" i="1" s="1"/>
  <c r="D787" i="1" s="1"/>
  <c r="T1805" i="1"/>
  <c r="X1848" i="1"/>
  <c r="P1848" i="1" s="1"/>
  <c r="Q1848" i="1" s="1"/>
  <c r="R1848" i="1" s="1"/>
  <c r="D1848" i="1" s="1"/>
  <c r="T1299" i="1"/>
  <c r="T743" i="1"/>
  <c r="T2057" i="1"/>
  <c r="T1848" i="1"/>
  <c r="T1711" i="1"/>
  <c r="X900" i="1"/>
  <c r="P900" i="1" s="1"/>
  <c r="Q900" i="1" s="1"/>
  <c r="R900" i="1" s="1"/>
  <c r="D900" i="1" s="1"/>
  <c r="X743" i="1"/>
  <c r="P743" i="1" s="1"/>
  <c r="Q743" i="1" s="1"/>
  <c r="R743" i="1" s="1"/>
  <c r="X2057" i="1"/>
  <c r="P2057" i="1" s="1"/>
  <c r="Q2057" i="1" s="1"/>
  <c r="R2057" i="1" s="1"/>
  <c r="T1950" i="1"/>
  <c r="X1842" i="1"/>
  <c r="P1842" i="1" s="1"/>
  <c r="Q1842" i="1" s="1"/>
  <c r="R1842" i="1" s="1"/>
  <c r="X1711" i="1"/>
  <c r="P1711" i="1" s="1"/>
  <c r="Q1711" i="1" s="1"/>
  <c r="R1711" i="1" s="1"/>
  <c r="D1216" i="1" s="1"/>
  <c r="X1044" i="1"/>
  <c r="P1044" i="1" s="1"/>
  <c r="Q1044" i="1" s="1"/>
  <c r="R1044" i="1" s="1"/>
  <c r="X1805" i="1"/>
  <c r="P1805" i="1" s="1"/>
  <c r="Q1805" i="1" s="1"/>
  <c r="R1805" i="1" s="1"/>
  <c r="D1678" i="1" s="1"/>
  <c r="X1950" i="1"/>
  <c r="Y1950" i="1"/>
  <c r="X1482" i="1"/>
  <c r="P1482" i="1" s="1"/>
  <c r="Q1482" i="1" s="1"/>
  <c r="R1482" i="1" s="1"/>
  <c r="D646" i="1" s="1"/>
  <c r="T1482" i="1"/>
  <c r="T667" i="1"/>
  <c r="X667" i="1"/>
  <c r="Y667" i="1"/>
  <c r="T1895" i="1"/>
  <c r="X1895" i="1"/>
  <c r="Y1895" i="1"/>
  <c r="T427" i="1"/>
  <c r="X1817" i="1"/>
  <c r="P1817" i="1" s="1"/>
  <c r="Q1817" i="1" s="1"/>
  <c r="R1817" i="1" s="1"/>
  <c r="D1817" i="1" s="1"/>
  <c r="B1817" i="1"/>
  <c r="X427" i="1"/>
  <c r="X426" i="1"/>
  <c r="P426" i="1" s="1"/>
  <c r="Q426" i="1" s="1"/>
  <c r="R426" i="1" s="1"/>
  <c r="Y427" i="1"/>
  <c r="AF13" i="16"/>
  <c r="AF12" i="16"/>
  <c r="A69" i="1"/>
  <c r="C69" i="1"/>
  <c r="B69" i="1" s="1"/>
  <c r="F69" i="1"/>
  <c r="U69" i="1"/>
  <c r="V69" i="1"/>
  <c r="W69" i="1" s="1"/>
  <c r="Z69" i="1"/>
  <c r="A1122" i="1"/>
  <c r="C1122" i="1"/>
  <c r="B1122" i="1" s="1"/>
  <c r="F1122" i="1"/>
  <c r="O1122" i="1"/>
  <c r="T1122" i="1"/>
  <c r="U1122" i="1"/>
  <c r="V1122" i="1"/>
  <c r="W1122" i="1" s="1"/>
  <c r="Z1122" i="1"/>
  <c r="A99" i="1"/>
  <c r="C99" i="1"/>
  <c r="B99" i="1" s="1"/>
  <c r="F99" i="1"/>
  <c r="T99" i="1"/>
  <c r="U99" i="1"/>
  <c r="V99" i="1"/>
  <c r="W99" i="1" s="1"/>
  <c r="Z99" i="1"/>
  <c r="A118" i="1"/>
  <c r="C118" i="1"/>
  <c r="B118" i="1" s="1"/>
  <c r="F118" i="1"/>
  <c r="M118" i="1"/>
  <c r="O118" i="1"/>
  <c r="T118" i="1"/>
  <c r="U118" i="1"/>
  <c r="Y118" i="1" s="1"/>
  <c r="V118" i="1"/>
  <c r="W118" i="1" s="1"/>
  <c r="Z118" i="1"/>
  <c r="D1239" i="1" l="1"/>
  <c r="D291" i="1"/>
  <c r="D1266" i="1"/>
  <c r="D779" i="1"/>
  <c r="R779" i="1"/>
  <c r="D648" i="1"/>
  <c r="R648" i="1"/>
  <c r="D1570" i="1"/>
  <c r="D2050" i="1"/>
  <c r="D1128" i="1"/>
  <c r="D1662" i="1"/>
  <c r="D1421" i="1"/>
  <c r="D1884" i="1"/>
  <c r="D1482" i="1"/>
  <c r="D53" i="1"/>
  <c r="D1139" i="1"/>
  <c r="D922" i="1"/>
  <c r="D348" i="1"/>
  <c r="D1230" i="1"/>
  <c r="D1906" i="1"/>
  <c r="D1879" i="1"/>
  <c r="D1842" i="1"/>
  <c r="D1044" i="1"/>
  <c r="P1950" i="1"/>
  <c r="Q1950" i="1" s="1"/>
  <c r="R1950" i="1" s="1"/>
  <c r="D1950" i="1" s="1"/>
  <c r="P667" i="1"/>
  <c r="Q667" i="1" s="1"/>
  <c r="R667" i="1" s="1"/>
  <c r="P1895" i="1"/>
  <c r="Q1895" i="1" s="1"/>
  <c r="R1895" i="1" s="1"/>
  <c r="P427" i="1"/>
  <c r="Q427" i="1" s="1"/>
  <c r="R427" i="1" s="1"/>
  <c r="X69" i="1"/>
  <c r="P69" i="1" s="1"/>
  <c r="Q69" i="1" s="1"/>
  <c r="R69" i="1" s="1"/>
  <c r="Y69" i="1"/>
  <c r="T69" i="1"/>
  <c r="X1122" i="1"/>
  <c r="Y1122" i="1"/>
  <c r="X118" i="1"/>
  <c r="P118" i="1" s="1"/>
  <c r="Q118" i="1" s="1"/>
  <c r="X99" i="1"/>
  <c r="Y99" i="1"/>
  <c r="D118" i="1"/>
  <c r="D69" i="1" l="1"/>
  <c r="D450" i="1"/>
  <c r="D500" i="1"/>
  <c r="D2022" i="1"/>
  <c r="D427" i="1"/>
  <c r="D426" i="1"/>
  <c r="P1122" i="1"/>
  <c r="Q1122" i="1" s="1"/>
  <c r="R1122" i="1" s="1"/>
  <c r="D1122" i="1" s="1"/>
  <c r="P99" i="1"/>
  <c r="Q99" i="1" s="1"/>
  <c r="R99" i="1" s="1"/>
  <c r="D99" i="1" s="1"/>
  <c r="A746" i="1"/>
  <c r="C746" i="1"/>
  <c r="B746" i="1" s="1"/>
  <c r="F746" i="1"/>
  <c r="S746" i="1"/>
  <c r="T746" i="1"/>
  <c r="U746" i="1"/>
  <c r="Y746" i="1" s="1"/>
  <c r="V746" i="1"/>
  <c r="W746" i="1" s="1"/>
  <c r="Z746" i="1"/>
  <c r="A1120" i="1"/>
  <c r="C1120" i="1"/>
  <c r="B1120" i="1" s="1"/>
  <c r="D1120" i="1"/>
  <c r="F1120" i="1"/>
  <c r="M1120" i="1"/>
  <c r="O1120" i="1"/>
  <c r="S1120" i="1"/>
  <c r="T1120" i="1"/>
  <c r="U1120" i="1"/>
  <c r="Y1120" i="1" s="1"/>
  <c r="V1120" i="1"/>
  <c r="W1120" i="1" s="1"/>
  <c r="Z1120" i="1"/>
  <c r="A1121" i="1"/>
  <c r="C1121" i="1"/>
  <c r="B1121" i="1" s="1"/>
  <c r="F1121" i="1"/>
  <c r="O1121" i="1"/>
  <c r="S1121" i="1"/>
  <c r="T1121" i="1"/>
  <c r="U1121" i="1"/>
  <c r="Y1121" i="1" s="1"/>
  <c r="V1121" i="1"/>
  <c r="W1121" i="1" s="1"/>
  <c r="Z1121" i="1"/>
  <c r="A116" i="1"/>
  <c r="C116" i="1"/>
  <c r="B116" i="1" s="1"/>
  <c r="F116" i="1"/>
  <c r="O116" i="1"/>
  <c r="T116" i="1"/>
  <c r="U116" i="1"/>
  <c r="V116" i="1"/>
  <c r="W116" i="1" s="1"/>
  <c r="Z116" i="1"/>
  <c r="F774" i="1"/>
  <c r="F1070" i="1"/>
  <c r="F1809" i="1"/>
  <c r="F1164" i="1"/>
  <c r="F1757" i="1"/>
  <c r="F1356" i="1"/>
  <c r="F1630" i="1"/>
  <c r="F757" i="1"/>
  <c r="F1569" i="1"/>
  <c r="F1553" i="1"/>
  <c r="F1762" i="1"/>
  <c r="F1181" i="1"/>
  <c r="F1963" i="1"/>
  <c r="F1146" i="1"/>
  <c r="F1142" i="1"/>
  <c r="F1643" i="1"/>
  <c r="F775" i="1"/>
  <c r="F1350" i="1"/>
  <c r="F274" i="1"/>
  <c r="F266" i="1"/>
  <c r="F795" i="1"/>
  <c r="F462" i="1"/>
  <c r="F321" i="1"/>
  <c r="F1432" i="1"/>
  <c r="F942" i="1"/>
  <c r="F234" i="1"/>
  <c r="F255" i="1"/>
  <c r="F473" i="1"/>
  <c r="F275" i="1"/>
  <c r="F466" i="1"/>
  <c r="F1232" i="1"/>
  <c r="F1898" i="1"/>
  <c r="F1914" i="1"/>
  <c r="F1571" i="1"/>
  <c r="F1215" i="1"/>
  <c r="F1008" i="1"/>
  <c r="F1854" i="1"/>
  <c r="F740" i="1"/>
  <c r="F1174" i="1"/>
  <c r="F1679" i="1"/>
  <c r="F1269" i="1"/>
  <c r="F1750" i="1"/>
  <c r="F1170" i="1"/>
  <c r="F1462" i="1"/>
  <c r="F1157" i="1"/>
  <c r="F1479" i="1"/>
  <c r="F1261" i="1"/>
  <c r="F1780" i="1"/>
  <c r="F1781" i="1"/>
  <c r="F1136" i="1"/>
  <c r="F214" i="1"/>
  <c r="F1548" i="1"/>
  <c r="F1610" i="1"/>
  <c r="F1755" i="1"/>
  <c r="F1148" i="1"/>
  <c r="F1603" i="1"/>
  <c r="F754" i="1"/>
  <c r="F1251" i="1"/>
  <c r="F1415" i="1"/>
  <c r="F1801" i="1"/>
  <c r="F1590" i="1"/>
  <c r="F1457" i="1"/>
  <c r="F1273" i="1"/>
  <c r="F1601" i="1"/>
  <c r="F911" i="1"/>
  <c r="F461" i="1"/>
  <c r="F912" i="1"/>
  <c r="F883" i="1"/>
  <c r="F339" i="1"/>
  <c r="F1291" i="1"/>
  <c r="F1316" i="1"/>
  <c r="F926" i="1"/>
  <c r="F1005" i="1"/>
  <c r="F744" i="1"/>
  <c r="F723" i="1"/>
  <c r="F933" i="1"/>
  <c r="F628" i="1"/>
  <c r="F724" i="1"/>
  <c r="F698" i="1"/>
  <c r="F1069" i="1"/>
  <c r="F793" i="1"/>
  <c r="F725" i="1"/>
  <c r="F576" i="1"/>
  <c r="F254" i="1"/>
  <c r="F226" i="1"/>
  <c r="F465" i="1"/>
  <c r="F612" i="1"/>
  <c r="F786" i="1"/>
  <c r="F1154" i="1"/>
  <c r="F1641" i="1"/>
  <c r="F1759" i="1"/>
  <c r="F1395" i="1"/>
  <c r="F1799" i="1"/>
  <c r="F1763" i="1"/>
  <c r="F1903" i="1"/>
  <c r="F1733" i="1"/>
  <c r="F1528" i="1"/>
  <c r="F1410" i="1"/>
  <c r="F2015" i="1"/>
  <c r="F1178" i="1"/>
  <c r="F1512" i="1"/>
  <c r="F1847" i="1"/>
  <c r="F1829" i="1"/>
  <c r="F810" i="1"/>
  <c r="F1997" i="1"/>
  <c r="F1305" i="1"/>
  <c r="F832" i="1"/>
  <c r="F1516" i="1"/>
  <c r="F107" i="1"/>
  <c r="F1937" i="1"/>
  <c r="F1449" i="1"/>
  <c r="F1908" i="1"/>
  <c r="F640" i="1"/>
  <c r="F1881" i="1"/>
  <c r="F603" i="1"/>
  <c r="F2094" i="1"/>
  <c r="F1557" i="1"/>
  <c r="F1675" i="1"/>
  <c r="F534" i="1"/>
  <c r="F1060" i="1"/>
  <c r="F756" i="1"/>
  <c r="F446" i="1"/>
  <c r="F572" i="1"/>
  <c r="F224" i="1"/>
  <c r="F347" i="1"/>
  <c r="F368" i="1"/>
  <c r="F385" i="1"/>
  <c r="F1574" i="1"/>
  <c r="F276" i="1"/>
  <c r="F537" i="1"/>
  <c r="F669" i="1"/>
  <c r="F1151" i="1"/>
  <c r="F1522" i="1"/>
  <c r="F208" i="1"/>
  <c r="F221" i="1"/>
  <c r="F319" i="1"/>
  <c r="F702" i="1"/>
  <c r="F1328" i="1"/>
  <c r="F100" i="1"/>
  <c r="F850" i="1"/>
  <c r="F1172" i="1"/>
  <c r="F1568" i="1"/>
  <c r="F1691" i="1"/>
  <c r="F444" i="1"/>
  <c r="F101" i="1"/>
  <c r="F697" i="1"/>
  <c r="F733" i="1"/>
  <c r="F858" i="1"/>
  <c r="F1955" i="1"/>
  <c r="F165" i="1"/>
  <c r="F233" i="1"/>
  <c r="F235" i="1"/>
  <c r="F296" i="1"/>
  <c r="F102" i="1"/>
  <c r="F199" i="1"/>
  <c r="F253" i="1"/>
  <c r="F673" i="1"/>
  <c r="F1979" i="1"/>
  <c r="F517" i="1"/>
  <c r="F533" i="1"/>
  <c r="F337" i="1"/>
  <c r="F146" i="1"/>
  <c r="F297" i="1"/>
  <c r="F377" i="1"/>
  <c r="F563" i="1"/>
  <c r="F1560" i="1"/>
  <c r="F175" i="1"/>
  <c r="F690" i="1"/>
  <c r="F232" i="1"/>
  <c r="F286" i="1"/>
  <c r="F382" i="1"/>
  <c r="F437" i="1"/>
  <c r="F863" i="1"/>
  <c r="F1740" i="1"/>
  <c r="F148" i="1"/>
  <c r="F159" i="1"/>
  <c r="F242" i="1"/>
  <c r="F372" i="1"/>
  <c r="F418" i="1"/>
  <c r="F650" i="1"/>
  <c r="F663" i="1"/>
  <c r="F1719" i="1"/>
  <c r="F166" i="1"/>
  <c r="F574" i="1"/>
  <c r="F160" i="1"/>
  <c r="F218" i="1"/>
  <c r="F303" i="1"/>
  <c r="F613" i="1"/>
  <c r="F882" i="1"/>
  <c r="F903" i="1"/>
  <c r="F1743" i="1"/>
  <c r="F265" i="1"/>
  <c r="F231" i="1"/>
  <c r="F158" i="1"/>
  <c r="F501" i="1"/>
  <c r="F844" i="1"/>
  <c r="F925" i="1"/>
  <c r="F1026" i="1"/>
  <c r="F1909" i="1"/>
  <c r="F127" i="1"/>
  <c r="F170" i="1"/>
  <c r="F379" i="1"/>
  <c r="F381" i="1"/>
  <c r="F535" i="1"/>
  <c r="F1850" i="1"/>
  <c r="F157" i="1"/>
  <c r="F164" i="1"/>
  <c r="F350" i="1"/>
  <c r="F893" i="1"/>
  <c r="F939" i="1"/>
  <c r="F1784" i="1"/>
  <c r="F598" i="1"/>
  <c r="F915" i="1"/>
  <c r="F270" i="1"/>
  <c r="F1509" i="1"/>
  <c r="F256" i="1"/>
  <c r="F654" i="1"/>
  <c r="F191" i="1"/>
  <c r="F171" i="1"/>
  <c r="F219" i="1"/>
  <c r="F1638" i="1"/>
  <c r="F472" i="1"/>
  <c r="F773" i="1"/>
  <c r="F239" i="1"/>
  <c r="F167" i="1"/>
  <c r="F311" i="1"/>
  <c r="F195" i="1"/>
  <c r="F1455" i="1"/>
  <c r="F823" i="1"/>
  <c r="F1243" i="1"/>
  <c r="F362" i="1"/>
  <c r="F834" i="1"/>
  <c r="F826" i="1"/>
  <c r="F575" i="1"/>
  <c r="F126" i="1"/>
  <c r="F1607" i="1"/>
  <c r="F755" i="1"/>
  <c r="F1644" i="1"/>
  <c r="F1267" i="1"/>
  <c r="F1068" i="1"/>
  <c r="F1971" i="1"/>
  <c r="F2088" i="1"/>
  <c r="F1621" i="1"/>
  <c r="F913" i="1"/>
  <c r="F2010" i="1"/>
  <c r="F789" i="1"/>
  <c r="F2025" i="1"/>
  <c r="F56" i="1"/>
  <c r="F639" i="1"/>
  <c r="F1692" i="1"/>
  <c r="F1729" i="1"/>
  <c r="F676" i="1"/>
  <c r="F480" i="1"/>
  <c r="F590" i="1"/>
  <c r="F1807" i="1"/>
  <c r="F2014" i="1"/>
  <c r="F119" i="1"/>
  <c r="F63" i="1"/>
  <c r="F749" i="1"/>
  <c r="F543" i="1"/>
  <c r="F2102" i="1"/>
  <c r="F2" i="1"/>
  <c r="F12" i="1"/>
  <c r="F3" i="1"/>
  <c r="F818" i="1"/>
  <c r="F227" i="1"/>
  <c r="F1934" i="1"/>
  <c r="F898" i="1"/>
  <c r="F498" i="1"/>
  <c r="F1047" i="1"/>
  <c r="F1205" i="1"/>
  <c r="F610" i="1"/>
  <c r="F601" i="1"/>
  <c r="F611" i="1"/>
  <c r="F1066" i="1"/>
  <c r="F729" i="1"/>
  <c r="F1372" i="1"/>
  <c r="F730" i="1"/>
  <c r="F1354" i="1"/>
  <c r="F638" i="1"/>
  <c r="F956" i="1"/>
  <c r="F1104" i="1"/>
  <c r="F745" i="1"/>
  <c r="F658" i="1"/>
  <c r="F409" i="1"/>
  <c r="F812" i="1"/>
  <c r="F298" i="1"/>
  <c r="F1249" i="1"/>
  <c r="F1226" i="1"/>
  <c r="F1302" i="1"/>
  <c r="F859" i="1"/>
  <c r="F684" i="1"/>
  <c r="F236" i="1"/>
  <c r="F931" i="1"/>
  <c r="F738" i="1"/>
  <c r="F1319" i="1"/>
  <c r="F1193" i="1"/>
  <c r="F899" i="1"/>
  <c r="F604" i="1"/>
  <c r="F414" i="1"/>
  <c r="F313" i="1"/>
  <c r="F344" i="1"/>
  <c r="F352" i="1"/>
  <c r="F460" i="1"/>
  <c r="F304" i="1"/>
  <c r="F268" i="1"/>
  <c r="F636" i="1"/>
  <c r="F586" i="1"/>
  <c r="F622" i="1"/>
  <c r="F442" i="1"/>
  <c r="F599" i="1"/>
  <c r="F139" i="1"/>
  <c r="F512" i="1"/>
  <c r="F1086" i="1"/>
  <c r="F217" i="1"/>
  <c r="F41" i="1"/>
  <c r="F857" i="1"/>
  <c r="F1873" i="1"/>
  <c r="F373" i="1"/>
  <c r="F704" i="1"/>
  <c r="F2024" i="1"/>
  <c r="F1600" i="1"/>
  <c r="F989" i="1"/>
  <c r="F1508" i="1"/>
  <c r="F293" i="1"/>
  <c r="F739" i="1"/>
  <c r="F1313" i="1"/>
  <c r="F451" i="1"/>
  <c r="F1863" i="1"/>
  <c r="F2037" i="1"/>
  <c r="F1672" i="1"/>
  <c r="F1768" i="1"/>
  <c r="F1187" i="1"/>
  <c r="F1899" i="1"/>
  <c r="F1992" i="1"/>
  <c r="F1872" i="1"/>
  <c r="F851" i="1"/>
  <c r="F1983" i="1"/>
  <c r="F1144" i="1"/>
  <c r="F1427" i="1"/>
  <c r="F1498" i="1"/>
  <c r="F1499" i="1"/>
  <c r="F1075" i="1"/>
  <c r="F1076" i="1"/>
  <c r="F1077" i="1"/>
  <c r="F1078" i="1"/>
  <c r="F1500" i="1"/>
  <c r="F1079" i="1"/>
  <c r="F1080" i="1"/>
  <c r="F713" i="1"/>
  <c r="F714" i="1"/>
  <c r="F932" i="1"/>
  <c r="F715" i="1"/>
  <c r="F781" i="1"/>
  <c r="F782" i="1"/>
  <c r="F783" i="1"/>
  <c r="F784" i="1"/>
  <c r="F1501" i="1"/>
  <c r="F1502" i="1"/>
  <c r="F1081" i="1"/>
  <c r="F1082" i="1"/>
  <c r="F1403" i="1"/>
  <c r="F1083" i="1"/>
  <c r="F1084" i="1"/>
  <c r="F1085" i="1"/>
  <c r="F966" i="1"/>
  <c r="F941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529" i="1"/>
  <c r="F1503" i="1"/>
  <c r="F9" i="1"/>
  <c r="F1102" i="1"/>
  <c r="F1103" i="1"/>
  <c r="F109" i="1"/>
  <c r="F1505" i="1"/>
  <c r="F1105" i="1"/>
  <c r="F1106" i="1"/>
  <c r="F1107" i="1"/>
  <c r="F1108" i="1"/>
  <c r="F1248" i="1"/>
  <c r="F1109" i="1"/>
  <c r="F1110" i="1"/>
  <c r="F1016" i="1"/>
  <c r="F1111" i="1"/>
  <c r="F1112" i="1"/>
  <c r="F1113" i="1"/>
  <c r="F1114" i="1"/>
  <c r="F923" i="1"/>
  <c r="F1115" i="1"/>
  <c r="F1116" i="1"/>
  <c r="F1117" i="1"/>
  <c r="F1118" i="1"/>
  <c r="F1119" i="1"/>
  <c r="F211" i="1"/>
  <c r="F916" i="1"/>
  <c r="F388" i="1"/>
  <c r="F360" i="1"/>
  <c r="F1217" i="1"/>
  <c r="F294" i="1"/>
  <c r="F258" i="1"/>
  <c r="F470" i="1"/>
  <c r="F561" i="1"/>
  <c r="F207" i="1"/>
  <c r="F225" i="1"/>
  <c r="F247" i="1"/>
  <c r="F215" i="1"/>
  <c r="F408" i="1"/>
  <c r="F273" i="1"/>
  <c r="F1309" i="1"/>
  <c r="F862" i="1"/>
  <c r="F921" i="1"/>
  <c r="F197" i="1"/>
  <c r="F33" i="1"/>
  <c r="F1406" i="1"/>
  <c r="F975" i="1"/>
  <c r="F1160" i="1"/>
  <c r="F1407" i="1"/>
  <c r="F1285" i="1"/>
  <c r="F1264" i="1"/>
  <c r="F1614" i="1"/>
  <c r="F1450" i="1"/>
  <c r="F1402" i="1"/>
  <c r="F1138" i="1"/>
  <c r="F1480" i="1"/>
  <c r="F212" i="1"/>
  <c r="F1513" i="1"/>
  <c r="F618" i="1"/>
  <c r="F252" i="1"/>
  <c r="F591" i="1"/>
  <c r="F807" i="1"/>
  <c r="F335" i="1"/>
  <c r="F892" i="1"/>
  <c r="F1019" i="1"/>
  <c r="F1147" i="1"/>
  <c r="F1209" i="1"/>
  <c r="F1290" i="1"/>
  <c r="F190" i="1"/>
  <c r="F1284" i="1"/>
  <c r="F150" i="1"/>
  <c r="F334" i="1"/>
  <c r="F213" i="1"/>
  <c r="F389" i="1"/>
  <c r="F314" i="1"/>
  <c r="F315" i="1"/>
  <c r="F361" i="1"/>
  <c r="F238" i="1"/>
  <c r="F354" i="1"/>
  <c r="F1323" i="1"/>
  <c r="F518" i="1"/>
  <c r="F1015" i="1"/>
  <c r="F1526" i="1"/>
  <c r="F1318" i="1"/>
  <c r="F1727" i="1"/>
  <c r="F1504" i="1"/>
  <c r="F1693" i="1"/>
  <c r="F1387" i="1"/>
  <c r="F245" i="1"/>
  <c r="F27" i="1"/>
  <c r="F19" i="1"/>
  <c r="F1364" i="1"/>
  <c r="F1760" i="1"/>
  <c r="F993" i="1"/>
  <c r="F468" i="1"/>
  <c r="F1851" i="1"/>
  <c r="F1071" i="1"/>
  <c r="F705" i="1"/>
  <c r="F1030" i="1"/>
  <c r="F1143" i="1"/>
  <c r="F825" i="1"/>
  <c r="F957" i="1"/>
  <c r="F929" i="1"/>
  <c r="F736" i="1"/>
  <c r="F717" i="1"/>
  <c r="F840" i="1"/>
  <c r="F1257" i="1"/>
  <c r="F1371" i="1"/>
  <c r="F375" i="1"/>
  <c r="F1301" i="1"/>
  <c r="F865" i="1"/>
  <c r="F1720" i="1"/>
  <c r="F1320" i="1"/>
  <c r="F1721" i="1"/>
  <c r="F752" i="1"/>
  <c r="F1722" i="1"/>
  <c r="F1550" i="1"/>
  <c r="F1587" i="1"/>
  <c r="F1312" i="1"/>
  <c r="F1408" i="1"/>
  <c r="F83" i="1"/>
  <c r="F842" i="1"/>
  <c r="F1322" i="1"/>
  <c r="F1680" i="1"/>
  <c r="F111" i="1"/>
  <c r="F1035" i="1"/>
  <c r="F1250" i="1"/>
  <c r="F1663" i="1"/>
  <c r="F117" i="1"/>
  <c r="F251" i="1"/>
  <c r="F791" i="1"/>
  <c r="F944" i="1"/>
  <c r="F1592" i="1"/>
  <c r="F1604" i="1"/>
  <c r="F1231" i="1"/>
  <c r="F1256" i="1"/>
  <c r="F1602" i="1"/>
  <c r="F1624" i="1"/>
  <c r="F1753" i="1"/>
  <c r="F257" i="1"/>
  <c r="F263" i="1"/>
  <c r="F1615" i="1"/>
  <c r="F75" i="1"/>
  <c r="F696" i="1"/>
  <c r="F974" i="1"/>
  <c r="F1556" i="1"/>
  <c r="F631" i="1"/>
  <c r="F914" i="1"/>
  <c r="F309" i="1"/>
  <c r="F1353" i="1"/>
  <c r="F938" i="1"/>
  <c r="F943" i="1"/>
  <c r="F1206" i="1"/>
  <c r="F279" i="1"/>
  <c r="F854" i="1"/>
  <c r="F318" i="1"/>
  <c r="F1853" i="1"/>
  <c r="F290" i="1"/>
  <c r="F1702" i="1"/>
  <c r="F393" i="1"/>
  <c r="F992" i="1"/>
  <c r="F376" i="1"/>
  <c r="F249" i="1"/>
  <c r="F194" i="1"/>
  <c r="F340" i="1"/>
  <c r="F677" i="1"/>
  <c r="F1140" i="1"/>
  <c r="F674" i="1"/>
  <c r="F516" i="1"/>
  <c r="F1200" i="1"/>
  <c r="F1135" i="1"/>
  <c r="F229" i="1"/>
  <c r="F1831" i="1"/>
  <c r="F635" i="1"/>
  <c r="F133" i="1"/>
  <c r="F778" i="1"/>
  <c r="F605" i="1"/>
  <c r="F1525" i="1"/>
  <c r="F1613" i="1"/>
  <c r="F492" i="1"/>
  <c r="F371" i="1"/>
  <c r="F920" i="1"/>
  <c r="F445" i="1"/>
  <c r="F1295" i="1"/>
  <c r="F1311" i="1"/>
  <c r="F84" i="1"/>
  <c r="F894" i="1"/>
  <c r="F1272" i="1"/>
  <c r="F1039" i="1"/>
  <c r="F1252" i="1"/>
  <c r="F182" i="1"/>
  <c r="F845" i="1"/>
  <c r="F1262" i="1"/>
  <c r="F1152" i="1"/>
  <c r="F453" i="1"/>
  <c r="F804" i="1"/>
  <c r="F1196" i="1"/>
  <c r="F680" i="1"/>
  <c r="F1127" i="1"/>
  <c r="F1489" i="1"/>
  <c r="F1770" i="1"/>
  <c r="F811" i="1"/>
  <c r="F991" i="1"/>
  <c r="F619" i="1"/>
  <c r="F1062" i="1"/>
  <c r="F307" i="1"/>
  <c r="F491" i="1"/>
  <c r="F637" i="1"/>
  <c r="F1868" i="1"/>
  <c r="F1889" i="1"/>
  <c r="F1775" i="1"/>
  <c r="F602" i="1"/>
  <c r="F392" i="1"/>
  <c r="F1009" i="1"/>
  <c r="F2049" i="1"/>
  <c r="F573" i="1"/>
  <c r="F328" i="1"/>
  <c r="F1559" i="1"/>
  <c r="F1580" i="1"/>
  <c r="F1492" i="1"/>
  <c r="F1539" i="1"/>
  <c r="F1195" i="1"/>
  <c r="F178" i="1"/>
  <c r="F1329" i="1"/>
  <c r="F1240" i="1"/>
  <c r="F1158" i="1"/>
  <c r="F1286" i="1"/>
  <c r="F1595" i="1"/>
  <c r="F1572" i="1"/>
  <c r="F1369" i="1"/>
  <c r="F1175" i="1"/>
  <c r="F1201" i="1"/>
  <c r="F50" i="1"/>
  <c r="F1767" i="1"/>
  <c r="F1544" i="1"/>
  <c r="F1220" i="1"/>
  <c r="F1915" i="1"/>
  <c r="F1452" i="1"/>
  <c r="F20" i="1"/>
  <c r="F876" i="1"/>
  <c r="F1769" i="1"/>
  <c r="F1227" i="1"/>
  <c r="F1593" i="1"/>
  <c r="F1564" i="1"/>
  <c r="F1032" i="1"/>
  <c r="F89" i="1"/>
  <c r="F192" i="1"/>
  <c r="F1535" i="1"/>
  <c r="F919" i="1"/>
  <c r="F261" i="1"/>
  <c r="F452" i="1"/>
  <c r="F345" i="1"/>
  <c r="F761" i="1"/>
  <c r="F1367" i="1"/>
  <c r="F1616" i="1"/>
  <c r="F1622" i="1"/>
  <c r="F394" i="1"/>
  <c r="F108" i="1"/>
  <c r="F364" i="1"/>
  <c r="F703" i="1"/>
  <c r="F439" i="1"/>
  <c r="F1596" i="1"/>
  <c r="F532" i="1"/>
  <c r="F395" i="1"/>
  <c r="F440" i="1"/>
  <c r="F338" i="1"/>
  <c r="F1664" i="1"/>
  <c r="F1709" i="1"/>
  <c r="F1129" i="1"/>
  <c r="F1465" i="1"/>
  <c r="F39" i="1"/>
  <c r="F1007" i="1"/>
  <c r="F237" i="1"/>
  <c r="F1665" i="1"/>
  <c r="F1677" i="1"/>
  <c r="F1274" i="1"/>
  <c r="F2041" i="1"/>
  <c r="F1834" i="1"/>
  <c r="F1627" i="1"/>
  <c r="F1980" i="1"/>
  <c r="F1735" i="1"/>
  <c r="F1674" i="1"/>
  <c r="F1772" i="1"/>
  <c r="F1690" i="1"/>
  <c r="F1941" i="1"/>
  <c r="F1862" i="1"/>
  <c r="F2003" i="1"/>
  <c r="F1446" i="1"/>
  <c r="F1661" i="1"/>
  <c r="F1694" i="1"/>
  <c r="F1808" i="1"/>
  <c r="F1734" i="1"/>
  <c r="F2007" i="1"/>
  <c r="F2023" i="1"/>
  <c r="F2013" i="1"/>
  <c r="F768" i="1"/>
  <c r="F855" i="1"/>
  <c r="F92" i="1"/>
  <c r="F856" i="1"/>
  <c r="F785" i="1"/>
  <c r="F1213" i="1"/>
  <c r="F1349" i="1"/>
  <c r="F726" i="1"/>
  <c r="F1880" i="1"/>
  <c r="F85" i="1"/>
  <c r="F1458" i="1"/>
  <c r="F1932" i="1"/>
  <c r="F1785" i="1"/>
  <c r="F976" i="1"/>
  <c r="F1786" i="1"/>
  <c r="F977" i="1"/>
  <c r="F57" i="1"/>
  <c r="F1787" i="1"/>
  <c r="F978" i="1"/>
  <c r="F28" i="1"/>
  <c r="F1791" i="1"/>
  <c r="F979" i="1"/>
  <c r="F36" i="1"/>
  <c r="F1788" i="1"/>
  <c r="F980" i="1"/>
  <c r="F1789" i="1"/>
  <c r="F981" i="1"/>
  <c r="F1790" i="1"/>
  <c r="F982" i="1"/>
  <c r="F1792" i="1"/>
  <c r="F983" i="1"/>
  <c r="F1793" i="1"/>
  <c r="F984" i="1"/>
  <c r="F1794" i="1"/>
  <c r="F985" i="1"/>
  <c r="F1795" i="1"/>
  <c r="F986" i="1"/>
  <c r="F1796" i="1"/>
  <c r="F987" i="1"/>
  <c r="F1874" i="1"/>
  <c r="F988" i="1"/>
  <c r="F37" i="1"/>
  <c r="F1797" i="1"/>
  <c r="F1182" i="1"/>
  <c r="F1838" i="1"/>
  <c r="F1040" i="1"/>
  <c r="F1839" i="1"/>
  <c r="F1041" i="1"/>
  <c r="F172" i="1"/>
  <c r="F145" i="1"/>
  <c r="F1840" i="1"/>
  <c r="F1042" i="1"/>
  <c r="F153" i="1"/>
  <c r="F140" i="1"/>
  <c r="F149" i="1"/>
  <c r="F137" i="1"/>
  <c r="F1841" i="1"/>
  <c r="F1043" i="1"/>
  <c r="F363" i="1"/>
  <c r="F502" i="1"/>
  <c r="F1246" i="1"/>
  <c r="F1774" i="1"/>
  <c r="F841" i="1"/>
  <c r="F1640" i="1"/>
  <c r="F1765" i="1"/>
  <c r="F1253" i="1"/>
  <c r="F1234" i="1"/>
  <c r="F1806" i="1"/>
  <c r="F1073" i="1"/>
  <c r="F1669" i="1"/>
  <c r="F881" i="1"/>
  <c r="F262" i="1"/>
  <c r="F1670" i="1"/>
  <c r="F1074" i="1"/>
  <c r="F965" i="1"/>
  <c r="F817" i="1"/>
  <c r="F103" i="1"/>
  <c r="F1913" i="1"/>
  <c r="F731" i="1"/>
  <c r="F1718" i="1"/>
  <c r="F1782" i="1"/>
  <c r="F45" i="1"/>
  <c r="F1952" i="1"/>
  <c r="F560" i="1"/>
  <c r="F1957" i="1"/>
  <c r="F1867" i="1"/>
  <c r="F694" i="1"/>
  <c r="F1605" i="1"/>
  <c r="F821" i="1"/>
  <c r="F1433" i="1"/>
  <c r="F653" i="1"/>
  <c r="F1865" i="1"/>
  <c r="F1642" i="1"/>
  <c r="F1579" i="1"/>
  <c r="F1244" i="1"/>
  <c r="F835" i="1"/>
  <c r="F836" i="1"/>
  <c r="F1018" i="1"/>
  <c r="F1265" i="1"/>
  <c r="F1783" i="1"/>
  <c r="F1940" i="1"/>
  <c r="F972" i="1"/>
  <c r="F2035" i="1"/>
  <c r="F1058" i="1"/>
  <c r="F1591" i="1"/>
  <c r="F1558" i="1"/>
  <c r="F1059" i="1"/>
  <c r="F2021" i="1"/>
  <c r="F2069" i="1"/>
  <c r="F1984" i="1"/>
  <c r="F90" i="1"/>
  <c r="F77" i="1"/>
  <c r="F1566" i="1"/>
  <c r="F58" i="1"/>
  <c r="F5" i="1"/>
  <c r="F1168" i="1"/>
  <c r="F1779" i="1"/>
  <c r="F1998" i="1"/>
  <c r="F1237" i="1"/>
  <c r="F1416" i="1"/>
  <c r="F1185" i="1"/>
  <c r="F1210" i="1"/>
  <c r="F104" i="1"/>
  <c r="F105" i="1"/>
  <c r="F106" i="1"/>
  <c r="F1990" i="1"/>
  <c r="F1882" i="1"/>
  <c r="F2068" i="1"/>
  <c r="F60" i="1"/>
  <c r="F2019" i="1"/>
  <c r="F1766" i="1"/>
  <c r="F2029" i="1"/>
  <c r="F2096" i="1"/>
  <c r="F1933" i="1"/>
  <c r="F1573" i="1"/>
  <c r="F115" i="1"/>
  <c r="F300" i="1"/>
  <c r="F312" i="1"/>
  <c r="F320" i="1"/>
  <c r="F151" i="1"/>
  <c r="F679" i="1"/>
  <c r="F627" i="1"/>
  <c r="F366" i="1"/>
  <c r="F709" i="1"/>
  <c r="F324" i="1"/>
  <c r="F176" i="1"/>
  <c r="F1485" i="1"/>
  <c r="F78" i="1"/>
  <c r="F1715" i="1"/>
  <c r="F1304" i="1"/>
  <c r="F861" i="1"/>
  <c r="F2009" i="1"/>
  <c r="F1754" i="1"/>
  <c r="F1994" i="1"/>
  <c r="F1487" i="1"/>
  <c r="F626" i="1"/>
  <c r="F661" i="1"/>
  <c r="F325" i="1"/>
  <c r="F289" i="1"/>
  <c r="F269" i="1"/>
  <c r="F1486" i="1"/>
  <c r="F1488" i="1"/>
  <c r="F1275" i="1"/>
  <c r="F1401" i="1"/>
  <c r="F1204" i="1"/>
  <c r="F79" i="1"/>
  <c r="F1238" i="1"/>
  <c r="F1383" i="1"/>
  <c r="F1373" i="1"/>
  <c r="F181" i="1"/>
  <c r="F1405" i="1"/>
  <c r="F2000" i="1"/>
  <c r="F1967" i="1"/>
  <c r="F1968" i="1"/>
  <c r="F1999" i="1"/>
  <c r="F2001" i="1"/>
  <c r="F2026" i="1"/>
  <c r="F2027" i="1"/>
  <c r="F879" i="1"/>
  <c r="F1930" i="1"/>
  <c r="F1931" i="1"/>
  <c r="F35" i="1"/>
  <c r="F1929" i="1"/>
  <c r="F11" i="1"/>
  <c r="F1545" i="1"/>
  <c r="F1463" i="1"/>
  <c r="F1618" i="1"/>
  <c r="F1856" i="1"/>
  <c r="F47" i="1"/>
  <c r="F1536" i="1"/>
  <c r="F48" i="1"/>
  <c r="F1348" i="1"/>
  <c r="F1409" i="1"/>
  <c r="F1540" i="1"/>
  <c r="F776" i="1"/>
  <c r="F1886" i="1"/>
  <c r="F1637" i="1"/>
  <c r="F1131" i="1"/>
  <c r="F1778" i="1"/>
  <c r="F1617" i="1"/>
  <c r="F1625" i="1"/>
  <c r="F1988" i="1"/>
  <c r="F1629" i="1"/>
  <c r="F1065" i="1"/>
  <c r="F1420" i="1"/>
  <c r="F1541" i="1"/>
  <c r="F1954" i="1"/>
  <c r="F1777" i="1"/>
  <c r="F1835" i="1"/>
  <c r="F924" i="1"/>
  <c r="F805" i="1"/>
  <c r="F74" i="1"/>
  <c r="F1454" i="1"/>
  <c r="F1939" i="1"/>
  <c r="F1935" i="1"/>
  <c r="F1626" i="1"/>
  <c r="F1468" i="1"/>
  <c r="F1927" i="1"/>
  <c r="F1132" i="1"/>
  <c r="F358" i="1"/>
  <c r="F1972" i="1"/>
  <c r="F2018" i="1"/>
  <c r="F814" i="1"/>
  <c r="F1631" i="1"/>
  <c r="F1214" i="1"/>
  <c r="F815" i="1"/>
  <c r="F1133" i="1"/>
  <c r="F1861" i="1"/>
  <c r="F660" i="1"/>
  <c r="F973" i="1"/>
  <c r="F1235" i="1"/>
  <c r="F1632" i="1"/>
  <c r="F1576" i="1"/>
  <c r="F1300" i="1"/>
  <c r="F1208" i="1"/>
  <c r="F880" i="1"/>
  <c r="F1964" i="1"/>
  <c r="F794" i="1"/>
  <c r="F945" i="1"/>
  <c r="F1292" i="1"/>
  <c r="F946" i="1"/>
  <c r="F1887" i="1"/>
  <c r="F1233" i="1"/>
  <c r="F1555" i="1"/>
  <c r="F996" i="1"/>
  <c r="F1388" i="1"/>
  <c r="F1836" i="1"/>
  <c r="F80" i="1"/>
  <c r="F1150" i="1"/>
  <c r="F390" i="1"/>
  <c r="F95" i="1"/>
  <c r="F1315" i="1"/>
  <c r="F1459" i="1"/>
  <c r="F1276" i="1"/>
  <c r="F1989" i="1"/>
  <c r="F1938" i="1"/>
  <c r="F2061" i="1"/>
  <c r="F2016" i="1"/>
  <c r="F2072" i="1"/>
  <c r="F2042" i="1"/>
  <c r="F1551" i="1"/>
  <c r="F1456" i="1"/>
  <c r="F1636" i="1"/>
  <c r="F1333" i="1"/>
  <c r="F1904" i="1"/>
  <c r="F1547" i="1"/>
  <c r="F1837" i="1"/>
  <c r="F1681" i="1"/>
  <c r="F1538" i="1"/>
  <c r="F1448" i="1"/>
  <c r="F1496" i="1"/>
  <c r="F1393" i="1"/>
  <c r="F2064" i="1"/>
  <c r="F2070" i="1"/>
  <c r="F2048" i="1"/>
  <c r="F277" i="1"/>
  <c r="F1623" i="1"/>
  <c r="F1956" i="1"/>
  <c r="F1858" i="1"/>
  <c r="F1464" i="1"/>
  <c r="F1334" i="1"/>
  <c r="F1875" i="1"/>
  <c r="F1519" i="1"/>
  <c r="F1169" i="1"/>
  <c r="F1800" i="1"/>
  <c r="F1149" i="1"/>
  <c r="F1321" i="1"/>
  <c r="F1958" i="1"/>
  <c r="F1883" i="1"/>
  <c r="F2038" i="1"/>
  <c r="F1306" i="1"/>
  <c r="F1877" i="1"/>
  <c r="F1549" i="1"/>
  <c r="F1946" i="1"/>
  <c r="F1542" i="1"/>
  <c r="F1577" i="1"/>
  <c r="F1453" i="1"/>
  <c r="F278" i="1"/>
  <c r="F288" i="1"/>
  <c r="F620" i="1"/>
  <c r="F530" i="1"/>
  <c r="F750" i="1"/>
  <c r="F808" i="1"/>
  <c r="F581" i="1"/>
  <c r="F562" i="1"/>
  <c r="F737" i="1"/>
  <c r="F770" i="1"/>
  <c r="F878" i="1"/>
  <c r="F797" i="1"/>
  <c r="F905" i="1"/>
  <c r="F280" i="1"/>
  <c r="F281" i="1"/>
  <c r="F61" i="1"/>
  <c r="F86" i="1"/>
  <c r="F630" i="1"/>
  <c r="F587" i="1"/>
  <c r="F621" i="1"/>
  <c r="F433" i="1"/>
  <c r="F496" i="1"/>
  <c r="F71" i="1"/>
  <c r="F497" i="1"/>
  <c r="F764" i="1"/>
  <c r="F1061" i="1"/>
  <c r="F73" i="1"/>
  <c r="F656" i="1"/>
  <c r="F1161" i="1"/>
  <c r="F81" i="1"/>
  <c r="F1221" i="1"/>
  <c r="F1414" i="1"/>
  <c r="F1223" i="1"/>
  <c r="F1021" i="1"/>
  <c r="F1460" i="1"/>
  <c r="F98" i="1"/>
  <c r="F66" i="1"/>
  <c r="F909" i="1"/>
  <c r="F134" i="1"/>
  <c r="F803" i="1"/>
  <c r="F672" i="1"/>
  <c r="F1987" i="1"/>
  <c r="F1803" i="1"/>
  <c r="F2093" i="1"/>
  <c r="F1189" i="1"/>
  <c r="F1134" i="1"/>
  <c r="F1191" i="1"/>
  <c r="F1382" i="1"/>
  <c r="F838" i="1"/>
  <c r="F1404" i="1"/>
  <c r="F1166" i="1"/>
  <c r="F46" i="1"/>
  <c r="F1826" i="1"/>
  <c r="F2101" i="1"/>
  <c r="F2089" i="1"/>
  <c r="F2103" i="1"/>
  <c r="F2098" i="1"/>
  <c r="F742" i="1"/>
  <c r="F2104" i="1"/>
  <c r="F2100" i="1"/>
  <c r="F2105" i="1"/>
  <c r="F760" i="1"/>
  <c r="F1726" i="1"/>
  <c r="F1645" i="1"/>
  <c r="F2045" i="1"/>
  <c r="F1986" i="1"/>
  <c r="F250" i="1"/>
  <c r="F1594" i="1"/>
  <c r="F1254" i="1"/>
  <c r="F1255" i="1"/>
  <c r="F1327" i="1"/>
  <c r="F412" i="1"/>
  <c r="F1307" i="1"/>
  <c r="F1326" i="1"/>
  <c r="F1341" i="1"/>
  <c r="F1342" i="1"/>
  <c r="F1343" i="1"/>
  <c r="F1344" i="1"/>
  <c r="F1345" i="1"/>
  <c r="F1435" i="1"/>
  <c r="F1470" i="1"/>
  <c r="F1366" i="1"/>
  <c r="F1475" i="1"/>
  <c r="F51" i="1"/>
  <c r="F1476" i="1"/>
  <c r="F1376" i="1"/>
  <c r="F220" i="1"/>
  <c r="F1377" i="1"/>
  <c r="F1378" i="1"/>
  <c r="F1236" i="1"/>
  <c r="F310" i="1"/>
  <c r="F1332" i="1"/>
  <c r="F180" i="1"/>
  <c r="F1314" i="1"/>
  <c r="F597" i="1"/>
  <c r="F1399" i="1"/>
  <c r="F806" i="1"/>
  <c r="F1428" i="1"/>
  <c r="F177" i="1"/>
  <c r="F1429" i="1"/>
  <c r="F438" i="1"/>
  <c r="F1425" i="1"/>
  <c r="F135" i="1"/>
  <c r="F1472" i="1"/>
  <c r="F130" i="1"/>
  <c r="F1413" i="1"/>
  <c r="F443" i="1"/>
  <c r="F341" i="1"/>
  <c r="F1270" i="1"/>
  <c r="F141" i="1"/>
  <c r="F230" i="1"/>
  <c r="F1424" i="1"/>
  <c r="F206" i="1"/>
  <c r="F1426" i="1"/>
  <c r="F1467" i="1"/>
  <c r="F128" i="1"/>
  <c r="F136" i="1"/>
  <c r="F1417" i="1"/>
  <c r="F1188" i="1"/>
  <c r="F751" i="1"/>
  <c r="F131" i="1"/>
  <c r="F1418" i="1"/>
  <c r="F132" i="1"/>
  <c r="F1440" i="1"/>
  <c r="F464" i="1"/>
  <c r="F1431" i="1"/>
  <c r="F1473" i="1"/>
  <c r="F356" i="1"/>
  <c r="F125" i="1"/>
  <c r="F2055" i="1"/>
  <c r="F2011" i="1"/>
  <c r="F1245" i="1"/>
  <c r="F2063" i="1"/>
  <c r="F2085" i="1"/>
  <c r="F1176" i="1"/>
  <c r="F15" i="1"/>
  <c r="F2099" i="1"/>
  <c r="F16" i="1"/>
  <c r="F17" i="1"/>
  <c r="F4" i="1"/>
  <c r="F2095" i="1"/>
  <c r="F18" i="1"/>
  <c r="F1713" i="1"/>
  <c r="F267" i="1"/>
  <c r="F712" i="1"/>
  <c r="F1682" i="1"/>
  <c r="F1575" i="1"/>
  <c r="F1497" i="1"/>
  <c r="F1225" i="1"/>
  <c r="F1635" i="1"/>
  <c r="F1683" i="1"/>
  <c r="F331" i="1"/>
  <c r="F1905" i="1"/>
  <c r="F934" i="1"/>
  <c r="F490" i="1"/>
  <c r="F588" i="1"/>
  <c r="F2028" i="1"/>
  <c r="F901" i="1"/>
  <c r="F600" i="1"/>
  <c r="F1717" i="1"/>
  <c r="F65" i="1"/>
  <c r="F1004" i="1"/>
  <c r="F1628" i="1"/>
  <c r="F378" i="1"/>
  <c r="F62" i="1"/>
  <c r="F1283" i="1"/>
  <c r="F469" i="1"/>
  <c r="F1667" i="1"/>
  <c r="F1437" i="1"/>
  <c r="F67" i="1"/>
  <c r="F1646" i="1"/>
  <c r="F198" i="1"/>
  <c r="F91" i="1"/>
  <c r="F722" i="1"/>
  <c r="F1859" i="1"/>
  <c r="F143" i="1"/>
  <c r="F1392" i="1"/>
  <c r="F1281" i="1"/>
  <c r="F1381" i="1"/>
  <c r="F1478" i="1"/>
  <c r="F1165" i="1"/>
  <c r="F1852" i="1"/>
  <c r="F434" i="1"/>
  <c r="F435" i="1"/>
  <c r="F509" i="1"/>
  <c r="F510" i="1"/>
  <c r="F511" i="1"/>
  <c r="F503" i="1"/>
  <c r="F504" i="1"/>
  <c r="F505" i="1"/>
  <c r="F264" i="1"/>
  <c r="F506" i="1"/>
  <c r="F507" i="1"/>
  <c r="F508" i="1"/>
  <c r="F559" i="1"/>
  <c r="F485" i="1"/>
  <c r="F96" i="1"/>
  <c r="F474" i="1"/>
  <c r="F475" i="1"/>
  <c r="F486" i="1"/>
  <c r="F487" i="1"/>
  <c r="F488" i="1"/>
  <c r="F1910" i="1"/>
  <c r="F1991" i="1"/>
  <c r="F2017" i="1"/>
  <c r="F1969" i="1"/>
  <c r="F2030" i="1"/>
  <c r="F1993" i="1"/>
  <c r="F741" i="1"/>
  <c r="F359" i="1"/>
  <c r="F1666" i="1"/>
  <c r="F589" i="1"/>
  <c r="F1184" i="1"/>
  <c r="F1823" i="1"/>
  <c r="F792" i="1"/>
  <c r="F1521" i="1"/>
  <c r="F299" i="1"/>
  <c r="F645" i="1"/>
  <c r="F1523" i="1"/>
  <c r="F765" i="1"/>
  <c r="F1361" i="1"/>
  <c r="F688" i="1"/>
  <c r="F1362" i="1"/>
  <c r="F896" i="1"/>
  <c r="F829" i="1"/>
  <c r="F930" i="1"/>
  <c r="F1130" i="1"/>
  <c r="F431" i="1"/>
  <c r="F990" i="1"/>
  <c r="F799" i="1"/>
  <c r="F780" i="1"/>
  <c r="F1357" i="1"/>
  <c r="F1524" i="1"/>
  <c r="F1028" i="1"/>
  <c r="F1014" i="1"/>
  <c r="F644" i="1"/>
  <c r="F847" i="1"/>
  <c r="F454" i="1"/>
  <c r="F585" i="1"/>
  <c r="F1228" i="1"/>
  <c r="F565" i="1"/>
  <c r="F1398" i="1"/>
  <c r="F1293" i="1"/>
  <c r="F1546" i="1"/>
  <c r="F54" i="1"/>
  <c r="F827" i="1"/>
  <c r="F652" i="1"/>
  <c r="F1495" i="1"/>
  <c r="F1072" i="1"/>
  <c r="F1567" i="1"/>
  <c r="F1294" i="1"/>
  <c r="F769" i="1"/>
  <c r="F1194" i="1"/>
  <c r="F1673" i="1"/>
  <c r="F222" i="1"/>
  <c r="F1222" i="1"/>
  <c r="F447" i="1"/>
  <c r="F1337" i="1"/>
  <c r="F1224" i="1"/>
  <c r="F448" i="1"/>
  <c r="F1338" i="1"/>
  <c r="F449" i="1"/>
  <c r="F1339" i="1"/>
  <c r="F458" i="1"/>
  <c r="F1358" i="1"/>
  <c r="F463" i="1"/>
  <c r="F1360" i="1"/>
  <c r="F459" i="1"/>
  <c r="F1359" i="1"/>
  <c r="F1287" i="1"/>
  <c r="F1532" i="1"/>
  <c r="F689" i="1"/>
  <c r="F800" i="1"/>
  <c r="F801" i="1"/>
  <c r="F1896" i="1"/>
  <c r="F1167" i="1"/>
  <c r="F1893" i="1"/>
  <c r="F155" i="1"/>
  <c r="F1533" i="1"/>
  <c r="F849" i="1"/>
  <c r="F2067" i="1"/>
  <c r="F1271" i="1"/>
  <c r="F1936" i="1"/>
  <c r="F1911" i="1"/>
  <c r="F1978" i="1"/>
  <c r="F1443" i="1"/>
  <c r="F1917" i="1"/>
  <c r="F2052" i="1"/>
  <c r="F969" i="1"/>
  <c r="F1855" i="1"/>
  <c r="F2051" i="1"/>
  <c r="F1712" i="1"/>
  <c r="F2058" i="1"/>
  <c r="F1860" i="1"/>
  <c r="F2060" i="1"/>
  <c r="F1279" i="1"/>
  <c r="F2077" i="1"/>
  <c r="F2054" i="1"/>
  <c r="F1758" i="1"/>
  <c r="F1423" i="1"/>
  <c r="F2086" i="1"/>
  <c r="F327" i="1"/>
  <c r="F2059" i="1"/>
  <c r="F2087" i="1"/>
  <c r="F2076" i="1"/>
  <c r="F1260" i="1"/>
  <c r="F44" i="1"/>
  <c r="F1561" i="1"/>
  <c r="F1633" i="1"/>
  <c r="F1520" i="1"/>
  <c r="F1802" i="1"/>
  <c r="F813" i="1"/>
  <c r="F1812" i="1"/>
  <c r="F1346" i="1"/>
  <c r="F1554" i="1"/>
  <c r="F1203" i="1"/>
  <c r="F1439" i="1"/>
  <c r="F1380" i="1"/>
  <c r="F42" i="1"/>
  <c r="F1527" i="1"/>
  <c r="F735" i="1"/>
  <c r="F1347" i="1"/>
  <c r="F479" i="1"/>
  <c r="F670" i="1"/>
  <c r="F655" i="1"/>
  <c r="F1534" i="1"/>
  <c r="F1145" i="1"/>
  <c r="F584" i="1"/>
  <c r="F1741" i="1"/>
  <c r="F515" i="1"/>
  <c r="F1003" i="1"/>
  <c r="F1764" i="1"/>
  <c r="F906" i="1"/>
  <c r="F671" i="1"/>
  <c r="F1481" i="1"/>
  <c r="F52" i="1"/>
  <c r="F76" i="1"/>
  <c r="F531" i="1"/>
  <c r="F1441" i="1"/>
  <c r="F907" i="1"/>
  <c r="F1442" i="1"/>
  <c r="F301" i="1"/>
  <c r="F1798" i="1"/>
  <c r="F853" i="1"/>
  <c r="F1953" i="1"/>
  <c r="F1866" i="1"/>
  <c r="F1064" i="1"/>
  <c r="F31" i="1"/>
  <c r="F21" i="1"/>
  <c r="F2034" i="1"/>
  <c r="F1916" i="1"/>
  <c r="F2090" i="1"/>
  <c r="F649" i="1"/>
  <c r="F365" i="1"/>
  <c r="F864" i="1"/>
  <c r="F284" i="1"/>
  <c r="F282" i="1"/>
  <c r="F283" i="1"/>
  <c r="F596" i="1"/>
  <c r="F302" i="1"/>
  <c r="F762" i="1"/>
  <c r="F455" i="1"/>
  <c r="F1483" i="1"/>
  <c r="F1747" i="1"/>
  <c r="F1864" i="1"/>
  <c r="F1728" i="1"/>
  <c r="F34" i="1"/>
  <c r="F1776" i="1"/>
  <c r="F1833" i="1"/>
  <c r="F1588" i="1"/>
  <c r="F1648" i="1"/>
  <c r="F1649" i="1"/>
  <c r="F1652" i="1"/>
  <c r="F1510" i="1"/>
  <c r="F1650" i="1"/>
  <c r="F29" i="1"/>
  <c r="F1651" i="1"/>
  <c r="F30" i="1"/>
  <c r="F1653" i="1"/>
  <c r="F38" i="1"/>
  <c r="F1654" i="1"/>
  <c r="F1655" i="1"/>
  <c r="F1656" i="1"/>
  <c r="F1657" i="1"/>
  <c r="F1658" i="1"/>
  <c r="F1659" i="1"/>
  <c r="F1660" i="1"/>
  <c r="F1695" i="1"/>
  <c r="F1696" i="1"/>
  <c r="F1697" i="1"/>
  <c r="F1698" i="1"/>
  <c r="F1995" i="1"/>
  <c r="F332" i="1"/>
  <c r="F1229" i="1"/>
  <c r="F1885" i="1"/>
  <c r="F651" i="1"/>
  <c r="F14" i="1"/>
  <c r="F1912" i="1"/>
  <c r="F1668" i="1"/>
  <c r="F1565" i="1"/>
  <c r="F1761" i="1"/>
  <c r="F1731" i="1"/>
  <c r="F1687" i="1"/>
  <c r="F1241" i="1"/>
  <c r="F1744" i="1"/>
  <c r="F1011" i="1"/>
  <c r="F1365" i="1"/>
  <c r="F1419" i="1"/>
  <c r="F1444" i="1"/>
  <c r="F866" i="1"/>
  <c r="F884" i="1"/>
  <c r="F867" i="1"/>
  <c r="F885" i="1"/>
  <c r="F868" i="1"/>
  <c r="F886" i="1"/>
  <c r="F869" i="1"/>
  <c r="F887" i="1"/>
  <c r="F870" i="1"/>
  <c r="F888" i="1"/>
  <c r="F871" i="1"/>
  <c r="F889" i="1"/>
  <c r="F872" i="1"/>
  <c r="F890" i="1"/>
  <c r="F873" i="1"/>
  <c r="F891" i="1"/>
  <c r="F935" i="1"/>
  <c r="F947" i="1"/>
  <c r="F936" i="1"/>
  <c r="F948" i="1"/>
  <c r="F937" i="1"/>
  <c r="F949" i="1"/>
  <c r="F272" i="1"/>
  <c r="F950" i="1"/>
  <c r="F958" i="1"/>
  <c r="F200" i="1"/>
  <c r="F184" i="1"/>
  <c r="F951" i="1"/>
  <c r="F959" i="1"/>
  <c r="F952" i="1"/>
  <c r="F960" i="1"/>
  <c r="F201" i="1"/>
  <c r="F185" i="1"/>
  <c r="F953" i="1"/>
  <c r="F961" i="1"/>
  <c r="F202" i="1"/>
  <c r="F186" i="1"/>
  <c r="F1173" i="1"/>
  <c r="F1703" i="1"/>
  <c r="F1704" i="1"/>
  <c r="F1609" i="1"/>
  <c r="F1543" i="1"/>
  <c r="F88" i="1"/>
  <c r="F1705" i="1"/>
  <c r="F87" i="1"/>
  <c r="F1706" i="1"/>
  <c r="F1707" i="1"/>
  <c r="F1708" i="1"/>
  <c r="F1724" i="1"/>
  <c r="F875" i="1"/>
  <c r="F1725" i="1"/>
  <c r="F1810" i="1"/>
  <c r="F152" i="1"/>
  <c r="F1811" i="1"/>
  <c r="F1813" i="1"/>
  <c r="F1814" i="1"/>
  <c r="F1815" i="1"/>
  <c r="F1816" i="1"/>
  <c r="F94" i="1"/>
  <c r="F138" i="1"/>
  <c r="F1820" i="1"/>
  <c r="F1821" i="1"/>
  <c r="F396" i="1"/>
  <c r="F397" i="1"/>
  <c r="F97" i="1"/>
  <c r="F398" i="1"/>
  <c r="F399" i="1"/>
  <c r="F400" i="1"/>
  <c r="F401" i="1"/>
  <c r="F402" i="1"/>
  <c r="F403" i="1"/>
  <c r="F404" i="1"/>
  <c r="F405" i="1"/>
  <c r="F406" i="1"/>
  <c r="F407" i="1"/>
  <c r="F420" i="1"/>
  <c r="F421" i="1"/>
  <c r="F422" i="1"/>
  <c r="F423" i="1"/>
  <c r="F424" i="1"/>
  <c r="F425" i="1"/>
  <c r="F1563" i="1"/>
  <c r="F1247" i="1"/>
  <c r="F1400" i="1"/>
  <c r="F1192" i="1"/>
  <c r="F1258" i="1"/>
  <c r="F617" i="1"/>
  <c r="F728" i="1"/>
  <c r="F1531" i="1"/>
  <c r="F1390" i="1"/>
  <c r="F1317" i="1"/>
  <c r="F1710" i="1"/>
  <c r="F634" i="1"/>
  <c r="F179" i="1"/>
  <c r="F415" i="1"/>
  <c r="F342" i="1"/>
  <c r="F695" i="1"/>
  <c r="F110" i="1"/>
  <c r="F1732" i="1"/>
  <c r="F790" i="1"/>
  <c r="F308" i="1"/>
  <c r="F2004" i="1"/>
  <c r="F940" i="1"/>
  <c r="F2082" i="1"/>
  <c r="F683" i="1"/>
  <c r="F519" i="1"/>
  <c r="F928" i="1"/>
  <c r="F82" i="1"/>
  <c r="F228" i="1"/>
  <c r="F802" i="1"/>
  <c r="F798" i="1"/>
  <c r="F592" i="1"/>
  <c r="F753" i="1"/>
  <c r="F662" i="1"/>
  <c r="F830" i="1"/>
  <c r="F1982" i="1"/>
  <c r="F1597" i="1"/>
  <c r="F2080" i="1"/>
  <c r="F569" i="1"/>
  <c r="F10" i="1"/>
  <c r="F8" i="1"/>
  <c r="F7" i="1"/>
  <c r="F2097" i="1"/>
  <c r="F13" i="1"/>
  <c r="F374" i="1"/>
  <c r="F2091" i="1"/>
  <c r="F112" i="1"/>
  <c r="F113" i="1"/>
  <c r="F114" i="1"/>
  <c r="F2084" i="1"/>
  <c r="F1340" i="1"/>
  <c r="F1282" i="1"/>
  <c r="F520" i="1"/>
  <c r="F1944" i="1"/>
  <c r="F521" i="1"/>
  <c r="F522" i="1"/>
  <c r="F523" i="1"/>
  <c r="F524" i="1"/>
  <c r="F525" i="1"/>
  <c r="F467" i="1"/>
  <c r="F526" i="1"/>
  <c r="F494" i="1"/>
  <c r="F1945" i="1"/>
  <c r="F527" i="1"/>
  <c r="F528" i="1"/>
  <c r="F481" i="1"/>
  <c r="F567" i="1"/>
  <c r="F1330" i="1"/>
  <c r="F346" i="1"/>
  <c r="F629" i="1"/>
  <c r="F1970" i="1"/>
  <c r="F665" i="1"/>
  <c r="F1331" i="1"/>
  <c r="F666" i="1"/>
  <c r="F625" i="1"/>
  <c r="F895" i="1"/>
  <c r="F831" i="1"/>
  <c r="F1363" i="1"/>
  <c r="F1647" i="1"/>
  <c r="F682" i="1"/>
  <c r="F349" i="1"/>
  <c r="F1023" i="1"/>
  <c r="F908" i="1"/>
  <c r="F999" i="1"/>
  <c r="F1002" i="1"/>
  <c r="F995" i="1"/>
  <c r="F998" i="1"/>
  <c r="F1000" i="1"/>
  <c r="F1013" i="1"/>
  <c r="F1034" i="1"/>
  <c r="F1048" i="1"/>
  <c r="F1049" i="1"/>
  <c r="F1038" i="1"/>
  <c r="F1051" i="1"/>
  <c r="F1052" i="1"/>
  <c r="F1053" i="1"/>
  <c r="F1153" i="1"/>
  <c r="F582" i="1"/>
  <c r="F544" i="1"/>
  <c r="F545" i="1"/>
  <c r="F546" i="1"/>
  <c r="F547" i="1"/>
  <c r="F557" i="1"/>
  <c r="F548" i="1"/>
  <c r="F549" i="1"/>
  <c r="F550" i="1"/>
  <c r="F551" i="1"/>
  <c r="F552" i="1"/>
  <c r="F553" i="1"/>
  <c r="F554" i="1"/>
  <c r="F555" i="1"/>
  <c r="F1890" i="1"/>
  <c r="F1985" i="1"/>
  <c r="F2005" i="1"/>
  <c r="F2062" i="1"/>
  <c r="F2008" i="1"/>
  <c r="F1976" i="1"/>
  <c r="F2006" i="1"/>
  <c r="F1606" i="1"/>
  <c r="F2036" i="1"/>
  <c r="F1996" i="1"/>
  <c r="F2083" i="1"/>
  <c r="F2039" i="1"/>
  <c r="F2079" i="1"/>
  <c r="F2046" i="1"/>
  <c r="F2040" i="1"/>
  <c r="F997" i="1"/>
  <c r="F1671" i="1"/>
  <c r="F1056" i="1"/>
  <c r="F1171" i="1"/>
  <c r="F1374" i="1"/>
  <c r="F1057" i="1"/>
  <c r="F1180" i="1"/>
  <c r="F32" i="1"/>
  <c r="F1878" i="1"/>
  <c r="F1054" i="1"/>
  <c r="F1141" i="1"/>
  <c r="F1296" i="1"/>
  <c r="F1375" i="1"/>
  <c r="F1857" i="1"/>
  <c r="F1198" i="1"/>
  <c r="F1156" i="1"/>
  <c r="F1686" i="1"/>
  <c r="F248" i="1"/>
  <c r="F964" i="1"/>
  <c r="F59" i="1"/>
  <c r="F1745" i="1"/>
  <c r="F1370" i="1"/>
  <c r="F771" i="1"/>
  <c r="F1297" i="1"/>
  <c r="F1186" i="1"/>
  <c r="F1688" i="1"/>
  <c r="F1447" i="1"/>
  <c r="F1212" i="1"/>
  <c r="F355" i="1"/>
  <c r="F1396" i="1"/>
  <c r="F732" i="1"/>
  <c r="F1598" i="1"/>
  <c r="F1055" i="1"/>
  <c r="F687" i="1"/>
  <c r="F994" i="1"/>
  <c r="F699" i="1"/>
  <c r="F2044" i="1"/>
  <c r="F6" i="1"/>
  <c r="F1006" i="1"/>
  <c r="F710" i="1"/>
  <c r="F1022" i="1"/>
  <c r="F1199" i="1"/>
  <c r="F1469" i="1"/>
  <c r="F1298" i="1"/>
  <c r="F1385" i="1"/>
  <c r="F1268" i="1"/>
  <c r="F609" i="1"/>
  <c r="F796" i="1"/>
  <c r="F1368" i="1"/>
  <c r="F846" i="1"/>
  <c r="F1031" i="1"/>
  <c r="F1397" i="1"/>
  <c r="F72" i="1"/>
  <c r="F244" i="1"/>
  <c r="F1001" i="1"/>
  <c r="F1537" i="1"/>
  <c r="F243" i="1"/>
  <c r="F1474" i="1"/>
  <c r="F1599" i="1"/>
  <c r="F210" i="1"/>
  <c r="F577" i="1"/>
  <c r="F758" i="1"/>
  <c r="F317" i="1"/>
  <c r="F580" i="1"/>
  <c r="F1445" i="1"/>
  <c r="F411" i="1"/>
  <c r="F353" i="1"/>
  <c r="F323" i="1"/>
  <c r="F772" i="1"/>
  <c r="F1211" i="1"/>
  <c r="F860" i="1"/>
  <c r="F367" i="1"/>
  <c r="F657" i="1"/>
  <c r="F413" i="1"/>
  <c r="F343" i="1"/>
  <c r="F1303" i="1"/>
  <c r="F322" i="1"/>
  <c r="F685" i="1"/>
  <c r="F351" i="1"/>
  <c r="F777" i="1"/>
  <c r="F70" i="1"/>
  <c r="F285" i="1"/>
  <c r="F1849" i="1"/>
  <c r="F55" i="1"/>
  <c r="F1869" i="1"/>
  <c r="F1902" i="1"/>
  <c r="F1824" i="1"/>
  <c r="F1876" i="1"/>
  <c r="F23" i="1"/>
  <c r="F43" i="1"/>
  <c r="F1892" i="1"/>
  <c r="F147" i="1"/>
  <c r="F24" i="1"/>
  <c r="F1918" i="1"/>
  <c r="F25" i="1"/>
  <c r="F1919" i="1"/>
  <c r="F26" i="1"/>
  <c r="F1920" i="1"/>
  <c r="F22" i="1"/>
  <c r="F1921" i="1"/>
  <c r="F1922" i="1"/>
  <c r="F1923" i="1"/>
  <c r="F1924" i="1"/>
  <c r="F49" i="1"/>
  <c r="F1925" i="1"/>
  <c r="F1926" i="1"/>
  <c r="F173" i="1"/>
  <c r="F1947" i="1"/>
  <c r="F1948" i="1"/>
  <c r="F1949" i="1"/>
  <c r="F1582" i="1"/>
  <c r="F1581" i="1"/>
  <c r="F1827" i="1"/>
  <c r="F1981" i="1"/>
  <c r="F1583" i="1"/>
  <c r="F1584" i="1"/>
  <c r="F1163" i="1"/>
  <c r="F1477" i="1"/>
  <c r="F1736" i="1"/>
  <c r="F1619" i="1"/>
  <c r="F295" i="1"/>
  <c r="F1974" i="1"/>
  <c r="F1335" i="1"/>
  <c r="F1737" i="1"/>
  <c r="F1897" i="1"/>
  <c r="F1585" i="1"/>
  <c r="F1828" i="1"/>
  <c r="F1900" i="1"/>
  <c r="F1742" i="1"/>
  <c r="F1965" i="1"/>
  <c r="F1751" i="1"/>
  <c r="F1746" i="1"/>
  <c r="F1870" i="1"/>
  <c r="F1894" i="1"/>
  <c r="F1975" i="1"/>
  <c r="F1336" i="1"/>
  <c r="F927" i="1"/>
  <c r="F336" i="1"/>
  <c r="F1586" i="1"/>
  <c r="F1739" i="1"/>
  <c r="F1738" i="1"/>
  <c r="F1901" i="1"/>
  <c r="F419" i="1"/>
  <c r="F369" i="1"/>
  <c r="F387" i="1"/>
  <c r="F700" i="1"/>
  <c r="F1325" i="1"/>
  <c r="F326" i="1"/>
  <c r="F593" i="1"/>
  <c r="F608" i="1"/>
  <c r="F1384" i="1"/>
  <c r="F558" i="1"/>
  <c r="F1748" i="1"/>
  <c r="F370" i="1"/>
  <c r="F193" i="1"/>
  <c r="F643" i="1"/>
  <c r="F759" i="1"/>
  <c r="F1112" i="6"/>
  <c r="F1103" i="6"/>
  <c r="F1109" i="6"/>
  <c r="F1110" i="6"/>
  <c r="F1105" i="6"/>
  <c r="F1108" i="6"/>
  <c r="F1107" i="6"/>
  <c r="F1111" i="6"/>
  <c r="F1106" i="6"/>
  <c r="I1112" i="6"/>
  <c r="I1103" i="6"/>
  <c r="I1109" i="6"/>
  <c r="I1110" i="6"/>
  <c r="I1105" i="6"/>
  <c r="I1108" i="6"/>
  <c r="I1107" i="6"/>
  <c r="I1104" i="6"/>
  <c r="I1111" i="6"/>
  <c r="I1106" i="6"/>
  <c r="J1112" i="6"/>
  <c r="J1103" i="6"/>
  <c r="J1109" i="6"/>
  <c r="J1110" i="6"/>
  <c r="J1105" i="6"/>
  <c r="J1108" i="6"/>
  <c r="J1107" i="6"/>
  <c r="J1104" i="6"/>
  <c r="J1111" i="6"/>
  <c r="J1106" i="6"/>
  <c r="A759" i="1"/>
  <c r="C759" i="1"/>
  <c r="B759" i="1" s="1"/>
  <c r="M759" i="1"/>
  <c r="O759" i="1"/>
  <c r="U759" i="1"/>
  <c r="Y759" i="1" s="1"/>
  <c r="V759" i="1"/>
  <c r="W759" i="1" s="1"/>
  <c r="Z759" i="1"/>
  <c r="A36" i="104"/>
  <c r="B36" i="104"/>
  <c r="C36" i="104"/>
  <c r="A643" i="1"/>
  <c r="C643" i="1"/>
  <c r="B643" i="1" s="1"/>
  <c r="M643" i="1"/>
  <c r="O643" i="1"/>
  <c r="U643" i="1"/>
  <c r="Y643" i="1" s="1"/>
  <c r="V643" i="1"/>
  <c r="W643" i="1" s="1"/>
  <c r="Z643" i="1"/>
  <c r="U774" i="1"/>
  <c r="U1070" i="1"/>
  <c r="U1809" i="1"/>
  <c r="U1164" i="1"/>
  <c r="U1757" i="1"/>
  <c r="U1356" i="1"/>
  <c r="U1630" i="1"/>
  <c r="U757" i="1"/>
  <c r="U1569" i="1"/>
  <c r="U1553" i="1"/>
  <c r="U1762" i="1"/>
  <c r="U1181" i="1"/>
  <c r="U1963" i="1"/>
  <c r="U1146" i="1"/>
  <c r="U1142" i="1"/>
  <c r="U1643" i="1"/>
  <c r="U775" i="1"/>
  <c r="U1350" i="1"/>
  <c r="U274" i="1"/>
  <c r="U266" i="1"/>
  <c r="U795" i="1"/>
  <c r="U462" i="1"/>
  <c r="U321" i="1"/>
  <c r="U1432" i="1"/>
  <c r="U942" i="1"/>
  <c r="U234" i="1"/>
  <c r="U255" i="1"/>
  <c r="U473" i="1"/>
  <c r="U275" i="1"/>
  <c r="U466" i="1"/>
  <c r="U1232" i="1"/>
  <c r="U1898" i="1"/>
  <c r="U1914" i="1"/>
  <c r="U1571" i="1"/>
  <c r="U436" i="1"/>
  <c r="U727" i="1"/>
  <c r="U716" i="1"/>
  <c r="U386" i="1"/>
  <c r="U1215" i="1"/>
  <c r="U1008" i="1"/>
  <c r="U1854" i="1"/>
  <c r="U740" i="1"/>
  <c r="U1174" i="1"/>
  <c r="U1679" i="1"/>
  <c r="U1269" i="1"/>
  <c r="U1750" i="1"/>
  <c r="U1170" i="1"/>
  <c r="U1462" i="1"/>
  <c r="U1157" i="1"/>
  <c r="U1479" i="1"/>
  <c r="U1261" i="1"/>
  <c r="U1780" i="1"/>
  <c r="U1781" i="1"/>
  <c r="U1136" i="1"/>
  <c r="U214" i="1"/>
  <c r="U1548" i="1"/>
  <c r="U1610" i="1"/>
  <c r="U1755" i="1"/>
  <c r="U1148" i="1"/>
  <c r="U1603" i="1"/>
  <c r="U754" i="1"/>
  <c r="U1251" i="1"/>
  <c r="U1415" i="1"/>
  <c r="U1801" i="1"/>
  <c r="U1590" i="1"/>
  <c r="U1457" i="1"/>
  <c r="U1273" i="1"/>
  <c r="U1601" i="1"/>
  <c r="U911" i="1"/>
  <c r="U461" i="1"/>
  <c r="U912" i="1"/>
  <c r="U883" i="1"/>
  <c r="U339" i="1"/>
  <c r="U1291" i="1"/>
  <c r="U1316" i="1"/>
  <c r="U926" i="1"/>
  <c r="U1005" i="1"/>
  <c r="U744" i="1"/>
  <c r="U723" i="1"/>
  <c r="U933" i="1"/>
  <c r="U628" i="1"/>
  <c r="U724" i="1"/>
  <c r="U698" i="1"/>
  <c r="U1069" i="1"/>
  <c r="U793" i="1"/>
  <c r="U725" i="1"/>
  <c r="U576" i="1"/>
  <c r="U254" i="1"/>
  <c r="U226" i="1"/>
  <c r="U465" i="1"/>
  <c r="U612" i="1"/>
  <c r="U786" i="1"/>
  <c r="U1154" i="1"/>
  <c r="U1641" i="1"/>
  <c r="U1759" i="1"/>
  <c r="U1395" i="1"/>
  <c r="U1799" i="1"/>
  <c r="U1763" i="1"/>
  <c r="U1903" i="1"/>
  <c r="U1733" i="1"/>
  <c r="U1528" i="1"/>
  <c r="U1410" i="1"/>
  <c r="U2015" i="1"/>
  <c r="U1178" i="1"/>
  <c r="U1512" i="1"/>
  <c r="U1847" i="1"/>
  <c r="U1829" i="1"/>
  <c r="U810" i="1"/>
  <c r="U1997" i="1"/>
  <c r="U1305" i="1"/>
  <c r="U832" i="1"/>
  <c r="U1516" i="1"/>
  <c r="U107" i="1"/>
  <c r="U1937" i="1"/>
  <c r="U1449" i="1"/>
  <c r="U1908" i="1"/>
  <c r="U640" i="1"/>
  <c r="U1881" i="1"/>
  <c r="U603" i="1"/>
  <c r="U2094" i="1"/>
  <c r="U1557" i="1"/>
  <c r="U1675" i="1"/>
  <c r="U534" i="1"/>
  <c r="U1060" i="1"/>
  <c r="U756" i="1"/>
  <c r="U446" i="1"/>
  <c r="U572" i="1"/>
  <c r="U224" i="1"/>
  <c r="U347" i="1"/>
  <c r="U368" i="1"/>
  <c r="U385" i="1"/>
  <c r="U1574" i="1"/>
  <c r="U276" i="1"/>
  <c r="U537" i="1"/>
  <c r="U669" i="1"/>
  <c r="U1151" i="1"/>
  <c r="U1522" i="1"/>
  <c r="U208" i="1"/>
  <c r="U221" i="1"/>
  <c r="U319" i="1"/>
  <c r="U702" i="1"/>
  <c r="U1328" i="1"/>
  <c r="U100" i="1"/>
  <c r="U850" i="1"/>
  <c r="U1172" i="1"/>
  <c r="U1568" i="1"/>
  <c r="U1691" i="1"/>
  <c r="U444" i="1"/>
  <c r="U101" i="1"/>
  <c r="U697" i="1"/>
  <c r="U733" i="1"/>
  <c r="U858" i="1"/>
  <c r="U1955" i="1"/>
  <c r="U165" i="1"/>
  <c r="U233" i="1"/>
  <c r="U235" i="1"/>
  <c r="U296" i="1"/>
  <c r="U102" i="1"/>
  <c r="U199" i="1"/>
  <c r="U253" i="1"/>
  <c r="U673" i="1"/>
  <c r="U1979" i="1"/>
  <c r="U517" i="1"/>
  <c r="U533" i="1"/>
  <c r="U337" i="1"/>
  <c r="U146" i="1"/>
  <c r="U297" i="1"/>
  <c r="U377" i="1"/>
  <c r="U563" i="1"/>
  <c r="U1560" i="1"/>
  <c r="U175" i="1"/>
  <c r="U690" i="1"/>
  <c r="U232" i="1"/>
  <c r="U286" i="1"/>
  <c r="U382" i="1"/>
  <c r="U437" i="1"/>
  <c r="U863" i="1"/>
  <c r="U1740" i="1"/>
  <c r="U148" i="1"/>
  <c r="U159" i="1"/>
  <c r="U242" i="1"/>
  <c r="U372" i="1"/>
  <c r="U418" i="1"/>
  <c r="U650" i="1"/>
  <c r="U663" i="1"/>
  <c r="U1719" i="1"/>
  <c r="U166" i="1"/>
  <c r="U574" i="1"/>
  <c r="U160" i="1"/>
  <c r="U218" i="1"/>
  <c r="U303" i="1"/>
  <c r="U613" i="1"/>
  <c r="U882" i="1"/>
  <c r="U903" i="1"/>
  <c r="U1743" i="1"/>
  <c r="U265" i="1"/>
  <c r="U231" i="1"/>
  <c r="U158" i="1"/>
  <c r="U501" i="1"/>
  <c r="U844" i="1"/>
  <c r="U925" i="1"/>
  <c r="U1026" i="1"/>
  <c r="U1909" i="1"/>
  <c r="U127" i="1"/>
  <c r="U170" i="1"/>
  <c r="U379" i="1"/>
  <c r="U381" i="1"/>
  <c r="U535" i="1"/>
  <c r="U1850" i="1"/>
  <c r="U157" i="1"/>
  <c r="U164" i="1"/>
  <c r="U350" i="1"/>
  <c r="U893" i="1"/>
  <c r="U939" i="1"/>
  <c r="U1784" i="1"/>
  <c r="U598" i="1"/>
  <c r="U915" i="1"/>
  <c r="U270" i="1"/>
  <c r="U1509" i="1"/>
  <c r="U256" i="1"/>
  <c r="U654" i="1"/>
  <c r="U191" i="1"/>
  <c r="U171" i="1"/>
  <c r="U219" i="1"/>
  <c r="U1638" i="1"/>
  <c r="U472" i="1"/>
  <c r="U773" i="1"/>
  <c r="U239" i="1"/>
  <c r="U167" i="1"/>
  <c r="U311" i="1"/>
  <c r="U195" i="1"/>
  <c r="U1455" i="1"/>
  <c r="U823" i="1"/>
  <c r="U1243" i="1"/>
  <c r="U362" i="1"/>
  <c r="U834" i="1"/>
  <c r="U826" i="1"/>
  <c r="U575" i="1"/>
  <c r="U126" i="1"/>
  <c r="U1607" i="1"/>
  <c r="U755" i="1"/>
  <c r="U1644" i="1"/>
  <c r="U1267" i="1"/>
  <c r="U1068" i="1"/>
  <c r="U1971" i="1"/>
  <c r="U2088" i="1"/>
  <c r="U1621" i="1"/>
  <c r="U913" i="1"/>
  <c r="U2010" i="1"/>
  <c r="U789" i="1"/>
  <c r="U2025" i="1"/>
  <c r="U56" i="1"/>
  <c r="U639" i="1"/>
  <c r="U1692" i="1"/>
  <c r="U1729" i="1"/>
  <c r="U676" i="1"/>
  <c r="U480" i="1"/>
  <c r="U590" i="1"/>
  <c r="U1807" i="1"/>
  <c r="U2014" i="1"/>
  <c r="U119" i="1"/>
  <c r="U63" i="1"/>
  <c r="U749" i="1"/>
  <c r="U543" i="1"/>
  <c r="U2102" i="1"/>
  <c r="U2" i="1"/>
  <c r="U12" i="1"/>
  <c r="U3" i="1"/>
  <c r="U818" i="1"/>
  <c r="U227" i="1"/>
  <c r="U1934" i="1"/>
  <c r="U898" i="1"/>
  <c r="U498" i="1"/>
  <c r="U1047" i="1"/>
  <c r="U1205" i="1"/>
  <c r="U610" i="1"/>
  <c r="U601" i="1"/>
  <c r="U611" i="1"/>
  <c r="U1066" i="1"/>
  <c r="U729" i="1"/>
  <c r="U1372" i="1"/>
  <c r="U730" i="1"/>
  <c r="U1354" i="1"/>
  <c r="U638" i="1"/>
  <c r="U956" i="1"/>
  <c r="U1104" i="1"/>
  <c r="U745" i="1"/>
  <c r="U658" i="1"/>
  <c r="U409" i="1"/>
  <c r="U812" i="1"/>
  <c r="U298" i="1"/>
  <c r="U1249" i="1"/>
  <c r="U1226" i="1"/>
  <c r="U1302" i="1"/>
  <c r="U859" i="1"/>
  <c r="U684" i="1"/>
  <c r="U236" i="1"/>
  <c r="U931" i="1"/>
  <c r="U738" i="1"/>
  <c r="U1319" i="1"/>
  <c r="U1193" i="1"/>
  <c r="U899" i="1"/>
  <c r="U604" i="1"/>
  <c r="U414" i="1"/>
  <c r="U313" i="1"/>
  <c r="U344" i="1"/>
  <c r="U352" i="1"/>
  <c r="U460" i="1"/>
  <c r="U304" i="1"/>
  <c r="U268" i="1"/>
  <c r="U636" i="1"/>
  <c r="U586" i="1"/>
  <c r="U622" i="1"/>
  <c r="U442" i="1"/>
  <c r="U599" i="1"/>
  <c r="U139" i="1"/>
  <c r="U512" i="1"/>
  <c r="U1086" i="1"/>
  <c r="U217" i="1"/>
  <c r="U41" i="1"/>
  <c r="U857" i="1"/>
  <c r="U1873" i="1"/>
  <c r="U373" i="1"/>
  <c r="U704" i="1"/>
  <c r="U2024" i="1"/>
  <c r="U1600" i="1"/>
  <c r="U989" i="1"/>
  <c r="U1508" i="1"/>
  <c r="U293" i="1"/>
  <c r="U739" i="1"/>
  <c r="U1313" i="1"/>
  <c r="U451" i="1"/>
  <c r="U1863" i="1"/>
  <c r="U2037" i="1"/>
  <c r="U1672" i="1"/>
  <c r="U1768" i="1"/>
  <c r="U1187" i="1"/>
  <c r="U1899" i="1"/>
  <c r="U1992" i="1"/>
  <c r="U1872" i="1"/>
  <c r="U851" i="1"/>
  <c r="U1983" i="1"/>
  <c r="U1144" i="1"/>
  <c r="U1427" i="1"/>
  <c r="U1498" i="1"/>
  <c r="U1499" i="1"/>
  <c r="U1075" i="1"/>
  <c r="U1076" i="1"/>
  <c r="U1077" i="1"/>
  <c r="U1078" i="1"/>
  <c r="U1500" i="1"/>
  <c r="U1079" i="1"/>
  <c r="U1080" i="1"/>
  <c r="U713" i="1"/>
  <c r="U714" i="1"/>
  <c r="U932" i="1"/>
  <c r="U715" i="1"/>
  <c r="U781" i="1"/>
  <c r="U782" i="1"/>
  <c r="U783" i="1"/>
  <c r="U784" i="1"/>
  <c r="U1501" i="1"/>
  <c r="U1502" i="1"/>
  <c r="U1081" i="1"/>
  <c r="U1082" i="1"/>
  <c r="U1403" i="1"/>
  <c r="U1083" i="1"/>
  <c r="U1084" i="1"/>
  <c r="U1085" i="1"/>
  <c r="U966" i="1"/>
  <c r="U941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529" i="1"/>
  <c r="U1503" i="1"/>
  <c r="U9" i="1"/>
  <c r="U1102" i="1"/>
  <c r="U1103" i="1"/>
  <c r="U109" i="1"/>
  <c r="U1505" i="1"/>
  <c r="U1105" i="1"/>
  <c r="U1106" i="1"/>
  <c r="U1107" i="1"/>
  <c r="U1108" i="1"/>
  <c r="U1248" i="1"/>
  <c r="U1109" i="1"/>
  <c r="U1110" i="1"/>
  <c r="U1016" i="1"/>
  <c r="U1111" i="1"/>
  <c r="U1112" i="1"/>
  <c r="U1113" i="1"/>
  <c r="U1114" i="1"/>
  <c r="U923" i="1"/>
  <c r="U1115" i="1"/>
  <c r="U1116" i="1"/>
  <c r="U1117" i="1"/>
  <c r="U1118" i="1"/>
  <c r="U1119" i="1"/>
  <c r="U211" i="1"/>
  <c r="U916" i="1"/>
  <c r="U388" i="1"/>
  <c r="U360" i="1"/>
  <c r="U1217" i="1"/>
  <c r="U294" i="1"/>
  <c r="U258" i="1"/>
  <c r="U470" i="1"/>
  <c r="U561" i="1"/>
  <c r="U207" i="1"/>
  <c r="U225" i="1"/>
  <c r="U247" i="1"/>
  <c r="U215" i="1"/>
  <c r="U408" i="1"/>
  <c r="U273" i="1"/>
  <c r="U1309" i="1"/>
  <c r="U862" i="1"/>
  <c r="U921" i="1"/>
  <c r="U197" i="1"/>
  <c r="U33" i="1"/>
  <c r="U1406" i="1"/>
  <c r="U975" i="1"/>
  <c r="U1160" i="1"/>
  <c r="U1407" i="1"/>
  <c r="U1285" i="1"/>
  <c r="U1264" i="1"/>
  <c r="U1614" i="1"/>
  <c r="U1450" i="1"/>
  <c r="U1402" i="1"/>
  <c r="U1138" i="1"/>
  <c r="U1480" i="1"/>
  <c r="U212" i="1"/>
  <c r="U1513" i="1"/>
  <c r="U618" i="1"/>
  <c r="U252" i="1"/>
  <c r="U591" i="1"/>
  <c r="U807" i="1"/>
  <c r="U335" i="1"/>
  <c r="U892" i="1"/>
  <c r="U1019" i="1"/>
  <c r="U1147" i="1"/>
  <c r="U1209" i="1"/>
  <c r="U1290" i="1"/>
  <c r="U190" i="1"/>
  <c r="U1284" i="1"/>
  <c r="U150" i="1"/>
  <c r="U334" i="1"/>
  <c r="U213" i="1"/>
  <c r="U389" i="1"/>
  <c r="U314" i="1"/>
  <c r="U315" i="1"/>
  <c r="U361" i="1"/>
  <c r="U238" i="1"/>
  <c r="U354" i="1"/>
  <c r="U1323" i="1"/>
  <c r="U518" i="1"/>
  <c r="U1015" i="1"/>
  <c r="U1526" i="1"/>
  <c r="U1318" i="1"/>
  <c r="U1727" i="1"/>
  <c r="U1504" i="1"/>
  <c r="U1693" i="1"/>
  <c r="U1387" i="1"/>
  <c r="U245" i="1"/>
  <c r="U27" i="1"/>
  <c r="U19" i="1"/>
  <c r="U1364" i="1"/>
  <c r="U1760" i="1"/>
  <c r="U993" i="1"/>
  <c r="U468" i="1"/>
  <c r="U1851" i="1"/>
  <c r="U1071" i="1"/>
  <c r="U705" i="1"/>
  <c r="U1030" i="1"/>
  <c r="U1143" i="1"/>
  <c r="U825" i="1"/>
  <c r="U957" i="1"/>
  <c r="U929" i="1"/>
  <c r="U736" i="1"/>
  <c r="U717" i="1"/>
  <c r="U840" i="1"/>
  <c r="U1257" i="1"/>
  <c r="U1371" i="1"/>
  <c r="U375" i="1"/>
  <c r="U1301" i="1"/>
  <c r="U865" i="1"/>
  <c r="U1720" i="1"/>
  <c r="Y1720" i="1" s="1"/>
  <c r="U1320" i="1"/>
  <c r="Y1320" i="1" s="1"/>
  <c r="U1721" i="1"/>
  <c r="Y1721" i="1" s="1"/>
  <c r="U752" i="1"/>
  <c r="Y752" i="1" s="1"/>
  <c r="U1722" i="1"/>
  <c r="U1550" i="1"/>
  <c r="Y1550" i="1" s="1"/>
  <c r="U1587" i="1"/>
  <c r="U1312" i="1"/>
  <c r="U1408" i="1"/>
  <c r="U83" i="1"/>
  <c r="U842" i="1"/>
  <c r="U1322" i="1"/>
  <c r="U1680" i="1"/>
  <c r="U111" i="1"/>
  <c r="U1035" i="1"/>
  <c r="U1250" i="1"/>
  <c r="U1663" i="1"/>
  <c r="U117" i="1"/>
  <c r="U251" i="1"/>
  <c r="U791" i="1"/>
  <c r="U944" i="1"/>
  <c r="U1592" i="1"/>
  <c r="U1604" i="1"/>
  <c r="U1231" i="1"/>
  <c r="U1256" i="1"/>
  <c r="U1602" i="1"/>
  <c r="U1624" i="1"/>
  <c r="U1753" i="1"/>
  <c r="U257" i="1"/>
  <c r="U263" i="1"/>
  <c r="U1615" i="1"/>
  <c r="U75" i="1"/>
  <c r="U696" i="1"/>
  <c r="U974" i="1"/>
  <c r="U1556" i="1"/>
  <c r="U631" i="1"/>
  <c r="U914" i="1"/>
  <c r="U309" i="1"/>
  <c r="U1353" i="1"/>
  <c r="U938" i="1"/>
  <c r="U943" i="1"/>
  <c r="U1206" i="1"/>
  <c r="U279" i="1"/>
  <c r="U854" i="1"/>
  <c r="U318" i="1"/>
  <c r="U1853" i="1"/>
  <c r="U290" i="1"/>
  <c r="U1702" i="1"/>
  <c r="U393" i="1"/>
  <c r="U992" i="1"/>
  <c r="U376" i="1"/>
  <c r="U249" i="1"/>
  <c r="U194" i="1"/>
  <c r="U340" i="1"/>
  <c r="U677" i="1"/>
  <c r="U1140" i="1"/>
  <c r="U674" i="1"/>
  <c r="U516" i="1"/>
  <c r="U1200" i="1"/>
  <c r="U1135" i="1"/>
  <c r="U229" i="1"/>
  <c r="U1831" i="1"/>
  <c r="U635" i="1"/>
  <c r="U133" i="1"/>
  <c r="U778" i="1"/>
  <c r="U605" i="1"/>
  <c r="U1525" i="1"/>
  <c r="U1613" i="1"/>
  <c r="U492" i="1"/>
  <c r="U371" i="1"/>
  <c r="U920" i="1"/>
  <c r="U445" i="1"/>
  <c r="U1295" i="1"/>
  <c r="U1311" i="1"/>
  <c r="U84" i="1"/>
  <c r="U894" i="1"/>
  <c r="U1272" i="1"/>
  <c r="U1039" i="1"/>
  <c r="U1252" i="1"/>
  <c r="U182" i="1"/>
  <c r="U845" i="1"/>
  <c r="U1262" i="1"/>
  <c r="U1152" i="1"/>
  <c r="U453" i="1"/>
  <c r="U804" i="1"/>
  <c r="U1196" i="1"/>
  <c r="U680" i="1"/>
  <c r="U1127" i="1"/>
  <c r="U1489" i="1"/>
  <c r="U1770" i="1"/>
  <c r="U811" i="1"/>
  <c r="U991" i="1"/>
  <c r="U619" i="1"/>
  <c r="U1062" i="1"/>
  <c r="U307" i="1"/>
  <c r="U491" i="1"/>
  <c r="U637" i="1"/>
  <c r="U1868" i="1"/>
  <c r="U1889" i="1"/>
  <c r="U1775" i="1"/>
  <c r="U602" i="1"/>
  <c r="U392" i="1"/>
  <c r="U1009" i="1"/>
  <c r="U2049" i="1"/>
  <c r="U573" i="1"/>
  <c r="U328" i="1"/>
  <c r="U1559" i="1"/>
  <c r="U1580" i="1"/>
  <c r="U1492" i="1"/>
  <c r="U1539" i="1"/>
  <c r="U1195" i="1"/>
  <c r="U178" i="1"/>
  <c r="U1329" i="1"/>
  <c r="U1240" i="1"/>
  <c r="U1158" i="1"/>
  <c r="U1286" i="1"/>
  <c r="U1595" i="1"/>
  <c r="U1572" i="1"/>
  <c r="U1369" i="1"/>
  <c r="U1175" i="1"/>
  <c r="U1201" i="1"/>
  <c r="U50" i="1"/>
  <c r="U1767" i="1"/>
  <c r="U1544" i="1"/>
  <c r="U1220" i="1"/>
  <c r="U1915" i="1"/>
  <c r="U1452" i="1"/>
  <c r="U20" i="1"/>
  <c r="U876" i="1"/>
  <c r="U1769" i="1"/>
  <c r="U1227" i="1"/>
  <c r="U1593" i="1"/>
  <c r="U1564" i="1"/>
  <c r="U1032" i="1"/>
  <c r="U89" i="1"/>
  <c r="U192" i="1"/>
  <c r="U1535" i="1"/>
  <c r="U919" i="1"/>
  <c r="U261" i="1"/>
  <c r="U452" i="1"/>
  <c r="U345" i="1"/>
  <c r="U761" i="1"/>
  <c r="U1367" i="1"/>
  <c r="U1616" i="1"/>
  <c r="U1622" i="1"/>
  <c r="U394" i="1"/>
  <c r="U108" i="1"/>
  <c r="U364" i="1"/>
  <c r="U703" i="1"/>
  <c r="U439" i="1"/>
  <c r="U1596" i="1"/>
  <c r="U532" i="1"/>
  <c r="U395" i="1"/>
  <c r="U440" i="1"/>
  <c r="U338" i="1"/>
  <c r="U1664" i="1"/>
  <c r="U1709" i="1"/>
  <c r="U1129" i="1"/>
  <c r="U1465" i="1"/>
  <c r="U39" i="1"/>
  <c r="U1007" i="1"/>
  <c r="U237" i="1"/>
  <c r="U1665" i="1"/>
  <c r="U1677" i="1"/>
  <c r="U1274" i="1"/>
  <c r="U2041" i="1"/>
  <c r="U1834" i="1"/>
  <c r="U1627" i="1"/>
  <c r="U1980" i="1"/>
  <c r="U1735" i="1"/>
  <c r="U1674" i="1"/>
  <c r="U1772" i="1"/>
  <c r="U1690" i="1"/>
  <c r="U1941" i="1"/>
  <c r="U1862" i="1"/>
  <c r="U2003" i="1"/>
  <c r="U1446" i="1"/>
  <c r="U1661" i="1"/>
  <c r="U1694" i="1"/>
  <c r="U1808" i="1"/>
  <c r="U1734" i="1"/>
  <c r="U2007" i="1"/>
  <c r="U2023" i="1"/>
  <c r="U2013" i="1"/>
  <c r="U768" i="1"/>
  <c r="U855" i="1"/>
  <c r="U92" i="1"/>
  <c r="U856" i="1"/>
  <c r="U785" i="1"/>
  <c r="U1213" i="1"/>
  <c r="U1349" i="1"/>
  <c r="U726" i="1"/>
  <c r="U1880" i="1"/>
  <c r="U85" i="1"/>
  <c r="U1458" i="1"/>
  <c r="U1932" i="1"/>
  <c r="U1785" i="1"/>
  <c r="U976" i="1"/>
  <c r="U1786" i="1"/>
  <c r="U977" i="1"/>
  <c r="U57" i="1"/>
  <c r="U1787" i="1"/>
  <c r="U978" i="1"/>
  <c r="U28" i="1"/>
  <c r="U1791" i="1"/>
  <c r="U979" i="1"/>
  <c r="U36" i="1"/>
  <c r="U1788" i="1"/>
  <c r="U980" i="1"/>
  <c r="U1789" i="1"/>
  <c r="U981" i="1"/>
  <c r="U1790" i="1"/>
  <c r="U982" i="1"/>
  <c r="U1792" i="1"/>
  <c r="U983" i="1"/>
  <c r="U1793" i="1"/>
  <c r="U984" i="1"/>
  <c r="U1794" i="1"/>
  <c r="U985" i="1"/>
  <c r="U1795" i="1"/>
  <c r="U986" i="1"/>
  <c r="U1796" i="1"/>
  <c r="U987" i="1"/>
  <c r="U1874" i="1"/>
  <c r="U988" i="1"/>
  <c r="U37" i="1"/>
  <c r="U1797" i="1"/>
  <c r="U1182" i="1"/>
  <c r="U1838" i="1"/>
  <c r="U1040" i="1"/>
  <c r="U1839" i="1"/>
  <c r="U1041" i="1"/>
  <c r="U172" i="1"/>
  <c r="U145" i="1"/>
  <c r="U1840" i="1"/>
  <c r="U1042" i="1"/>
  <c r="U153" i="1"/>
  <c r="U140" i="1"/>
  <c r="U149" i="1"/>
  <c r="U137" i="1"/>
  <c r="U1841" i="1"/>
  <c r="U1043" i="1"/>
  <c r="U363" i="1"/>
  <c r="U502" i="1"/>
  <c r="U1246" i="1"/>
  <c r="U1774" i="1"/>
  <c r="U841" i="1"/>
  <c r="U1640" i="1"/>
  <c r="U1765" i="1"/>
  <c r="U1253" i="1"/>
  <c r="U1234" i="1"/>
  <c r="U1806" i="1"/>
  <c r="U1073" i="1"/>
  <c r="U1669" i="1"/>
  <c r="U881" i="1"/>
  <c r="U262" i="1"/>
  <c r="U1670" i="1"/>
  <c r="U1074" i="1"/>
  <c r="U965" i="1"/>
  <c r="U817" i="1"/>
  <c r="U103" i="1"/>
  <c r="U1913" i="1"/>
  <c r="U731" i="1"/>
  <c r="U1718" i="1"/>
  <c r="U1782" i="1"/>
  <c r="U45" i="1"/>
  <c r="U1952" i="1"/>
  <c r="U560" i="1"/>
  <c r="U1957" i="1"/>
  <c r="U1867" i="1"/>
  <c r="U694" i="1"/>
  <c r="U1605" i="1"/>
  <c r="U821" i="1"/>
  <c r="U1433" i="1"/>
  <c r="U653" i="1"/>
  <c r="U1865" i="1"/>
  <c r="U1642" i="1"/>
  <c r="U1579" i="1"/>
  <c r="U1244" i="1"/>
  <c r="U835" i="1"/>
  <c r="U836" i="1"/>
  <c r="U1018" i="1"/>
  <c r="U1265" i="1"/>
  <c r="U1783" i="1"/>
  <c r="U1940" i="1"/>
  <c r="U972" i="1"/>
  <c r="U2035" i="1"/>
  <c r="U1058" i="1"/>
  <c r="U1591" i="1"/>
  <c r="U1558" i="1"/>
  <c r="U1059" i="1"/>
  <c r="U2021" i="1"/>
  <c r="U2069" i="1"/>
  <c r="U1984" i="1"/>
  <c r="U90" i="1"/>
  <c r="U77" i="1"/>
  <c r="U1566" i="1"/>
  <c r="U58" i="1"/>
  <c r="U5" i="1"/>
  <c r="U1168" i="1"/>
  <c r="U1779" i="1"/>
  <c r="U1998" i="1"/>
  <c r="U1237" i="1"/>
  <c r="U1416" i="1"/>
  <c r="U1185" i="1"/>
  <c r="U1210" i="1"/>
  <c r="U104" i="1"/>
  <c r="U105" i="1"/>
  <c r="U106" i="1"/>
  <c r="U1990" i="1"/>
  <c r="U1882" i="1"/>
  <c r="U2068" i="1"/>
  <c r="U60" i="1"/>
  <c r="U2019" i="1"/>
  <c r="U1766" i="1"/>
  <c r="U2029" i="1"/>
  <c r="U2096" i="1"/>
  <c r="U1933" i="1"/>
  <c r="U1573" i="1"/>
  <c r="U115" i="1"/>
  <c r="U300" i="1"/>
  <c r="U312" i="1"/>
  <c r="U320" i="1"/>
  <c r="U151" i="1"/>
  <c r="U679" i="1"/>
  <c r="U627" i="1"/>
  <c r="U366" i="1"/>
  <c r="U709" i="1"/>
  <c r="U324" i="1"/>
  <c r="U176" i="1"/>
  <c r="U1485" i="1"/>
  <c r="U78" i="1"/>
  <c r="U1715" i="1"/>
  <c r="U1304" i="1"/>
  <c r="U861" i="1"/>
  <c r="U2009" i="1"/>
  <c r="U1754" i="1"/>
  <c r="U1994" i="1"/>
  <c r="U1487" i="1"/>
  <c r="U626" i="1"/>
  <c r="U661" i="1"/>
  <c r="U325" i="1"/>
  <c r="U289" i="1"/>
  <c r="U269" i="1"/>
  <c r="U1486" i="1"/>
  <c r="U1488" i="1"/>
  <c r="U1275" i="1"/>
  <c r="U1401" i="1"/>
  <c r="U1204" i="1"/>
  <c r="U79" i="1"/>
  <c r="U1238" i="1"/>
  <c r="U1383" i="1"/>
  <c r="U1373" i="1"/>
  <c r="U181" i="1"/>
  <c r="U1405" i="1"/>
  <c r="U2000" i="1"/>
  <c r="U1967" i="1"/>
  <c r="U1968" i="1"/>
  <c r="U1999" i="1"/>
  <c r="U2001" i="1"/>
  <c r="U2026" i="1"/>
  <c r="U2027" i="1"/>
  <c r="U879" i="1"/>
  <c r="U1930" i="1"/>
  <c r="U1931" i="1"/>
  <c r="U35" i="1"/>
  <c r="U1929" i="1"/>
  <c r="U11" i="1"/>
  <c r="U1545" i="1"/>
  <c r="U1463" i="1"/>
  <c r="U1618" i="1"/>
  <c r="U1856" i="1"/>
  <c r="U47" i="1"/>
  <c r="U1536" i="1"/>
  <c r="U48" i="1"/>
  <c r="U1348" i="1"/>
  <c r="U1409" i="1"/>
  <c r="U1540" i="1"/>
  <c r="U776" i="1"/>
  <c r="U1886" i="1"/>
  <c r="U1637" i="1"/>
  <c r="U1131" i="1"/>
  <c r="U1778" i="1"/>
  <c r="U1617" i="1"/>
  <c r="U1625" i="1"/>
  <c r="U1988" i="1"/>
  <c r="U1629" i="1"/>
  <c r="U1065" i="1"/>
  <c r="U1420" i="1"/>
  <c r="U1541" i="1"/>
  <c r="U1954" i="1"/>
  <c r="U1777" i="1"/>
  <c r="U1835" i="1"/>
  <c r="U924" i="1"/>
  <c r="U805" i="1"/>
  <c r="U74" i="1"/>
  <c r="U1454" i="1"/>
  <c r="U1939" i="1"/>
  <c r="U1935" i="1"/>
  <c r="U1626" i="1"/>
  <c r="U1468" i="1"/>
  <c r="U1927" i="1"/>
  <c r="U1132" i="1"/>
  <c r="U358" i="1"/>
  <c r="U1972" i="1"/>
  <c r="U2018" i="1"/>
  <c r="U814" i="1"/>
  <c r="U1631" i="1"/>
  <c r="U1214" i="1"/>
  <c r="U815" i="1"/>
  <c r="U1133" i="1"/>
  <c r="U1861" i="1"/>
  <c r="U660" i="1"/>
  <c r="U973" i="1"/>
  <c r="U1235" i="1"/>
  <c r="U1632" i="1"/>
  <c r="U1576" i="1"/>
  <c r="U1300" i="1"/>
  <c r="U1208" i="1"/>
  <c r="U880" i="1"/>
  <c r="U1964" i="1"/>
  <c r="U794" i="1"/>
  <c r="U945" i="1"/>
  <c r="U1292" i="1"/>
  <c r="U946" i="1"/>
  <c r="U1887" i="1"/>
  <c r="U1233" i="1"/>
  <c r="U1555" i="1"/>
  <c r="U996" i="1"/>
  <c r="U1388" i="1"/>
  <c r="U1836" i="1"/>
  <c r="U80" i="1"/>
  <c r="U1150" i="1"/>
  <c r="U390" i="1"/>
  <c r="U95" i="1"/>
  <c r="U1315" i="1"/>
  <c r="U1459" i="1"/>
  <c r="U1276" i="1"/>
  <c r="U1989" i="1"/>
  <c r="U1938" i="1"/>
  <c r="U2061" i="1"/>
  <c r="U2016" i="1"/>
  <c r="U2072" i="1"/>
  <c r="U2042" i="1"/>
  <c r="U1551" i="1"/>
  <c r="U1456" i="1"/>
  <c r="U1636" i="1"/>
  <c r="U1333" i="1"/>
  <c r="U1904" i="1"/>
  <c r="U1547" i="1"/>
  <c r="U1837" i="1"/>
  <c r="U1681" i="1"/>
  <c r="U1538" i="1"/>
  <c r="U1448" i="1"/>
  <c r="U1496" i="1"/>
  <c r="U1393" i="1"/>
  <c r="U2064" i="1"/>
  <c r="U2070" i="1"/>
  <c r="U2048" i="1"/>
  <c r="U277" i="1"/>
  <c r="U1623" i="1"/>
  <c r="U1956" i="1"/>
  <c r="U1858" i="1"/>
  <c r="U1464" i="1"/>
  <c r="U1334" i="1"/>
  <c r="U1875" i="1"/>
  <c r="U1519" i="1"/>
  <c r="U1169" i="1"/>
  <c r="U1800" i="1"/>
  <c r="U1149" i="1"/>
  <c r="U1321" i="1"/>
  <c r="U1958" i="1"/>
  <c r="U1883" i="1"/>
  <c r="U2038" i="1"/>
  <c r="U1306" i="1"/>
  <c r="U1877" i="1"/>
  <c r="U1549" i="1"/>
  <c r="U1946" i="1"/>
  <c r="U1542" i="1"/>
  <c r="U1577" i="1"/>
  <c r="U1453" i="1"/>
  <c r="U278" i="1"/>
  <c r="U288" i="1"/>
  <c r="U620" i="1"/>
  <c r="U530" i="1"/>
  <c r="U750" i="1"/>
  <c r="U808" i="1"/>
  <c r="U581" i="1"/>
  <c r="U562" i="1"/>
  <c r="U737" i="1"/>
  <c r="U770" i="1"/>
  <c r="U878" i="1"/>
  <c r="U797" i="1"/>
  <c r="U905" i="1"/>
  <c r="U280" i="1"/>
  <c r="U281" i="1"/>
  <c r="U61" i="1"/>
  <c r="U86" i="1"/>
  <c r="U630" i="1"/>
  <c r="U587" i="1"/>
  <c r="U621" i="1"/>
  <c r="U433" i="1"/>
  <c r="U496" i="1"/>
  <c r="U71" i="1"/>
  <c r="U497" i="1"/>
  <c r="U764" i="1"/>
  <c r="U1061" i="1"/>
  <c r="U73" i="1"/>
  <c r="U656" i="1"/>
  <c r="U1161" i="1"/>
  <c r="U81" i="1"/>
  <c r="U1221" i="1"/>
  <c r="U1414" i="1"/>
  <c r="U1223" i="1"/>
  <c r="U1021" i="1"/>
  <c r="U1460" i="1"/>
  <c r="U98" i="1"/>
  <c r="U66" i="1"/>
  <c r="U909" i="1"/>
  <c r="U134" i="1"/>
  <c r="U803" i="1"/>
  <c r="U672" i="1"/>
  <c r="U1987" i="1"/>
  <c r="U1803" i="1"/>
  <c r="U2093" i="1"/>
  <c r="U1189" i="1"/>
  <c r="U1134" i="1"/>
  <c r="U1191" i="1"/>
  <c r="U1382" i="1"/>
  <c r="U838" i="1"/>
  <c r="U1404" i="1"/>
  <c r="U1166" i="1"/>
  <c r="U46" i="1"/>
  <c r="U1826" i="1"/>
  <c r="U2101" i="1"/>
  <c r="U2089" i="1"/>
  <c r="U2103" i="1"/>
  <c r="U2098" i="1"/>
  <c r="U742" i="1"/>
  <c r="U2104" i="1"/>
  <c r="U2100" i="1"/>
  <c r="U2105" i="1"/>
  <c r="U760" i="1"/>
  <c r="U1726" i="1"/>
  <c r="U1645" i="1"/>
  <c r="U2045" i="1"/>
  <c r="U1986" i="1"/>
  <c r="U250" i="1"/>
  <c r="U1594" i="1"/>
  <c r="U1254" i="1"/>
  <c r="U1255" i="1"/>
  <c r="U1327" i="1"/>
  <c r="U412" i="1"/>
  <c r="U1307" i="1"/>
  <c r="U1326" i="1"/>
  <c r="U1341" i="1"/>
  <c r="U1342" i="1"/>
  <c r="U1343" i="1"/>
  <c r="U1344" i="1"/>
  <c r="U1345" i="1"/>
  <c r="U1435" i="1"/>
  <c r="U1470" i="1"/>
  <c r="U1366" i="1"/>
  <c r="U1475" i="1"/>
  <c r="U51" i="1"/>
  <c r="U1476" i="1"/>
  <c r="U1376" i="1"/>
  <c r="U220" i="1"/>
  <c r="U1377" i="1"/>
  <c r="U1378" i="1"/>
  <c r="U1236" i="1"/>
  <c r="U310" i="1"/>
  <c r="U1332" i="1"/>
  <c r="U180" i="1"/>
  <c r="U1314" i="1"/>
  <c r="U597" i="1"/>
  <c r="U1399" i="1"/>
  <c r="U806" i="1"/>
  <c r="U1428" i="1"/>
  <c r="U177" i="1"/>
  <c r="U1429" i="1"/>
  <c r="U438" i="1"/>
  <c r="U1425" i="1"/>
  <c r="U135" i="1"/>
  <c r="U1472" i="1"/>
  <c r="U130" i="1"/>
  <c r="U1413" i="1"/>
  <c r="U443" i="1"/>
  <c r="U341" i="1"/>
  <c r="U1270" i="1"/>
  <c r="U141" i="1"/>
  <c r="U230" i="1"/>
  <c r="U1424" i="1"/>
  <c r="U206" i="1"/>
  <c r="U1426" i="1"/>
  <c r="U1467" i="1"/>
  <c r="U128" i="1"/>
  <c r="U136" i="1"/>
  <c r="U1417" i="1"/>
  <c r="U1188" i="1"/>
  <c r="U751" i="1"/>
  <c r="U131" i="1"/>
  <c r="U1418" i="1"/>
  <c r="U132" i="1"/>
  <c r="U1440" i="1"/>
  <c r="U464" i="1"/>
  <c r="U1431" i="1"/>
  <c r="U1473" i="1"/>
  <c r="U356" i="1"/>
  <c r="U125" i="1"/>
  <c r="U2055" i="1"/>
  <c r="U2011" i="1"/>
  <c r="U1245" i="1"/>
  <c r="U2063" i="1"/>
  <c r="U2085" i="1"/>
  <c r="U1176" i="1"/>
  <c r="U15" i="1"/>
  <c r="U2099" i="1"/>
  <c r="U16" i="1"/>
  <c r="U17" i="1"/>
  <c r="U4" i="1"/>
  <c r="U2095" i="1"/>
  <c r="U18" i="1"/>
  <c r="U1713" i="1"/>
  <c r="U267" i="1"/>
  <c r="U712" i="1"/>
  <c r="U1682" i="1"/>
  <c r="U1575" i="1"/>
  <c r="U1497" i="1"/>
  <c r="U1225" i="1"/>
  <c r="U1635" i="1"/>
  <c r="U1683" i="1"/>
  <c r="U331" i="1"/>
  <c r="U1905" i="1"/>
  <c r="U934" i="1"/>
  <c r="U490" i="1"/>
  <c r="U588" i="1"/>
  <c r="U2028" i="1"/>
  <c r="U901" i="1"/>
  <c r="U600" i="1"/>
  <c r="U1717" i="1"/>
  <c r="U65" i="1"/>
  <c r="U1004" i="1"/>
  <c r="U1628" i="1"/>
  <c r="U378" i="1"/>
  <c r="U62" i="1"/>
  <c r="U1283" i="1"/>
  <c r="U469" i="1"/>
  <c r="U1667" i="1"/>
  <c r="U1437" i="1"/>
  <c r="U67" i="1"/>
  <c r="U1646" i="1"/>
  <c r="U198" i="1"/>
  <c r="U91" i="1"/>
  <c r="U722" i="1"/>
  <c r="U1859" i="1"/>
  <c r="U143" i="1"/>
  <c r="U1392" i="1"/>
  <c r="U1281" i="1"/>
  <c r="U1381" i="1"/>
  <c r="U1478" i="1"/>
  <c r="U1165" i="1"/>
  <c r="U1852" i="1"/>
  <c r="U434" i="1"/>
  <c r="U435" i="1"/>
  <c r="U509" i="1"/>
  <c r="U510" i="1"/>
  <c r="U511" i="1"/>
  <c r="U503" i="1"/>
  <c r="U504" i="1"/>
  <c r="U505" i="1"/>
  <c r="U264" i="1"/>
  <c r="U506" i="1"/>
  <c r="U507" i="1"/>
  <c r="U508" i="1"/>
  <c r="U559" i="1"/>
  <c r="U485" i="1"/>
  <c r="U96" i="1"/>
  <c r="U474" i="1"/>
  <c r="U475" i="1"/>
  <c r="U486" i="1"/>
  <c r="U487" i="1"/>
  <c r="U488" i="1"/>
  <c r="U1910" i="1"/>
  <c r="U1991" i="1"/>
  <c r="U2017" i="1"/>
  <c r="U1969" i="1"/>
  <c r="U2030" i="1"/>
  <c r="U1993" i="1"/>
  <c r="U741" i="1"/>
  <c r="U359" i="1"/>
  <c r="U1666" i="1"/>
  <c r="U589" i="1"/>
  <c r="U1184" i="1"/>
  <c r="U1823" i="1"/>
  <c r="U792" i="1"/>
  <c r="U1521" i="1"/>
  <c r="U299" i="1"/>
  <c r="U645" i="1"/>
  <c r="U1523" i="1"/>
  <c r="U765" i="1"/>
  <c r="U1361" i="1"/>
  <c r="U688" i="1"/>
  <c r="U1362" i="1"/>
  <c r="U896" i="1"/>
  <c r="U829" i="1"/>
  <c r="U930" i="1"/>
  <c r="U1130" i="1"/>
  <c r="U431" i="1"/>
  <c r="U990" i="1"/>
  <c r="U799" i="1"/>
  <c r="U780" i="1"/>
  <c r="U1357" i="1"/>
  <c r="U1524" i="1"/>
  <c r="U1028" i="1"/>
  <c r="U1014" i="1"/>
  <c r="U644" i="1"/>
  <c r="U847" i="1"/>
  <c r="U454" i="1"/>
  <c r="U585" i="1"/>
  <c r="U1228" i="1"/>
  <c r="U565" i="1"/>
  <c r="U1398" i="1"/>
  <c r="U1293" i="1"/>
  <c r="U1546" i="1"/>
  <c r="U54" i="1"/>
  <c r="U827" i="1"/>
  <c r="U652" i="1"/>
  <c r="U1495" i="1"/>
  <c r="U1072" i="1"/>
  <c r="U1567" i="1"/>
  <c r="U1294" i="1"/>
  <c r="U769" i="1"/>
  <c r="U1194" i="1"/>
  <c r="U1673" i="1"/>
  <c r="U222" i="1"/>
  <c r="U1222" i="1"/>
  <c r="U447" i="1"/>
  <c r="U1337" i="1"/>
  <c r="U1224" i="1"/>
  <c r="U448" i="1"/>
  <c r="U1338" i="1"/>
  <c r="U449" i="1"/>
  <c r="U1339" i="1"/>
  <c r="U458" i="1"/>
  <c r="U1358" i="1"/>
  <c r="U463" i="1"/>
  <c r="U1360" i="1"/>
  <c r="U459" i="1"/>
  <c r="U1359" i="1"/>
  <c r="U1287" i="1"/>
  <c r="U1532" i="1"/>
  <c r="U689" i="1"/>
  <c r="U800" i="1"/>
  <c r="U801" i="1"/>
  <c r="U1896" i="1"/>
  <c r="U1167" i="1"/>
  <c r="U1893" i="1"/>
  <c r="U155" i="1"/>
  <c r="U1533" i="1"/>
  <c r="U849" i="1"/>
  <c r="U2067" i="1"/>
  <c r="U1271" i="1"/>
  <c r="U1936" i="1"/>
  <c r="U1911" i="1"/>
  <c r="U1978" i="1"/>
  <c r="U1443" i="1"/>
  <c r="U1917" i="1"/>
  <c r="U2052" i="1"/>
  <c r="U969" i="1"/>
  <c r="U1855" i="1"/>
  <c r="U2051" i="1"/>
  <c r="U1712" i="1"/>
  <c r="U2058" i="1"/>
  <c r="U1860" i="1"/>
  <c r="U2060" i="1"/>
  <c r="U1279" i="1"/>
  <c r="U2077" i="1"/>
  <c r="U2054" i="1"/>
  <c r="U1758" i="1"/>
  <c r="U1423" i="1"/>
  <c r="U2086" i="1"/>
  <c r="U327" i="1"/>
  <c r="U2059" i="1"/>
  <c r="U2087" i="1"/>
  <c r="U2076" i="1"/>
  <c r="U1260" i="1"/>
  <c r="U44" i="1"/>
  <c r="U1561" i="1"/>
  <c r="U1633" i="1"/>
  <c r="U1520" i="1"/>
  <c r="U1802" i="1"/>
  <c r="U813" i="1"/>
  <c r="U1812" i="1"/>
  <c r="U1346" i="1"/>
  <c r="U1554" i="1"/>
  <c r="U1203" i="1"/>
  <c r="U1439" i="1"/>
  <c r="U1380" i="1"/>
  <c r="U42" i="1"/>
  <c r="U1527" i="1"/>
  <c r="U735" i="1"/>
  <c r="U1347" i="1"/>
  <c r="U479" i="1"/>
  <c r="U670" i="1"/>
  <c r="U655" i="1"/>
  <c r="U1534" i="1"/>
  <c r="U1145" i="1"/>
  <c r="U584" i="1"/>
  <c r="U1741" i="1"/>
  <c r="U515" i="1"/>
  <c r="U1003" i="1"/>
  <c r="U1764" i="1"/>
  <c r="U906" i="1"/>
  <c r="U671" i="1"/>
  <c r="U1481" i="1"/>
  <c r="U52" i="1"/>
  <c r="U76" i="1"/>
  <c r="U531" i="1"/>
  <c r="U1441" i="1"/>
  <c r="U907" i="1"/>
  <c r="U1442" i="1"/>
  <c r="U301" i="1"/>
  <c r="U1798" i="1"/>
  <c r="U853" i="1"/>
  <c r="U1953" i="1"/>
  <c r="U1866" i="1"/>
  <c r="U1064" i="1"/>
  <c r="U31" i="1"/>
  <c r="U21" i="1"/>
  <c r="U2034" i="1"/>
  <c r="U1916" i="1"/>
  <c r="U2090" i="1"/>
  <c r="U649" i="1"/>
  <c r="U365" i="1"/>
  <c r="U864" i="1"/>
  <c r="U284" i="1"/>
  <c r="U282" i="1"/>
  <c r="U283" i="1"/>
  <c r="U596" i="1"/>
  <c r="U302" i="1"/>
  <c r="U762" i="1"/>
  <c r="U455" i="1"/>
  <c r="U1483" i="1"/>
  <c r="U1747" i="1"/>
  <c r="U1864" i="1"/>
  <c r="U1728" i="1"/>
  <c r="U34" i="1"/>
  <c r="U1776" i="1"/>
  <c r="U1833" i="1"/>
  <c r="U1588" i="1"/>
  <c r="U1648" i="1"/>
  <c r="U1649" i="1"/>
  <c r="U1652" i="1"/>
  <c r="U1510" i="1"/>
  <c r="U1650" i="1"/>
  <c r="U29" i="1"/>
  <c r="U1651" i="1"/>
  <c r="U30" i="1"/>
  <c r="U1653" i="1"/>
  <c r="U38" i="1"/>
  <c r="U1654" i="1"/>
  <c r="U1655" i="1"/>
  <c r="U1656" i="1"/>
  <c r="U1657" i="1"/>
  <c r="U1658" i="1"/>
  <c r="U1659" i="1"/>
  <c r="U1660" i="1"/>
  <c r="U1695" i="1"/>
  <c r="U1696" i="1"/>
  <c r="U1697" i="1"/>
  <c r="U1698" i="1"/>
  <c r="U1995" i="1"/>
  <c r="U332" i="1"/>
  <c r="U1229" i="1"/>
  <c r="U1885" i="1"/>
  <c r="U651" i="1"/>
  <c r="U14" i="1"/>
  <c r="U1912" i="1"/>
  <c r="U1668" i="1"/>
  <c r="U1565" i="1"/>
  <c r="U1761" i="1"/>
  <c r="U1731" i="1"/>
  <c r="U1687" i="1"/>
  <c r="U1241" i="1"/>
  <c r="U1744" i="1"/>
  <c r="U1011" i="1"/>
  <c r="U1365" i="1"/>
  <c r="U1419" i="1"/>
  <c r="U1444" i="1"/>
  <c r="U866" i="1"/>
  <c r="U884" i="1"/>
  <c r="U867" i="1"/>
  <c r="U885" i="1"/>
  <c r="U868" i="1"/>
  <c r="U886" i="1"/>
  <c r="U869" i="1"/>
  <c r="U887" i="1"/>
  <c r="U870" i="1"/>
  <c r="U888" i="1"/>
  <c r="U871" i="1"/>
  <c r="U889" i="1"/>
  <c r="U872" i="1"/>
  <c r="U890" i="1"/>
  <c r="U873" i="1"/>
  <c r="U891" i="1"/>
  <c r="U935" i="1"/>
  <c r="U947" i="1"/>
  <c r="U936" i="1"/>
  <c r="U948" i="1"/>
  <c r="U937" i="1"/>
  <c r="U949" i="1"/>
  <c r="U272" i="1"/>
  <c r="U950" i="1"/>
  <c r="U958" i="1"/>
  <c r="U200" i="1"/>
  <c r="U184" i="1"/>
  <c r="U951" i="1"/>
  <c r="U959" i="1"/>
  <c r="U952" i="1"/>
  <c r="U960" i="1"/>
  <c r="U201" i="1"/>
  <c r="U185" i="1"/>
  <c r="U953" i="1"/>
  <c r="U961" i="1"/>
  <c r="U202" i="1"/>
  <c r="U186" i="1"/>
  <c r="U1173" i="1"/>
  <c r="U1703" i="1"/>
  <c r="U1704" i="1"/>
  <c r="U1609" i="1"/>
  <c r="U1543" i="1"/>
  <c r="U88" i="1"/>
  <c r="U1705" i="1"/>
  <c r="U87" i="1"/>
  <c r="U1706" i="1"/>
  <c r="U1707" i="1"/>
  <c r="U1708" i="1"/>
  <c r="U1724" i="1"/>
  <c r="U875" i="1"/>
  <c r="U1725" i="1"/>
  <c r="U1810" i="1"/>
  <c r="U152" i="1"/>
  <c r="U1811" i="1"/>
  <c r="U1813" i="1"/>
  <c r="U1814" i="1"/>
  <c r="U1815" i="1"/>
  <c r="U1816" i="1"/>
  <c r="U94" i="1"/>
  <c r="U138" i="1"/>
  <c r="U1820" i="1"/>
  <c r="U1821" i="1"/>
  <c r="U396" i="1"/>
  <c r="U397" i="1"/>
  <c r="U97" i="1"/>
  <c r="U398" i="1"/>
  <c r="U399" i="1"/>
  <c r="U400" i="1"/>
  <c r="U401" i="1"/>
  <c r="U402" i="1"/>
  <c r="U403" i="1"/>
  <c r="U404" i="1"/>
  <c r="U405" i="1"/>
  <c r="U406" i="1"/>
  <c r="U407" i="1"/>
  <c r="U420" i="1"/>
  <c r="U421" i="1"/>
  <c r="U422" i="1"/>
  <c r="U423" i="1"/>
  <c r="U424" i="1"/>
  <c r="U425" i="1"/>
  <c r="U1563" i="1"/>
  <c r="U1247" i="1"/>
  <c r="U1400" i="1"/>
  <c r="U1192" i="1"/>
  <c r="U1258" i="1"/>
  <c r="U617" i="1"/>
  <c r="U728" i="1"/>
  <c r="U1531" i="1"/>
  <c r="U1390" i="1"/>
  <c r="U1317" i="1"/>
  <c r="U1710" i="1"/>
  <c r="U634" i="1"/>
  <c r="U179" i="1"/>
  <c r="U415" i="1"/>
  <c r="U342" i="1"/>
  <c r="U695" i="1"/>
  <c r="U110" i="1"/>
  <c r="U1732" i="1"/>
  <c r="U790" i="1"/>
  <c r="U308" i="1"/>
  <c r="U2004" i="1"/>
  <c r="U940" i="1"/>
  <c r="U2082" i="1"/>
  <c r="U683" i="1"/>
  <c r="U519" i="1"/>
  <c r="U928" i="1"/>
  <c r="U82" i="1"/>
  <c r="U228" i="1"/>
  <c r="U802" i="1"/>
  <c r="U798" i="1"/>
  <c r="U592" i="1"/>
  <c r="U753" i="1"/>
  <c r="U662" i="1"/>
  <c r="U830" i="1"/>
  <c r="U1982" i="1"/>
  <c r="U1597" i="1"/>
  <c r="U2080" i="1"/>
  <c r="U569" i="1"/>
  <c r="U10" i="1"/>
  <c r="U8" i="1"/>
  <c r="U7" i="1"/>
  <c r="U2097" i="1"/>
  <c r="U13" i="1"/>
  <c r="U374" i="1"/>
  <c r="U2091" i="1"/>
  <c r="U112" i="1"/>
  <c r="U113" i="1"/>
  <c r="U114" i="1"/>
  <c r="U2084" i="1"/>
  <c r="U1340" i="1"/>
  <c r="U1282" i="1"/>
  <c r="U520" i="1"/>
  <c r="U1944" i="1"/>
  <c r="U521" i="1"/>
  <c r="U522" i="1"/>
  <c r="U523" i="1"/>
  <c r="U524" i="1"/>
  <c r="U525" i="1"/>
  <c r="U467" i="1"/>
  <c r="U526" i="1"/>
  <c r="U494" i="1"/>
  <c r="U1945" i="1"/>
  <c r="U527" i="1"/>
  <c r="U528" i="1"/>
  <c r="U481" i="1"/>
  <c r="U567" i="1"/>
  <c r="U1330" i="1"/>
  <c r="U346" i="1"/>
  <c r="U629" i="1"/>
  <c r="U1970" i="1"/>
  <c r="U665" i="1"/>
  <c r="U1331" i="1"/>
  <c r="U666" i="1"/>
  <c r="U625" i="1"/>
  <c r="U895" i="1"/>
  <c r="U831" i="1"/>
  <c r="U1363" i="1"/>
  <c r="U1647" i="1"/>
  <c r="U682" i="1"/>
  <c r="U349" i="1"/>
  <c r="U1023" i="1"/>
  <c r="U908" i="1"/>
  <c r="U999" i="1"/>
  <c r="U1002" i="1"/>
  <c r="U995" i="1"/>
  <c r="U998" i="1"/>
  <c r="U1000" i="1"/>
  <c r="U1013" i="1"/>
  <c r="U1034" i="1"/>
  <c r="U1048" i="1"/>
  <c r="U1049" i="1"/>
  <c r="U1038" i="1"/>
  <c r="U1051" i="1"/>
  <c r="U1052" i="1"/>
  <c r="U1053" i="1"/>
  <c r="U1153" i="1"/>
  <c r="U582" i="1"/>
  <c r="U544" i="1"/>
  <c r="U545" i="1"/>
  <c r="U546" i="1"/>
  <c r="U547" i="1"/>
  <c r="U557" i="1"/>
  <c r="U548" i="1"/>
  <c r="U549" i="1"/>
  <c r="U550" i="1"/>
  <c r="U551" i="1"/>
  <c r="U552" i="1"/>
  <c r="U553" i="1"/>
  <c r="U554" i="1"/>
  <c r="U555" i="1"/>
  <c r="Y555" i="1" s="1"/>
  <c r="U1890" i="1"/>
  <c r="U1985" i="1"/>
  <c r="U2005" i="1"/>
  <c r="U2062" i="1"/>
  <c r="U2008" i="1"/>
  <c r="U1976" i="1"/>
  <c r="U2006" i="1"/>
  <c r="U1606" i="1"/>
  <c r="U2036" i="1"/>
  <c r="U1996" i="1"/>
  <c r="U2083" i="1"/>
  <c r="U2039" i="1"/>
  <c r="U2079" i="1"/>
  <c r="U2046" i="1"/>
  <c r="U2040" i="1"/>
  <c r="U997" i="1"/>
  <c r="U1671" i="1"/>
  <c r="U1056" i="1"/>
  <c r="U1171" i="1"/>
  <c r="U1374" i="1"/>
  <c r="U1057" i="1"/>
  <c r="U1180" i="1"/>
  <c r="U32" i="1"/>
  <c r="U1878" i="1"/>
  <c r="U1054" i="1"/>
  <c r="U1141" i="1"/>
  <c r="U1296" i="1"/>
  <c r="U1375" i="1"/>
  <c r="U1857" i="1"/>
  <c r="U1198" i="1"/>
  <c r="U1156" i="1"/>
  <c r="U1686" i="1"/>
  <c r="U248" i="1"/>
  <c r="U964" i="1"/>
  <c r="U59" i="1"/>
  <c r="U1745" i="1"/>
  <c r="U1370" i="1"/>
  <c r="U771" i="1"/>
  <c r="U1297" i="1"/>
  <c r="U1186" i="1"/>
  <c r="U1688" i="1"/>
  <c r="U1447" i="1"/>
  <c r="U1212" i="1"/>
  <c r="U355" i="1"/>
  <c r="U1396" i="1"/>
  <c r="U732" i="1"/>
  <c r="U1598" i="1"/>
  <c r="U1055" i="1"/>
  <c r="U687" i="1"/>
  <c r="U994" i="1"/>
  <c r="U699" i="1"/>
  <c r="U2044" i="1"/>
  <c r="U6" i="1"/>
  <c r="U1006" i="1"/>
  <c r="U710" i="1"/>
  <c r="U1022" i="1"/>
  <c r="U1199" i="1"/>
  <c r="U1469" i="1"/>
  <c r="U1298" i="1"/>
  <c r="U1385" i="1"/>
  <c r="U1268" i="1"/>
  <c r="U609" i="1"/>
  <c r="U796" i="1"/>
  <c r="U1368" i="1"/>
  <c r="U846" i="1"/>
  <c r="U1031" i="1"/>
  <c r="U1397" i="1"/>
  <c r="U72" i="1"/>
  <c r="U244" i="1"/>
  <c r="U1001" i="1"/>
  <c r="U1537" i="1"/>
  <c r="U243" i="1"/>
  <c r="U1474" i="1"/>
  <c r="U1599" i="1"/>
  <c r="U210" i="1"/>
  <c r="U577" i="1"/>
  <c r="U758" i="1"/>
  <c r="U317" i="1"/>
  <c r="U580" i="1"/>
  <c r="U1445" i="1"/>
  <c r="U411" i="1"/>
  <c r="U353" i="1"/>
  <c r="U323" i="1"/>
  <c r="U772" i="1"/>
  <c r="U1211" i="1"/>
  <c r="U860" i="1"/>
  <c r="U367" i="1"/>
  <c r="U657" i="1"/>
  <c r="U413" i="1"/>
  <c r="U343" i="1"/>
  <c r="U1303" i="1"/>
  <c r="U322" i="1"/>
  <c r="U685" i="1"/>
  <c r="U351" i="1"/>
  <c r="U777" i="1"/>
  <c r="U70" i="1"/>
  <c r="U285" i="1"/>
  <c r="U1849" i="1"/>
  <c r="U55" i="1"/>
  <c r="U1869" i="1"/>
  <c r="U1902" i="1"/>
  <c r="U1824" i="1"/>
  <c r="U1876" i="1"/>
  <c r="U23" i="1"/>
  <c r="U43" i="1"/>
  <c r="U1892" i="1"/>
  <c r="U147" i="1"/>
  <c r="U24" i="1"/>
  <c r="U1918" i="1"/>
  <c r="U25" i="1"/>
  <c r="U1919" i="1"/>
  <c r="U26" i="1"/>
  <c r="U1920" i="1"/>
  <c r="U22" i="1"/>
  <c r="U1921" i="1"/>
  <c r="U1922" i="1"/>
  <c r="U1923" i="1"/>
  <c r="U1924" i="1"/>
  <c r="U49" i="1"/>
  <c r="U1925" i="1"/>
  <c r="U1926" i="1"/>
  <c r="U173" i="1"/>
  <c r="U1947" i="1"/>
  <c r="U1948" i="1"/>
  <c r="U1949" i="1"/>
  <c r="U1582" i="1"/>
  <c r="U1581" i="1"/>
  <c r="U1827" i="1"/>
  <c r="U1981" i="1"/>
  <c r="U1583" i="1"/>
  <c r="U1584" i="1"/>
  <c r="U1163" i="1"/>
  <c r="U1477" i="1"/>
  <c r="U1736" i="1"/>
  <c r="U1619" i="1"/>
  <c r="U295" i="1"/>
  <c r="U1974" i="1"/>
  <c r="U1335" i="1"/>
  <c r="U1737" i="1"/>
  <c r="U1897" i="1"/>
  <c r="U1585" i="1"/>
  <c r="U1828" i="1"/>
  <c r="U1900" i="1"/>
  <c r="U1742" i="1"/>
  <c r="U1965" i="1"/>
  <c r="U1751" i="1"/>
  <c r="U1746" i="1"/>
  <c r="U1870" i="1"/>
  <c r="U1894" i="1"/>
  <c r="U1975" i="1"/>
  <c r="U1336" i="1"/>
  <c r="U927" i="1"/>
  <c r="U336" i="1"/>
  <c r="U1586" i="1"/>
  <c r="U1739" i="1"/>
  <c r="U1738" i="1"/>
  <c r="U1901" i="1"/>
  <c r="U419" i="1"/>
  <c r="U369" i="1"/>
  <c r="U387" i="1"/>
  <c r="U700" i="1"/>
  <c r="U1325" i="1"/>
  <c r="Y1325" i="1" s="1"/>
  <c r="U326" i="1"/>
  <c r="Y326" i="1" s="1"/>
  <c r="U593" i="1"/>
  <c r="Y593" i="1" s="1"/>
  <c r="U608" i="1"/>
  <c r="Y608" i="1" s="1"/>
  <c r="U1384" i="1"/>
  <c r="Y1384" i="1" s="1"/>
  <c r="U558" i="1"/>
  <c r="U1748" i="1"/>
  <c r="Y1748" i="1" s="1"/>
  <c r="U370" i="1"/>
  <c r="Y370" i="1" s="1"/>
  <c r="U193" i="1"/>
  <c r="A193" i="1"/>
  <c r="C193" i="1"/>
  <c r="B193" i="1" s="1"/>
  <c r="M193" i="1"/>
  <c r="O193" i="1"/>
  <c r="T193" i="1"/>
  <c r="V193" i="1"/>
  <c r="W193" i="1" s="1"/>
  <c r="Z193" i="1"/>
  <c r="A593" i="1"/>
  <c r="A608" i="1"/>
  <c r="A1384" i="1"/>
  <c r="A558" i="1"/>
  <c r="A1748" i="1"/>
  <c r="A370" i="1"/>
  <c r="C593" i="1"/>
  <c r="B593" i="1" s="1"/>
  <c r="C608" i="1"/>
  <c r="B608" i="1" s="1"/>
  <c r="C1384" i="1"/>
  <c r="B1384" i="1" s="1"/>
  <c r="C558" i="1"/>
  <c r="B558" i="1" s="1"/>
  <c r="C1748" i="1"/>
  <c r="B1748" i="1" s="1"/>
  <c r="C370" i="1"/>
  <c r="B370" i="1" s="1"/>
  <c r="D1384" i="1"/>
  <c r="D558" i="1"/>
  <c r="D1748" i="1"/>
  <c r="M593" i="1"/>
  <c r="M608" i="1"/>
  <c r="M1384" i="1"/>
  <c r="M558" i="1"/>
  <c r="M1748" i="1"/>
  <c r="M370" i="1"/>
  <c r="O593" i="1"/>
  <c r="O608" i="1"/>
  <c r="O1384" i="1"/>
  <c r="O558" i="1"/>
  <c r="O1748" i="1"/>
  <c r="O370" i="1"/>
  <c r="S593" i="1"/>
  <c r="S608" i="1"/>
  <c r="S1384" i="1"/>
  <c r="S558" i="1"/>
  <c r="S1748" i="1"/>
  <c r="S370" i="1"/>
  <c r="T593" i="1"/>
  <c r="T608" i="1"/>
  <c r="T1384" i="1"/>
  <c r="T558" i="1"/>
  <c r="T1748" i="1"/>
  <c r="T370" i="1"/>
  <c r="V593" i="1"/>
  <c r="W593" i="1" s="1"/>
  <c r="V608" i="1"/>
  <c r="W608" i="1" s="1"/>
  <c r="V1384" i="1"/>
  <c r="W1384" i="1" s="1"/>
  <c r="V558" i="1"/>
  <c r="W558" i="1" s="1"/>
  <c r="V1748" i="1"/>
  <c r="W1748" i="1" s="1"/>
  <c r="V370" i="1"/>
  <c r="W370" i="1" s="1"/>
  <c r="Z593" i="1"/>
  <c r="Z608" i="1"/>
  <c r="Z1384" i="1"/>
  <c r="Z558" i="1"/>
  <c r="Z1748" i="1"/>
  <c r="Z370" i="1"/>
  <c r="A1325" i="1"/>
  <c r="A326" i="1"/>
  <c r="C1325" i="1"/>
  <c r="B1325" i="1" s="1"/>
  <c r="C326" i="1"/>
  <c r="B326" i="1" s="1"/>
  <c r="D1325" i="1"/>
  <c r="M1325" i="1"/>
  <c r="M326" i="1"/>
  <c r="O1325" i="1"/>
  <c r="O326" i="1"/>
  <c r="S1325" i="1"/>
  <c r="S326" i="1"/>
  <c r="T1325" i="1"/>
  <c r="T326" i="1"/>
  <c r="V1325" i="1"/>
  <c r="W1325" i="1" s="1"/>
  <c r="V326" i="1"/>
  <c r="W326" i="1" s="1"/>
  <c r="Z1325" i="1"/>
  <c r="Z326" i="1"/>
  <c r="A419" i="1"/>
  <c r="A369" i="1"/>
  <c r="A387" i="1"/>
  <c r="A700" i="1"/>
  <c r="C419" i="1"/>
  <c r="B419" i="1" s="1"/>
  <c r="C369" i="1"/>
  <c r="B369" i="1" s="1"/>
  <c r="C387" i="1"/>
  <c r="B387" i="1" s="1"/>
  <c r="C700" i="1"/>
  <c r="B700" i="1" s="1"/>
  <c r="M419" i="1"/>
  <c r="M369" i="1"/>
  <c r="M387" i="1"/>
  <c r="M700" i="1"/>
  <c r="O419" i="1"/>
  <c r="O369" i="1"/>
  <c r="O387" i="1"/>
  <c r="O700" i="1"/>
  <c r="S419" i="1"/>
  <c r="S369" i="1"/>
  <c r="S387" i="1"/>
  <c r="S700" i="1"/>
  <c r="T419" i="1"/>
  <c r="T369" i="1"/>
  <c r="T387" i="1"/>
  <c r="T700" i="1"/>
  <c r="V419" i="1"/>
  <c r="W419" i="1" s="1"/>
  <c r="V369" i="1"/>
  <c r="W369" i="1" s="1"/>
  <c r="V387" i="1"/>
  <c r="W387" i="1" s="1"/>
  <c r="V700" i="1"/>
  <c r="W700" i="1" s="1"/>
  <c r="Z419" i="1"/>
  <c r="Z369" i="1"/>
  <c r="Z387" i="1"/>
  <c r="Z700" i="1"/>
  <c r="I35" i="104"/>
  <c r="I32" i="104"/>
  <c r="I31" i="104"/>
  <c r="I30" i="104"/>
  <c r="I28" i="104"/>
  <c r="I27" i="104"/>
  <c r="I25" i="104"/>
  <c r="I24" i="104"/>
  <c r="I23" i="104"/>
  <c r="I22" i="104"/>
  <c r="A1550" i="1"/>
  <c r="C1550" i="1"/>
  <c r="B1550" i="1" s="1"/>
  <c r="D1550" i="1"/>
  <c r="M1550" i="1"/>
  <c r="O1550" i="1"/>
  <c r="S1550" i="1"/>
  <c r="T1550" i="1"/>
  <c r="V1550" i="1"/>
  <c r="W1550" i="1" s="1"/>
  <c r="Z1550" i="1"/>
  <c r="A1722" i="1"/>
  <c r="C1722" i="1"/>
  <c r="B1722" i="1" s="1"/>
  <c r="D1722" i="1"/>
  <c r="M1722" i="1"/>
  <c r="O1722" i="1"/>
  <c r="S1722" i="1"/>
  <c r="T1722" i="1"/>
  <c r="Y1722" i="1"/>
  <c r="V1722" i="1"/>
  <c r="W1722" i="1" s="1"/>
  <c r="Z1722" i="1"/>
  <c r="A1320" i="1"/>
  <c r="C1320" i="1"/>
  <c r="B1320" i="1" s="1"/>
  <c r="D1320" i="1"/>
  <c r="M1320" i="1"/>
  <c r="O1320" i="1"/>
  <c r="S1320" i="1"/>
  <c r="T1320" i="1"/>
  <c r="V1320" i="1"/>
  <c r="W1320" i="1" s="1"/>
  <c r="Z1320" i="1"/>
  <c r="A1720" i="1"/>
  <c r="C1720" i="1"/>
  <c r="B1720" i="1" s="1"/>
  <c r="D1720" i="1"/>
  <c r="M1720" i="1"/>
  <c r="O1720" i="1"/>
  <c r="S1720" i="1"/>
  <c r="T1720" i="1"/>
  <c r="V1720" i="1"/>
  <c r="W1720" i="1" s="1"/>
  <c r="Z1720" i="1"/>
  <c r="A752" i="1"/>
  <c r="C752" i="1"/>
  <c r="B752" i="1" s="1"/>
  <c r="D752" i="1"/>
  <c r="M752" i="1"/>
  <c r="O752" i="1"/>
  <c r="S752" i="1"/>
  <c r="T752" i="1"/>
  <c r="V752" i="1"/>
  <c r="W752" i="1" s="1"/>
  <c r="Z752" i="1"/>
  <c r="A1721" i="1"/>
  <c r="C1721" i="1"/>
  <c r="B1721" i="1" s="1"/>
  <c r="D1721" i="1"/>
  <c r="M1721" i="1"/>
  <c r="O1721" i="1"/>
  <c r="S1721" i="1"/>
  <c r="T1721" i="1"/>
  <c r="V1721" i="1"/>
  <c r="W1721" i="1" s="1"/>
  <c r="Z1721" i="1"/>
  <c r="A555" i="1"/>
  <c r="C555" i="1"/>
  <c r="B555" i="1" s="1"/>
  <c r="T555" i="1"/>
  <c r="V555" i="1"/>
  <c r="W555" i="1" s="1"/>
  <c r="Z555" i="1"/>
  <c r="D1102" i="6"/>
  <c r="E1102" i="6" s="1"/>
  <c r="F1102" i="6"/>
  <c r="I1102" i="6"/>
  <c r="A119" i="1"/>
  <c r="B119" i="1"/>
  <c r="T119" i="1"/>
  <c r="V119" i="1"/>
  <c r="W119" i="1" s="1"/>
  <c r="Z119" i="1"/>
  <c r="J1102" i="6" l="1"/>
  <c r="X746" i="1"/>
  <c r="P746" i="1" s="1"/>
  <c r="Q746" i="1" s="1"/>
  <c r="R746" i="1" s="1"/>
  <c r="D746" i="1" s="1"/>
  <c r="X1120" i="1"/>
  <c r="P1120" i="1" s="1"/>
  <c r="Q1120" i="1" s="1"/>
  <c r="R1120" i="1" s="1"/>
  <c r="X1121" i="1"/>
  <c r="P1121" i="1" s="1"/>
  <c r="Q1121" i="1" s="1"/>
  <c r="R1121" i="1" s="1"/>
  <c r="D1121" i="1" s="1"/>
  <c r="X116" i="1"/>
  <c r="P116" i="1" s="1"/>
  <c r="Q116" i="1" s="1"/>
  <c r="Y116" i="1"/>
  <c r="T643" i="1"/>
  <c r="T759" i="1"/>
  <c r="X759" i="1"/>
  <c r="P759" i="1" s="1"/>
  <c r="Q759" i="1" s="1"/>
  <c r="R759" i="1" s="1"/>
  <c r="D759" i="1" s="1"/>
  <c r="X643" i="1"/>
  <c r="P643" i="1" s="1"/>
  <c r="Q643" i="1" s="1"/>
  <c r="R643" i="1" s="1"/>
  <c r="X193" i="1"/>
  <c r="P193" i="1" s="1"/>
  <c r="Q193" i="1" s="1"/>
  <c r="R193" i="1" s="1"/>
  <c r="D193" i="1" s="1"/>
  <c r="Y193" i="1"/>
  <c r="X370" i="1"/>
  <c r="P370" i="1" s="1"/>
  <c r="Q370" i="1" s="1"/>
  <c r="R370" i="1" s="1"/>
  <c r="X608" i="1"/>
  <c r="P608" i="1" s="1"/>
  <c r="Q608" i="1" s="1"/>
  <c r="R608" i="1" s="1"/>
  <c r="X700" i="1"/>
  <c r="Y700" i="1"/>
  <c r="X1748" i="1"/>
  <c r="P1748" i="1" s="1"/>
  <c r="Q1748" i="1" s="1"/>
  <c r="R1748" i="1" s="1"/>
  <c r="X593" i="1"/>
  <c r="P593" i="1" s="1"/>
  <c r="Q593" i="1" s="1"/>
  <c r="R593" i="1" s="1"/>
  <c r="X419" i="1"/>
  <c r="Y419" i="1"/>
  <c r="X387" i="1"/>
  <c r="X1325" i="1"/>
  <c r="P1325" i="1" s="1"/>
  <c r="Q1325" i="1" s="1"/>
  <c r="R1325" i="1" s="1"/>
  <c r="X369" i="1"/>
  <c r="X558" i="1"/>
  <c r="X1384" i="1"/>
  <c r="P1384" i="1" s="1"/>
  <c r="Q1384" i="1" s="1"/>
  <c r="R1384" i="1" s="1"/>
  <c r="Y558" i="1"/>
  <c r="Y387" i="1"/>
  <c r="Y369" i="1"/>
  <c r="X326" i="1"/>
  <c r="P326" i="1" s="1"/>
  <c r="Q326" i="1" s="1"/>
  <c r="R326" i="1" s="1"/>
  <c r="X1722" i="1"/>
  <c r="P1722" i="1" s="1"/>
  <c r="Q1722" i="1" s="1"/>
  <c r="R1722" i="1" s="1"/>
  <c r="X1550" i="1"/>
  <c r="P1550" i="1" s="1"/>
  <c r="Q1550" i="1" s="1"/>
  <c r="R1550" i="1" s="1"/>
  <c r="X1720" i="1"/>
  <c r="P1720" i="1" s="1"/>
  <c r="Q1720" i="1" s="1"/>
  <c r="R1720" i="1" s="1"/>
  <c r="X1320" i="1"/>
  <c r="P1320" i="1" s="1"/>
  <c r="Q1320" i="1" s="1"/>
  <c r="R1320" i="1" s="1"/>
  <c r="X752" i="1"/>
  <c r="P752" i="1" s="1"/>
  <c r="Q752" i="1" s="1"/>
  <c r="R752" i="1" s="1"/>
  <c r="X1721" i="1"/>
  <c r="P1721" i="1" s="1"/>
  <c r="Q1721" i="1" s="1"/>
  <c r="R1721" i="1" s="1"/>
  <c r="X555" i="1"/>
  <c r="P555" i="1" s="1"/>
  <c r="Q555" i="1" s="1"/>
  <c r="R555" i="1" s="1"/>
  <c r="D555" i="1" s="1"/>
  <c r="X119" i="1"/>
  <c r="Y119" i="1"/>
  <c r="D816" i="1" l="1"/>
  <c r="D819" i="1"/>
  <c r="D564" i="1"/>
  <c r="D1050" i="1"/>
  <c r="D675" i="1"/>
  <c r="D583" i="1"/>
  <c r="D326" i="1"/>
  <c r="D536" i="1"/>
  <c r="D608" i="1"/>
  <c r="D369" i="1"/>
  <c r="D593" i="1"/>
  <c r="D370" i="1"/>
  <c r="D387" i="1"/>
  <c r="D643" i="1"/>
  <c r="D419" i="1"/>
  <c r="D700" i="1"/>
  <c r="P700" i="1"/>
  <c r="Q700" i="1" s="1"/>
  <c r="R700" i="1" s="1"/>
  <c r="P558" i="1"/>
  <c r="Q558" i="1" s="1"/>
  <c r="R558" i="1" s="1"/>
  <c r="P369" i="1"/>
  <c r="Q369" i="1" s="1"/>
  <c r="R369" i="1" s="1"/>
  <c r="P419" i="1"/>
  <c r="Q419" i="1" s="1"/>
  <c r="R419" i="1" s="1"/>
  <c r="P387" i="1"/>
  <c r="Q387" i="1" s="1"/>
  <c r="R387" i="1" s="1"/>
  <c r="P119" i="1"/>
  <c r="Q119" i="1" s="1"/>
  <c r="A1316" i="1"/>
  <c r="C1316" i="1"/>
  <c r="B1316" i="1" s="1"/>
  <c r="Y1316" i="1"/>
  <c r="V1316" i="1"/>
  <c r="W1316" i="1" s="1"/>
  <c r="Z1316" i="1"/>
  <c r="A2037" i="1"/>
  <c r="C2037" i="1"/>
  <c r="B2037" i="1" s="1"/>
  <c r="M2037" i="1"/>
  <c r="O2037" i="1"/>
  <c r="AI15" i="16" s="1"/>
  <c r="Y2037" i="1"/>
  <c r="V2037" i="1"/>
  <c r="W2037" i="1" s="1"/>
  <c r="Z2037" i="1"/>
  <c r="A1643" i="1"/>
  <c r="C1643" i="1"/>
  <c r="B1643" i="1" s="1"/>
  <c r="Y1643" i="1"/>
  <c r="V1643" i="1"/>
  <c r="W1643" i="1" s="1"/>
  <c r="Z1643" i="1"/>
  <c r="A712" i="1"/>
  <c r="C712" i="1"/>
  <c r="T712" i="1" s="1"/>
  <c r="V712" i="1"/>
  <c r="W712" i="1" s="1"/>
  <c r="Z712" i="1"/>
  <c r="A1577" i="1"/>
  <c r="C1577" i="1"/>
  <c r="B1577" i="1" s="1"/>
  <c r="Y1577" i="1"/>
  <c r="V1577" i="1"/>
  <c r="W1577" i="1" s="1"/>
  <c r="Z1577" i="1"/>
  <c r="M1674" i="1"/>
  <c r="A1674" i="1"/>
  <c r="C1674" i="1"/>
  <c r="B1674" i="1" s="1"/>
  <c r="O1674" i="1"/>
  <c r="Y1674" i="1"/>
  <c r="V1674" i="1"/>
  <c r="W1674" i="1" s="1"/>
  <c r="Z1674" i="1"/>
  <c r="A1599" i="1"/>
  <c r="C1599" i="1"/>
  <c r="B1599" i="1" s="1"/>
  <c r="M1599" i="1"/>
  <c r="V1599" i="1"/>
  <c r="W1599" i="1" s="1"/>
  <c r="Z1599" i="1"/>
  <c r="A1731" i="1"/>
  <c r="C1731" i="1"/>
  <c r="B1731" i="1" s="1"/>
  <c r="V1731" i="1"/>
  <c r="W1731" i="1" s="1"/>
  <c r="Z1731" i="1"/>
  <c r="A2084" i="1"/>
  <c r="B2084" i="1"/>
  <c r="Y2084" i="1"/>
  <c r="V2084" i="1"/>
  <c r="W2084" i="1" s="1"/>
  <c r="Z2084" i="1"/>
  <c r="A1866" i="1"/>
  <c r="C1866" i="1"/>
  <c r="B1866" i="1" s="1"/>
  <c r="V1866" i="1"/>
  <c r="W1866" i="1" s="1"/>
  <c r="Z1866" i="1"/>
  <c r="A1953" i="1"/>
  <c r="C1953" i="1"/>
  <c r="B1953" i="1" s="1"/>
  <c r="V1953" i="1"/>
  <c r="W1953" i="1" s="1"/>
  <c r="Z1953" i="1"/>
  <c r="A1233" i="1"/>
  <c r="C1233" i="1"/>
  <c r="B1233" i="1" s="1"/>
  <c r="M1233" i="1"/>
  <c r="O1233" i="1"/>
  <c r="V1233" i="1"/>
  <c r="W1233" i="1" s="1"/>
  <c r="Z1233" i="1"/>
  <c r="A115" i="1"/>
  <c r="B115" i="1"/>
  <c r="O115" i="1"/>
  <c r="V115" i="1"/>
  <c r="W115" i="1" s="1"/>
  <c r="Z115" i="1"/>
  <c r="F871" i="6"/>
  <c r="I871" i="6"/>
  <c r="J871" i="6"/>
  <c r="A1119" i="1"/>
  <c r="C1119" i="1"/>
  <c r="B1119" i="1" s="1"/>
  <c r="M1119" i="1"/>
  <c r="O1119" i="1"/>
  <c r="T1119" i="1"/>
  <c r="Y1119" i="1"/>
  <c r="V1119" i="1"/>
  <c r="W1119" i="1" s="1"/>
  <c r="Z1119" i="1"/>
  <c r="A1698" i="1"/>
  <c r="C1698" i="1"/>
  <c r="B1698" i="1" s="1"/>
  <c r="Y1698" i="1"/>
  <c r="V1698" i="1"/>
  <c r="W1698" i="1" s="1"/>
  <c r="Z1698" i="1"/>
  <c r="A1887" i="1"/>
  <c r="C1887" i="1"/>
  <c r="B1887" i="1" s="1"/>
  <c r="M1887" i="1"/>
  <c r="O1887" i="1"/>
  <c r="V1887" i="1"/>
  <c r="W1887" i="1" s="1"/>
  <c r="Z1887" i="1"/>
  <c r="T1316" i="1" l="1"/>
  <c r="T1643" i="1"/>
  <c r="T2037" i="1"/>
  <c r="X1316" i="1"/>
  <c r="P1316" i="1" s="1"/>
  <c r="Q1316" i="1" s="1"/>
  <c r="R1316" i="1" s="1"/>
  <c r="D1316" i="1" s="1"/>
  <c r="T1577" i="1"/>
  <c r="X712" i="1"/>
  <c r="Y712" i="1"/>
  <c r="X2037" i="1"/>
  <c r="P2037" i="1" s="1"/>
  <c r="Q2037" i="1" s="1"/>
  <c r="R2037" i="1" s="1"/>
  <c r="X1643" i="1"/>
  <c r="P1643" i="1" s="1"/>
  <c r="Q1643" i="1" s="1"/>
  <c r="R1643" i="1" s="1"/>
  <c r="D1434" i="1" s="1"/>
  <c r="B712" i="1"/>
  <c r="X1674" i="1"/>
  <c r="P1674" i="1" s="1"/>
  <c r="Q1674" i="1" s="1"/>
  <c r="R1674" i="1" s="1"/>
  <c r="X1577" i="1"/>
  <c r="Q1577" i="1" s="1"/>
  <c r="R1577" i="1" s="1"/>
  <c r="T1674" i="1"/>
  <c r="T1599" i="1"/>
  <c r="X1599" i="1"/>
  <c r="Y1599" i="1"/>
  <c r="X1233" i="1"/>
  <c r="T2084" i="1"/>
  <c r="X2084" i="1"/>
  <c r="P2084" i="1" s="1"/>
  <c r="Q2084" i="1" s="1"/>
  <c r="R2084" i="1" s="1"/>
  <c r="D2084" i="1" s="1"/>
  <c r="X1731" i="1"/>
  <c r="Y1731" i="1"/>
  <c r="T1731" i="1"/>
  <c r="T1866" i="1"/>
  <c r="X1866" i="1"/>
  <c r="Y1866" i="1"/>
  <c r="T1953" i="1"/>
  <c r="X1953" i="1"/>
  <c r="Y1953" i="1"/>
  <c r="Y1233" i="1"/>
  <c r="T1233" i="1"/>
  <c r="X115" i="1"/>
  <c r="P115" i="1" s="1"/>
  <c r="Q115" i="1" s="1"/>
  <c r="Y115" i="1"/>
  <c r="T115" i="1"/>
  <c r="X1119" i="1"/>
  <c r="P1119" i="1" s="1"/>
  <c r="Q1119" i="1" s="1"/>
  <c r="R1119" i="1" s="1"/>
  <c r="D1119" i="1" s="1"/>
  <c r="T1698" i="1"/>
  <c r="X1698" i="1"/>
  <c r="P1698" i="1" s="1"/>
  <c r="Q1698" i="1" s="1"/>
  <c r="R1698" i="1" s="1"/>
  <c r="D1698" i="1" s="1"/>
  <c r="T1887" i="1"/>
  <c r="X1887" i="1"/>
  <c r="Y1887" i="1"/>
  <c r="P1233" i="1" l="1"/>
  <c r="Q1233" i="1" s="1"/>
  <c r="R1233" i="1" s="1"/>
  <c r="D1299" i="1"/>
  <c r="D1959" i="1"/>
  <c r="P712" i="1"/>
  <c r="Q712" i="1" s="1"/>
  <c r="P1599" i="1"/>
  <c r="Q1599" i="1" s="1"/>
  <c r="R1599" i="1" s="1"/>
  <c r="P1731" i="1"/>
  <c r="Q1731" i="1" s="1"/>
  <c r="R1731" i="1" s="1"/>
  <c r="P1866" i="1"/>
  <c r="Q1866" i="1" s="1"/>
  <c r="R1866" i="1" s="1"/>
  <c r="P1953" i="1"/>
  <c r="Q1953" i="1" s="1"/>
  <c r="R1953" i="1" s="1"/>
  <c r="P1887" i="1"/>
  <c r="Q1887" i="1" s="1"/>
  <c r="R1887" i="1" s="1"/>
  <c r="D1391" i="1" s="1"/>
  <c r="A502" i="1"/>
  <c r="C502" i="1"/>
  <c r="B502" i="1" s="1"/>
  <c r="M502" i="1"/>
  <c r="O502" i="1"/>
  <c r="T502" i="1"/>
  <c r="V502" i="1"/>
  <c r="W502" i="1" s="1"/>
  <c r="Z502" i="1"/>
  <c r="A1194" i="1"/>
  <c r="C1194" i="1"/>
  <c r="B1194" i="1" s="1"/>
  <c r="Y1194" i="1"/>
  <c r="V1194" i="1"/>
  <c r="W1194" i="1" s="1"/>
  <c r="Z1194" i="1"/>
  <c r="A497" i="1"/>
  <c r="C497" i="1"/>
  <c r="B497" i="1" s="1"/>
  <c r="Y497" i="1"/>
  <c r="V497" i="1"/>
  <c r="W497" i="1" s="1"/>
  <c r="Z497" i="1"/>
  <c r="A512" i="1"/>
  <c r="C512" i="1"/>
  <c r="B512" i="1" s="1"/>
  <c r="Y512" i="1"/>
  <c r="V512" i="1"/>
  <c r="W512" i="1" s="1"/>
  <c r="Z512" i="1"/>
  <c r="F1097" i="6"/>
  <c r="F1100" i="6"/>
  <c r="I1097" i="6"/>
  <c r="I1100" i="6"/>
  <c r="J1097" i="6"/>
  <c r="J1100" i="6"/>
  <c r="D1098" i="6"/>
  <c r="C1098" i="6" s="1"/>
  <c r="W11" i="15" s="1"/>
  <c r="D1096" i="6"/>
  <c r="C1096" i="6" s="1"/>
  <c r="W7" i="15" s="1"/>
  <c r="F1095" i="6"/>
  <c r="I1095" i="6"/>
  <c r="J1095" i="6"/>
  <c r="F1094" i="6"/>
  <c r="I1094" i="6"/>
  <c r="J1094" i="6"/>
  <c r="A117" i="1"/>
  <c r="B117" i="1"/>
  <c r="M117" i="1"/>
  <c r="O117" i="1"/>
  <c r="T117" i="1"/>
  <c r="Y117" i="1"/>
  <c r="V117" i="1"/>
  <c r="W117" i="1" s="1"/>
  <c r="Z117" i="1"/>
  <c r="T53" i="15"/>
  <c r="T52" i="15"/>
  <c r="T51" i="15"/>
  <c r="T49" i="15"/>
  <c r="T42" i="15"/>
  <c r="T48" i="15"/>
  <c r="T47" i="15"/>
  <c r="T46" i="15"/>
  <c r="T45" i="15"/>
  <c r="T44" i="15"/>
  <c r="T43" i="15"/>
  <c r="T41" i="15"/>
  <c r="T39" i="15"/>
  <c r="T38" i="15"/>
  <c r="T37" i="15"/>
  <c r="T36" i="15"/>
  <c r="T32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0" i="15"/>
  <c r="T9" i="15"/>
  <c r="T8" i="15"/>
  <c r="T6" i="15"/>
  <c r="T4" i="15"/>
  <c r="T3" i="15"/>
  <c r="T2" i="15"/>
  <c r="F1087" i="6"/>
  <c r="F1088" i="6"/>
  <c r="F1089" i="6"/>
  <c r="I1087" i="6"/>
  <c r="I1088" i="6"/>
  <c r="I1089" i="6"/>
  <c r="J1087" i="6"/>
  <c r="J1088" i="6"/>
  <c r="J1089" i="6"/>
  <c r="F1084" i="6"/>
  <c r="F1085" i="6"/>
  <c r="I1084" i="6"/>
  <c r="I1085" i="6"/>
  <c r="I1086" i="6"/>
  <c r="J1084" i="6"/>
  <c r="J1085" i="6"/>
  <c r="J1086" i="6"/>
  <c r="A311" i="1"/>
  <c r="A195" i="1"/>
  <c r="A1455" i="1"/>
  <c r="A823" i="1"/>
  <c r="A1243" i="1"/>
  <c r="C311" i="1"/>
  <c r="B311" i="1" s="1"/>
  <c r="C195" i="1"/>
  <c r="B195" i="1" s="1"/>
  <c r="C1455" i="1"/>
  <c r="T1455" i="1" s="1"/>
  <c r="C823" i="1"/>
  <c r="B823" i="1" s="1"/>
  <c r="C1243" i="1"/>
  <c r="B1243" i="1" s="1"/>
  <c r="D311" i="1"/>
  <c r="D195" i="1"/>
  <c r="D1455" i="1"/>
  <c r="D823" i="1"/>
  <c r="D1243" i="1"/>
  <c r="S311" i="1"/>
  <c r="S195" i="1"/>
  <c r="S1455" i="1"/>
  <c r="S823" i="1"/>
  <c r="S1243" i="1"/>
  <c r="T311" i="1"/>
  <c r="T195" i="1"/>
  <c r="T823" i="1"/>
  <c r="T1243" i="1"/>
  <c r="Y195" i="1"/>
  <c r="Y1455" i="1"/>
  <c r="Y823" i="1"/>
  <c r="V311" i="1"/>
  <c r="W311" i="1" s="1"/>
  <c r="V195" i="1"/>
  <c r="W195" i="1" s="1"/>
  <c r="V1455" i="1"/>
  <c r="W1455" i="1" s="1"/>
  <c r="V823" i="1"/>
  <c r="W823" i="1" s="1"/>
  <c r="V1243" i="1"/>
  <c r="W1243" i="1" s="1"/>
  <c r="Z311" i="1"/>
  <c r="Z195" i="1"/>
  <c r="Z1455" i="1"/>
  <c r="Z823" i="1"/>
  <c r="Z1243" i="1"/>
  <c r="A167" i="1"/>
  <c r="C167" i="1"/>
  <c r="B167" i="1" s="1"/>
  <c r="S167" i="1"/>
  <c r="T167" i="1"/>
  <c r="V167" i="1"/>
  <c r="W167" i="1" s="1"/>
  <c r="Z167" i="1"/>
  <c r="D1092" i="6"/>
  <c r="C1092" i="6"/>
  <c r="C1093" i="6"/>
  <c r="B34" i="15"/>
  <c r="N34" i="15"/>
  <c r="O34" i="15"/>
  <c r="P34" i="15"/>
  <c r="Q34" i="15"/>
  <c r="R34" i="15"/>
  <c r="S34" i="15"/>
  <c r="F1093" i="6"/>
  <c r="A26" i="104"/>
  <c r="B26" i="104"/>
  <c r="C26" i="104"/>
  <c r="I26" i="104"/>
  <c r="A1118" i="1"/>
  <c r="C1118" i="1"/>
  <c r="B1118" i="1" s="1"/>
  <c r="D1118" i="1"/>
  <c r="M1118" i="1"/>
  <c r="O1118" i="1"/>
  <c r="S1118" i="1"/>
  <c r="T1118" i="1"/>
  <c r="V1118" i="1"/>
  <c r="W1118" i="1" s="1"/>
  <c r="Z1118" i="1"/>
  <c r="A202" i="1"/>
  <c r="A186" i="1"/>
  <c r="C202" i="1"/>
  <c r="B202" i="1" s="1"/>
  <c r="C186" i="1"/>
  <c r="B186" i="1" s="1"/>
  <c r="Y202" i="1"/>
  <c r="Y186" i="1"/>
  <c r="V202" i="1"/>
  <c r="W202" i="1" s="1"/>
  <c r="V186" i="1"/>
  <c r="W186" i="1" s="1"/>
  <c r="Z202" i="1"/>
  <c r="Z186" i="1"/>
  <c r="A459" i="1"/>
  <c r="A1359" i="1"/>
  <c r="B459" i="1"/>
  <c r="B1359" i="1"/>
  <c r="Y459" i="1"/>
  <c r="Y1359" i="1"/>
  <c r="V459" i="1"/>
  <c r="W459" i="1" s="1"/>
  <c r="V1359" i="1"/>
  <c r="W1359" i="1" s="1"/>
  <c r="Z459" i="1"/>
  <c r="Z1359" i="1"/>
  <c r="F1227" i="6" l="1"/>
  <c r="W34" i="15"/>
  <c r="F1224" i="6"/>
  <c r="W31" i="15"/>
  <c r="E1096" i="6"/>
  <c r="F1200" i="6"/>
  <c r="E1098" i="6"/>
  <c r="F1202" i="6"/>
  <c r="E1092" i="6"/>
  <c r="F1187" i="6"/>
  <c r="E1093" i="6"/>
  <c r="F1192" i="6"/>
  <c r="F1193" i="6"/>
  <c r="V31" i="15"/>
  <c r="F1184" i="6"/>
  <c r="F1153" i="6"/>
  <c r="V34" i="15"/>
  <c r="F1164" i="6"/>
  <c r="V7" i="15"/>
  <c r="V11" i="15"/>
  <c r="F1150" i="6"/>
  <c r="D712" i="1"/>
  <c r="R712" i="1"/>
  <c r="D707" i="1"/>
  <c r="AF19" i="16"/>
  <c r="F1130" i="6"/>
  <c r="I1093" i="6"/>
  <c r="I1092" i="6"/>
  <c r="D1723" i="1"/>
  <c r="D1518" i="1"/>
  <c r="D1689" i="1"/>
  <c r="D1731" i="1"/>
  <c r="D1805" i="1"/>
  <c r="T497" i="1"/>
  <c r="X502" i="1"/>
  <c r="X1194" i="1"/>
  <c r="P1194" i="1" s="1"/>
  <c r="Q1194" i="1" s="1"/>
  <c r="R1194" i="1" s="1"/>
  <c r="D1194" i="1" s="1"/>
  <c r="X497" i="1"/>
  <c r="P497" i="1" s="1"/>
  <c r="Q497" i="1" s="1"/>
  <c r="R497" i="1" s="1"/>
  <c r="Y502" i="1"/>
  <c r="T1194" i="1"/>
  <c r="X512" i="1"/>
  <c r="P512" i="1" s="1"/>
  <c r="Q512" i="1" s="1"/>
  <c r="R512" i="1" s="1"/>
  <c r="J1099" i="6"/>
  <c r="I1099" i="6"/>
  <c r="T512" i="1"/>
  <c r="X117" i="1"/>
  <c r="P117" i="1" s="1"/>
  <c r="Q117" i="1" s="1"/>
  <c r="F1098" i="6"/>
  <c r="I1098" i="6"/>
  <c r="J1098" i="6"/>
  <c r="T11" i="15"/>
  <c r="J1096" i="6"/>
  <c r="F1096" i="6"/>
  <c r="T7" i="15"/>
  <c r="I1096" i="6"/>
  <c r="T459" i="1"/>
  <c r="T1359" i="1"/>
  <c r="X1455" i="1"/>
  <c r="P1455" i="1" s="1"/>
  <c r="Q1455" i="1" s="1"/>
  <c r="R1455" i="1" s="1"/>
  <c r="X195" i="1"/>
  <c r="P195" i="1" s="1"/>
  <c r="Q195" i="1" s="1"/>
  <c r="R195" i="1" s="1"/>
  <c r="X1243" i="1"/>
  <c r="X311" i="1"/>
  <c r="J1092" i="6"/>
  <c r="F1092" i="6"/>
  <c r="T31" i="15"/>
  <c r="T34" i="15"/>
  <c r="X167" i="1"/>
  <c r="Y167" i="1"/>
  <c r="Y311" i="1"/>
  <c r="Y1243" i="1"/>
  <c r="B1455" i="1"/>
  <c r="X823" i="1"/>
  <c r="P823" i="1" s="1"/>
  <c r="Q823" i="1" s="1"/>
  <c r="R823" i="1" s="1"/>
  <c r="J1093" i="6"/>
  <c r="T186" i="1"/>
  <c r="X202" i="1"/>
  <c r="P202" i="1" s="1"/>
  <c r="Q202" i="1" s="1"/>
  <c r="R202" i="1" s="1"/>
  <c r="X1118" i="1"/>
  <c r="Y1118" i="1"/>
  <c r="X186" i="1"/>
  <c r="P186" i="1" s="1"/>
  <c r="Q186" i="1" s="1"/>
  <c r="R186" i="1" s="1"/>
  <c r="T202" i="1"/>
  <c r="X1359" i="1"/>
  <c r="P1359" i="1" s="1"/>
  <c r="Q1359" i="1" s="1"/>
  <c r="R1359" i="1" s="1"/>
  <c r="X459" i="1"/>
  <c r="P459" i="1" s="1"/>
  <c r="Q459" i="1" s="1"/>
  <c r="R459" i="1" s="1"/>
  <c r="A1153" i="1"/>
  <c r="C1153" i="1"/>
  <c r="B1153" i="1" s="1"/>
  <c r="T1153" i="1"/>
  <c r="V1153" i="1"/>
  <c r="W1153" i="1" s="1"/>
  <c r="Z1153" i="1"/>
  <c r="F1079" i="6"/>
  <c r="I1079" i="6"/>
  <c r="J1079" i="6"/>
  <c r="P502" i="1" l="1"/>
  <c r="Q502" i="1" s="1"/>
  <c r="R502" i="1" s="1"/>
  <c r="D502" i="1" s="1"/>
  <c r="P1243" i="1"/>
  <c r="Q1243" i="1" s="1"/>
  <c r="R1243" i="1" s="1"/>
  <c r="P311" i="1"/>
  <c r="Q311" i="1" s="1"/>
  <c r="R311" i="1" s="1"/>
  <c r="P167" i="1"/>
  <c r="Q167" i="1" s="1"/>
  <c r="R167" i="1" s="1"/>
  <c r="D167" i="1" s="1"/>
  <c r="P1118" i="1"/>
  <c r="Q1118" i="1" s="1"/>
  <c r="R1118" i="1" s="1"/>
  <c r="D1359" i="1"/>
  <c r="D459" i="1"/>
  <c r="X1153" i="1"/>
  <c r="Y1153" i="1"/>
  <c r="A466" i="1"/>
  <c r="C466" i="1"/>
  <c r="B466" i="1" s="1"/>
  <c r="Y466" i="1"/>
  <c r="V466" i="1"/>
  <c r="W466" i="1" s="1"/>
  <c r="Z466" i="1"/>
  <c r="A275" i="1"/>
  <c r="C275" i="1"/>
  <c r="B275" i="1" s="1"/>
  <c r="Y275" i="1"/>
  <c r="V275" i="1"/>
  <c r="W275" i="1" s="1"/>
  <c r="Z275" i="1"/>
  <c r="A1601" i="1"/>
  <c r="C1601" i="1"/>
  <c r="B1601" i="1" s="1"/>
  <c r="V1601" i="1"/>
  <c r="W1601" i="1" s="1"/>
  <c r="Z1601" i="1"/>
  <c r="A1480" i="1"/>
  <c r="C1480" i="1"/>
  <c r="B1480" i="1" s="1"/>
  <c r="M1480" i="1"/>
  <c r="O1480" i="1"/>
  <c r="V1480" i="1"/>
  <c r="W1480" i="1" s="1"/>
  <c r="Z1480" i="1"/>
  <c r="A1129" i="1"/>
  <c r="C1129" i="1"/>
  <c r="T1129" i="1" s="1"/>
  <c r="M1129" i="1"/>
  <c r="O1129" i="1"/>
  <c r="Y1129" i="1"/>
  <c r="V1129" i="1"/>
  <c r="W1129" i="1" s="1"/>
  <c r="Z1129" i="1"/>
  <c r="A1913" i="1"/>
  <c r="C1913" i="1"/>
  <c r="B1913" i="1" s="1"/>
  <c r="M1913" i="1"/>
  <c r="O1913" i="1"/>
  <c r="Y1913" i="1"/>
  <c r="V1913" i="1"/>
  <c r="W1913" i="1" s="1"/>
  <c r="Z1913" i="1"/>
  <c r="A946" i="1"/>
  <c r="C946" i="1"/>
  <c r="B946" i="1" s="1"/>
  <c r="M946" i="1"/>
  <c r="O946" i="1"/>
  <c r="Y946" i="1"/>
  <c r="V946" i="1"/>
  <c r="W946" i="1" s="1"/>
  <c r="Z946" i="1"/>
  <c r="A1292" i="1"/>
  <c r="C1292" i="1"/>
  <c r="B1292" i="1" s="1"/>
  <c r="M1292" i="1"/>
  <c r="O1292" i="1"/>
  <c r="Y1292" i="1"/>
  <c r="V1292" i="1"/>
  <c r="W1292" i="1" s="1"/>
  <c r="Z1292" i="1"/>
  <c r="A1032" i="1"/>
  <c r="C1032" i="1"/>
  <c r="B1032" i="1" s="1"/>
  <c r="M1032" i="1"/>
  <c r="O1032" i="1"/>
  <c r="Y1032" i="1"/>
  <c r="V1032" i="1"/>
  <c r="W1032" i="1" s="1"/>
  <c r="Z1032" i="1"/>
  <c r="A1564" i="1"/>
  <c r="C1564" i="1"/>
  <c r="B1564" i="1" s="1"/>
  <c r="M1564" i="1"/>
  <c r="O1564" i="1"/>
  <c r="Y1564" i="1"/>
  <c r="V1564" i="1"/>
  <c r="W1564" i="1" s="1"/>
  <c r="Z1564" i="1"/>
  <c r="A1281" i="1"/>
  <c r="C1281" i="1"/>
  <c r="B1281" i="1" s="1"/>
  <c r="Y1281" i="1"/>
  <c r="V1281" i="1"/>
  <c r="W1281" i="1" s="1"/>
  <c r="Z1281" i="1"/>
  <c r="A1378" i="1"/>
  <c r="C1378" i="1"/>
  <c r="B1378" i="1" s="1"/>
  <c r="Y1378" i="1"/>
  <c r="V1378" i="1"/>
  <c r="W1378" i="1" s="1"/>
  <c r="Z1378" i="1"/>
  <c r="A125" i="1"/>
  <c r="C125" i="1"/>
  <c r="B125" i="1" s="1"/>
  <c r="Y125" i="1"/>
  <c r="V125" i="1"/>
  <c r="W125" i="1" s="1"/>
  <c r="Z125" i="1"/>
  <c r="A1019" i="1"/>
  <c r="C1019" i="1"/>
  <c r="B1019" i="1" s="1"/>
  <c r="M1019" i="1"/>
  <c r="O1019" i="1"/>
  <c r="T1019" i="1"/>
  <c r="Y1019" i="1"/>
  <c r="V1019" i="1"/>
  <c r="W1019" i="1" s="1"/>
  <c r="Z1019" i="1"/>
  <c r="A853" i="1"/>
  <c r="C853" i="1"/>
  <c r="B853" i="1" s="1"/>
  <c r="Y853" i="1"/>
  <c r="V853" i="1"/>
  <c r="W853" i="1" s="1"/>
  <c r="Z853" i="1"/>
  <c r="A1260" i="1"/>
  <c r="C1260" i="1"/>
  <c r="B1260" i="1" s="1"/>
  <c r="Y1260" i="1"/>
  <c r="V1260" i="1"/>
  <c r="W1260" i="1" s="1"/>
  <c r="Z1260" i="1"/>
  <c r="A1675" i="1"/>
  <c r="C1675" i="1"/>
  <c r="B1675" i="1" s="1"/>
  <c r="T1675" i="1"/>
  <c r="Y1675" i="1"/>
  <c r="V1675" i="1"/>
  <c r="W1675" i="1" s="1"/>
  <c r="Z1675" i="1"/>
  <c r="A1557" i="1"/>
  <c r="C1557" i="1"/>
  <c r="B1557" i="1" s="1"/>
  <c r="Y1557" i="1"/>
  <c r="V1557" i="1"/>
  <c r="W1557" i="1" s="1"/>
  <c r="Z1557" i="1"/>
  <c r="A576" i="1"/>
  <c r="C576" i="1"/>
  <c r="B576" i="1" s="1"/>
  <c r="S576" i="1"/>
  <c r="T576" i="1"/>
  <c r="Y576" i="1"/>
  <c r="V576" i="1"/>
  <c r="W576" i="1" s="1"/>
  <c r="Z576" i="1"/>
  <c r="A859" i="1"/>
  <c r="C859" i="1"/>
  <c r="B859" i="1" s="1"/>
  <c r="S859" i="1"/>
  <c r="T859" i="1"/>
  <c r="Y859" i="1"/>
  <c r="V859" i="1"/>
  <c r="W859" i="1" s="1"/>
  <c r="Z859" i="1"/>
  <c r="K1753" i="1"/>
  <c r="O1753" i="1" s="1"/>
  <c r="A1753" i="1"/>
  <c r="C1753" i="1"/>
  <c r="B1753" i="1" s="1"/>
  <c r="Y1753" i="1"/>
  <c r="V1753" i="1"/>
  <c r="W1753" i="1" s="1"/>
  <c r="Z1753" i="1"/>
  <c r="A860" i="1"/>
  <c r="C860" i="1"/>
  <c r="B860" i="1" s="1"/>
  <c r="M860" i="1"/>
  <c r="V860" i="1"/>
  <c r="W860" i="1" s="1"/>
  <c r="Z860" i="1"/>
  <c r="A1474" i="1"/>
  <c r="C1474" i="1"/>
  <c r="T1474" i="1" s="1"/>
  <c r="M1474" i="1"/>
  <c r="V1474" i="1"/>
  <c r="W1474" i="1" s="1"/>
  <c r="Z1474" i="1"/>
  <c r="A961" i="1"/>
  <c r="C961" i="1"/>
  <c r="B961" i="1" s="1"/>
  <c r="Y961" i="1"/>
  <c r="V961" i="1"/>
  <c r="W961" i="1" s="1"/>
  <c r="Z961" i="1"/>
  <c r="A953" i="1"/>
  <c r="C953" i="1"/>
  <c r="B953" i="1" s="1"/>
  <c r="Y953" i="1"/>
  <c r="V953" i="1"/>
  <c r="W953" i="1" s="1"/>
  <c r="Z953" i="1"/>
  <c r="A865" i="1"/>
  <c r="C865" i="1"/>
  <c r="B865" i="1" s="1"/>
  <c r="M865" i="1"/>
  <c r="O865" i="1"/>
  <c r="Y865" i="1"/>
  <c r="V865" i="1"/>
  <c r="W865" i="1" s="1"/>
  <c r="Z865" i="1"/>
  <c r="A1901" i="1"/>
  <c r="C1901" i="1"/>
  <c r="B1901" i="1" s="1"/>
  <c r="M1901" i="1"/>
  <c r="Y1901" i="1"/>
  <c r="V1901" i="1"/>
  <c r="W1901" i="1" s="1"/>
  <c r="Z1901" i="1"/>
  <c r="A1851" i="1"/>
  <c r="C1851" i="1"/>
  <c r="B1851" i="1" s="1"/>
  <c r="M1851" i="1"/>
  <c r="O1851" i="1"/>
  <c r="Y1851" i="1"/>
  <c r="V1851" i="1"/>
  <c r="W1851" i="1" s="1"/>
  <c r="Z1851" i="1"/>
  <c r="M1753" i="1" l="1"/>
  <c r="T275" i="1"/>
  <c r="P1153" i="1"/>
  <c r="Q1153" i="1" s="1"/>
  <c r="R1153" i="1" s="1"/>
  <c r="D1153" i="1" s="1"/>
  <c r="T466" i="1"/>
  <c r="T1480" i="1"/>
  <c r="T1601" i="1"/>
  <c r="X466" i="1"/>
  <c r="P466" i="1" s="1"/>
  <c r="Q466" i="1" s="1"/>
  <c r="R466" i="1" s="1"/>
  <c r="X275" i="1"/>
  <c r="P275" i="1" s="1"/>
  <c r="Q275" i="1" s="1"/>
  <c r="R275" i="1" s="1"/>
  <c r="X1601" i="1"/>
  <c r="Y1601" i="1"/>
  <c r="X1480" i="1"/>
  <c r="Y1480" i="1"/>
  <c r="X1129" i="1"/>
  <c r="P1129" i="1" s="1"/>
  <c r="Q1129" i="1" s="1"/>
  <c r="R1129" i="1" s="1"/>
  <c r="B1129" i="1"/>
  <c r="T1913" i="1"/>
  <c r="T946" i="1"/>
  <c r="T1564" i="1"/>
  <c r="T1032" i="1"/>
  <c r="T1292" i="1"/>
  <c r="X1913" i="1"/>
  <c r="P1913" i="1" s="1"/>
  <c r="X946" i="1"/>
  <c r="P946" i="1" s="1"/>
  <c r="Q946" i="1" s="1"/>
  <c r="R946" i="1" s="1"/>
  <c r="X1378" i="1"/>
  <c r="P1378" i="1" s="1"/>
  <c r="Q1378" i="1" s="1"/>
  <c r="T1281" i="1"/>
  <c r="X1564" i="1"/>
  <c r="P1564" i="1" s="1"/>
  <c r="Q1564" i="1" s="1"/>
  <c r="R1564" i="1" s="1"/>
  <c r="X1292" i="1"/>
  <c r="P1292" i="1" s="1"/>
  <c r="Q1292" i="1" s="1"/>
  <c r="R1292" i="1" s="1"/>
  <c r="X1032" i="1"/>
  <c r="P1032" i="1" s="1"/>
  <c r="Q1032" i="1" s="1"/>
  <c r="R1032" i="1" s="1"/>
  <c r="X1281" i="1"/>
  <c r="P1281" i="1" s="1"/>
  <c r="Q1281" i="1" s="1"/>
  <c r="R1281" i="1" s="1"/>
  <c r="X125" i="1"/>
  <c r="P125" i="1" s="1"/>
  <c r="Q125" i="1" s="1"/>
  <c r="R125" i="1" s="1"/>
  <c r="T1378" i="1"/>
  <c r="T125" i="1"/>
  <c r="X1019" i="1"/>
  <c r="P1019" i="1" s="1"/>
  <c r="Q1019" i="1" s="1"/>
  <c r="R1019" i="1" s="1"/>
  <c r="D1019" i="1" s="1"/>
  <c r="T853" i="1"/>
  <c r="X853" i="1"/>
  <c r="P853" i="1" s="1"/>
  <c r="Q853" i="1" s="1"/>
  <c r="R853" i="1" s="1"/>
  <c r="T1260" i="1"/>
  <c r="X1557" i="1"/>
  <c r="P1557" i="1" s="1"/>
  <c r="Q1557" i="1" s="1"/>
  <c r="R1557" i="1" s="1"/>
  <c r="X1260" i="1"/>
  <c r="P1260" i="1" s="1"/>
  <c r="Q1260" i="1" s="1"/>
  <c r="R1260" i="1" s="1"/>
  <c r="X1675" i="1"/>
  <c r="P1675" i="1" s="1"/>
  <c r="Q1675" i="1" s="1"/>
  <c r="R1675" i="1" s="1"/>
  <c r="T1557" i="1"/>
  <c r="T860" i="1"/>
  <c r="X576" i="1"/>
  <c r="P576" i="1" s="1"/>
  <c r="Q576" i="1" s="1"/>
  <c r="R576" i="1" s="1"/>
  <c r="D576" i="1" s="1"/>
  <c r="T865" i="1"/>
  <c r="X1753" i="1"/>
  <c r="P1753" i="1" s="1"/>
  <c r="Q1753" i="1" s="1"/>
  <c r="X859" i="1"/>
  <c r="P859" i="1" s="1"/>
  <c r="Q859" i="1" s="1"/>
  <c r="R859" i="1" s="1"/>
  <c r="D859" i="1" s="1"/>
  <c r="T1753" i="1"/>
  <c r="X860" i="1"/>
  <c r="P860" i="1" s="1"/>
  <c r="Q860" i="1" s="1"/>
  <c r="R860" i="1" s="1"/>
  <c r="Y860" i="1"/>
  <c r="X1474" i="1"/>
  <c r="T961" i="1"/>
  <c r="Y1474" i="1"/>
  <c r="B1474" i="1"/>
  <c r="X961" i="1"/>
  <c r="P961" i="1" s="1"/>
  <c r="Q961" i="1" s="1"/>
  <c r="R961" i="1" s="1"/>
  <c r="T953" i="1"/>
  <c r="X953" i="1"/>
  <c r="P953" i="1" s="1"/>
  <c r="Q953" i="1" s="1"/>
  <c r="R953" i="1" s="1"/>
  <c r="X865" i="1"/>
  <c r="P865" i="1" s="1"/>
  <c r="Q865" i="1" s="1"/>
  <c r="R865" i="1" s="1"/>
  <c r="D865" i="1" s="1"/>
  <c r="T1901" i="1"/>
  <c r="X1851" i="1"/>
  <c r="P1851" i="1" s="1"/>
  <c r="Q1851" i="1" s="1"/>
  <c r="R1851" i="1" s="1"/>
  <c r="X1901" i="1"/>
  <c r="P1901" i="1" s="1"/>
  <c r="Q1901" i="1" s="1"/>
  <c r="R1901" i="1" s="1"/>
  <c r="T1851" i="1"/>
  <c r="F1051" i="6"/>
  <c r="F1082" i="6"/>
  <c r="F1083" i="6"/>
  <c r="I1051" i="6"/>
  <c r="I1082" i="6"/>
  <c r="I1083" i="6"/>
  <c r="J1051" i="6"/>
  <c r="J1082" i="6"/>
  <c r="J1083" i="6"/>
  <c r="F1052" i="6"/>
  <c r="F1063" i="6"/>
  <c r="F1069" i="6"/>
  <c r="I1052" i="6"/>
  <c r="I1063" i="6"/>
  <c r="I1069" i="6"/>
  <c r="J1052" i="6"/>
  <c r="J1063" i="6"/>
  <c r="J1069" i="6"/>
  <c r="D1129" i="1" l="1"/>
  <c r="D129" i="1"/>
  <c r="D542" i="1"/>
  <c r="D1378" i="1"/>
  <c r="R1378" i="1"/>
  <c r="D125" i="1"/>
  <c r="D1461" i="1"/>
  <c r="D1389" i="1"/>
  <c r="D1851" i="1"/>
  <c r="D1218" i="1"/>
  <c r="D1280" i="1"/>
  <c r="Q1913" i="1"/>
  <c r="R1913" i="1" s="1"/>
  <c r="D1913" i="1" s="1"/>
  <c r="R1753" i="1"/>
  <c r="D1753" i="1" s="1"/>
  <c r="D202" i="1"/>
  <c r="D186" i="1"/>
  <c r="P1601" i="1"/>
  <c r="Q1601" i="1" s="1"/>
  <c r="R1601" i="1" s="1"/>
  <c r="D1773" i="1" s="1"/>
  <c r="P1480" i="1"/>
  <c r="Q1480" i="1" s="1"/>
  <c r="R1480" i="1" s="1"/>
  <c r="D1032" i="1"/>
  <c r="D1564" i="1"/>
  <c r="D1557" i="1"/>
  <c r="D1675" i="1"/>
  <c r="P1474" i="1"/>
  <c r="Q1474" i="1" s="1"/>
  <c r="R1474" i="1" s="1"/>
  <c r="D953" i="1"/>
  <c r="D961" i="1"/>
  <c r="A1117" i="1"/>
  <c r="A1116" i="1"/>
  <c r="C1117" i="1"/>
  <c r="B1117" i="1" s="1"/>
  <c r="C1116" i="1"/>
  <c r="B1116" i="1" s="1"/>
  <c r="M1117" i="1"/>
  <c r="M1116" i="1"/>
  <c r="O1117" i="1"/>
  <c r="O1116" i="1"/>
  <c r="S1116" i="1"/>
  <c r="T1117" i="1"/>
  <c r="T1116" i="1"/>
  <c r="Y1117" i="1"/>
  <c r="Y1116" i="1"/>
  <c r="V1117" i="1"/>
  <c r="W1117" i="1" s="1"/>
  <c r="V1116" i="1"/>
  <c r="W1116" i="1" s="1"/>
  <c r="Z1117" i="1"/>
  <c r="Z1116" i="1"/>
  <c r="A35" i="104"/>
  <c r="B35" i="104"/>
  <c r="C35" i="104"/>
  <c r="A1949" i="1"/>
  <c r="C1949" i="1"/>
  <c r="B1949" i="1" s="1"/>
  <c r="M1949" i="1"/>
  <c r="Y1949" i="1"/>
  <c r="V1949" i="1"/>
  <c r="W1949" i="1" s="1"/>
  <c r="Z1949" i="1"/>
  <c r="A488" i="1"/>
  <c r="C488" i="1"/>
  <c r="T488" i="1" s="1"/>
  <c r="Y488" i="1"/>
  <c r="V488" i="1"/>
  <c r="W488" i="1" s="1"/>
  <c r="Z488" i="1"/>
  <c r="A243" i="1"/>
  <c r="C243" i="1"/>
  <c r="B243" i="1" s="1"/>
  <c r="M243" i="1"/>
  <c r="Y243" i="1"/>
  <c r="V243" i="1"/>
  <c r="W243" i="1" s="1"/>
  <c r="Z243" i="1"/>
  <c r="A149" i="1"/>
  <c r="A137" i="1"/>
  <c r="A1841" i="1"/>
  <c r="A1043" i="1"/>
  <c r="C149" i="1"/>
  <c r="B149" i="1" s="1"/>
  <c r="C137" i="1"/>
  <c r="B137" i="1" s="1"/>
  <c r="C1841" i="1"/>
  <c r="B1841" i="1" s="1"/>
  <c r="C1043" i="1"/>
  <c r="B1043" i="1" s="1"/>
  <c r="M149" i="1"/>
  <c r="M137" i="1"/>
  <c r="M1841" i="1"/>
  <c r="M1043" i="1"/>
  <c r="O149" i="1"/>
  <c r="O137" i="1"/>
  <c r="O1841" i="1"/>
  <c r="O1043" i="1"/>
  <c r="T149" i="1"/>
  <c r="T137" i="1"/>
  <c r="T1841" i="1"/>
  <c r="T1043" i="1"/>
  <c r="Y149" i="1"/>
  <c r="V149" i="1"/>
  <c r="W149" i="1" s="1"/>
  <c r="V137" i="1"/>
  <c r="W137" i="1" s="1"/>
  <c r="V1841" i="1"/>
  <c r="W1841" i="1" s="1"/>
  <c r="V1043" i="1"/>
  <c r="W1043" i="1" s="1"/>
  <c r="Z149" i="1"/>
  <c r="Z137" i="1"/>
  <c r="Z1841" i="1"/>
  <c r="Z1043" i="1"/>
  <c r="A666" i="1"/>
  <c r="C666" i="1"/>
  <c r="B666" i="1" s="1"/>
  <c r="Y666" i="1"/>
  <c r="V666" i="1"/>
  <c r="W666" i="1" s="1"/>
  <c r="Z666" i="1"/>
  <c r="A1821" i="1"/>
  <c r="C1821" i="1"/>
  <c r="B1821" i="1" s="1"/>
  <c r="Y1821" i="1"/>
  <c r="V1821" i="1"/>
  <c r="W1821" i="1" s="1"/>
  <c r="Z1821" i="1"/>
  <c r="AE20" i="16"/>
  <c r="AE22" i="16"/>
  <c r="A35" i="1"/>
  <c r="C35" i="1"/>
  <c r="B35" i="1" s="1"/>
  <c r="M35" i="1"/>
  <c r="O35" i="1"/>
  <c r="T35" i="1"/>
  <c r="V35" i="1"/>
  <c r="W35" i="1" s="1"/>
  <c r="Z35" i="1"/>
  <c r="F1081" i="6"/>
  <c r="I1081" i="6"/>
  <c r="J1081" i="6"/>
  <c r="F1080" i="6"/>
  <c r="I1080" i="6"/>
  <c r="J1080" i="6"/>
  <c r="A46" i="1"/>
  <c r="C46" i="1"/>
  <c r="B46" i="1" s="1"/>
  <c r="T46" i="1"/>
  <c r="V46" i="1"/>
  <c r="W46" i="1" s="1"/>
  <c r="Z46" i="1"/>
  <c r="A438" i="1"/>
  <c r="C438" i="1"/>
  <c r="B438" i="1" s="1"/>
  <c r="T438" i="1"/>
  <c r="Y438" i="1"/>
  <c r="V438" i="1"/>
  <c r="W438" i="1" s="1"/>
  <c r="Z438" i="1"/>
  <c r="A1429" i="1"/>
  <c r="C1429" i="1"/>
  <c r="B1429" i="1" s="1"/>
  <c r="S1429" i="1"/>
  <c r="T1429" i="1"/>
  <c r="Y1429" i="1"/>
  <c r="V1429" i="1"/>
  <c r="W1429" i="1" s="1"/>
  <c r="Z1429" i="1"/>
  <c r="A237" i="1"/>
  <c r="C237" i="1"/>
  <c r="B237" i="1" s="1"/>
  <c r="M237" i="1"/>
  <c r="O237" i="1"/>
  <c r="T237" i="1"/>
  <c r="Y237" i="1"/>
  <c r="V237" i="1"/>
  <c r="W237" i="1" s="1"/>
  <c r="Z237" i="1"/>
  <c r="A1863" i="1"/>
  <c r="C1863" i="1"/>
  <c r="B1863" i="1" s="1"/>
  <c r="M1863" i="1"/>
  <c r="O1863" i="1"/>
  <c r="Y1863" i="1"/>
  <c r="V1863" i="1"/>
  <c r="W1863" i="1" s="1"/>
  <c r="Z1863" i="1"/>
  <c r="A2014" i="1"/>
  <c r="C2014" i="1"/>
  <c r="B2014" i="1" s="1"/>
  <c r="Y2014" i="1"/>
  <c r="V2014" i="1"/>
  <c r="W2014" i="1" s="1"/>
  <c r="Z2014" i="1"/>
  <c r="A239" i="1"/>
  <c r="C239" i="1"/>
  <c r="B239" i="1" s="1"/>
  <c r="T239" i="1"/>
  <c r="Y239" i="1"/>
  <c r="V239" i="1"/>
  <c r="W239" i="1" s="1"/>
  <c r="Z239" i="1"/>
  <c r="A1302" i="1"/>
  <c r="C1302" i="1"/>
  <c r="B1302" i="1" s="1"/>
  <c r="S1302" i="1"/>
  <c r="T1302" i="1"/>
  <c r="Y1302" i="1"/>
  <c r="V1302" i="1"/>
  <c r="W1302" i="1" s="1"/>
  <c r="Z1302" i="1"/>
  <c r="A451" i="1"/>
  <c r="C451" i="1"/>
  <c r="B451" i="1" s="1"/>
  <c r="M451" i="1"/>
  <c r="O451" i="1"/>
  <c r="Y451" i="1"/>
  <c r="V451" i="1"/>
  <c r="W451" i="1" s="1"/>
  <c r="Z451" i="1"/>
  <c r="A1138" i="1"/>
  <c r="C1138" i="1"/>
  <c r="B1138" i="1" s="1"/>
  <c r="M1138" i="1"/>
  <c r="O1138" i="1"/>
  <c r="Y1138" i="1"/>
  <c r="V1138" i="1"/>
  <c r="W1138" i="1" s="1"/>
  <c r="Z1138" i="1"/>
  <c r="H34" i="104"/>
  <c r="I34" i="104" s="1"/>
  <c r="H33" i="104"/>
  <c r="I33" i="104" s="1"/>
  <c r="A33" i="104"/>
  <c r="A34" i="104"/>
  <c r="B33" i="104"/>
  <c r="B34" i="104"/>
  <c r="C33" i="104"/>
  <c r="C34" i="104"/>
  <c r="A560" i="1"/>
  <c r="C560" i="1"/>
  <c r="T560" i="1" s="1"/>
  <c r="M560" i="1"/>
  <c r="O560" i="1"/>
  <c r="Y560" i="1"/>
  <c r="V560" i="1"/>
  <c r="W560" i="1" s="1"/>
  <c r="Z560" i="1"/>
  <c r="A817" i="1"/>
  <c r="C817" i="1"/>
  <c r="B817" i="1" s="1"/>
  <c r="M817" i="1"/>
  <c r="O817" i="1"/>
  <c r="Y817" i="1"/>
  <c r="V817" i="1"/>
  <c r="W817" i="1" s="1"/>
  <c r="Z817" i="1"/>
  <c r="A1388" i="1"/>
  <c r="C1388" i="1"/>
  <c r="B1388" i="1" s="1"/>
  <c r="M1388" i="1"/>
  <c r="O1388" i="1"/>
  <c r="Y1388" i="1"/>
  <c r="V1388" i="1"/>
  <c r="W1388" i="1" s="1"/>
  <c r="Z1388" i="1"/>
  <c r="A1558" i="1"/>
  <c r="C1558" i="1"/>
  <c r="B1558" i="1" s="1"/>
  <c r="M1558" i="1"/>
  <c r="O1558" i="1"/>
  <c r="V1558" i="1"/>
  <c r="W1558" i="1" s="1"/>
  <c r="Z1558" i="1"/>
  <c r="A1059" i="1"/>
  <c r="C1059" i="1"/>
  <c r="B1059" i="1" s="1"/>
  <c r="M1059" i="1"/>
  <c r="O1059" i="1"/>
  <c r="V1059" i="1"/>
  <c r="W1059" i="1" s="1"/>
  <c r="Z1059" i="1"/>
  <c r="A267" i="1"/>
  <c r="C267" i="1"/>
  <c r="B267" i="1" s="1"/>
  <c r="Y267" i="1"/>
  <c r="V267" i="1"/>
  <c r="W267" i="1" s="1"/>
  <c r="Z267" i="1"/>
  <c r="A672" i="1"/>
  <c r="C672" i="1"/>
  <c r="B672" i="1" s="1"/>
  <c r="Y672" i="1"/>
  <c r="V672" i="1"/>
  <c r="W672" i="1" s="1"/>
  <c r="Z672" i="1"/>
  <c r="A1011" i="1"/>
  <c r="C1011" i="1"/>
  <c r="B1011" i="1" s="1"/>
  <c r="Y1011" i="1"/>
  <c r="V1011" i="1"/>
  <c r="W1011" i="1" s="1"/>
  <c r="Z1011" i="1"/>
  <c r="A1392" i="1"/>
  <c r="C1392" i="1"/>
  <c r="B1392" i="1" s="1"/>
  <c r="V1392" i="1"/>
  <c r="W1392" i="1" s="1"/>
  <c r="Z1392" i="1"/>
  <c r="A2076" i="1"/>
  <c r="C2076" i="1"/>
  <c r="B2076" i="1" s="1"/>
  <c r="V2076" i="1"/>
  <c r="W2076" i="1" s="1"/>
  <c r="Z2076" i="1"/>
  <c r="A1555" i="1"/>
  <c r="C1555" i="1"/>
  <c r="B1555" i="1" s="1"/>
  <c r="Y1555" i="1"/>
  <c r="V1555" i="1"/>
  <c r="W1555" i="1" s="1"/>
  <c r="Z1555" i="1"/>
  <c r="A143" i="1"/>
  <c r="C143" i="1"/>
  <c r="B143" i="1" s="1"/>
  <c r="Y143" i="1"/>
  <c r="V143" i="1"/>
  <c r="W143" i="1" s="1"/>
  <c r="Z143" i="1"/>
  <c r="A72" i="1"/>
  <c r="C72" i="1"/>
  <c r="B72" i="1" s="1"/>
  <c r="V72" i="1"/>
  <c r="W72" i="1" s="1"/>
  <c r="Z72" i="1"/>
  <c r="K71" i="1"/>
  <c r="D1061" i="6"/>
  <c r="F1061" i="6"/>
  <c r="I1061" i="6"/>
  <c r="J1061" i="6"/>
  <c r="F857" i="6"/>
  <c r="F859" i="6"/>
  <c r="F861" i="6"/>
  <c r="F863" i="6"/>
  <c r="F865" i="6"/>
  <c r="F867" i="6"/>
  <c r="F869" i="6"/>
  <c r="F873" i="6"/>
  <c r="I857" i="6"/>
  <c r="I859" i="6"/>
  <c r="I861" i="6"/>
  <c r="I863" i="6"/>
  <c r="I865" i="6"/>
  <c r="I867" i="6"/>
  <c r="I869" i="6"/>
  <c r="I873" i="6"/>
  <c r="J857" i="6"/>
  <c r="J859" i="6"/>
  <c r="J861" i="6"/>
  <c r="J863" i="6"/>
  <c r="J865" i="6"/>
  <c r="J867" i="6"/>
  <c r="J869" i="6"/>
  <c r="J873" i="6"/>
  <c r="F1078" i="6"/>
  <c r="F1070" i="6"/>
  <c r="F1075" i="6"/>
  <c r="F1076" i="6"/>
  <c r="F1071" i="6"/>
  <c r="F1074" i="6"/>
  <c r="F1073" i="6"/>
  <c r="F1077" i="6"/>
  <c r="F1072" i="6"/>
  <c r="I1078" i="6"/>
  <c r="I1070" i="6"/>
  <c r="I1075" i="6"/>
  <c r="I1076" i="6"/>
  <c r="I1071" i="6"/>
  <c r="I1074" i="6"/>
  <c r="I1073" i="6"/>
  <c r="I1077" i="6"/>
  <c r="I1072" i="6"/>
  <c r="J1078" i="6"/>
  <c r="J1070" i="6"/>
  <c r="J1075" i="6"/>
  <c r="J1076" i="6"/>
  <c r="J1071" i="6"/>
  <c r="J1074" i="6"/>
  <c r="J1073" i="6"/>
  <c r="J1077" i="6"/>
  <c r="J1072" i="6"/>
  <c r="C1064" i="6"/>
  <c r="W40" i="15" s="1"/>
  <c r="A139" i="1"/>
  <c r="C139" i="1"/>
  <c r="B139" i="1" s="1"/>
  <c r="Y139" i="1"/>
  <c r="V139" i="1"/>
  <c r="W139" i="1" s="1"/>
  <c r="Z139" i="1"/>
  <c r="A1135" i="1"/>
  <c r="C1135" i="1"/>
  <c r="B1135" i="1" s="1"/>
  <c r="D1135" i="1"/>
  <c r="M1135" i="1"/>
  <c r="O1135" i="1"/>
  <c r="S1135" i="1"/>
  <c r="T1135" i="1"/>
  <c r="Y1135" i="1"/>
  <c r="V1135" i="1"/>
  <c r="W1135" i="1" s="1"/>
  <c r="Z1135" i="1"/>
  <c r="A1735" i="1"/>
  <c r="C1735" i="1"/>
  <c r="B1735" i="1" s="1"/>
  <c r="M1735" i="1"/>
  <c r="O1735" i="1"/>
  <c r="Y1735" i="1"/>
  <c r="V1735" i="1"/>
  <c r="W1735" i="1" s="1"/>
  <c r="Z1735" i="1"/>
  <c r="A1573" i="1"/>
  <c r="C1573" i="1"/>
  <c r="B1573" i="1" s="1"/>
  <c r="M1573" i="1"/>
  <c r="O1573" i="1"/>
  <c r="V1573" i="1"/>
  <c r="W1573" i="1" s="1"/>
  <c r="Z1573" i="1"/>
  <c r="A1933" i="1"/>
  <c r="C1933" i="1"/>
  <c r="B1933" i="1" s="1"/>
  <c r="M1933" i="1"/>
  <c r="O1933" i="1"/>
  <c r="Y1933" i="1"/>
  <c r="V1933" i="1"/>
  <c r="W1933" i="1" s="1"/>
  <c r="Z1933" i="1"/>
  <c r="A945" i="1"/>
  <c r="C945" i="1"/>
  <c r="B945" i="1" s="1"/>
  <c r="M945" i="1"/>
  <c r="O945" i="1"/>
  <c r="Y945" i="1"/>
  <c r="V945" i="1"/>
  <c r="W945" i="1" s="1"/>
  <c r="Z945" i="1"/>
  <c r="A1542" i="1"/>
  <c r="C1542" i="1"/>
  <c r="B1542" i="1" s="1"/>
  <c r="Y1542" i="1"/>
  <c r="V1542" i="1"/>
  <c r="W1542" i="1" s="1"/>
  <c r="Z1542" i="1"/>
  <c r="A794" i="1"/>
  <c r="C794" i="1"/>
  <c r="T794" i="1" s="1"/>
  <c r="M794" i="1"/>
  <c r="O794" i="1"/>
  <c r="Y794" i="1"/>
  <c r="V794" i="1"/>
  <c r="W794" i="1" s="1"/>
  <c r="Z794" i="1"/>
  <c r="A1189" i="1"/>
  <c r="C1189" i="1"/>
  <c r="B1189" i="1" s="1"/>
  <c r="Y1189" i="1"/>
  <c r="V1189" i="1"/>
  <c r="W1189" i="1" s="1"/>
  <c r="Z1189" i="1"/>
  <c r="A1697" i="1"/>
  <c r="C1697" i="1"/>
  <c r="B1697" i="1" s="1"/>
  <c r="Y1697" i="1"/>
  <c r="V1697" i="1"/>
  <c r="W1697" i="1" s="1"/>
  <c r="Z1697" i="1"/>
  <c r="A1798" i="1"/>
  <c r="C1798" i="1"/>
  <c r="B1798" i="1" s="1"/>
  <c r="V1798" i="1"/>
  <c r="W1798" i="1" s="1"/>
  <c r="Z1798" i="1"/>
  <c r="A301" i="1"/>
  <c r="C301" i="1"/>
  <c r="B301" i="1" s="1"/>
  <c r="V301" i="1"/>
  <c r="W301" i="1" s="1"/>
  <c r="Z301" i="1"/>
  <c r="A769" i="1"/>
  <c r="C769" i="1"/>
  <c r="B769" i="1" s="1"/>
  <c r="Y769" i="1"/>
  <c r="V769" i="1"/>
  <c r="W769" i="1" s="1"/>
  <c r="Z769" i="1"/>
  <c r="A1294" i="1"/>
  <c r="C1294" i="1"/>
  <c r="B1294" i="1" s="1"/>
  <c r="Y1294" i="1"/>
  <c r="V1294" i="1"/>
  <c r="W1294" i="1" s="1"/>
  <c r="Z1294" i="1"/>
  <c r="A1331" i="1"/>
  <c r="C1331" i="1"/>
  <c r="B1331" i="1" s="1"/>
  <c r="T1331" i="1"/>
  <c r="Y1331" i="1"/>
  <c r="V1331" i="1"/>
  <c r="W1331" i="1" s="1"/>
  <c r="Z1331" i="1"/>
  <c r="A1739" i="1"/>
  <c r="C1739" i="1"/>
  <c r="B1739" i="1" s="1"/>
  <c r="M1739" i="1"/>
  <c r="Y1739" i="1"/>
  <c r="V1739" i="1"/>
  <c r="W1739" i="1" s="1"/>
  <c r="Z1739" i="1"/>
  <c r="A1001" i="1"/>
  <c r="A1537" i="1"/>
  <c r="A244" i="1"/>
  <c r="C1001" i="1"/>
  <c r="B1001" i="1" s="1"/>
  <c r="C1537" i="1"/>
  <c r="B1537" i="1" s="1"/>
  <c r="C244" i="1"/>
  <c r="B244" i="1" s="1"/>
  <c r="M1001" i="1"/>
  <c r="M1537" i="1"/>
  <c r="M244" i="1"/>
  <c r="Y1001" i="1"/>
  <c r="Y1537" i="1"/>
  <c r="Y244" i="1"/>
  <c r="V1001" i="1"/>
  <c r="W1001" i="1" s="1"/>
  <c r="V1537" i="1"/>
  <c r="W1537" i="1" s="1"/>
  <c r="V244" i="1"/>
  <c r="W244" i="1" s="1"/>
  <c r="Z1001" i="1"/>
  <c r="Z1537" i="1"/>
  <c r="Z244" i="1"/>
  <c r="A285" i="1"/>
  <c r="C285" i="1"/>
  <c r="B285" i="1" s="1"/>
  <c r="M285" i="1"/>
  <c r="Y285" i="1"/>
  <c r="V285" i="1"/>
  <c r="W285" i="1" s="1"/>
  <c r="Z285" i="1"/>
  <c r="A1211" i="1"/>
  <c r="C1211" i="1"/>
  <c r="B1211" i="1" s="1"/>
  <c r="M1211" i="1"/>
  <c r="Y1211" i="1"/>
  <c r="V1211" i="1"/>
  <c r="W1211" i="1" s="1"/>
  <c r="Z1211" i="1"/>
  <c r="A71" i="1"/>
  <c r="C71" i="1"/>
  <c r="B71" i="1" s="1"/>
  <c r="Y71" i="1"/>
  <c r="V71" i="1"/>
  <c r="W71" i="1" s="1"/>
  <c r="Z71" i="1"/>
  <c r="I1066" i="6"/>
  <c r="J1066" i="6"/>
  <c r="C1068" i="6"/>
  <c r="D1060" i="6"/>
  <c r="E1060" i="6" s="1"/>
  <c r="F1060" i="6"/>
  <c r="I1060" i="6"/>
  <c r="F1068" i="6"/>
  <c r="I1065" i="6"/>
  <c r="J1065" i="6"/>
  <c r="F1062" i="6"/>
  <c r="I1062" i="6"/>
  <c r="J1062" i="6"/>
  <c r="I1067" i="6"/>
  <c r="J1067" i="6"/>
  <c r="A1115" i="1"/>
  <c r="C1115" i="1"/>
  <c r="B1115" i="1" s="1"/>
  <c r="M1115" i="1"/>
  <c r="O1115" i="1"/>
  <c r="S1115" i="1"/>
  <c r="T1115" i="1"/>
  <c r="Y1115" i="1"/>
  <c r="V1115" i="1"/>
  <c r="W1115" i="1" s="1"/>
  <c r="Z1115" i="1"/>
  <c r="A755" i="1"/>
  <c r="C755" i="1"/>
  <c r="B755" i="1" s="1"/>
  <c r="T755" i="1"/>
  <c r="Y755" i="1"/>
  <c r="V755" i="1"/>
  <c r="W755" i="1" s="1"/>
  <c r="Z755" i="1"/>
  <c r="A1473" i="1"/>
  <c r="C1473" i="1"/>
  <c r="B1473" i="1" s="1"/>
  <c r="T1473" i="1"/>
  <c r="Y1473" i="1"/>
  <c r="V1473" i="1"/>
  <c r="W1473" i="1" s="1"/>
  <c r="Z1473" i="1"/>
  <c r="A1538" i="1"/>
  <c r="C1538" i="1"/>
  <c r="B1538" i="1" s="1"/>
  <c r="M1538" i="1"/>
  <c r="O1538" i="1"/>
  <c r="S1538" i="1"/>
  <c r="T1538" i="1"/>
  <c r="Y1538" i="1"/>
  <c r="V1538" i="1"/>
  <c r="W1538" i="1" s="1"/>
  <c r="Z1538" i="1"/>
  <c r="A356" i="1"/>
  <c r="C356" i="1"/>
  <c r="B356" i="1" s="1"/>
  <c r="T356" i="1"/>
  <c r="Y356" i="1"/>
  <c r="V356" i="1"/>
  <c r="W356" i="1" s="1"/>
  <c r="Z356" i="1"/>
  <c r="A1397" i="1"/>
  <c r="C1397" i="1"/>
  <c r="B1397" i="1" s="1"/>
  <c r="M1397" i="1"/>
  <c r="V1397" i="1"/>
  <c r="W1397" i="1" s="1"/>
  <c r="Z1397" i="1"/>
  <c r="A1377" i="1"/>
  <c r="C1377" i="1"/>
  <c r="B1377" i="1" s="1"/>
  <c r="Y1377" i="1"/>
  <c r="V1377" i="1"/>
  <c r="W1377" i="1" s="1"/>
  <c r="Z1377" i="1"/>
  <c r="A760" i="1"/>
  <c r="C760" i="1"/>
  <c r="B760" i="1" s="1"/>
  <c r="Y760" i="1"/>
  <c r="V760" i="1"/>
  <c r="W760" i="1" s="1"/>
  <c r="Z760" i="1"/>
  <c r="A554" i="1"/>
  <c r="C554" i="1"/>
  <c r="B554" i="1" s="1"/>
  <c r="D554" i="1"/>
  <c r="S554" i="1"/>
  <c r="T554" i="1"/>
  <c r="Y554" i="1"/>
  <c r="V554" i="1"/>
  <c r="W554" i="1" s="1"/>
  <c r="Z554" i="1"/>
  <c r="A496" i="1"/>
  <c r="C496" i="1"/>
  <c r="B496" i="1" s="1"/>
  <c r="V496" i="1"/>
  <c r="W496" i="1" s="1"/>
  <c r="Z496" i="1"/>
  <c r="A599" i="1"/>
  <c r="C599" i="1"/>
  <c r="B599" i="1" s="1"/>
  <c r="Y599" i="1"/>
  <c r="V599" i="1"/>
  <c r="W599" i="1" s="1"/>
  <c r="Z599" i="1"/>
  <c r="A32" i="104"/>
  <c r="B32" i="104"/>
  <c r="C32" i="104"/>
  <c r="A774" i="1"/>
  <c r="C774" i="1"/>
  <c r="B774" i="1" s="1"/>
  <c r="M774" i="1"/>
  <c r="O774" i="1"/>
  <c r="S774" i="1"/>
  <c r="T774" i="1"/>
  <c r="V774" i="1"/>
  <c r="W774" i="1" s="1"/>
  <c r="Z774" i="1"/>
  <c r="A273" i="1"/>
  <c r="C273" i="1"/>
  <c r="B273" i="1" s="1"/>
  <c r="M273" i="1"/>
  <c r="O273" i="1"/>
  <c r="T273" i="1"/>
  <c r="Y273" i="1"/>
  <c r="V273" i="1"/>
  <c r="W273" i="1" s="1"/>
  <c r="Z273" i="1"/>
  <c r="A1681" i="1"/>
  <c r="C1681" i="1"/>
  <c r="B1681" i="1" s="1"/>
  <c r="M1681" i="1"/>
  <c r="O1681" i="1"/>
  <c r="S1681" i="1"/>
  <c r="T1681" i="1"/>
  <c r="Y1681" i="1"/>
  <c r="V1681" i="1"/>
  <c r="W1681" i="1" s="1"/>
  <c r="Z1681" i="1"/>
  <c r="A1431" i="1"/>
  <c r="C1431" i="1"/>
  <c r="B1431" i="1" s="1"/>
  <c r="S1431" i="1"/>
  <c r="Y1431" i="1"/>
  <c r="V1431" i="1"/>
  <c r="W1431" i="1" s="1"/>
  <c r="Z1431" i="1"/>
  <c r="K2040" i="1"/>
  <c r="A2046" i="1"/>
  <c r="A2040" i="1"/>
  <c r="C2046" i="1"/>
  <c r="B2046" i="1" s="1"/>
  <c r="C2040" i="1"/>
  <c r="B2040" i="1" s="1"/>
  <c r="S2040" i="1"/>
  <c r="T2046" i="1"/>
  <c r="T2040" i="1"/>
  <c r="Y2046" i="1"/>
  <c r="Y2040" i="1"/>
  <c r="V2046" i="1"/>
  <c r="W2046" i="1" s="1"/>
  <c r="V2040" i="1"/>
  <c r="W2040" i="1" s="1"/>
  <c r="Z2046" i="1"/>
  <c r="Z2040" i="1"/>
  <c r="A1313" i="1"/>
  <c r="C1313" i="1"/>
  <c r="B1313" i="1" s="1"/>
  <c r="M1313" i="1"/>
  <c r="O1313" i="1"/>
  <c r="Y1313" i="1"/>
  <c r="V1313" i="1"/>
  <c r="W1313" i="1" s="1"/>
  <c r="Z1313" i="1"/>
  <c r="A1062" i="1"/>
  <c r="C1062" i="1"/>
  <c r="B1062" i="1" s="1"/>
  <c r="M1062" i="1"/>
  <c r="O1062" i="1"/>
  <c r="S1062" i="1"/>
  <c r="T1062" i="1"/>
  <c r="V1062" i="1"/>
  <c r="W1062" i="1" s="1"/>
  <c r="Z1062" i="1"/>
  <c r="A1053" i="1"/>
  <c r="C1053" i="1"/>
  <c r="B1053" i="1" s="1"/>
  <c r="D1053" i="1"/>
  <c r="S1053" i="1"/>
  <c r="T1053" i="1"/>
  <c r="Y1053" i="1"/>
  <c r="V1053" i="1"/>
  <c r="W1053" i="1" s="1"/>
  <c r="Z1053" i="1"/>
  <c r="A185" i="1"/>
  <c r="C185" i="1"/>
  <c r="B185" i="1" s="1"/>
  <c r="Y185" i="1"/>
  <c r="V185" i="1"/>
  <c r="W185" i="1" s="1"/>
  <c r="Z185" i="1"/>
  <c r="A201" i="1"/>
  <c r="C201" i="1"/>
  <c r="B201" i="1" s="1"/>
  <c r="V201" i="1"/>
  <c r="W201" i="1" s="1"/>
  <c r="Z201" i="1"/>
  <c r="D1057" i="6"/>
  <c r="E1057" i="6" s="1"/>
  <c r="A923" i="1"/>
  <c r="C923" i="1"/>
  <c r="B923" i="1" s="1"/>
  <c r="M923" i="1"/>
  <c r="O923" i="1"/>
  <c r="S923" i="1"/>
  <c r="T923" i="1"/>
  <c r="Y923" i="1"/>
  <c r="V923" i="1"/>
  <c r="W923" i="1" s="1"/>
  <c r="Z923" i="1"/>
  <c r="F1057" i="6"/>
  <c r="I1057" i="6"/>
  <c r="F1054" i="6"/>
  <c r="I1054" i="6"/>
  <c r="J1054" i="6"/>
  <c r="F1058" i="6"/>
  <c r="I1058" i="6"/>
  <c r="J1058" i="6"/>
  <c r="R50" i="15"/>
  <c r="A1594" i="1"/>
  <c r="C1594" i="1"/>
  <c r="B1594" i="1" s="1"/>
  <c r="V1594" i="1"/>
  <c r="W1594" i="1" s="1"/>
  <c r="Z1594" i="1"/>
  <c r="A1964" i="1"/>
  <c r="C1964" i="1"/>
  <c r="B1964" i="1" s="1"/>
  <c r="M1964" i="1"/>
  <c r="O1964" i="1"/>
  <c r="Y1964" i="1"/>
  <c r="V1964" i="1"/>
  <c r="W1964" i="1" s="1"/>
  <c r="Z1964" i="1"/>
  <c r="A1738" i="1"/>
  <c r="C1738" i="1"/>
  <c r="B1738" i="1" s="1"/>
  <c r="M1738" i="1"/>
  <c r="Y1738" i="1"/>
  <c r="V1738" i="1"/>
  <c r="W1738" i="1" s="1"/>
  <c r="Z1738" i="1"/>
  <c r="A952" i="1"/>
  <c r="A960" i="1"/>
  <c r="C952" i="1"/>
  <c r="B952" i="1" s="1"/>
  <c r="C960" i="1"/>
  <c r="B960" i="1" s="1"/>
  <c r="Y952" i="1"/>
  <c r="Y960" i="1"/>
  <c r="V952" i="1"/>
  <c r="W952" i="1" s="1"/>
  <c r="V960" i="1"/>
  <c r="W960" i="1" s="1"/>
  <c r="Z952" i="1"/>
  <c r="Z960" i="1"/>
  <c r="F1053" i="6"/>
  <c r="I1053" i="6"/>
  <c r="J1053" i="6"/>
  <c r="A1663" i="1"/>
  <c r="C1663" i="1"/>
  <c r="B1663" i="1" s="1"/>
  <c r="M1663" i="1"/>
  <c r="O1663" i="1"/>
  <c r="Y1663" i="1"/>
  <c r="V1663" i="1"/>
  <c r="W1663" i="1" s="1"/>
  <c r="Z1663" i="1"/>
  <c r="S53" i="15"/>
  <c r="S52" i="15"/>
  <c r="S51" i="15"/>
  <c r="S49" i="15"/>
  <c r="S42" i="15"/>
  <c r="S48" i="15"/>
  <c r="S47" i="15"/>
  <c r="S46" i="15"/>
  <c r="S45" i="15"/>
  <c r="S44" i="15"/>
  <c r="S43" i="15"/>
  <c r="S41" i="15"/>
  <c r="S39" i="15"/>
  <c r="S38" i="15"/>
  <c r="S37" i="15"/>
  <c r="S36" i="15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0" i="15"/>
  <c r="S9" i="15"/>
  <c r="S8" i="15"/>
  <c r="S6" i="15"/>
  <c r="S5" i="15"/>
  <c r="S4" i="15"/>
  <c r="S3" i="15"/>
  <c r="S2" i="15"/>
  <c r="F1048" i="6"/>
  <c r="F1049" i="6"/>
  <c r="F1050" i="6"/>
  <c r="I1048" i="6"/>
  <c r="I1049" i="6"/>
  <c r="I1050" i="6"/>
  <c r="J1048" i="6"/>
  <c r="J1049" i="6"/>
  <c r="J1050" i="6"/>
  <c r="F1044" i="6"/>
  <c r="F1045" i="6"/>
  <c r="F1046" i="6"/>
  <c r="I1044" i="6"/>
  <c r="I1045" i="6"/>
  <c r="I1046" i="6"/>
  <c r="I1047" i="6"/>
  <c r="J1044" i="6"/>
  <c r="J1045" i="6"/>
  <c r="J1046" i="6"/>
  <c r="J1047" i="6"/>
  <c r="E1064" i="6" l="1"/>
  <c r="F1205" i="6"/>
  <c r="V50" i="15"/>
  <c r="E1068" i="6"/>
  <c r="F1168" i="6"/>
  <c r="V40" i="15"/>
  <c r="F1134" i="6"/>
  <c r="M71" i="1"/>
  <c r="O71" i="1"/>
  <c r="O2040" i="1"/>
  <c r="M2040" i="1"/>
  <c r="J1060" i="6"/>
  <c r="F1104" i="6"/>
  <c r="J1068" i="6"/>
  <c r="T50" i="15"/>
  <c r="I1064" i="6"/>
  <c r="T40" i="15"/>
  <c r="T1821" i="1"/>
  <c r="T1863" i="1"/>
  <c r="T1949" i="1"/>
  <c r="X137" i="1"/>
  <c r="X1043" i="1"/>
  <c r="X1841" i="1"/>
  <c r="Y1043" i="1"/>
  <c r="Y1841" i="1"/>
  <c r="Y137" i="1"/>
  <c r="X149" i="1"/>
  <c r="P149" i="1" s="1"/>
  <c r="Q149" i="1" s="1"/>
  <c r="R149" i="1" s="1"/>
  <c r="T243" i="1"/>
  <c r="AE19" i="16"/>
  <c r="J1057" i="6"/>
  <c r="AE12" i="16"/>
  <c r="T1138" i="1"/>
  <c r="T666" i="1"/>
  <c r="X1116" i="1"/>
  <c r="P1116" i="1" s="1"/>
  <c r="Q1116" i="1" s="1"/>
  <c r="R1116" i="1" s="1"/>
  <c r="X1117" i="1"/>
  <c r="P1117" i="1" s="1"/>
  <c r="Q1117" i="1" s="1"/>
  <c r="R1117" i="1" s="1"/>
  <c r="D923" i="1"/>
  <c r="D1115" i="1"/>
  <c r="D1117" i="1"/>
  <c r="D1116" i="1"/>
  <c r="X1949" i="1"/>
  <c r="P1949" i="1" s="1"/>
  <c r="Q1949" i="1" s="1"/>
  <c r="R1949" i="1" s="1"/>
  <c r="D1949" i="1" s="1"/>
  <c r="X243" i="1"/>
  <c r="P243" i="1" s="1"/>
  <c r="Q243" i="1" s="1"/>
  <c r="R243" i="1" s="1"/>
  <c r="D1020" i="1" s="1"/>
  <c r="X488" i="1"/>
  <c r="P488" i="1" s="1"/>
  <c r="Q488" i="1" s="1"/>
  <c r="R488" i="1" s="1"/>
  <c r="D488" i="1" s="1"/>
  <c r="B488" i="1"/>
  <c r="X666" i="1"/>
  <c r="P666" i="1" s="1"/>
  <c r="Q666" i="1" s="1"/>
  <c r="R666" i="1" s="1"/>
  <c r="X1821" i="1"/>
  <c r="P1821" i="1" s="1"/>
  <c r="Q1821" i="1" s="1"/>
  <c r="R1821" i="1" s="1"/>
  <c r="D1821" i="1" s="1"/>
  <c r="AE13" i="16"/>
  <c r="X35" i="1"/>
  <c r="P35" i="1" s="1"/>
  <c r="Q35" i="1" s="1"/>
  <c r="R35" i="1" s="1"/>
  <c r="Y35" i="1"/>
  <c r="X46" i="1"/>
  <c r="P46" i="1" s="1"/>
  <c r="Q46" i="1" s="1"/>
  <c r="R46" i="1" s="1"/>
  <c r="Y46" i="1"/>
  <c r="X438" i="1"/>
  <c r="P438" i="1" s="1"/>
  <c r="Q438" i="1" s="1"/>
  <c r="R438" i="1" s="1"/>
  <c r="X1429" i="1"/>
  <c r="P1429" i="1" s="1"/>
  <c r="Q1429" i="1" s="1"/>
  <c r="R1429" i="1" s="1"/>
  <c r="X237" i="1"/>
  <c r="P237" i="1" s="1"/>
  <c r="Q237" i="1" s="1"/>
  <c r="R237" i="1" s="1"/>
  <c r="D237" i="1" s="1"/>
  <c r="S40" i="15"/>
  <c r="T817" i="1"/>
  <c r="X1863" i="1"/>
  <c r="P1863" i="1" s="1"/>
  <c r="Q1863" i="1" s="1"/>
  <c r="R1863" i="1" s="1"/>
  <c r="T1189" i="1"/>
  <c r="S50" i="15"/>
  <c r="T1011" i="1"/>
  <c r="X2014" i="1"/>
  <c r="P2014" i="1" s="1"/>
  <c r="Q2014" i="1" s="1"/>
  <c r="R2014" i="1" s="1"/>
  <c r="T2014" i="1"/>
  <c r="X239" i="1"/>
  <c r="P239" i="1" s="1"/>
  <c r="Q239" i="1" s="1"/>
  <c r="R239" i="1" s="1"/>
  <c r="D239" i="1" s="1"/>
  <c r="D1062" i="1"/>
  <c r="X1302" i="1"/>
  <c r="P1302" i="1" s="1"/>
  <c r="Q1302" i="1" s="1"/>
  <c r="R1302" i="1" s="1"/>
  <c r="D1302" i="1" s="1"/>
  <c r="T451" i="1"/>
  <c r="X451" i="1"/>
  <c r="P451" i="1" s="1"/>
  <c r="Q451" i="1" s="1"/>
  <c r="R451" i="1" s="1"/>
  <c r="X1138" i="1"/>
  <c r="P1138" i="1" s="1"/>
  <c r="Q1138" i="1" s="1"/>
  <c r="R1138" i="1" s="1"/>
  <c r="D1480" i="1" s="1"/>
  <c r="T1392" i="1"/>
  <c r="T672" i="1"/>
  <c r="X560" i="1"/>
  <c r="P560" i="1" s="1"/>
  <c r="Q560" i="1" s="1"/>
  <c r="R560" i="1" s="1"/>
  <c r="D560" i="1" s="1"/>
  <c r="B560" i="1"/>
  <c r="X817" i="1"/>
  <c r="P817" i="1" s="1"/>
  <c r="Q817" i="1" s="1"/>
  <c r="R817" i="1" s="1"/>
  <c r="D817" i="1" s="1"/>
  <c r="X1388" i="1"/>
  <c r="P1388" i="1" s="1"/>
  <c r="Q1388" i="1" s="1"/>
  <c r="R1388" i="1" s="1"/>
  <c r="T1388" i="1"/>
  <c r="T945" i="1"/>
  <c r="T1558" i="1"/>
  <c r="X1059" i="1"/>
  <c r="P1059" i="1" s="1"/>
  <c r="Q1059" i="1" s="1"/>
  <c r="R1059" i="1" s="1"/>
  <c r="X1558" i="1"/>
  <c r="Y1558" i="1"/>
  <c r="T1555" i="1"/>
  <c r="T267" i="1"/>
  <c r="X672" i="1"/>
  <c r="P672" i="1" s="1"/>
  <c r="Q672" i="1" s="1"/>
  <c r="R672" i="1" s="1"/>
  <c r="D672" i="1" s="1"/>
  <c r="X267" i="1"/>
  <c r="P267" i="1" s="1"/>
  <c r="Q267" i="1" s="1"/>
  <c r="Y1059" i="1"/>
  <c r="T1059" i="1"/>
  <c r="X1011" i="1"/>
  <c r="P1011" i="1" s="1"/>
  <c r="Q1011" i="1" s="1"/>
  <c r="R1011" i="1" s="1"/>
  <c r="D1011" i="1" s="1"/>
  <c r="X1392" i="1"/>
  <c r="X1555" i="1"/>
  <c r="P1555" i="1" s="1"/>
  <c r="Q1555" i="1" s="1"/>
  <c r="R1555" i="1" s="1"/>
  <c r="D1555" i="1" s="1"/>
  <c r="Y1392" i="1"/>
  <c r="T2076" i="1"/>
  <c r="X2076" i="1"/>
  <c r="Y2076" i="1"/>
  <c r="X143" i="1"/>
  <c r="P143" i="1" s="1"/>
  <c r="Q143" i="1" s="1"/>
  <c r="R143" i="1" s="1"/>
  <c r="T143" i="1"/>
  <c r="T72" i="1"/>
  <c r="X72" i="1"/>
  <c r="P72" i="1" s="1"/>
  <c r="Q72" i="1" s="1"/>
  <c r="R72" i="1" s="1"/>
  <c r="Y72" i="1"/>
  <c r="F1067" i="6"/>
  <c r="T1001" i="1"/>
  <c r="T139" i="1"/>
  <c r="T301" i="1"/>
  <c r="I1068" i="6"/>
  <c r="F1064" i="6"/>
  <c r="F1065" i="6"/>
  <c r="J1064" i="6"/>
  <c r="F1066" i="6"/>
  <c r="X139" i="1"/>
  <c r="P139" i="1" s="1"/>
  <c r="Q139" i="1" s="1"/>
  <c r="R139" i="1" s="1"/>
  <c r="X1135" i="1"/>
  <c r="P1135" i="1" s="1"/>
  <c r="Q1135" i="1" s="1"/>
  <c r="R1135" i="1" s="1"/>
  <c r="T1313" i="1"/>
  <c r="T1739" i="1"/>
  <c r="T1933" i="1"/>
  <c r="T1697" i="1"/>
  <c r="T1573" i="1"/>
  <c r="T1542" i="1"/>
  <c r="T1735" i="1"/>
  <c r="T769" i="1"/>
  <c r="X1735" i="1"/>
  <c r="P1735" i="1" s="1"/>
  <c r="Q1735" i="1" s="1"/>
  <c r="R1735" i="1" s="1"/>
  <c r="D1674" i="1" s="1"/>
  <c r="T1211" i="1"/>
  <c r="X1573" i="1"/>
  <c r="Y1573" i="1"/>
  <c r="X1933" i="1"/>
  <c r="P1933" i="1" s="1"/>
  <c r="Q1933" i="1" s="1"/>
  <c r="R1933" i="1" s="1"/>
  <c r="X945" i="1"/>
  <c r="P945" i="1" s="1"/>
  <c r="Q945" i="1" s="1"/>
  <c r="R945" i="1" s="1"/>
  <c r="X1542" i="1"/>
  <c r="Q1542" i="1" s="1"/>
  <c r="R1542" i="1" s="1"/>
  <c r="D1577" i="1" s="1"/>
  <c r="X1189" i="1"/>
  <c r="P1189" i="1" s="1"/>
  <c r="Q1189" i="1" s="1"/>
  <c r="X794" i="1"/>
  <c r="P794" i="1" s="1"/>
  <c r="Q794" i="1" s="1"/>
  <c r="R794" i="1" s="1"/>
  <c r="B794" i="1"/>
  <c r="T71" i="1"/>
  <c r="X1697" i="1"/>
  <c r="P1697" i="1" s="1"/>
  <c r="Q1697" i="1" s="1"/>
  <c r="R1697" i="1" s="1"/>
  <c r="D1697" i="1" s="1"/>
  <c r="X301" i="1"/>
  <c r="P301" i="1" s="1"/>
  <c r="Q301" i="1" s="1"/>
  <c r="R301" i="1" s="1"/>
  <c r="X1798" i="1"/>
  <c r="Y301" i="1"/>
  <c r="T1798" i="1"/>
  <c r="Y1798" i="1"/>
  <c r="T285" i="1"/>
  <c r="X769" i="1"/>
  <c r="P769" i="1" s="1"/>
  <c r="Q769" i="1" s="1"/>
  <c r="R769" i="1" s="1"/>
  <c r="T1397" i="1"/>
  <c r="T1294" i="1"/>
  <c r="X1294" i="1"/>
  <c r="P1294" i="1" s="1"/>
  <c r="Q1294" i="1" s="1"/>
  <c r="R1294" i="1" s="1"/>
  <c r="X1331" i="1"/>
  <c r="P1331" i="1" s="1"/>
  <c r="Q1331" i="1" s="1"/>
  <c r="R1331" i="1" s="1"/>
  <c r="X1739" i="1"/>
  <c r="P1739" i="1" s="1"/>
  <c r="Q1739" i="1" s="1"/>
  <c r="R1739" i="1" s="1"/>
  <c r="D1895" i="1" s="1"/>
  <c r="T244" i="1"/>
  <c r="X244" i="1"/>
  <c r="P244" i="1" s="1"/>
  <c r="Q244" i="1" s="1"/>
  <c r="R244" i="1" s="1"/>
  <c r="X1537" i="1"/>
  <c r="P1537" i="1" s="1"/>
  <c r="Q1537" i="1" s="1"/>
  <c r="R1537" i="1" s="1"/>
  <c r="X1001" i="1"/>
  <c r="P1001" i="1" s="1"/>
  <c r="Q1001" i="1" s="1"/>
  <c r="R1001" i="1" s="1"/>
  <c r="T1537" i="1"/>
  <c r="X285" i="1"/>
  <c r="P285" i="1" s="1"/>
  <c r="Q285" i="1" s="1"/>
  <c r="R285" i="1" s="1"/>
  <c r="X1211" i="1"/>
  <c r="P1211" i="1" s="1"/>
  <c r="Q1211" i="1" s="1"/>
  <c r="R1211" i="1" s="1"/>
  <c r="D860" i="1" s="1"/>
  <c r="X71" i="1"/>
  <c r="P71" i="1" s="1"/>
  <c r="Q71" i="1" s="1"/>
  <c r="X755" i="1"/>
  <c r="P755" i="1" s="1"/>
  <c r="Q755" i="1" s="1"/>
  <c r="R755" i="1" s="1"/>
  <c r="D755" i="1" s="1"/>
  <c r="X1115" i="1"/>
  <c r="P1115" i="1" s="1"/>
  <c r="Q1115" i="1" s="1"/>
  <c r="R1115" i="1" s="1"/>
  <c r="T496" i="1"/>
  <c r="X1473" i="1"/>
  <c r="P1473" i="1" s="1"/>
  <c r="Q1473" i="1" s="1"/>
  <c r="R1473" i="1" s="1"/>
  <c r="D1473" i="1" s="1"/>
  <c r="X1538" i="1"/>
  <c r="P1538" i="1" s="1"/>
  <c r="Q1538" i="1" s="1"/>
  <c r="R1538" i="1" s="1"/>
  <c r="D1538" i="1" s="1"/>
  <c r="T760" i="1"/>
  <c r="X356" i="1"/>
  <c r="P356" i="1" s="1"/>
  <c r="Q356" i="1" s="1"/>
  <c r="R356" i="1" s="1"/>
  <c r="D356" i="1" s="1"/>
  <c r="X1397" i="1"/>
  <c r="Y1397" i="1"/>
  <c r="X1377" i="1"/>
  <c r="P1377" i="1" s="1"/>
  <c r="Q1377" i="1" s="1"/>
  <c r="R1377" i="1" s="1"/>
  <c r="T1377" i="1"/>
  <c r="X760" i="1"/>
  <c r="P760" i="1" s="1"/>
  <c r="Q760" i="1" s="1"/>
  <c r="R760" i="1" s="1"/>
  <c r="D760" i="1" s="1"/>
  <c r="X554" i="1"/>
  <c r="P554" i="1" s="1"/>
  <c r="Q554" i="1" s="1"/>
  <c r="R554" i="1" s="1"/>
  <c r="X496" i="1"/>
  <c r="Y496" i="1"/>
  <c r="X599" i="1"/>
  <c r="P599" i="1" s="1"/>
  <c r="Q599" i="1" s="1"/>
  <c r="R599" i="1" s="1"/>
  <c r="T599" i="1"/>
  <c r="X774" i="1"/>
  <c r="P774" i="1" s="1"/>
  <c r="Q774" i="1" s="1"/>
  <c r="R774" i="1" s="1"/>
  <c r="Y774" i="1"/>
  <c r="X273" i="1"/>
  <c r="P273" i="1" s="1"/>
  <c r="Q273" i="1" s="1"/>
  <c r="R273" i="1" s="1"/>
  <c r="X1431" i="1"/>
  <c r="P1431" i="1" s="1"/>
  <c r="Q1431" i="1" s="1"/>
  <c r="X2046" i="1"/>
  <c r="P2046" i="1" s="1"/>
  <c r="Q2046" i="1" s="1"/>
  <c r="R2046" i="1" s="1"/>
  <c r="X1681" i="1"/>
  <c r="P1681" i="1" s="1"/>
  <c r="Q1681" i="1" s="1"/>
  <c r="R1681" i="1" s="1"/>
  <c r="D1681" i="1" s="1"/>
  <c r="T1431" i="1"/>
  <c r="X1313" i="1"/>
  <c r="P1313" i="1" s="1"/>
  <c r="Q1313" i="1" s="1"/>
  <c r="R1313" i="1" s="1"/>
  <c r="X2040" i="1"/>
  <c r="P2040" i="1" s="1"/>
  <c r="Q2040" i="1" s="1"/>
  <c r="D2040" i="1"/>
  <c r="D2046" i="1"/>
  <c r="X1062" i="1"/>
  <c r="Y1062" i="1"/>
  <c r="X1053" i="1"/>
  <c r="P1053" i="1" s="1"/>
  <c r="Q1053" i="1" s="1"/>
  <c r="R1053" i="1" s="1"/>
  <c r="X185" i="1"/>
  <c r="P185" i="1" s="1"/>
  <c r="Q185" i="1" s="1"/>
  <c r="R185" i="1" s="1"/>
  <c r="T185" i="1"/>
  <c r="X201" i="1"/>
  <c r="Y201" i="1"/>
  <c r="T201" i="1"/>
  <c r="T1594" i="1"/>
  <c r="X923" i="1"/>
  <c r="P923" i="1" s="1"/>
  <c r="Q923" i="1" s="1"/>
  <c r="R923" i="1" s="1"/>
  <c r="X1964" i="1"/>
  <c r="P1964" i="1" s="1"/>
  <c r="Q1964" i="1" s="1"/>
  <c r="R1964" i="1" s="1"/>
  <c r="X1594" i="1"/>
  <c r="T1964" i="1"/>
  <c r="Y1594" i="1"/>
  <c r="T1738" i="1"/>
  <c r="X1738" i="1"/>
  <c r="P1738" i="1" s="1"/>
  <c r="Q1738" i="1" s="1"/>
  <c r="R1738" i="1" s="1"/>
  <c r="T960" i="1"/>
  <c r="X952" i="1"/>
  <c r="P952" i="1" s="1"/>
  <c r="Q952" i="1" s="1"/>
  <c r="R952" i="1" s="1"/>
  <c r="T952" i="1"/>
  <c r="X960" i="1"/>
  <c r="P960" i="1" s="1"/>
  <c r="Q960" i="1" s="1"/>
  <c r="R960" i="1" s="1"/>
  <c r="T1663" i="1"/>
  <c r="X1663" i="1"/>
  <c r="P1663" i="1" s="1"/>
  <c r="Q1663" i="1" s="1"/>
  <c r="R1663" i="1" s="1"/>
  <c r="A773" i="1"/>
  <c r="C773" i="1"/>
  <c r="B773" i="1" s="1"/>
  <c r="T773" i="1"/>
  <c r="Y773" i="1"/>
  <c r="V773" i="1"/>
  <c r="W773" i="1" s="1"/>
  <c r="Z773" i="1"/>
  <c r="A191" i="1"/>
  <c r="A171" i="1"/>
  <c r="A219" i="1"/>
  <c r="A1638" i="1"/>
  <c r="A472" i="1"/>
  <c r="C191" i="1"/>
  <c r="B191" i="1" s="1"/>
  <c r="C171" i="1"/>
  <c r="T171" i="1" s="1"/>
  <c r="C219" i="1"/>
  <c r="B219" i="1" s="1"/>
  <c r="C1638" i="1"/>
  <c r="B1638" i="1" s="1"/>
  <c r="C472" i="1"/>
  <c r="B472" i="1" s="1"/>
  <c r="T191" i="1"/>
  <c r="T219" i="1"/>
  <c r="T1638" i="1"/>
  <c r="T472" i="1"/>
  <c r="Y191" i="1"/>
  <c r="Y171" i="1"/>
  <c r="Y219" i="1"/>
  <c r="Y1638" i="1"/>
  <c r="Y472" i="1"/>
  <c r="V191" i="1"/>
  <c r="W191" i="1" s="1"/>
  <c r="V171" i="1"/>
  <c r="W171" i="1" s="1"/>
  <c r="V219" i="1"/>
  <c r="W219" i="1" s="1"/>
  <c r="V1638" i="1"/>
  <c r="W1638" i="1" s="1"/>
  <c r="V472" i="1"/>
  <c r="W472" i="1" s="1"/>
  <c r="Z191" i="1"/>
  <c r="Z171" i="1"/>
  <c r="Z219" i="1"/>
  <c r="Z1638" i="1"/>
  <c r="Z472" i="1"/>
  <c r="A114" i="1"/>
  <c r="C114" i="1"/>
  <c r="B114" i="1" s="1"/>
  <c r="D114" i="1"/>
  <c r="T114" i="1"/>
  <c r="Y114" i="1"/>
  <c r="V114" i="1"/>
  <c r="W114" i="1" s="1"/>
  <c r="Z114" i="1"/>
  <c r="A1114" i="1"/>
  <c r="C1114" i="1"/>
  <c r="B1114" i="1" s="1"/>
  <c r="D1114" i="1"/>
  <c r="M1114" i="1"/>
  <c r="O1114" i="1"/>
  <c r="S1114" i="1"/>
  <c r="T1114" i="1"/>
  <c r="Y1114" i="1"/>
  <c r="V1114" i="1"/>
  <c r="W1114" i="1" s="1"/>
  <c r="Z1114" i="1"/>
  <c r="A1301" i="1"/>
  <c r="C1301" i="1"/>
  <c r="B1301" i="1" s="1"/>
  <c r="M1301" i="1"/>
  <c r="O1301" i="1"/>
  <c r="Y1301" i="1"/>
  <c r="V1301" i="1"/>
  <c r="W1301" i="1" s="1"/>
  <c r="Z1301" i="1"/>
  <c r="A408" i="1"/>
  <c r="C408" i="1"/>
  <c r="B408" i="1" s="1"/>
  <c r="M408" i="1"/>
  <c r="O408" i="1"/>
  <c r="Y408" i="1"/>
  <c r="V408" i="1"/>
  <c r="W408" i="1" s="1"/>
  <c r="Z408" i="1"/>
  <c r="A31" i="104"/>
  <c r="B31" i="104"/>
  <c r="C31" i="104"/>
  <c r="A30" i="104"/>
  <c r="B30" i="104"/>
  <c r="C30" i="104"/>
  <c r="A993" i="1"/>
  <c r="C993" i="1"/>
  <c r="B993" i="1" s="1"/>
  <c r="M993" i="1"/>
  <c r="O993" i="1"/>
  <c r="Y993" i="1"/>
  <c r="V993" i="1"/>
  <c r="W993" i="1" s="1"/>
  <c r="Z993" i="1"/>
  <c r="A1273" i="1"/>
  <c r="C1273" i="1"/>
  <c r="B1273" i="1" s="1"/>
  <c r="Y1273" i="1"/>
  <c r="V1273" i="1"/>
  <c r="W1273" i="1" s="1"/>
  <c r="Z1273" i="1"/>
  <c r="A473" i="1"/>
  <c r="C473" i="1"/>
  <c r="B473" i="1" s="1"/>
  <c r="Y473" i="1"/>
  <c r="V473" i="1"/>
  <c r="W473" i="1" s="1"/>
  <c r="Z473" i="1"/>
  <c r="A1142" i="1"/>
  <c r="C1142" i="1"/>
  <c r="B1142" i="1" s="1"/>
  <c r="Y1142" i="1"/>
  <c r="V1142" i="1"/>
  <c r="W1142" i="1" s="1"/>
  <c r="Z1142" i="1"/>
  <c r="A140" i="1"/>
  <c r="A1840" i="1"/>
  <c r="A1042" i="1"/>
  <c r="A153" i="1"/>
  <c r="C140" i="1"/>
  <c r="B140" i="1" s="1"/>
  <c r="C1840" i="1"/>
  <c r="B1840" i="1" s="1"/>
  <c r="C1042" i="1"/>
  <c r="B1042" i="1" s="1"/>
  <c r="C153" i="1"/>
  <c r="B153" i="1" s="1"/>
  <c r="M140" i="1"/>
  <c r="M1840" i="1"/>
  <c r="M1042" i="1"/>
  <c r="M153" i="1"/>
  <c r="O140" i="1"/>
  <c r="O1840" i="1"/>
  <c r="O1042" i="1"/>
  <c r="O153" i="1"/>
  <c r="Y140" i="1"/>
  <c r="Y1042" i="1"/>
  <c r="Y153" i="1"/>
  <c r="V140" i="1"/>
  <c r="W140" i="1" s="1"/>
  <c r="V1840" i="1"/>
  <c r="W1840" i="1" s="1"/>
  <c r="V1042" i="1"/>
  <c r="W1042" i="1" s="1"/>
  <c r="V153" i="1"/>
  <c r="W153" i="1" s="1"/>
  <c r="Z140" i="1"/>
  <c r="Z1840" i="1"/>
  <c r="Z1042" i="1"/>
  <c r="Z153" i="1"/>
  <c r="A1948" i="1"/>
  <c r="C1948" i="1"/>
  <c r="B1948" i="1" s="1"/>
  <c r="M1948" i="1"/>
  <c r="V1948" i="1"/>
  <c r="W1948" i="1" s="1"/>
  <c r="Z1948" i="1"/>
  <c r="A487" i="1"/>
  <c r="C487" i="1"/>
  <c r="B487" i="1" s="1"/>
  <c r="Y487" i="1"/>
  <c r="V487" i="1"/>
  <c r="W487" i="1" s="1"/>
  <c r="Z487" i="1"/>
  <c r="A1226" i="1"/>
  <c r="C1226" i="1"/>
  <c r="B1226" i="1" s="1"/>
  <c r="T1226" i="1"/>
  <c r="Y1226" i="1"/>
  <c r="V1226" i="1"/>
  <c r="W1226" i="1" s="1"/>
  <c r="Z1226" i="1"/>
  <c r="A349" i="1"/>
  <c r="C349" i="1"/>
  <c r="B349" i="1" s="1"/>
  <c r="T349" i="1"/>
  <c r="Y349" i="1"/>
  <c r="V349" i="1"/>
  <c r="W349" i="1" s="1"/>
  <c r="Z349" i="1"/>
  <c r="A603" i="1"/>
  <c r="A2094" i="1"/>
  <c r="C603" i="1"/>
  <c r="B603" i="1" s="1"/>
  <c r="C2094" i="1"/>
  <c r="B2094" i="1" s="1"/>
  <c r="S603" i="1"/>
  <c r="T603" i="1"/>
  <c r="T2094" i="1"/>
  <c r="Y603" i="1"/>
  <c r="Y2094" i="1"/>
  <c r="V603" i="1"/>
  <c r="W603" i="1" s="1"/>
  <c r="V2094" i="1"/>
  <c r="W2094" i="1" s="1"/>
  <c r="Z603" i="1"/>
  <c r="Z2094" i="1"/>
  <c r="A786" i="1"/>
  <c r="C786" i="1"/>
  <c r="B786" i="1" s="1"/>
  <c r="T786" i="1"/>
  <c r="Y786" i="1"/>
  <c r="V786" i="1"/>
  <c r="W786" i="1" s="1"/>
  <c r="Z786" i="1"/>
  <c r="A830" i="1"/>
  <c r="C830" i="1"/>
  <c r="B830" i="1" s="1"/>
  <c r="Y830" i="1"/>
  <c r="V830" i="1"/>
  <c r="W830" i="1" s="1"/>
  <c r="Z830" i="1"/>
  <c r="A665" i="1"/>
  <c r="C665" i="1"/>
  <c r="B665" i="1" s="1"/>
  <c r="Y665" i="1"/>
  <c r="V665" i="1"/>
  <c r="W665" i="1" s="1"/>
  <c r="Z665" i="1"/>
  <c r="A425" i="1"/>
  <c r="C425" i="1"/>
  <c r="B425" i="1" s="1"/>
  <c r="V425" i="1"/>
  <c r="W425" i="1" s="1"/>
  <c r="Z425" i="1"/>
  <c r="A682" i="1"/>
  <c r="C682" i="1"/>
  <c r="B682" i="1" s="1"/>
  <c r="Y682" i="1"/>
  <c r="V682" i="1"/>
  <c r="W682" i="1" s="1"/>
  <c r="Z682" i="1"/>
  <c r="A1820" i="1"/>
  <c r="C1820" i="1"/>
  <c r="B1820" i="1" s="1"/>
  <c r="Y1820" i="1"/>
  <c r="V1820" i="1"/>
  <c r="W1820" i="1" s="1"/>
  <c r="Z1820" i="1"/>
  <c r="D1041" i="6"/>
  <c r="E1041" i="6" s="1"/>
  <c r="D1019" i="6"/>
  <c r="E1019" i="6" s="1"/>
  <c r="D1016" i="6"/>
  <c r="E1016" i="6" s="1"/>
  <c r="F1016" i="6"/>
  <c r="F1017" i="6"/>
  <c r="F1019" i="6"/>
  <c r="F1041" i="6"/>
  <c r="F1042" i="6"/>
  <c r="I1016" i="6"/>
  <c r="I1017" i="6"/>
  <c r="I1019" i="6"/>
  <c r="I1041" i="6"/>
  <c r="I1042" i="6"/>
  <c r="J1017" i="6"/>
  <c r="J1042" i="6"/>
  <c r="F1018" i="6"/>
  <c r="F1020" i="6"/>
  <c r="F1029" i="6"/>
  <c r="F1043" i="6"/>
  <c r="I1018" i="6"/>
  <c r="I1020" i="6"/>
  <c r="I1029" i="6"/>
  <c r="I1043" i="6"/>
  <c r="J1018" i="6"/>
  <c r="J1020" i="6"/>
  <c r="J1029" i="6"/>
  <c r="J1043" i="6"/>
  <c r="D1028" i="6"/>
  <c r="E1028" i="6" s="1"/>
  <c r="F1028" i="6"/>
  <c r="I1028" i="6"/>
  <c r="AD22" i="16"/>
  <c r="AD20" i="16"/>
  <c r="A1113" i="1"/>
  <c r="C1113" i="1"/>
  <c r="B1113" i="1" s="1"/>
  <c r="D1113" i="1"/>
  <c r="M1113" i="1"/>
  <c r="O1113" i="1"/>
  <c r="S1113" i="1"/>
  <c r="T1113" i="1"/>
  <c r="Y1113" i="1"/>
  <c r="V1113" i="1"/>
  <c r="W1113" i="1" s="1"/>
  <c r="Z1113" i="1"/>
  <c r="A468" i="1"/>
  <c r="C468" i="1"/>
  <c r="B468" i="1" s="1"/>
  <c r="M468" i="1"/>
  <c r="O468" i="1"/>
  <c r="Y468" i="1"/>
  <c r="V468" i="1"/>
  <c r="W468" i="1" s="1"/>
  <c r="Z468" i="1"/>
  <c r="A1571" i="1"/>
  <c r="C1571" i="1"/>
  <c r="B1571" i="1" s="1"/>
  <c r="Y1571" i="1"/>
  <c r="V1571" i="1"/>
  <c r="W1571" i="1" s="1"/>
  <c r="Z1571" i="1"/>
  <c r="A804" i="1"/>
  <c r="C804" i="1"/>
  <c r="B804" i="1" s="1"/>
  <c r="M804" i="1"/>
  <c r="O804" i="1"/>
  <c r="Y804" i="1"/>
  <c r="V804" i="1"/>
  <c r="W804" i="1" s="1"/>
  <c r="Z804" i="1"/>
  <c r="A453" i="1"/>
  <c r="C453" i="1"/>
  <c r="B453" i="1" s="1"/>
  <c r="M453" i="1"/>
  <c r="O453" i="1"/>
  <c r="Y453" i="1"/>
  <c r="V453" i="1"/>
  <c r="W453" i="1" s="1"/>
  <c r="Z453" i="1"/>
  <c r="A220" i="1"/>
  <c r="C220" i="1"/>
  <c r="B220" i="1" s="1"/>
  <c r="Y220" i="1"/>
  <c r="V220" i="1"/>
  <c r="W220" i="1" s="1"/>
  <c r="Z220" i="1"/>
  <c r="A70" i="1"/>
  <c r="C70" i="1"/>
  <c r="B70" i="1" s="1"/>
  <c r="M70" i="1"/>
  <c r="Y70" i="1"/>
  <c r="V70" i="1"/>
  <c r="W70" i="1" s="1"/>
  <c r="Z70" i="1"/>
  <c r="A892" i="1"/>
  <c r="C892" i="1"/>
  <c r="B892" i="1" s="1"/>
  <c r="M892" i="1"/>
  <c r="O892" i="1"/>
  <c r="T892" i="1"/>
  <c r="Y892" i="1"/>
  <c r="V892" i="1"/>
  <c r="W892" i="1" s="1"/>
  <c r="Z892" i="1"/>
  <c r="A1980" i="1"/>
  <c r="C1980" i="1"/>
  <c r="B1980" i="1" s="1"/>
  <c r="O1980" i="1"/>
  <c r="Y1980" i="1"/>
  <c r="V1980" i="1"/>
  <c r="W1980" i="1" s="1"/>
  <c r="Z1980" i="1"/>
  <c r="A2013" i="1"/>
  <c r="C2013" i="1"/>
  <c r="B2013" i="1" s="1"/>
  <c r="M2013" i="1"/>
  <c r="O2013" i="1"/>
  <c r="V2013" i="1"/>
  <c r="W2013" i="1" s="1"/>
  <c r="Z2013" i="1"/>
  <c r="A919" i="1"/>
  <c r="B919" i="1"/>
  <c r="M919" i="1"/>
  <c r="O919" i="1"/>
  <c r="Y919" i="1"/>
  <c r="V919" i="1"/>
  <c r="W919" i="1" s="1"/>
  <c r="Z919" i="1"/>
  <c r="A138" i="1"/>
  <c r="C138" i="1"/>
  <c r="B138" i="1" s="1"/>
  <c r="Y138" i="1"/>
  <c r="V138" i="1"/>
  <c r="W138" i="1" s="1"/>
  <c r="Z138" i="1"/>
  <c r="A1867" i="1"/>
  <c r="C1867" i="1"/>
  <c r="T1867" i="1" s="1"/>
  <c r="M1867" i="1"/>
  <c r="O1867" i="1"/>
  <c r="Y1867" i="1"/>
  <c r="V1867" i="1"/>
  <c r="W1867" i="1" s="1"/>
  <c r="Z1867" i="1"/>
  <c r="A996" i="1"/>
  <c r="C996" i="1"/>
  <c r="B996" i="1" s="1"/>
  <c r="M996" i="1"/>
  <c r="O996" i="1"/>
  <c r="Y996" i="1"/>
  <c r="V996" i="1"/>
  <c r="W996" i="1" s="1"/>
  <c r="Z996" i="1"/>
  <c r="A1208" i="1"/>
  <c r="C1208" i="1"/>
  <c r="B1208" i="1" s="1"/>
  <c r="M1208" i="1"/>
  <c r="O1208" i="1"/>
  <c r="Y1208" i="1"/>
  <c r="V1208" i="1"/>
  <c r="W1208" i="1" s="1"/>
  <c r="Z1208" i="1"/>
  <c r="A1761" i="1"/>
  <c r="C1761" i="1"/>
  <c r="B1761" i="1" s="1"/>
  <c r="Y1761" i="1"/>
  <c r="V1761" i="1"/>
  <c r="W1761" i="1" s="1"/>
  <c r="Z1761" i="1"/>
  <c r="A94" i="1"/>
  <c r="C94" i="1"/>
  <c r="B94" i="1" s="1"/>
  <c r="Y94" i="1"/>
  <c r="V94" i="1"/>
  <c r="W94" i="1" s="1"/>
  <c r="Z94" i="1"/>
  <c r="A1567" i="1"/>
  <c r="C1567" i="1"/>
  <c r="B1567" i="1" s="1"/>
  <c r="Y1567" i="1"/>
  <c r="V1567" i="1"/>
  <c r="W1567" i="1" s="1"/>
  <c r="Z1567" i="1"/>
  <c r="A1166" i="1"/>
  <c r="C1166" i="1"/>
  <c r="B1166" i="1" s="1"/>
  <c r="V1166" i="1"/>
  <c r="W1166" i="1" s="1"/>
  <c r="Z1166" i="1"/>
  <c r="A880" i="1"/>
  <c r="C880" i="1"/>
  <c r="B880" i="1" s="1"/>
  <c r="M880" i="1"/>
  <c r="O880" i="1"/>
  <c r="V880" i="1"/>
  <c r="W880" i="1" s="1"/>
  <c r="Z880" i="1"/>
  <c r="A1031" i="1"/>
  <c r="C1031" i="1"/>
  <c r="B1031" i="1" s="1"/>
  <c r="Y1031" i="1"/>
  <c r="V1031" i="1"/>
  <c r="W1031" i="1" s="1"/>
  <c r="Z1031" i="1"/>
  <c r="A1970" i="1"/>
  <c r="C1970" i="1"/>
  <c r="B1970" i="1" s="1"/>
  <c r="Y1970" i="1"/>
  <c r="V1970" i="1"/>
  <c r="W1970" i="1" s="1"/>
  <c r="Z1970" i="1"/>
  <c r="A772" i="1"/>
  <c r="C772" i="1"/>
  <c r="B772" i="1" s="1"/>
  <c r="M772" i="1"/>
  <c r="Y772" i="1"/>
  <c r="V772" i="1"/>
  <c r="W772" i="1" s="1"/>
  <c r="Z772" i="1"/>
  <c r="A1419" i="1"/>
  <c r="C1419" i="1"/>
  <c r="B1419" i="1" s="1"/>
  <c r="T1419" i="1"/>
  <c r="V1419" i="1"/>
  <c r="W1419" i="1" s="1"/>
  <c r="Z1419" i="1"/>
  <c r="F1040" i="6"/>
  <c r="F1038" i="6"/>
  <c r="F1030" i="6"/>
  <c r="F1035" i="6"/>
  <c r="F1036" i="6"/>
  <c r="F1032" i="6"/>
  <c r="F1034" i="6"/>
  <c r="F1033" i="6"/>
  <c r="F1031" i="6"/>
  <c r="F1037" i="6"/>
  <c r="I1038" i="6"/>
  <c r="I1030" i="6"/>
  <c r="I1035" i="6"/>
  <c r="I1036" i="6"/>
  <c r="I1032" i="6"/>
  <c r="I1034" i="6"/>
  <c r="I1033" i="6"/>
  <c r="I1031" i="6"/>
  <c r="I1037" i="6"/>
  <c r="I1040" i="6"/>
  <c r="J1038" i="6"/>
  <c r="J1030" i="6"/>
  <c r="J1035" i="6"/>
  <c r="J1036" i="6"/>
  <c r="J1032" i="6"/>
  <c r="J1034" i="6"/>
  <c r="J1033" i="6"/>
  <c r="J1031" i="6"/>
  <c r="J1037" i="6"/>
  <c r="J1040" i="6"/>
  <c r="R53" i="15"/>
  <c r="R52" i="15"/>
  <c r="R51" i="15"/>
  <c r="R49" i="15"/>
  <c r="R42" i="15"/>
  <c r="R48" i="15"/>
  <c r="R47" i="15"/>
  <c r="R46" i="15"/>
  <c r="R45" i="15"/>
  <c r="R44" i="15"/>
  <c r="R43" i="15"/>
  <c r="R41" i="15"/>
  <c r="R40" i="15"/>
  <c r="R39" i="15"/>
  <c r="R38" i="15"/>
  <c r="R37" i="15"/>
  <c r="R36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1" i="15"/>
  <c r="R10" i="15"/>
  <c r="R9" i="15"/>
  <c r="R8" i="15"/>
  <c r="R7" i="15"/>
  <c r="R6" i="15"/>
  <c r="R5" i="15"/>
  <c r="R4" i="15"/>
  <c r="R3" i="15"/>
  <c r="R2" i="15"/>
  <c r="F1015" i="6"/>
  <c r="I1015" i="6"/>
  <c r="J1015" i="6"/>
  <c r="B42" i="15"/>
  <c r="N42" i="15"/>
  <c r="O42" i="15"/>
  <c r="P42" i="15"/>
  <c r="Q42" i="15"/>
  <c r="Q18" i="1"/>
  <c r="R18" i="1" s="1"/>
  <c r="K192" i="1"/>
  <c r="O192" i="1" s="1"/>
  <c r="A192" i="1"/>
  <c r="C192" i="1"/>
  <c r="B192" i="1" s="1"/>
  <c r="T192" i="1"/>
  <c r="Y192" i="1"/>
  <c r="V192" i="1"/>
  <c r="W192" i="1" s="1"/>
  <c r="Z192" i="1"/>
  <c r="R1189" i="1" l="1"/>
  <c r="AH15" i="16"/>
  <c r="R71" i="1"/>
  <c r="D1431" i="1"/>
  <c r="R1431" i="1"/>
  <c r="R267" i="1"/>
  <c r="AI10" i="16" s="1"/>
  <c r="D1514" i="1"/>
  <c r="D747" i="1"/>
  <c r="D1012" i="1"/>
  <c r="J1019" i="6"/>
  <c r="D1716" i="1"/>
  <c r="D1825" i="1"/>
  <c r="D1562" i="1"/>
  <c r="R2040" i="1"/>
  <c r="D666" i="1"/>
  <c r="D667" i="1"/>
  <c r="D774" i="1"/>
  <c r="D117" i="1"/>
  <c r="M192" i="1"/>
  <c r="D2014" i="1"/>
  <c r="D119" i="1"/>
  <c r="D2037" i="1"/>
  <c r="D1233" i="1"/>
  <c r="D1887" i="1"/>
  <c r="D71" i="1"/>
  <c r="D497" i="1"/>
  <c r="D139" i="1"/>
  <c r="D512" i="1"/>
  <c r="D1292" i="1"/>
  <c r="D946" i="1"/>
  <c r="P1043" i="1"/>
  <c r="Q1043" i="1" s="1"/>
  <c r="R1043" i="1" s="1"/>
  <c r="D1901" i="1"/>
  <c r="P137" i="1"/>
  <c r="Q137" i="1" s="1"/>
  <c r="R137" i="1" s="1"/>
  <c r="P1841" i="1"/>
  <c r="Q1841" i="1" s="1"/>
  <c r="R1841" i="1" s="1"/>
  <c r="D1331" i="1"/>
  <c r="D1429" i="1"/>
  <c r="D438" i="1"/>
  <c r="D1863" i="1"/>
  <c r="D1313" i="1"/>
  <c r="D451" i="1"/>
  <c r="P1558" i="1"/>
  <c r="Q1558" i="1" s="1"/>
  <c r="R1558" i="1" s="1"/>
  <c r="D1558" i="1" s="1"/>
  <c r="P1392" i="1"/>
  <c r="Q1392" i="1" s="1"/>
  <c r="R1392" i="1" s="1"/>
  <c r="D93" i="1" s="1"/>
  <c r="P2076" i="1"/>
  <c r="Q2076" i="1" s="1"/>
  <c r="R2076" i="1" s="1"/>
  <c r="D1973" i="1" s="1"/>
  <c r="D599" i="1"/>
  <c r="P1573" i="1"/>
  <c r="Q1573" i="1" s="1"/>
  <c r="R1573" i="1" s="1"/>
  <c r="D116" i="1" s="1"/>
  <c r="P1798" i="1"/>
  <c r="Q1798" i="1" s="1"/>
  <c r="R1798" i="1" s="1"/>
  <c r="D1953" i="1" s="1"/>
  <c r="D1739" i="1"/>
  <c r="P1397" i="1"/>
  <c r="Q1397" i="1" s="1"/>
  <c r="R1397" i="1" s="1"/>
  <c r="D1599" i="1" s="1"/>
  <c r="P496" i="1"/>
  <c r="Q496" i="1" s="1"/>
  <c r="R496" i="1" s="1"/>
  <c r="D496" i="1" s="1"/>
  <c r="P1062" i="1"/>
  <c r="Q1062" i="1" s="1"/>
  <c r="R1062" i="1" s="1"/>
  <c r="P201" i="1"/>
  <c r="Q201" i="1" s="1"/>
  <c r="R201" i="1" s="1"/>
  <c r="D201" i="1" s="1"/>
  <c r="T408" i="1"/>
  <c r="P1594" i="1"/>
  <c r="Q1594" i="1" s="1"/>
  <c r="R1594" i="1" s="1"/>
  <c r="D1594" i="1" s="1"/>
  <c r="T1840" i="1"/>
  <c r="T153" i="1"/>
  <c r="T1042" i="1"/>
  <c r="T140" i="1"/>
  <c r="W3" i="157"/>
  <c r="AD13" i="16"/>
  <c r="AD12" i="16"/>
  <c r="T1142" i="1"/>
  <c r="X171" i="1"/>
  <c r="P171" i="1" s="1"/>
  <c r="Q171" i="1" s="1"/>
  <c r="R171" i="1" s="1"/>
  <c r="X773" i="1"/>
  <c r="P773" i="1" s="1"/>
  <c r="Q773" i="1" s="1"/>
  <c r="R773" i="1" s="1"/>
  <c r="X472" i="1"/>
  <c r="P472" i="1" s="1"/>
  <c r="Q472" i="1" s="1"/>
  <c r="R472" i="1" s="1"/>
  <c r="J1016" i="6"/>
  <c r="J1041" i="6"/>
  <c r="X191" i="1"/>
  <c r="P191" i="1" s="1"/>
  <c r="Q191" i="1" s="1"/>
  <c r="R191" i="1" s="1"/>
  <c r="X1638" i="1"/>
  <c r="P1638" i="1" s="1"/>
  <c r="Q1638" i="1" s="1"/>
  <c r="R1638" i="1" s="1"/>
  <c r="X219" i="1"/>
  <c r="P219" i="1" s="1"/>
  <c r="Q219" i="1" s="1"/>
  <c r="R219" i="1" s="1"/>
  <c r="B171" i="1"/>
  <c r="X114" i="1"/>
  <c r="P114" i="1" s="1"/>
  <c r="Q114" i="1" s="1"/>
  <c r="T1571" i="1"/>
  <c r="X1301" i="1"/>
  <c r="P1301" i="1" s="1"/>
  <c r="Q1301" i="1" s="1"/>
  <c r="R1301" i="1" s="1"/>
  <c r="D1301" i="1" s="1"/>
  <c r="T473" i="1"/>
  <c r="X1114" i="1"/>
  <c r="P1114" i="1" s="1"/>
  <c r="Q1114" i="1" s="1"/>
  <c r="R1114" i="1" s="1"/>
  <c r="X140" i="1"/>
  <c r="P140" i="1" s="1"/>
  <c r="Q140" i="1" s="1"/>
  <c r="R140" i="1" s="1"/>
  <c r="T1301" i="1"/>
  <c r="X408" i="1"/>
  <c r="P408" i="1" s="1"/>
  <c r="Q408" i="1" s="1"/>
  <c r="R408" i="1" s="1"/>
  <c r="T993" i="1"/>
  <c r="X993" i="1"/>
  <c r="P993" i="1" s="1"/>
  <c r="Q993" i="1" s="1"/>
  <c r="R993" i="1" s="1"/>
  <c r="X1273" i="1"/>
  <c r="P1273" i="1" s="1"/>
  <c r="Q1273" i="1" s="1"/>
  <c r="R1273" i="1" s="1"/>
  <c r="D1601" i="1" s="1"/>
  <c r="T1273" i="1"/>
  <c r="X1142" i="1"/>
  <c r="P1142" i="1" s="1"/>
  <c r="Q1142" i="1" s="1"/>
  <c r="R1142" i="1" s="1"/>
  <c r="D1643" i="1" s="1"/>
  <c r="X473" i="1"/>
  <c r="P473" i="1" s="1"/>
  <c r="Q473" i="1" s="1"/>
  <c r="R473" i="1" s="1"/>
  <c r="D466" i="1" s="1"/>
  <c r="T487" i="1"/>
  <c r="X153" i="1"/>
  <c r="P153" i="1" s="1"/>
  <c r="Q153" i="1" s="1"/>
  <c r="R153" i="1" s="1"/>
  <c r="X1042" i="1"/>
  <c r="P1042" i="1" s="1"/>
  <c r="Q1042" i="1" s="1"/>
  <c r="R1042" i="1" s="1"/>
  <c r="X1840" i="1"/>
  <c r="T1948" i="1"/>
  <c r="T665" i="1"/>
  <c r="Y1840" i="1"/>
  <c r="X487" i="1"/>
  <c r="P487" i="1" s="1"/>
  <c r="Q487" i="1" s="1"/>
  <c r="R487" i="1" s="1"/>
  <c r="D487" i="1" s="1"/>
  <c r="X1948" i="1"/>
  <c r="Y1948" i="1"/>
  <c r="X1226" i="1"/>
  <c r="P1226" i="1" s="1"/>
  <c r="Q1226" i="1" s="1"/>
  <c r="R1226" i="1" s="1"/>
  <c r="D1226" i="1" s="1"/>
  <c r="X349" i="1"/>
  <c r="P349" i="1" s="1"/>
  <c r="Q349" i="1" s="1"/>
  <c r="R349" i="1" s="1"/>
  <c r="D349" i="1" s="1"/>
  <c r="X786" i="1"/>
  <c r="P786" i="1" s="1"/>
  <c r="Q786" i="1" s="1"/>
  <c r="R786" i="1" s="1"/>
  <c r="D786" i="1" s="1"/>
  <c r="X2094" i="1"/>
  <c r="P2094" i="1" s="1"/>
  <c r="Q2094" i="1" s="1"/>
  <c r="R2094" i="1" s="1"/>
  <c r="X603" i="1"/>
  <c r="P603" i="1" s="1"/>
  <c r="Q603" i="1" s="1"/>
  <c r="R603" i="1" s="1"/>
  <c r="D2094" i="1"/>
  <c r="D603" i="1"/>
  <c r="T682" i="1"/>
  <c r="T830" i="1"/>
  <c r="X830" i="1"/>
  <c r="P830" i="1" s="1"/>
  <c r="Q830" i="1" s="1"/>
  <c r="R830" i="1" s="1"/>
  <c r="D830" i="1" s="1"/>
  <c r="T1820" i="1"/>
  <c r="X665" i="1"/>
  <c r="P665" i="1" s="1"/>
  <c r="Q665" i="1" s="1"/>
  <c r="R665" i="1" s="1"/>
  <c r="X425" i="1"/>
  <c r="Y425" i="1"/>
  <c r="T425" i="1"/>
  <c r="X682" i="1"/>
  <c r="P682" i="1" s="1"/>
  <c r="Q682" i="1" s="1"/>
  <c r="R682" i="1" s="1"/>
  <c r="D682" i="1" s="1"/>
  <c r="X1820" i="1"/>
  <c r="P1820" i="1" s="1"/>
  <c r="Q1820" i="1" s="1"/>
  <c r="R1820" i="1" s="1"/>
  <c r="D1820" i="1" s="1"/>
  <c r="J1028" i="6"/>
  <c r="T468" i="1"/>
  <c r="T804" i="1"/>
  <c r="X1571" i="1"/>
  <c r="P1571" i="1" s="1"/>
  <c r="Q1571" i="1" s="1"/>
  <c r="R1571" i="1" s="1"/>
  <c r="D1571" i="1" s="1"/>
  <c r="X1113" i="1"/>
  <c r="P1113" i="1" s="1"/>
  <c r="Q1113" i="1" s="1"/>
  <c r="R1113" i="1" s="1"/>
  <c r="X468" i="1"/>
  <c r="P468" i="1" s="1"/>
  <c r="Q468" i="1" s="1"/>
  <c r="R468" i="1" s="1"/>
  <c r="T453" i="1"/>
  <c r="X220" i="1"/>
  <c r="P220" i="1" s="1"/>
  <c r="Q220" i="1" s="1"/>
  <c r="R220" i="1" s="1"/>
  <c r="X453" i="1"/>
  <c r="P453" i="1" s="1"/>
  <c r="Q453" i="1" s="1"/>
  <c r="R453" i="1" s="1"/>
  <c r="T70" i="1"/>
  <c r="X804" i="1"/>
  <c r="P804" i="1" s="1"/>
  <c r="Q804" i="1" s="1"/>
  <c r="R804" i="1" s="1"/>
  <c r="X892" i="1"/>
  <c r="P892" i="1" s="1"/>
  <c r="Q892" i="1" s="1"/>
  <c r="R892" i="1" s="1"/>
  <c r="D892" i="1" s="1"/>
  <c r="T220" i="1"/>
  <c r="X70" i="1"/>
  <c r="P70" i="1" s="1"/>
  <c r="Q70" i="1" s="1"/>
  <c r="R70" i="1" s="1"/>
  <c r="T2013" i="1"/>
  <c r="X2013" i="1"/>
  <c r="Y2013" i="1"/>
  <c r="T1980" i="1"/>
  <c r="X1980" i="1"/>
  <c r="P1980" i="1" s="1"/>
  <c r="Q1980" i="1" s="1"/>
  <c r="R1980" i="1" s="1"/>
  <c r="T1166" i="1"/>
  <c r="X919" i="1"/>
  <c r="Q919" i="1" s="1"/>
  <c r="R919" i="1" s="1"/>
  <c r="D919" i="1" s="1"/>
  <c r="T919" i="1"/>
  <c r="T996" i="1"/>
  <c r="X138" i="1"/>
  <c r="P138" i="1" s="1"/>
  <c r="Q138" i="1" s="1"/>
  <c r="R138" i="1" s="1"/>
  <c r="T138" i="1"/>
  <c r="X1867" i="1"/>
  <c r="P1867" i="1" s="1"/>
  <c r="Q1867" i="1" s="1"/>
  <c r="R1867" i="1" s="1"/>
  <c r="B1867" i="1"/>
  <c r="T1208" i="1"/>
  <c r="X996" i="1"/>
  <c r="P996" i="1" s="1"/>
  <c r="Q996" i="1" s="1"/>
  <c r="R996" i="1" s="1"/>
  <c r="D996" i="1" s="1"/>
  <c r="T1761" i="1"/>
  <c r="X1567" i="1"/>
  <c r="P1567" i="1" s="1"/>
  <c r="Q1567" i="1" s="1"/>
  <c r="R1567" i="1" s="1"/>
  <c r="X1761" i="1"/>
  <c r="P1761" i="1" s="1"/>
  <c r="Q1761" i="1" s="1"/>
  <c r="R1761" i="1" s="1"/>
  <c r="D1761" i="1" s="1"/>
  <c r="X1208" i="1"/>
  <c r="P1208" i="1" s="1"/>
  <c r="Q1208" i="1" s="1"/>
  <c r="R1208" i="1" s="1"/>
  <c r="X94" i="1"/>
  <c r="T1031" i="1"/>
  <c r="T94" i="1"/>
  <c r="T1567" i="1"/>
  <c r="X1166" i="1"/>
  <c r="P1166" i="1" s="1"/>
  <c r="Q1166" i="1" s="1"/>
  <c r="R1166" i="1" s="1"/>
  <c r="D46" i="1" s="1"/>
  <c r="T772" i="1"/>
  <c r="Y1166" i="1"/>
  <c r="X880" i="1"/>
  <c r="P880" i="1" s="1"/>
  <c r="Q880" i="1" s="1"/>
  <c r="R880" i="1" s="1"/>
  <c r="Y880" i="1"/>
  <c r="X1031" i="1"/>
  <c r="P1031" i="1" s="1"/>
  <c r="Q1031" i="1" s="1"/>
  <c r="R1031" i="1" s="1"/>
  <c r="T880" i="1"/>
  <c r="X1970" i="1"/>
  <c r="P1970" i="1" s="1"/>
  <c r="Q1970" i="1" s="1"/>
  <c r="R1970" i="1" s="1"/>
  <c r="T1970" i="1"/>
  <c r="X772" i="1"/>
  <c r="P772" i="1" s="1"/>
  <c r="Q772" i="1" s="1"/>
  <c r="R772" i="1" s="1"/>
  <c r="D1211" i="1" s="1"/>
  <c r="X1419" i="1"/>
  <c r="Y1419" i="1"/>
  <c r="X192" i="1"/>
  <c r="P192" i="1" s="1"/>
  <c r="A113" i="1"/>
  <c r="C113" i="1"/>
  <c r="B113" i="1" s="1"/>
  <c r="Y113" i="1"/>
  <c r="V113" i="1"/>
  <c r="W113" i="1" s="1"/>
  <c r="Z113" i="1"/>
  <c r="C1039" i="6"/>
  <c r="W33" i="15" s="1"/>
  <c r="B33" i="15"/>
  <c r="N33" i="15"/>
  <c r="O33" i="15"/>
  <c r="P33" i="15"/>
  <c r="Q33" i="15"/>
  <c r="A215" i="1"/>
  <c r="C215" i="1"/>
  <c r="B215" i="1" s="1"/>
  <c r="M215" i="1"/>
  <c r="O215" i="1"/>
  <c r="Y215" i="1"/>
  <c r="V215" i="1"/>
  <c r="W215" i="1" s="1"/>
  <c r="Z215" i="1"/>
  <c r="A331" i="1"/>
  <c r="C331" i="1"/>
  <c r="B331" i="1" s="1"/>
  <c r="Y331" i="1"/>
  <c r="V331" i="1"/>
  <c r="W331" i="1" s="1"/>
  <c r="Z331" i="1"/>
  <c r="A1549" i="1"/>
  <c r="C1549" i="1"/>
  <c r="B1549" i="1" s="1"/>
  <c r="Y1549" i="1"/>
  <c r="V1549" i="1"/>
  <c r="W1549" i="1" s="1"/>
  <c r="Z1549" i="1"/>
  <c r="A1946" i="1"/>
  <c r="C1946" i="1"/>
  <c r="B1946" i="1" s="1"/>
  <c r="Y1946" i="1"/>
  <c r="V1946" i="1"/>
  <c r="W1946" i="1" s="1"/>
  <c r="Z1946" i="1"/>
  <c r="A1593" i="1"/>
  <c r="C1593" i="1"/>
  <c r="T1593" i="1" s="1"/>
  <c r="M1593" i="1"/>
  <c r="O1593" i="1"/>
  <c r="Y1593" i="1"/>
  <c r="V1593" i="1"/>
  <c r="W1593" i="1" s="1"/>
  <c r="Z1593" i="1"/>
  <c r="A1696" i="1"/>
  <c r="C1696" i="1"/>
  <c r="B1696" i="1" s="1"/>
  <c r="Y1696" i="1"/>
  <c r="V1696" i="1"/>
  <c r="W1696" i="1" s="1"/>
  <c r="Z1696" i="1"/>
  <c r="A1072" i="1"/>
  <c r="C1072" i="1"/>
  <c r="B1072" i="1" s="1"/>
  <c r="V1072" i="1"/>
  <c r="W1072" i="1" s="1"/>
  <c r="Z1072" i="1"/>
  <c r="A2087" i="1"/>
  <c r="C2087" i="1"/>
  <c r="B2087" i="1" s="1"/>
  <c r="Y2087" i="1"/>
  <c r="V2087" i="1"/>
  <c r="W2087" i="1" s="1"/>
  <c r="Z2087" i="1"/>
  <c r="A2059" i="1"/>
  <c r="C2059" i="1"/>
  <c r="B2059" i="1" s="1"/>
  <c r="Y2059" i="1"/>
  <c r="V2059" i="1"/>
  <c r="W2059" i="1" s="1"/>
  <c r="Z2059" i="1"/>
  <c r="A1952" i="1"/>
  <c r="C1952" i="1"/>
  <c r="B1952" i="1" s="1"/>
  <c r="M1952" i="1"/>
  <c r="O1952" i="1"/>
  <c r="T1952" i="1"/>
  <c r="Y1952" i="1"/>
  <c r="V1952" i="1"/>
  <c r="W1952" i="1" s="1"/>
  <c r="Z1952" i="1"/>
  <c r="A552" i="1"/>
  <c r="C552" i="1"/>
  <c r="B552" i="1" s="1"/>
  <c r="D552" i="1"/>
  <c r="S552" i="1"/>
  <c r="Y552" i="1"/>
  <c r="V552" i="1"/>
  <c r="W552" i="1" s="1"/>
  <c r="Z552" i="1"/>
  <c r="A553" i="1"/>
  <c r="C553" i="1"/>
  <c r="B553" i="1" s="1"/>
  <c r="S553" i="1"/>
  <c r="T553" i="1"/>
  <c r="Y553" i="1"/>
  <c r="V553" i="1"/>
  <c r="W553" i="1" s="1"/>
  <c r="Z553" i="1"/>
  <c r="A1112" i="1"/>
  <c r="C1112" i="1"/>
  <c r="B1112" i="1" s="1"/>
  <c r="M1112" i="1"/>
  <c r="O1112" i="1"/>
  <c r="S1112" i="1"/>
  <c r="T1112" i="1"/>
  <c r="Y1112" i="1"/>
  <c r="V1112" i="1"/>
  <c r="W1112" i="1" s="1"/>
  <c r="Z1112" i="1"/>
  <c r="A791" i="1"/>
  <c r="A944" i="1"/>
  <c r="A251" i="1"/>
  <c r="C791" i="1"/>
  <c r="T791" i="1" s="1"/>
  <c r="C944" i="1"/>
  <c r="B944" i="1" s="1"/>
  <c r="C251" i="1"/>
  <c r="B251" i="1" s="1"/>
  <c r="M791" i="1"/>
  <c r="M944" i="1"/>
  <c r="M251" i="1"/>
  <c r="O791" i="1"/>
  <c r="O944" i="1"/>
  <c r="O251" i="1"/>
  <c r="Y791" i="1"/>
  <c r="Y944" i="1"/>
  <c r="Y251" i="1"/>
  <c r="V791" i="1"/>
  <c r="W791" i="1" s="1"/>
  <c r="V944" i="1"/>
  <c r="W944" i="1" s="1"/>
  <c r="V251" i="1"/>
  <c r="W251" i="1" s="1"/>
  <c r="Z791" i="1"/>
  <c r="Z944" i="1"/>
  <c r="Z251" i="1"/>
  <c r="A992" i="1"/>
  <c r="C992" i="1"/>
  <c r="B992" i="1" s="1"/>
  <c r="M992" i="1"/>
  <c r="O992" i="1"/>
  <c r="V992" i="1"/>
  <c r="W992" i="1" s="1"/>
  <c r="Z992" i="1"/>
  <c r="A393" i="1"/>
  <c r="C393" i="1"/>
  <c r="B393" i="1" s="1"/>
  <c r="M393" i="1"/>
  <c r="O393" i="1"/>
  <c r="Y393" i="1"/>
  <c r="V393" i="1"/>
  <c r="W393" i="1" s="1"/>
  <c r="Z393" i="1"/>
  <c r="A1881" i="1"/>
  <c r="C1881" i="1"/>
  <c r="B1881" i="1" s="1"/>
  <c r="S1881" i="1"/>
  <c r="T1881" i="1"/>
  <c r="Y1881" i="1"/>
  <c r="V1881" i="1"/>
  <c r="W1881" i="1" s="1"/>
  <c r="Z1881" i="1"/>
  <c r="A1402" i="1"/>
  <c r="C1402" i="1"/>
  <c r="B1402" i="1" s="1"/>
  <c r="M1402" i="1"/>
  <c r="O1402" i="1"/>
  <c r="Y1402" i="1"/>
  <c r="V1402" i="1"/>
  <c r="W1402" i="1" s="1"/>
  <c r="Z1402" i="1"/>
  <c r="A442" i="1"/>
  <c r="A433" i="1"/>
  <c r="C442" i="1"/>
  <c r="B442" i="1" s="1"/>
  <c r="C433" i="1"/>
  <c r="B433" i="1" s="1"/>
  <c r="T442" i="1"/>
  <c r="T433" i="1"/>
  <c r="Y442" i="1"/>
  <c r="Y433" i="1"/>
  <c r="V442" i="1"/>
  <c r="W442" i="1" s="1"/>
  <c r="V433" i="1"/>
  <c r="W433" i="1" s="1"/>
  <c r="Z442" i="1"/>
  <c r="Z433" i="1"/>
  <c r="A1729" i="1"/>
  <c r="C1729" i="1"/>
  <c r="B1729" i="1" s="1"/>
  <c r="Y1729" i="1"/>
  <c r="V1729" i="1"/>
  <c r="W1729" i="1" s="1"/>
  <c r="Z1729" i="1"/>
  <c r="A1590" i="1"/>
  <c r="C1590" i="1"/>
  <c r="B1590" i="1" s="1"/>
  <c r="Y1590" i="1"/>
  <c r="V1590" i="1"/>
  <c r="W1590" i="1" s="1"/>
  <c r="Z1590" i="1"/>
  <c r="A1457" i="1"/>
  <c r="C1457" i="1"/>
  <c r="B1457" i="1" s="1"/>
  <c r="Y1457" i="1"/>
  <c r="V1457" i="1"/>
  <c r="W1457" i="1" s="1"/>
  <c r="Z1457" i="1"/>
  <c r="A11" i="1"/>
  <c r="A1931" i="1"/>
  <c r="C11" i="1"/>
  <c r="B11" i="1" s="1"/>
  <c r="C1931" i="1"/>
  <c r="B1931" i="1" s="1"/>
  <c r="M11" i="1"/>
  <c r="M1931" i="1"/>
  <c r="O11" i="1"/>
  <c r="O1931" i="1"/>
  <c r="T11" i="1"/>
  <c r="Y11" i="1"/>
  <c r="Y1931" i="1"/>
  <c r="V11" i="1"/>
  <c r="W11" i="1" s="1"/>
  <c r="V1931" i="1"/>
  <c r="W1931" i="1" s="1"/>
  <c r="Z11" i="1"/>
  <c r="Z1931" i="1"/>
  <c r="A1576" i="1"/>
  <c r="C1576" i="1"/>
  <c r="B1576" i="1" s="1"/>
  <c r="M1576" i="1"/>
  <c r="O1576" i="1"/>
  <c r="V1576" i="1"/>
  <c r="W1576" i="1" s="1"/>
  <c r="Z1576" i="1"/>
  <c r="A1300" i="1"/>
  <c r="C1300" i="1"/>
  <c r="B1300" i="1" s="1"/>
  <c r="M1300" i="1"/>
  <c r="O1300" i="1"/>
  <c r="Y1300" i="1"/>
  <c r="V1300" i="1"/>
  <c r="W1300" i="1" s="1"/>
  <c r="Z1300" i="1"/>
  <c r="A1877" i="1"/>
  <c r="C1877" i="1"/>
  <c r="B1877" i="1" s="1"/>
  <c r="Y1877" i="1"/>
  <c r="V1877" i="1"/>
  <c r="W1877" i="1" s="1"/>
  <c r="Z1877" i="1"/>
  <c r="A1859" i="1"/>
  <c r="C1859" i="1"/>
  <c r="B1859" i="1" s="1"/>
  <c r="Y1859" i="1"/>
  <c r="V1859" i="1"/>
  <c r="W1859" i="1" s="1"/>
  <c r="Z1859" i="1"/>
  <c r="A145" i="1"/>
  <c r="C145" i="1"/>
  <c r="B145" i="1" s="1"/>
  <c r="M145" i="1"/>
  <c r="O145" i="1"/>
  <c r="T145" i="1"/>
  <c r="Y145" i="1"/>
  <c r="V145" i="1"/>
  <c r="W145" i="1" s="1"/>
  <c r="Z145" i="1"/>
  <c r="A172" i="1"/>
  <c r="C172" i="1"/>
  <c r="B172" i="1" s="1"/>
  <c r="M172" i="1"/>
  <c r="O172" i="1"/>
  <c r="Y172" i="1"/>
  <c r="V172" i="1"/>
  <c r="W172" i="1" s="1"/>
  <c r="Z172" i="1"/>
  <c r="A1442" i="1"/>
  <c r="C1442" i="1"/>
  <c r="B1442" i="1" s="1"/>
  <c r="V1442" i="1"/>
  <c r="W1442" i="1" s="1"/>
  <c r="Z1442" i="1"/>
  <c r="A323" i="1"/>
  <c r="C323" i="1"/>
  <c r="B323" i="1" s="1"/>
  <c r="M323" i="1"/>
  <c r="Y323" i="1"/>
  <c r="V323" i="1"/>
  <c r="W323" i="1" s="1"/>
  <c r="Z323" i="1"/>
  <c r="A1586" i="1"/>
  <c r="C1586" i="1"/>
  <c r="B1586" i="1" s="1"/>
  <c r="M1586" i="1"/>
  <c r="Y1586" i="1"/>
  <c r="V1586" i="1"/>
  <c r="W1586" i="1" s="1"/>
  <c r="Z1586" i="1"/>
  <c r="A336" i="1"/>
  <c r="C336" i="1"/>
  <c r="B336" i="1" s="1"/>
  <c r="M336" i="1"/>
  <c r="Y336" i="1"/>
  <c r="V336" i="1"/>
  <c r="W336" i="1" s="1"/>
  <c r="Z336" i="1"/>
  <c r="A1250" i="1"/>
  <c r="C1250" i="1"/>
  <c r="B1250" i="1" s="1"/>
  <c r="M1250" i="1"/>
  <c r="O1250" i="1"/>
  <c r="Y1250" i="1"/>
  <c r="V1250" i="1"/>
  <c r="W1250" i="1" s="1"/>
  <c r="Z1250" i="1"/>
  <c r="A1695" i="1"/>
  <c r="C1695" i="1"/>
  <c r="B1695" i="1" s="1"/>
  <c r="S1695" i="1"/>
  <c r="T1695" i="1"/>
  <c r="Y1695" i="1"/>
  <c r="V1695" i="1"/>
  <c r="W1695" i="1" s="1"/>
  <c r="Z1695" i="1"/>
  <c r="F1022" i="6"/>
  <c r="I1022" i="6"/>
  <c r="J1022" i="6"/>
  <c r="F1024" i="6"/>
  <c r="I1024" i="6"/>
  <c r="J1024" i="6"/>
  <c r="J1023" i="6"/>
  <c r="F1023" i="6"/>
  <c r="J1025" i="6"/>
  <c r="F1025" i="6"/>
  <c r="I1025" i="6"/>
  <c r="F1027" i="6"/>
  <c r="I1027" i="6"/>
  <c r="J1027" i="6"/>
  <c r="F1021" i="6"/>
  <c r="I1021" i="6"/>
  <c r="J1021" i="6"/>
  <c r="A1052" i="1"/>
  <c r="C1052" i="1"/>
  <c r="B1052" i="1" s="1"/>
  <c r="T1052" i="1"/>
  <c r="Y1052" i="1"/>
  <c r="V1052" i="1"/>
  <c r="W1052" i="1" s="1"/>
  <c r="Z1052" i="1"/>
  <c r="A899" i="1"/>
  <c r="C899" i="1"/>
  <c r="B899" i="1" s="1"/>
  <c r="Y899" i="1"/>
  <c r="V899" i="1"/>
  <c r="W899" i="1" s="1"/>
  <c r="Z899" i="1"/>
  <c r="A1376" i="1"/>
  <c r="C1376" i="1"/>
  <c r="B1376" i="1" s="1"/>
  <c r="Y1376" i="1"/>
  <c r="V1376" i="1"/>
  <c r="W1376" i="1" s="1"/>
  <c r="Z1376" i="1"/>
  <c r="A1111" i="1"/>
  <c r="C1111" i="1"/>
  <c r="B1111" i="1" s="1"/>
  <c r="M1111" i="1"/>
  <c r="O1111" i="1"/>
  <c r="S1111" i="1"/>
  <c r="T1111" i="1"/>
  <c r="Y1111" i="1"/>
  <c r="V1111" i="1"/>
  <c r="W1111" i="1" s="1"/>
  <c r="Z1111" i="1"/>
  <c r="A927" i="1"/>
  <c r="C927" i="1"/>
  <c r="B927" i="1" s="1"/>
  <c r="M927" i="1"/>
  <c r="V927" i="1"/>
  <c r="W927" i="1" s="1"/>
  <c r="Z927" i="1"/>
  <c r="A1336" i="1"/>
  <c r="C1336" i="1"/>
  <c r="B1336" i="1" s="1"/>
  <c r="M1336" i="1"/>
  <c r="Y1336" i="1"/>
  <c r="V1336" i="1"/>
  <c r="W1336" i="1" s="1"/>
  <c r="Z1336" i="1"/>
  <c r="A959" i="1"/>
  <c r="C959" i="1"/>
  <c r="B959" i="1" s="1"/>
  <c r="T959" i="1"/>
  <c r="Y959" i="1"/>
  <c r="V959" i="1"/>
  <c r="W959" i="1" s="1"/>
  <c r="Z959" i="1"/>
  <c r="A951" i="1"/>
  <c r="C951" i="1"/>
  <c r="B951" i="1" s="1"/>
  <c r="Y951" i="1"/>
  <c r="V951" i="1"/>
  <c r="W951" i="1" s="1"/>
  <c r="Z951" i="1"/>
  <c r="A200" i="1"/>
  <c r="A184" i="1"/>
  <c r="C200" i="1"/>
  <c r="B200" i="1" s="1"/>
  <c r="C184" i="1"/>
  <c r="B184" i="1" s="1"/>
  <c r="T200" i="1"/>
  <c r="T184" i="1"/>
  <c r="Y200" i="1"/>
  <c r="Y184" i="1"/>
  <c r="V200" i="1"/>
  <c r="W200" i="1" s="1"/>
  <c r="V184" i="1"/>
  <c r="W184" i="1" s="1"/>
  <c r="Z200" i="1"/>
  <c r="Z184" i="1"/>
  <c r="A598" i="1"/>
  <c r="A915" i="1"/>
  <c r="A270" i="1"/>
  <c r="A1509" i="1"/>
  <c r="A256" i="1"/>
  <c r="A654" i="1"/>
  <c r="C598" i="1"/>
  <c r="B598" i="1" s="1"/>
  <c r="C915" i="1"/>
  <c r="B915" i="1" s="1"/>
  <c r="C270" i="1"/>
  <c r="B270" i="1" s="1"/>
  <c r="C1509" i="1"/>
  <c r="B1509" i="1" s="1"/>
  <c r="C256" i="1"/>
  <c r="B256" i="1" s="1"/>
  <c r="C654" i="1"/>
  <c r="B654" i="1" s="1"/>
  <c r="S598" i="1"/>
  <c r="S915" i="1"/>
  <c r="S270" i="1"/>
  <c r="S1509" i="1"/>
  <c r="S256" i="1"/>
  <c r="S654" i="1"/>
  <c r="T598" i="1"/>
  <c r="T915" i="1"/>
  <c r="T270" i="1"/>
  <c r="T1509" i="1"/>
  <c r="T256" i="1"/>
  <c r="T654" i="1"/>
  <c r="Y598" i="1"/>
  <c r="Y915" i="1"/>
  <c r="Y270" i="1"/>
  <c r="Y1509" i="1"/>
  <c r="Y256" i="1"/>
  <c r="Y654" i="1"/>
  <c r="V598" i="1"/>
  <c r="W598" i="1" s="1"/>
  <c r="V915" i="1"/>
  <c r="W915" i="1" s="1"/>
  <c r="V270" i="1"/>
  <c r="W270" i="1" s="1"/>
  <c r="V1509" i="1"/>
  <c r="W1509" i="1" s="1"/>
  <c r="V256" i="1"/>
  <c r="W256" i="1" s="1"/>
  <c r="V654" i="1"/>
  <c r="W654" i="1" s="1"/>
  <c r="Z598" i="1"/>
  <c r="Z915" i="1"/>
  <c r="Z270" i="1"/>
  <c r="Z1509" i="1"/>
  <c r="Z256" i="1"/>
  <c r="Z654" i="1"/>
  <c r="A177" i="1"/>
  <c r="C177" i="1"/>
  <c r="B177" i="1" s="1"/>
  <c r="Y177" i="1"/>
  <c r="V177" i="1"/>
  <c r="W177" i="1" s="1"/>
  <c r="Z177" i="1"/>
  <c r="A1702" i="1"/>
  <c r="C1702" i="1"/>
  <c r="B1702" i="1" s="1"/>
  <c r="M1702" i="1"/>
  <c r="O1702" i="1"/>
  <c r="Y1702" i="1"/>
  <c r="V1702" i="1"/>
  <c r="W1702" i="1" s="1"/>
  <c r="Z1702" i="1"/>
  <c r="Z1070" i="1"/>
  <c r="Z1809" i="1"/>
  <c r="Z1164" i="1"/>
  <c r="Z1757" i="1"/>
  <c r="Z1356" i="1"/>
  <c r="Z1630" i="1"/>
  <c r="Z757" i="1"/>
  <c r="Z1569" i="1"/>
  <c r="Z1553" i="1"/>
  <c r="Z1762" i="1"/>
  <c r="Z1181" i="1"/>
  <c r="Z1963" i="1"/>
  <c r="Z1146" i="1"/>
  <c r="Z775" i="1"/>
  <c r="Z1350" i="1"/>
  <c r="Z274" i="1"/>
  <c r="Z266" i="1"/>
  <c r="Z795" i="1"/>
  <c r="Z462" i="1"/>
  <c r="Z321" i="1"/>
  <c r="Z1432" i="1"/>
  <c r="Z942" i="1"/>
  <c r="Z234" i="1"/>
  <c r="Z255" i="1"/>
  <c r="Z1232" i="1"/>
  <c r="Z1898" i="1"/>
  <c r="Z1914" i="1"/>
  <c r="Z436" i="1"/>
  <c r="Z727" i="1"/>
  <c r="Z716" i="1"/>
  <c r="Z386" i="1"/>
  <c r="Z1215" i="1"/>
  <c r="Z1008" i="1"/>
  <c r="Z1854" i="1"/>
  <c r="Z740" i="1"/>
  <c r="Z1174" i="1"/>
  <c r="Z1679" i="1"/>
  <c r="Z1269" i="1"/>
  <c r="Z1750" i="1"/>
  <c r="Z1170" i="1"/>
  <c r="Z1462" i="1"/>
  <c r="Z1157" i="1"/>
  <c r="Z1479" i="1"/>
  <c r="Z1261" i="1"/>
  <c r="Z1780" i="1"/>
  <c r="Z1781" i="1"/>
  <c r="Z1136" i="1"/>
  <c r="Z214" i="1"/>
  <c r="Z1548" i="1"/>
  <c r="Z1610" i="1"/>
  <c r="Z1755" i="1"/>
  <c r="Z1148" i="1"/>
  <c r="Z1603" i="1"/>
  <c r="Z754" i="1"/>
  <c r="Z1251" i="1"/>
  <c r="Z1415" i="1"/>
  <c r="Z1801" i="1"/>
  <c r="Z911" i="1"/>
  <c r="Z461" i="1"/>
  <c r="Z912" i="1"/>
  <c r="Z883" i="1"/>
  <c r="Z339" i="1"/>
  <c r="Z1291" i="1"/>
  <c r="Z926" i="1"/>
  <c r="Z1005" i="1"/>
  <c r="Z744" i="1"/>
  <c r="Z723" i="1"/>
  <c r="Z933" i="1"/>
  <c r="Z628" i="1"/>
  <c r="Z724" i="1"/>
  <c r="Z698" i="1"/>
  <c r="Z1069" i="1"/>
  <c r="Z793" i="1"/>
  <c r="Z725" i="1"/>
  <c r="Z254" i="1"/>
  <c r="Z226" i="1"/>
  <c r="Z465" i="1"/>
  <c r="Z612" i="1"/>
  <c r="Z1154" i="1"/>
  <c r="Z1641" i="1"/>
  <c r="Z1759" i="1"/>
  <c r="Z1395" i="1"/>
  <c r="Z1799" i="1"/>
  <c r="Z1763" i="1"/>
  <c r="Z1903" i="1"/>
  <c r="Z1733" i="1"/>
  <c r="Z1528" i="1"/>
  <c r="Z1410" i="1"/>
  <c r="Z2015" i="1"/>
  <c r="Z1178" i="1"/>
  <c r="Z1512" i="1"/>
  <c r="Z1847" i="1"/>
  <c r="Z1829" i="1"/>
  <c r="Z810" i="1"/>
  <c r="Z1997" i="1"/>
  <c r="Z1305" i="1"/>
  <c r="Z832" i="1"/>
  <c r="Z1516" i="1"/>
  <c r="Z107" i="1"/>
  <c r="Z1937" i="1"/>
  <c r="Z1449" i="1"/>
  <c r="Z1908" i="1"/>
  <c r="Z640" i="1"/>
  <c r="Z534" i="1"/>
  <c r="Z1060" i="1"/>
  <c r="Z756" i="1"/>
  <c r="Z446" i="1"/>
  <c r="Z572" i="1"/>
  <c r="Z224" i="1"/>
  <c r="Z347" i="1"/>
  <c r="Z368" i="1"/>
  <c r="Z385" i="1"/>
  <c r="Z1574" i="1"/>
  <c r="Z276" i="1"/>
  <c r="Z537" i="1"/>
  <c r="Z669" i="1"/>
  <c r="Z1151" i="1"/>
  <c r="Z1522" i="1"/>
  <c r="Z208" i="1"/>
  <c r="Z221" i="1"/>
  <c r="Z319" i="1"/>
  <c r="Z702" i="1"/>
  <c r="Z1328" i="1"/>
  <c r="Z100" i="1"/>
  <c r="Z850" i="1"/>
  <c r="Z1172" i="1"/>
  <c r="Z1568" i="1"/>
  <c r="Z1691" i="1"/>
  <c r="Z444" i="1"/>
  <c r="Z101" i="1"/>
  <c r="Z697" i="1"/>
  <c r="Z733" i="1"/>
  <c r="Z858" i="1"/>
  <c r="Z1955" i="1"/>
  <c r="Z165" i="1"/>
  <c r="Z233" i="1"/>
  <c r="Z235" i="1"/>
  <c r="Z296" i="1"/>
  <c r="Z102" i="1"/>
  <c r="Z199" i="1"/>
  <c r="Z253" i="1"/>
  <c r="Z673" i="1"/>
  <c r="Z1979" i="1"/>
  <c r="Z517" i="1"/>
  <c r="Z533" i="1"/>
  <c r="Z337" i="1"/>
  <c r="Z146" i="1"/>
  <c r="Z297" i="1"/>
  <c r="Z377" i="1"/>
  <c r="Z563" i="1"/>
  <c r="Z1560" i="1"/>
  <c r="Z175" i="1"/>
  <c r="Z690" i="1"/>
  <c r="Z232" i="1"/>
  <c r="Z286" i="1"/>
  <c r="Z382" i="1"/>
  <c r="Z437" i="1"/>
  <c r="Z863" i="1"/>
  <c r="Z1740" i="1"/>
  <c r="Z148" i="1"/>
  <c r="Z159" i="1"/>
  <c r="Z242" i="1"/>
  <c r="Z372" i="1"/>
  <c r="Z418" i="1"/>
  <c r="Z650" i="1"/>
  <c r="Z663" i="1"/>
  <c r="Z1719" i="1"/>
  <c r="Z166" i="1"/>
  <c r="Z574" i="1"/>
  <c r="Z160" i="1"/>
  <c r="Z218" i="1"/>
  <c r="Z303" i="1"/>
  <c r="Z613" i="1"/>
  <c r="Z882" i="1"/>
  <c r="Z903" i="1"/>
  <c r="Z1743" i="1"/>
  <c r="Z265" i="1"/>
  <c r="Z231" i="1"/>
  <c r="Z158" i="1"/>
  <c r="Z501" i="1"/>
  <c r="Z844" i="1"/>
  <c r="Z925" i="1"/>
  <c r="Z1026" i="1"/>
  <c r="Z1909" i="1"/>
  <c r="Z127" i="1"/>
  <c r="Z170" i="1"/>
  <c r="Z379" i="1"/>
  <c r="Z381" i="1"/>
  <c r="Z535" i="1"/>
  <c r="Z1850" i="1"/>
  <c r="Z157" i="1"/>
  <c r="Z164" i="1"/>
  <c r="Z350" i="1"/>
  <c r="Z893" i="1"/>
  <c r="Z939" i="1"/>
  <c r="Z1784" i="1"/>
  <c r="Z362" i="1"/>
  <c r="Z834" i="1"/>
  <c r="Z826" i="1"/>
  <c r="Z575" i="1"/>
  <c r="Z126" i="1"/>
  <c r="Z1607" i="1"/>
  <c r="Z1644" i="1"/>
  <c r="Z1267" i="1"/>
  <c r="Z1068" i="1"/>
  <c r="Z1971" i="1"/>
  <c r="Z2088" i="1"/>
  <c r="Z1621" i="1"/>
  <c r="Z913" i="1"/>
  <c r="Z2010" i="1"/>
  <c r="Z789" i="1"/>
  <c r="Z2025" i="1"/>
  <c r="Z56" i="1"/>
  <c r="Z639" i="1"/>
  <c r="Z1692" i="1"/>
  <c r="Z676" i="1"/>
  <c r="Z480" i="1"/>
  <c r="Z590" i="1"/>
  <c r="Z1807" i="1"/>
  <c r="Z63" i="1"/>
  <c r="Z749" i="1"/>
  <c r="Z543" i="1"/>
  <c r="Z2102" i="1"/>
  <c r="Z2" i="1"/>
  <c r="Z12" i="1"/>
  <c r="Z3" i="1"/>
  <c r="Z818" i="1"/>
  <c r="Z227" i="1"/>
  <c r="Z1934" i="1"/>
  <c r="Z898" i="1"/>
  <c r="Z498" i="1"/>
  <c r="Z1047" i="1"/>
  <c r="Z1205" i="1"/>
  <c r="Z610" i="1"/>
  <c r="Z601" i="1"/>
  <c r="Z611" i="1"/>
  <c r="Z1066" i="1"/>
  <c r="Z729" i="1"/>
  <c r="Z1372" i="1"/>
  <c r="Z730" i="1"/>
  <c r="Z1354" i="1"/>
  <c r="Z638" i="1"/>
  <c r="Z956" i="1"/>
  <c r="Z1104" i="1"/>
  <c r="Z745" i="1"/>
  <c r="Z658" i="1"/>
  <c r="Z409" i="1"/>
  <c r="Z812" i="1"/>
  <c r="Z298" i="1"/>
  <c r="Z1249" i="1"/>
  <c r="Z684" i="1"/>
  <c r="Z236" i="1"/>
  <c r="Z931" i="1"/>
  <c r="Z738" i="1"/>
  <c r="Z1319" i="1"/>
  <c r="Z1193" i="1"/>
  <c r="Z604" i="1"/>
  <c r="Z414" i="1"/>
  <c r="Z313" i="1"/>
  <c r="Z344" i="1"/>
  <c r="Z352" i="1"/>
  <c r="Z460" i="1"/>
  <c r="Z304" i="1"/>
  <c r="Z268" i="1"/>
  <c r="Z636" i="1"/>
  <c r="Z586" i="1"/>
  <c r="Z622" i="1"/>
  <c r="Z1086" i="1"/>
  <c r="Z217" i="1"/>
  <c r="Z41" i="1"/>
  <c r="Z857" i="1"/>
  <c r="Z1873" i="1"/>
  <c r="Z373" i="1"/>
  <c r="Z704" i="1"/>
  <c r="Z2024" i="1"/>
  <c r="Z1600" i="1"/>
  <c r="Z989" i="1"/>
  <c r="Z1508" i="1"/>
  <c r="Z293" i="1"/>
  <c r="Z739" i="1"/>
  <c r="Z1672" i="1"/>
  <c r="Z1768" i="1"/>
  <c r="Z1187" i="1"/>
  <c r="Z1899" i="1"/>
  <c r="Z1992" i="1"/>
  <c r="Z1872" i="1"/>
  <c r="Z851" i="1"/>
  <c r="Z1983" i="1"/>
  <c r="Z1144" i="1"/>
  <c r="Z1427" i="1"/>
  <c r="Z1498" i="1"/>
  <c r="Z1499" i="1"/>
  <c r="Z1075" i="1"/>
  <c r="Z1076" i="1"/>
  <c r="Z1077" i="1"/>
  <c r="Z1078" i="1"/>
  <c r="Z1500" i="1"/>
  <c r="Z1079" i="1"/>
  <c r="Z1080" i="1"/>
  <c r="Z713" i="1"/>
  <c r="Z714" i="1"/>
  <c r="Z932" i="1"/>
  <c r="Z715" i="1"/>
  <c r="Z781" i="1"/>
  <c r="Z782" i="1"/>
  <c r="Z783" i="1"/>
  <c r="Z784" i="1"/>
  <c r="Z1501" i="1"/>
  <c r="Z1502" i="1"/>
  <c r="Z1081" i="1"/>
  <c r="Z1082" i="1"/>
  <c r="Z1403" i="1"/>
  <c r="Z1083" i="1"/>
  <c r="Z1084" i="1"/>
  <c r="Z1085" i="1"/>
  <c r="Z966" i="1"/>
  <c r="Z941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529" i="1"/>
  <c r="Z1503" i="1"/>
  <c r="Z9" i="1"/>
  <c r="Z1102" i="1"/>
  <c r="Z1103" i="1"/>
  <c r="Z109" i="1"/>
  <c r="Z1505" i="1"/>
  <c r="Z1105" i="1"/>
  <c r="Z1106" i="1"/>
  <c r="Z1107" i="1"/>
  <c r="Z1108" i="1"/>
  <c r="Z1248" i="1"/>
  <c r="Z1109" i="1"/>
  <c r="Z1110" i="1"/>
  <c r="Z1016" i="1"/>
  <c r="Z211" i="1"/>
  <c r="Z916" i="1"/>
  <c r="Z388" i="1"/>
  <c r="Z360" i="1"/>
  <c r="Z1217" i="1"/>
  <c r="Z294" i="1"/>
  <c r="Z258" i="1"/>
  <c r="Z470" i="1"/>
  <c r="Z561" i="1"/>
  <c r="Z207" i="1"/>
  <c r="Z225" i="1"/>
  <c r="Z247" i="1"/>
  <c r="Z1309" i="1"/>
  <c r="Z862" i="1"/>
  <c r="Z921" i="1"/>
  <c r="Z197" i="1"/>
  <c r="Z33" i="1"/>
  <c r="Z1406" i="1"/>
  <c r="Z975" i="1"/>
  <c r="Z1160" i="1"/>
  <c r="Z1407" i="1"/>
  <c r="Z1285" i="1"/>
  <c r="Z1264" i="1"/>
  <c r="Z1614" i="1"/>
  <c r="Z1450" i="1"/>
  <c r="Z212" i="1"/>
  <c r="Z1513" i="1"/>
  <c r="Z618" i="1"/>
  <c r="Z252" i="1"/>
  <c r="Z591" i="1"/>
  <c r="Z807" i="1"/>
  <c r="Z335" i="1"/>
  <c r="Z1147" i="1"/>
  <c r="Z1209" i="1"/>
  <c r="Z1290" i="1"/>
  <c r="Z190" i="1"/>
  <c r="Z1284" i="1"/>
  <c r="Z150" i="1"/>
  <c r="Z334" i="1"/>
  <c r="Z213" i="1"/>
  <c r="Z389" i="1"/>
  <c r="Z314" i="1"/>
  <c r="Z315" i="1"/>
  <c r="Z361" i="1"/>
  <c r="Z238" i="1"/>
  <c r="Z354" i="1"/>
  <c r="Z1323" i="1"/>
  <c r="Z518" i="1"/>
  <c r="Z1015" i="1"/>
  <c r="Z1526" i="1"/>
  <c r="Z1318" i="1"/>
  <c r="Z1727" i="1"/>
  <c r="Z1504" i="1"/>
  <c r="Z1693" i="1"/>
  <c r="Z1387" i="1"/>
  <c r="Z245" i="1"/>
  <c r="Z27" i="1"/>
  <c r="Z19" i="1"/>
  <c r="Z1364" i="1"/>
  <c r="Z1760" i="1"/>
  <c r="Z1071" i="1"/>
  <c r="Z705" i="1"/>
  <c r="Z1030" i="1"/>
  <c r="Z1143" i="1"/>
  <c r="Z825" i="1"/>
  <c r="Z957" i="1"/>
  <c r="Z929" i="1"/>
  <c r="Z736" i="1"/>
  <c r="Z717" i="1"/>
  <c r="Z840" i="1"/>
  <c r="Z1257" i="1"/>
  <c r="Z1371" i="1"/>
  <c r="Z375" i="1"/>
  <c r="Z1587" i="1"/>
  <c r="Z1312" i="1"/>
  <c r="Z1408" i="1"/>
  <c r="Z83" i="1"/>
  <c r="Z842" i="1"/>
  <c r="Z1322" i="1"/>
  <c r="Z111" i="1"/>
  <c r="Z1035" i="1"/>
  <c r="Z1592" i="1"/>
  <c r="Z1604" i="1"/>
  <c r="Z1231" i="1"/>
  <c r="Z1256" i="1"/>
  <c r="Z1602" i="1"/>
  <c r="Z1624" i="1"/>
  <c r="Z257" i="1"/>
  <c r="Z263" i="1"/>
  <c r="Z1615" i="1"/>
  <c r="Z75" i="1"/>
  <c r="Z696" i="1"/>
  <c r="Z974" i="1"/>
  <c r="Z1556" i="1"/>
  <c r="Z631" i="1"/>
  <c r="Z914" i="1"/>
  <c r="Z309" i="1"/>
  <c r="Z1353" i="1"/>
  <c r="Z938" i="1"/>
  <c r="Z943" i="1"/>
  <c r="Z1206" i="1"/>
  <c r="Z279" i="1"/>
  <c r="Z854" i="1"/>
  <c r="Z318" i="1"/>
  <c r="Z1853" i="1"/>
  <c r="Z290" i="1"/>
  <c r="Z376" i="1"/>
  <c r="Z249" i="1"/>
  <c r="Z194" i="1"/>
  <c r="Z340" i="1"/>
  <c r="Z677" i="1"/>
  <c r="Z1140" i="1"/>
  <c r="Z674" i="1"/>
  <c r="Z516" i="1"/>
  <c r="Z1200" i="1"/>
  <c r="Z229" i="1"/>
  <c r="Z1831" i="1"/>
  <c r="Z635" i="1"/>
  <c r="Z133" i="1"/>
  <c r="Z778" i="1"/>
  <c r="Z605" i="1"/>
  <c r="Z1525" i="1"/>
  <c r="Z1613" i="1"/>
  <c r="Z492" i="1"/>
  <c r="Z371" i="1"/>
  <c r="Z920" i="1"/>
  <c r="Z445" i="1"/>
  <c r="Z1295" i="1"/>
  <c r="Z1311" i="1"/>
  <c r="Z84" i="1"/>
  <c r="Z894" i="1"/>
  <c r="Z1272" i="1"/>
  <c r="Z1039" i="1"/>
  <c r="Z182" i="1"/>
  <c r="Z1252" i="1"/>
  <c r="Z845" i="1"/>
  <c r="Z1262" i="1"/>
  <c r="Z1152" i="1"/>
  <c r="Z1196" i="1"/>
  <c r="Z680" i="1"/>
  <c r="Z1127" i="1"/>
  <c r="Z1489" i="1"/>
  <c r="Z1770" i="1"/>
  <c r="Z811" i="1"/>
  <c r="Z991" i="1"/>
  <c r="Z619" i="1"/>
  <c r="Z307" i="1"/>
  <c r="Z491" i="1"/>
  <c r="Z637" i="1"/>
  <c r="Z1868" i="1"/>
  <c r="Z1889" i="1"/>
  <c r="Z1775" i="1"/>
  <c r="Z602" i="1"/>
  <c r="Z392" i="1"/>
  <c r="Z1009" i="1"/>
  <c r="Z2049" i="1"/>
  <c r="Z573" i="1"/>
  <c r="Z328" i="1"/>
  <c r="Z1559" i="1"/>
  <c r="Z1580" i="1"/>
  <c r="Z1492" i="1"/>
  <c r="Z1539" i="1"/>
  <c r="Z1195" i="1"/>
  <c r="Z178" i="1"/>
  <c r="Z1329" i="1"/>
  <c r="Z1240" i="1"/>
  <c r="Z1158" i="1"/>
  <c r="Z1286" i="1"/>
  <c r="Z1595" i="1"/>
  <c r="Z1572" i="1"/>
  <c r="Z1175" i="1"/>
  <c r="Z1369" i="1"/>
  <c r="Z1201" i="1"/>
  <c r="Z50" i="1"/>
  <c r="Z1767" i="1"/>
  <c r="Z1544" i="1"/>
  <c r="Z1220" i="1"/>
  <c r="Z1915" i="1"/>
  <c r="Z20" i="1"/>
  <c r="Z1452" i="1"/>
  <c r="Z876" i="1"/>
  <c r="Z1769" i="1"/>
  <c r="Z1227" i="1"/>
  <c r="Z89" i="1"/>
  <c r="Z1535" i="1"/>
  <c r="Z261" i="1"/>
  <c r="Z452" i="1"/>
  <c r="Z345" i="1"/>
  <c r="Z761" i="1"/>
  <c r="Z394" i="1"/>
  <c r="Z108" i="1"/>
  <c r="Z364" i="1"/>
  <c r="Z703" i="1"/>
  <c r="Z439" i="1"/>
  <c r="Z532" i="1"/>
  <c r="Z395" i="1"/>
  <c r="Z440" i="1"/>
  <c r="Z338" i="1"/>
  <c r="Z1622" i="1"/>
  <c r="Z1664" i="1"/>
  <c r="Z1709" i="1"/>
  <c r="Z1367" i="1"/>
  <c r="Z1616" i="1"/>
  <c r="Z1596" i="1"/>
  <c r="Z39" i="1"/>
  <c r="Z1465" i="1"/>
  <c r="Z1007" i="1"/>
  <c r="Z1772" i="1"/>
  <c r="Z1690" i="1"/>
  <c r="Z1941" i="1"/>
  <c r="Z1862" i="1"/>
  <c r="Z1446" i="1"/>
  <c r="Z2003" i="1"/>
  <c r="Z1661" i="1"/>
  <c r="Z1694" i="1"/>
  <c r="Z1808" i="1"/>
  <c r="Z1734" i="1"/>
  <c r="Z2007" i="1"/>
  <c r="Z2023" i="1"/>
  <c r="Z1665" i="1"/>
  <c r="Z1677" i="1"/>
  <c r="Z1274" i="1"/>
  <c r="Z2041" i="1"/>
  <c r="Z1627" i="1"/>
  <c r="Z1834" i="1"/>
  <c r="Z768" i="1"/>
  <c r="Z855" i="1"/>
  <c r="Z92" i="1"/>
  <c r="Z856" i="1"/>
  <c r="Z785" i="1"/>
  <c r="Z1213" i="1"/>
  <c r="Z1349" i="1"/>
  <c r="Z726" i="1"/>
  <c r="Z1880" i="1"/>
  <c r="Z85" i="1"/>
  <c r="Z1458" i="1"/>
  <c r="Z1932" i="1"/>
  <c r="Z976" i="1"/>
  <c r="Z1785" i="1"/>
  <c r="Z977" i="1"/>
  <c r="Z1786" i="1"/>
  <c r="Z978" i="1"/>
  <c r="Z57" i="1"/>
  <c r="Z28" i="1"/>
  <c r="Z1787" i="1"/>
  <c r="Z979" i="1"/>
  <c r="Z36" i="1"/>
  <c r="Z980" i="1"/>
  <c r="Z1788" i="1"/>
  <c r="Z981" i="1"/>
  <c r="Z1789" i="1"/>
  <c r="Z982" i="1"/>
  <c r="Z1790" i="1"/>
  <c r="Z1791" i="1"/>
  <c r="Z983" i="1"/>
  <c r="Z1792" i="1"/>
  <c r="Z984" i="1"/>
  <c r="Z1793" i="1"/>
  <c r="Z985" i="1"/>
  <c r="Z1794" i="1"/>
  <c r="Z986" i="1"/>
  <c r="Z1795" i="1"/>
  <c r="Z987" i="1"/>
  <c r="Z1796" i="1"/>
  <c r="Z988" i="1"/>
  <c r="Z1874" i="1"/>
  <c r="Z37" i="1"/>
  <c r="Z1182" i="1"/>
  <c r="Z1797" i="1"/>
  <c r="Z1040" i="1"/>
  <c r="Z1838" i="1"/>
  <c r="Z1839" i="1"/>
  <c r="Z1041" i="1"/>
  <c r="Z363" i="1"/>
  <c r="Z1246" i="1"/>
  <c r="Z1774" i="1"/>
  <c r="Z841" i="1"/>
  <c r="Z1640" i="1"/>
  <c r="Z1765" i="1"/>
  <c r="Z1253" i="1"/>
  <c r="Z1234" i="1"/>
  <c r="Z1806" i="1"/>
  <c r="Z1073" i="1"/>
  <c r="Z1669" i="1"/>
  <c r="Z881" i="1"/>
  <c r="Z262" i="1"/>
  <c r="Z1670" i="1"/>
  <c r="Z1074" i="1"/>
  <c r="Z965" i="1"/>
  <c r="Z103" i="1"/>
  <c r="Z731" i="1"/>
  <c r="Z1718" i="1"/>
  <c r="Z45" i="1"/>
  <c r="Z1782" i="1"/>
  <c r="Z1957" i="1"/>
  <c r="Z694" i="1"/>
  <c r="Z1605" i="1"/>
  <c r="Z821" i="1"/>
  <c r="Z1433" i="1"/>
  <c r="Z653" i="1"/>
  <c r="Z1865" i="1"/>
  <c r="Z1642" i="1"/>
  <c r="Z1579" i="1"/>
  <c r="Z1244" i="1"/>
  <c r="Z835" i="1"/>
  <c r="Z836" i="1"/>
  <c r="Z1018" i="1"/>
  <c r="Z1265" i="1"/>
  <c r="Z1783" i="1"/>
  <c r="Z1940" i="1"/>
  <c r="Z972" i="1"/>
  <c r="Z2035" i="1"/>
  <c r="Z1058" i="1"/>
  <c r="Z1591" i="1"/>
  <c r="Z2021" i="1"/>
  <c r="Z1984" i="1"/>
  <c r="Z2069" i="1"/>
  <c r="Z90" i="1"/>
  <c r="Z77" i="1"/>
  <c r="Z1566" i="1"/>
  <c r="Z58" i="1"/>
  <c r="Z5" i="1"/>
  <c r="Z1168" i="1"/>
  <c r="Z1779" i="1"/>
  <c r="Z1998" i="1"/>
  <c r="Z1237" i="1"/>
  <c r="Z1416" i="1"/>
  <c r="Z1185" i="1"/>
  <c r="Z1210" i="1"/>
  <c r="Z104" i="1"/>
  <c r="Z105" i="1"/>
  <c r="Z106" i="1"/>
  <c r="Z1882" i="1"/>
  <c r="Z1990" i="1"/>
  <c r="Z60" i="1"/>
  <c r="Z2068" i="1"/>
  <c r="Z1766" i="1"/>
  <c r="Z2019" i="1"/>
  <c r="Z2029" i="1"/>
  <c r="Z2096" i="1"/>
  <c r="Z300" i="1"/>
  <c r="Z312" i="1"/>
  <c r="Z320" i="1"/>
  <c r="Z151" i="1"/>
  <c r="Z679" i="1"/>
  <c r="Z366" i="1"/>
  <c r="Z627" i="1"/>
  <c r="Z709" i="1"/>
  <c r="Z324" i="1"/>
  <c r="Z176" i="1"/>
  <c r="Z1485" i="1"/>
  <c r="Z78" i="1"/>
  <c r="Z1715" i="1"/>
  <c r="Z1304" i="1"/>
  <c r="Z861" i="1"/>
  <c r="Z2009" i="1"/>
  <c r="Z1754" i="1"/>
  <c r="Z1994" i="1"/>
  <c r="Z1487" i="1"/>
  <c r="Z626" i="1"/>
  <c r="Z661" i="1"/>
  <c r="Z325" i="1"/>
  <c r="Z289" i="1"/>
  <c r="Z269" i="1"/>
  <c r="Z1486" i="1"/>
  <c r="Z1488" i="1"/>
  <c r="Z1275" i="1"/>
  <c r="Z1401" i="1"/>
  <c r="Z1204" i="1"/>
  <c r="Z79" i="1"/>
  <c r="Z1238" i="1"/>
  <c r="Z1383" i="1"/>
  <c r="Z1373" i="1"/>
  <c r="Z181" i="1"/>
  <c r="Z1405" i="1"/>
  <c r="Z1967" i="1"/>
  <c r="Z2000" i="1"/>
  <c r="Z1968" i="1"/>
  <c r="Z1999" i="1"/>
  <c r="Z2001" i="1"/>
  <c r="Z2026" i="1"/>
  <c r="Z2027" i="1"/>
  <c r="Z879" i="1"/>
  <c r="Z1929" i="1"/>
  <c r="Z1930" i="1"/>
  <c r="Z1545" i="1"/>
  <c r="Z1463" i="1"/>
  <c r="Z1618" i="1"/>
  <c r="Z1856" i="1"/>
  <c r="Z47" i="1"/>
  <c r="Z1536" i="1"/>
  <c r="Z48" i="1"/>
  <c r="Z1348" i="1"/>
  <c r="Z1409" i="1"/>
  <c r="Z1540" i="1"/>
  <c r="Z776" i="1"/>
  <c r="Z1886" i="1"/>
  <c r="Z1637" i="1"/>
  <c r="Z1131" i="1"/>
  <c r="Z1778" i="1"/>
  <c r="Z1617" i="1"/>
  <c r="Z1625" i="1"/>
  <c r="Z1988" i="1"/>
  <c r="Z1629" i="1"/>
  <c r="Z1065" i="1"/>
  <c r="Z1420" i="1"/>
  <c r="Z1541" i="1"/>
  <c r="Z1954" i="1"/>
  <c r="Z1777" i="1"/>
  <c r="Z1835" i="1"/>
  <c r="Z924" i="1"/>
  <c r="Z805" i="1"/>
  <c r="Z74" i="1"/>
  <c r="Z1454" i="1"/>
  <c r="Z1939" i="1"/>
  <c r="Z1935" i="1"/>
  <c r="Z1626" i="1"/>
  <c r="Z1468" i="1"/>
  <c r="Z1927" i="1"/>
  <c r="Z1132" i="1"/>
  <c r="Z358" i="1"/>
  <c r="Z1972" i="1"/>
  <c r="Z2018" i="1"/>
  <c r="Z814" i="1"/>
  <c r="Z1631" i="1"/>
  <c r="Z815" i="1"/>
  <c r="Z1214" i="1"/>
  <c r="Z1133" i="1"/>
  <c r="Z1861" i="1"/>
  <c r="Z660" i="1"/>
  <c r="Z973" i="1"/>
  <c r="Z1235" i="1"/>
  <c r="Z1632" i="1"/>
  <c r="Z1836" i="1"/>
  <c r="Z80" i="1"/>
  <c r="Z1150" i="1"/>
  <c r="Z390" i="1"/>
  <c r="Z95" i="1"/>
  <c r="Z1315" i="1"/>
  <c r="Z1459" i="1"/>
  <c r="Z1276" i="1"/>
  <c r="Z1989" i="1"/>
  <c r="Z1551" i="1"/>
  <c r="Z1456" i="1"/>
  <c r="Z1938" i="1"/>
  <c r="Z2061" i="1"/>
  <c r="Z2016" i="1"/>
  <c r="Z2072" i="1"/>
  <c r="Z2042" i="1"/>
  <c r="Z1636" i="1"/>
  <c r="Z1333" i="1"/>
  <c r="Z1904" i="1"/>
  <c r="Z1547" i="1"/>
  <c r="Z1837" i="1"/>
  <c r="Z1448" i="1"/>
  <c r="Z1496" i="1"/>
  <c r="Z1393" i="1"/>
  <c r="Z2064" i="1"/>
  <c r="Z2070" i="1"/>
  <c r="Z277" i="1"/>
  <c r="Z2048" i="1"/>
  <c r="Z1623" i="1"/>
  <c r="Z1956" i="1"/>
  <c r="Z1858" i="1"/>
  <c r="Z1464" i="1"/>
  <c r="Z1334" i="1"/>
  <c r="Z1875" i="1"/>
  <c r="Z1519" i="1"/>
  <c r="Z1169" i="1"/>
  <c r="Z1800" i="1"/>
  <c r="Z1149" i="1"/>
  <c r="Z1321" i="1"/>
  <c r="Z1958" i="1"/>
  <c r="Z1883" i="1"/>
  <c r="Z2038" i="1"/>
  <c r="Z1306" i="1"/>
  <c r="Z1453" i="1"/>
  <c r="Z278" i="1"/>
  <c r="Z288" i="1"/>
  <c r="Z620" i="1"/>
  <c r="Z530" i="1"/>
  <c r="Z750" i="1"/>
  <c r="Z808" i="1"/>
  <c r="Z581" i="1"/>
  <c r="Z562" i="1"/>
  <c r="Z737" i="1"/>
  <c r="Z770" i="1"/>
  <c r="Z878" i="1"/>
  <c r="Z797" i="1"/>
  <c r="Z905" i="1"/>
  <c r="Z280" i="1"/>
  <c r="Z281" i="1"/>
  <c r="Z61" i="1"/>
  <c r="Z86" i="1"/>
  <c r="Z630" i="1"/>
  <c r="Z587" i="1"/>
  <c r="Z621" i="1"/>
  <c r="Z764" i="1"/>
  <c r="Z1061" i="1"/>
  <c r="Z73" i="1"/>
  <c r="Z656" i="1"/>
  <c r="Z81" i="1"/>
  <c r="Z1161" i="1"/>
  <c r="Z1221" i="1"/>
  <c r="Z1414" i="1"/>
  <c r="Z1223" i="1"/>
  <c r="Z1021" i="1"/>
  <c r="Z1460" i="1"/>
  <c r="Z66" i="1"/>
  <c r="Z98" i="1"/>
  <c r="Z909" i="1"/>
  <c r="Z134" i="1"/>
  <c r="Z803" i="1"/>
  <c r="Z1987" i="1"/>
  <c r="Z1803" i="1"/>
  <c r="Z2093" i="1"/>
  <c r="Z1134" i="1"/>
  <c r="Z1191" i="1"/>
  <c r="Z1382" i="1"/>
  <c r="Z838" i="1"/>
  <c r="Z1404" i="1"/>
  <c r="Z1826" i="1"/>
  <c r="Z2101" i="1"/>
  <c r="Z2089" i="1"/>
  <c r="Z2103" i="1"/>
  <c r="Z2098" i="1"/>
  <c r="Z742" i="1"/>
  <c r="Z2104" i="1"/>
  <c r="Z2100" i="1"/>
  <c r="Z2105" i="1"/>
  <c r="Z1726" i="1"/>
  <c r="Z1645" i="1"/>
  <c r="Z2045" i="1"/>
  <c r="Z1986" i="1"/>
  <c r="Z250" i="1"/>
  <c r="Z1254" i="1"/>
  <c r="Z1255" i="1"/>
  <c r="Z1327" i="1"/>
  <c r="Z1307" i="1"/>
  <c r="Z1326" i="1"/>
  <c r="Z1341" i="1"/>
  <c r="Z1342" i="1"/>
  <c r="Z1343" i="1"/>
  <c r="Z1344" i="1"/>
  <c r="Z412" i="1"/>
  <c r="Z1345" i="1"/>
  <c r="Z1435" i="1"/>
  <c r="Z1470" i="1"/>
  <c r="Z1366" i="1"/>
  <c r="Z1475" i="1"/>
  <c r="Z51" i="1"/>
  <c r="Z1476" i="1"/>
  <c r="Z1236" i="1"/>
  <c r="Z310" i="1"/>
  <c r="Z1332" i="1"/>
  <c r="Z180" i="1"/>
  <c r="Z1314" i="1"/>
  <c r="Z1399" i="1"/>
  <c r="Z806" i="1"/>
  <c r="Z1428" i="1"/>
  <c r="Z597" i="1"/>
  <c r="Z1425" i="1"/>
  <c r="Z135" i="1"/>
  <c r="Z1472" i="1"/>
  <c r="Z130" i="1"/>
  <c r="Z1413" i="1"/>
  <c r="Z443" i="1"/>
  <c r="Z341" i="1"/>
  <c r="Z1270" i="1"/>
  <c r="Z141" i="1"/>
  <c r="Z230" i="1"/>
  <c r="Z1424" i="1"/>
  <c r="Z206" i="1"/>
  <c r="Z1426" i="1"/>
  <c r="Z1467" i="1"/>
  <c r="Z128" i="1"/>
  <c r="Z136" i="1"/>
  <c r="Z1417" i="1"/>
  <c r="Z1188" i="1"/>
  <c r="Z751" i="1"/>
  <c r="Z131" i="1"/>
  <c r="Z1418" i="1"/>
  <c r="Z132" i="1"/>
  <c r="Z1440" i="1"/>
  <c r="Z464" i="1"/>
  <c r="Z2011" i="1"/>
  <c r="Z2055" i="1"/>
  <c r="Z1245" i="1"/>
  <c r="Z2063" i="1"/>
  <c r="Z1176" i="1"/>
  <c r="Z2085" i="1"/>
  <c r="Z15" i="1"/>
  <c r="Z2099" i="1"/>
  <c r="Z16" i="1"/>
  <c r="Z17" i="1"/>
  <c r="Z4" i="1"/>
  <c r="Z2095" i="1"/>
  <c r="Z18" i="1"/>
  <c r="Z1713" i="1"/>
  <c r="Z1682" i="1"/>
  <c r="Z1575" i="1"/>
  <c r="Z1497" i="1"/>
  <c r="Z1225" i="1"/>
  <c r="Z1635" i="1"/>
  <c r="Z1683" i="1"/>
  <c r="Z1905" i="1"/>
  <c r="Z934" i="1"/>
  <c r="Z490" i="1"/>
  <c r="Z588" i="1"/>
  <c r="Z2028" i="1"/>
  <c r="Z901" i="1"/>
  <c r="Z600" i="1"/>
  <c r="Z1717" i="1"/>
  <c r="Z65" i="1"/>
  <c r="Z1004" i="1"/>
  <c r="Z1628" i="1"/>
  <c r="Z378" i="1"/>
  <c r="Z62" i="1"/>
  <c r="Z1283" i="1"/>
  <c r="Z469" i="1"/>
  <c r="Z1667" i="1"/>
  <c r="Z1437" i="1"/>
  <c r="Z67" i="1"/>
  <c r="Z1646" i="1"/>
  <c r="Z198" i="1"/>
  <c r="Z91" i="1"/>
  <c r="Z722" i="1"/>
  <c r="Z1381" i="1"/>
  <c r="Z1478" i="1"/>
  <c r="Z1165" i="1"/>
  <c r="Z1852" i="1"/>
  <c r="Z434" i="1"/>
  <c r="Z435" i="1"/>
  <c r="Z509" i="1"/>
  <c r="Z510" i="1"/>
  <c r="Z511" i="1"/>
  <c r="Z503" i="1"/>
  <c r="Z504" i="1"/>
  <c r="Z505" i="1"/>
  <c r="Z264" i="1"/>
  <c r="Z506" i="1"/>
  <c r="Z507" i="1"/>
  <c r="Z508" i="1"/>
  <c r="Z559" i="1"/>
  <c r="Z485" i="1"/>
  <c r="Z96" i="1"/>
  <c r="Z474" i="1"/>
  <c r="Z475" i="1"/>
  <c r="Z486" i="1"/>
  <c r="Z1910" i="1"/>
  <c r="Z1991" i="1"/>
  <c r="Z2017" i="1"/>
  <c r="Z1969" i="1"/>
  <c r="Z2030" i="1"/>
  <c r="Z1993" i="1"/>
  <c r="Z741" i="1"/>
  <c r="Z359" i="1"/>
  <c r="Z1666" i="1"/>
  <c r="Z589" i="1"/>
  <c r="Z1184" i="1"/>
  <c r="Z1823" i="1"/>
  <c r="Z792" i="1"/>
  <c r="Z1521" i="1"/>
  <c r="Z299" i="1"/>
  <c r="Z645" i="1"/>
  <c r="Z1523" i="1"/>
  <c r="Z765" i="1"/>
  <c r="Z1361" i="1"/>
  <c r="Z688" i="1"/>
  <c r="Z1362" i="1"/>
  <c r="Z896" i="1"/>
  <c r="Z829" i="1"/>
  <c r="Z930" i="1"/>
  <c r="Z1130" i="1"/>
  <c r="Z431" i="1"/>
  <c r="Z990" i="1"/>
  <c r="Z780" i="1"/>
  <c r="Z799" i="1"/>
  <c r="Z1357" i="1"/>
  <c r="Z1524" i="1"/>
  <c r="Z644" i="1"/>
  <c r="Z1014" i="1"/>
  <c r="Z1028" i="1"/>
  <c r="Z454" i="1"/>
  <c r="Z847" i="1"/>
  <c r="Z585" i="1"/>
  <c r="Z1228" i="1"/>
  <c r="Z565" i="1"/>
  <c r="Z1398" i="1"/>
  <c r="Z1293" i="1"/>
  <c r="Z1546" i="1"/>
  <c r="Z54" i="1"/>
  <c r="Z652" i="1"/>
  <c r="Z827" i="1"/>
  <c r="Z1495" i="1"/>
  <c r="Z1673" i="1"/>
  <c r="Z222" i="1"/>
  <c r="Z1222" i="1"/>
  <c r="Z447" i="1"/>
  <c r="Z1337" i="1"/>
  <c r="Z1224" i="1"/>
  <c r="Z448" i="1"/>
  <c r="Z1338" i="1"/>
  <c r="Z449" i="1"/>
  <c r="Z1339" i="1"/>
  <c r="Z458" i="1"/>
  <c r="Z1358" i="1"/>
  <c r="Z463" i="1"/>
  <c r="Z1360" i="1"/>
  <c r="Z1287" i="1"/>
  <c r="Z1532" i="1"/>
  <c r="Z689" i="1"/>
  <c r="Z800" i="1"/>
  <c r="Z801" i="1"/>
  <c r="Z1896" i="1"/>
  <c r="Z1167" i="1"/>
  <c r="Z1893" i="1"/>
  <c r="Z155" i="1"/>
  <c r="Z849" i="1"/>
  <c r="Z1533" i="1"/>
  <c r="Z2067" i="1"/>
  <c r="Z1271" i="1"/>
  <c r="Z1936" i="1"/>
  <c r="Z1911" i="1"/>
  <c r="Z1978" i="1"/>
  <c r="Z1443" i="1"/>
  <c r="Z1917" i="1"/>
  <c r="Z969" i="1"/>
  <c r="Z2052" i="1"/>
  <c r="Z1855" i="1"/>
  <c r="Z2051" i="1"/>
  <c r="Z1712" i="1"/>
  <c r="Z2058" i="1"/>
  <c r="Z1860" i="1"/>
  <c r="Z2060" i="1"/>
  <c r="Z1279" i="1"/>
  <c r="Z2077" i="1"/>
  <c r="Z1758" i="1"/>
  <c r="Z2054" i="1"/>
  <c r="Z1423" i="1"/>
  <c r="Z2086" i="1"/>
  <c r="Z327" i="1"/>
  <c r="Z44" i="1"/>
  <c r="Z1561" i="1"/>
  <c r="Z1633" i="1"/>
  <c r="Z1520" i="1"/>
  <c r="Z1802" i="1"/>
  <c r="Z813" i="1"/>
  <c r="Z1812" i="1"/>
  <c r="Z1346" i="1"/>
  <c r="Z1554" i="1"/>
  <c r="Z1203" i="1"/>
  <c r="Z1439" i="1"/>
  <c r="Z1380" i="1"/>
  <c r="Z42" i="1"/>
  <c r="Z1527" i="1"/>
  <c r="Z735" i="1"/>
  <c r="Z1347" i="1"/>
  <c r="Z479" i="1"/>
  <c r="Z670" i="1"/>
  <c r="Z655" i="1"/>
  <c r="Z1534" i="1"/>
  <c r="Z1145" i="1"/>
  <c r="Z584" i="1"/>
  <c r="Z1741" i="1"/>
  <c r="Z515" i="1"/>
  <c r="Z1003" i="1"/>
  <c r="Z1764" i="1"/>
  <c r="Z906" i="1"/>
  <c r="Z671" i="1"/>
  <c r="Z1481" i="1"/>
  <c r="Z52" i="1"/>
  <c r="Z531" i="1"/>
  <c r="Z1441" i="1"/>
  <c r="Z907" i="1"/>
  <c r="Z76" i="1"/>
  <c r="Z1064" i="1"/>
  <c r="Z31" i="1"/>
  <c r="Z21" i="1"/>
  <c r="Z2034" i="1"/>
  <c r="Z1916" i="1"/>
  <c r="Z2090" i="1"/>
  <c r="Z649" i="1"/>
  <c r="Z365" i="1"/>
  <c r="Z864" i="1"/>
  <c r="Z284" i="1"/>
  <c r="Z282" i="1"/>
  <c r="Z283" i="1"/>
  <c r="Z596" i="1"/>
  <c r="Z302" i="1"/>
  <c r="Z762" i="1"/>
  <c r="Z455" i="1"/>
  <c r="Z1483" i="1"/>
  <c r="Z1747" i="1"/>
  <c r="Z1864" i="1"/>
  <c r="Z1728" i="1"/>
  <c r="Z34" i="1"/>
  <c r="Z1776" i="1"/>
  <c r="Z1833" i="1"/>
  <c r="Z1588" i="1"/>
  <c r="Z1648" i="1"/>
  <c r="Z1649" i="1"/>
  <c r="Z1510" i="1"/>
  <c r="Z1650" i="1"/>
  <c r="Z1651" i="1"/>
  <c r="Z1652" i="1"/>
  <c r="Z29" i="1"/>
  <c r="Z30" i="1"/>
  <c r="Z1653" i="1"/>
  <c r="Z38" i="1"/>
  <c r="Z1654" i="1"/>
  <c r="Z1655" i="1"/>
  <c r="Z1656" i="1"/>
  <c r="Z1657" i="1"/>
  <c r="Z1658" i="1"/>
  <c r="Z1659" i="1"/>
  <c r="Z1660" i="1"/>
  <c r="Z332" i="1"/>
  <c r="Z1995" i="1"/>
  <c r="Z1229" i="1"/>
  <c r="Z1885" i="1"/>
  <c r="Z651" i="1"/>
  <c r="Z14" i="1"/>
  <c r="Z1912" i="1"/>
  <c r="Z1668" i="1"/>
  <c r="Z1565" i="1"/>
  <c r="Z1687" i="1"/>
  <c r="Z1241" i="1"/>
  <c r="Z1744" i="1"/>
  <c r="Z1365" i="1"/>
  <c r="Z1444" i="1"/>
  <c r="Z866" i="1"/>
  <c r="Z884" i="1"/>
  <c r="Z867" i="1"/>
  <c r="Z885" i="1"/>
  <c r="Z868" i="1"/>
  <c r="Z886" i="1"/>
  <c r="Z869" i="1"/>
  <c r="Z887" i="1"/>
  <c r="Z870" i="1"/>
  <c r="Z888" i="1"/>
  <c r="Z871" i="1"/>
  <c r="Z889" i="1"/>
  <c r="Z872" i="1"/>
  <c r="Z890" i="1"/>
  <c r="Z873" i="1"/>
  <c r="Z891" i="1"/>
  <c r="Z935" i="1"/>
  <c r="Z947" i="1"/>
  <c r="Z936" i="1"/>
  <c r="Z948" i="1"/>
  <c r="Z937" i="1"/>
  <c r="Z949" i="1"/>
  <c r="Z272" i="1"/>
  <c r="Z950" i="1"/>
  <c r="Z958" i="1"/>
  <c r="Z1173" i="1"/>
  <c r="Z1680" i="1"/>
  <c r="Z1703" i="1"/>
  <c r="Z1704" i="1"/>
  <c r="Z1609" i="1"/>
  <c r="Z1543" i="1"/>
  <c r="Z88" i="1"/>
  <c r="Z1705" i="1"/>
  <c r="Z87" i="1"/>
  <c r="Z1706" i="1"/>
  <c r="Z1707" i="1"/>
  <c r="Z1708" i="1"/>
  <c r="Z1724" i="1"/>
  <c r="Z875" i="1"/>
  <c r="Z1725" i="1"/>
  <c r="Z1810" i="1"/>
  <c r="Z152" i="1"/>
  <c r="Z1811" i="1"/>
  <c r="Z1813" i="1"/>
  <c r="Z1814" i="1"/>
  <c r="Z1815" i="1"/>
  <c r="Z1816" i="1"/>
  <c r="Z396" i="1"/>
  <c r="Z397" i="1"/>
  <c r="Z398" i="1"/>
  <c r="Z399" i="1"/>
  <c r="Z97" i="1"/>
  <c r="Z400" i="1"/>
  <c r="Z401" i="1"/>
  <c r="Z402" i="1"/>
  <c r="Z403" i="1"/>
  <c r="Z404" i="1"/>
  <c r="Z405" i="1"/>
  <c r="Z406" i="1"/>
  <c r="Z407" i="1"/>
  <c r="Z420" i="1"/>
  <c r="Z421" i="1"/>
  <c r="Z422" i="1"/>
  <c r="Z423" i="1"/>
  <c r="Z424" i="1"/>
  <c r="Z1563" i="1"/>
  <c r="Z1247" i="1"/>
  <c r="Z1400" i="1"/>
  <c r="Z1192" i="1"/>
  <c r="Z1258" i="1"/>
  <c r="Z617" i="1"/>
  <c r="Z728" i="1"/>
  <c r="Z1531" i="1"/>
  <c r="Z1390" i="1"/>
  <c r="Z1317" i="1"/>
  <c r="Z1710" i="1"/>
  <c r="Z634" i="1"/>
  <c r="Z179" i="1"/>
  <c r="Z415" i="1"/>
  <c r="Z342" i="1"/>
  <c r="Z695" i="1"/>
  <c r="Z110" i="1"/>
  <c r="Z1732" i="1"/>
  <c r="Z790" i="1"/>
  <c r="Z308" i="1"/>
  <c r="Z2004" i="1"/>
  <c r="Z940" i="1"/>
  <c r="Z2082" i="1"/>
  <c r="Z683" i="1"/>
  <c r="Z519" i="1"/>
  <c r="Z928" i="1"/>
  <c r="Z82" i="1"/>
  <c r="Z228" i="1"/>
  <c r="Z802" i="1"/>
  <c r="Z798" i="1"/>
  <c r="Z592" i="1"/>
  <c r="Z753" i="1"/>
  <c r="Z662" i="1"/>
  <c r="Z1982" i="1"/>
  <c r="Z1597" i="1"/>
  <c r="Z569" i="1"/>
  <c r="Z2080" i="1"/>
  <c r="Z10" i="1"/>
  <c r="Z8" i="1"/>
  <c r="Z7" i="1"/>
  <c r="Z2097" i="1"/>
  <c r="Z13" i="1"/>
  <c r="Z374" i="1"/>
  <c r="Z112" i="1"/>
  <c r="Z2091" i="1"/>
  <c r="Z1340" i="1"/>
  <c r="Z520" i="1"/>
  <c r="Z1282" i="1"/>
  <c r="Z1944" i="1"/>
  <c r="Z521" i="1"/>
  <c r="Z522" i="1"/>
  <c r="Z523" i="1"/>
  <c r="Z524" i="1"/>
  <c r="Z525" i="1"/>
  <c r="Z467" i="1"/>
  <c r="Z526" i="1"/>
  <c r="Z494" i="1"/>
  <c r="Z1945" i="1"/>
  <c r="Z527" i="1"/>
  <c r="Z528" i="1"/>
  <c r="Z481" i="1"/>
  <c r="Z567" i="1"/>
  <c r="Z1330" i="1"/>
  <c r="Z346" i="1"/>
  <c r="Z629" i="1"/>
  <c r="Z625" i="1"/>
  <c r="Z895" i="1"/>
  <c r="Z831" i="1"/>
  <c r="Z1363" i="1"/>
  <c r="Z1647" i="1"/>
  <c r="Z1023" i="1"/>
  <c r="Z908" i="1"/>
  <c r="Z999" i="1"/>
  <c r="Z1002" i="1"/>
  <c r="Z995" i="1"/>
  <c r="Z998" i="1"/>
  <c r="Z1000" i="1"/>
  <c r="Z1013" i="1"/>
  <c r="Z1034" i="1"/>
  <c r="Z1048" i="1"/>
  <c r="Z1049" i="1"/>
  <c r="Z1038" i="1"/>
  <c r="Z1051" i="1"/>
  <c r="Z582" i="1"/>
  <c r="Z544" i="1"/>
  <c r="Z545" i="1"/>
  <c r="Z546" i="1"/>
  <c r="Z547" i="1"/>
  <c r="Z557" i="1"/>
  <c r="Z548" i="1"/>
  <c r="Z549" i="1"/>
  <c r="Z550" i="1"/>
  <c r="Z551" i="1"/>
  <c r="Z1890" i="1"/>
  <c r="Z1985" i="1"/>
  <c r="Z2005" i="1"/>
  <c r="Z2062" i="1"/>
  <c r="Z2008" i="1"/>
  <c r="Z1976" i="1"/>
  <c r="Z2006" i="1"/>
  <c r="Z1606" i="1"/>
  <c r="Z2036" i="1"/>
  <c r="Z1996" i="1"/>
  <c r="Z2083" i="1"/>
  <c r="Z2039" i="1"/>
  <c r="Z2079" i="1"/>
  <c r="Z997" i="1"/>
  <c r="Z1671" i="1"/>
  <c r="Z1056" i="1"/>
  <c r="Z1171" i="1"/>
  <c r="Z1057" i="1"/>
  <c r="Z1374" i="1"/>
  <c r="Z1180" i="1"/>
  <c r="Z32" i="1"/>
  <c r="Z1054" i="1"/>
  <c r="Z1878" i="1"/>
  <c r="Z1141" i="1"/>
  <c r="Z1296" i="1"/>
  <c r="Z1375" i="1"/>
  <c r="Z1857" i="1"/>
  <c r="Z1198" i="1"/>
  <c r="Z1156" i="1"/>
  <c r="Z1686" i="1"/>
  <c r="Z248" i="1"/>
  <c r="Z59" i="1"/>
  <c r="Z964" i="1"/>
  <c r="Z771" i="1"/>
  <c r="Z1370" i="1"/>
  <c r="Z1745" i="1"/>
  <c r="Z1297" i="1"/>
  <c r="Z1186" i="1"/>
  <c r="Z355" i="1"/>
  <c r="Z1212" i="1"/>
  <c r="Z1447" i="1"/>
  <c r="Z1688" i="1"/>
  <c r="Z1396" i="1"/>
  <c r="Z732" i="1"/>
  <c r="Z1598" i="1"/>
  <c r="Z1055" i="1"/>
  <c r="Z687" i="1"/>
  <c r="Z994" i="1"/>
  <c r="Z699" i="1"/>
  <c r="Z6" i="1"/>
  <c r="Z2044" i="1"/>
  <c r="Z1006" i="1"/>
  <c r="Z710" i="1"/>
  <c r="Z1022" i="1"/>
  <c r="Z1199" i="1"/>
  <c r="Z1298" i="1"/>
  <c r="Z1469" i="1"/>
  <c r="Z1268" i="1"/>
  <c r="Z1385" i="1"/>
  <c r="Z609" i="1"/>
  <c r="Z796" i="1"/>
  <c r="Z846" i="1"/>
  <c r="Z1368" i="1"/>
  <c r="Z210" i="1"/>
  <c r="Z577" i="1"/>
  <c r="Z317" i="1"/>
  <c r="Z758" i="1"/>
  <c r="Z580" i="1"/>
  <c r="Z1445" i="1"/>
  <c r="Z411" i="1"/>
  <c r="Z353" i="1"/>
  <c r="Z367" i="1"/>
  <c r="Z657" i="1"/>
  <c r="Z413" i="1"/>
  <c r="Z343" i="1"/>
  <c r="Z1303" i="1"/>
  <c r="Z322" i="1"/>
  <c r="Z685" i="1"/>
  <c r="Z351" i="1"/>
  <c r="Z777" i="1"/>
  <c r="Z1849" i="1"/>
  <c r="Z55" i="1"/>
  <c r="Z1869" i="1"/>
  <c r="Z1824" i="1"/>
  <c r="Z1876" i="1"/>
  <c r="Z43" i="1"/>
  <c r="Z1892" i="1"/>
  <c r="Z147" i="1"/>
  <c r="Z1918" i="1"/>
  <c r="Z1919" i="1"/>
  <c r="Z1902" i="1"/>
  <c r="Z23" i="1"/>
  <c r="Z24" i="1"/>
  <c r="Z25" i="1"/>
  <c r="Z26" i="1"/>
  <c r="Z1920" i="1"/>
  <c r="Z22" i="1"/>
  <c r="Z1921" i="1"/>
  <c r="Z1922" i="1"/>
  <c r="Z1923" i="1"/>
  <c r="Z1924" i="1"/>
  <c r="Z49" i="1"/>
  <c r="Z1925" i="1"/>
  <c r="Z173" i="1"/>
  <c r="Z1926" i="1"/>
  <c r="Z1947" i="1"/>
  <c r="Z1582" i="1"/>
  <c r="Z1581" i="1"/>
  <c r="Z1827" i="1"/>
  <c r="Z1981" i="1"/>
  <c r="Z1583" i="1"/>
  <c r="Z1584" i="1"/>
  <c r="Z1163" i="1"/>
  <c r="Z1477" i="1"/>
  <c r="Z1736" i="1"/>
  <c r="Z1619" i="1"/>
  <c r="Z295" i="1"/>
  <c r="Z1974" i="1"/>
  <c r="Z1335" i="1"/>
  <c r="Z1737" i="1"/>
  <c r="Z1897" i="1"/>
  <c r="Z1585" i="1"/>
  <c r="Z1828" i="1"/>
  <c r="Z1900" i="1"/>
  <c r="Z1742" i="1"/>
  <c r="Z1965" i="1"/>
  <c r="Z1751" i="1"/>
  <c r="Z1746" i="1"/>
  <c r="Z1870" i="1"/>
  <c r="Z1894" i="1"/>
  <c r="Z1975" i="1"/>
  <c r="A1930" i="1"/>
  <c r="C1930" i="1"/>
  <c r="B1930" i="1" s="1"/>
  <c r="M1930" i="1"/>
  <c r="O1930" i="1"/>
  <c r="V1930" i="1"/>
  <c r="W1930" i="1" s="1"/>
  <c r="A1929" i="1"/>
  <c r="C1929" i="1"/>
  <c r="B1929" i="1" s="1"/>
  <c r="M1929" i="1"/>
  <c r="O1929" i="1"/>
  <c r="Y1929" i="1"/>
  <c r="V1929" i="1"/>
  <c r="W1929" i="1" s="1"/>
  <c r="H29" i="104"/>
  <c r="I29" i="104" s="1"/>
  <c r="A29" i="104"/>
  <c r="B29" i="104"/>
  <c r="C29" i="104"/>
  <c r="K2105" i="1"/>
  <c r="A2105" i="1"/>
  <c r="C2105" i="1"/>
  <c r="B2105" i="1" s="1"/>
  <c r="Y2105" i="1"/>
  <c r="V2105" i="1"/>
  <c r="W2105" i="1" s="1"/>
  <c r="A803" i="1"/>
  <c r="C803" i="1"/>
  <c r="B803" i="1" s="1"/>
  <c r="Y803" i="1"/>
  <c r="V803" i="1"/>
  <c r="W803" i="1" s="1"/>
  <c r="A597" i="1"/>
  <c r="C597" i="1"/>
  <c r="B597" i="1" s="1"/>
  <c r="Y597" i="1"/>
  <c r="V597" i="1"/>
  <c r="W597" i="1" s="1"/>
  <c r="A1016" i="1"/>
  <c r="C1016" i="1"/>
  <c r="B1016" i="1" s="1"/>
  <c r="M1016" i="1"/>
  <c r="O1016" i="1"/>
  <c r="T1016" i="1"/>
  <c r="Y1016" i="1"/>
  <c r="V1016" i="1"/>
  <c r="W1016" i="1" s="1"/>
  <c r="A572" i="1"/>
  <c r="C572" i="1"/>
  <c r="B572" i="1" s="1"/>
  <c r="T572" i="1"/>
  <c r="Y572" i="1"/>
  <c r="V572" i="1"/>
  <c r="W572" i="1" s="1"/>
  <c r="A1146" i="1"/>
  <c r="C1146" i="1"/>
  <c r="B1146" i="1" s="1"/>
  <c r="Y1146" i="1"/>
  <c r="V1146" i="1"/>
  <c r="W1146" i="1" s="1"/>
  <c r="A375" i="1"/>
  <c r="C375" i="1"/>
  <c r="B375" i="1" s="1"/>
  <c r="M375" i="1"/>
  <c r="O375" i="1"/>
  <c r="Y375" i="1"/>
  <c r="V375" i="1"/>
  <c r="W375" i="1" s="1"/>
  <c r="A965" i="1"/>
  <c r="C965" i="1"/>
  <c r="B965" i="1" s="1"/>
  <c r="M965" i="1"/>
  <c r="O965" i="1"/>
  <c r="V965" i="1"/>
  <c r="W965" i="1" s="1"/>
  <c r="A619" i="1"/>
  <c r="C619" i="1"/>
  <c r="B619" i="1" s="1"/>
  <c r="M619" i="1"/>
  <c r="O619" i="1"/>
  <c r="Y619" i="1"/>
  <c r="V619" i="1"/>
  <c r="W619" i="1" s="1"/>
  <c r="A290" i="1"/>
  <c r="C290" i="1"/>
  <c r="B290" i="1" s="1"/>
  <c r="M290" i="1"/>
  <c r="O290" i="1"/>
  <c r="Y290" i="1"/>
  <c r="V290" i="1"/>
  <c r="W290" i="1" s="1"/>
  <c r="A1041" i="1"/>
  <c r="C1041" i="1"/>
  <c r="B1041" i="1" s="1"/>
  <c r="M1041" i="1"/>
  <c r="O1041" i="1"/>
  <c r="Y1041" i="1"/>
  <c r="V1041" i="1"/>
  <c r="W1041" i="1" s="1"/>
  <c r="A486" i="1"/>
  <c r="C486" i="1"/>
  <c r="B486" i="1" s="1"/>
  <c r="Y486" i="1"/>
  <c r="V486" i="1"/>
  <c r="W486" i="1" s="1"/>
  <c r="A1839" i="1"/>
  <c r="C1839" i="1"/>
  <c r="B1839" i="1" s="1"/>
  <c r="M1839" i="1"/>
  <c r="O1839" i="1"/>
  <c r="Y1839" i="1"/>
  <c r="V1839" i="1"/>
  <c r="W1839" i="1" s="1"/>
  <c r="A1947" i="1"/>
  <c r="C1947" i="1"/>
  <c r="T1947" i="1" s="1"/>
  <c r="M1947" i="1"/>
  <c r="Y1947" i="1"/>
  <c r="V1947" i="1"/>
  <c r="W1947" i="1" s="1"/>
  <c r="A2086" i="1"/>
  <c r="A327" i="1"/>
  <c r="C2086" i="1"/>
  <c r="B2086" i="1" s="1"/>
  <c r="C327" i="1"/>
  <c r="B327" i="1" s="1"/>
  <c r="Y2086" i="1"/>
  <c r="Y327" i="1"/>
  <c r="V2086" i="1"/>
  <c r="W2086" i="1" s="1"/>
  <c r="V327" i="1"/>
  <c r="W327" i="1" s="1"/>
  <c r="A424" i="1"/>
  <c r="C424" i="1"/>
  <c r="B424" i="1" s="1"/>
  <c r="Y424" i="1"/>
  <c r="V424" i="1"/>
  <c r="W424" i="1" s="1"/>
  <c r="A2004" i="1"/>
  <c r="B2004" i="1"/>
  <c r="T2004" i="1"/>
  <c r="V2004" i="1"/>
  <c r="W2004" i="1" s="1"/>
  <c r="A629" i="1"/>
  <c r="C629" i="1"/>
  <c r="B629" i="1" s="1"/>
  <c r="Y629" i="1"/>
  <c r="V629" i="1"/>
  <c r="W629" i="1" s="1"/>
  <c r="A1249" i="1"/>
  <c r="C1249" i="1"/>
  <c r="B1249" i="1" s="1"/>
  <c r="S1249" i="1"/>
  <c r="T1249" i="1"/>
  <c r="Y1249" i="1"/>
  <c r="V1249" i="1"/>
  <c r="W1249" i="1" s="1"/>
  <c r="A1816" i="1"/>
  <c r="C1816" i="1"/>
  <c r="B1816" i="1" s="1"/>
  <c r="Y1816" i="1"/>
  <c r="V1816" i="1"/>
  <c r="W1816" i="1" s="1"/>
  <c r="A76" i="1"/>
  <c r="C76" i="1"/>
  <c r="B76" i="1" s="1"/>
  <c r="S76" i="1"/>
  <c r="T76" i="1"/>
  <c r="V76" i="1"/>
  <c r="W76" i="1" s="1"/>
  <c r="S1267" i="1"/>
  <c r="S2077" i="1"/>
  <c r="S973" i="1"/>
  <c r="S660" i="1"/>
  <c r="S1861" i="1"/>
  <c r="S1133" i="1"/>
  <c r="S1306" i="1"/>
  <c r="S1894" i="1"/>
  <c r="I21" i="104"/>
  <c r="F1009" i="6"/>
  <c r="F1010" i="6"/>
  <c r="F1011" i="6"/>
  <c r="I1009" i="6"/>
  <c r="I1010" i="6"/>
  <c r="I1011" i="6"/>
  <c r="J1009" i="6"/>
  <c r="J1010" i="6"/>
  <c r="J1011" i="6"/>
  <c r="F1012" i="6"/>
  <c r="F1013" i="6"/>
  <c r="F1014" i="6"/>
  <c r="I1012" i="6"/>
  <c r="I1013" i="6"/>
  <c r="I1014" i="6"/>
  <c r="J1012" i="6"/>
  <c r="J1013" i="6"/>
  <c r="J1014" i="6"/>
  <c r="Q51" i="15"/>
  <c r="Q52" i="15"/>
  <c r="Q53" i="15"/>
  <c r="D994" i="6"/>
  <c r="E994" i="6" s="1"/>
  <c r="F994" i="6"/>
  <c r="I994" i="6"/>
  <c r="F987" i="6"/>
  <c r="I987" i="6"/>
  <c r="J987" i="6"/>
  <c r="F988" i="6"/>
  <c r="F998" i="6"/>
  <c r="I988" i="6"/>
  <c r="I998" i="6"/>
  <c r="J988" i="6"/>
  <c r="J998" i="6"/>
  <c r="AI11" i="16" l="1"/>
  <c r="AI9" i="16" s="1"/>
  <c r="F1226" i="6"/>
  <c r="D1608" i="1"/>
  <c r="AI5" i="16"/>
  <c r="D2092" i="1"/>
  <c r="D2073" i="1"/>
  <c r="D2033" i="1"/>
  <c r="D2047" i="1"/>
  <c r="D267" i="1"/>
  <c r="D2081" i="1"/>
  <c r="F1186" i="6"/>
  <c r="E1039" i="6"/>
  <c r="D1962" i="1"/>
  <c r="D1189" i="1"/>
  <c r="D1867" i="1"/>
  <c r="AH10" i="16"/>
  <c r="F1152" i="6"/>
  <c r="AH11" i="16"/>
  <c r="V33" i="15"/>
  <c r="AG10" i="16"/>
  <c r="AG11" i="16"/>
  <c r="M2105" i="1"/>
  <c r="O2105" i="1"/>
  <c r="D1137" i="1"/>
  <c r="D1888" i="1"/>
  <c r="D2057" i="1"/>
  <c r="D1846" i="1"/>
  <c r="AE16" i="16"/>
  <c r="D1711" i="1"/>
  <c r="D743" i="1"/>
  <c r="D1866" i="1"/>
  <c r="F1086" i="6"/>
  <c r="T33" i="15"/>
  <c r="D473" i="1"/>
  <c r="D275" i="1"/>
  <c r="D1841" i="1"/>
  <c r="D137" i="1"/>
  <c r="D149" i="1"/>
  <c r="D1043" i="1"/>
  <c r="S33" i="15"/>
  <c r="D1388" i="1"/>
  <c r="D1059" i="1"/>
  <c r="P1840" i="1"/>
  <c r="Q1840" i="1" s="1"/>
  <c r="R1840" i="1" s="1"/>
  <c r="D1980" i="1"/>
  <c r="D1735" i="1"/>
  <c r="D794" i="1"/>
  <c r="D945" i="1"/>
  <c r="D70" i="1"/>
  <c r="D285" i="1"/>
  <c r="D220" i="1"/>
  <c r="D1377" i="1"/>
  <c r="D408" i="1"/>
  <c r="D273" i="1"/>
  <c r="D960" i="1"/>
  <c r="D185" i="1"/>
  <c r="D952" i="1"/>
  <c r="J1055" i="6"/>
  <c r="S11" i="15"/>
  <c r="F1055" i="6"/>
  <c r="I1055" i="6"/>
  <c r="J1059" i="6"/>
  <c r="F1059" i="6"/>
  <c r="I1059" i="6"/>
  <c r="S7" i="15"/>
  <c r="F1047" i="6"/>
  <c r="D773" i="1"/>
  <c r="D171" i="1"/>
  <c r="D1638" i="1"/>
  <c r="D472" i="1"/>
  <c r="D219" i="1"/>
  <c r="D191" i="1"/>
  <c r="P1948" i="1"/>
  <c r="Q1948" i="1" s="1"/>
  <c r="R1948" i="1" s="1"/>
  <c r="D1948" i="1" s="1"/>
  <c r="D140" i="1"/>
  <c r="D1840" i="1"/>
  <c r="D1042" i="1"/>
  <c r="D153" i="1"/>
  <c r="P425" i="1"/>
  <c r="Q425" i="1" s="1"/>
  <c r="R425" i="1" s="1"/>
  <c r="D425" i="1" s="1"/>
  <c r="D1166" i="1"/>
  <c r="D453" i="1"/>
  <c r="D804" i="1"/>
  <c r="T1590" i="1"/>
  <c r="P2013" i="1"/>
  <c r="Q2013" i="1" s="1"/>
  <c r="R2013" i="1" s="1"/>
  <c r="D2013" i="1" s="1"/>
  <c r="J1039" i="6"/>
  <c r="P94" i="1"/>
  <c r="Q94" i="1" s="1"/>
  <c r="R94" i="1" s="1"/>
  <c r="T1816" i="1"/>
  <c r="T1946" i="1"/>
  <c r="P1419" i="1"/>
  <c r="Q1419" i="1" s="1"/>
  <c r="R1419" i="1" s="1"/>
  <c r="D1419" i="1" s="1"/>
  <c r="T1696" i="1"/>
  <c r="I1039" i="6"/>
  <c r="R33" i="15"/>
  <c r="F1039" i="6"/>
  <c r="Q192" i="1"/>
  <c r="R192" i="1" s="1"/>
  <c r="D192" i="1" s="1"/>
  <c r="T2059" i="1"/>
  <c r="T113" i="1"/>
  <c r="T992" i="1"/>
  <c r="T1402" i="1"/>
  <c r="T215" i="1"/>
  <c r="T393" i="1"/>
  <c r="X113" i="1"/>
  <c r="P113" i="1" s="1"/>
  <c r="Q113" i="1" s="1"/>
  <c r="T2087" i="1"/>
  <c r="T1549" i="1"/>
  <c r="T1072" i="1"/>
  <c r="X215" i="1"/>
  <c r="P215" i="1" s="1"/>
  <c r="X331" i="1"/>
  <c r="P331" i="1" s="1"/>
  <c r="X1549" i="1"/>
  <c r="T331" i="1"/>
  <c r="X1946" i="1"/>
  <c r="X1593" i="1"/>
  <c r="P1593" i="1" s="1"/>
  <c r="B1593" i="1"/>
  <c r="X1696" i="1"/>
  <c r="P1696" i="1" s="1"/>
  <c r="X1072" i="1"/>
  <c r="X2087" i="1"/>
  <c r="P2087" i="1" s="1"/>
  <c r="Y1072" i="1"/>
  <c r="X2059" i="1"/>
  <c r="P2059" i="1" s="1"/>
  <c r="T1931" i="1"/>
  <c r="T1576" i="1"/>
  <c r="T1300" i="1"/>
  <c r="X1952" i="1"/>
  <c r="P1952" i="1" s="1"/>
  <c r="X552" i="1"/>
  <c r="P552" i="1" s="1"/>
  <c r="T552" i="1"/>
  <c r="X553" i="1"/>
  <c r="P553" i="1" s="1"/>
  <c r="T1457" i="1"/>
  <c r="T1586" i="1"/>
  <c r="T251" i="1"/>
  <c r="X944" i="1"/>
  <c r="P944" i="1" s="1"/>
  <c r="X1112" i="1"/>
  <c r="P1112" i="1" s="1"/>
  <c r="B791" i="1"/>
  <c r="X791" i="1"/>
  <c r="P791" i="1" s="1"/>
  <c r="X251" i="1"/>
  <c r="P251" i="1" s="1"/>
  <c r="T944" i="1"/>
  <c r="X992" i="1"/>
  <c r="Y992" i="1"/>
  <c r="X393" i="1"/>
  <c r="P393" i="1" s="1"/>
  <c r="X1881" i="1"/>
  <c r="P1881" i="1" s="1"/>
  <c r="X1402" i="1"/>
  <c r="P1402" i="1" s="1"/>
  <c r="X1729" i="1"/>
  <c r="P1729" i="1" s="1"/>
  <c r="X433" i="1"/>
  <c r="P433" i="1" s="1"/>
  <c r="X442" i="1"/>
  <c r="P442" i="1" s="1"/>
  <c r="T1877" i="1"/>
  <c r="X1457" i="1"/>
  <c r="P1457" i="1" s="1"/>
  <c r="T1729" i="1"/>
  <c r="X1590" i="1"/>
  <c r="P1590" i="1" s="1"/>
  <c r="X11" i="1"/>
  <c r="P11" i="1" s="1"/>
  <c r="T1702" i="1"/>
  <c r="X1931" i="1"/>
  <c r="P1931" i="1" s="1"/>
  <c r="T1250" i="1"/>
  <c r="X1300" i="1"/>
  <c r="P1300" i="1" s="1"/>
  <c r="X1576" i="1"/>
  <c r="Y1576" i="1"/>
  <c r="T323" i="1"/>
  <c r="X1877" i="1"/>
  <c r="T1859" i="1"/>
  <c r="X1859" i="1"/>
  <c r="P1859" i="1" s="1"/>
  <c r="X145" i="1"/>
  <c r="P145" i="1" s="1"/>
  <c r="X172" i="1"/>
  <c r="P172" i="1" s="1"/>
  <c r="T172" i="1"/>
  <c r="T336" i="1"/>
  <c r="T1442" i="1"/>
  <c r="X1442" i="1"/>
  <c r="Y1442" i="1"/>
  <c r="X1586" i="1"/>
  <c r="P1586" i="1" s="1"/>
  <c r="X323" i="1"/>
  <c r="P323" i="1" s="1"/>
  <c r="X336" i="1"/>
  <c r="P336" i="1" s="1"/>
  <c r="X1250" i="1"/>
  <c r="P1250" i="1" s="1"/>
  <c r="T899" i="1"/>
  <c r="T1336" i="1"/>
  <c r="T927" i="1"/>
  <c r="X1695" i="1"/>
  <c r="P1695" i="1" s="1"/>
  <c r="I1023" i="6"/>
  <c r="X1052" i="1"/>
  <c r="P1052" i="1" s="1"/>
  <c r="T177" i="1"/>
  <c r="X899" i="1"/>
  <c r="P899" i="1" s="1"/>
  <c r="X1376" i="1"/>
  <c r="P1376" i="1" s="1"/>
  <c r="T1376" i="1"/>
  <c r="X1111" i="1"/>
  <c r="P1111" i="1" s="1"/>
  <c r="X927" i="1"/>
  <c r="P927" i="1" s="1"/>
  <c r="Y927" i="1"/>
  <c r="X1336" i="1"/>
  <c r="P1336" i="1" s="1"/>
  <c r="X959" i="1"/>
  <c r="P959" i="1" s="1"/>
  <c r="X184" i="1"/>
  <c r="P184" i="1" s="1"/>
  <c r="X951" i="1"/>
  <c r="P951" i="1" s="1"/>
  <c r="T951" i="1"/>
  <c r="X200" i="1"/>
  <c r="P200" i="1" s="1"/>
  <c r="AC19" i="16"/>
  <c r="X256" i="1"/>
  <c r="P256" i="1" s="1"/>
  <c r="X598" i="1"/>
  <c r="P598" i="1" s="1"/>
  <c r="X654" i="1"/>
  <c r="P654" i="1" s="1"/>
  <c r="X915" i="1"/>
  <c r="P915" i="1" s="1"/>
  <c r="X270" i="1"/>
  <c r="P270" i="1" s="1"/>
  <c r="X1509" i="1"/>
  <c r="P1509" i="1" s="1"/>
  <c r="D270" i="1"/>
  <c r="D1509" i="1"/>
  <c r="D598" i="1"/>
  <c r="D256" i="1"/>
  <c r="D915" i="1"/>
  <c r="D654" i="1"/>
  <c r="X1702" i="1"/>
  <c r="P1702" i="1" s="1"/>
  <c r="X177" i="1"/>
  <c r="P177" i="1" s="1"/>
  <c r="T803" i="1"/>
  <c r="T1930" i="1"/>
  <c r="T1929" i="1"/>
  <c r="T1146" i="1"/>
  <c r="T2105" i="1"/>
  <c r="X1930" i="1"/>
  <c r="Y1930" i="1"/>
  <c r="X1929" i="1"/>
  <c r="P1929" i="1" s="1"/>
  <c r="X2105" i="1"/>
  <c r="P2105" i="1" s="1"/>
  <c r="Q2105" i="1" s="1"/>
  <c r="T597" i="1"/>
  <c r="X597" i="1"/>
  <c r="P597" i="1" s="1"/>
  <c r="T375" i="1"/>
  <c r="X803" i="1"/>
  <c r="P803" i="1" s="1"/>
  <c r="X1146" i="1"/>
  <c r="P1146" i="1" s="1"/>
  <c r="X572" i="1"/>
  <c r="P572" i="1" s="1"/>
  <c r="X290" i="1"/>
  <c r="P290" i="1" s="1"/>
  <c r="X1016" i="1"/>
  <c r="P1016" i="1" s="1"/>
  <c r="T965" i="1"/>
  <c r="X375" i="1"/>
  <c r="P375" i="1" s="1"/>
  <c r="X965" i="1"/>
  <c r="P965" i="1" s="1"/>
  <c r="Y965" i="1"/>
  <c r="X619" i="1"/>
  <c r="P619" i="1" s="1"/>
  <c r="T619" i="1"/>
  <c r="T1839" i="1"/>
  <c r="T290" i="1"/>
  <c r="T1041" i="1"/>
  <c r="X1041" i="1"/>
  <c r="P1041" i="1" s="1"/>
  <c r="X1839" i="1"/>
  <c r="P1839" i="1" s="1"/>
  <c r="T327" i="1"/>
  <c r="X486" i="1"/>
  <c r="P486" i="1" s="1"/>
  <c r="T486" i="1"/>
  <c r="X1947" i="1"/>
  <c r="P1947" i="1" s="1"/>
  <c r="T2086" i="1"/>
  <c r="B1947" i="1"/>
  <c r="X2086" i="1"/>
  <c r="P2086" i="1" s="1"/>
  <c r="X327" i="1"/>
  <c r="P327" i="1" s="1"/>
  <c r="X424" i="1"/>
  <c r="P424" i="1" s="1"/>
  <c r="T424" i="1"/>
  <c r="X2004" i="1"/>
  <c r="Y2004" i="1"/>
  <c r="T629" i="1"/>
  <c r="X629" i="1"/>
  <c r="P629" i="1" s="1"/>
  <c r="X1249" i="1"/>
  <c r="P1249" i="1" s="1"/>
  <c r="X1816" i="1"/>
  <c r="P1816" i="1" s="1"/>
  <c r="X76" i="1"/>
  <c r="P76" i="1" s="1"/>
  <c r="Q76" i="1" s="1"/>
  <c r="Y76" i="1"/>
  <c r="J994" i="6"/>
  <c r="AC20" i="16"/>
  <c r="AC22" i="16"/>
  <c r="AH9" i="16" l="1"/>
  <c r="AG9" i="16"/>
  <c r="AC12" i="16"/>
  <c r="Q629" i="1"/>
  <c r="R629" i="1" s="1"/>
  <c r="Q486" i="1"/>
  <c r="R486" i="1" s="1"/>
  <c r="D486" i="1" s="1"/>
  <c r="Q619" i="1"/>
  <c r="R619" i="1" s="1"/>
  <c r="D619" i="1" s="1"/>
  <c r="Q1146" i="1"/>
  <c r="R1146" i="1" s="1"/>
  <c r="Q424" i="1"/>
  <c r="R424" i="1" s="1"/>
  <c r="D424" i="1" s="1"/>
  <c r="Q1016" i="1"/>
  <c r="R1016" i="1" s="1"/>
  <c r="D1016" i="1" s="1"/>
  <c r="Q803" i="1"/>
  <c r="R803" i="1" s="1"/>
  <c r="Q184" i="1"/>
  <c r="R184" i="1" s="1"/>
  <c r="Q927" i="1"/>
  <c r="R927" i="1" s="1"/>
  <c r="Q899" i="1"/>
  <c r="R899" i="1" s="1"/>
  <c r="D899" i="1" s="1"/>
  <c r="Q1695" i="1"/>
  <c r="R1695" i="1" s="1"/>
  <c r="Q1250" i="1"/>
  <c r="R1250" i="1" s="1"/>
  <c r="Q1931" i="1"/>
  <c r="R1931" i="1" s="1"/>
  <c r="Q433" i="1"/>
  <c r="R433" i="1" s="1"/>
  <c r="D433" i="1" s="1"/>
  <c r="Q1881" i="1"/>
  <c r="R1881" i="1" s="1"/>
  <c r="D1881" i="1" s="1"/>
  <c r="Q1112" i="1"/>
  <c r="R1112" i="1" s="1"/>
  <c r="D1112" i="1" s="1"/>
  <c r="Q1952" i="1"/>
  <c r="R1952" i="1" s="1"/>
  <c r="D1952" i="1" s="1"/>
  <c r="Q2059" i="1"/>
  <c r="R2059" i="1" s="1"/>
  <c r="Q1696" i="1"/>
  <c r="R1696" i="1" s="1"/>
  <c r="D1696" i="1" s="1"/>
  <c r="Q1509" i="1"/>
  <c r="R1509" i="1" s="1"/>
  <c r="Q654" i="1"/>
  <c r="R654" i="1" s="1"/>
  <c r="Q200" i="1"/>
  <c r="R200" i="1" s="1"/>
  <c r="Q959" i="1"/>
  <c r="R959" i="1" s="1"/>
  <c r="Q1111" i="1"/>
  <c r="R1111" i="1" s="1"/>
  <c r="D1111" i="1" s="1"/>
  <c r="Q336" i="1"/>
  <c r="R336" i="1" s="1"/>
  <c r="Q172" i="1"/>
  <c r="R172" i="1" s="1"/>
  <c r="Q1877" i="1"/>
  <c r="R1877" i="1" s="1"/>
  <c r="Q1457" i="1"/>
  <c r="R1457" i="1" s="1"/>
  <c r="D1138" i="1" s="1"/>
  <c r="Q393" i="1"/>
  <c r="R393" i="1" s="1"/>
  <c r="Q251" i="1"/>
  <c r="R251" i="1" s="1"/>
  <c r="Q944" i="1"/>
  <c r="R944" i="1" s="1"/>
  <c r="Q553" i="1"/>
  <c r="R553" i="1" s="1"/>
  <c r="D553" i="1" s="1"/>
  <c r="Q1549" i="1"/>
  <c r="R1549" i="1" s="1"/>
  <c r="Q915" i="1"/>
  <c r="R915" i="1" s="1"/>
  <c r="Q1816" i="1"/>
  <c r="R1816" i="1" s="1"/>
  <c r="D138" i="1" s="1"/>
  <c r="Q327" i="1"/>
  <c r="R327" i="1" s="1"/>
  <c r="Q1947" i="1"/>
  <c r="R1947" i="1" s="1"/>
  <c r="D1947" i="1" s="1"/>
  <c r="Q1839" i="1"/>
  <c r="R1839" i="1" s="1"/>
  <c r="Q965" i="1"/>
  <c r="R965" i="1" s="1"/>
  <c r="D965" i="1" s="1"/>
  <c r="Q290" i="1"/>
  <c r="R290" i="1" s="1"/>
  <c r="Q1929" i="1"/>
  <c r="R1929" i="1" s="1"/>
  <c r="Q177" i="1"/>
  <c r="R177" i="1" s="1"/>
  <c r="Q1249" i="1"/>
  <c r="R1249" i="1" s="1"/>
  <c r="D1249" i="1" s="1"/>
  <c r="Q2086" i="1"/>
  <c r="R2086" i="1" s="1"/>
  <c r="Q1041" i="1"/>
  <c r="R1041" i="1" s="1"/>
  <c r="Q375" i="1"/>
  <c r="R375" i="1" s="1"/>
  <c r="Q572" i="1"/>
  <c r="R572" i="1" s="1"/>
  <c r="D572" i="1" s="1"/>
  <c r="Q597" i="1"/>
  <c r="R597" i="1" s="1"/>
  <c r="Q1702" i="1"/>
  <c r="R1702" i="1" s="1"/>
  <c r="Q270" i="1"/>
  <c r="R270" i="1" s="1"/>
  <c r="Q598" i="1"/>
  <c r="R598" i="1" s="1"/>
  <c r="Q1336" i="1"/>
  <c r="R1336" i="1" s="1"/>
  <c r="Q1052" i="1"/>
  <c r="R1052" i="1" s="1"/>
  <c r="D1052" i="1" s="1"/>
  <c r="Q323" i="1"/>
  <c r="R323" i="1" s="1"/>
  <c r="D772" i="1" s="1"/>
  <c r="Q145" i="1"/>
  <c r="R145" i="1" s="1"/>
  <c r="Q1300" i="1"/>
  <c r="R1300" i="1" s="1"/>
  <c r="Q11" i="1"/>
  <c r="R11" i="1" s="1"/>
  <c r="Q1729" i="1"/>
  <c r="R1729" i="1" s="1"/>
  <c r="D1729" i="1" s="1"/>
  <c r="Q791" i="1"/>
  <c r="R791" i="1" s="1"/>
  <c r="Q2087" i="1"/>
  <c r="R2087" i="1" s="1"/>
  <c r="Q1593" i="1"/>
  <c r="R1593" i="1" s="1"/>
  <c r="D1593" i="1" s="1"/>
  <c r="Q331" i="1"/>
  <c r="Q256" i="1"/>
  <c r="R256" i="1" s="1"/>
  <c r="Q951" i="1"/>
  <c r="R951" i="1" s="1"/>
  <c r="Q1376" i="1"/>
  <c r="Q1586" i="1"/>
  <c r="R1586" i="1" s="1"/>
  <c r="Q1859" i="1"/>
  <c r="R1859" i="1" s="1"/>
  <c r="D1281" i="1" s="1"/>
  <c r="Q1590" i="1"/>
  <c r="R1590" i="1" s="1"/>
  <c r="Q442" i="1"/>
  <c r="R442" i="1" s="1"/>
  <c r="D442" i="1" s="1"/>
  <c r="Q1402" i="1"/>
  <c r="R1402" i="1" s="1"/>
  <c r="D1402" i="1" s="1"/>
  <c r="Q552" i="1"/>
  <c r="R552" i="1" s="1"/>
  <c r="Q1946" i="1"/>
  <c r="R1946" i="1" s="1"/>
  <c r="D1542" i="1" s="1"/>
  <c r="Q215" i="1"/>
  <c r="R215" i="1" s="1"/>
  <c r="D215" i="1" s="1"/>
  <c r="P1072" i="1"/>
  <c r="P992" i="1"/>
  <c r="D791" i="1"/>
  <c r="D251" i="1"/>
  <c r="D944" i="1"/>
  <c r="R2105" i="1"/>
  <c r="P1576" i="1"/>
  <c r="D145" i="1"/>
  <c r="D172" i="1"/>
  <c r="P1442" i="1"/>
  <c r="D951" i="1"/>
  <c r="D959" i="1"/>
  <c r="D184" i="1"/>
  <c r="D200" i="1"/>
  <c r="D597" i="1"/>
  <c r="D177" i="1"/>
  <c r="P1930" i="1"/>
  <c r="D1839" i="1"/>
  <c r="D1041" i="1"/>
  <c r="P2004" i="1"/>
  <c r="A1815" i="1"/>
  <c r="C1815" i="1"/>
  <c r="B1815" i="1" s="1"/>
  <c r="T1815" i="1"/>
  <c r="Y1815" i="1"/>
  <c r="V1815" i="1"/>
  <c r="W1815" i="1" s="1"/>
  <c r="M173" i="1"/>
  <c r="A28" i="104"/>
  <c r="B28" i="104"/>
  <c r="C28" i="104"/>
  <c r="A335" i="1"/>
  <c r="C335" i="1"/>
  <c r="B335" i="1" s="1"/>
  <c r="M335" i="1"/>
  <c r="O335" i="1"/>
  <c r="AG15" i="16" s="1"/>
  <c r="Y335" i="1"/>
  <c r="V335" i="1"/>
  <c r="W335" i="1" s="1"/>
  <c r="A879" i="1"/>
  <c r="C879" i="1"/>
  <c r="B879" i="1" s="1"/>
  <c r="M879" i="1"/>
  <c r="O879" i="1"/>
  <c r="Y879" i="1"/>
  <c r="V879" i="1"/>
  <c r="W879" i="1" s="1"/>
  <c r="A722" i="1"/>
  <c r="C722" i="1"/>
  <c r="B722" i="1" s="1"/>
  <c r="Y722" i="1"/>
  <c r="V722" i="1"/>
  <c r="W722" i="1" s="1"/>
  <c r="A1713" i="1"/>
  <c r="C1713" i="1"/>
  <c r="B1713" i="1" s="1"/>
  <c r="V1713" i="1"/>
  <c r="W1713" i="1" s="1"/>
  <c r="A1495" i="1"/>
  <c r="C1495" i="1"/>
  <c r="B1495" i="1" s="1"/>
  <c r="Y1495" i="1"/>
  <c r="V1495" i="1"/>
  <c r="W1495" i="1" s="1"/>
  <c r="A907" i="1"/>
  <c r="C907" i="1"/>
  <c r="B907" i="1" s="1"/>
  <c r="Y907" i="1"/>
  <c r="V907" i="1"/>
  <c r="W907" i="1" s="1"/>
  <c r="A1565" i="1"/>
  <c r="C1565" i="1"/>
  <c r="B1565" i="1" s="1"/>
  <c r="Y1565" i="1"/>
  <c r="V1565" i="1"/>
  <c r="W1565" i="1" s="1"/>
  <c r="A353" i="1"/>
  <c r="C353" i="1"/>
  <c r="B353" i="1" s="1"/>
  <c r="M353" i="1"/>
  <c r="V353" i="1"/>
  <c r="W353" i="1" s="1"/>
  <c r="A1368" i="1"/>
  <c r="C1368" i="1"/>
  <c r="B1368" i="1" s="1"/>
  <c r="Y1368" i="1"/>
  <c r="V1368" i="1"/>
  <c r="W1368" i="1" s="1"/>
  <c r="A846" i="1"/>
  <c r="C846" i="1"/>
  <c r="B846" i="1" s="1"/>
  <c r="Y846" i="1"/>
  <c r="V846" i="1"/>
  <c r="W846" i="1" s="1"/>
  <c r="A346" i="1"/>
  <c r="T346" i="1"/>
  <c r="V346" i="1"/>
  <c r="W346" i="1" s="1"/>
  <c r="A1330" i="1"/>
  <c r="B1330" i="1"/>
  <c r="T1330" i="1"/>
  <c r="Y1330" i="1"/>
  <c r="V1330" i="1"/>
  <c r="W1330" i="1" s="1"/>
  <c r="A1450" i="1"/>
  <c r="C1450" i="1"/>
  <c r="B1450" i="1" s="1"/>
  <c r="M1450" i="1"/>
  <c r="O1450" i="1"/>
  <c r="Y1450" i="1"/>
  <c r="V1450" i="1"/>
  <c r="W1450" i="1" s="1"/>
  <c r="A1110" i="1"/>
  <c r="C1110" i="1"/>
  <c r="B1110" i="1" s="1"/>
  <c r="M1110" i="1"/>
  <c r="O1110" i="1"/>
  <c r="T1110" i="1"/>
  <c r="Y1110" i="1"/>
  <c r="V1110" i="1"/>
  <c r="W1110" i="1" s="1"/>
  <c r="A411" i="1"/>
  <c r="C411" i="1"/>
  <c r="B411" i="1" s="1"/>
  <c r="M411" i="1"/>
  <c r="T411" i="1"/>
  <c r="Y411" i="1"/>
  <c r="V411" i="1"/>
  <c r="W411" i="1" s="1"/>
  <c r="A1632" i="1"/>
  <c r="C1632" i="1"/>
  <c r="B1632" i="1" s="1"/>
  <c r="M1632" i="1"/>
  <c r="O1632" i="1"/>
  <c r="V1632" i="1"/>
  <c r="W1632" i="1" s="1"/>
  <c r="A1235" i="1"/>
  <c r="C1235" i="1"/>
  <c r="B1235" i="1" s="1"/>
  <c r="M1235" i="1"/>
  <c r="O1235" i="1"/>
  <c r="V1235" i="1"/>
  <c r="W1235" i="1" s="1"/>
  <c r="A1227" i="1"/>
  <c r="C1227" i="1"/>
  <c r="B1227" i="1" s="1"/>
  <c r="M1227" i="1"/>
  <c r="O1227" i="1"/>
  <c r="Y1227" i="1"/>
  <c r="V1227" i="1"/>
  <c r="W1227" i="1" s="1"/>
  <c r="A2077" i="1"/>
  <c r="C2077" i="1"/>
  <c r="B2077" i="1" s="1"/>
  <c r="V2077" i="1"/>
  <c r="W2077" i="1" s="1"/>
  <c r="F1008" i="6"/>
  <c r="I1008" i="6"/>
  <c r="J1008" i="6"/>
  <c r="A1152" i="1"/>
  <c r="C1152" i="1"/>
  <c r="B1152" i="1" s="1"/>
  <c r="M1152" i="1"/>
  <c r="O1152" i="1"/>
  <c r="Y1152" i="1"/>
  <c r="V1152" i="1"/>
  <c r="W1152" i="1" s="1"/>
  <c r="A1262" i="1"/>
  <c r="C1262" i="1"/>
  <c r="B1262" i="1" s="1"/>
  <c r="M1262" i="1"/>
  <c r="O1262" i="1"/>
  <c r="V1262" i="1"/>
  <c r="W1262" i="1" s="1"/>
  <c r="A845" i="1"/>
  <c r="C845" i="1"/>
  <c r="B845" i="1" s="1"/>
  <c r="M845" i="1"/>
  <c r="O845" i="1"/>
  <c r="V845" i="1"/>
  <c r="W845" i="1" s="1"/>
  <c r="F856" i="6"/>
  <c r="F858" i="6"/>
  <c r="F860" i="6"/>
  <c r="F862" i="6"/>
  <c r="F864" i="6"/>
  <c r="F866" i="6"/>
  <c r="F868" i="6"/>
  <c r="F872" i="6"/>
  <c r="I856" i="6"/>
  <c r="I858" i="6"/>
  <c r="I860" i="6"/>
  <c r="I862" i="6"/>
  <c r="I864" i="6"/>
  <c r="I866" i="6"/>
  <c r="I868" i="6"/>
  <c r="I872" i="6"/>
  <c r="J856" i="6"/>
  <c r="J858" i="6"/>
  <c r="J860" i="6"/>
  <c r="J862" i="6"/>
  <c r="J864" i="6"/>
  <c r="J866" i="6"/>
  <c r="J868" i="6"/>
  <c r="J872" i="6"/>
  <c r="D331" i="1" l="1"/>
  <c r="R331" i="1"/>
  <c r="D1376" i="1"/>
  <c r="R1376" i="1"/>
  <c r="D1260" i="1"/>
  <c r="D2076" i="1"/>
  <c r="D143" i="1"/>
  <c r="D1392" i="1"/>
  <c r="D1738" i="1"/>
  <c r="D1142" i="1"/>
  <c r="D1250" i="1"/>
  <c r="D1663" i="1"/>
  <c r="D1273" i="1"/>
  <c r="D1146" i="1"/>
  <c r="D1816" i="1"/>
  <c r="D94" i="1"/>
  <c r="D1457" i="1"/>
  <c r="D1590" i="1"/>
  <c r="D1877" i="1"/>
  <c r="D1549" i="1"/>
  <c r="D1946" i="1"/>
  <c r="Q1576" i="1"/>
  <c r="R1576" i="1" s="1"/>
  <c r="D880" i="1" s="1"/>
  <c r="Q992" i="1"/>
  <c r="R992" i="1" s="1"/>
  <c r="Q1930" i="1"/>
  <c r="R1930" i="1" s="1"/>
  <c r="D35" i="1" s="1"/>
  <c r="Q1072" i="1"/>
  <c r="R1072" i="1" s="1"/>
  <c r="D769" i="1" s="1"/>
  <c r="Q1442" i="1"/>
  <c r="R1442" i="1" s="1"/>
  <c r="D853" i="1" s="1"/>
  <c r="Q2004" i="1"/>
  <c r="R2004" i="1" s="1"/>
  <c r="D2004" i="1" s="1"/>
  <c r="D1695" i="1"/>
  <c r="X1815" i="1"/>
  <c r="P1815" i="1" s="1"/>
  <c r="T335" i="1"/>
  <c r="T879" i="1"/>
  <c r="X335" i="1"/>
  <c r="P335" i="1" s="1"/>
  <c r="X879" i="1"/>
  <c r="P879" i="1" s="1"/>
  <c r="T722" i="1"/>
  <c r="X722" i="1"/>
  <c r="P722" i="1" s="1"/>
  <c r="T353" i="1"/>
  <c r="T907" i="1"/>
  <c r="T1713" i="1"/>
  <c r="T1368" i="1"/>
  <c r="T1565" i="1"/>
  <c r="T1495" i="1"/>
  <c r="X1713" i="1"/>
  <c r="X1495" i="1"/>
  <c r="P1495" i="1" s="1"/>
  <c r="Y1713" i="1"/>
  <c r="X1565" i="1"/>
  <c r="P1565" i="1" s="1"/>
  <c r="X907" i="1"/>
  <c r="P907" i="1" s="1"/>
  <c r="X353" i="1"/>
  <c r="P353" i="1" s="1"/>
  <c r="Y353" i="1"/>
  <c r="X1368" i="1"/>
  <c r="P1368" i="1" s="1"/>
  <c r="T1450" i="1"/>
  <c r="T846" i="1"/>
  <c r="X846" i="1"/>
  <c r="P846" i="1" s="1"/>
  <c r="X346" i="1"/>
  <c r="Y346" i="1"/>
  <c r="X1330" i="1"/>
  <c r="P1330" i="1" s="1"/>
  <c r="B346" i="1"/>
  <c r="X1450" i="1"/>
  <c r="P1450" i="1" s="1"/>
  <c r="T1632" i="1"/>
  <c r="X1110" i="1"/>
  <c r="P1110" i="1" s="1"/>
  <c r="X411" i="1"/>
  <c r="P411" i="1" s="1"/>
  <c r="T1152" i="1"/>
  <c r="X1632" i="1"/>
  <c r="Y1632" i="1"/>
  <c r="T1235" i="1"/>
  <c r="X1235" i="1"/>
  <c r="Y1235" i="1"/>
  <c r="T2077" i="1"/>
  <c r="T1227" i="1"/>
  <c r="X1227" i="1"/>
  <c r="P1227" i="1" s="1"/>
  <c r="X2077" i="1"/>
  <c r="Y2077" i="1"/>
  <c r="X1152" i="1"/>
  <c r="P1152" i="1" s="1"/>
  <c r="X1262" i="1"/>
  <c r="Y1262" i="1"/>
  <c r="T845" i="1"/>
  <c r="T1262" i="1"/>
  <c r="X845" i="1"/>
  <c r="Y845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5" i="6"/>
  <c r="F276" i="6"/>
  <c r="F277" i="6"/>
  <c r="F278" i="6"/>
  <c r="F279" i="6"/>
  <c r="F273" i="6"/>
  <c r="F274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300" i="6"/>
  <c r="F301" i="6"/>
  <c r="F302" i="6"/>
  <c r="F303" i="6"/>
  <c r="F304" i="6"/>
  <c r="F305" i="6"/>
  <c r="F306" i="6"/>
  <c r="F307" i="6"/>
  <c r="F308" i="6"/>
  <c r="F298" i="6"/>
  <c r="F299" i="6"/>
  <c r="F309" i="6"/>
  <c r="F310" i="6"/>
  <c r="F311" i="6"/>
  <c r="F312" i="6"/>
  <c r="F313" i="6"/>
  <c r="F314" i="6"/>
  <c r="F315" i="6"/>
  <c r="F316" i="6"/>
  <c r="F317" i="6"/>
  <c r="F318" i="6"/>
  <c r="F322" i="6"/>
  <c r="F323" i="6"/>
  <c r="F324" i="6"/>
  <c r="F325" i="6"/>
  <c r="F326" i="6"/>
  <c r="F320" i="6"/>
  <c r="F321" i="6"/>
  <c r="F319" i="6"/>
  <c r="F328" i="6"/>
  <c r="F327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6" i="6"/>
  <c r="F357" i="6"/>
  <c r="F358" i="6"/>
  <c r="F359" i="6"/>
  <c r="F360" i="6"/>
  <c r="F361" i="6"/>
  <c r="F362" i="6"/>
  <c r="F363" i="6"/>
  <c r="F354" i="6"/>
  <c r="F355" i="6"/>
  <c r="F352" i="6"/>
  <c r="F353" i="6"/>
  <c r="F364" i="6"/>
  <c r="F365" i="6"/>
  <c r="F366" i="6"/>
  <c r="F367" i="6"/>
  <c r="F752" i="6"/>
  <c r="F368" i="6"/>
  <c r="F369" i="6"/>
  <c r="F370" i="6"/>
  <c r="F371" i="6"/>
  <c r="F372" i="6"/>
  <c r="F373" i="6"/>
  <c r="F374" i="6"/>
  <c r="F375" i="6"/>
  <c r="F376" i="6"/>
  <c r="F381" i="6"/>
  <c r="F382" i="6"/>
  <c r="F383" i="6"/>
  <c r="F384" i="6"/>
  <c r="F379" i="6"/>
  <c r="F380" i="6"/>
  <c r="F377" i="6"/>
  <c r="F378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5" i="6"/>
  <c r="F406" i="6"/>
  <c r="F407" i="6"/>
  <c r="F403" i="6"/>
  <c r="F404" i="6"/>
  <c r="F401" i="6"/>
  <c r="F402" i="6"/>
  <c r="F408" i="6"/>
  <c r="F409" i="6"/>
  <c r="F410" i="6"/>
  <c r="F411" i="6"/>
  <c r="F412" i="6"/>
  <c r="F417" i="6"/>
  <c r="F418" i="6"/>
  <c r="F419" i="6"/>
  <c r="F420" i="6"/>
  <c r="F421" i="6"/>
  <c r="F422" i="6"/>
  <c r="F415" i="6"/>
  <c r="F416" i="6"/>
  <c r="F413" i="6"/>
  <c r="F414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41" i="6"/>
  <c r="F442" i="6"/>
  <c r="F443" i="6"/>
  <c r="F444" i="6"/>
  <c r="F445" i="6"/>
  <c r="F440" i="6"/>
  <c r="F438" i="6"/>
  <c r="F439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63" i="6"/>
  <c r="F464" i="6"/>
  <c r="F465" i="6"/>
  <c r="F466" i="6"/>
  <c r="F467" i="6"/>
  <c r="F468" i="6"/>
  <c r="F461" i="6"/>
  <c r="F462" i="6"/>
  <c r="F459" i="6"/>
  <c r="F460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6" i="6"/>
  <c r="F497" i="6"/>
  <c r="F498" i="6"/>
  <c r="F499" i="6"/>
  <c r="F494" i="6"/>
  <c r="F495" i="6"/>
  <c r="F492" i="6"/>
  <c r="F493" i="6"/>
  <c r="F500" i="6"/>
  <c r="F501" i="6"/>
  <c r="F502" i="6"/>
  <c r="F503" i="6"/>
  <c r="F504" i="6"/>
  <c r="F509" i="6"/>
  <c r="F510" i="6"/>
  <c r="F511" i="6"/>
  <c r="F512" i="6"/>
  <c r="F513" i="6"/>
  <c r="F514" i="6"/>
  <c r="F507" i="6"/>
  <c r="F508" i="6"/>
  <c r="F505" i="6"/>
  <c r="F506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9" i="6"/>
  <c r="F530" i="6"/>
  <c r="F535" i="6"/>
  <c r="F536" i="6"/>
  <c r="F537" i="6"/>
  <c r="F538" i="6"/>
  <c r="F533" i="6"/>
  <c r="F534" i="6"/>
  <c r="F531" i="6"/>
  <c r="F532" i="6"/>
  <c r="F539" i="6"/>
  <c r="F540" i="6"/>
  <c r="F541" i="6"/>
  <c r="F542" i="6"/>
  <c r="F547" i="6"/>
  <c r="F548" i="6"/>
  <c r="F549" i="6"/>
  <c r="F550" i="6"/>
  <c r="F551" i="6"/>
  <c r="F552" i="6"/>
  <c r="F545" i="6"/>
  <c r="F546" i="6"/>
  <c r="F543" i="6"/>
  <c r="F544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72" i="6"/>
  <c r="F573" i="6"/>
  <c r="F574" i="6"/>
  <c r="F575" i="6"/>
  <c r="F576" i="6"/>
  <c r="F570" i="6"/>
  <c r="F571" i="6"/>
  <c r="F568" i="6"/>
  <c r="F569" i="6"/>
  <c r="F577" i="6"/>
  <c r="F578" i="6"/>
  <c r="F580" i="6"/>
  <c r="F581" i="6"/>
  <c r="F582" i="6"/>
  <c r="F579" i="6"/>
  <c r="F583" i="6"/>
  <c r="F584" i="6"/>
  <c r="F585" i="6"/>
  <c r="F586" i="6"/>
  <c r="F587" i="6"/>
  <c r="F588" i="6"/>
  <c r="F589" i="6"/>
  <c r="F590" i="6"/>
  <c r="F593" i="6"/>
  <c r="F598" i="6"/>
  <c r="F599" i="6"/>
  <c r="F600" i="6"/>
  <c r="F596" i="6"/>
  <c r="F597" i="6"/>
  <c r="F594" i="6"/>
  <c r="F595" i="6"/>
  <c r="F601" i="6"/>
  <c r="F602" i="6"/>
  <c r="F603" i="6"/>
  <c r="F604" i="6"/>
  <c r="F605" i="6"/>
  <c r="F606" i="6"/>
  <c r="F607" i="6"/>
  <c r="F613" i="6"/>
  <c r="F614" i="6"/>
  <c r="F615" i="6"/>
  <c r="F616" i="6"/>
  <c r="F617" i="6"/>
  <c r="F618" i="6"/>
  <c r="F619" i="6"/>
  <c r="F620" i="6"/>
  <c r="F608" i="6"/>
  <c r="F611" i="6"/>
  <c r="F612" i="6"/>
  <c r="F609" i="6"/>
  <c r="F61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5" i="6"/>
  <c r="F636" i="6"/>
  <c r="F637" i="6"/>
  <c r="F638" i="6"/>
  <c r="F639" i="6"/>
  <c r="F640" i="6"/>
  <c r="F641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3" i="6"/>
  <c r="F664" i="6"/>
  <c r="F665" i="6"/>
  <c r="F666" i="6"/>
  <c r="F667" i="6"/>
  <c r="F668" i="6"/>
  <c r="F670" i="6"/>
  <c r="F671" i="6"/>
  <c r="F672" i="6"/>
  <c r="F673" i="6"/>
  <c r="F674" i="6"/>
  <c r="F680" i="6"/>
  <c r="F675" i="6"/>
  <c r="F678" i="6"/>
  <c r="F679" i="6"/>
  <c r="F676" i="6"/>
  <c r="F677" i="6"/>
  <c r="F681" i="6"/>
  <c r="F682" i="6"/>
  <c r="F683" i="6"/>
  <c r="F684" i="6"/>
  <c r="F690" i="6"/>
  <c r="F685" i="6"/>
  <c r="F688" i="6"/>
  <c r="F689" i="6"/>
  <c r="F686" i="6"/>
  <c r="F687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6" i="6"/>
  <c r="F707" i="6"/>
  <c r="F713" i="6"/>
  <c r="F714" i="6"/>
  <c r="F708" i="6"/>
  <c r="F711" i="6"/>
  <c r="F712" i="6"/>
  <c r="F709" i="6"/>
  <c r="F710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3" i="6"/>
  <c r="F734" i="6"/>
  <c r="F740" i="6"/>
  <c r="F741" i="6"/>
  <c r="F735" i="6"/>
  <c r="F738" i="6"/>
  <c r="F739" i="6"/>
  <c r="F736" i="6"/>
  <c r="F737" i="6"/>
  <c r="F742" i="6"/>
  <c r="F743" i="6"/>
  <c r="F744" i="6"/>
  <c r="F745" i="6"/>
  <c r="F746" i="6"/>
  <c r="F747" i="6"/>
  <c r="F748" i="6"/>
  <c r="F749" i="6"/>
  <c r="F750" i="6"/>
  <c r="F751" i="6"/>
  <c r="F753" i="6"/>
  <c r="F754" i="6"/>
  <c r="F755" i="6"/>
  <c r="F756" i="6"/>
  <c r="F757" i="6"/>
  <c r="F758" i="6"/>
  <c r="F759" i="6"/>
  <c r="F761" i="6"/>
  <c r="F762" i="6"/>
  <c r="F763" i="6"/>
  <c r="F764" i="6"/>
  <c r="F765" i="6"/>
  <c r="F766" i="6"/>
  <c r="F767" i="6"/>
  <c r="F768" i="6"/>
  <c r="F769" i="6"/>
  <c r="F770" i="6"/>
  <c r="F776" i="6"/>
  <c r="F771" i="6"/>
  <c r="F774" i="6"/>
  <c r="F775" i="6"/>
  <c r="F772" i="6"/>
  <c r="F773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7" i="6"/>
  <c r="F798" i="6"/>
  <c r="F799" i="6"/>
  <c r="F800" i="6"/>
  <c r="F801" i="6"/>
  <c r="F807" i="6"/>
  <c r="F802" i="6"/>
  <c r="F805" i="6"/>
  <c r="F806" i="6"/>
  <c r="F803" i="6"/>
  <c r="F804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4" i="6"/>
  <c r="F841" i="6"/>
  <c r="F842" i="6"/>
  <c r="F835" i="6"/>
  <c r="F839" i="6"/>
  <c r="F840" i="6"/>
  <c r="F836" i="6"/>
  <c r="F838" i="6"/>
  <c r="F837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70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8" i="6"/>
  <c r="F889" i="6"/>
  <c r="F890" i="6"/>
  <c r="F897" i="6"/>
  <c r="F898" i="6"/>
  <c r="F891" i="6"/>
  <c r="F895" i="6"/>
  <c r="F896" i="6"/>
  <c r="F892" i="6"/>
  <c r="F894" i="6"/>
  <c r="F893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2" i="6"/>
  <c r="F923" i="6"/>
  <c r="F924" i="6"/>
  <c r="F925" i="6"/>
  <c r="F926" i="6"/>
  <c r="F927" i="6"/>
  <c r="F934" i="6"/>
  <c r="F935" i="6"/>
  <c r="F928" i="6"/>
  <c r="F932" i="6"/>
  <c r="F933" i="6"/>
  <c r="F929" i="6"/>
  <c r="F931" i="6"/>
  <c r="F930" i="6"/>
  <c r="F936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37" i="6"/>
  <c r="F938" i="6"/>
  <c r="F975" i="6"/>
  <c r="F951" i="6"/>
  <c r="F986" i="6"/>
  <c r="F976" i="6"/>
  <c r="F971" i="6"/>
  <c r="F973" i="6"/>
  <c r="F980" i="6"/>
  <c r="F985" i="6"/>
  <c r="F965" i="6"/>
  <c r="F981" i="6"/>
  <c r="F957" i="6"/>
  <c r="F964" i="6"/>
  <c r="F966" i="6"/>
  <c r="F963" i="6"/>
  <c r="F982" i="6"/>
  <c r="F983" i="6"/>
  <c r="F970" i="6"/>
  <c r="F979" i="6"/>
  <c r="F952" i="6"/>
  <c r="F961" i="6"/>
  <c r="F960" i="6"/>
  <c r="F967" i="6"/>
  <c r="F984" i="6"/>
  <c r="F953" i="6"/>
  <c r="F968" i="6"/>
  <c r="F969" i="6"/>
  <c r="F978" i="6"/>
  <c r="F974" i="6"/>
  <c r="F989" i="6"/>
  <c r="F990" i="6"/>
  <c r="F991" i="6"/>
  <c r="F992" i="6"/>
  <c r="F993" i="6"/>
  <c r="F996" i="6"/>
  <c r="F997" i="6"/>
  <c r="F954" i="6"/>
  <c r="F955" i="6"/>
  <c r="F956" i="6"/>
  <c r="F959" i="6"/>
  <c r="F962" i="6"/>
  <c r="F972" i="6"/>
  <c r="F977" i="6"/>
  <c r="F999" i="6"/>
  <c r="F1000" i="6"/>
  <c r="F1001" i="6"/>
  <c r="F1002" i="6"/>
  <c r="F1003" i="6"/>
  <c r="F1004" i="6"/>
  <c r="F1005" i="6"/>
  <c r="F1006" i="6"/>
  <c r="F1007" i="6"/>
  <c r="F2" i="6"/>
  <c r="D301" i="1" l="1"/>
  <c r="D1798" i="1"/>
  <c r="D1567" i="1"/>
  <c r="D1294" i="1"/>
  <c r="D1964" i="1"/>
  <c r="D1208" i="1"/>
  <c r="D1702" i="1"/>
  <c r="D992" i="1"/>
  <c r="D290" i="1"/>
  <c r="D393" i="1"/>
  <c r="Q907" i="1"/>
  <c r="R907" i="1" s="1"/>
  <c r="Q1227" i="1"/>
  <c r="R1227" i="1" s="1"/>
  <c r="Q1450" i="1"/>
  <c r="R1450" i="1" s="1"/>
  <c r="D1450" i="1" s="1"/>
  <c r="Q1368" i="1"/>
  <c r="R1368" i="1" s="1"/>
  <c r="Q1565" i="1"/>
  <c r="R1565" i="1" s="1"/>
  <c r="Q879" i="1"/>
  <c r="R879" i="1" s="1"/>
  <c r="Q1152" i="1"/>
  <c r="R1152" i="1" s="1"/>
  <c r="Q411" i="1"/>
  <c r="R411" i="1" s="1"/>
  <c r="Q846" i="1"/>
  <c r="R846" i="1" s="1"/>
  <c r="Q335" i="1"/>
  <c r="R335" i="1" s="1"/>
  <c r="Q1110" i="1"/>
  <c r="R1110" i="1" s="1"/>
  <c r="D1110" i="1" s="1"/>
  <c r="Q1330" i="1"/>
  <c r="R1330" i="1" s="1"/>
  <c r="Q353" i="1"/>
  <c r="R353" i="1" s="1"/>
  <c r="Q1495" i="1"/>
  <c r="R1495" i="1" s="1"/>
  <c r="Q722" i="1"/>
  <c r="R722" i="1" s="1"/>
  <c r="Q1815" i="1"/>
  <c r="R1815" i="1" s="1"/>
  <c r="D1815" i="1" s="1"/>
  <c r="D1495" i="1"/>
  <c r="D1072" i="1"/>
  <c r="AD19" i="16"/>
  <c r="P1713" i="1"/>
  <c r="P346" i="1"/>
  <c r="P1632" i="1"/>
  <c r="P1235" i="1"/>
  <c r="P2077" i="1"/>
  <c r="P1262" i="1"/>
  <c r="P845" i="1"/>
  <c r="I999" i="6"/>
  <c r="I1000" i="6"/>
  <c r="I1001" i="6"/>
  <c r="I1002" i="6"/>
  <c r="I1003" i="6"/>
  <c r="I1004" i="6"/>
  <c r="I1005" i="6"/>
  <c r="I1006" i="6"/>
  <c r="I1007" i="6"/>
  <c r="J999" i="6"/>
  <c r="J1000" i="6"/>
  <c r="J1001" i="6"/>
  <c r="J1002" i="6"/>
  <c r="J1003" i="6"/>
  <c r="J1004" i="6"/>
  <c r="J1005" i="6"/>
  <c r="J1006" i="6"/>
  <c r="J1007" i="6"/>
  <c r="Q50" i="15"/>
  <c r="Q49" i="15"/>
  <c r="Q48" i="15"/>
  <c r="Q47" i="15"/>
  <c r="Q46" i="15"/>
  <c r="Q45" i="15"/>
  <c r="Q44" i="15"/>
  <c r="Q43" i="15"/>
  <c r="Q41" i="15"/>
  <c r="Q40" i="15"/>
  <c r="Q39" i="15"/>
  <c r="Q38" i="15"/>
  <c r="Q37" i="15"/>
  <c r="Q36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1" i="15"/>
  <c r="Q10" i="15"/>
  <c r="Q9" i="15"/>
  <c r="Q8" i="15"/>
  <c r="Q7" i="15"/>
  <c r="Q6" i="15"/>
  <c r="Q5" i="15"/>
  <c r="Q4" i="15"/>
  <c r="Q3" i="15"/>
  <c r="Q2" i="15"/>
  <c r="P16" i="15"/>
  <c r="AF10" i="16" l="1"/>
  <c r="AG5" i="16"/>
  <c r="D335" i="1"/>
  <c r="D1929" i="1"/>
  <c r="D1931" i="1"/>
  <c r="D11" i="1"/>
  <c r="D1930" i="1"/>
  <c r="D1859" i="1"/>
  <c r="D722" i="1"/>
  <c r="D353" i="1"/>
  <c r="D323" i="1"/>
  <c r="D411" i="1"/>
  <c r="Q1262" i="1"/>
  <c r="R1262" i="1" s="1"/>
  <c r="Q346" i="1"/>
  <c r="R346" i="1" s="1"/>
  <c r="D1970" i="1" s="1"/>
  <c r="Q2077" i="1"/>
  <c r="R2077" i="1" s="1"/>
  <c r="Q1235" i="1"/>
  <c r="R1235" i="1" s="1"/>
  <c r="Q1713" i="1"/>
  <c r="R1713" i="1" s="1"/>
  <c r="Q845" i="1"/>
  <c r="R845" i="1" s="1"/>
  <c r="Q1632" i="1"/>
  <c r="R1632" i="1" s="1"/>
  <c r="D1576" i="1"/>
  <c r="D1300" i="1"/>
  <c r="I1026" i="6"/>
  <c r="J1026" i="6"/>
  <c r="D1262" i="1"/>
  <c r="D845" i="1"/>
  <c r="D1152" i="1"/>
  <c r="A622" i="1"/>
  <c r="A621" i="1"/>
  <c r="C622" i="1"/>
  <c r="B622" i="1" s="1"/>
  <c r="C621" i="1"/>
  <c r="B621" i="1" s="1"/>
  <c r="Y622" i="1"/>
  <c r="Y621" i="1"/>
  <c r="V622" i="1"/>
  <c r="W622" i="1" s="1"/>
  <c r="V621" i="1"/>
  <c r="W621" i="1" s="1"/>
  <c r="A1252" i="1"/>
  <c r="C1252" i="1"/>
  <c r="B1252" i="1" s="1"/>
  <c r="M1252" i="1"/>
  <c r="O1252" i="1"/>
  <c r="Y1252" i="1"/>
  <c r="V1252" i="1"/>
  <c r="W1252" i="1" s="1"/>
  <c r="AC13" i="16"/>
  <c r="D665" i="1" l="1"/>
  <c r="D346" i="1"/>
  <c r="D629" i="1"/>
  <c r="D1330" i="1"/>
  <c r="T622" i="1"/>
  <c r="T621" i="1"/>
  <c r="X621" i="1"/>
  <c r="P621" i="1" s="1"/>
  <c r="X622" i="1"/>
  <c r="P622" i="1" s="1"/>
  <c r="T1252" i="1"/>
  <c r="X1252" i="1"/>
  <c r="P1252" i="1" s="1"/>
  <c r="I984" i="6"/>
  <c r="I985" i="6"/>
  <c r="I986" i="6"/>
  <c r="J984" i="6"/>
  <c r="J985" i="6"/>
  <c r="J986" i="6"/>
  <c r="I981" i="6"/>
  <c r="I982" i="6"/>
  <c r="I983" i="6"/>
  <c r="J981" i="6"/>
  <c r="J982" i="6"/>
  <c r="J983" i="6"/>
  <c r="P53" i="15"/>
  <c r="P52" i="15"/>
  <c r="P51" i="15"/>
  <c r="P50" i="15"/>
  <c r="P49" i="15"/>
  <c r="P40" i="15"/>
  <c r="P48" i="15"/>
  <c r="P47" i="15"/>
  <c r="P46" i="15"/>
  <c r="P45" i="15"/>
  <c r="P44" i="15"/>
  <c r="P43" i="15"/>
  <c r="P41" i="15"/>
  <c r="P39" i="15"/>
  <c r="P38" i="15"/>
  <c r="P37" i="15"/>
  <c r="P36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17" i="15"/>
  <c r="P15" i="15"/>
  <c r="P14" i="15"/>
  <c r="P13" i="15"/>
  <c r="P11" i="15"/>
  <c r="P10" i="15"/>
  <c r="P9" i="15"/>
  <c r="P8" i="15"/>
  <c r="P7" i="15"/>
  <c r="P6" i="15"/>
  <c r="P5" i="15"/>
  <c r="P4" i="15"/>
  <c r="P3" i="15"/>
  <c r="P2" i="15"/>
  <c r="B2" i="15"/>
  <c r="O53" i="15"/>
  <c r="O52" i="15"/>
  <c r="O51" i="15"/>
  <c r="O50" i="15"/>
  <c r="O49" i="15"/>
  <c r="O40" i="15"/>
  <c r="O48" i="15"/>
  <c r="O47" i="15"/>
  <c r="O46" i="15"/>
  <c r="O45" i="15"/>
  <c r="O44" i="15"/>
  <c r="O43" i="15"/>
  <c r="O41" i="15"/>
  <c r="O39" i="15"/>
  <c r="O38" i="15"/>
  <c r="O37" i="15"/>
  <c r="O36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1" i="15"/>
  <c r="O10" i="15"/>
  <c r="O9" i="15"/>
  <c r="O8" i="15"/>
  <c r="O7" i="15"/>
  <c r="O6" i="15"/>
  <c r="O5" i="15"/>
  <c r="O4" i="15"/>
  <c r="O3" i="15"/>
  <c r="O2" i="15"/>
  <c r="N53" i="15"/>
  <c r="N52" i="15"/>
  <c r="N51" i="15"/>
  <c r="N50" i="15"/>
  <c r="N49" i="15"/>
  <c r="N40" i="15"/>
  <c r="N48" i="15"/>
  <c r="N47" i="15"/>
  <c r="N46" i="15"/>
  <c r="N45" i="15"/>
  <c r="N44" i="15"/>
  <c r="N43" i="15"/>
  <c r="N41" i="15"/>
  <c r="N39" i="15"/>
  <c r="N38" i="15"/>
  <c r="N37" i="15"/>
  <c r="N36" i="15"/>
  <c r="N32" i="15"/>
  <c r="N31" i="15"/>
  <c r="N30" i="15"/>
  <c r="N29" i="15"/>
  <c r="N28" i="15"/>
  <c r="N27" i="15"/>
  <c r="N26" i="15"/>
  <c r="N25" i="15"/>
  <c r="N24" i="15"/>
  <c r="N23" i="15"/>
  <c r="N22" i="15"/>
  <c r="N21" i="15"/>
  <c r="N20" i="15"/>
  <c r="N19" i="15"/>
  <c r="N18" i="15"/>
  <c r="N17" i="15"/>
  <c r="N16" i="15"/>
  <c r="N15" i="15"/>
  <c r="N14" i="15"/>
  <c r="N13" i="15"/>
  <c r="N11" i="15"/>
  <c r="N10" i="15"/>
  <c r="N9" i="15"/>
  <c r="N8" i="15"/>
  <c r="N7" i="15"/>
  <c r="N6" i="15"/>
  <c r="N5" i="15"/>
  <c r="N4" i="15"/>
  <c r="N3" i="15"/>
  <c r="N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6" i="15"/>
  <c r="B37" i="15"/>
  <c r="B38" i="15"/>
  <c r="B39" i="15"/>
  <c r="B41" i="15"/>
  <c r="B43" i="15"/>
  <c r="B44" i="15"/>
  <c r="B45" i="15"/>
  <c r="B46" i="15"/>
  <c r="B47" i="15"/>
  <c r="B48" i="15"/>
  <c r="B40" i="15"/>
  <c r="B49" i="15"/>
  <c r="B50" i="15"/>
  <c r="B51" i="15"/>
  <c r="B52" i="15"/>
  <c r="B53" i="15"/>
  <c r="O1213" i="1"/>
  <c r="M1213" i="1"/>
  <c r="M1975" i="1"/>
  <c r="M1926" i="1"/>
  <c r="O1838" i="1"/>
  <c r="M1838" i="1"/>
  <c r="O1040" i="1"/>
  <c r="M1040" i="1"/>
  <c r="O1035" i="1"/>
  <c r="M1035" i="1"/>
  <c r="O2096" i="1"/>
  <c r="AF15" i="16" s="1"/>
  <c r="M2096" i="1"/>
  <c r="O973" i="1"/>
  <c r="M973" i="1"/>
  <c r="O247" i="1"/>
  <c r="M247" i="1"/>
  <c r="O1371" i="1"/>
  <c r="M1371" i="1"/>
  <c r="O660" i="1"/>
  <c r="M660" i="1"/>
  <c r="O1769" i="1"/>
  <c r="M1769" i="1"/>
  <c r="O225" i="1"/>
  <c r="M225" i="1"/>
  <c r="O1861" i="1"/>
  <c r="M1861" i="1"/>
  <c r="O1760" i="1"/>
  <c r="M1760" i="1"/>
  <c r="O1591" i="1"/>
  <c r="M1591" i="1"/>
  <c r="O1133" i="1"/>
  <c r="M1133" i="1"/>
  <c r="M1894" i="1"/>
  <c r="O1983" i="1"/>
  <c r="M1983" i="1"/>
  <c r="O1680" i="1"/>
  <c r="M1680" i="1"/>
  <c r="O851" i="1"/>
  <c r="M851" i="1"/>
  <c r="O1465" i="1"/>
  <c r="M1465" i="1"/>
  <c r="O2027" i="1"/>
  <c r="M2027" i="1"/>
  <c r="O2026" i="1"/>
  <c r="M2026" i="1"/>
  <c r="O293" i="1"/>
  <c r="M293" i="1"/>
  <c r="O2001" i="1"/>
  <c r="M2001" i="1"/>
  <c r="M338" i="1"/>
  <c r="I1056" i="6" l="1"/>
  <c r="J1056" i="6"/>
  <c r="Q622" i="1"/>
  <c r="R622" i="1" s="1"/>
  <c r="D622" i="1" s="1"/>
  <c r="Q621" i="1"/>
  <c r="R621" i="1" s="1"/>
  <c r="D621" i="1" s="1"/>
  <c r="Q1252" i="1"/>
  <c r="R1252" i="1" s="1"/>
  <c r="V1068" i="1"/>
  <c r="W1068" i="1" s="1"/>
  <c r="Y257" i="1"/>
  <c r="V257" i="1"/>
  <c r="W257" i="1" s="1"/>
  <c r="V1802" i="1"/>
  <c r="W1802" i="1" s="1"/>
  <c r="V1809" i="1"/>
  <c r="W1809" i="1" s="1"/>
  <c r="Y997" i="1"/>
  <c r="V997" i="1"/>
  <c r="W997" i="1" s="1"/>
  <c r="Y1215" i="1"/>
  <c r="V1215" i="1"/>
  <c r="W1215" i="1" s="1"/>
  <c r="V2021" i="1"/>
  <c r="W2021" i="1" s="1"/>
  <c r="V44" i="1"/>
  <c r="W44" i="1" s="1"/>
  <c r="Y1561" i="1"/>
  <c r="V1561" i="1"/>
  <c r="W1561" i="1" s="1"/>
  <c r="V1563" i="1"/>
  <c r="W1563" i="1" s="1"/>
  <c r="Y1008" i="1"/>
  <c r="V1008" i="1"/>
  <c r="W1008" i="1" s="1"/>
  <c r="V2102" i="1"/>
  <c r="W2102" i="1" s="1"/>
  <c r="Y1246" i="1"/>
  <c r="V1246" i="1"/>
  <c r="W1246" i="1" s="1"/>
  <c r="Y1575" i="1"/>
  <c r="V1575" i="1"/>
  <c r="W1575" i="1" s="1"/>
  <c r="Y1492" i="1"/>
  <c r="V1492" i="1"/>
  <c r="W1492" i="1" s="1"/>
  <c r="Y926" i="1"/>
  <c r="V926" i="1"/>
  <c r="W926" i="1" s="1"/>
  <c r="Y1971" i="1"/>
  <c r="V1971" i="1"/>
  <c r="W1971" i="1" s="1"/>
  <c r="V1671" i="1"/>
  <c r="W1671" i="1" s="1"/>
  <c r="Y2088" i="1"/>
  <c r="V2088" i="1"/>
  <c r="W2088" i="1" s="1"/>
  <c r="V1545" i="1"/>
  <c r="W1545" i="1" s="1"/>
  <c r="Y2028" i="1"/>
  <c r="V2028" i="1"/>
  <c r="W2028" i="1" s="1"/>
  <c r="Y1056" i="1"/>
  <c r="V1056" i="1"/>
  <c r="W1056" i="1" s="1"/>
  <c r="Y1666" i="1"/>
  <c r="V1666" i="1"/>
  <c r="W1666" i="1" s="1"/>
  <c r="Y683" i="1"/>
  <c r="V683" i="1"/>
  <c r="W683" i="1" s="1"/>
  <c r="Y254" i="1"/>
  <c r="V254" i="1"/>
  <c r="W254" i="1" s="1"/>
  <c r="V778" i="1"/>
  <c r="W778" i="1" s="1"/>
  <c r="Y2101" i="1"/>
  <c r="V2101" i="1"/>
  <c r="W2101" i="1" s="1"/>
  <c r="V1605" i="1"/>
  <c r="W1605" i="1" s="1"/>
  <c r="Y813" i="1"/>
  <c r="V813" i="1"/>
  <c r="W813" i="1" s="1"/>
  <c r="V901" i="1"/>
  <c r="W901" i="1" s="1"/>
  <c r="Y1582" i="1"/>
  <c r="V1582" i="1"/>
  <c r="W1582" i="1" s="1"/>
  <c r="Y1854" i="1"/>
  <c r="V1854" i="1"/>
  <c r="W1854" i="1" s="1"/>
  <c r="Y1812" i="1"/>
  <c r="V1812" i="1"/>
  <c r="W1812" i="1" s="1"/>
  <c r="Y1485" i="1"/>
  <c r="V1485" i="1"/>
  <c r="W1485" i="1" s="1"/>
  <c r="Y1171" i="1"/>
  <c r="V1171" i="1"/>
  <c r="W1171" i="1" s="1"/>
  <c r="V1581" i="1"/>
  <c r="W1581" i="1" s="1"/>
  <c r="Y1164" i="1"/>
  <c r="V1164" i="1"/>
  <c r="W1164" i="1" s="1"/>
  <c r="V1757" i="1"/>
  <c r="W1757" i="1" s="1"/>
  <c r="Y911" i="1"/>
  <c r="V911" i="1"/>
  <c r="W911" i="1" s="1"/>
  <c r="Y1807" i="1"/>
  <c r="V1807" i="1"/>
  <c r="W1807" i="1" s="1"/>
  <c r="V1346" i="1"/>
  <c r="W1346" i="1" s="1"/>
  <c r="V2069" i="1"/>
  <c r="W2069" i="1" s="1"/>
  <c r="Y1984" i="1"/>
  <c r="V1984" i="1"/>
  <c r="W1984" i="1" s="1"/>
  <c r="V1525" i="1"/>
  <c r="W1525" i="1" s="1"/>
  <c r="Y605" i="1"/>
  <c r="V605" i="1"/>
  <c r="W605" i="1" s="1"/>
  <c r="V1613" i="1"/>
  <c r="W1613" i="1" s="1"/>
  <c r="Y2055" i="1"/>
  <c r="V2055" i="1"/>
  <c r="W2055" i="1" s="1"/>
  <c r="Y2011" i="1"/>
  <c r="V2011" i="1"/>
  <c r="W2011" i="1" s="1"/>
  <c r="Y226" i="1"/>
  <c r="V226" i="1"/>
  <c r="W226" i="1" s="1"/>
  <c r="Y1513" i="1"/>
  <c r="V1513" i="1"/>
  <c r="W1513" i="1" s="1"/>
  <c r="V1982" i="1"/>
  <c r="W1982" i="1" s="1"/>
  <c r="V1374" i="1"/>
  <c r="W1374" i="1" s="1"/>
  <c r="Y1057" i="1"/>
  <c r="V1057" i="1"/>
  <c r="W1057" i="1" s="1"/>
  <c r="V1539" i="1"/>
  <c r="W1539" i="1" s="1"/>
  <c r="Y1245" i="1"/>
  <c r="V1245" i="1"/>
  <c r="W1245" i="1" s="1"/>
  <c r="Y465" i="1"/>
  <c r="V465" i="1"/>
  <c r="W465" i="1" s="1"/>
  <c r="Y1309" i="1"/>
  <c r="V1309" i="1"/>
  <c r="W1309" i="1" s="1"/>
  <c r="Y1463" i="1"/>
  <c r="V1463" i="1"/>
  <c r="W1463" i="1" s="1"/>
  <c r="Y90" i="1"/>
  <c r="V90" i="1"/>
  <c r="W90" i="1" s="1"/>
  <c r="V263" i="1"/>
  <c r="W263" i="1" s="1"/>
  <c r="Y77" i="1"/>
  <c r="V77" i="1"/>
  <c r="W77" i="1" s="1"/>
  <c r="V2" i="1"/>
  <c r="W2" i="1" s="1"/>
  <c r="Y41" i="1"/>
  <c r="V41" i="1"/>
  <c r="W41" i="1" s="1"/>
  <c r="Y768" i="1"/>
  <c r="V768" i="1"/>
  <c r="W768" i="1" s="1"/>
  <c r="Y179" i="1"/>
  <c r="V179" i="1"/>
  <c r="W179" i="1" s="1"/>
  <c r="Y625" i="1"/>
  <c r="V625" i="1"/>
  <c r="W625" i="1" s="1"/>
  <c r="Y626" i="1"/>
  <c r="V626" i="1"/>
  <c r="W626" i="1" s="1"/>
  <c r="V898" i="1"/>
  <c r="W898" i="1" s="1"/>
  <c r="Y589" i="1"/>
  <c r="V589" i="1"/>
  <c r="W589" i="1" s="1"/>
  <c r="V1893" i="1"/>
  <c r="W1893" i="1" s="1"/>
  <c r="Y12" i="1"/>
  <c r="V12" i="1"/>
  <c r="W12" i="1" s="1"/>
  <c r="V320" i="1"/>
  <c r="W320" i="1" s="1"/>
  <c r="Y1401" i="1"/>
  <c r="V1401" i="1"/>
  <c r="W1401" i="1" s="1"/>
  <c r="Y1275" i="1"/>
  <c r="V1275" i="1"/>
  <c r="W1275" i="1" s="1"/>
  <c r="V1890" i="1"/>
  <c r="W1890" i="1" s="1"/>
  <c r="V1618" i="1"/>
  <c r="W1618" i="1" s="1"/>
  <c r="Y414" i="1"/>
  <c r="V414" i="1"/>
  <c r="W414" i="1" s="1"/>
  <c r="V194" i="1"/>
  <c r="W194" i="1" s="1"/>
  <c r="Y181" i="1"/>
  <c r="V181" i="1"/>
  <c r="W181" i="1" s="1"/>
  <c r="V1180" i="1"/>
  <c r="W1180" i="1" s="1"/>
  <c r="Y1827" i="1"/>
  <c r="V1827" i="1"/>
  <c r="W1827" i="1" s="1"/>
  <c r="Y740" i="1"/>
  <c r="V740" i="1"/>
  <c r="W740" i="1" s="1"/>
  <c r="V1071" i="1"/>
  <c r="W1071" i="1" s="1"/>
  <c r="V821" i="1"/>
  <c r="W821" i="1" s="1"/>
  <c r="Y155" i="1"/>
  <c r="V155" i="1"/>
  <c r="W155" i="1" s="1"/>
  <c r="V1856" i="1"/>
  <c r="W1856" i="1" s="1"/>
  <c r="Y1533" i="1"/>
  <c r="V1533" i="1"/>
  <c r="W1533" i="1" s="1"/>
  <c r="Y849" i="1"/>
  <c r="V849" i="1"/>
  <c r="W849" i="1" s="1"/>
  <c r="Y519" i="1"/>
  <c r="V519" i="1"/>
  <c r="W519" i="1" s="1"/>
  <c r="Y498" i="1"/>
  <c r="V498" i="1"/>
  <c r="W498" i="1" s="1"/>
  <c r="V1615" i="1"/>
  <c r="W1615" i="1" s="1"/>
  <c r="V313" i="1"/>
  <c r="W313" i="1" s="1"/>
  <c r="Y190" i="1"/>
  <c r="V190" i="1"/>
  <c r="W190" i="1" s="1"/>
  <c r="V238" i="1"/>
  <c r="W238" i="1" s="1"/>
  <c r="Y354" i="1"/>
  <c r="V354" i="1"/>
  <c r="W354" i="1" s="1"/>
  <c r="V1195" i="1"/>
  <c r="W1195" i="1" s="1"/>
  <c r="Y79" i="1"/>
  <c r="V79" i="1"/>
  <c r="W79" i="1" s="1"/>
  <c r="Y278" i="1"/>
  <c r="V278" i="1"/>
  <c r="W278" i="1" s="1"/>
  <c r="V1174" i="1"/>
  <c r="W1174" i="1" s="1"/>
  <c r="V1498" i="1"/>
  <c r="W1498" i="1" s="1"/>
  <c r="Y661" i="1"/>
  <c r="V661" i="1"/>
  <c r="W661" i="1" s="1"/>
  <c r="V600" i="1"/>
  <c r="W600" i="1" s="1"/>
  <c r="Y931" i="1"/>
  <c r="V931" i="1"/>
  <c r="W931" i="1" s="1"/>
  <c r="Y300" i="1"/>
  <c r="V300" i="1"/>
  <c r="W300" i="1" s="1"/>
  <c r="Y1247" i="1"/>
  <c r="V1247" i="1"/>
  <c r="W1247" i="1" s="1"/>
  <c r="Y1238" i="1"/>
  <c r="V1238" i="1"/>
  <c r="W1238" i="1" s="1"/>
  <c r="V1284" i="1"/>
  <c r="W1284" i="1" s="1"/>
  <c r="V1184" i="1"/>
  <c r="W1184" i="1" s="1"/>
  <c r="Y325" i="1"/>
  <c r="V325" i="1"/>
  <c r="W325" i="1" s="1"/>
  <c r="V1486" i="1"/>
  <c r="W1486" i="1" s="1"/>
  <c r="Y1448" i="1"/>
  <c r="V1448" i="1"/>
  <c r="W1448" i="1" s="1"/>
  <c r="V1826" i="1"/>
  <c r="W1826" i="1" s="1"/>
  <c r="Y1641" i="1"/>
  <c r="V1641" i="1"/>
  <c r="W1641" i="1" s="1"/>
  <c r="Y1047" i="1"/>
  <c r="V1047" i="1"/>
  <c r="W1047" i="1" s="1"/>
  <c r="V2082" i="1"/>
  <c r="W2082" i="1" s="1"/>
  <c r="V151" i="1"/>
  <c r="W151" i="1" s="1"/>
  <c r="Y2067" i="1"/>
  <c r="V2067" i="1"/>
  <c r="W2067" i="1" s="1"/>
  <c r="V1717" i="1"/>
  <c r="W1717" i="1" s="1"/>
  <c r="Y80" i="1"/>
  <c r="V80" i="1"/>
  <c r="W80" i="1" s="1"/>
  <c r="Y224" i="1"/>
  <c r="V224" i="1"/>
  <c r="W224" i="1" s="1"/>
  <c r="Y347" i="1"/>
  <c r="V347" i="1"/>
  <c r="W347" i="1" s="1"/>
  <c r="V385" i="1"/>
  <c r="W385" i="1" s="1"/>
  <c r="V368" i="1"/>
  <c r="W368" i="1" s="1"/>
  <c r="V1574" i="1"/>
  <c r="W1574" i="1" s="1"/>
  <c r="Y1759" i="1"/>
  <c r="V1759" i="1"/>
  <c r="W1759" i="1" s="1"/>
  <c r="V344" i="1"/>
  <c r="W344" i="1" s="1"/>
  <c r="Y857" i="1"/>
  <c r="V857" i="1"/>
  <c r="W857" i="1" s="1"/>
  <c r="Y492" i="1"/>
  <c r="V492" i="1"/>
  <c r="W492" i="1" s="1"/>
  <c r="Y855" i="1"/>
  <c r="V855" i="1"/>
  <c r="W855" i="1" s="1"/>
  <c r="Y976" i="1"/>
  <c r="V976" i="1"/>
  <c r="W976" i="1" s="1"/>
  <c r="V1785" i="1"/>
  <c r="W1785" i="1" s="1"/>
  <c r="V1254" i="1"/>
  <c r="W1254" i="1" s="1"/>
  <c r="Y434" i="1"/>
  <c r="V434" i="1"/>
  <c r="W434" i="1" s="1"/>
  <c r="V1648" i="1"/>
  <c r="W1648" i="1" s="1"/>
  <c r="Y396" i="1"/>
  <c r="V396" i="1"/>
  <c r="W396" i="1" s="1"/>
  <c r="Y1849" i="1"/>
  <c r="V1849" i="1"/>
  <c r="W1849" i="1" s="1"/>
  <c r="Y288" i="1"/>
  <c r="V288" i="1"/>
  <c r="W288" i="1" s="1"/>
  <c r="Y612" i="1"/>
  <c r="V612" i="1"/>
  <c r="W612" i="1" s="1"/>
  <c r="V178" i="1"/>
  <c r="W178" i="1" s="1"/>
  <c r="V312" i="1"/>
  <c r="W312" i="1" s="1"/>
  <c r="Y32" i="1"/>
  <c r="V32" i="1"/>
  <c r="W32" i="1" s="1"/>
  <c r="V1499" i="1"/>
  <c r="W1499" i="1" s="1"/>
  <c r="Y618" i="1"/>
  <c r="V618" i="1"/>
  <c r="W618" i="1" s="1"/>
  <c r="Y974" i="1"/>
  <c r="V974" i="1"/>
  <c r="W974" i="1" s="1"/>
  <c r="Y696" i="1"/>
  <c r="V696" i="1"/>
  <c r="W696" i="1" s="1"/>
  <c r="Y75" i="1"/>
  <c r="V75" i="1"/>
  <c r="W75" i="1" s="1"/>
  <c r="V1205" i="1"/>
  <c r="W1205" i="1" s="1"/>
  <c r="V1005" i="1"/>
  <c r="W1005" i="1" s="1"/>
  <c r="Y1556" i="1"/>
  <c r="V1556" i="1"/>
  <c r="W1556" i="1" s="1"/>
  <c r="V1433" i="1"/>
  <c r="W1433" i="1" s="1"/>
  <c r="Y1554" i="1"/>
  <c r="V1554" i="1"/>
  <c r="W1554" i="1" s="1"/>
  <c r="Y631" i="1"/>
  <c r="V631" i="1"/>
  <c r="W631" i="1" s="1"/>
  <c r="Y47" i="1"/>
  <c r="V47" i="1"/>
  <c r="W47" i="1" s="1"/>
  <c r="Y764" i="1"/>
  <c r="V764" i="1"/>
  <c r="W764" i="1" s="1"/>
  <c r="V1910" i="1"/>
  <c r="W1910" i="1" s="1"/>
  <c r="V1054" i="1"/>
  <c r="W1054" i="1" s="1"/>
  <c r="Y1878" i="1"/>
  <c r="V1878" i="1"/>
  <c r="W1878" i="1" s="1"/>
  <c r="V1981" i="1"/>
  <c r="W1981" i="1" s="1"/>
  <c r="Y1329" i="1"/>
  <c r="V1329" i="1"/>
  <c r="W1329" i="1" s="1"/>
  <c r="Y1774" i="1"/>
  <c r="V1774" i="1"/>
  <c r="W1774" i="1" s="1"/>
  <c r="Y1271" i="1"/>
  <c r="V1271" i="1"/>
  <c r="W1271" i="1" s="1"/>
  <c r="Y367" i="1"/>
  <c r="V367" i="1"/>
  <c r="W367" i="1" s="1"/>
  <c r="V1536" i="1"/>
  <c r="W1536" i="1" s="1"/>
  <c r="V1985" i="1"/>
  <c r="W1985" i="1" s="1"/>
  <c r="Y841" i="1"/>
  <c r="V841" i="1"/>
  <c r="W841" i="1" s="1"/>
  <c r="V1823" i="1"/>
  <c r="W1823" i="1" s="1"/>
  <c r="V775" i="1"/>
  <c r="W775" i="1" s="1"/>
  <c r="Y738" i="1"/>
  <c r="V738" i="1"/>
  <c r="W738" i="1" s="1"/>
  <c r="Y78" i="1"/>
  <c r="V78" i="1"/>
  <c r="W78" i="1" s="1"/>
  <c r="Y65" i="1"/>
  <c r="V65" i="1"/>
  <c r="W65" i="1" s="1"/>
  <c r="V1075" i="1"/>
  <c r="W1075" i="1" s="1"/>
  <c r="V1204" i="1"/>
  <c r="W1204" i="1" s="1"/>
  <c r="Y1004" i="1"/>
  <c r="V1004" i="1"/>
  <c r="W1004" i="1" s="1"/>
  <c r="Y1687" i="1"/>
  <c r="V1687" i="1"/>
  <c r="W1687" i="1" s="1"/>
  <c r="Y1076" i="1"/>
  <c r="V1076" i="1"/>
  <c r="W1076" i="1" s="1"/>
  <c r="Y1487" i="1"/>
  <c r="V1487" i="1"/>
  <c r="W1487" i="1" s="1"/>
  <c r="Y1679" i="1"/>
  <c r="V1679" i="1"/>
  <c r="W1679" i="1" s="1"/>
  <c r="Y150" i="1"/>
  <c r="V150" i="1"/>
  <c r="W150" i="1" s="1"/>
  <c r="V1383" i="1"/>
  <c r="W1383" i="1" s="1"/>
  <c r="V48" i="1"/>
  <c r="W48" i="1" s="1"/>
  <c r="Y1287" i="1"/>
  <c r="V1287" i="1"/>
  <c r="W1287" i="1" s="1"/>
  <c r="V744" i="1"/>
  <c r="W744" i="1" s="1"/>
  <c r="Y1703" i="1"/>
  <c r="V1703" i="1"/>
  <c r="W1703" i="1" s="1"/>
  <c r="V653" i="1"/>
  <c r="W653" i="1" s="1"/>
  <c r="Y289" i="1"/>
  <c r="V289" i="1"/>
  <c r="W289" i="1" s="1"/>
  <c r="Y55" i="1"/>
  <c r="V55" i="1"/>
  <c r="W55" i="1" s="1"/>
  <c r="V1061" i="1"/>
  <c r="W1061" i="1" s="1"/>
  <c r="V928" i="1"/>
  <c r="W928" i="1" s="1"/>
  <c r="Y1203" i="1"/>
  <c r="V1203" i="1"/>
  <c r="W1203" i="1" s="1"/>
  <c r="Y657" i="1"/>
  <c r="V657" i="1"/>
  <c r="W657" i="1" s="1"/>
  <c r="Y977" i="1"/>
  <c r="V977" i="1"/>
  <c r="W977" i="1" s="1"/>
  <c r="Y1786" i="1"/>
  <c r="V1786" i="1"/>
  <c r="W1786" i="1" s="1"/>
  <c r="Y1255" i="1"/>
  <c r="V1255" i="1"/>
  <c r="W1255" i="1" s="1"/>
  <c r="Y435" i="1"/>
  <c r="V435" i="1"/>
  <c r="W435" i="1" s="1"/>
  <c r="V1649" i="1"/>
  <c r="W1649" i="1" s="1"/>
  <c r="Y1704" i="1"/>
  <c r="V1704" i="1"/>
  <c r="W1704" i="1" s="1"/>
  <c r="Y397" i="1"/>
  <c r="V397" i="1"/>
  <c r="W397" i="1" s="1"/>
  <c r="Y1869" i="1"/>
  <c r="V1869" i="1"/>
  <c r="W1869" i="1" s="1"/>
  <c r="V792" i="1"/>
  <c r="W792" i="1" s="1"/>
  <c r="V1395" i="1"/>
  <c r="W1395" i="1" s="1"/>
  <c r="Y2034" i="1"/>
  <c r="V2034" i="1"/>
  <c r="W2034" i="1" s="1"/>
  <c r="Y82" i="1"/>
  <c r="V82" i="1"/>
  <c r="W82" i="1" s="1"/>
  <c r="V1141" i="1"/>
  <c r="W1141" i="1" s="1"/>
  <c r="V1269" i="1"/>
  <c r="W1269" i="1" s="1"/>
  <c r="Y1077" i="1"/>
  <c r="V1077" i="1"/>
  <c r="W1077" i="1" s="1"/>
  <c r="V1348" i="1"/>
  <c r="W1348" i="1" s="1"/>
  <c r="Y1496" i="1"/>
  <c r="V1496" i="1"/>
  <c r="W1496" i="1" s="1"/>
  <c r="Y1936" i="1"/>
  <c r="V1936" i="1"/>
  <c r="W1936" i="1" s="1"/>
  <c r="V1147" i="1"/>
  <c r="W1147" i="1" s="1"/>
  <c r="Y1409" i="1"/>
  <c r="V1409" i="1"/>
  <c r="W1409" i="1" s="1"/>
  <c r="Y1296" i="1"/>
  <c r="V1296" i="1"/>
  <c r="W1296" i="1" s="1"/>
  <c r="V1540" i="1"/>
  <c r="W1540" i="1" s="1"/>
  <c r="Y1439" i="1"/>
  <c r="V1439" i="1"/>
  <c r="W1439" i="1" s="1"/>
  <c r="V1583" i="1"/>
  <c r="W1583" i="1" s="1"/>
  <c r="V1078" i="1"/>
  <c r="W1078" i="1" s="1"/>
  <c r="Y1240" i="1"/>
  <c r="V1240" i="1"/>
  <c r="W1240" i="1" s="1"/>
  <c r="Y1566" i="1"/>
  <c r="V1566" i="1"/>
  <c r="W1566" i="1" s="1"/>
  <c r="V776" i="1"/>
  <c r="W776" i="1" s="1"/>
  <c r="Y2005" i="1"/>
  <c r="V2005" i="1"/>
  <c r="W2005" i="1" s="1"/>
  <c r="V73" i="1"/>
  <c r="W73" i="1" s="1"/>
  <c r="Y1911" i="1"/>
  <c r="V1911" i="1"/>
  <c r="W1911" i="1" s="1"/>
  <c r="V1375" i="1"/>
  <c r="W1375" i="1" s="1"/>
  <c r="Y1500" i="1"/>
  <c r="V1500" i="1"/>
  <c r="W1500" i="1" s="1"/>
  <c r="Y269" i="1"/>
  <c r="V269" i="1"/>
  <c r="W269" i="1" s="1"/>
  <c r="Y1488" i="1"/>
  <c r="V1488" i="1"/>
  <c r="W1488" i="1" s="1"/>
  <c r="Y1644" i="1"/>
  <c r="V1644" i="1"/>
  <c r="W1644" i="1" s="1"/>
  <c r="Y352" i="1"/>
  <c r="V352" i="1"/>
  <c r="W352" i="1" s="1"/>
  <c r="Y1865" i="1"/>
  <c r="V1865" i="1"/>
  <c r="W1865" i="1" s="1"/>
  <c r="V620" i="1"/>
  <c r="W620" i="1" s="1"/>
  <c r="V1857" i="1"/>
  <c r="W1857" i="1" s="1"/>
  <c r="V1584" i="1"/>
  <c r="W1584" i="1" s="1"/>
  <c r="V1886" i="1"/>
  <c r="W1886" i="1" s="1"/>
  <c r="Y1241" i="1"/>
  <c r="V1241" i="1"/>
  <c r="W1241" i="1" s="1"/>
  <c r="V1400" i="1"/>
  <c r="W1400" i="1" s="1"/>
  <c r="Y1393" i="1"/>
  <c r="V1393" i="1"/>
  <c r="W1393" i="1" s="1"/>
  <c r="V1715" i="1"/>
  <c r="W1715" i="1" s="1"/>
  <c r="V1373" i="1"/>
  <c r="W1373" i="1" s="1"/>
  <c r="V1799" i="1"/>
  <c r="W1799" i="1" s="1"/>
  <c r="Y1640" i="1"/>
  <c r="V1640" i="1"/>
  <c r="W1640" i="1" s="1"/>
  <c r="V1150" i="1"/>
  <c r="W1150" i="1" s="1"/>
  <c r="Y1380" i="1"/>
  <c r="V1380" i="1"/>
  <c r="W1380" i="1" s="1"/>
  <c r="V212" i="1"/>
  <c r="W212" i="1" s="1"/>
  <c r="Y1304" i="1"/>
  <c r="V1304" i="1"/>
  <c r="W1304" i="1" s="1"/>
  <c r="V42" i="1"/>
  <c r="W42" i="1" s="1"/>
  <c r="Y376" i="1"/>
  <c r="V376" i="1"/>
  <c r="W376" i="1" s="1"/>
  <c r="V1009" i="1"/>
  <c r="W1009" i="1" s="1"/>
  <c r="V861" i="1"/>
  <c r="W861" i="1" s="1"/>
  <c r="V1521" i="1"/>
  <c r="W1521" i="1" s="1"/>
  <c r="Y1633" i="1"/>
  <c r="V1633" i="1"/>
  <c r="W1633" i="1" s="1"/>
  <c r="Y1173" i="1"/>
  <c r="V1173" i="1"/>
  <c r="W1173" i="1" s="1"/>
  <c r="Y57" i="1"/>
  <c r="V57" i="1"/>
  <c r="W57" i="1" s="1"/>
  <c r="V1064" i="1"/>
  <c r="W1064" i="1" s="1"/>
  <c r="Y97" i="1"/>
  <c r="V97" i="1"/>
  <c r="W97" i="1" s="1"/>
  <c r="V1276" i="1"/>
  <c r="W1276" i="1" s="1"/>
  <c r="Y2064" i="1"/>
  <c r="V2064" i="1"/>
  <c r="W2064" i="1" s="1"/>
  <c r="V1520" i="1"/>
  <c r="W1520" i="1" s="1"/>
  <c r="Y1079" i="1"/>
  <c r="V1079" i="1"/>
  <c r="W1079" i="1" s="1"/>
  <c r="Y276" i="1"/>
  <c r="V276" i="1"/>
  <c r="W276" i="1" s="1"/>
  <c r="Y537" i="1"/>
  <c r="V537" i="1"/>
  <c r="W537" i="1" s="1"/>
  <c r="Y1151" i="1"/>
  <c r="V1151" i="1"/>
  <c r="W1151" i="1" s="1"/>
  <c r="Y669" i="1"/>
  <c r="V669" i="1"/>
  <c r="W669" i="1" s="1"/>
  <c r="V1522" i="1"/>
  <c r="W1522" i="1" s="1"/>
  <c r="Y978" i="1"/>
  <c r="V978" i="1"/>
  <c r="W978" i="1" s="1"/>
  <c r="V1787" i="1"/>
  <c r="W1787" i="1" s="1"/>
  <c r="Y28" i="1"/>
  <c r="V28" i="1"/>
  <c r="W28" i="1" s="1"/>
  <c r="V1327" i="1"/>
  <c r="W1327" i="1" s="1"/>
  <c r="Y509" i="1"/>
  <c r="V509" i="1"/>
  <c r="W509" i="1" s="1"/>
  <c r="Y1222" i="1"/>
  <c r="V1222" i="1"/>
  <c r="W1222" i="1" s="1"/>
  <c r="Y1652" i="1"/>
  <c r="V1652" i="1"/>
  <c r="W1652" i="1" s="1"/>
  <c r="V1609" i="1"/>
  <c r="W1609" i="1" s="1"/>
  <c r="Y398" i="1"/>
  <c r="V398" i="1"/>
  <c r="W398" i="1" s="1"/>
  <c r="V399" i="1"/>
  <c r="W399" i="1" s="1"/>
  <c r="Y1902" i="1"/>
  <c r="V1902" i="1"/>
  <c r="W1902" i="1" s="1"/>
  <c r="V460" i="1"/>
  <c r="W460" i="1" s="1"/>
  <c r="Y1080" i="1"/>
  <c r="V1080" i="1"/>
  <c r="W1080" i="1" s="1"/>
  <c r="Y530" i="1"/>
  <c r="V530" i="1"/>
  <c r="W530" i="1" s="1"/>
  <c r="V1750" i="1"/>
  <c r="W1750" i="1" s="1"/>
  <c r="V940" i="1"/>
  <c r="W940" i="1" s="1"/>
  <c r="Y1163" i="1"/>
  <c r="V1163" i="1"/>
  <c r="W1163" i="1" s="1"/>
  <c r="V447" i="1"/>
  <c r="W447" i="1" s="1"/>
  <c r="Y1337" i="1"/>
  <c r="V1337" i="1"/>
  <c r="W1337" i="1" s="1"/>
  <c r="Y2089" i="1"/>
  <c r="V2089" i="1"/>
  <c r="W2089" i="1" s="1"/>
  <c r="Y649" i="1"/>
  <c r="V649" i="1"/>
  <c r="W649" i="1" s="1"/>
  <c r="Y2062" i="1"/>
  <c r="V2062" i="1"/>
  <c r="W2062" i="1" s="1"/>
  <c r="Y1356" i="1"/>
  <c r="V1356" i="1"/>
  <c r="W1356" i="1" s="1"/>
  <c r="V1630" i="1"/>
  <c r="W1630" i="1" s="1"/>
  <c r="Y1765" i="1"/>
  <c r="V1765" i="1"/>
  <c r="W1765" i="1" s="1"/>
  <c r="V491" i="1"/>
  <c r="W491" i="1" s="1"/>
  <c r="Y1198" i="1"/>
  <c r="V1198" i="1"/>
  <c r="W1198" i="1" s="1"/>
  <c r="Y1938" i="1"/>
  <c r="V1938" i="1"/>
  <c r="W1938" i="1" s="1"/>
  <c r="Y1763" i="1"/>
  <c r="V1763" i="1"/>
  <c r="W1763" i="1" s="1"/>
  <c r="Y1158" i="1"/>
  <c r="V1158" i="1"/>
  <c r="W1158" i="1" s="1"/>
  <c r="Y2063" i="1"/>
  <c r="V2063" i="1"/>
  <c r="W2063" i="1" s="1"/>
  <c r="V713" i="1"/>
  <c r="W713" i="1" s="1"/>
  <c r="Y299" i="1"/>
  <c r="V299" i="1"/>
  <c r="W299" i="1" s="1"/>
  <c r="V1527" i="1"/>
  <c r="W1527" i="1" s="1"/>
  <c r="Y1156" i="1"/>
  <c r="V1156" i="1"/>
  <c r="W1156" i="1" s="1"/>
  <c r="V1637" i="1"/>
  <c r="W1637" i="1" s="1"/>
  <c r="Y310" i="1"/>
  <c r="V310" i="1"/>
  <c r="W310" i="1" s="1"/>
  <c r="Y413" i="1"/>
  <c r="V413" i="1"/>
  <c r="W413" i="1" s="1"/>
  <c r="Y1864" i="1"/>
  <c r="V1864" i="1"/>
  <c r="W1864" i="1" s="1"/>
  <c r="V1170" i="1"/>
  <c r="W1170" i="1" s="1"/>
  <c r="Y227" i="1"/>
  <c r="V227" i="1"/>
  <c r="W227" i="1" s="1"/>
  <c r="V334" i="1"/>
  <c r="W334" i="1" s="1"/>
  <c r="V1978" i="1"/>
  <c r="W1978" i="1" s="1"/>
  <c r="V714" i="1"/>
  <c r="W714" i="1" s="1"/>
  <c r="Y412" i="1"/>
  <c r="V412" i="1"/>
  <c r="W412" i="1" s="1"/>
  <c r="Y1323" i="1"/>
  <c r="V1323" i="1"/>
  <c r="W1323" i="1" s="1"/>
  <c r="Y221" i="1"/>
  <c r="V221" i="1"/>
  <c r="W221" i="1" s="1"/>
  <c r="V319" i="1"/>
  <c r="W319" i="1" s="1"/>
  <c r="Y702" i="1"/>
  <c r="V702" i="1"/>
  <c r="W702" i="1" s="1"/>
  <c r="V208" i="1"/>
  <c r="W208" i="1" s="1"/>
  <c r="Y1328" i="1"/>
  <c r="V1328" i="1"/>
  <c r="W1328" i="1" s="1"/>
  <c r="Y31" i="1"/>
  <c r="V31" i="1"/>
  <c r="W31" i="1" s="1"/>
  <c r="Y979" i="1"/>
  <c r="V979" i="1"/>
  <c r="W979" i="1" s="1"/>
  <c r="Y1791" i="1"/>
  <c r="V1791" i="1"/>
  <c r="W1791" i="1" s="1"/>
  <c r="Y36" i="1"/>
  <c r="V36" i="1"/>
  <c r="W36" i="1" s="1"/>
  <c r="V1307" i="1"/>
  <c r="W1307" i="1" s="1"/>
  <c r="V510" i="1"/>
  <c r="W510" i="1" s="1"/>
  <c r="V1510" i="1"/>
  <c r="W1510" i="1" s="1"/>
  <c r="Y866" i="1"/>
  <c r="V866" i="1"/>
  <c r="W866" i="1" s="1"/>
  <c r="Y884" i="1"/>
  <c r="V884" i="1"/>
  <c r="W884" i="1" s="1"/>
  <c r="Y1543" i="1"/>
  <c r="V1543" i="1"/>
  <c r="W1543" i="1" s="1"/>
  <c r="Y400" i="1"/>
  <c r="V400" i="1"/>
  <c r="W400" i="1" s="1"/>
  <c r="Y1732" i="1"/>
  <c r="V1732" i="1"/>
  <c r="W1732" i="1" s="1"/>
  <c r="V1282" i="1"/>
  <c r="W1282" i="1" s="1"/>
  <c r="Y908" i="1"/>
  <c r="V908" i="1"/>
  <c r="W908" i="1" s="1"/>
  <c r="V582" i="1"/>
  <c r="W582" i="1" s="1"/>
  <c r="Y1824" i="1"/>
  <c r="V1824" i="1"/>
  <c r="W1824" i="1" s="1"/>
  <c r="Y676" i="1"/>
  <c r="V676" i="1"/>
  <c r="W676" i="1" s="1"/>
  <c r="Y750" i="1"/>
  <c r="V750" i="1"/>
  <c r="W750" i="1" s="1"/>
  <c r="Y932" i="1"/>
  <c r="V932" i="1"/>
  <c r="W932" i="1" s="1"/>
  <c r="Y1991" i="1"/>
  <c r="V1991" i="1"/>
  <c r="W1991" i="1" s="1"/>
  <c r="V645" i="1"/>
  <c r="W645" i="1" s="1"/>
  <c r="Y1673" i="1"/>
  <c r="V1673" i="1"/>
  <c r="W1673" i="1" s="1"/>
  <c r="V213" i="1"/>
  <c r="W213" i="1" s="1"/>
  <c r="Y371" i="1"/>
  <c r="V371" i="1"/>
  <c r="W371" i="1" s="1"/>
  <c r="Y1131" i="1"/>
  <c r="V1131" i="1"/>
  <c r="W1131" i="1" s="1"/>
  <c r="Y222" i="1"/>
  <c r="V222" i="1"/>
  <c r="W222" i="1" s="1"/>
  <c r="Y1686" i="1"/>
  <c r="V1686" i="1"/>
  <c r="W1686" i="1" s="1"/>
  <c r="Y862" i="1"/>
  <c r="V862" i="1"/>
  <c r="W862" i="1" s="1"/>
  <c r="Y210" i="1"/>
  <c r="V210" i="1"/>
  <c r="W210" i="1" s="1"/>
  <c r="Y1477" i="1"/>
  <c r="V1477" i="1"/>
  <c r="W1477" i="1" s="1"/>
  <c r="V610" i="1"/>
  <c r="W610" i="1" s="1"/>
  <c r="Y2009" i="1"/>
  <c r="V2009" i="1"/>
  <c r="W2009" i="1" s="1"/>
  <c r="V1778" i="1"/>
  <c r="W1778" i="1" s="1"/>
  <c r="Y248" i="1"/>
  <c r="V248" i="1"/>
  <c r="W248" i="1" s="1"/>
  <c r="Y228" i="1"/>
  <c r="V228" i="1"/>
  <c r="W228" i="1" s="1"/>
  <c r="Y715" i="1"/>
  <c r="V715" i="1"/>
  <c r="W715" i="1" s="1"/>
  <c r="Y679" i="1"/>
  <c r="V679" i="1"/>
  <c r="W679" i="1" s="1"/>
  <c r="Y1993" i="1"/>
  <c r="V1993" i="1"/>
  <c r="W1993" i="1" s="1"/>
  <c r="V1642" i="1"/>
  <c r="W1642" i="1" s="1"/>
  <c r="Y656" i="1"/>
  <c r="V656" i="1"/>
  <c r="W656" i="1" s="1"/>
  <c r="V1497" i="1"/>
  <c r="W1497" i="1" s="1"/>
  <c r="Y59" i="1"/>
  <c r="V59" i="1"/>
  <c r="W59" i="1" s="1"/>
  <c r="Y964" i="1"/>
  <c r="V964" i="1"/>
  <c r="W964" i="1" s="1"/>
  <c r="Y386" i="1"/>
  <c r="V386" i="1"/>
  <c r="W386" i="1" s="1"/>
  <c r="Y58" i="1"/>
  <c r="V58" i="1"/>
  <c r="W58" i="1" s="1"/>
  <c r="V781" i="1"/>
  <c r="W781" i="1" s="1"/>
  <c r="V520" i="1"/>
  <c r="W520" i="1" s="1"/>
  <c r="Y601" i="1"/>
  <c r="V601" i="1"/>
  <c r="W601" i="1" s="1"/>
  <c r="V365" i="1"/>
  <c r="W365" i="1" s="1"/>
  <c r="Y1903" i="1"/>
  <c r="V1903" i="1"/>
  <c r="W1903" i="1" s="1"/>
  <c r="Y705" i="1"/>
  <c r="V705" i="1"/>
  <c r="W705" i="1" s="1"/>
  <c r="Y1592" i="1"/>
  <c r="V1592" i="1"/>
  <c r="W1592" i="1" s="1"/>
  <c r="Y920" i="1"/>
  <c r="V920" i="1"/>
  <c r="W920" i="1" s="1"/>
  <c r="Y518" i="1"/>
  <c r="V518" i="1"/>
  <c r="W518" i="1" s="1"/>
  <c r="V914" i="1"/>
  <c r="W914" i="1" s="1"/>
  <c r="Y229" i="1"/>
  <c r="V229" i="1"/>
  <c r="W229" i="1" s="1"/>
  <c r="V1286" i="1"/>
  <c r="W1286" i="1" s="1"/>
  <c r="Y1365" i="1"/>
  <c r="V1365" i="1"/>
  <c r="W1365" i="1" s="1"/>
  <c r="Y1192" i="1"/>
  <c r="V1192" i="1"/>
  <c r="W1192" i="1" s="1"/>
  <c r="Y577" i="1"/>
  <c r="V577" i="1"/>
  <c r="W577" i="1" s="1"/>
  <c r="V1736" i="1"/>
  <c r="W1736" i="1" s="1"/>
  <c r="Y1617" i="1"/>
  <c r="V1617" i="1"/>
  <c r="W1617" i="1" s="1"/>
  <c r="V1628" i="1"/>
  <c r="W1628" i="1" s="1"/>
  <c r="Y782" i="1"/>
  <c r="V782" i="1"/>
  <c r="W782" i="1" s="1"/>
  <c r="V5" i="1"/>
  <c r="W5" i="1" s="1"/>
  <c r="Y1597" i="1"/>
  <c r="V1597" i="1"/>
  <c r="W1597" i="1" s="1"/>
  <c r="V808" i="1"/>
  <c r="W808" i="1" s="1"/>
  <c r="Y757" i="1"/>
  <c r="V757" i="1"/>
  <c r="W757" i="1" s="1"/>
  <c r="V1672" i="1"/>
  <c r="W1672" i="1" s="1"/>
  <c r="Y88" i="1"/>
  <c r="V88" i="1"/>
  <c r="W88" i="1" s="1"/>
  <c r="V378" i="1"/>
  <c r="W378" i="1" s="1"/>
  <c r="Y2008" i="1"/>
  <c r="V2008" i="1"/>
  <c r="W2008" i="1" s="1"/>
  <c r="V1462" i="1"/>
  <c r="W1462" i="1" s="1"/>
  <c r="Y389" i="1"/>
  <c r="V389" i="1"/>
  <c r="W389" i="1" s="1"/>
  <c r="V1253" i="1"/>
  <c r="W1253" i="1" s="1"/>
  <c r="Y1579" i="1"/>
  <c r="V1579" i="1"/>
  <c r="W1579" i="1" s="1"/>
  <c r="V783" i="1"/>
  <c r="W783" i="1" s="1"/>
  <c r="Y1234" i="1"/>
  <c r="V1234" i="1"/>
  <c r="W1234" i="1" s="1"/>
  <c r="V2070" i="1"/>
  <c r="W2070" i="1" s="1"/>
  <c r="Y735" i="1"/>
  <c r="V735" i="1"/>
  <c r="W735" i="1" s="1"/>
  <c r="V62" i="1"/>
  <c r="W62" i="1" s="1"/>
  <c r="Y100" i="1"/>
  <c r="V100" i="1"/>
  <c r="W100" i="1" s="1"/>
  <c r="V1568" i="1"/>
  <c r="W1568" i="1" s="1"/>
  <c r="V1172" i="1"/>
  <c r="W1172" i="1" s="1"/>
  <c r="V850" i="1"/>
  <c r="W850" i="1" s="1"/>
  <c r="Y1691" i="1"/>
  <c r="V1691" i="1"/>
  <c r="W1691" i="1" s="1"/>
  <c r="V611" i="1"/>
  <c r="W611" i="1" s="1"/>
  <c r="V784" i="1"/>
  <c r="W784" i="1" s="1"/>
  <c r="Y415" i="1"/>
  <c r="V415" i="1"/>
  <c r="W415" i="1" s="1"/>
  <c r="V1523" i="1"/>
  <c r="W1523" i="1" s="1"/>
  <c r="Y1532" i="1"/>
  <c r="V1532" i="1"/>
  <c r="W1532" i="1" s="1"/>
  <c r="Y1728" i="1"/>
  <c r="V1728" i="1"/>
  <c r="W1728" i="1" s="1"/>
  <c r="Y826" i="1"/>
  <c r="V826" i="1"/>
  <c r="W826" i="1" s="1"/>
  <c r="Y1621" i="1"/>
  <c r="V1621" i="1"/>
  <c r="W1621" i="1" s="1"/>
  <c r="V1015" i="1"/>
  <c r="W1015" i="1" s="1"/>
  <c r="Y980" i="1"/>
  <c r="V980" i="1"/>
  <c r="W980" i="1" s="1"/>
  <c r="Y1788" i="1"/>
  <c r="V1788" i="1"/>
  <c r="W1788" i="1" s="1"/>
  <c r="Y1326" i="1"/>
  <c r="V1326" i="1"/>
  <c r="W1326" i="1" s="1"/>
  <c r="Y511" i="1"/>
  <c r="V511" i="1"/>
  <c r="W511" i="1" s="1"/>
  <c r="Y1224" i="1"/>
  <c r="V1224" i="1"/>
  <c r="W1224" i="1" s="1"/>
  <c r="Y1650" i="1"/>
  <c r="V1650" i="1"/>
  <c r="W1650" i="1" s="1"/>
  <c r="Y867" i="1"/>
  <c r="V867" i="1"/>
  <c r="W867" i="1" s="1"/>
  <c r="V885" i="1"/>
  <c r="W885" i="1" s="1"/>
  <c r="Y1705" i="1"/>
  <c r="V1705" i="1"/>
  <c r="W1705" i="1" s="1"/>
  <c r="V999" i="1"/>
  <c r="W999" i="1" s="1"/>
  <c r="Y544" i="1"/>
  <c r="V544" i="1"/>
  <c r="W544" i="1" s="1"/>
  <c r="V1876" i="1"/>
  <c r="W1876" i="1" s="1"/>
  <c r="Y771" i="1"/>
  <c r="V771" i="1"/>
  <c r="W771" i="1" s="1"/>
  <c r="Y1745" i="1"/>
  <c r="V1745" i="1"/>
  <c r="W1745" i="1" s="1"/>
  <c r="Y1370" i="1"/>
  <c r="V1370" i="1"/>
  <c r="W1370" i="1" s="1"/>
  <c r="Y1619" i="1"/>
  <c r="V1619" i="1"/>
  <c r="W1619" i="1" s="1"/>
  <c r="V723" i="1"/>
  <c r="W723" i="1" s="1"/>
  <c r="V1625" i="1"/>
  <c r="W1625" i="1" s="1"/>
  <c r="Y765" i="1"/>
  <c r="V765" i="1"/>
  <c r="W765" i="1" s="1"/>
  <c r="V1347" i="1"/>
  <c r="W1347" i="1" s="1"/>
  <c r="Y1297" i="1"/>
  <c r="V1297" i="1"/>
  <c r="W1297" i="1" s="1"/>
  <c r="Y1501" i="1"/>
  <c r="V1501" i="1"/>
  <c r="W1501" i="1" s="1"/>
  <c r="V1244" i="1"/>
  <c r="W1244" i="1" s="1"/>
  <c r="V1443" i="1"/>
  <c r="W1443" i="1" s="1"/>
  <c r="V1161" i="1"/>
  <c r="W1161" i="1" s="1"/>
  <c r="V81" i="1"/>
  <c r="W81" i="1" s="1"/>
  <c r="Y1551" i="1"/>
  <c r="V1551" i="1"/>
  <c r="W1551" i="1" s="1"/>
  <c r="V1270" i="1"/>
  <c r="W1270" i="1" s="1"/>
  <c r="Y295" i="1"/>
  <c r="V295" i="1"/>
  <c r="W295" i="1" s="1"/>
  <c r="Y1353" i="1"/>
  <c r="V1353" i="1"/>
  <c r="W1353" i="1" s="1"/>
  <c r="V309" i="1"/>
  <c r="W309" i="1" s="1"/>
  <c r="V1007" i="1"/>
  <c r="W1007" i="1" s="1"/>
  <c r="V1747" i="1"/>
  <c r="W1747" i="1" s="1"/>
  <c r="V1186" i="1"/>
  <c r="W1186" i="1" s="1"/>
  <c r="Y314" i="1"/>
  <c r="V314" i="1"/>
  <c r="W314" i="1" s="1"/>
  <c r="V1806" i="1"/>
  <c r="W1806" i="1" s="1"/>
  <c r="V1283" i="1"/>
  <c r="W1283" i="1" s="1"/>
  <c r="Y1718" i="1"/>
  <c r="V1718" i="1"/>
  <c r="W1718" i="1" s="1"/>
  <c r="Y1066" i="1"/>
  <c r="V1066" i="1"/>
  <c r="W1066" i="1" s="1"/>
  <c r="Y581" i="1"/>
  <c r="V581" i="1"/>
  <c r="W581" i="1" s="1"/>
  <c r="Y1502" i="1"/>
  <c r="V1502" i="1"/>
  <c r="W1502" i="1" s="1"/>
  <c r="V445" i="1"/>
  <c r="W445" i="1" s="1"/>
  <c r="Y1295" i="1"/>
  <c r="V1295" i="1"/>
  <c r="W1295" i="1" s="1"/>
  <c r="V1361" i="1"/>
  <c r="W1361" i="1" s="1"/>
  <c r="Y1974" i="1"/>
  <c r="V1974" i="1"/>
  <c r="W1974" i="1" s="1"/>
  <c r="Y1157" i="1"/>
  <c r="V1157" i="1"/>
  <c r="W1157" i="1" s="1"/>
  <c r="Y1144" i="1"/>
  <c r="V1144" i="1"/>
  <c r="W1144" i="1" s="1"/>
  <c r="Y1168" i="1"/>
  <c r="V1168" i="1"/>
  <c r="W1168" i="1" s="1"/>
  <c r="Y627" i="1"/>
  <c r="V627" i="1"/>
  <c r="W627" i="1" s="1"/>
  <c r="V366" i="1"/>
  <c r="W366" i="1" s="1"/>
  <c r="Y34" i="1"/>
  <c r="V34" i="1"/>
  <c r="W34" i="1" s="1"/>
  <c r="V1212" i="1"/>
  <c r="W1212" i="1" s="1"/>
  <c r="Y355" i="1"/>
  <c r="V355" i="1"/>
  <c r="W355" i="1" s="1"/>
  <c r="Y1688" i="1"/>
  <c r="V1688" i="1"/>
  <c r="W1688" i="1" s="1"/>
  <c r="Y1447" i="1"/>
  <c r="V1447" i="1"/>
  <c r="W1447" i="1" s="1"/>
  <c r="Y343" i="1"/>
  <c r="V343" i="1"/>
  <c r="W343" i="1" s="1"/>
  <c r="Y727" i="1"/>
  <c r="V727" i="1"/>
  <c r="W727" i="1" s="1"/>
  <c r="V436" i="1"/>
  <c r="W436" i="1" s="1"/>
  <c r="Y444" i="1"/>
  <c r="V444" i="1"/>
  <c r="W444" i="1" s="1"/>
  <c r="V602" i="1"/>
  <c r="W602" i="1" s="1"/>
  <c r="Y1987" i="1"/>
  <c r="V1987" i="1"/>
  <c r="W1987" i="1" s="1"/>
  <c r="Y1905" i="1"/>
  <c r="V1905" i="1"/>
  <c r="W1905" i="1" s="1"/>
  <c r="V469" i="1"/>
  <c r="W469" i="1" s="1"/>
  <c r="Y1976" i="1"/>
  <c r="V1976" i="1"/>
  <c r="W1976" i="1" s="1"/>
  <c r="Y1873" i="1"/>
  <c r="V1873" i="1"/>
  <c r="W1873" i="1" s="1"/>
  <c r="V1988" i="1"/>
  <c r="W1988" i="1" s="1"/>
  <c r="Y864" i="1"/>
  <c r="V864" i="1"/>
  <c r="W864" i="1" s="1"/>
  <c r="V1604" i="1"/>
  <c r="W1604" i="1" s="1"/>
  <c r="Y1236" i="1"/>
  <c r="V1236" i="1"/>
  <c r="W1236" i="1" s="1"/>
  <c r="Y401" i="1"/>
  <c r="V401" i="1"/>
  <c r="W401" i="1" s="1"/>
  <c r="V521" i="1"/>
  <c r="W521" i="1" s="1"/>
  <c r="Y1944" i="1"/>
  <c r="V1944" i="1"/>
  <c r="W1944" i="1" s="1"/>
  <c r="Y933" i="1"/>
  <c r="V933" i="1"/>
  <c r="W933" i="1" s="1"/>
  <c r="V1030" i="1"/>
  <c r="W1030" i="1" s="1"/>
  <c r="Y677" i="1"/>
  <c r="V677" i="1"/>
  <c r="W677" i="1" s="1"/>
  <c r="V1754" i="1"/>
  <c r="W1754" i="1" s="1"/>
  <c r="Y1453" i="1"/>
  <c r="V1453" i="1"/>
  <c r="W1453" i="1" s="1"/>
  <c r="Y1396" i="1"/>
  <c r="V1396" i="1"/>
  <c r="W1396" i="1" s="1"/>
  <c r="Y1350" i="1"/>
  <c r="V1350" i="1"/>
  <c r="W1350" i="1" s="1"/>
  <c r="Y1768" i="1"/>
  <c r="V1768" i="1"/>
  <c r="W1768" i="1" s="1"/>
  <c r="Y211" i="1"/>
  <c r="V211" i="1"/>
  <c r="W211" i="1" s="1"/>
  <c r="V916" i="1"/>
  <c r="W916" i="1" s="1"/>
  <c r="V1772" i="1"/>
  <c r="W1772" i="1" s="1"/>
  <c r="V29" i="1"/>
  <c r="W29" i="1" s="1"/>
  <c r="Y23" i="1"/>
  <c r="V23" i="1"/>
  <c r="W23" i="1" s="1"/>
  <c r="Y802" i="1"/>
  <c r="V802" i="1"/>
  <c r="W802" i="1" s="1"/>
  <c r="Y1733" i="1"/>
  <c r="V1733" i="1"/>
  <c r="W1733" i="1" s="1"/>
  <c r="Y1081" i="1"/>
  <c r="V1081" i="1"/>
  <c r="W1081" i="1" s="1"/>
  <c r="Y732" i="1"/>
  <c r="V732" i="1"/>
  <c r="W732" i="1" s="1"/>
  <c r="V1303" i="1"/>
  <c r="W1303" i="1" s="1"/>
  <c r="Y684" i="1"/>
  <c r="V684" i="1"/>
  <c r="W684" i="1" s="1"/>
  <c r="V1994" i="1"/>
  <c r="W1994" i="1" s="1"/>
  <c r="Y141" i="1"/>
  <c r="V141" i="1"/>
  <c r="W141" i="1" s="1"/>
  <c r="Y1598" i="1"/>
  <c r="V1598" i="1"/>
  <c r="W1598" i="1" s="1"/>
  <c r="Y274" i="1"/>
  <c r="V274" i="1"/>
  <c r="W274" i="1" s="1"/>
  <c r="V709" i="1"/>
  <c r="W709" i="1" s="1"/>
  <c r="Y87" i="1"/>
  <c r="V87" i="1"/>
  <c r="W87" i="1" s="1"/>
  <c r="V230" i="1"/>
  <c r="W230" i="1" s="1"/>
  <c r="Y490" i="1"/>
  <c r="V490" i="1"/>
  <c r="W490" i="1" s="1"/>
  <c r="Y741" i="1"/>
  <c r="V741" i="1"/>
  <c r="W741" i="1" s="1"/>
  <c r="Y729" i="1"/>
  <c r="V729" i="1"/>
  <c r="W729" i="1" s="1"/>
  <c r="Y43" i="1"/>
  <c r="V43" i="1"/>
  <c r="W43" i="1" s="1"/>
  <c r="Y1479" i="1"/>
  <c r="V1479" i="1"/>
  <c r="W1479" i="1" s="1"/>
  <c r="V1690" i="1"/>
  <c r="W1690" i="1" s="1"/>
  <c r="Y1258" i="1"/>
  <c r="V1258" i="1"/>
  <c r="W1258" i="1" s="1"/>
  <c r="V101" i="1"/>
  <c r="W101" i="1" s="1"/>
  <c r="Y697" i="1"/>
  <c r="V697" i="1"/>
  <c r="W697" i="1" s="1"/>
  <c r="Y858" i="1"/>
  <c r="V858" i="1"/>
  <c r="W858" i="1" s="1"/>
  <c r="Y733" i="1"/>
  <c r="V733" i="1"/>
  <c r="W733" i="1" s="1"/>
  <c r="Y1955" i="1"/>
  <c r="V1955" i="1"/>
  <c r="W1955" i="1" s="1"/>
  <c r="Y1629" i="1"/>
  <c r="V1629" i="1"/>
  <c r="W1629" i="1" s="1"/>
  <c r="Y1776" i="1"/>
  <c r="V1776" i="1"/>
  <c r="W1776" i="1" s="1"/>
  <c r="Y1526" i="1"/>
  <c r="V1526" i="1"/>
  <c r="W1526" i="1" s="1"/>
  <c r="V981" i="1"/>
  <c r="W981" i="1" s="1"/>
  <c r="Y1789" i="1"/>
  <c r="V1789" i="1"/>
  <c r="W1789" i="1" s="1"/>
  <c r="V1341" i="1"/>
  <c r="W1341" i="1" s="1"/>
  <c r="Y503" i="1"/>
  <c r="V503" i="1"/>
  <c r="W503" i="1" s="1"/>
  <c r="Y448" i="1"/>
  <c r="V448" i="1"/>
  <c r="W448" i="1" s="1"/>
  <c r="Y1338" i="1"/>
  <c r="V1338" i="1"/>
  <c r="W1338" i="1" s="1"/>
  <c r="V1651" i="1"/>
  <c r="W1651" i="1" s="1"/>
  <c r="V868" i="1"/>
  <c r="W868" i="1" s="1"/>
  <c r="V886" i="1"/>
  <c r="W886" i="1" s="1"/>
  <c r="Y1706" i="1"/>
  <c r="V1706" i="1"/>
  <c r="W1706" i="1" s="1"/>
  <c r="V402" i="1"/>
  <c r="W402" i="1" s="1"/>
  <c r="Y522" i="1"/>
  <c r="V522" i="1"/>
  <c r="W522" i="1" s="1"/>
  <c r="Y1002" i="1"/>
  <c r="V1002" i="1"/>
  <c r="W1002" i="1" s="1"/>
  <c r="Y545" i="1"/>
  <c r="V545" i="1"/>
  <c r="W545" i="1" s="1"/>
  <c r="Y1892" i="1"/>
  <c r="V1892" i="1"/>
  <c r="W1892" i="1" s="1"/>
  <c r="Y1456" i="1"/>
  <c r="V1456" i="1"/>
  <c r="W1456" i="1" s="1"/>
  <c r="Y1424" i="1"/>
  <c r="V1424" i="1"/>
  <c r="W1424" i="1" s="1"/>
  <c r="Y913" i="1"/>
  <c r="V913" i="1"/>
  <c r="W913" i="1" s="1"/>
  <c r="Y921" i="1"/>
  <c r="V921" i="1"/>
  <c r="W921" i="1" s="1"/>
  <c r="V1941" i="1"/>
  <c r="W1941" i="1" s="1"/>
  <c r="Y461" i="1"/>
  <c r="V461" i="1"/>
  <c r="W461" i="1" s="1"/>
  <c r="Y912" i="1"/>
  <c r="V912" i="1"/>
  <c r="W912" i="1" s="1"/>
  <c r="Y1082" i="1"/>
  <c r="V1082" i="1"/>
  <c r="W1082" i="1" s="1"/>
  <c r="Y562" i="1"/>
  <c r="V562" i="1"/>
  <c r="W562" i="1" s="1"/>
  <c r="Y1569" i="1"/>
  <c r="V1569" i="1"/>
  <c r="W1569" i="1" s="1"/>
  <c r="Y1779" i="1"/>
  <c r="V1779" i="1"/>
  <c r="W1779" i="1" s="1"/>
  <c r="V688" i="1"/>
  <c r="W688" i="1" s="1"/>
  <c r="V315" i="1"/>
  <c r="W315" i="1" s="1"/>
  <c r="Y1335" i="1"/>
  <c r="V1335" i="1"/>
  <c r="W1335" i="1" s="1"/>
  <c r="Y762" i="1"/>
  <c r="V762" i="1"/>
  <c r="W762" i="1" s="1"/>
  <c r="V1261" i="1"/>
  <c r="W1261" i="1" s="1"/>
  <c r="Y1726" i="1"/>
  <c r="V1726" i="1"/>
  <c r="W1726" i="1" s="1"/>
  <c r="V206" i="1"/>
  <c r="W206" i="1" s="1"/>
  <c r="Y1055" i="1"/>
  <c r="V1055" i="1"/>
  <c r="W1055" i="1" s="1"/>
  <c r="Y1528" i="1"/>
  <c r="V1528" i="1"/>
  <c r="W1528" i="1" s="1"/>
  <c r="V1311" i="1"/>
  <c r="W1311" i="1" s="1"/>
  <c r="Y637" i="1"/>
  <c r="V637" i="1"/>
  <c r="W637" i="1" s="1"/>
  <c r="Y1998" i="1"/>
  <c r="V1998" i="1"/>
  <c r="W1998" i="1" s="1"/>
  <c r="Y1065" i="1"/>
  <c r="V1065" i="1"/>
  <c r="W1065" i="1" s="1"/>
  <c r="Y2048" i="1"/>
  <c r="V2048" i="1"/>
  <c r="W2048" i="1" s="1"/>
  <c r="Y277" i="1"/>
  <c r="V277" i="1"/>
  <c r="W277" i="1" s="1"/>
  <c r="Y2103" i="1"/>
  <c r="V2103" i="1"/>
  <c r="W2103" i="1" s="1"/>
  <c r="Y2061" i="1"/>
  <c r="V2061" i="1"/>
  <c r="W2061" i="1" s="1"/>
  <c r="Y1332" i="1"/>
  <c r="V1332" i="1"/>
  <c r="W1332" i="1" s="1"/>
  <c r="V617" i="1"/>
  <c r="W617" i="1" s="1"/>
  <c r="Y165" i="1"/>
  <c r="V165" i="1"/>
  <c r="W165" i="1" s="1"/>
  <c r="V452" i="1"/>
  <c r="W452" i="1" s="1"/>
  <c r="Y1667" i="1"/>
  <c r="V1667" i="1"/>
  <c r="W1667" i="1" s="1"/>
  <c r="V322" i="1"/>
  <c r="W322" i="1" s="1"/>
  <c r="Y1372" i="1"/>
  <c r="V1372" i="1"/>
  <c r="W1372" i="1" s="1"/>
  <c r="V92" i="1"/>
  <c r="W92" i="1" s="1"/>
  <c r="Y1403" i="1"/>
  <c r="V1403" i="1"/>
  <c r="W1403" i="1" s="1"/>
  <c r="V1623" i="1"/>
  <c r="W1623" i="1" s="1"/>
  <c r="Y1803" i="1"/>
  <c r="V1803" i="1"/>
  <c r="W1803" i="1" s="1"/>
  <c r="Y1143" i="1"/>
  <c r="V1143" i="1"/>
  <c r="W1143" i="1" s="1"/>
  <c r="V1957" i="1"/>
  <c r="W1957" i="1" s="1"/>
  <c r="V30" i="1"/>
  <c r="W30" i="1" s="1"/>
  <c r="Y24" i="1"/>
  <c r="V24" i="1"/>
  <c r="W24" i="1" s="1"/>
  <c r="V147" i="1"/>
  <c r="W147" i="1" s="1"/>
  <c r="V1427" i="1"/>
  <c r="W1427" i="1" s="1"/>
  <c r="Y835" i="1"/>
  <c r="V835" i="1"/>
  <c r="W835" i="1" s="1"/>
  <c r="Y2017" i="1"/>
  <c r="V2017" i="1"/>
  <c r="W2017" i="1" s="1"/>
  <c r="Y479" i="1"/>
  <c r="V479" i="1"/>
  <c r="W479" i="1" s="1"/>
  <c r="V836" i="1"/>
  <c r="W836" i="1" s="1"/>
  <c r="Y1083" i="1"/>
  <c r="V1083" i="1"/>
  <c r="W1083" i="1" s="1"/>
  <c r="Y588" i="1"/>
  <c r="V588" i="1"/>
  <c r="W588" i="1" s="1"/>
  <c r="Y938" i="1"/>
  <c r="V938" i="1"/>
  <c r="W938" i="1" s="1"/>
  <c r="Y689" i="1"/>
  <c r="V689" i="1"/>
  <c r="W689" i="1" s="1"/>
  <c r="V1737" i="1"/>
  <c r="W1737" i="1" s="1"/>
  <c r="Y180" i="1"/>
  <c r="V180" i="1"/>
  <c r="W180" i="1" s="1"/>
  <c r="V390" i="1"/>
  <c r="W390" i="1" s="1"/>
  <c r="Y266" i="1"/>
  <c r="V266" i="1"/>
  <c r="W266" i="1" s="1"/>
  <c r="Y296" i="1"/>
  <c r="V296" i="1"/>
  <c r="W296" i="1" s="1"/>
  <c r="Y233" i="1"/>
  <c r="V233" i="1"/>
  <c r="W233" i="1" s="1"/>
  <c r="Y235" i="1"/>
  <c r="V235" i="1"/>
  <c r="W235" i="1" s="1"/>
  <c r="Y197" i="1"/>
  <c r="V197" i="1"/>
  <c r="W197" i="1" s="1"/>
  <c r="Y1862" i="1"/>
  <c r="V1862" i="1"/>
  <c r="W1862" i="1" s="1"/>
  <c r="V1381" i="1"/>
  <c r="W1381" i="1" s="1"/>
  <c r="V628" i="1"/>
  <c r="W628" i="1" s="1"/>
  <c r="Y102" i="1"/>
  <c r="V102" i="1"/>
  <c r="W102" i="1" s="1"/>
  <c r="Y199" i="1"/>
  <c r="V199" i="1"/>
  <c r="W199" i="1" s="1"/>
  <c r="Y673" i="1"/>
  <c r="V673" i="1"/>
  <c r="W673" i="1" s="1"/>
  <c r="Y253" i="1"/>
  <c r="V253" i="1"/>
  <c r="W253" i="1" s="1"/>
  <c r="Y1979" i="1"/>
  <c r="V1979" i="1"/>
  <c r="W1979" i="1" s="1"/>
  <c r="Y604" i="1"/>
  <c r="V604" i="1"/>
  <c r="W604" i="1" s="1"/>
  <c r="V1018" i="1"/>
  <c r="W1018" i="1" s="1"/>
  <c r="V982" i="1"/>
  <c r="W982" i="1" s="1"/>
  <c r="Y1790" i="1"/>
  <c r="V1790" i="1"/>
  <c r="W1790" i="1" s="1"/>
  <c r="Y1342" i="1"/>
  <c r="V1342" i="1"/>
  <c r="W1342" i="1" s="1"/>
  <c r="V504" i="1"/>
  <c r="W504" i="1" s="1"/>
  <c r="Y1653" i="1"/>
  <c r="V1653" i="1"/>
  <c r="W1653" i="1" s="1"/>
  <c r="Y869" i="1"/>
  <c r="V869" i="1"/>
  <c r="W869" i="1" s="1"/>
  <c r="Y887" i="1"/>
  <c r="V887" i="1"/>
  <c r="W887" i="1" s="1"/>
  <c r="V1707" i="1"/>
  <c r="W1707" i="1" s="1"/>
  <c r="V403" i="1"/>
  <c r="W403" i="1" s="1"/>
  <c r="Y523" i="1"/>
  <c r="V523" i="1"/>
  <c r="W523" i="1" s="1"/>
  <c r="Y995" i="1"/>
  <c r="V995" i="1"/>
  <c r="W995" i="1" s="1"/>
  <c r="Y546" i="1"/>
  <c r="V546" i="1"/>
  <c r="W546" i="1" s="1"/>
  <c r="Y1918" i="1"/>
  <c r="V1918" i="1"/>
  <c r="W1918" i="1" s="1"/>
  <c r="Y737" i="1"/>
  <c r="V737" i="1"/>
  <c r="W737" i="1" s="1"/>
  <c r="Y1780" i="1"/>
  <c r="V1780" i="1"/>
  <c r="W1780" i="1" s="1"/>
  <c r="V1781" i="1"/>
  <c r="W1781" i="1" s="1"/>
  <c r="V825" i="1"/>
  <c r="W825" i="1" s="1"/>
  <c r="Y1315" i="1"/>
  <c r="V1315" i="1"/>
  <c r="W1315" i="1" s="1"/>
  <c r="Y1425" i="1"/>
  <c r="V1425" i="1"/>
  <c r="W1425" i="1" s="1"/>
  <c r="Y284" i="1"/>
  <c r="V284" i="1"/>
  <c r="W284" i="1" s="1"/>
  <c r="Y455" i="1"/>
  <c r="V455" i="1"/>
  <c r="W455" i="1" s="1"/>
  <c r="Y373" i="1"/>
  <c r="V373" i="1"/>
  <c r="W373" i="1" s="1"/>
  <c r="Y1084" i="1"/>
  <c r="V1084" i="1"/>
  <c r="W1084" i="1" s="1"/>
  <c r="V33" i="1"/>
  <c r="W33" i="1" s="1"/>
  <c r="V1831" i="1"/>
  <c r="W1831" i="1" s="1"/>
  <c r="Y1956" i="1"/>
  <c r="V1956" i="1"/>
  <c r="W1956" i="1" s="1"/>
  <c r="Y1362" i="1"/>
  <c r="V1362" i="1"/>
  <c r="W1362" i="1" s="1"/>
  <c r="Y517" i="1"/>
  <c r="V517" i="1"/>
  <c r="W517" i="1" s="1"/>
  <c r="Y2010" i="1"/>
  <c r="V2010" i="1"/>
  <c r="W2010" i="1" s="1"/>
  <c r="Y1420" i="1"/>
  <c r="V1420" i="1"/>
  <c r="W1420" i="1" s="1"/>
  <c r="Y1437" i="1"/>
  <c r="V1437" i="1"/>
  <c r="W1437" i="1" s="1"/>
  <c r="V1541" i="1"/>
  <c r="W1541" i="1" s="1"/>
  <c r="V1410" i="1"/>
  <c r="W1410" i="1" s="1"/>
  <c r="Y533" i="1"/>
  <c r="V533" i="1"/>
  <c r="W533" i="1" s="1"/>
  <c r="Y1085" i="1"/>
  <c r="V1085" i="1"/>
  <c r="W1085" i="1" s="1"/>
  <c r="Y1231" i="1"/>
  <c r="V1231" i="1"/>
  <c r="W1231" i="1" s="1"/>
  <c r="Y2003" i="1"/>
  <c r="V2003" i="1"/>
  <c r="W2003" i="1" s="1"/>
  <c r="Y1446" i="1"/>
  <c r="V1446" i="1"/>
  <c r="W1446" i="1" s="1"/>
  <c r="Y2085" i="1"/>
  <c r="V2085" i="1"/>
  <c r="W2085" i="1" s="1"/>
  <c r="V1176" i="1"/>
  <c r="W1176" i="1" s="1"/>
  <c r="V635" i="1"/>
  <c r="W635" i="1" s="1"/>
  <c r="Y1221" i="1"/>
  <c r="V1221" i="1"/>
  <c r="W1221" i="1" s="1"/>
  <c r="Y896" i="1"/>
  <c r="V896" i="1"/>
  <c r="W896" i="1" s="1"/>
  <c r="Y670" i="1"/>
  <c r="V670" i="1"/>
  <c r="W670" i="1" s="1"/>
  <c r="Y1023" i="1"/>
  <c r="V1023" i="1"/>
  <c r="W1023" i="1" s="1"/>
  <c r="V728" i="1"/>
  <c r="W728" i="1" s="1"/>
  <c r="Y1553" i="1"/>
  <c r="V1553" i="1"/>
  <c r="W1553" i="1" s="1"/>
  <c r="V84" i="1"/>
  <c r="W84" i="1" s="1"/>
  <c r="V1595" i="1"/>
  <c r="W1595" i="1" s="1"/>
  <c r="Y1265" i="1"/>
  <c r="V1265" i="1"/>
  <c r="W1265" i="1" s="1"/>
  <c r="Y1237" i="1"/>
  <c r="V1237" i="1"/>
  <c r="W1237" i="1" s="1"/>
  <c r="Y1995" i="1"/>
  <c r="V1995" i="1"/>
  <c r="W1995" i="1" s="1"/>
  <c r="Y332" i="1"/>
  <c r="V332" i="1"/>
  <c r="W332" i="1" s="1"/>
  <c r="Y392" i="1"/>
  <c r="V392" i="1"/>
  <c r="W392" i="1" s="1"/>
  <c r="Y1858" i="1"/>
  <c r="V1858" i="1"/>
  <c r="W1858" i="1" s="1"/>
  <c r="V966" i="1"/>
  <c r="W966" i="1" s="1"/>
  <c r="V1140" i="1"/>
  <c r="W1140" i="1" s="1"/>
  <c r="Y1136" i="1"/>
  <c r="V1136" i="1"/>
  <c r="W1136" i="1" s="1"/>
  <c r="Y337" i="1"/>
  <c r="V337" i="1"/>
  <c r="W337" i="1" s="1"/>
  <c r="Y704" i="1"/>
  <c r="V704" i="1"/>
  <c r="W704" i="1" s="1"/>
  <c r="Y1782" i="1"/>
  <c r="V1782" i="1"/>
  <c r="W1782" i="1" s="1"/>
  <c r="Y45" i="1"/>
  <c r="V45" i="1"/>
  <c r="W45" i="1" s="1"/>
  <c r="Y895" i="1"/>
  <c r="V895" i="1"/>
  <c r="W895" i="1" s="1"/>
  <c r="V685" i="1"/>
  <c r="W685" i="1" s="1"/>
  <c r="V930" i="1"/>
  <c r="W930" i="1" s="1"/>
  <c r="Y829" i="1"/>
  <c r="V829" i="1"/>
  <c r="W829" i="1" s="1"/>
  <c r="Y2006" i="1"/>
  <c r="V2006" i="1"/>
  <c r="W2006" i="1" s="1"/>
  <c r="Y1897" i="1"/>
  <c r="V1897" i="1"/>
  <c r="W1897" i="1" s="1"/>
  <c r="Y1406" i="1"/>
  <c r="V1406" i="1"/>
  <c r="W1406" i="1" s="1"/>
  <c r="V1665" i="1"/>
  <c r="W1665" i="1" s="1"/>
  <c r="Y1405" i="1"/>
  <c r="V1405" i="1"/>
  <c r="W1405" i="1" s="1"/>
  <c r="V655" i="1"/>
  <c r="W655" i="1" s="1"/>
  <c r="V282" i="1"/>
  <c r="W282" i="1" s="1"/>
  <c r="Y283" i="1"/>
  <c r="V283" i="1"/>
  <c r="W283" i="1" s="1"/>
  <c r="Y596" i="1"/>
  <c r="V596" i="1"/>
  <c r="W596" i="1" s="1"/>
  <c r="Y1340" i="1"/>
  <c r="V1340" i="1"/>
  <c r="W1340" i="1" s="1"/>
  <c r="Y730" i="1"/>
  <c r="V730" i="1"/>
  <c r="W730" i="1" s="1"/>
  <c r="V133" i="1"/>
  <c r="W133" i="1" s="1"/>
  <c r="Y1967" i="1"/>
  <c r="V1967" i="1"/>
  <c r="W1967" i="1" s="1"/>
  <c r="V2000" i="1"/>
  <c r="W2000" i="1" s="1"/>
  <c r="V1464" i="1"/>
  <c r="W1464" i="1" s="1"/>
  <c r="Y2015" i="1"/>
  <c r="V2015" i="1"/>
  <c r="W2015" i="1" s="1"/>
  <c r="Y1086" i="1"/>
  <c r="V1086" i="1"/>
  <c r="W1086" i="1" s="1"/>
  <c r="Y1416" i="1"/>
  <c r="V1416" i="1"/>
  <c r="W1416" i="1" s="1"/>
  <c r="Y21" i="1"/>
  <c r="V21" i="1"/>
  <c r="W21" i="1" s="1"/>
  <c r="Y1587" i="1"/>
  <c r="V1587" i="1"/>
  <c r="W1587" i="1" s="1"/>
  <c r="Y943" i="1"/>
  <c r="V943" i="1"/>
  <c r="W943" i="1" s="1"/>
  <c r="V38" i="1"/>
  <c r="W38" i="1" s="1"/>
  <c r="V25" i="1"/>
  <c r="W25" i="1" s="1"/>
  <c r="Y1954" i="1"/>
  <c r="V1954" i="1"/>
  <c r="W1954" i="1" s="1"/>
  <c r="Y135" i="1"/>
  <c r="V135" i="1"/>
  <c r="W135" i="1" s="1"/>
  <c r="Y1225" i="1"/>
  <c r="V1225" i="1"/>
  <c r="W1225" i="1" s="1"/>
  <c r="Y1130" i="1"/>
  <c r="V1130" i="1"/>
  <c r="W1130" i="1" s="1"/>
  <c r="V800" i="1"/>
  <c r="W800" i="1" s="1"/>
  <c r="Y834" i="1"/>
  <c r="V834" i="1"/>
  <c r="W834" i="1" s="1"/>
  <c r="V63" i="1"/>
  <c r="W63" i="1" s="1"/>
  <c r="V1185" i="1"/>
  <c r="W1185" i="1" s="1"/>
  <c r="Y95" i="1"/>
  <c r="V95" i="1"/>
  <c r="W95" i="1" s="1"/>
  <c r="Y67" i="1"/>
  <c r="V67" i="1"/>
  <c r="W67" i="1" s="1"/>
  <c r="Y1087" i="1"/>
  <c r="V1087" i="1"/>
  <c r="W1087" i="1" s="1"/>
  <c r="Y941" i="1"/>
  <c r="V941" i="1"/>
  <c r="W941" i="1" s="1"/>
  <c r="Y1534" i="1"/>
  <c r="V1534" i="1"/>
  <c r="W1534" i="1" s="1"/>
  <c r="Y1318" i="1"/>
  <c r="V1318" i="1"/>
  <c r="W1318" i="1" s="1"/>
  <c r="V1572" i="1"/>
  <c r="W1572" i="1" s="1"/>
  <c r="V1783" i="1"/>
  <c r="W1783" i="1" s="1"/>
  <c r="Y103" i="1"/>
  <c r="V103" i="1"/>
  <c r="W103" i="1" s="1"/>
  <c r="Y1777" i="1"/>
  <c r="V1777" i="1"/>
  <c r="W1777" i="1" s="1"/>
  <c r="V2080" i="1"/>
  <c r="W2080" i="1" s="1"/>
  <c r="Y569" i="1"/>
  <c r="V569" i="1"/>
  <c r="W569" i="1" s="1"/>
  <c r="Y297" i="1"/>
  <c r="V297" i="1"/>
  <c r="W297" i="1" s="1"/>
  <c r="Y146" i="1"/>
  <c r="V146" i="1"/>
  <c r="W146" i="1" s="1"/>
  <c r="Y377" i="1"/>
  <c r="V377" i="1"/>
  <c r="W377" i="1" s="1"/>
  <c r="V563" i="1"/>
  <c r="W563" i="1" s="1"/>
  <c r="Y1560" i="1"/>
  <c r="V1560" i="1"/>
  <c r="W1560" i="1" s="1"/>
  <c r="Y1458" i="1"/>
  <c r="V1458" i="1"/>
  <c r="W1458" i="1" s="1"/>
  <c r="V1210" i="1"/>
  <c r="W1210" i="1" s="1"/>
  <c r="Y1917" i="1"/>
  <c r="V1917" i="1"/>
  <c r="W1917" i="1" s="1"/>
  <c r="Y1606" i="1"/>
  <c r="V1606" i="1"/>
  <c r="W1606" i="1" s="1"/>
  <c r="Y687" i="1"/>
  <c r="V687" i="1"/>
  <c r="W687" i="1" s="1"/>
  <c r="Y789" i="1"/>
  <c r="V789" i="1"/>
  <c r="W789" i="1" s="1"/>
  <c r="V1835" i="1"/>
  <c r="W1835" i="1" s="1"/>
  <c r="Y1134" i="1"/>
  <c r="V1134" i="1"/>
  <c r="W1134" i="1" s="1"/>
  <c r="Y175" i="1"/>
  <c r="V175" i="1"/>
  <c r="W175" i="1" s="1"/>
  <c r="V749" i="1"/>
  <c r="W749" i="1" s="1"/>
  <c r="Y217" i="1"/>
  <c r="V217" i="1"/>
  <c r="W217" i="1" s="1"/>
  <c r="Y1661" i="1"/>
  <c r="V1661" i="1"/>
  <c r="W1661" i="1" s="1"/>
  <c r="Y983" i="1"/>
  <c r="V983" i="1"/>
  <c r="W983" i="1" s="1"/>
  <c r="Y1792" i="1"/>
  <c r="V1792" i="1"/>
  <c r="W1792" i="1" s="1"/>
  <c r="V1343" i="1"/>
  <c r="W1343" i="1" s="1"/>
  <c r="Y505" i="1"/>
  <c r="V505" i="1"/>
  <c r="W505" i="1" s="1"/>
  <c r="Y1654" i="1"/>
  <c r="V1654" i="1"/>
  <c r="W1654" i="1" s="1"/>
  <c r="V870" i="1"/>
  <c r="W870" i="1" s="1"/>
  <c r="Y888" i="1"/>
  <c r="V888" i="1"/>
  <c r="W888" i="1" s="1"/>
  <c r="Y1708" i="1"/>
  <c r="V1708" i="1"/>
  <c r="W1708" i="1" s="1"/>
  <c r="Y404" i="1"/>
  <c r="V404" i="1"/>
  <c r="W404" i="1" s="1"/>
  <c r="Y524" i="1"/>
  <c r="V524" i="1"/>
  <c r="W524" i="1" s="1"/>
  <c r="V998" i="1"/>
  <c r="W998" i="1" s="1"/>
  <c r="Y547" i="1"/>
  <c r="V547" i="1"/>
  <c r="W547" i="1" s="1"/>
  <c r="Y1919" i="1"/>
  <c r="V1919" i="1"/>
  <c r="W1919" i="1" s="1"/>
  <c r="V1483" i="1"/>
  <c r="W1483" i="1" s="1"/>
  <c r="Y924" i="1"/>
  <c r="V924" i="1"/>
  <c r="W924" i="1" s="1"/>
  <c r="V2052" i="1"/>
  <c r="W2052" i="1" s="1"/>
  <c r="Y969" i="1"/>
  <c r="V969" i="1"/>
  <c r="W969" i="1" s="1"/>
  <c r="Y1088" i="1"/>
  <c r="V1088" i="1"/>
  <c r="W1088" i="1" s="1"/>
  <c r="V342" i="1"/>
  <c r="W342" i="1" s="1"/>
  <c r="Y798" i="1"/>
  <c r="V798" i="1"/>
  <c r="W798" i="1" s="1"/>
  <c r="Y214" i="1"/>
  <c r="V214" i="1"/>
  <c r="W214" i="1" s="1"/>
  <c r="V894" i="1"/>
  <c r="W894" i="1" s="1"/>
  <c r="Y1272" i="1"/>
  <c r="V1272" i="1"/>
  <c r="W1272" i="1" s="1"/>
  <c r="Y573" i="1"/>
  <c r="V573" i="1"/>
  <c r="W573" i="1" s="1"/>
  <c r="Y1369" i="1"/>
  <c r="V1369" i="1"/>
  <c r="W1369" i="1" s="1"/>
  <c r="Y1175" i="1"/>
  <c r="V1175" i="1"/>
  <c r="W1175" i="1" s="1"/>
  <c r="V104" i="1"/>
  <c r="W104" i="1" s="1"/>
  <c r="V105" i="1"/>
  <c r="W105" i="1" s="1"/>
  <c r="Y106" i="1"/>
  <c r="V106" i="1"/>
  <c r="W106" i="1" s="1"/>
  <c r="V1073" i="1"/>
  <c r="W1073" i="1" s="1"/>
  <c r="Y1334" i="1"/>
  <c r="V1334" i="1"/>
  <c r="W1334" i="1" s="1"/>
  <c r="V795" i="1"/>
  <c r="W795" i="1" s="1"/>
  <c r="Y724" i="1"/>
  <c r="V724" i="1"/>
  <c r="W724" i="1" s="1"/>
  <c r="Y340" i="1"/>
  <c r="V340" i="1"/>
  <c r="W340" i="1" s="1"/>
  <c r="V1645" i="1"/>
  <c r="W1645" i="1" s="1"/>
  <c r="Y388" i="1"/>
  <c r="V388" i="1"/>
  <c r="W388" i="1" s="1"/>
  <c r="Y975" i="1"/>
  <c r="V975" i="1"/>
  <c r="W975" i="1" s="1"/>
  <c r="V957" i="1"/>
  <c r="W957" i="1" s="1"/>
  <c r="Y994" i="1"/>
  <c r="V994" i="1"/>
  <c r="W994" i="1" s="1"/>
  <c r="V1187" i="1"/>
  <c r="W1187" i="1" s="1"/>
  <c r="Y328" i="1"/>
  <c r="V328" i="1"/>
  <c r="W328" i="1" s="1"/>
  <c r="Y1744" i="1"/>
  <c r="V1744" i="1"/>
  <c r="W1744" i="1" s="1"/>
  <c r="Y1209" i="1"/>
  <c r="V1209" i="1"/>
  <c r="W1209" i="1" s="1"/>
  <c r="Y360" i="1"/>
  <c r="V360" i="1"/>
  <c r="W360" i="1" s="1"/>
  <c r="Y1426" i="1"/>
  <c r="V1426" i="1"/>
  <c r="W1426" i="1" s="1"/>
  <c r="Y1833" i="1"/>
  <c r="V1833" i="1"/>
  <c r="W1833" i="1" s="1"/>
  <c r="Y1178" i="1"/>
  <c r="V1178" i="1"/>
  <c r="W1178" i="1" s="1"/>
  <c r="V770" i="1"/>
  <c r="W770" i="1" s="1"/>
  <c r="Y2036" i="1"/>
  <c r="V2036" i="1"/>
  <c r="W2036" i="1" s="1"/>
  <c r="V1899" i="1"/>
  <c r="W1899" i="1" s="1"/>
  <c r="V1585" i="1"/>
  <c r="W1585" i="1" s="1"/>
  <c r="V1089" i="1"/>
  <c r="W1089" i="1" s="1"/>
  <c r="Y694" i="1"/>
  <c r="V694" i="1"/>
  <c r="W694" i="1" s="1"/>
  <c r="V1548" i="1"/>
  <c r="W1548" i="1" s="1"/>
  <c r="Y1206" i="1"/>
  <c r="V1206" i="1"/>
  <c r="W1206" i="1" s="1"/>
  <c r="V805" i="1"/>
  <c r="W805" i="1" s="1"/>
  <c r="Y431" i="1"/>
  <c r="V431" i="1"/>
  <c r="W431" i="1" s="1"/>
  <c r="V1588" i="1"/>
  <c r="W1588" i="1" s="1"/>
  <c r="V716" i="1"/>
  <c r="W716" i="1" s="1"/>
  <c r="Y1319" i="1"/>
  <c r="V1319" i="1"/>
  <c r="W1319" i="1" s="1"/>
  <c r="Y1090" i="1"/>
  <c r="V1090" i="1"/>
  <c r="W1090" i="1" s="1"/>
  <c r="Y1160" i="1"/>
  <c r="V1160" i="1"/>
  <c r="W1160" i="1" s="1"/>
  <c r="Y1636" i="1"/>
  <c r="V1636" i="1"/>
  <c r="W1636" i="1" s="1"/>
  <c r="Y1467" i="1"/>
  <c r="V1467" i="1"/>
  <c r="W1467" i="1" s="1"/>
  <c r="Y690" i="1"/>
  <c r="V690" i="1"/>
  <c r="W690" i="1" s="1"/>
  <c r="Y929" i="1"/>
  <c r="V929" i="1"/>
  <c r="W929" i="1" s="1"/>
  <c r="V1646" i="1"/>
  <c r="W1646" i="1" s="1"/>
  <c r="V990" i="1"/>
  <c r="W990" i="1" s="1"/>
  <c r="V1855" i="1"/>
  <c r="W1855" i="1" s="1"/>
  <c r="V26" i="1"/>
  <c r="W26" i="1" s="1"/>
  <c r="Y1990" i="1"/>
  <c r="V1990" i="1"/>
  <c r="W1990" i="1" s="1"/>
  <c r="Y1882" i="1"/>
  <c r="V1882" i="1"/>
  <c r="W1882" i="1" s="1"/>
  <c r="Y74" i="1"/>
  <c r="V74" i="1"/>
  <c r="W74" i="1" s="1"/>
  <c r="V1229" i="1"/>
  <c r="W1229" i="1" s="1"/>
  <c r="Y1217" i="1"/>
  <c r="V1217" i="1"/>
  <c r="W1217" i="1" s="1"/>
  <c r="V1610" i="1"/>
  <c r="W1610" i="1" s="1"/>
  <c r="V1512" i="1"/>
  <c r="W1512" i="1" s="1"/>
  <c r="Y1201" i="1"/>
  <c r="V1201" i="1"/>
  <c r="W1201" i="1" s="1"/>
  <c r="Y1454" i="1"/>
  <c r="V1454" i="1"/>
  <c r="W1454" i="1" s="1"/>
  <c r="Y136" i="1"/>
  <c r="V136" i="1"/>
  <c r="W136" i="1" s="1"/>
  <c r="V128" i="1"/>
  <c r="W128" i="1" s="1"/>
  <c r="V286" i="1"/>
  <c r="W286" i="1" s="1"/>
  <c r="Y437" i="1"/>
  <c r="V437" i="1"/>
  <c r="W437" i="1" s="1"/>
  <c r="V863" i="1"/>
  <c r="W863" i="1" s="1"/>
  <c r="V382" i="1"/>
  <c r="W382" i="1" s="1"/>
  <c r="V232" i="1"/>
  <c r="W232" i="1" s="1"/>
  <c r="Y1740" i="1"/>
  <c r="V1740" i="1"/>
  <c r="W1740" i="1" s="1"/>
  <c r="Y1091" i="1"/>
  <c r="V1091" i="1"/>
  <c r="W1091" i="1" s="1"/>
  <c r="Y2051" i="1"/>
  <c r="V2051" i="1"/>
  <c r="W2051" i="1" s="1"/>
  <c r="V361" i="1"/>
  <c r="W361" i="1" s="1"/>
  <c r="Y1196" i="1"/>
  <c r="V1196" i="1"/>
  <c r="W1196" i="1" s="1"/>
  <c r="V345" i="1"/>
  <c r="W345" i="1" s="1"/>
  <c r="V1694" i="1"/>
  <c r="W1694" i="1" s="1"/>
  <c r="Y362" i="1"/>
  <c r="V362" i="1"/>
  <c r="W362" i="1" s="1"/>
  <c r="Y984" i="1"/>
  <c r="V984" i="1"/>
  <c r="W984" i="1" s="1"/>
  <c r="V1793" i="1"/>
  <c r="W1793" i="1" s="1"/>
  <c r="Y1344" i="1"/>
  <c r="V1344" i="1"/>
  <c r="W1344" i="1" s="1"/>
  <c r="V506" i="1"/>
  <c r="W506" i="1" s="1"/>
  <c r="Y264" i="1"/>
  <c r="V264" i="1"/>
  <c r="W264" i="1" s="1"/>
  <c r="V359" i="1"/>
  <c r="W359" i="1" s="1"/>
  <c r="V449" i="1"/>
  <c r="W449" i="1" s="1"/>
  <c r="V1339" i="1"/>
  <c r="W1339" i="1" s="1"/>
  <c r="Y1655" i="1"/>
  <c r="V1655" i="1"/>
  <c r="W1655" i="1" s="1"/>
  <c r="Y871" i="1"/>
  <c r="V871" i="1"/>
  <c r="W871" i="1" s="1"/>
  <c r="V889" i="1"/>
  <c r="W889" i="1" s="1"/>
  <c r="V1724" i="1"/>
  <c r="W1724" i="1" s="1"/>
  <c r="Y405" i="1"/>
  <c r="V405" i="1"/>
  <c r="W405" i="1" s="1"/>
  <c r="V525" i="1"/>
  <c r="W525" i="1" s="1"/>
  <c r="V1000" i="1"/>
  <c r="W1000" i="1" s="1"/>
  <c r="Y557" i="1"/>
  <c r="V557" i="1"/>
  <c r="W557" i="1" s="1"/>
  <c r="Y1920" i="1"/>
  <c r="V1920" i="1"/>
  <c r="W1920" i="1" s="1"/>
  <c r="Y1875" i="1"/>
  <c r="V1875" i="1"/>
  <c r="W1875" i="1" s="1"/>
  <c r="Y198" i="1"/>
  <c r="V198" i="1"/>
  <c r="W198" i="1" s="1"/>
  <c r="Y543" i="1"/>
  <c r="V543" i="1"/>
  <c r="W543" i="1" s="1"/>
  <c r="Y1559" i="1"/>
  <c r="V1559" i="1"/>
  <c r="W1559" i="1" s="1"/>
  <c r="V1677" i="1"/>
  <c r="W1677" i="1" s="1"/>
  <c r="V1669" i="1"/>
  <c r="W1669" i="1" s="1"/>
  <c r="V1414" i="1"/>
  <c r="W1414" i="1" s="1"/>
  <c r="Y799" i="1"/>
  <c r="V799" i="1"/>
  <c r="W799" i="1" s="1"/>
  <c r="V780" i="1"/>
  <c r="W780" i="1" s="1"/>
  <c r="V1519" i="1"/>
  <c r="W1519" i="1" s="1"/>
  <c r="V1357" i="1"/>
  <c r="W1357" i="1" s="1"/>
  <c r="Y1145" i="1"/>
  <c r="V1145" i="1"/>
  <c r="W1145" i="1" s="1"/>
  <c r="V1996" i="1"/>
  <c r="W1996" i="1" s="1"/>
  <c r="V1092" i="1"/>
  <c r="W1092" i="1" s="1"/>
  <c r="Y50" i="1"/>
  <c r="V50" i="1"/>
  <c r="W50" i="1" s="1"/>
  <c r="Y2083" i="1"/>
  <c r="V2083" i="1"/>
  <c r="W2083" i="1" s="1"/>
  <c r="Y680" i="1"/>
  <c r="V680" i="1"/>
  <c r="W680" i="1" s="1"/>
  <c r="Y1767" i="1"/>
  <c r="V1767" i="1"/>
  <c r="W1767" i="1" s="1"/>
  <c r="V1828" i="1"/>
  <c r="W1828" i="1" s="1"/>
  <c r="Y698" i="1"/>
  <c r="V698" i="1"/>
  <c r="W698" i="1" s="1"/>
  <c r="V1354" i="1"/>
  <c r="W1354" i="1" s="1"/>
  <c r="V249" i="1"/>
  <c r="W249" i="1" s="1"/>
  <c r="Y1407" i="1"/>
  <c r="V1407" i="1"/>
  <c r="W1407" i="1" s="1"/>
  <c r="Y875" i="1"/>
  <c r="V875" i="1"/>
  <c r="W875" i="1" s="1"/>
  <c r="V1712" i="1"/>
  <c r="W1712" i="1" s="1"/>
  <c r="Y592" i="1"/>
  <c r="V592" i="1"/>
  <c r="W592" i="1" s="1"/>
  <c r="V584" i="1"/>
  <c r="W584" i="1" s="1"/>
  <c r="Y1093" i="1"/>
  <c r="V1093" i="1"/>
  <c r="W1093" i="1" s="1"/>
  <c r="V790" i="1"/>
  <c r="W790" i="1" s="1"/>
  <c r="V1524" i="1"/>
  <c r="W1524" i="1" s="1"/>
  <c r="V1939" i="1"/>
  <c r="W1939" i="1" s="1"/>
  <c r="Y2098" i="1"/>
  <c r="V2098" i="1"/>
  <c r="W2098" i="1" s="1"/>
  <c r="Y2049" i="1"/>
  <c r="V2049" i="1"/>
  <c r="W2049" i="1" s="1"/>
  <c r="V1333" i="1"/>
  <c r="W1333" i="1" s="1"/>
  <c r="V1169" i="1"/>
  <c r="W1169" i="1" s="1"/>
  <c r="Y878" i="1"/>
  <c r="V878" i="1"/>
  <c r="W878" i="1" s="1"/>
  <c r="V1417" i="1"/>
  <c r="W1417" i="1" s="1"/>
  <c r="V699" i="1"/>
  <c r="W699" i="1" s="1"/>
  <c r="Y294" i="1"/>
  <c r="V294" i="1"/>
  <c r="W294" i="1" s="1"/>
  <c r="Y1808" i="1"/>
  <c r="V1808" i="1"/>
  <c r="W1808" i="1" s="1"/>
  <c r="Y934" i="1"/>
  <c r="V934" i="1"/>
  <c r="W934" i="1" s="1"/>
  <c r="V831" i="1"/>
  <c r="W831" i="1" s="1"/>
  <c r="V317" i="1"/>
  <c r="W317" i="1" s="1"/>
  <c r="Y758" i="1"/>
  <c r="V758" i="1"/>
  <c r="W758" i="1" s="1"/>
  <c r="V1094" i="1"/>
  <c r="W1094" i="1" s="1"/>
  <c r="V854" i="1"/>
  <c r="W854" i="1" s="1"/>
  <c r="V279" i="1"/>
  <c r="W279" i="1" s="1"/>
  <c r="Y1367" i="1"/>
  <c r="V1367" i="1"/>
  <c r="W1367" i="1" s="1"/>
  <c r="Y1741" i="1"/>
  <c r="V1741" i="1"/>
  <c r="W1741" i="1" s="1"/>
  <c r="Y1256" i="1"/>
  <c r="V1256" i="1"/>
  <c r="W1256" i="1" s="1"/>
  <c r="V801" i="1"/>
  <c r="W801" i="1" s="1"/>
  <c r="Y731" i="1"/>
  <c r="V731" i="1"/>
  <c r="W731" i="1" s="1"/>
  <c r="V1885" i="1"/>
  <c r="W1885" i="1" s="1"/>
  <c r="V1904" i="1"/>
  <c r="W1904" i="1" s="1"/>
  <c r="V1188" i="1"/>
  <c r="W1188" i="1" s="1"/>
  <c r="Y1914" i="1"/>
  <c r="V1914" i="1"/>
  <c r="W1914" i="1" s="1"/>
  <c r="Y1898" i="1"/>
  <c r="V1898" i="1"/>
  <c r="W1898" i="1" s="1"/>
  <c r="V1232" i="1"/>
  <c r="W1232" i="1" s="1"/>
  <c r="V883" i="1"/>
  <c r="W883" i="1" s="1"/>
  <c r="Y1868" i="1"/>
  <c r="V1868" i="1"/>
  <c r="W1868" i="1" s="1"/>
  <c r="V1274" i="1"/>
  <c r="W1274" i="1" s="1"/>
  <c r="V881" i="1"/>
  <c r="W881" i="1" s="1"/>
  <c r="Y651" i="1"/>
  <c r="V651" i="1"/>
  <c r="W651" i="1" s="1"/>
  <c r="Y1531" i="1"/>
  <c r="V1531" i="1"/>
  <c r="W1531" i="1" s="1"/>
  <c r="Y1762" i="1"/>
  <c r="V1762" i="1"/>
  <c r="W1762" i="1" s="1"/>
  <c r="V1616" i="1"/>
  <c r="W1616" i="1" s="1"/>
  <c r="V1349" i="1"/>
  <c r="W1349" i="1" s="1"/>
  <c r="Y2068" i="1"/>
  <c r="V2068" i="1"/>
  <c r="W2068" i="1" s="1"/>
  <c r="V60" i="1"/>
  <c r="W60" i="1" s="1"/>
  <c r="V1755" i="1"/>
  <c r="W1755" i="1" s="1"/>
  <c r="V148" i="1"/>
  <c r="W148" i="1" s="1"/>
  <c r="Y22" i="1"/>
  <c r="V22" i="1"/>
  <c r="W22" i="1" s="1"/>
  <c r="Y462" i="1"/>
  <c r="V462" i="1"/>
  <c r="W462" i="1" s="1"/>
  <c r="V1847" i="1"/>
  <c r="W1847" i="1" s="1"/>
  <c r="V1935" i="1"/>
  <c r="W1935" i="1" s="1"/>
  <c r="Y1363" i="1"/>
  <c r="V1363" i="1"/>
  <c r="W1363" i="1" s="1"/>
  <c r="V321" i="1"/>
  <c r="W321" i="1" s="1"/>
  <c r="V339" i="1"/>
  <c r="W339" i="1" s="1"/>
  <c r="V159" i="1"/>
  <c r="W159" i="1" s="1"/>
  <c r="Y1095" i="1"/>
  <c r="V1095" i="1"/>
  <c r="W1095" i="1" s="1"/>
  <c r="Y10" i="1"/>
  <c r="V10" i="1"/>
  <c r="W10" i="1" s="1"/>
  <c r="V418" i="1"/>
  <c r="W418" i="1" s="1"/>
  <c r="V372" i="1"/>
  <c r="W372" i="1" s="1"/>
  <c r="Y242" i="1"/>
  <c r="V242" i="1"/>
  <c r="W242" i="1" s="1"/>
  <c r="V650" i="1"/>
  <c r="W650" i="1" s="1"/>
  <c r="V663" i="1"/>
  <c r="W663" i="1" s="1"/>
  <c r="Y1719" i="1"/>
  <c r="V1719" i="1"/>
  <c r="W1719" i="1" s="1"/>
  <c r="Y761" i="1"/>
  <c r="V761" i="1"/>
  <c r="W761" i="1" s="1"/>
  <c r="Y394" i="1"/>
  <c r="V394" i="1"/>
  <c r="W394" i="1" s="1"/>
  <c r="Y985" i="1"/>
  <c r="V985" i="1"/>
  <c r="W985" i="1" s="1"/>
  <c r="V1794" i="1"/>
  <c r="W1794" i="1" s="1"/>
  <c r="Y1345" i="1"/>
  <c r="V1345" i="1"/>
  <c r="W1345" i="1" s="1"/>
  <c r="V507" i="1"/>
  <c r="W507" i="1" s="1"/>
  <c r="V1656" i="1"/>
  <c r="W1656" i="1" s="1"/>
  <c r="Y872" i="1"/>
  <c r="V872" i="1"/>
  <c r="W872" i="1" s="1"/>
  <c r="Y890" i="1"/>
  <c r="V890" i="1"/>
  <c r="W890" i="1" s="1"/>
  <c r="Y1725" i="1"/>
  <c r="V1725" i="1"/>
  <c r="W1725" i="1" s="1"/>
  <c r="V406" i="1"/>
  <c r="W406" i="1" s="1"/>
  <c r="V526" i="1"/>
  <c r="W526" i="1" s="1"/>
  <c r="Y467" i="1"/>
  <c r="V467" i="1"/>
  <c r="W467" i="1" s="1"/>
  <c r="V1013" i="1"/>
  <c r="W1013" i="1" s="1"/>
  <c r="V548" i="1"/>
  <c r="W548" i="1" s="1"/>
  <c r="Y1921" i="1"/>
  <c r="V1921" i="1"/>
  <c r="W1921" i="1" s="1"/>
  <c r="Y2016" i="1"/>
  <c r="V2016" i="1"/>
  <c r="W2016" i="1" s="1"/>
  <c r="Y1314" i="1"/>
  <c r="V1314" i="1"/>
  <c r="W1314" i="1" s="1"/>
  <c r="V262" i="1"/>
  <c r="W262" i="1" s="1"/>
  <c r="V2044" i="1"/>
  <c r="W2044" i="1" s="1"/>
  <c r="Y6" i="1"/>
  <c r="V6" i="1"/>
  <c r="W6" i="1" s="1"/>
  <c r="V1900" i="1"/>
  <c r="W1900" i="1" s="1"/>
  <c r="Y1096" i="1"/>
  <c r="V1096" i="1"/>
  <c r="W1096" i="1" s="1"/>
  <c r="Y363" i="1"/>
  <c r="V363" i="1"/>
  <c r="W363" i="1" s="1"/>
  <c r="Y1969" i="1"/>
  <c r="V1969" i="1"/>
  <c r="W1969" i="1" s="1"/>
  <c r="Y751" i="1"/>
  <c r="V751" i="1"/>
  <c r="W751" i="1" s="1"/>
  <c r="V736" i="1"/>
  <c r="W736" i="1" s="1"/>
  <c r="V674" i="1"/>
  <c r="W674" i="1" s="1"/>
  <c r="Y797" i="1"/>
  <c r="V797" i="1"/>
  <c r="W797" i="1" s="1"/>
  <c r="Y1478" i="1"/>
  <c r="V1478" i="1"/>
  <c r="W1478" i="1" s="1"/>
  <c r="Y166" i="1"/>
  <c r="V166" i="1"/>
  <c r="W166" i="1" s="1"/>
  <c r="Y1312" i="1"/>
  <c r="V1312" i="1"/>
  <c r="W1312" i="1" s="1"/>
  <c r="Y1800" i="1"/>
  <c r="V1800" i="1"/>
  <c r="W1800" i="1" s="1"/>
  <c r="V108" i="1"/>
  <c r="W108" i="1" s="1"/>
  <c r="V726" i="1"/>
  <c r="W726" i="1" s="1"/>
  <c r="Y15" i="1"/>
  <c r="V15" i="1"/>
  <c r="W15" i="1" s="1"/>
  <c r="Y1635" i="1"/>
  <c r="V1635" i="1"/>
  <c r="W1635" i="1" s="1"/>
  <c r="V1829" i="1"/>
  <c r="W1829" i="1" s="1"/>
  <c r="V1408" i="1"/>
  <c r="W1408" i="1" s="1"/>
  <c r="Y1039" i="1"/>
  <c r="V1039" i="1"/>
  <c r="W1039" i="1" s="1"/>
  <c r="Y2099" i="1"/>
  <c r="V2099" i="1"/>
  <c r="W2099" i="1" s="1"/>
  <c r="Y1097" i="1"/>
  <c r="V1097" i="1"/>
  <c r="W1097" i="1" s="1"/>
  <c r="Y1580" i="1"/>
  <c r="V1580" i="1"/>
  <c r="W1580" i="1" s="1"/>
  <c r="Y1940" i="1"/>
  <c r="V1940" i="1"/>
  <c r="W1940" i="1" s="1"/>
  <c r="Y1149" i="1"/>
  <c r="V1149" i="1"/>
  <c r="W1149" i="1" s="1"/>
  <c r="Y16" i="1"/>
  <c r="V16" i="1"/>
  <c r="W16" i="1" s="1"/>
  <c r="Y1069" i="1"/>
  <c r="V1069" i="1"/>
  <c r="W1069" i="1" s="1"/>
  <c r="Y1727" i="1"/>
  <c r="V1727" i="1"/>
  <c r="W1727" i="1" s="1"/>
  <c r="Y1321" i="1"/>
  <c r="V1321" i="1"/>
  <c r="W1321" i="1" s="1"/>
  <c r="Y1191" i="1"/>
  <c r="V1191" i="1"/>
  <c r="W1191" i="1" s="1"/>
  <c r="V1504" i="1"/>
  <c r="W1504" i="1" s="1"/>
  <c r="Y1734" i="1"/>
  <c r="V1734" i="1"/>
  <c r="W1734" i="1" s="1"/>
  <c r="Y1006" i="1"/>
  <c r="V1006" i="1"/>
  <c r="W1006" i="1" s="1"/>
  <c r="V351" i="1"/>
  <c r="W351" i="1" s="1"/>
  <c r="V2025" i="1"/>
  <c r="W2025" i="1" s="1"/>
  <c r="Y83" i="1"/>
  <c r="V83" i="1"/>
  <c r="W83" i="1" s="1"/>
  <c r="Y1622" i="1"/>
  <c r="V1622" i="1"/>
  <c r="W1622" i="1" s="1"/>
  <c r="Y1014" i="1"/>
  <c r="V1014" i="1"/>
  <c r="W1014" i="1" s="1"/>
  <c r="V1028" i="1"/>
  <c r="W1028" i="1" s="1"/>
  <c r="Y644" i="1"/>
  <c r="V644" i="1"/>
  <c r="W644" i="1" s="1"/>
  <c r="Y1193" i="1"/>
  <c r="V1193" i="1"/>
  <c r="W1193" i="1" s="1"/>
  <c r="V1544" i="1"/>
  <c r="W1544" i="1" s="1"/>
  <c r="V1670" i="1"/>
  <c r="W1670" i="1" s="1"/>
  <c r="Y1647" i="1"/>
  <c r="V1647" i="1"/>
  <c r="W1647" i="1" s="1"/>
  <c r="Y2007" i="1"/>
  <c r="V2007" i="1"/>
  <c r="W2007" i="1" s="1"/>
  <c r="V1626" i="1"/>
  <c r="W1626" i="1" s="1"/>
  <c r="Y574" i="1"/>
  <c r="V574" i="1"/>
  <c r="W574" i="1" s="1"/>
  <c r="Y1098" i="1"/>
  <c r="V1098" i="1"/>
  <c r="W1098" i="1" s="1"/>
  <c r="Y515" i="1"/>
  <c r="V515" i="1"/>
  <c r="W515" i="1" s="1"/>
  <c r="Y1432" i="1"/>
  <c r="V1432" i="1"/>
  <c r="W1432" i="1" s="1"/>
  <c r="V160" i="1"/>
  <c r="W160" i="1" s="1"/>
  <c r="V1535" i="1"/>
  <c r="W1535" i="1" s="1"/>
  <c r="V131" i="1"/>
  <c r="W131" i="1" s="1"/>
  <c r="Y17" i="1"/>
  <c r="V17" i="1"/>
  <c r="W17" i="1" s="1"/>
  <c r="Y8" i="1"/>
  <c r="V8" i="1"/>
  <c r="W8" i="1" s="1"/>
  <c r="Y847" i="1"/>
  <c r="V847" i="1"/>
  <c r="W847" i="1" s="1"/>
  <c r="V454" i="1"/>
  <c r="W454" i="1" s="1"/>
  <c r="Y753" i="1"/>
  <c r="V753" i="1"/>
  <c r="W753" i="1" s="1"/>
  <c r="V1070" i="1"/>
  <c r="W1070" i="1" s="1"/>
  <c r="V810" i="1"/>
  <c r="W810" i="1" s="1"/>
  <c r="V575" i="1"/>
  <c r="W575" i="1" s="1"/>
  <c r="Y1099" i="1"/>
  <c r="V1099" i="1"/>
  <c r="W1099" i="1" s="1"/>
  <c r="Y1693" i="1"/>
  <c r="V1693" i="1"/>
  <c r="W1693" i="1" s="1"/>
  <c r="Y717" i="1"/>
  <c r="V717" i="1"/>
  <c r="W717" i="1" s="1"/>
  <c r="V1742" i="1"/>
  <c r="W1742" i="1" s="1"/>
  <c r="Y1223" i="1"/>
  <c r="V1223" i="1"/>
  <c r="W1223" i="1" s="1"/>
  <c r="V2045" i="1"/>
  <c r="W2045" i="1" s="1"/>
  <c r="V1387" i="1"/>
  <c r="W1387" i="1" s="1"/>
  <c r="V182" i="1"/>
  <c r="W182" i="1" s="1"/>
  <c r="Y1468" i="1"/>
  <c r="V1468" i="1"/>
  <c r="W1468" i="1" s="1"/>
  <c r="Y585" i="1"/>
  <c r="V585" i="1"/>
  <c r="W585" i="1" s="1"/>
  <c r="Y613" i="1"/>
  <c r="V613" i="1"/>
  <c r="W613" i="1" s="1"/>
  <c r="Y218" i="1"/>
  <c r="V218" i="1"/>
  <c r="W218" i="1" s="1"/>
  <c r="Y903" i="1"/>
  <c r="V903" i="1"/>
  <c r="W903" i="1" s="1"/>
  <c r="V882" i="1"/>
  <c r="W882" i="1" s="1"/>
  <c r="V303" i="1"/>
  <c r="W303" i="1" s="1"/>
  <c r="V1743" i="1"/>
  <c r="W1743" i="1" s="1"/>
  <c r="Y2041" i="1"/>
  <c r="V2041" i="1"/>
  <c r="W2041" i="1" s="1"/>
  <c r="Y972" i="1"/>
  <c r="V972" i="1"/>
  <c r="W972" i="1" s="1"/>
  <c r="Y1003" i="1"/>
  <c r="V1003" i="1"/>
  <c r="W1003" i="1" s="1"/>
  <c r="V1390" i="1"/>
  <c r="W1390" i="1" s="1"/>
  <c r="Y1934" i="1"/>
  <c r="V1934" i="1"/>
  <c r="W1934" i="1" s="1"/>
  <c r="V1602" i="1"/>
  <c r="W1602" i="1" s="1"/>
  <c r="Y516" i="1"/>
  <c r="V516" i="1"/>
  <c r="W516" i="1" s="1"/>
  <c r="Y986" i="1"/>
  <c r="V986" i="1"/>
  <c r="W986" i="1" s="1"/>
  <c r="Y1795" i="1"/>
  <c r="V1795" i="1"/>
  <c r="W1795" i="1" s="1"/>
  <c r="V1435" i="1"/>
  <c r="W1435" i="1" s="1"/>
  <c r="Y508" i="1"/>
  <c r="V508" i="1"/>
  <c r="W508" i="1" s="1"/>
  <c r="V1657" i="1"/>
  <c r="W1657" i="1" s="1"/>
  <c r="Y873" i="1"/>
  <c r="V873" i="1"/>
  <c r="W873" i="1" s="1"/>
  <c r="V891" i="1"/>
  <c r="W891" i="1" s="1"/>
  <c r="Y1810" i="1"/>
  <c r="V1810" i="1"/>
  <c r="W1810" i="1" s="1"/>
  <c r="V1945" i="1"/>
  <c r="W1945" i="1" s="1"/>
  <c r="Y494" i="1"/>
  <c r="V494" i="1"/>
  <c r="W494" i="1" s="1"/>
  <c r="V1034" i="1"/>
  <c r="W1034" i="1" s="1"/>
  <c r="Y549" i="1"/>
  <c r="V549" i="1"/>
  <c r="W549" i="1" s="1"/>
  <c r="V1922" i="1"/>
  <c r="W1922" i="1" s="1"/>
  <c r="Y742" i="1"/>
  <c r="V742" i="1"/>
  <c r="W742" i="1" s="1"/>
  <c r="V2104" i="1"/>
  <c r="W2104" i="1" s="1"/>
  <c r="Y2090" i="1"/>
  <c r="V2090" i="1"/>
  <c r="W2090" i="1" s="1"/>
  <c r="V1916" i="1"/>
  <c r="W1916" i="1" s="1"/>
  <c r="Y2039" i="1"/>
  <c r="V2039" i="1"/>
  <c r="W2039" i="1" s="1"/>
  <c r="V265" i="1"/>
  <c r="W265" i="1" s="1"/>
  <c r="Y307" i="1"/>
  <c r="V307" i="1"/>
  <c r="W307" i="1" s="1"/>
  <c r="V1927" i="1"/>
  <c r="W1927" i="1" s="1"/>
  <c r="Y1132" i="1"/>
  <c r="V1132" i="1"/>
  <c r="W1132" i="1" s="1"/>
  <c r="V358" i="1"/>
  <c r="W358" i="1" s="1"/>
  <c r="Y710" i="1"/>
  <c r="V710" i="1"/>
  <c r="W710" i="1" s="1"/>
  <c r="Y638" i="1"/>
  <c r="V638" i="1"/>
  <c r="W638" i="1" s="1"/>
  <c r="Y1100" i="1"/>
  <c r="V1100" i="1"/>
  <c r="W1100" i="1" s="1"/>
  <c r="Y703" i="1"/>
  <c r="V703" i="1"/>
  <c r="W703" i="1" s="1"/>
  <c r="V364" i="1"/>
  <c r="W364" i="1" s="1"/>
  <c r="V2035" i="1"/>
  <c r="W2035" i="1" s="1"/>
  <c r="Y4" i="1"/>
  <c r="V4" i="1"/>
  <c r="W4" i="1" s="1"/>
  <c r="V14" i="1"/>
  <c r="W14" i="1" s="1"/>
  <c r="Y7" i="1"/>
  <c r="V7" i="1"/>
  <c r="W7" i="1" s="1"/>
  <c r="V580" i="1"/>
  <c r="W580" i="1" s="1"/>
  <c r="Y1965" i="1"/>
  <c r="V1965" i="1"/>
  <c r="W1965" i="1" s="1"/>
  <c r="Y856" i="1"/>
  <c r="V856" i="1"/>
  <c r="W856" i="1" s="1"/>
  <c r="V1547" i="1"/>
  <c r="W1547" i="1" s="1"/>
  <c r="V905" i="1"/>
  <c r="W905" i="1" s="1"/>
  <c r="Y1418" i="1"/>
  <c r="V1418" i="1"/>
  <c r="W1418" i="1" s="1"/>
  <c r="V258" i="1"/>
  <c r="W258" i="1" s="1"/>
  <c r="Y439" i="1"/>
  <c r="V439" i="1"/>
  <c r="W439" i="1" s="1"/>
  <c r="Y1997" i="1"/>
  <c r="V1997" i="1"/>
  <c r="W1997" i="1" s="1"/>
  <c r="Y2024" i="1"/>
  <c r="V2024" i="1"/>
  <c r="W2024" i="1" s="1"/>
  <c r="V1127" i="1"/>
  <c r="W1127" i="1" s="1"/>
  <c r="Y1889" i="1"/>
  <c r="V1889" i="1"/>
  <c r="W1889" i="1" s="1"/>
  <c r="V1220" i="1"/>
  <c r="W1220" i="1" s="1"/>
  <c r="Y1596" i="1"/>
  <c r="V1596" i="1"/>
  <c r="W1596" i="1" s="1"/>
  <c r="V261" i="1"/>
  <c r="W261" i="1" s="1"/>
  <c r="Y2093" i="1"/>
  <c r="V2093" i="1"/>
  <c r="W2093" i="1" s="1"/>
  <c r="V1228" i="1"/>
  <c r="W1228" i="1" s="1"/>
  <c r="Y2097" i="1"/>
  <c r="V2097" i="1"/>
  <c r="W2097" i="1" s="1"/>
  <c r="Y1305" i="1"/>
  <c r="V1305" i="1"/>
  <c r="W1305" i="1" s="1"/>
  <c r="Y842" i="1"/>
  <c r="V842" i="1"/>
  <c r="W842" i="1" s="1"/>
  <c r="V1972" i="1"/>
  <c r="W1972" i="1" s="1"/>
  <c r="Y1022" i="1"/>
  <c r="V1022" i="1"/>
  <c r="W1022" i="1" s="1"/>
  <c r="V1101" i="1"/>
  <c r="W1101" i="1" s="1"/>
  <c r="Y2019" i="1"/>
  <c r="V2019" i="1"/>
  <c r="W2019" i="1" s="1"/>
  <c r="V1766" i="1"/>
  <c r="W1766" i="1" s="1"/>
  <c r="Y1021" i="1"/>
  <c r="V1021" i="1"/>
  <c r="W1021" i="1" s="1"/>
  <c r="Y1896" i="1"/>
  <c r="V1896" i="1"/>
  <c r="W1896" i="1" s="1"/>
  <c r="V2072" i="1"/>
  <c r="W2072" i="1" s="1"/>
  <c r="V1399" i="1"/>
  <c r="W1399" i="1" s="1"/>
  <c r="V236" i="1"/>
  <c r="W236" i="1" s="1"/>
  <c r="V695" i="1"/>
  <c r="W695" i="1" s="1"/>
  <c r="Y1600" i="1"/>
  <c r="V1600" i="1"/>
  <c r="W1600" i="1" s="1"/>
  <c r="V1992" i="1"/>
  <c r="W1992" i="1" s="1"/>
  <c r="Y1932" i="1"/>
  <c r="V1932" i="1"/>
  <c r="W1932" i="1" s="1"/>
  <c r="Y1968" i="1"/>
  <c r="V1968" i="1"/>
  <c r="W1968" i="1" s="1"/>
  <c r="Y806" i="1"/>
  <c r="V806" i="1"/>
  <c r="W806" i="1" s="1"/>
  <c r="V534" i="1"/>
  <c r="W534" i="1" s="1"/>
  <c r="V1060" i="1"/>
  <c r="W1060" i="1" s="1"/>
  <c r="V1529" i="1"/>
  <c r="W1529" i="1" s="1"/>
  <c r="Y318" i="1"/>
  <c r="V318" i="1"/>
  <c r="W318" i="1" s="1"/>
  <c r="Y1853" i="1"/>
  <c r="V1853" i="1"/>
  <c r="W1853" i="1" s="1"/>
  <c r="Y1148" i="1"/>
  <c r="V1148" i="1"/>
  <c r="W1148" i="1" s="1"/>
  <c r="Y793" i="1"/>
  <c r="V793" i="1"/>
  <c r="W793" i="1" s="1"/>
  <c r="V1489" i="1"/>
  <c r="W1489" i="1" s="1"/>
  <c r="V1999" i="1"/>
  <c r="W1999" i="1" s="1"/>
  <c r="Y1764" i="1"/>
  <c r="V1764" i="1"/>
  <c r="W1764" i="1" s="1"/>
  <c r="Y231" i="1"/>
  <c r="V231" i="1"/>
  <c r="W231" i="1" s="1"/>
  <c r="Y245" i="1"/>
  <c r="V245" i="1"/>
  <c r="W245" i="1" s="1"/>
  <c r="Y2029" i="1"/>
  <c r="V2029" i="1"/>
  <c r="W2029" i="1" s="1"/>
  <c r="Y280" i="1"/>
  <c r="V280" i="1"/>
  <c r="W280" i="1" s="1"/>
  <c r="Y2058" i="1"/>
  <c r="V2058" i="1"/>
  <c r="W2058" i="1" s="1"/>
  <c r="V1317" i="1"/>
  <c r="W1317" i="1" s="1"/>
  <c r="V1603" i="1"/>
  <c r="W1603" i="1" s="1"/>
  <c r="V956" i="1"/>
  <c r="W956" i="1" s="1"/>
  <c r="V304" i="1"/>
  <c r="W304" i="1" s="1"/>
  <c r="V1872" i="1"/>
  <c r="W1872" i="1" s="1"/>
  <c r="V252" i="1"/>
  <c r="W252" i="1" s="1"/>
  <c r="Y532" i="1"/>
  <c r="V532" i="1"/>
  <c r="W532" i="1" s="1"/>
  <c r="Y1503" i="1"/>
  <c r="V1503" i="1"/>
  <c r="W1503" i="1" s="1"/>
  <c r="Y27" i="1"/>
  <c r="V27" i="1"/>
  <c r="W27" i="1" s="1"/>
  <c r="Y395" i="1"/>
  <c r="V395" i="1"/>
  <c r="W395" i="1" s="1"/>
  <c r="Y440" i="1"/>
  <c r="V440" i="1"/>
  <c r="W440" i="1" s="1"/>
  <c r="V1709" i="1"/>
  <c r="W1709" i="1" s="1"/>
  <c r="V324" i="1"/>
  <c r="W324" i="1" s="1"/>
  <c r="V407" i="1"/>
  <c r="W407" i="1" s="1"/>
  <c r="Y19" i="1"/>
  <c r="V19" i="1"/>
  <c r="W19" i="1" s="1"/>
  <c r="Y501" i="1"/>
  <c r="V501" i="1"/>
  <c r="W501" i="1" s="1"/>
  <c r="Y158" i="1"/>
  <c r="V158" i="1"/>
  <c r="W158" i="1" s="1"/>
  <c r="Y1026" i="1"/>
  <c r="V1026" i="1"/>
  <c r="W1026" i="1" s="1"/>
  <c r="Y844" i="1"/>
  <c r="V844" i="1"/>
  <c r="W844" i="1" s="1"/>
  <c r="V925" i="1"/>
  <c r="W925" i="1" s="1"/>
  <c r="V1909" i="1"/>
  <c r="W1909" i="1" s="1"/>
  <c r="Y3" i="1"/>
  <c r="V3" i="1"/>
  <c r="W3" i="1" s="1"/>
  <c r="V1154" i="1"/>
  <c r="W1154" i="1" s="1"/>
  <c r="Y832" i="1"/>
  <c r="V832" i="1"/>
  <c r="W832" i="1" s="1"/>
  <c r="Y1285" i="1"/>
  <c r="V1285" i="1"/>
  <c r="W1285" i="1" s="1"/>
  <c r="V987" i="1"/>
  <c r="W987" i="1" s="1"/>
  <c r="Y1796" i="1"/>
  <c r="V1796" i="1"/>
  <c r="W1796" i="1" s="1"/>
  <c r="V1470" i="1"/>
  <c r="W1470" i="1" s="1"/>
  <c r="V559" i="1"/>
  <c r="W559" i="1" s="1"/>
  <c r="Y458" i="1"/>
  <c r="V458" i="1"/>
  <c r="W458" i="1" s="1"/>
  <c r="Y1358" i="1"/>
  <c r="V1358" i="1"/>
  <c r="W1358" i="1" s="1"/>
  <c r="Y1658" i="1"/>
  <c r="V1658" i="1"/>
  <c r="W1658" i="1" s="1"/>
  <c r="V935" i="1"/>
  <c r="W935" i="1" s="1"/>
  <c r="V947" i="1"/>
  <c r="W947" i="1" s="1"/>
  <c r="Y1811" i="1"/>
  <c r="V1811" i="1"/>
  <c r="W1811" i="1" s="1"/>
  <c r="V152" i="1"/>
  <c r="W152" i="1" s="1"/>
  <c r="V420" i="1"/>
  <c r="W420" i="1" s="1"/>
  <c r="Y527" i="1"/>
  <c r="V527" i="1"/>
  <c r="W527" i="1" s="1"/>
  <c r="Y1048" i="1"/>
  <c r="V1048" i="1"/>
  <c r="W1048" i="1" s="1"/>
  <c r="Y1923" i="1"/>
  <c r="V1923" i="1"/>
  <c r="W1923" i="1" s="1"/>
  <c r="V565" i="1"/>
  <c r="W565" i="1" s="1"/>
  <c r="V268" i="1"/>
  <c r="W268" i="1" s="1"/>
  <c r="Y176" i="1"/>
  <c r="V176" i="1"/>
  <c r="W176" i="1" s="1"/>
  <c r="V281" i="1"/>
  <c r="W281" i="1" s="1"/>
  <c r="Y56" i="1"/>
  <c r="V56" i="1"/>
  <c r="W56" i="1" s="1"/>
  <c r="Y1290" i="1"/>
  <c r="V1290" i="1"/>
  <c r="W1290" i="1" s="1"/>
  <c r="V818" i="1"/>
  <c r="W818" i="1" s="1"/>
  <c r="Y9" i="1"/>
  <c r="V9" i="1"/>
  <c r="W9" i="1" s="1"/>
  <c r="Y1264" i="1"/>
  <c r="V1264" i="1"/>
  <c r="W1264" i="1" s="1"/>
  <c r="V61" i="1"/>
  <c r="W61" i="1" s="1"/>
  <c r="Y86" i="1"/>
  <c r="V86" i="1"/>
  <c r="W86" i="1" s="1"/>
  <c r="Y1751" i="1"/>
  <c r="V1751" i="1"/>
  <c r="W1751" i="1" s="1"/>
  <c r="V639" i="1"/>
  <c r="W639" i="1" s="1"/>
  <c r="V1181" i="1"/>
  <c r="W1181" i="1" s="1"/>
  <c r="Y1963" i="1"/>
  <c r="V1963" i="1"/>
  <c r="W1963" i="1" s="1"/>
  <c r="Y989" i="1"/>
  <c r="V989" i="1"/>
  <c r="W989" i="1" s="1"/>
  <c r="Y1508" i="1"/>
  <c r="V1508" i="1"/>
  <c r="W1508" i="1" s="1"/>
  <c r="Y126" i="1"/>
  <c r="V126" i="1"/>
  <c r="W126" i="1" s="1"/>
  <c r="Y1880" i="1"/>
  <c r="V1880" i="1"/>
  <c r="W1880" i="1" s="1"/>
  <c r="Y2018" i="1"/>
  <c r="V2018" i="1"/>
  <c r="W2018" i="1" s="1"/>
  <c r="V1836" i="1"/>
  <c r="W1836" i="1" s="1"/>
  <c r="V1382" i="1"/>
  <c r="W1382" i="1" s="1"/>
  <c r="Y1912" i="1"/>
  <c r="V1912" i="1"/>
  <c r="W1912" i="1" s="1"/>
  <c r="Y1102" i="1"/>
  <c r="V1102" i="1"/>
  <c r="W1102" i="1" s="1"/>
  <c r="Y754" i="1"/>
  <c r="V754" i="1"/>
  <c r="W754" i="1" s="1"/>
  <c r="Y1251" i="1"/>
  <c r="V1251" i="1"/>
  <c r="W1251" i="1" s="1"/>
  <c r="Y1516" i="1"/>
  <c r="V1516" i="1"/>
  <c r="W1516" i="1" s="1"/>
  <c r="Y1989" i="1"/>
  <c r="V1989" i="1"/>
  <c r="W1989" i="1" s="1"/>
  <c r="Y1413" i="1"/>
  <c r="V1413" i="1"/>
  <c r="W1413" i="1" s="1"/>
  <c r="V1683" i="1"/>
  <c r="W1683" i="1" s="1"/>
  <c r="Y906" i="1"/>
  <c r="V906" i="1"/>
  <c r="W906" i="1" s="1"/>
  <c r="Y1199" i="1"/>
  <c r="V1199" i="1"/>
  <c r="W1199" i="1" s="1"/>
  <c r="V1746" i="1"/>
  <c r="W1746" i="1" s="1"/>
  <c r="Y840" i="1"/>
  <c r="V840" i="1"/>
  <c r="W840" i="1" s="1"/>
  <c r="Y2030" i="1"/>
  <c r="V2030" i="1"/>
  <c r="W2030" i="1" s="1"/>
  <c r="Y1398" i="1"/>
  <c r="V1398" i="1"/>
  <c r="W1398" i="1" s="1"/>
  <c r="Y107" i="1"/>
  <c r="V107" i="1"/>
  <c r="W107" i="1" s="1"/>
  <c r="Y1860" i="1"/>
  <c r="V1860" i="1"/>
  <c r="W1860" i="1" s="1"/>
  <c r="Y777" i="1"/>
  <c r="V777" i="1"/>
  <c r="W777" i="1" s="1"/>
  <c r="Y942" i="1"/>
  <c r="V942" i="1"/>
  <c r="W942" i="1" s="1"/>
  <c r="Y1692" i="1"/>
  <c r="V1692" i="1"/>
  <c r="W1692" i="1" s="1"/>
  <c r="Y1103" i="1"/>
  <c r="V1103" i="1"/>
  <c r="W1103" i="1" s="1"/>
  <c r="Y725" i="1"/>
  <c r="V725" i="1"/>
  <c r="W725" i="1" s="1"/>
  <c r="Y1614" i="1"/>
  <c r="V1614" i="1"/>
  <c r="W1614" i="1" s="1"/>
  <c r="V1915" i="1"/>
  <c r="W1915" i="1" s="1"/>
  <c r="V2001" i="1"/>
  <c r="W2001" i="1" s="1"/>
  <c r="Y338" i="1"/>
  <c r="V338" i="1"/>
  <c r="W338" i="1" s="1"/>
  <c r="Y1291" i="1"/>
  <c r="V1291" i="1"/>
  <c r="W1291" i="1" s="1"/>
  <c r="Y470" i="1"/>
  <c r="V470" i="1"/>
  <c r="W470" i="1" s="1"/>
  <c r="Y89" i="1"/>
  <c r="V89" i="1"/>
  <c r="W89" i="1" s="1"/>
  <c r="Y1664" i="1"/>
  <c r="V1664" i="1"/>
  <c r="W1664" i="1" s="1"/>
  <c r="Y1459" i="1"/>
  <c r="V1459" i="1"/>
  <c r="W1459" i="1" s="1"/>
  <c r="V1472" i="1"/>
  <c r="W1472" i="1" s="1"/>
  <c r="V1469" i="1"/>
  <c r="W1469" i="1" s="1"/>
  <c r="Y1298" i="1"/>
  <c r="V1298" i="1"/>
  <c r="W1298" i="1" s="1"/>
  <c r="Y293" i="1"/>
  <c r="V293" i="1"/>
  <c r="W293" i="1" s="1"/>
  <c r="Y480" i="1"/>
  <c r="V480" i="1"/>
  <c r="W480" i="1" s="1"/>
  <c r="Y1452" i="1"/>
  <c r="V1452" i="1"/>
  <c r="W1452" i="1" s="1"/>
  <c r="Y20" i="1"/>
  <c r="V20" i="1"/>
  <c r="W20" i="1" s="1"/>
  <c r="Y2023" i="1"/>
  <c r="V2023" i="1"/>
  <c r="W2023" i="1" s="1"/>
  <c r="V2060" i="1"/>
  <c r="W2060" i="1" s="1"/>
  <c r="V1257" i="1"/>
  <c r="W1257" i="1" s="1"/>
  <c r="Y1770" i="1"/>
  <c r="V1770" i="1"/>
  <c r="W1770" i="1" s="1"/>
  <c r="Y1958" i="1"/>
  <c r="V1958" i="1"/>
  <c r="W1958" i="1" s="1"/>
  <c r="Y671" i="1"/>
  <c r="V671" i="1"/>
  <c r="W671" i="1" s="1"/>
  <c r="V2026" i="1"/>
  <c r="W2026" i="1" s="1"/>
  <c r="Y1460" i="1"/>
  <c r="V1460" i="1"/>
  <c r="W1460" i="1" s="1"/>
  <c r="V443" i="1"/>
  <c r="W443" i="1" s="1"/>
  <c r="V91" i="1"/>
  <c r="W91" i="1" s="1"/>
  <c r="V109" i="1"/>
  <c r="W109" i="1" s="1"/>
  <c r="Y988" i="1"/>
  <c r="V988" i="1"/>
  <c r="W988" i="1" s="1"/>
  <c r="Y1874" i="1"/>
  <c r="V1874" i="1"/>
  <c r="W1874" i="1" s="1"/>
  <c r="Y1366" i="1"/>
  <c r="V1366" i="1"/>
  <c r="W1366" i="1" s="1"/>
  <c r="Y485" i="1"/>
  <c r="V485" i="1"/>
  <c r="W485" i="1" s="1"/>
  <c r="Y1659" i="1"/>
  <c r="V1659" i="1"/>
  <c r="W1659" i="1" s="1"/>
  <c r="V936" i="1"/>
  <c r="W936" i="1" s="1"/>
  <c r="V948" i="1"/>
  <c r="W948" i="1" s="1"/>
  <c r="Y1813" i="1"/>
  <c r="V1813" i="1"/>
  <c r="W1813" i="1" s="1"/>
  <c r="Y421" i="1"/>
  <c r="V421" i="1"/>
  <c r="W421" i="1" s="1"/>
  <c r="Y110" i="1"/>
  <c r="V110" i="1"/>
  <c r="W110" i="1" s="1"/>
  <c r="Y528" i="1"/>
  <c r="V528" i="1"/>
  <c r="W528" i="1" s="1"/>
  <c r="Y1049" i="1"/>
  <c r="V1049" i="1"/>
  <c r="W1049" i="1" s="1"/>
  <c r="Y550" i="1"/>
  <c r="V550" i="1"/>
  <c r="W550" i="1" s="1"/>
  <c r="V1924" i="1"/>
  <c r="W1924" i="1" s="1"/>
  <c r="V2027" i="1"/>
  <c r="W2027" i="1" s="1"/>
  <c r="Y132" i="1"/>
  <c r="V132" i="1"/>
  <c r="W132" i="1" s="1"/>
  <c r="Y302" i="1"/>
  <c r="V302" i="1"/>
  <c r="W302" i="1" s="1"/>
  <c r="Y1415" i="1"/>
  <c r="V1415" i="1"/>
  <c r="W1415" i="1" s="1"/>
  <c r="Y1267" i="1"/>
  <c r="V1267" i="1"/>
  <c r="W1267" i="1" s="1"/>
  <c r="Y739" i="1"/>
  <c r="V739" i="1"/>
  <c r="W739" i="1" s="1"/>
  <c r="V1385" i="1"/>
  <c r="W1385" i="1" s="1"/>
  <c r="V1268" i="1"/>
  <c r="W1268" i="1" s="1"/>
  <c r="V1834" i="1"/>
  <c r="W1834" i="1" s="1"/>
  <c r="Y1627" i="1"/>
  <c r="V1627" i="1"/>
  <c r="W1627" i="1" s="1"/>
  <c r="Y785" i="1"/>
  <c r="V785" i="1"/>
  <c r="W785" i="1" s="1"/>
  <c r="Y130" i="1"/>
  <c r="V130" i="1"/>
  <c r="W130" i="1" s="1"/>
  <c r="Y1279" i="1"/>
  <c r="V1279" i="1"/>
  <c r="W1279" i="1" s="1"/>
  <c r="Y1322" i="1"/>
  <c r="V1322" i="1"/>
  <c r="W1322" i="1" s="1"/>
  <c r="V1167" i="1"/>
  <c r="W1167" i="1" s="1"/>
  <c r="V66" i="1"/>
  <c r="W66" i="1" s="1"/>
  <c r="V98" i="1"/>
  <c r="W98" i="1" s="1"/>
  <c r="Y1104" i="1"/>
  <c r="V1104" i="1"/>
  <c r="W1104" i="1" s="1"/>
  <c r="Y636" i="1"/>
  <c r="V636" i="1"/>
  <c r="W636" i="1" s="1"/>
  <c r="Y1505" i="1"/>
  <c r="V1505" i="1"/>
  <c r="W1505" i="1" s="1"/>
  <c r="V1883" i="1"/>
  <c r="W1883" i="1" s="1"/>
  <c r="Y630" i="1"/>
  <c r="V630" i="1"/>
  <c r="W630" i="1" s="1"/>
  <c r="V591" i="1"/>
  <c r="W591" i="1" s="1"/>
  <c r="V1364" i="1"/>
  <c r="W1364" i="1" s="1"/>
  <c r="V1870" i="1"/>
  <c r="W1870" i="1" s="1"/>
  <c r="Y561" i="1"/>
  <c r="V561" i="1"/>
  <c r="W561" i="1" s="1"/>
  <c r="Y341" i="1"/>
  <c r="V341" i="1"/>
  <c r="W341" i="1" s="1"/>
  <c r="Y39" i="1"/>
  <c r="V39" i="1"/>
  <c r="W39" i="1" s="1"/>
  <c r="Y1465" i="1"/>
  <c r="V1465" i="1"/>
  <c r="W1465" i="1" s="1"/>
  <c r="Y1937" i="1"/>
  <c r="V1937" i="1"/>
  <c r="W1937" i="1" s="1"/>
  <c r="V851" i="1"/>
  <c r="W851" i="1" s="1"/>
  <c r="V96" i="1"/>
  <c r="W96" i="1" s="1"/>
  <c r="Y1105" i="1"/>
  <c r="V1105" i="1"/>
  <c r="W1105" i="1" s="1"/>
  <c r="Y13" i="1"/>
  <c r="V13" i="1"/>
  <c r="W13" i="1" s="1"/>
  <c r="Y1624" i="1"/>
  <c r="V1624" i="1"/>
  <c r="W1624" i="1" s="1"/>
  <c r="Y1074" i="1"/>
  <c r="V1074" i="1"/>
  <c r="W1074" i="1" s="1"/>
  <c r="Y308" i="1"/>
  <c r="V308" i="1"/>
  <c r="W308" i="1" s="1"/>
  <c r="Y814" i="1"/>
  <c r="V814" i="1"/>
  <c r="W814" i="1" s="1"/>
  <c r="V2038" i="1"/>
  <c r="W2038" i="1" s="1"/>
  <c r="V1293" i="1"/>
  <c r="W1293" i="1" s="1"/>
  <c r="Y1481" i="1"/>
  <c r="V1481" i="1"/>
  <c r="W1481" i="1" s="1"/>
  <c r="Y811" i="1"/>
  <c r="V811" i="1"/>
  <c r="W811" i="1" s="1"/>
  <c r="Y1445" i="1"/>
  <c r="V1445" i="1"/>
  <c r="W1445" i="1" s="1"/>
  <c r="Y52" i="1"/>
  <c r="V52" i="1"/>
  <c r="W52" i="1" s="1"/>
  <c r="Y876" i="1"/>
  <c r="V876" i="1"/>
  <c r="W876" i="1" s="1"/>
  <c r="Y1106" i="1"/>
  <c r="V1106" i="1"/>
  <c r="W1106" i="1" s="1"/>
  <c r="V1682" i="1"/>
  <c r="W1682" i="1" s="1"/>
  <c r="V1631" i="1"/>
  <c r="W1631" i="1" s="1"/>
  <c r="Y1165" i="1"/>
  <c r="V1165" i="1"/>
  <c r="W1165" i="1" s="1"/>
  <c r="Y37" i="1"/>
  <c r="V37" i="1"/>
  <c r="W37" i="1" s="1"/>
  <c r="Y49" i="1"/>
  <c r="V49" i="1"/>
  <c r="W49" i="1" s="1"/>
  <c r="Y1680" i="1"/>
  <c r="V1680" i="1"/>
  <c r="W1680" i="1" s="1"/>
  <c r="V590" i="1"/>
  <c r="W590" i="1" s="1"/>
  <c r="V127" i="1"/>
  <c r="W127" i="1" s="1"/>
  <c r="Y170" i="1"/>
  <c r="V170" i="1"/>
  <c r="W170" i="1" s="1"/>
  <c r="Y381" i="1"/>
  <c r="V381" i="1"/>
  <c r="W381" i="1" s="1"/>
  <c r="Y379" i="1"/>
  <c r="V379" i="1"/>
  <c r="W379" i="1" s="1"/>
  <c r="Y1850" i="1"/>
  <c r="V1850" i="1"/>
  <c r="W1850" i="1" s="1"/>
  <c r="Y535" i="1"/>
  <c r="V535" i="1"/>
  <c r="W535" i="1" s="1"/>
  <c r="Y838" i="1"/>
  <c r="V838" i="1"/>
  <c r="W838" i="1" s="1"/>
  <c r="V1546" i="1"/>
  <c r="W1546" i="1" s="1"/>
  <c r="V1449" i="1"/>
  <c r="W1449" i="1" s="1"/>
  <c r="Y1182" i="1"/>
  <c r="V1182" i="1"/>
  <c r="W1182" i="1" s="1"/>
  <c r="Y1797" i="1"/>
  <c r="V1797" i="1"/>
  <c r="W1797" i="1" s="1"/>
  <c r="Y1475" i="1"/>
  <c r="V1475" i="1"/>
  <c r="W1475" i="1" s="1"/>
  <c r="Y474" i="1"/>
  <c r="V474" i="1"/>
  <c r="W474" i="1" s="1"/>
  <c r="Y1660" i="1"/>
  <c r="V1660" i="1"/>
  <c r="W1660" i="1" s="1"/>
  <c r="V949" i="1"/>
  <c r="W949" i="1" s="1"/>
  <c r="V937" i="1"/>
  <c r="W937" i="1" s="1"/>
  <c r="Y1814" i="1"/>
  <c r="V1814" i="1"/>
  <c r="W1814" i="1" s="1"/>
  <c r="Y422" i="1"/>
  <c r="V422" i="1"/>
  <c r="W422" i="1" s="1"/>
  <c r="Y481" i="1"/>
  <c r="V481" i="1"/>
  <c r="W481" i="1" s="1"/>
  <c r="Y1038" i="1"/>
  <c r="V1038" i="1"/>
  <c r="W1038" i="1" s="1"/>
  <c r="Y551" i="1"/>
  <c r="V551" i="1"/>
  <c r="W551" i="1" s="1"/>
  <c r="Y1925" i="1"/>
  <c r="V1925" i="1"/>
  <c r="W1925" i="1" s="1"/>
  <c r="V54" i="1"/>
  <c r="W54" i="1" s="1"/>
  <c r="V815" i="1"/>
  <c r="W815" i="1" s="1"/>
  <c r="Y1214" i="1"/>
  <c r="V1214" i="1"/>
  <c r="W1214" i="1" s="1"/>
  <c r="Y1607" i="1"/>
  <c r="V1607" i="1"/>
  <c r="W1607" i="1" s="1"/>
  <c r="Y1107" i="1"/>
  <c r="V1107" i="1"/>
  <c r="W1107" i="1" s="1"/>
  <c r="Y1058" i="1"/>
  <c r="V1058" i="1"/>
  <c r="W1058" i="1" s="1"/>
  <c r="Y1986" i="1"/>
  <c r="V1986" i="1"/>
  <c r="W1986" i="1" s="1"/>
  <c r="Y1983" i="1"/>
  <c r="V1983" i="1"/>
  <c r="W1983" i="1" s="1"/>
  <c r="V745" i="1"/>
  <c r="W745" i="1" s="1"/>
  <c r="V586" i="1"/>
  <c r="W586" i="1" s="1"/>
  <c r="V587" i="1"/>
  <c r="W587" i="1" s="1"/>
  <c r="Y250" i="1"/>
  <c r="V250" i="1"/>
  <c r="W250" i="1" s="1"/>
  <c r="V1894" i="1"/>
  <c r="W1894" i="1" s="1"/>
  <c r="Y807" i="1"/>
  <c r="V807" i="1"/>
  <c r="W807" i="1" s="1"/>
  <c r="Y1133" i="1"/>
  <c r="V1133" i="1"/>
  <c r="W1133" i="1" s="1"/>
  <c r="Y909" i="1"/>
  <c r="V909" i="1"/>
  <c r="W909" i="1" s="1"/>
  <c r="V2100" i="1"/>
  <c r="W2100" i="1" s="1"/>
  <c r="V374" i="1"/>
  <c r="W374" i="1" s="1"/>
  <c r="Y234" i="1"/>
  <c r="V234" i="1"/>
  <c r="W234" i="1" s="1"/>
  <c r="Y207" i="1"/>
  <c r="V207" i="1"/>
  <c r="W207" i="1" s="1"/>
  <c r="V1775" i="1"/>
  <c r="W1775" i="1" s="1"/>
  <c r="Y1200" i="1"/>
  <c r="V1200" i="1"/>
  <c r="W1200" i="1" s="1"/>
  <c r="Y1591" i="1"/>
  <c r="V1591" i="1"/>
  <c r="W1591" i="1" s="1"/>
  <c r="Y658" i="1"/>
  <c r="V658" i="1"/>
  <c r="W658" i="1" s="1"/>
  <c r="Y1108" i="1"/>
  <c r="V1108" i="1"/>
  <c r="W1108" i="1" s="1"/>
  <c r="V1760" i="1"/>
  <c r="W1760" i="1" s="1"/>
  <c r="Y1306" i="1"/>
  <c r="V1306" i="1"/>
  <c r="W1306" i="1" s="1"/>
  <c r="Y1861" i="1"/>
  <c r="V1861" i="1"/>
  <c r="W1861" i="1" s="1"/>
  <c r="V827" i="1"/>
  <c r="W827" i="1" s="1"/>
  <c r="Y652" i="1"/>
  <c r="V652" i="1"/>
  <c r="W652" i="1" s="1"/>
  <c r="Y225" i="1"/>
  <c r="V225" i="1"/>
  <c r="W225" i="1" s="1"/>
  <c r="Y85" i="1"/>
  <c r="V85" i="1"/>
  <c r="W85" i="1" s="1"/>
  <c r="Y1444" i="1"/>
  <c r="V1444" i="1"/>
  <c r="W1444" i="1" s="1"/>
  <c r="V1769" i="1"/>
  <c r="W1769" i="1" s="1"/>
  <c r="Y1710" i="1"/>
  <c r="V1710" i="1"/>
  <c r="W1710" i="1" s="1"/>
  <c r="Y756" i="1"/>
  <c r="V756" i="1"/>
  <c r="W756" i="1" s="1"/>
  <c r="V660" i="1"/>
  <c r="W660" i="1" s="1"/>
  <c r="Y2054" i="1"/>
  <c r="V2054" i="1"/>
  <c r="W2054" i="1" s="1"/>
  <c r="Y1758" i="1"/>
  <c r="V1758" i="1"/>
  <c r="W1758" i="1" s="1"/>
  <c r="Y2095" i="1"/>
  <c r="V2095" i="1"/>
  <c r="W2095" i="1" s="1"/>
  <c r="V2079" i="1"/>
  <c r="W2079" i="1" s="1"/>
  <c r="V2042" i="1"/>
  <c r="W2042" i="1" s="1"/>
  <c r="Y1428" i="1"/>
  <c r="V1428" i="1"/>
  <c r="W1428" i="1" s="1"/>
  <c r="Y1908" i="1"/>
  <c r="V1908" i="1"/>
  <c r="W1908" i="1" s="1"/>
  <c r="V640" i="1"/>
  <c r="W640" i="1" s="1"/>
  <c r="Y409" i="1"/>
  <c r="V409" i="1"/>
  <c r="W409" i="1" s="1"/>
  <c r="Y446" i="1"/>
  <c r="V446" i="1"/>
  <c r="W446" i="1" s="1"/>
  <c r="Y1371" i="1"/>
  <c r="V1371" i="1"/>
  <c r="W1371" i="1" s="1"/>
  <c r="V531" i="1"/>
  <c r="W531" i="1" s="1"/>
  <c r="V247" i="1"/>
  <c r="W247" i="1" s="1"/>
  <c r="V973" i="1"/>
  <c r="W973" i="1" s="1"/>
  <c r="Y1404" i="1"/>
  <c r="V1404" i="1"/>
  <c r="W1404" i="1" s="1"/>
  <c r="V2096" i="1"/>
  <c r="W2096" i="1" s="1"/>
  <c r="Y1852" i="1"/>
  <c r="V1852" i="1"/>
  <c r="W1852" i="1" s="1"/>
  <c r="V634" i="1"/>
  <c r="W634" i="1" s="1"/>
  <c r="Y1801" i="1"/>
  <c r="V1801" i="1"/>
  <c r="W1801" i="1" s="1"/>
  <c r="V111" i="1"/>
  <c r="W111" i="1" s="1"/>
  <c r="V1035" i="1"/>
  <c r="W1035" i="1" s="1"/>
  <c r="V2091" i="1"/>
  <c r="W2091" i="1" s="1"/>
  <c r="Y112" i="1"/>
  <c r="V112" i="1"/>
  <c r="W112" i="1" s="1"/>
  <c r="V1248" i="1"/>
  <c r="W1248" i="1" s="1"/>
  <c r="Y51" i="1"/>
  <c r="V51" i="1"/>
  <c r="W51" i="1" s="1"/>
  <c r="V1441" i="1"/>
  <c r="W1441" i="1" s="1"/>
  <c r="Y1668" i="1"/>
  <c r="V1668" i="1"/>
  <c r="W1668" i="1" s="1"/>
  <c r="V609" i="1"/>
  <c r="W609" i="1" s="1"/>
  <c r="V1784" i="1"/>
  <c r="W1784" i="1" s="1"/>
  <c r="V157" i="1"/>
  <c r="W157" i="1" s="1"/>
  <c r="Y893" i="1"/>
  <c r="V893" i="1"/>
  <c r="W893" i="1" s="1"/>
  <c r="V350" i="1"/>
  <c r="W350" i="1" s="1"/>
  <c r="Y939" i="1"/>
  <c r="V939" i="1"/>
  <c r="W939" i="1" s="1"/>
  <c r="V164" i="1"/>
  <c r="W164" i="1" s="1"/>
  <c r="Y18" i="1"/>
  <c r="V18" i="1"/>
  <c r="W18" i="1" s="1"/>
  <c r="V1040" i="1"/>
  <c r="W1040" i="1" s="1"/>
  <c r="V1838" i="1"/>
  <c r="W1838" i="1" s="1"/>
  <c r="V1476" i="1"/>
  <c r="W1476" i="1" s="1"/>
  <c r="Y475" i="1"/>
  <c r="V475" i="1"/>
  <c r="W475" i="1" s="1"/>
  <c r="V958" i="1"/>
  <c r="W958" i="1" s="1"/>
  <c r="Y950" i="1"/>
  <c r="V950" i="1"/>
  <c r="W950" i="1" s="1"/>
  <c r="V423" i="1"/>
  <c r="W423" i="1" s="1"/>
  <c r="Y567" i="1"/>
  <c r="V567" i="1"/>
  <c r="W567" i="1" s="1"/>
  <c r="V173" i="1"/>
  <c r="W173" i="1" s="1"/>
  <c r="V1926" i="1"/>
  <c r="W1926" i="1" s="1"/>
  <c r="Y272" i="1"/>
  <c r="V272" i="1"/>
  <c r="W272" i="1" s="1"/>
  <c r="Y1051" i="1"/>
  <c r="V1051" i="1"/>
  <c r="W1051" i="1" s="1"/>
  <c r="Y255" i="1"/>
  <c r="V255" i="1"/>
  <c r="W255" i="1" s="1"/>
  <c r="Y991" i="1"/>
  <c r="V991" i="1"/>
  <c r="W991" i="1" s="1"/>
  <c r="Y812" i="1"/>
  <c r="V812" i="1"/>
  <c r="W812" i="1" s="1"/>
  <c r="Y134" i="1"/>
  <c r="V134" i="1"/>
  <c r="W134" i="1" s="1"/>
  <c r="V1837" i="1"/>
  <c r="W1837" i="1" s="1"/>
  <c r="Y1440" i="1"/>
  <c r="V1440" i="1"/>
  <c r="W1440" i="1" s="1"/>
  <c r="Y1109" i="1"/>
  <c r="V1109" i="1"/>
  <c r="W1109" i="1" s="1"/>
  <c r="Y1423" i="1"/>
  <c r="V1423" i="1"/>
  <c r="W1423" i="1" s="1"/>
  <c r="Y298" i="1"/>
  <c r="V298" i="1"/>
  <c r="W298" i="1" s="1"/>
  <c r="Y796" i="1"/>
  <c r="V796" i="1"/>
  <c r="W796" i="1" s="1"/>
  <c r="Y1975" i="1"/>
  <c r="V1975" i="1"/>
  <c r="W1975" i="1" s="1"/>
  <c r="V662" i="1"/>
  <c r="W662" i="1" s="1"/>
  <c r="Y464" i="1"/>
  <c r="V464" i="1"/>
  <c r="W464" i="1" s="1"/>
  <c r="V463" i="1"/>
  <c r="W463" i="1" s="1"/>
  <c r="Y1360" i="1"/>
  <c r="V1360" i="1"/>
  <c r="W1360" i="1" s="1"/>
  <c r="Y1213" i="1"/>
  <c r="V1213" i="1"/>
  <c r="W1213" i="1" s="1"/>
  <c r="D1252" i="1" l="1"/>
  <c r="X994" i="1"/>
  <c r="P994" i="1" s="1"/>
  <c r="Q994" i="1" s="1"/>
  <c r="R994" i="1" s="1"/>
  <c r="X1164" i="1"/>
  <c r="P1164" i="1" s="1"/>
  <c r="Q1164" i="1" s="1"/>
  <c r="R1164" i="1" s="1"/>
  <c r="X969" i="1"/>
  <c r="P969" i="1" s="1"/>
  <c r="Q969" i="1" s="1"/>
  <c r="R969" i="1" s="1"/>
  <c r="X1503" i="1"/>
  <c r="P1503" i="1" s="1"/>
  <c r="Q1503" i="1" s="1"/>
  <c r="R1503" i="1" s="1"/>
  <c r="X1201" i="1"/>
  <c r="P1201" i="1" s="1"/>
  <c r="Q1201" i="1" s="1"/>
  <c r="R1201" i="1" s="1"/>
  <c r="X1989" i="1"/>
  <c r="P1989" i="1" s="1"/>
  <c r="Q1989" i="1" s="1"/>
  <c r="X1102" i="1"/>
  <c r="P1102" i="1" s="1"/>
  <c r="Q1102" i="1" s="1"/>
  <c r="X1679" i="1"/>
  <c r="P1679" i="1" s="1"/>
  <c r="Q1679" i="1" s="1"/>
  <c r="R1679" i="1" s="1"/>
  <c r="X1004" i="1"/>
  <c r="P1004" i="1" s="1"/>
  <c r="Q1004" i="1" s="1"/>
  <c r="R1004" i="1" s="1"/>
  <c r="X1298" i="1"/>
  <c r="P1298" i="1" s="1"/>
  <c r="Q1298" i="1" s="1"/>
  <c r="X264" i="1"/>
  <c r="P264" i="1" s="1"/>
  <c r="Q264" i="1" s="1"/>
  <c r="R264" i="1" s="1"/>
  <c r="X1640" i="1"/>
  <c r="P1640" i="1" s="1"/>
  <c r="Q1640" i="1" s="1"/>
  <c r="R1640" i="1" s="1"/>
  <c r="X85" i="1"/>
  <c r="P85" i="1" s="1"/>
  <c r="Q85" i="1" s="1"/>
  <c r="X868" i="1"/>
  <c r="X710" i="1"/>
  <c r="P710" i="1" s="1"/>
  <c r="Q710" i="1" s="1"/>
  <c r="X1967" i="1"/>
  <c r="P1967" i="1" s="1"/>
  <c r="Q1967" i="1" s="1"/>
  <c r="R1967" i="1" s="1"/>
  <c r="X995" i="1"/>
  <c r="P995" i="1" s="1"/>
  <c r="Q995" i="1" s="1"/>
  <c r="R995" i="1" s="1"/>
  <c r="X24" i="1"/>
  <c r="P24" i="1" s="1"/>
  <c r="Q24" i="1" s="1"/>
  <c r="R24" i="1" s="1"/>
  <c r="X2" i="1"/>
  <c r="P2" i="1" s="1"/>
  <c r="Q2" i="1" s="1"/>
  <c r="X128" i="1"/>
  <c r="X1432" i="1"/>
  <c r="P1432" i="1" s="1"/>
  <c r="Q1432" i="1" s="1"/>
  <c r="R1432" i="1" s="1"/>
  <c r="X328" i="1"/>
  <c r="P328" i="1" s="1"/>
  <c r="Q328" i="1" s="1"/>
  <c r="R328" i="1" s="1"/>
  <c r="X1582" i="1"/>
  <c r="P1582" i="1" s="1"/>
  <c r="Q1582" i="1" s="1"/>
  <c r="R1582" i="1" s="1"/>
  <c r="X1688" i="1"/>
  <c r="P1688" i="1" s="1"/>
  <c r="Q1688" i="1" s="1"/>
  <c r="R1688" i="1" s="1"/>
  <c r="X1566" i="1"/>
  <c r="P1566" i="1" s="1"/>
  <c r="Q1566" i="1" s="1"/>
  <c r="R1566" i="1" s="1"/>
  <c r="X501" i="1"/>
  <c r="P501" i="1" s="1"/>
  <c r="Q501" i="1" s="1"/>
  <c r="R501" i="1" s="1"/>
  <c r="X742" i="1"/>
  <c r="P742" i="1" s="1"/>
  <c r="Q742" i="1" s="1"/>
  <c r="R742" i="1" s="1"/>
  <c r="X362" i="1"/>
  <c r="P362" i="1" s="1"/>
  <c r="Q362" i="1" s="1"/>
  <c r="R362" i="1" s="1"/>
  <c r="X724" i="1"/>
  <c r="P724" i="1" s="1"/>
  <c r="Q724" i="1" s="1"/>
  <c r="R724" i="1" s="1"/>
  <c r="X1954" i="1"/>
  <c r="P1954" i="1" s="1"/>
  <c r="Q1954" i="1" s="1"/>
  <c r="R1954" i="1" s="1"/>
  <c r="X1367" i="1"/>
  <c r="P1367" i="1" s="1"/>
  <c r="Q1367" i="1" s="1"/>
  <c r="R1367" i="1" s="1"/>
  <c r="X1733" i="1"/>
  <c r="P1733" i="1" s="1"/>
  <c r="Q1733" i="1" s="1"/>
  <c r="R1733" i="1" s="1"/>
  <c r="X1500" i="1"/>
  <c r="P1500" i="1" s="1"/>
  <c r="Q1500" i="1" s="1"/>
  <c r="R1500" i="1" s="1"/>
  <c r="X2005" i="1"/>
  <c r="P2005" i="1" s="1"/>
  <c r="Q2005" i="1" s="1"/>
  <c r="R2005" i="1" s="1"/>
  <c r="X1852" i="1"/>
  <c r="P1852" i="1" s="1"/>
  <c r="X1654" i="1"/>
  <c r="P1654" i="1" s="1"/>
  <c r="Q1654" i="1" s="1"/>
  <c r="R1654" i="1" s="1"/>
  <c r="X730" i="1"/>
  <c r="P730" i="1" s="1"/>
  <c r="Q730" i="1" s="1"/>
  <c r="R730" i="1" s="1"/>
  <c r="X1975" i="1"/>
  <c r="P1975" i="1" s="1"/>
  <c r="X532" i="1"/>
  <c r="P532" i="1" s="1"/>
  <c r="Q532" i="1" s="1"/>
  <c r="X1305" i="1"/>
  <c r="P1305" i="1" s="1"/>
  <c r="Q1305" i="1" s="1"/>
  <c r="R1305" i="1" s="1"/>
  <c r="X315" i="1"/>
  <c r="X802" i="1"/>
  <c r="P802" i="1" s="1"/>
  <c r="Q802" i="1" s="1"/>
  <c r="R802" i="1" s="1"/>
  <c r="X657" i="1"/>
  <c r="P657" i="1" s="1"/>
  <c r="Q657" i="1" s="1"/>
  <c r="R657" i="1" s="1"/>
  <c r="X567" i="1"/>
  <c r="P567" i="1" s="1"/>
  <c r="Q567" i="1" s="1"/>
  <c r="X1145" i="1"/>
  <c r="P1145" i="1" s="1"/>
  <c r="Q1145" i="1" s="1"/>
  <c r="R1145" i="1" s="1"/>
  <c r="X1174" i="1"/>
  <c r="X2095" i="1"/>
  <c r="P2095" i="1" s="1"/>
  <c r="X1937" i="1"/>
  <c r="P1937" i="1" s="1"/>
  <c r="Q1937" i="1" s="1"/>
  <c r="X2030" i="1"/>
  <c r="P2030" i="1" s="1"/>
  <c r="Q2030" i="1" s="1"/>
  <c r="X2041" i="1"/>
  <c r="P2041" i="1" s="1"/>
  <c r="Q2041" i="1" s="1"/>
  <c r="R2041" i="1" s="1"/>
  <c r="X903" i="1"/>
  <c r="P903" i="1" s="1"/>
  <c r="Q903" i="1" s="1"/>
  <c r="R903" i="1" s="1"/>
  <c r="X1478" i="1"/>
  <c r="P1478" i="1" s="1"/>
  <c r="Q1478" i="1" s="1"/>
  <c r="R1478" i="1" s="1"/>
  <c r="X872" i="1"/>
  <c r="P872" i="1" s="1"/>
  <c r="Q872" i="1" s="1"/>
  <c r="R872" i="1" s="1"/>
  <c r="X1229" i="1"/>
  <c r="X1136" i="1"/>
  <c r="P1136" i="1" s="1"/>
  <c r="Q1136" i="1" s="1"/>
  <c r="R1136" i="1" s="1"/>
  <c r="X912" i="1"/>
  <c r="P912" i="1" s="1"/>
  <c r="Q912" i="1" s="1"/>
  <c r="R912" i="1" s="1"/>
  <c r="X34" i="1"/>
  <c r="P34" i="1" s="1"/>
  <c r="Q34" i="1" s="1"/>
  <c r="R34" i="1" s="1"/>
  <c r="X2034" i="1"/>
  <c r="P2034" i="1" s="1"/>
  <c r="Q2034" i="1" s="1"/>
  <c r="R2034" i="1" s="1"/>
  <c r="X288" i="1"/>
  <c r="P288" i="1" s="1"/>
  <c r="Q288" i="1" s="1"/>
  <c r="R288" i="1" s="1"/>
  <c r="X18" i="1"/>
  <c r="X785" i="1"/>
  <c r="P785" i="1" s="1"/>
  <c r="Q785" i="1" s="1"/>
  <c r="X1468" i="1"/>
  <c r="P1468" i="1" s="1"/>
  <c r="Q1468" i="1" s="1"/>
  <c r="R1468" i="1" s="1"/>
  <c r="X1090" i="1"/>
  <c r="P1090" i="1" s="1"/>
  <c r="Q1090" i="1" s="1"/>
  <c r="R1090" i="1" s="1"/>
  <c r="X1265" i="1"/>
  <c r="P1265" i="1" s="1"/>
  <c r="Q1265" i="1" s="1"/>
  <c r="R1265" i="1" s="1"/>
  <c r="X1862" i="1"/>
  <c r="P1862" i="1" s="1"/>
  <c r="Q1862" i="1" s="1"/>
  <c r="R1862" i="1" s="1"/>
  <c r="X1157" i="1"/>
  <c r="P1157" i="1" s="1"/>
  <c r="Q1157" i="1" s="1"/>
  <c r="R1157" i="1" s="1"/>
  <c r="X1736" i="1"/>
  <c r="X1080" i="1"/>
  <c r="P1080" i="1" s="1"/>
  <c r="Q1080" i="1" s="1"/>
  <c r="R1080" i="1" s="1"/>
  <c r="X1668" i="1"/>
  <c r="P1668" i="1" s="1"/>
  <c r="X298" i="1"/>
  <c r="P298" i="1" s="1"/>
  <c r="Q298" i="1" s="1"/>
  <c r="X112" i="1"/>
  <c r="P112" i="1" s="1"/>
  <c r="Q112" i="1" s="1"/>
  <c r="X876" i="1"/>
  <c r="P876" i="1" s="1"/>
  <c r="Q876" i="1" s="1"/>
  <c r="X1481" i="1"/>
  <c r="P1481" i="1" s="1"/>
  <c r="X1322" i="1"/>
  <c r="P1322" i="1" s="1"/>
  <c r="Q1322" i="1" s="1"/>
  <c r="X421" i="1"/>
  <c r="P421" i="1" s="1"/>
  <c r="Q421" i="1" s="1"/>
  <c r="X1914" i="1"/>
  <c r="P1914" i="1" s="1"/>
  <c r="Q1914" i="1" s="1"/>
  <c r="R1914" i="1" s="1"/>
  <c r="X1454" i="1"/>
  <c r="P1454" i="1" s="1"/>
  <c r="Q1454" i="1" s="1"/>
  <c r="R1454" i="1" s="1"/>
  <c r="X2015" i="1"/>
  <c r="P2015" i="1" s="1"/>
  <c r="Q2015" i="1" s="1"/>
  <c r="R2015" i="1" s="1"/>
  <c r="X2006" i="1"/>
  <c r="P2006" i="1" s="1"/>
  <c r="Q2006" i="1" s="1"/>
  <c r="R2006" i="1" s="1"/>
  <c r="X895" i="1"/>
  <c r="P895" i="1" s="1"/>
  <c r="Q895" i="1" s="1"/>
  <c r="R895" i="1" s="1"/>
  <c r="X835" i="1"/>
  <c r="P835" i="1" s="1"/>
  <c r="Q835" i="1" s="1"/>
  <c r="R835" i="1" s="1"/>
  <c r="X1372" i="1"/>
  <c r="P1372" i="1" s="1"/>
  <c r="Q1372" i="1" s="1"/>
  <c r="R1372" i="1" s="1"/>
  <c r="X1955" i="1"/>
  <c r="P1955" i="1" s="1"/>
  <c r="Q1955" i="1" s="1"/>
  <c r="R1955" i="1" s="1"/>
  <c r="X1745" i="1"/>
  <c r="P1745" i="1" s="1"/>
  <c r="Q1745" i="1" s="1"/>
  <c r="R1745" i="1" s="1"/>
  <c r="X1650" i="1"/>
  <c r="P1650" i="1" s="1"/>
  <c r="Q1650" i="1" s="1"/>
  <c r="R1650" i="1" s="1"/>
  <c r="X57" i="1"/>
  <c r="P57" i="1" s="1"/>
  <c r="Q57" i="1" s="1"/>
  <c r="R57" i="1" s="1"/>
  <c r="X396" i="1"/>
  <c r="P396" i="1" s="1"/>
  <c r="Q396" i="1" s="1"/>
  <c r="R396" i="1" s="1"/>
  <c r="X1813" i="1"/>
  <c r="P1813" i="1" s="1"/>
  <c r="Q1813" i="1" s="1"/>
  <c r="X166" i="1"/>
  <c r="P166" i="1" s="1"/>
  <c r="Q166" i="1" s="1"/>
  <c r="R166" i="1" s="1"/>
  <c r="X1134" i="1"/>
  <c r="P1134" i="1" s="1"/>
  <c r="Q1134" i="1" s="1"/>
  <c r="R1134" i="1" s="1"/>
  <c r="X1858" i="1"/>
  <c r="Q1858" i="1" s="1"/>
  <c r="R1858" i="1" s="1"/>
  <c r="X1779" i="1"/>
  <c r="P1779" i="1" s="1"/>
  <c r="Q1779" i="1" s="1"/>
  <c r="R1779" i="1" s="1"/>
  <c r="X141" i="1"/>
  <c r="P141" i="1" s="1"/>
  <c r="Q141" i="1" s="1"/>
  <c r="R141" i="1" s="1"/>
  <c r="X1396" i="1"/>
  <c r="P1396" i="1" s="1"/>
  <c r="Q1396" i="1" s="1"/>
  <c r="R1396" i="1" s="1"/>
  <c r="X469" i="1"/>
  <c r="P469" i="1" s="1"/>
  <c r="Q469" i="1" s="1"/>
  <c r="R469" i="1" s="1"/>
  <c r="X1447" i="1"/>
  <c r="P1447" i="1" s="1"/>
  <c r="Q1447" i="1" s="1"/>
  <c r="R1447" i="1" s="1"/>
  <c r="X771" i="1"/>
  <c r="P771" i="1" s="1"/>
  <c r="Q771" i="1" s="1"/>
  <c r="R771" i="1" s="1"/>
  <c r="X1705" i="1"/>
  <c r="P1705" i="1" s="1"/>
  <c r="Q1705" i="1" s="1"/>
  <c r="R1705" i="1" s="1"/>
  <c r="X1732" i="1"/>
  <c r="P1732" i="1" s="1"/>
  <c r="Q1732" i="1" s="1"/>
  <c r="R1732" i="1" s="1"/>
  <c r="X310" i="1"/>
  <c r="P310" i="1" s="1"/>
  <c r="Q310" i="1" s="1"/>
  <c r="R310" i="1" s="1"/>
  <c r="X1304" i="1"/>
  <c r="P1304" i="1" s="1"/>
  <c r="Q1304" i="1" s="1"/>
  <c r="R1304" i="1" s="1"/>
  <c r="X194" i="1"/>
  <c r="X1200" i="1"/>
  <c r="P1200" i="1" s="1"/>
  <c r="Q1200" i="1" s="1"/>
  <c r="X818" i="1"/>
  <c r="P818" i="1" s="1"/>
  <c r="Q818" i="1" s="1"/>
  <c r="X1154" i="1"/>
  <c r="X1039" i="1"/>
  <c r="P1039" i="1" s="1"/>
  <c r="Q1039" i="1" s="1"/>
  <c r="X1093" i="1"/>
  <c r="P1093" i="1" s="1"/>
  <c r="Q1093" i="1" s="1"/>
  <c r="R1093" i="1" s="1"/>
  <c r="X984" i="1"/>
  <c r="P984" i="1" s="1"/>
  <c r="Q984" i="1" s="1"/>
  <c r="R984" i="1" s="1"/>
  <c r="X105" i="1"/>
  <c r="P105" i="1" s="1"/>
  <c r="Q105" i="1" s="1"/>
  <c r="R105" i="1" s="1"/>
  <c r="X175" i="1"/>
  <c r="P175" i="1" s="1"/>
  <c r="Q175" i="1" s="1"/>
  <c r="R175" i="1" s="1"/>
  <c r="X1084" i="1"/>
  <c r="P1084" i="1" s="1"/>
  <c r="Q1084" i="1" s="1"/>
  <c r="R1084" i="1" s="1"/>
  <c r="X1780" i="1"/>
  <c r="P1780" i="1" s="1"/>
  <c r="Q1780" i="1" s="1"/>
  <c r="R1780" i="1" s="1"/>
  <c r="X253" i="1"/>
  <c r="P253" i="1" s="1"/>
  <c r="Q253" i="1" s="1"/>
  <c r="R253" i="1" s="1"/>
  <c r="X1083" i="1"/>
  <c r="P1083" i="1" s="1"/>
  <c r="Q1083" i="1" s="1"/>
  <c r="R1083" i="1" s="1"/>
  <c r="X1311" i="1"/>
  <c r="X1726" i="1"/>
  <c r="P1726" i="1" s="1"/>
  <c r="Q1726" i="1" s="1"/>
  <c r="R1726" i="1" s="1"/>
  <c r="Y315" i="1"/>
  <c r="X503" i="1"/>
  <c r="P503" i="1" s="1"/>
  <c r="Q503" i="1" s="1"/>
  <c r="R503" i="1" s="1"/>
  <c r="X727" i="1"/>
  <c r="P727" i="1" s="1"/>
  <c r="Q727" i="1" s="1"/>
  <c r="R727" i="1" s="1"/>
  <c r="X1326" i="1"/>
  <c r="P1326" i="1" s="1"/>
  <c r="Q1326" i="1" s="1"/>
  <c r="R1326" i="1" s="1"/>
  <c r="X1691" i="1"/>
  <c r="P1691" i="1" s="1"/>
  <c r="Q1691" i="1" s="1"/>
  <c r="R1691" i="1" s="1"/>
  <c r="X914" i="1"/>
  <c r="X1131" i="1"/>
  <c r="P1131" i="1" s="1"/>
  <c r="Q1131" i="1" s="1"/>
  <c r="R1131" i="1" s="1"/>
  <c r="X1255" i="1"/>
  <c r="P1255" i="1" s="1"/>
  <c r="Q1255" i="1" s="1"/>
  <c r="R1255" i="1" s="1"/>
  <c r="X841" i="1"/>
  <c r="P841" i="1" s="1"/>
  <c r="Q841" i="1" s="1"/>
  <c r="R841" i="1" s="1"/>
  <c r="X1271" i="1"/>
  <c r="P1271" i="1" s="1"/>
  <c r="Q1271" i="1" s="1"/>
  <c r="R1271" i="1" s="1"/>
  <c r="X2088" i="1"/>
  <c r="P2088" i="1" s="1"/>
  <c r="Q2088" i="1" s="1"/>
  <c r="R2088" i="1" s="1"/>
  <c r="X1008" i="1"/>
  <c r="P1008" i="1" s="1"/>
  <c r="Q1008" i="1" s="1"/>
  <c r="R1008" i="1" s="1"/>
  <c r="X873" i="1"/>
  <c r="P873" i="1" s="1"/>
  <c r="Q873" i="1" s="1"/>
  <c r="R873" i="1" s="1"/>
  <c r="X1519" i="1"/>
  <c r="X1569" i="1"/>
  <c r="P1569" i="1" s="1"/>
  <c r="Q1569" i="1" s="1"/>
  <c r="R1569" i="1" s="1"/>
  <c r="X1802" i="1"/>
  <c r="X132" i="1"/>
  <c r="P132" i="1" s="1"/>
  <c r="Q132" i="1" s="1"/>
  <c r="R132" i="1" s="1"/>
  <c r="X1051" i="1"/>
  <c r="P1051" i="1" s="1"/>
  <c r="Q1051" i="1" s="1"/>
  <c r="X939" i="1"/>
  <c r="P939" i="1" s="1"/>
  <c r="Q939" i="1" s="1"/>
  <c r="X1801" i="1"/>
  <c r="P1801" i="1" s="1"/>
  <c r="X1861" i="1"/>
  <c r="P1861" i="1" s="1"/>
  <c r="X1267" i="1"/>
  <c r="P1267" i="1" s="1"/>
  <c r="X550" i="1"/>
  <c r="P550" i="1" s="1"/>
  <c r="Q550" i="1" s="1"/>
  <c r="X107" i="1"/>
  <c r="P107" i="1" s="1"/>
  <c r="Q107" i="1" s="1"/>
  <c r="X1148" i="1"/>
  <c r="P1148" i="1" s="1"/>
  <c r="Q1148" i="1" s="1"/>
  <c r="R1148" i="1" s="1"/>
  <c r="X2019" i="1"/>
  <c r="P2019" i="1" s="1"/>
  <c r="Q2019" i="1" s="1"/>
  <c r="X4" i="1"/>
  <c r="P4" i="1" s="1"/>
  <c r="Q4" i="1" s="1"/>
  <c r="R4" i="1" s="1"/>
  <c r="X1099" i="1"/>
  <c r="P1099" i="1" s="1"/>
  <c r="Q1099" i="1" s="1"/>
  <c r="R1099" i="1" s="1"/>
  <c r="X761" i="1"/>
  <c r="P761" i="1" s="1"/>
  <c r="Q761" i="1" s="1"/>
  <c r="R761" i="1" s="1"/>
  <c r="X242" i="1"/>
  <c r="P242" i="1" s="1"/>
  <c r="Q242" i="1" s="1"/>
  <c r="R242" i="1" s="1"/>
  <c r="X26" i="1"/>
  <c r="P26" i="1" s="1"/>
  <c r="Q26" i="1" s="1"/>
  <c r="R26" i="1" s="1"/>
  <c r="X975" i="1"/>
  <c r="P975" i="1" s="1"/>
  <c r="Q975" i="1" s="1"/>
  <c r="R975" i="1" s="1"/>
  <c r="X687" i="1"/>
  <c r="P687" i="1" s="1"/>
  <c r="Q687" i="1" s="1"/>
  <c r="R687" i="1" s="1"/>
  <c r="X834" i="1"/>
  <c r="P834" i="1" s="1"/>
  <c r="Q834" i="1" s="1"/>
  <c r="R834" i="1" s="1"/>
  <c r="X283" i="1"/>
  <c r="P283" i="1" s="1"/>
  <c r="Q283" i="1" s="1"/>
  <c r="R283" i="1" s="1"/>
  <c r="X1023" i="1"/>
  <c r="P1023" i="1" s="1"/>
  <c r="Q1023" i="1" s="1"/>
  <c r="R1023" i="1" s="1"/>
  <c r="X689" i="1"/>
  <c r="P689" i="1" s="1"/>
  <c r="Q689" i="1" s="1"/>
  <c r="R689" i="1" s="1"/>
  <c r="X2103" i="1"/>
  <c r="P2103" i="1" s="1"/>
  <c r="Q2103" i="1" s="1"/>
  <c r="R2103" i="1" s="1"/>
  <c r="X1297" i="1"/>
  <c r="P1297" i="1" s="1"/>
  <c r="Q1297" i="1" s="1"/>
  <c r="R1297" i="1" s="1"/>
  <c r="X1234" i="1"/>
  <c r="P1234" i="1" s="1"/>
  <c r="Q1234" i="1" s="1"/>
  <c r="R1234" i="1" s="1"/>
  <c r="X248" i="1"/>
  <c r="P248" i="1" s="1"/>
  <c r="Q248" i="1" s="1"/>
  <c r="R248" i="1" s="1"/>
  <c r="X371" i="1"/>
  <c r="P371" i="1" s="1"/>
  <c r="Q371" i="1" s="1"/>
  <c r="R371" i="1" s="1"/>
  <c r="X1763" i="1"/>
  <c r="P1763" i="1" s="1"/>
  <c r="Q1763" i="1" s="1"/>
  <c r="R1763" i="1" s="1"/>
  <c r="X1750" i="1"/>
  <c r="X1393" i="1"/>
  <c r="Q1393" i="1" s="1"/>
  <c r="R1393" i="1" s="1"/>
  <c r="X1496" i="1"/>
  <c r="Q1496" i="1" s="1"/>
  <c r="R1496" i="1" s="1"/>
  <c r="X1759" i="1"/>
  <c r="P1759" i="1" s="1"/>
  <c r="Q1759" i="1" s="1"/>
  <c r="R1759" i="1" s="1"/>
  <c r="X519" i="1"/>
  <c r="P519" i="1" s="1"/>
  <c r="Q519" i="1" s="1"/>
  <c r="R519" i="1" s="1"/>
  <c r="X226" i="1"/>
  <c r="P226" i="1" s="1"/>
  <c r="Q226" i="1" s="1"/>
  <c r="R226" i="1" s="1"/>
  <c r="X605" i="1"/>
  <c r="P605" i="1" s="1"/>
  <c r="Q605" i="1" s="1"/>
  <c r="R605" i="1" s="1"/>
  <c r="X1575" i="1"/>
  <c r="P1575" i="1" s="1"/>
  <c r="Q1575" i="1" s="1"/>
  <c r="R1575" i="1" s="1"/>
  <c r="X106" i="1"/>
  <c r="P106" i="1" s="1"/>
  <c r="Q106" i="1" s="1"/>
  <c r="R106" i="1" s="1"/>
  <c r="X461" i="1"/>
  <c r="P461" i="1" s="1"/>
  <c r="Q461" i="1" s="1"/>
  <c r="R461" i="1" s="1"/>
  <c r="X475" i="1"/>
  <c r="P475" i="1" s="1"/>
  <c r="Q475" i="1" s="1"/>
  <c r="X1306" i="1"/>
  <c r="X658" i="1"/>
  <c r="P658" i="1" s="1"/>
  <c r="Q658" i="1" s="1"/>
  <c r="X1251" i="1"/>
  <c r="P1251" i="1" s="1"/>
  <c r="Q1251" i="1" s="1"/>
  <c r="X1963" i="1"/>
  <c r="P1963" i="1" s="1"/>
  <c r="Q1963" i="1" s="1"/>
  <c r="X1658" i="1"/>
  <c r="P1658" i="1" s="1"/>
  <c r="Q1658" i="1" s="1"/>
  <c r="X1932" i="1"/>
  <c r="P1932" i="1" s="1"/>
  <c r="Q1932" i="1" s="1"/>
  <c r="R1932" i="1" s="1"/>
  <c r="X1896" i="1"/>
  <c r="P1896" i="1" s="1"/>
  <c r="Q1896" i="1" s="1"/>
  <c r="X1132" i="1"/>
  <c r="P1132" i="1" s="1"/>
  <c r="Q1132" i="1" s="1"/>
  <c r="R1132" i="1" s="1"/>
  <c r="X363" i="1"/>
  <c r="P363" i="1" s="1"/>
  <c r="Q363" i="1" s="1"/>
  <c r="R363" i="1" s="1"/>
  <c r="X1719" i="1"/>
  <c r="P1719" i="1" s="1"/>
  <c r="Q1719" i="1" s="1"/>
  <c r="R1719" i="1" s="1"/>
  <c r="X1363" i="1"/>
  <c r="P1363" i="1" s="1"/>
  <c r="Q1363" i="1" s="1"/>
  <c r="R1363" i="1" s="1"/>
  <c r="X1616" i="1"/>
  <c r="X1559" i="1"/>
  <c r="P1559" i="1" s="1"/>
  <c r="Q1559" i="1" s="1"/>
  <c r="R1559" i="1" s="1"/>
  <c r="X405" i="1"/>
  <c r="P405" i="1" s="1"/>
  <c r="Q405" i="1" s="1"/>
  <c r="R405" i="1" s="1"/>
  <c r="X361" i="1"/>
  <c r="X146" i="1"/>
  <c r="P146" i="1" s="1"/>
  <c r="Q146" i="1" s="1"/>
  <c r="R146" i="1" s="1"/>
  <c r="X941" i="1"/>
  <c r="P941" i="1" s="1"/>
  <c r="Q941" i="1" s="1"/>
  <c r="R941" i="1" s="1"/>
  <c r="X199" i="1"/>
  <c r="P199" i="1" s="1"/>
  <c r="Q199" i="1" s="1"/>
  <c r="R199" i="1" s="1"/>
  <c r="X277" i="1"/>
  <c r="Q277" i="1" s="1"/>
  <c r="R277" i="1" s="1"/>
  <c r="X562" i="1"/>
  <c r="P562" i="1" s="1"/>
  <c r="Q562" i="1" s="1"/>
  <c r="R562" i="1" s="1"/>
  <c r="X1706" i="1"/>
  <c r="P1706" i="1" s="1"/>
  <c r="Q1706" i="1" s="1"/>
  <c r="R1706" i="1" s="1"/>
  <c r="X211" i="1"/>
  <c r="P211" i="1" s="1"/>
  <c r="Q211" i="1" s="1"/>
  <c r="R211" i="1" s="1"/>
  <c r="X401" i="1"/>
  <c r="P401" i="1" s="1"/>
  <c r="Q401" i="1" s="1"/>
  <c r="R401" i="1" s="1"/>
  <c r="X1905" i="1"/>
  <c r="P1905" i="1" s="1"/>
  <c r="Q1905" i="1" s="1"/>
  <c r="R1905" i="1" s="1"/>
  <c r="X627" i="1"/>
  <c r="P627" i="1" s="1"/>
  <c r="Q627" i="1" s="1"/>
  <c r="R627" i="1" s="1"/>
  <c r="X1551" i="1"/>
  <c r="P1551" i="1" s="1"/>
  <c r="Q1551" i="1" s="1"/>
  <c r="R1551" i="1" s="1"/>
  <c r="X389" i="1"/>
  <c r="P389" i="1" s="1"/>
  <c r="Q389" i="1" s="1"/>
  <c r="R389" i="1" s="1"/>
  <c r="X702" i="1"/>
  <c r="P702" i="1" s="1"/>
  <c r="Q702" i="1" s="1"/>
  <c r="R702" i="1" s="1"/>
  <c r="X626" i="1"/>
  <c r="P626" i="1" s="1"/>
  <c r="Q626" i="1" s="1"/>
  <c r="R626" i="1" s="1"/>
  <c r="X465" i="1"/>
  <c r="P465" i="1" s="1"/>
  <c r="Q465" i="1" s="1"/>
  <c r="R465" i="1" s="1"/>
  <c r="X1038" i="1"/>
  <c r="P1038" i="1" s="1"/>
  <c r="Q1038" i="1" s="1"/>
  <c r="X126" i="1"/>
  <c r="P126" i="1" s="1"/>
  <c r="Q126" i="1" s="1"/>
  <c r="X407" i="1"/>
  <c r="X1940" i="1"/>
  <c r="P1940" i="1" s="1"/>
  <c r="Q1940" i="1" s="1"/>
  <c r="R1940" i="1" s="1"/>
  <c r="X1096" i="1"/>
  <c r="P1096" i="1" s="1"/>
  <c r="Q1096" i="1" s="1"/>
  <c r="R1096" i="1" s="1"/>
  <c r="X467" i="1"/>
  <c r="P467" i="1" s="1"/>
  <c r="Q467" i="1" s="1"/>
  <c r="R467" i="1" s="1"/>
  <c r="X2068" i="1"/>
  <c r="P2068" i="1" s="1"/>
  <c r="Q2068" i="1" s="1"/>
  <c r="X1808" i="1"/>
  <c r="P1808" i="1" s="1"/>
  <c r="Q1808" i="1" s="1"/>
  <c r="R1808" i="1" s="1"/>
  <c r="X557" i="1"/>
  <c r="P557" i="1" s="1"/>
  <c r="Q557" i="1" s="1"/>
  <c r="R557" i="1" s="1"/>
  <c r="X431" i="1"/>
  <c r="P431" i="1" s="1"/>
  <c r="Q431" i="1" s="1"/>
  <c r="R431" i="1" s="1"/>
  <c r="X924" i="1"/>
  <c r="P924" i="1" s="1"/>
  <c r="Q924" i="1" s="1"/>
  <c r="R924" i="1" s="1"/>
  <c r="X1777" i="1"/>
  <c r="P1777" i="1" s="1"/>
  <c r="Q1777" i="1" s="1"/>
  <c r="R1777" i="1" s="1"/>
  <c r="X1553" i="1"/>
  <c r="P1553" i="1" s="1"/>
  <c r="Q1553" i="1" s="1"/>
  <c r="R1553" i="1" s="1"/>
  <c r="X403" i="1"/>
  <c r="X588" i="1"/>
  <c r="P588" i="1" s="1"/>
  <c r="Q588" i="1" s="1"/>
  <c r="R588" i="1" s="1"/>
  <c r="X1335" i="1"/>
  <c r="P1335" i="1" s="1"/>
  <c r="Q1335" i="1" s="1"/>
  <c r="R1335" i="1" s="1"/>
  <c r="X1424" i="1"/>
  <c r="P1424" i="1" s="1"/>
  <c r="Q1424" i="1" s="1"/>
  <c r="R1424" i="1" s="1"/>
  <c r="X88" i="1"/>
  <c r="P88" i="1" s="1"/>
  <c r="Q88" i="1" s="1"/>
  <c r="R88" i="1" s="1"/>
  <c r="X612" i="1"/>
  <c r="P612" i="1" s="1"/>
  <c r="Q612" i="1" s="1"/>
  <c r="R612" i="1" s="1"/>
  <c r="X661" i="1"/>
  <c r="P661" i="1" s="1"/>
  <c r="Q661" i="1" s="1"/>
  <c r="R661" i="1" s="1"/>
  <c r="X286" i="1"/>
  <c r="X1982" i="1"/>
  <c r="X1371" i="1"/>
  <c r="P1371" i="1" s="1"/>
  <c r="X528" i="1"/>
  <c r="P528" i="1" s="1"/>
  <c r="Q528" i="1" s="1"/>
  <c r="X91" i="1"/>
  <c r="P91" i="1" s="1"/>
  <c r="Q91" i="1" s="1"/>
  <c r="R91" i="1" s="1"/>
  <c r="X470" i="1"/>
  <c r="P470" i="1" s="1"/>
  <c r="Q470" i="1" s="1"/>
  <c r="X574" i="1"/>
  <c r="P574" i="1" s="1"/>
  <c r="Q574" i="1" s="1"/>
  <c r="R574" i="1" s="1"/>
  <c r="X1647" i="1"/>
  <c r="P1647" i="1" s="1"/>
  <c r="Q1647" i="1" s="1"/>
  <c r="R1647" i="1" s="1"/>
  <c r="X1475" i="1"/>
  <c r="P1475" i="1" s="1"/>
  <c r="Q1475" i="1" s="1"/>
  <c r="R1475" i="1" s="1"/>
  <c r="X1074" i="1"/>
  <c r="P1074" i="1" s="1"/>
  <c r="Q1074" i="1" s="1"/>
  <c r="X341" i="1"/>
  <c r="P341" i="1" s="1"/>
  <c r="Q341" i="1" s="1"/>
  <c r="R341" i="1" s="1"/>
  <c r="X1505" i="1"/>
  <c r="P1505" i="1" s="1"/>
  <c r="Q1505" i="1" s="1"/>
  <c r="X1664" i="1"/>
  <c r="P1664" i="1" s="1"/>
  <c r="Q1664" i="1" s="1"/>
  <c r="X906" i="1"/>
  <c r="P906" i="1" s="1"/>
  <c r="Q906" i="1" s="1"/>
  <c r="X1048" i="1"/>
  <c r="P1048" i="1" s="1"/>
  <c r="Q1048" i="1" s="1"/>
  <c r="X935" i="1"/>
  <c r="X559" i="1"/>
  <c r="X245" i="1"/>
  <c r="P245" i="1" s="1"/>
  <c r="Q245" i="1" s="1"/>
  <c r="X2090" i="1"/>
  <c r="P2090" i="1" s="1"/>
  <c r="Q2090" i="1" s="1"/>
  <c r="Y818" i="1"/>
  <c r="X207" i="1"/>
  <c r="P207" i="1" s="1"/>
  <c r="Q207" i="1" s="1"/>
  <c r="X1415" i="1"/>
  <c r="P1415" i="1" s="1"/>
  <c r="Q1415" i="1" s="1"/>
  <c r="X480" i="1"/>
  <c r="P480" i="1" s="1"/>
  <c r="Q480" i="1" s="1"/>
  <c r="X725" i="1"/>
  <c r="P725" i="1" s="1"/>
  <c r="Q725" i="1" s="1"/>
  <c r="X231" i="1"/>
  <c r="P231" i="1" s="1"/>
  <c r="Q231" i="1" s="1"/>
  <c r="R231" i="1" s="1"/>
  <c r="X1418" i="1"/>
  <c r="P1418" i="1" s="1"/>
  <c r="Q1418" i="1" s="1"/>
  <c r="R1418" i="1" s="1"/>
  <c r="X1360" i="1"/>
  <c r="P1360" i="1" s="1"/>
  <c r="X134" i="1"/>
  <c r="P134" i="1" s="1"/>
  <c r="X49" i="1"/>
  <c r="P49" i="1" s="1"/>
  <c r="Q49" i="1" s="1"/>
  <c r="X308" i="1"/>
  <c r="P308" i="1" s="1"/>
  <c r="Q308" i="1" s="1"/>
  <c r="X989" i="1"/>
  <c r="P989" i="1" s="1"/>
  <c r="Q989" i="1" s="1"/>
  <c r="X19" i="1"/>
  <c r="P19" i="1" s="1"/>
  <c r="Q19" i="1" s="1"/>
  <c r="R19" i="1" s="1"/>
  <c r="X318" i="1"/>
  <c r="P318" i="1" s="1"/>
  <c r="Q318" i="1" s="1"/>
  <c r="X856" i="1"/>
  <c r="P856" i="1" s="1"/>
  <c r="Q856" i="1" s="1"/>
  <c r="R856" i="1" s="1"/>
  <c r="X950" i="1"/>
  <c r="P950" i="1" s="1"/>
  <c r="Q950" i="1" s="1"/>
  <c r="X893" i="1"/>
  <c r="P893" i="1" s="1"/>
  <c r="Q893" i="1" s="1"/>
  <c r="X51" i="1"/>
  <c r="P51" i="1" s="1"/>
  <c r="Q51" i="1" s="1"/>
  <c r="R51" i="1" s="1"/>
  <c r="X1404" i="1"/>
  <c r="P1404" i="1" s="1"/>
  <c r="X234" i="1"/>
  <c r="P234" i="1" s="1"/>
  <c r="Q234" i="1" s="1"/>
  <c r="X379" i="1"/>
  <c r="P379" i="1" s="1"/>
  <c r="Q379" i="1" s="1"/>
  <c r="X13" i="1"/>
  <c r="P13" i="1" s="1"/>
  <c r="Q13" i="1" s="1"/>
  <c r="X302" i="1"/>
  <c r="P302" i="1" s="1"/>
  <c r="Q302" i="1" s="1"/>
  <c r="X1659" i="1"/>
  <c r="P1659" i="1" s="1"/>
  <c r="Q1659" i="1" s="1"/>
  <c r="Y1154" i="1"/>
  <c r="X294" i="1"/>
  <c r="P294" i="1" s="1"/>
  <c r="Q294" i="1" s="1"/>
  <c r="R294" i="1" s="1"/>
  <c r="X1544" i="1"/>
  <c r="X6" i="1"/>
  <c r="P6" i="1" s="1"/>
  <c r="Q6" i="1" s="1"/>
  <c r="R6" i="1" s="1"/>
  <c r="X651" i="1"/>
  <c r="P651" i="1" s="1"/>
  <c r="Q651" i="1" s="1"/>
  <c r="R651" i="1" s="1"/>
  <c r="X1868" i="1"/>
  <c r="P1868" i="1" s="1"/>
  <c r="Q1868" i="1" s="1"/>
  <c r="R1868" i="1" s="1"/>
  <c r="X878" i="1"/>
  <c r="P878" i="1" s="1"/>
  <c r="Q878" i="1" s="1"/>
  <c r="R878" i="1" s="1"/>
  <c r="X165" i="1"/>
  <c r="P165" i="1" s="1"/>
  <c r="Q165" i="1" s="1"/>
  <c r="R165" i="1" s="1"/>
  <c r="X1789" i="1"/>
  <c r="P1789" i="1" s="1"/>
  <c r="Q1789" i="1" s="1"/>
  <c r="R1789" i="1" s="1"/>
  <c r="X1258" i="1"/>
  <c r="P1258" i="1" s="1"/>
  <c r="Q1258" i="1" s="1"/>
  <c r="R1258" i="1" s="1"/>
  <c r="X1598" i="1"/>
  <c r="P1598" i="1" s="1"/>
  <c r="Q1598" i="1" s="1"/>
  <c r="R1598" i="1" s="1"/>
  <c r="X521" i="1"/>
  <c r="X295" i="1"/>
  <c r="P295" i="1" s="1"/>
  <c r="Q295" i="1" s="1"/>
  <c r="R295" i="1" s="1"/>
  <c r="X980" i="1"/>
  <c r="P980" i="1" s="1"/>
  <c r="Q980" i="1" s="1"/>
  <c r="R980" i="1" s="1"/>
  <c r="X1579" i="1"/>
  <c r="P1579" i="1" s="1"/>
  <c r="Q1579" i="1" s="1"/>
  <c r="R1579" i="1" s="1"/>
  <c r="X222" i="1"/>
  <c r="P222" i="1" s="1"/>
  <c r="Q222" i="1" s="1"/>
  <c r="R222" i="1" s="1"/>
  <c r="X1673" i="1"/>
  <c r="P1673" i="1" s="1"/>
  <c r="Q1673" i="1" s="1"/>
  <c r="R1673" i="1" s="1"/>
  <c r="X1824" i="1"/>
  <c r="P1824" i="1" s="1"/>
  <c r="Q1824" i="1" s="1"/>
  <c r="R1824" i="1" s="1"/>
  <c r="X1328" i="1"/>
  <c r="P1328" i="1" s="1"/>
  <c r="Q1328" i="1" s="1"/>
  <c r="R1328" i="1" s="1"/>
  <c r="X221" i="1"/>
  <c r="P221" i="1" s="1"/>
  <c r="Q221" i="1" s="1"/>
  <c r="R221" i="1" s="1"/>
  <c r="Y1750" i="1"/>
  <c r="X28" i="1"/>
  <c r="P28" i="1" s="1"/>
  <c r="Q28" i="1" s="1"/>
  <c r="R28" i="1" s="1"/>
  <c r="X289" i="1"/>
  <c r="P289" i="1" s="1"/>
  <c r="Q289" i="1" s="1"/>
  <c r="R289" i="1" s="1"/>
  <c r="X178" i="1"/>
  <c r="P178" i="1" s="1"/>
  <c r="Q178" i="1" s="1"/>
  <c r="R178" i="1" s="1"/>
  <c r="X80" i="1"/>
  <c r="P80" i="1" s="1"/>
  <c r="Q80" i="1" s="1"/>
  <c r="R80" i="1" s="1"/>
  <c r="X1195" i="1"/>
  <c r="P1195" i="1" s="1"/>
  <c r="Q1195" i="1" s="1"/>
  <c r="R1195" i="1" s="1"/>
  <c r="X813" i="1"/>
  <c r="P813" i="1" s="1"/>
  <c r="Q813" i="1" s="1"/>
  <c r="R813" i="1" s="1"/>
  <c r="X2093" i="1"/>
  <c r="P2093" i="1" s="1"/>
  <c r="Q2093" i="1" s="1"/>
  <c r="X2024" i="1"/>
  <c r="P2024" i="1" s="1"/>
  <c r="Q2024" i="1" s="1"/>
  <c r="X1847" i="1"/>
  <c r="X1188" i="1"/>
  <c r="X1407" i="1"/>
  <c r="P1407" i="1" s="1"/>
  <c r="Q1407" i="1" s="1"/>
  <c r="R1407" i="1" s="1"/>
  <c r="X543" i="1"/>
  <c r="P543" i="1" s="1"/>
  <c r="Q543" i="1" s="1"/>
  <c r="R543" i="1" s="1"/>
  <c r="X1920" i="1"/>
  <c r="P1920" i="1" s="1"/>
  <c r="Q1920" i="1" s="1"/>
  <c r="R1920" i="1" s="1"/>
  <c r="X1217" i="1"/>
  <c r="P1217" i="1" s="1"/>
  <c r="Q1217" i="1" s="1"/>
  <c r="R1217" i="1" s="1"/>
  <c r="X1160" i="1"/>
  <c r="P1160" i="1" s="1"/>
  <c r="Q1160" i="1" s="1"/>
  <c r="R1160" i="1" s="1"/>
  <c r="X2036" i="1"/>
  <c r="P2036" i="1" s="1"/>
  <c r="Q2036" i="1" s="1"/>
  <c r="R2036" i="1" s="1"/>
  <c r="X388" i="1"/>
  <c r="P388" i="1" s="1"/>
  <c r="Q388" i="1" s="1"/>
  <c r="R388" i="1" s="1"/>
  <c r="X67" i="1"/>
  <c r="P67" i="1" s="1"/>
  <c r="Q67" i="1" s="1"/>
  <c r="R67" i="1" s="1"/>
  <c r="X829" i="1"/>
  <c r="P829" i="1" s="1"/>
  <c r="Q829" i="1" s="1"/>
  <c r="R829" i="1" s="1"/>
  <c r="X2085" i="1"/>
  <c r="P2085" i="1" s="1"/>
  <c r="Q2085" i="1" s="1"/>
  <c r="R2085" i="1" s="1"/>
  <c r="X1629" i="1"/>
  <c r="P1629" i="1" s="1"/>
  <c r="Q1629" i="1" s="1"/>
  <c r="R1629" i="1" s="1"/>
  <c r="X729" i="1"/>
  <c r="P729" i="1" s="1"/>
  <c r="Q729" i="1" s="1"/>
  <c r="R729" i="1" s="1"/>
  <c r="X1453" i="1"/>
  <c r="P1453" i="1" s="1"/>
  <c r="Q1453" i="1" s="1"/>
  <c r="R1453" i="1" s="1"/>
  <c r="X864" i="1"/>
  <c r="P864" i="1" s="1"/>
  <c r="Q864" i="1" s="1"/>
  <c r="R864" i="1" s="1"/>
  <c r="X415" i="1"/>
  <c r="P415" i="1" s="1"/>
  <c r="Q415" i="1" s="1"/>
  <c r="R415" i="1" s="1"/>
  <c r="X1597" i="1"/>
  <c r="P1597" i="1" s="1"/>
  <c r="Q1597" i="1" s="1"/>
  <c r="R1597" i="1" s="1"/>
  <c r="X601" i="1"/>
  <c r="P601" i="1" s="1"/>
  <c r="Q601" i="1" s="1"/>
  <c r="R601" i="1" s="1"/>
  <c r="X1993" i="1"/>
  <c r="P1993" i="1" s="1"/>
  <c r="Q1993" i="1" s="1"/>
  <c r="R1993" i="1" s="1"/>
  <c r="X537" i="1"/>
  <c r="P537" i="1" s="1"/>
  <c r="Q537" i="1" s="1"/>
  <c r="R537" i="1" s="1"/>
  <c r="X764" i="1"/>
  <c r="P764" i="1" s="1"/>
  <c r="Q764" i="1" s="1"/>
  <c r="R764" i="1" s="1"/>
  <c r="X1554" i="1"/>
  <c r="P1554" i="1" s="1"/>
  <c r="Q1554" i="1" s="1"/>
  <c r="R1554" i="1" s="1"/>
  <c r="X696" i="1"/>
  <c r="P696" i="1" s="1"/>
  <c r="Q696" i="1" s="1"/>
  <c r="R696" i="1" s="1"/>
  <c r="X855" i="1"/>
  <c r="P855" i="1" s="1"/>
  <c r="Q855" i="1" s="1"/>
  <c r="R855" i="1" s="1"/>
  <c r="X1171" i="1"/>
  <c r="P1171" i="1" s="1"/>
  <c r="Q1171" i="1" s="1"/>
  <c r="R1171" i="1" s="1"/>
  <c r="X1854" i="1"/>
  <c r="P1854" i="1" s="1"/>
  <c r="Q1854" i="1" s="1"/>
  <c r="R1854" i="1" s="1"/>
  <c r="X254" i="1"/>
  <c r="P254" i="1" s="1"/>
  <c r="Q254" i="1" s="1"/>
  <c r="R254" i="1" s="1"/>
  <c r="X1056" i="1"/>
  <c r="P1056" i="1" s="1"/>
  <c r="Q1056" i="1" s="1"/>
  <c r="R1056" i="1" s="1"/>
  <c r="X206" i="1"/>
  <c r="X1007" i="1"/>
  <c r="X1400" i="1"/>
  <c r="X1584" i="1"/>
  <c r="X1345" i="1"/>
  <c r="P1345" i="1" s="1"/>
  <c r="Q1345" i="1" s="1"/>
  <c r="R1345" i="1" s="1"/>
  <c r="X2098" i="1"/>
  <c r="P2098" i="1" s="1"/>
  <c r="Q2098" i="1" s="1"/>
  <c r="R2098" i="1" s="1"/>
  <c r="X1990" i="1"/>
  <c r="P1990" i="1" s="1"/>
  <c r="Q1990" i="1" s="1"/>
  <c r="R1990" i="1" s="1"/>
  <c r="X1272" i="1"/>
  <c r="P1272" i="1" s="1"/>
  <c r="Q1272" i="1" s="1"/>
  <c r="R1272" i="1" s="1"/>
  <c r="X1919" i="1"/>
  <c r="P1919" i="1" s="1"/>
  <c r="Q1919" i="1" s="1"/>
  <c r="R1919" i="1" s="1"/>
  <c r="X983" i="1"/>
  <c r="P983" i="1" s="1"/>
  <c r="Q983" i="1" s="1"/>
  <c r="R983" i="1" s="1"/>
  <c r="X1221" i="1"/>
  <c r="P1221" i="1" s="1"/>
  <c r="Q1221" i="1" s="1"/>
  <c r="R1221" i="1" s="1"/>
  <c r="X1437" i="1"/>
  <c r="P1437" i="1" s="1"/>
  <c r="Q1437" i="1" s="1"/>
  <c r="R1437" i="1" s="1"/>
  <c r="X517" i="1"/>
  <c r="P517" i="1" s="1"/>
  <c r="Q517" i="1" s="1"/>
  <c r="R517" i="1" s="1"/>
  <c r="X887" i="1"/>
  <c r="P887" i="1" s="1"/>
  <c r="Q887" i="1" s="1"/>
  <c r="R887" i="1" s="1"/>
  <c r="X688" i="1"/>
  <c r="X913" i="1"/>
  <c r="P913" i="1" s="1"/>
  <c r="Q913" i="1" s="1"/>
  <c r="R913" i="1" s="1"/>
  <c r="X697" i="1"/>
  <c r="P697" i="1" s="1"/>
  <c r="Q697" i="1" s="1"/>
  <c r="R697" i="1" s="1"/>
  <c r="X1502" i="1"/>
  <c r="P1502" i="1" s="1"/>
  <c r="Q1502" i="1" s="1"/>
  <c r="R1502" i="1" s="1"/>
  <c r="X1718" i="1"/>
  <c r="P1718" i="1" s="1"/>
  <c r="Q1718" i="1" s="1"/>
  <c r="R1718" i="1" s="1"/>
  <c r="X544" i="1"/>
  <c r="P544" i="1" s="1"/>
  <c r="Q544" i="1" s="1"/>
  <c r="R544" i="1" s="1"/>
  <c r="X867" i="1"/>
  <c r="P867" i="1" s="1"/>
  <c r="Q867" i="1" s="1"/>
  <c r="R867" i="1" s="1"/>
  <c r="X1617" i="1"/>
  <c r="P1617" i="1" s="1"/>
  <c r="Q1617" i="1" s="1"/>
  <c r="R1617" i="1" s="1"/>
  <c r="X229" i="1"/>
  <c r="P229" i="1" s="1"/>
  <c r="Q229" i="1" s="1"/>
  <c r="R229" i="1" s="1"/>
  <c r="X866" i="1"/>
  <c r="P866" i="1" s="1"/>
  <c r="Q866" i="1" s="1"/>
  <c r="R866" i="1" s="1"/>
  <c r="X509" i="1"/>
  <c r="P509" i="1" s="1"/>
  <c r="Q509" i="1" s="1"/>
  <c r="R509" i="1" s="1"/>
  <c r="X2064" i="1"/>
  <c r="Q2064" i="1" s="1"/>
  <c r="R2064" i="1" s="1"/>
  <c r="X1443" i="1"/>
  <c r="X1903" i="1"/>
  <c r="P1903" i="1" s="1"/>
  <c r="Q1903" i="1" s="1"/>
  <c r="R1903" i="1" s="1"/>
  <c r="X653" i="1"/>
  <c r="P653" i="1" s="1"/>
  <c r="Q653" i="1" s="1"/>
  <c r="R653" i="1" s="1"/>
  <c r="X367" i="1"/>
  <c r="P367" i="1" s="1"/>
  <c r="Q367" i="1" s="1"/>
  <c r="R367" i="1" s="1"/>
  <c r="X1329" i="1"/>
  <c r="P1329" i="1" s="1"/>
  <c r="Q1329" i="1" s="1"/>
  <c r="R1329" i="1" s="1"/>
  <c r="X47" i="1"/>
  <c r="P47" i="1" s="1"/>
  <c r="Q47" i="1" s="1"/>
  <c r="R47" i="1" s="1"/>
  <c r="X2101" i="1"/>
  <c r="P2101" i="1" s="1"/>
  <c r="Q2101" i="1" s="1"/>
  <c r="R2101" i="1" s="1"/>
  <c r="X1169" i="1"/>
  <c r="X1740" i="1"/>
  <c r="P1740" i="1" s="1"/>
  <c r="Q1740" i="1" s="1"/>
  <c r="R1740" i="1" s="1"/>
  <c r="X547" i="1"/>
  <c r="P547" i="1" s="1"/>
  <c r="Q547" i="1" s="1"/>
  <c r="R547" i="1" s="1"/>
  <c r="X943" i="1"/>
  <c r="P943" i="1" s="1"/>
  <c r="Q943" i="1" s="1"/>
  <c r="R943" i="1" s="1"/>
  <c r="X596" i="1"/>
  <c r="P596" i="1" s="1"/>
  <c r="Q596" i="1" s="1"/>
  <c r="R596" i="1" s="1"/>
  <c r="X836" i="1"/>
  <c r="P836" i="1" s="1"/>
  <c r="Q836" i="1" s="1"/>
  <c r="R836" i="1" s="1"/>
  <c r="X1526" i="1"/>
  <c r="P1526" i="1" s="1"/>
  <c r="Q1526" i="1" s="1"/>
  <c r="R1526" i="1" s="1"/>
  <c r="X490" i="1"/>
  <c r="P490" i="1" s="1"/>
  <c r="Q490" i="1" s="1"/>
  <c r="R490" i="1" s="1"/>
  <c r="X1350" i="1"/>
  <c r="P1350" i="1" s="1"/>
  <c r="Q1350" i="1" s="1"/>
  <c r="R1350" i="1" s="1"/>
  <c r="X677" i="1"/>
  <c r="P677" i="1" s="1"/>
  <c r="Q677" i="1" s="1"/>
  <c r="R677" i="1" s="1"/>
  <c r="X444" i="1"/>
  <c r="P444" i="1" s="1"/>
  <c r="Q444" i="1" s="1"/>
  <c r="R444" i="1" s="1"/>
  <c r="X1810" i="1"/>
  <c r="P1810" i="1" s="1"/>
  <c r="Q1810" i="1" s="1"/>
  <c r="R1810" i="1" s="1"/>
  <c r="X1934" i="1"/>
  <c r="P1934" i="1" s="1"/>
  <c r="Q1934" i="1" s="1"/>
  <c r="X797" i="1"/>
  <c r="P797" i="1" s="1"/>
  <c r="Q797" i="1" s="1"/>
  <c r="R797" i="1" s="1"/>
  <c r="X731" i="1"/>
  <c r="P731" i="1" s="1"/>
  <c r="Q731" i="1" s="1"/>
  <c r="R731" i="1" s="1"/>
  <c r="X875" i="1"/>
  <c r="P875" i="1" s="1"/>
  <c r="Q875" i="1" s="1"/>
  <c r="R875" i="1" s="1"/>
  <c r="X799" i="1"/>
  <c r="P799" i="1" s="1"/>
  <c r="Q799" i="1" s="1"/>
  <c r="R799" i="1" s="1"/>
  <c r="X437" i="1"/>
  <c r="P437" i="1" s="1"/>
  <c r="Q437" i="1" s="1"/>
  <c r="R437" i="1" s="1"/>
  <c r="X1636" i="1"/>
  <c r="P1636" i="1" s="1"/>
  <c r="Q1636" i="1" s="1"/>
  <c r="R1636" i="1" s="1"/>
  <c r="X360" i="1"/>
  <c r="P360" i="1" s="1"/>
  <c r="Q360" i="1" s="1"/>
  <c r="R360" i="1" s="1"/>
  <c r="X1334" i="1"/>
  <c r="Q1334" i="1" s="1"/>
  <c r="R1334" i="1" s="1"/>
  <c r="X404" i="1"/>
  <c r="P404" i="1" s="1"/>
  <c r="Q404" i="1" s="1"/>
  <c r="R404" i="1" s="1"/>
  <c r="X1405" i="1"/>
  <c r="P1405" i="1" s="1"/>
  <c r="Q1405" i="1" s="1"/>
  <c r="R1405" i="1" s="1"/>
  <c r="X733" i="1"/>
  <c r="P733" i="1" s="1"/>
  <c r="Q733" i="1" s="1"/>
  <c r="R733" i="1" s="1"/>
  <c r="X274" i="1"/>
  <c r="P274" i="1" s="1"/>
  <c r="Q274" i="1" s="1"/>
  <c r="R274" i="1" s="1"/>
  <c r="X23" i="1"/>
  <c r="P23" i="1" s="1"/>
  <c r="Q23" i="1" s="1"/>
  <c r="R23" i="1" s="1"/>
  <c r="X1295" i="1"/>
  <c r="P1295" i="1" s="1"/>
  <c r="Q1295" i="1" s="1"/>
  <c r="R1295" i="1" s="1"/>
  <c r="X1283" i="1"/>
  <c r="X765" i="1"/>
  <c r="P765" i="1" s="1"/>
  <c r="Q765" i="1" s="1"/>
  <c r="R765" i="1" s="1"/>
  <c r="X782" i="1"/>
  <c r="P782" i="1" s="1"/>
  <c r="Q782" i="1" s="1"/>
  <c r="R782" i="1" s="1"/>
  <c r="X1365" i="1"/>
  <c r="P1365" i="1" s="1"/>
  <c r="Q1365" i="1" s="1"/>
  <c r="R1365" i="1" s="1"/>
  <c r="X1592" i="1"/>
  <c r="P1592" i="1" s="1"/>
  <c r="Q1592" i="1" s="1"/>
  <c r="R1592" i="1" s="1"/>
  <c r="X715" i="1"/>
  <c r="P715" i="1" s="1"/>
  <c r="Q715" i="1" s="1"/>
  <c r="R715" i="1" s="1"/>
  <c r="X1991" i="1"/>
  <c r="P1991" i="1" s="1"/>
  <c r="Q1991" i="1" s="1"/>
  <c r="R1991" i="1" s="1"/>
  <c r="X978" i="1"/>
  <c r="P978" i="1" s="1"/>
  <c r="Q978" i="1" s="1"/>
  <c r="R978" i="1" s="1"/>
  <c r="X1079" i="1"/>
  <c r="P1079" i="1" s="1"/>
  <c r="Q1079" i="1" s="1"/>
  <c r="R1079" i="1" s="1"/>
  <c r="X1147" i="1"/>
  <c r="X1703" i="1"/>
  <c r="P1703" i="1" s="1"/>
  <c r="Q1703" i="1" s="1"/>
  <c r="R1703" i="1" s="1"/>
  <c r="X75" i="1"/>
  <c r="P75" i="1" s="1"/>
  <c r="Q75" i="1" s="1"/>
  <c r="R75" i="1" s="1"/>
  <c r="X618" i="1"/>
  <c r="P618" i="1" s="1"/>
  <c r="Q618" i="1" s="1"/>
  <c r="R618" i="1" s="1"/>
  <c r="X1641" i="1"/>
  <c r="P1641" i="1" s="1"/>
  <c r="Q1641" i="1" s="1"/>
  <c r="R1641" i="1" s="1"/>
  <c r="X931" i="1"/>
  <c r="P931" i="1" s="1"/>
  <c r="Q931" i="1" s="1"/>
  <c r="R931" i="1" s="1"/>
  <c r="Y1195" i="1"/>
  <c r="X2055" i="1"/>
  <c r="P2055" i="1" s="1"/>
  <c r="Q2055" i="1" s="1"/>
  <c r="R2055" i="1" s="1"/>
  <c r="X257" i="1"/>
  <c r="P257" i="1" s="1"/>
  <c r="Q257" i="1" s="1"/>
  <c r="R257" i="1" s="1"/>
  <c r="Y1400" i="1"/>
  <c r="X1246" i="1"/>
  <c r="P1246" i="1" s="1"/>
  <c r="Q1246" i="1" s="1"/>
  <c r="R1246" i="1" s="1"/>
  <c r="X1561" i="1"/>
  <c r="P1561" i="1" s="1"/>
  <c r="Q1561" i="1" s="1"/>
  <c r="R1561" i="1" s="1"/>
  <c r="X1382" i="1"/>
  <c r="X1766" i="1"/>
  <c r="X351" i="1"/>
  <c r="P351" i="1" s="1"/>
  <c r="Q351" i="1" s="1"/>
  <c r="R351" i="1" s="1"/>
  <c r="X800" i="1"/>
  <c r="P800" i="1" s="1"/>
  <c r="Q800" i="1" s="1"/>
  <c r="R800" i="1" s="1"/>
  <c r="X374" i="1"/>
  <c r="P374" i="1" s="1"/>
  <c r="Q374" i="1" s="1"/>
  <c r="X948" i="1"/>
  <c r="X1857" i="1"/>
  <c r="X973" i="1"/>
  <c r="P973" i="1" s="1"/>
  <c r="X949" i="1"/>
  <c r="X1836" i="1"/>
  <c r="X1778" i="1"/>
  <c r="X1346" i="1"/>
  <c r="X1127" i="1"/>
  <c r="X1354" i="1"/>
  <c r="X157" i="1"/>
  <c r="X2100" i="1"/>
  <c r="X54" i="1"/>
  <c r="P54" i="1" s="1"/>
  <c r="Q54" i="1" s="1"/>
  <c r="X1489" i="1"/>
  <c r="X905" i="1"/>
  <c r="X1626" i="1"/>
  <c r="X1028" i="1"/>
  <c r="X45" i="1"/>
  <c r="P45" i="1" s="1"/>
  <c r="Q45" i="1" s="1"/>
  <c r="X1772" i="1"/>
  <c r="X792" i="1"/>
  <c r="X1910" i="1"/>
  <c r="X1539" i="1"/>
  <c r="X1894" i="1"/>
  <c r="X358" i="1"/>
  <c r="P358" i="1" s="1"/>
  <c r="Q358" i="1" s="1"/>
  <c r="R358" i="1" s="1"/>
  <c r="X732" i="1"/>
  <c r="P732" i="1" s="1"/>
  <c r="Q732" i="1" s="1"/>
  <c r="R732" i="1" s="1"/>
  <c r="X1476" i="1"/>
  <c r="X2091" i="1"/>
  <c r="X586" i="1"/>
  <c r="X2026" i="1"/>
  <c r="X639" i="1"/>
  <c r="X2072" i="1"/>
  <c r="X831" i="1"/>
  <c r="P831" i="1" s="1"/>
  <c r="Q831" i="1" s="1"/>
  <c r="R831" i="1" s="1"/>
  <c r="X584" i="1"/>
  <c r="P584" i="1" s="1"/>
  <c r="Q584" i="1" s="1"/>
  <c r="R584" i="1" s="1"/>
  <c r="X2051" i="1"/>
  <c r="P2051" i="1" s="1"/>
  <c r="Q2051" i="1" s="1"/>
  <c r="R2051" i="1" s="1"/>
  <c r="X63" i="1"/>
  <c r="P63" i="1" s="1"/>
  <c r="Q63" i="1" s="1"/>
  <c r="R63" i="1" s="1"/>
  <c r="X1587" i="1"/>
  <c r="P1587" i="1" s="1"/>
  <c r="Q1587" i="1" s="1"/>
  <c r="R1587" i="1" s="1"/>
  <c r="X757" i="1"/>
  <c r="P757" i="1" s="1"/>
  <c r="Q757" i="1" s="1"/>
  <c r="R757" i="1" s="1"/>
  <c r="X520" i="1"/>
  <c r="X1715" i="1"/>
  <c r="X1180" i="1"/>
  <c r="X2069" i="1"/>
  <c r="X44" i="1"/>
  <c r="P44" i="1" s="1"/>
  <c r="Q44" i="1" s="1"/>
  <c r="R44" i="1" s="1"/>
  <c r="X1921" i="1"/>
  <c r="P1921" i="1" s="1"/>
  <c r="Q1921" i="1" s="1"/>
  <c r="R1921" i="1" s="1"/>
  <c r="X1414" i="1"/>
  <c r="X749" i="1"/>
  <c r="X1205" i="1"/>
  <c r="X1785" i="1"/>
  <c r="X1883" i="1"/>
  <c r="X252" i="1"/>
  <c r="X745" i="1"/>
  <c r="X131" i="1"/>
  <c r="X736" i="1"/>
  <c r="X985" i="1"/>
  <c r="P985" i="1" s="1"/>
  <c r="Q985" i="1" s="1"/>
  <c r="R985" i="1" s="1"/>
  <c r="X934" i="1"/>
  <c r="P934" i="1" s="1"/>
  <c r="Q934" i="1" s="1"/>
  <c r="R934" i="1" s="1"/>
  <c r="X1091" i="1"/>
  <c r="P1091" i="1" s="1"/>
  <c r="Q1091" i="1" s="1"/>
  <c r="R1091" i="1" s="1"/>
  <c r="X1456" i="1"/>
  <c r="P1456" i="1" s="1"/>
  <c r="Q1456" i="1" s="1"/>
  <c r="R1456" i="1" s="1"/>
  <c r="X314" i="1"/>
  <c r="P314" i="1" s="1"/>
  <c r="Q314" i="1" s="1"/>
  <c r="R314" i="1" s="1"/>
  <c r="X320" i="1"/>
  <c r="P320" i="1" s="1"/>
  <c r="Q320" i="1" s="1"/>
  <c r="R320" i="1" s="1"/>
  <c r="X504" i="1"/>
  <c r="X1667" i="1"/>
  <c r="P1667" i="1" s="1"/>
  <c r="Q1667" i="1" s="1"/>
  <c r="R1667" i="1" s="1"/>
  <c r="X714" i="1"/>
  <c r="X1317" i="1"/>
  <c r="X303" i="1"/>
  <c r="X1408" i="1"/>
  <c r="X159" i="1"/>
  <c r="X1724" i="1"/>
  <c r="X1546" i="1"/>
  <c r="X1682" i="1"/>
  <c r="X2035" i="1"/>
  <c r="X775" i="1"/>
  <c r="X2082" i="1"/>
  <c r="X1826" i="1"/>
  <c r="X52" i="1"/>
  <c r="P52" i="1" s="1"/>
  <c r="Q52" i="1" s="1"/>
  <c r="X66" i="1"/>
  <c r="P66" i="1" s="1"/>
  <c r="Q66" i="1" s="1"/>
  <c r="X2027" i="1"/>
  <c r="X1683" i="1"/>
  <c r="X1972" i="1"/>
  <c r="X726" i="1"/>
  <c r="P726" i="1" s="1"/>
  <c r="Q726" i="1" s="1"/>
  <c r="R726" i="1" s="1"/>
  <c r="X650" i="1"/>
  <c r="X418" i="1"/>
  <c r="X1417" i="1"/>
  <c r="X1939" i="1"/>
  <c r="X50" i="1"/>
  <c r="P50" i="1" s="1"/>
  <c r="Q50" i="1" s="1"/>
  <c r="R50" i="1" s="1"/>
  <c r="X1339" i="1"/>
  <c r="X74" i="1"/>
  <c r="P74" i="1" s="1"/>
  <c r="Q74" i="1" s="1"/>
  <c r="R74" i="1" s="1"/>
  <c r="X670" i="1"/>
  <c r="P670" i="1" s="1"/>
  <c r="Q670" i="1" s="1"/>
  <c r="R670" i="1" s="1"/>
  <c r="X2048" i="1"/>
  <c r="Q2048" i="1" s="1"/>
  <c r="R2048" i="1" s="1"/>
  <c r="X1941" i="1"/>
  <c r="X402" i="1"/>
  <c r="X1747" i="1"/>
  <c r="X1172" i="1"/>
  <c r="X1893" i="1"/>
  <c r="X463" i="1"/>
  <c r="X531" i="1"/>
  <c r="P531" i="1" s="1"/>
  <c r="X446" i="1"/>
  <c r="P446" i="1" s="1"/>
  <c r="Q446" i="1" s="1"/>
  <c r="X1428" i="1"/>
  <c r="P1428" i="1" s="1"/>
  <c r="Q1428" i="1" s="1"/>
  <c r="R1428" i="1" s="1"/>
  <c r="X1710" i="1"/>
  <c r="P1710" i="1" s="1"/>
  <c r="Y2100" i="1"/>
  <c r="X250" i="1"/>
  <c r="P250" i="1" s="1"/>
  <c r="Y745" i="1"/>
  <c r="X1607" i="1"/>
  <c r="P1607" i="1" s="1"/>
  <c r="Q1607" i="1" s="1"/>
  <c r="X815" i="1"/>
  <c r="P815" i="1" s="1"/>
  <c r="Q815" i="1" s="1"/>
  <c r="X422" i="1"/>
  <c r="P422" i="1" s="1"/>
  <c r="Q422" i="1" s="1"/>
  <c r="X937" i="1"/>
  <c r="X1182" i="1"/>
  <c r="P1182" i="1" s="1"/>
  <c r="Q1182" i="1" s="1"/>
  <c r="X170" i="1"/>
  <c r="P170" i="1" s="1"/>
  <c r="Q170" i="1" s="1"/>
  <c r="X1631" i="1"/>
  <c r="X1445" i="1"/>
  <c r="P1445" i="1" s="1"/>
  <c r="Q1445" i="1" s="1"/>
  <c r="X1293" i="1"/>
  <c r="X1624" i="1"/>
  <c r="P1624" i="1" s="1"/>
  <c r="Q1624" i="1" s="1"/>
  <c r="X591" i="1"/>
  <c r="X443" i="1"/>
  <c r="X1469" i="1"/>
  <c r="X61" i="1"/>
  <c r="P61" i="1" s="1"/>
  <c r="Q61" i="1" s="1"/>
  <c r="X987" i="1"/>
  <c r="X1909" i="1"/>
  <c r="X1440" i="1"/>
  <c r="P1440" i="1" s="1"/>
  <c r="Q1440" i="1" s="1"/>
  <c r="R1440" i="1" s="1"/>
  <c r="X812" i="1"/>
  <c r="P812" i="1" s="1"/>
  <c r="Q812" i="1" s="1"/>
  <c r="X272" i="1"/>
  <c r="X423" i="1"/>
  <c r="X1040" i="1"/>
  <c r="X164" i="1"/>
  <c r="X1441" i="1"/>
  <c r="X111" i="1"/>
  <c r="P111" i="1" s="1"/>
  <c r="Q111" i="1" s="1"/>
  <c r="X2079" i="1"/>
  <c r="X590" i="1"/>
  <c r="X851" i="1"/>
  <c r="X98" i="1"/>
  <c r="P98" i="1" s="1"/>
  <c r="Q98" i="1" s="1"/>
  <c r="X1385" i="1"/>
  <c r="X1366" i="1"/>
  <c r="P1366" i="1" s="1"/>
  <c r="Q1366" i="1" s="1"/>
  <c r="R1366" i="1" s="1"/>
  <c r="X109" i="1"/>
  <c r="X671" i="1"/>
  <c r="P671" i="1" s="1"/>
  <c r="Q671" i="1" s="1"/>
  <c r="X1257" i="1"/>
  <c r="X20" i="1"/>
  <c r="P20" i="1" s="1"/>
  <c r="Q20" i="1" s="1"/>
  <c r="X942" i="1"/>
  <c r="P942" i="1" s="1"/>
  <c r="Q942" i="1" s="1"/>
  <c r="X1746" i="1"/>
  <c r="Y1683" i="1"/>
  <c r="X1912" i="1"/>
  <c r="P1912" i="1" s="1"/>
  <c r="Q1912" i="1" s="1"/>
  <c r="X268" i="1"/>
  <c r="X1358" i="1"/>
  <c r="P1358" i="1" s="1"/>
  <c r="Q1358" i="1" s="1"/>
  <c r="X1470" i="1"/>
  <c r="X280" i="1"/>
  <c r="P280" i="1" s="1"/>
  <c r="Q280" i="1" s="1"/>
  <c r="R280" i="1" s="1"/>
  <c r="X265" i="1"/>
  <c r="Y265" i="1"/>
  <c r="X173" i="1"/>
  <c r="X609" i="1"/>
  <c r="X634" i="1"/>
  <c r="P634" i="1" s="1"/>
  <c r="X991" i="1"/>
  <c r="P991" i="1" s="1"/>
  <c r="Q991" i="1" s="1"/>
  <c r="X409" i="1"/>
  <c r="P409" i="1" s="1"/>
  <c r="Q409" i="1" s="1"/>
  <c r="X2054" i="1"/>
  <c r="P2054" i="1" s="1"/>
  <c r="X1444" i="1"/>
  <c r="P1444" i="1" s="1"/>
  <c r="Q1444" i="1" s="1"/>
  <c r="X1108" i="1"/>
  <c r="P1108" i="1" s="1"/>
  <c r="Q1108" i="1" s="1"/>
  <c r="X1133" i="1"/>
  <c r="P1133" i="1" s="1"/>
  <c r="X1986" i="1"/>
  <c r="P1986" i="1" s="1"/>
  <c r="X1214" i="1"/>
  <c r="P1214" i="1" s="1"/>
  <c r="Q1214" i="1" s="1"/>
  <c r="X551" i="1"/>
  <c r="P551" i="1" s="1"/>
  <c r="Q551" i="1" s="1"/>
  <c r="X1814" i="1"/>
  <c r="P1814" i="1" s="1"/>
  <c r="Q1814" i="1" s="1"/>
  <c r="X474" i="1"/>
  <c r="P474" i="1" s="1"/>
  <c r="Q474" i="1" s="1"/>
  <c r="X1850" i="1"/>
  <c r="P1850" i="1" s="1"/>
  <c r="Q1850" i="1" s="1"/>
  <c r="X1165" i="1"/>
  <c r="P1165" i="1" s="1"/>
  <c r="Q1165" i="1" s="1"/>
  <c r="X811" i="1"/>
  <c r="P811" i="1" s="1"/>
  <c r="Q811" i="1" s="1"/>
  <c r="X96" i="1"/>
  <c r="P96" i="1" s="1"/>
  <c r="Q96" i="1" s="1"/>
  <c r="X1870" i="1"/>
  <c r="X630" i="1"/>
  <c r="P630" i="1" s="1"/>
  <c r="Q630" i="1" s="1"/>
  <c r="X1834" i="1"/>
  <c r="X1460" i="1"/>
  <c r="P1460" i="1" s="1"/>
  <c r="Q1460" i="1" s="1"/>
  <c r="X1103" i="1"/>
  <c r="P1103" i="1" s="1"/>
  <c r="Q1103" i="1" s="1"/>
  <c r="X86" i="1"/>
  <c r="P86" i="1" s="1"/>
  <c r="Q86" i="1" s="1"/>
  <c r="X152" i="1"/>
  <c r="Y935" i="1"/>
  <c r="X1796" i="1"/>
  <c r="P1796" i="1" s="1"/>
  <c r="Q1796" i="1" s="1"/>
  <c r="Y1317" i="1"/>
  <c r="Y1489" i="1"/>
  <c r="Y236" i="1"/>
  <c r="X236" i="1"/>
  <c r="X1547" i="1"/>
  <c r="Y1547" i="1"/>
  <c r="X652" i="1"/>
  <c r="P652" i="1" s="1"/>
  <c r="X838" i="1"/>
  <c r="P838" i="1" s="1"/>
  <c r="Q838" i="1" s="1"/>
  <c r="X2038" i="1"/>
  <c r="X39" i="1"/>
  <c r="P39" i="1" s="1"/>
  <c r="Q39" i="1" s="1"/>
  <c r="X636" i="1"/>
  <c r="P636" i="1" s="1"/>
  <c r="Q636" i="1" s="1"/>
  <c r="X2060" i="1"/>
  <c r="X338" i="1"/>
  <c r="P338" i="1" s="1"/>
  <c r="Q338" i="1" s="1"/>
  <c r="X777" i="1"/>
  <c r="P777" i="1" s="1"/>
  <c r="Q777" i="1" s="1"/>
  <c r="X1199" i="1"/>
  <c r="P1199" i="1" s="1"/>
  <c r="Q1199" i="1" s="1"/>
  <c r="X1181" i="1"/>
  <c r="X1264" i="1"/>
  <c r="P1264" i="1" s="1"/>
  <c r="Q1264" i="1" s="1"/>
  <c r="X1290" i="1"/>
  <c r="P1290" i="1" s="1"/>
  <c r="Q1290" i="1" s="1"/>
  <c r="X176" i="1"/>
  <c r="P176" i="1" s="1"/>
  <c r="Q176" i="1" s="1"/>
  <c r="X565" i="1"/>
  <c r="Y565" i="1"/>
  <c r="X1811" i="1"/>
  <c r="P1811" i="1" s="1"/>
  <c r="Q1811" i="1" s="1"/>
  <c r="X1026" i="1"/>
  <c r="P1026" i="1" s="1"/>
  <c r="Q1026" i="1" s="1"/>
  <c r="R1026" i="1" s="1"/>
  <c r="X395" i="1"/>
  <c r="P395" i="1" s="1"/>
  <c r="Q395" i="1" s="1"/>
  <c r="X1600" i="1"/>
  <c r="P1600" i="1" s="1"/>
  <c r="Q1600" i="1" s="1"/>
  <c r="X261" i="1"/>
  <c r="X1435" i="1"/>
  <c r="Y1435" i="1"/>
  <c r="X807" i="1"/>
  <c r="P807" i="1" s="1"/>
  <c r="Q807" i="1" s="1"/>
  <c r="X587" i="1"/>
  <c r="X1058" i="1"/>
  <c r="P1058" i="1" s="1"/>
  <c r="Q1058" i="1" s="1"/>
  <c r="X1449" i="1"/>
  <c r="X1105" i="1"/>
  <c r="P1105" i="1" s="1"/>
  <c r="Q1105" i="1" s="1"/>
  <c r="X1627" i="1"/>
  <c r="P1627" i="1" s="1"/>
  <c r="Q1627" i="1" s="1"/>
  <c r="Y639" i="1"/>
  <c r="X9" i="1"/>
  <c r="P9" i="1" s="1"/>
  <c r="Q9" i="1" s="1"/>
  <c r="X844" i="1"/>
  <c r="P844" i="1" s="1"/>
  <c r="Q844" i="1" s="1"/>
  <c r="R844" i="1" s="1"/>
  <c r="X1764" i="1"/>
  <c r="P1764" i="1" s="1"/>
  <c r="Q1764" i="1" s="1"/>
  <c r="Y1060" i="1"/>
  <c r="X1060" i="1"/>
  <c r="X1968" i="1"/>
  <c r="P1968" i="1" s="1"/>
  <c r="Q1968" i="1" s="1"/>
  <c r="X1021" i="1"/>
  <c r="P1021" i="1" s="1"/>
  <c r="Q1021" i="1" s="1"/>
  <c r="R1021" i="1" s="1"/>
  <c r="Y1127" i="1"/>
  <c r="X1109" i="1"/>
  <c r="P1109" i="1" s="1"/>
  <c r="Q1109" i="1" s="1"/>
  <c r="X909" i="1"/>
  <c r="P909" i="1" s="1"/>
  <c r="Q909" i="1" s="1"/>
  <c r="X1983" i="1"/>
  <c r="P1983" i="1" s="1"/>
  <c r="X1925" i="1"/>
  <c r="P1925" i="1" s="1"/>
  <c r="Q1925" i="1" s="1"/>
  <c r="X1660" i="1"/>
  <c r="P1660" i="1" s="1"/>
  <c r="Q1660" i="1" s="1"/>
  <c r="X535" i="1"/>
  <c r="P535" i="1" s="1"/>
  <c r="Q535" i="1" s="1"/>
  <c r="X1680" i="1"/>
  <c r="P1680" i="1" s="1"/>
  <c r="X1364" i="1"/>
  <c r="Y1883" i="1"/>
  <c r="X1104" i="1"/>
  <c r="P1104" i="1" s="1"/>
  <c r="Q1104" i="1" s="1"/>
  <c r="X1279" i="1"/>
  <c r="P1279" i="1" s="1"/>
  <c r="Q1279" i="1" s="1"/>
  <c r="X1268" i="1"/>
  <c r="X739" i="1"/>
  <c r="P739" i="1" s="1"/>
  <c r="Q739" i="1" s="1"/>
  <c r="X988" i="1"/>
  <c r="P988" i="1" s="1"/>
  <c r="Q988" i="1" s="1"/>
  <c r="Y443" i="1"/>
  <c r="Y2026" i="1"/>
  <c r="X1770" i="1"/>
  <c r="P1770" i="1" s="1"/>
  <c r="Q1770" i="1" s="1"/>
  <c r="X89" i="1"/>
  <c r="P89" i="1" s="1"/>
  <c r="Q89" i="1" s="1"/>
  <c r="X1614" i="1"/>
  <c r="P1614" i="1" s="1"/>
  <c r="Q1614" i="1" s="1"/>
  <c r="X1413" i="1"/>
  <c r="P1413" i="1" s="1"/>
  <c r="Q1413" i="1" s="1"/>
  <c r="R1413" i="1" s="1"/>
  <c r="X1923" i="1"/>
  <c r="P1923" i="1" s="1"/>
  <c r="Q1923" i="1" s="1"/>
  <c r="X527" i="1"/>
  <c r="P527" i="1" s="1"/>
  <c r="Q527" i="1" s="1"/>
  <c r="X458" i="1"/>
  <c r="P458" i="1" s="1"/>
  <c r="Q458" i="1" s="1"/>
  <c r="X832" i="1"/>
  <c r="P832" i="1" s="1"/>
  <c r="Q832" i="1" s="1"/>
  <c r="X440" i="1"/>
  <c r="P440" i="1" s="1"/>
  <c r="Q440" i="1" s="1"/>
  <c r="X793" i="1"/>
  <c r="P793" i="1" s="1"/>
  <c r="Q793" i="1" s="1"/>
  <c r="R793" i="1" s="1"/>
  <c r="X1022" i="1"/>
  <c r="P1022" i="1" s="1"/>
  <c r="Q1022" i="1" s="1"/>
  <c r="X279" i="1"/>
  <c r="X255" i="1"/>
  <c r="X1926" i="1"/>
  <c r="Y423" i="1"/>
  <c r="X958" i="1"/>
  <c r="Y1040" i="1"/>
  <c r="Y164" i="1"/>
  <c r="X350" i="1"/>
  <c r="Y609" i="1"/>
  <c r="Y1441" i="1"/>
  <c r="X1248" i="1"/>
  <c r="Y111" i="1"/>
  <c r="Y634" i="1"/>
  <c r="X2096" i="1"/>
  <c r="X1908" i="1"/>
  <c r="P1908" i="1" s="1"/>
  <c r="Q1908" i="1" s="1"/>
  <c r="Y2079" i="1"/>
  <c r="X756" i="1"/>
  <c r="P756" i="1" s="1"/>
  <c r="Q756" i="1" s="1"/>
  <c r="X1769" i="1"/>
  <c r="X827" i="1"/>
  <c r="X1760" i="1"/>
  <c r="X1775" i="1"/>
  <c r="X1107" i="1"/>
  <c r="P1107" i="1" s="1"/>
  <c r="Q1107" i="1" s="1"/>
  <c r="X481" i="1"/>
  <c r="P481" i="1" s="1"/>
  <c r="Q481" i="1" s="1"/>
  <c r="X1797" i="1"/>
  <c r="P1797" i="1" s="1"/>
  <c r="Q1797" i="1" s="1"/>
  <c r="X381" i="1"/>
  <c r="P381" i="1" s="1"/>
  <c r="Q381" i="1" s="1"/>
  <c r="X127" i="1"/>
  <c r="Y851" i="1"/>
  <c r="X561" i="1"/>
  <c r="P561" i="1" s="1"/>
  <c r="Q561" i="1" s="1"/>
  <c r="Y1385" i="1"/>
  <c r="X1452" i="1"/>
  <c r="P1452" i="1" s="1"/>
  <c r="Q1452" i="1" s="1"/>
  <c r="X1459" i="1"/>
  <c r="P1459" i="1" s="1"/>
  <c r="Q1459" i="1" s="1"/>
  <c r="X1692" i="1"/>
  <c r="P1692" i="1" s="1"/>
  <c r="Q1692" i="1" s="1"/>
  <c r="X1860" i="1"/>
  <c r="P1860" i="1" s="1"/>
  <c r="Q1860" i="1" s="1"/>
  <c r="X840" i="1"/>
  <c r="P840" i="1" s="1"/>
  <c r="Q840" i="1" s="1"/>
  <c r="X56" i="1"/>
  <c r="P56" i="1" s="1"/>
  <c r="Q56" i="1" s="1"/>
  <c r="Y987" i="1"/>
  <c r="X2058" i="1"/>
  <c r="P2058" i="1" s="1"/>
  <c r="Q2058" i="1" s="1"/>
  <c r="Y2072" i="1"/>
  <c r="X1228" i="1"/>
  <c r="Y1228" i="1"/>
  <c r="X1034" i="1"/>
  <c r="Y1034" i="1"/>
  <c r="X1106" i="1"/>
  <c r="P1106" i="1" s="1"/>
  <c r="Q1106" i="1" s="1"/>
  <c r="X814" i="1"/>
  <c r="P814" i="1" s="1"/>
  <c r="Q814" i="1" s="1"/>
  <c r="X1167" i="1"/>
  <c r="P1167" i="1" s="1"/>
  <c r="X1924" i="1"/>
  <c r="X936" i="1"/>
  <c r="X485" i="1"/>
  <c r="P485" i="1" s="1"/>
  <c r="Q485" i="1" s="1"/>
  <c r="X2023" i="1"/>
  <c r="P2023" i="1" s="1"/>
  <c r="Q2023" i="1" s="1"/>
  <c r="X2001" i="1"/>
  <c r="Y956" i="1"/>
  <c r="X956" i="1"/>
  <c r="X534" i="1"/>
  <c r="Y534" i="1"/>
  <c r="X364" i="1"/>
  <c r="Y364" i="1"/>
  <c r="X148" i="1"/>
  <c r="X2045" i="1"/>
  <c r="X1070" i="1"/>
  <c r="X454" i="1"/>
  <c r="X2025" i="1"/>
  <c r="X16" i="1"/>
  <c r="P16" i="1" s="1"/>
  <c r="Q16" i="1" s="1"/>
  <c r="R16" i="1" s="1"/>
  <c r="X108" i="1"/>
  <c r="X262" i="1"/>
  <c r="P262" i="1" s="1"/>
  <c r="Q262" i="1" s="1"/>
  <c r="R262" i="1" s="1"/>
  <c r="X406" i="1"/>
  <c r="X1232" i="1"/>
  <c r="Y1188" i="1"/>
  <c r="X1885" i="1"/>
  <c r="X1333" i="1"/>
  <c r="Y1939" i="1"/>
  <c r="X2083" i="1"/>
  <c r="P2083" i="1" s="1"/>
  <c r="Q2083" i="1" s="1"/>
  <c r="R2083" i="1" s="1"/>
  <c r="X1357" i="1"/>
  <c r="X2029" i="1"/>
  <c r="P2029" i="1" s="1"/>
  <c r="Q2029" i="1" s="1"/>
  <c r="X1399" i="1"/>
  <c r="X439" i="1"/>
  <c r="P439" i="1" s="1"/>
  <c r="Q439" i="1" s="1"/>
  <c r="X7" i="1"/>
  <c r="P7" i="1" s="1"/>
  <c r="Q7" i="1" s="1"/>
  <c r="R7" i="1" s="1"/>
  <c r="X638" i="1"/>
  <c r="P638" i="1" s="1"/>
  <c r="Q638" i="1" s="1"/>
  <c r="R638" i="1" s="1"/>
  <c r="X1916" i="1"/>
  <c r="X1945" i="1"/>
  <c r="X1003" i="1"/>
  <c r="P1003" i="1" s="1"/>
  <c r="Q1003" i="1" s="1"/>
  <c r="R1003" i="1" s="1"/>
  <c r="X613" i="1"/>
  <c r="P613" i="1" s="1"/>
  <c r="Q613" i="1" s="1"/>
  <c r="R613" i="1" s="1"/>
  <c r="X1223" i="1"/>
  <c r="P1223" i="1" s="1"/>
  <c r="Q1223" i="1" s="1"/>
  <c r="R1223" i="1" s="1"/>
  <c r="X753" i="1"/>
  <c r="P753" i="1" s="1"/>
  <c r="Q753" i="1" s="1"/>
  <c r="R753" i="1" s="1"/>
  <c r="X17" i="1"/>
  <c r="P17" i="1" s="1"/>
  <c r="Q17" i="1" s="1"/>
  <c r="R17" i="1" s="1"/>
  <c r="X160" i="1"/>
  <c r="X515" i="1"/>
  <c r="P515" i="1" s="1"/>
  <c r="Q515" i="1" s="1"/>
  <c r="R515" i="1" s="1"/>
  <c r="X1580" i="1"/>
  <c r="P1580" i="1" s="1"/>
  <c r="Q1580" i="1" s="1"/>
  <c r="R1580" i="1" s="1"/>
  <c r="Y726" i="1"/>
  <c r="Y418" i="1"/>
  <c r="X1095" i="1"/>
  <c r="P1095" i="1" s="1"/>
  <c r="Q1095" i="1" s="1"/>
  <c r="R1095" i="1" s="1"/>
  <c r="Y1847" i="1"/>
  <c r="X22" i="1"/>
  <c r="P22" i="1" s="1"/>
  <c r="Q22" i="1" s="1"/>
  <c r="R22" i="1" s="1"/>
  <c r="Y1519" i="1"/>
  <c r="X929" i="1"/>
  <c r="P929" i="1" s="1"/>
  <c r="Q929" i="1" s="1"/>
  <c r="R929" i="1" s="1"/>
  <c r="X1727" i="1"/>
  <c r="P1727" i="1" s="1"/>
  <c r="Q1727" i="1" s="1"/>
  <c r="R1727" i="1" s="1"/>
  <c r="X1256" i="1"/>
  <c r="P1256" i="1" s="1"/>
  <c r="Q1256" i="1" s="1"/>
  <c r="R1256" i="1" s="1"/>
  <c r="X317" i="1"/>
  <c r="P317" i="1" s="1"/>
  <c r="Q317" i="1" s="1"/>
  <c r="R317" i="1" s="1"/>
  <c r="X592" i="1"/>
  <c r="P592" i="1" s="1"/>
  <c r="Q592" i="1" s="1"/>
  <c r="R592" i="1" s="1"/>
  <c r="X698" i="1"/>
  <c r="P698" i="1" s="1"/>
  <c r="Q698" i="1" s="1"/>
  <c r="R698" i="1" s="1"/>
  <c r="X2052" i="1"/>
  <c r="Y2052" i="1"/>
  <c r="X1603" i="1"/>
  <c r="X1853" i="1"/>
  <c r="P1853" i="1" s="1"/>
  <c r="Q1853" i="1" s="1"/>
  <c r="X806" i="1"/>
  <c r="P806" i="1" s="1"/>
  <c r="Q806" i="1" s="1"/>
  <c r="R806" i="1" s="1"/>
  <c r="X1101" i="1"/>
  <c r="X2097" i="1"/>
  <c r="P2097" i="1" s="1"/>
  <c r="Q2097" i="1" s="1"/>
  <c r="X1220" i="1"/>
  <c r="X703" i="1"/>
  <c r="P703" i="1" s="1"/>
  <c r="Q703" i="1" s="1"/>
  <c r="X516" i="1"/>
  <c r="P516" i="1" s="1"/>
  <c r="Q516" i="1" s="1"/>
  <c r="X182" i="1"/>
  <c r="X575" i="1"/>
  <c r="X847" i="1"/>
  <c r="P847" i="1" s="1"/>
  <c r="Q847" i="1" s="1"/>
  <c r="R847" i="1" s="1"/>
  <c r="X1504" i="1"/>
  <c r="X1829" i="1"/>
  <c r="X1800" i="1"/>
  <c r="Q1800" i="1" s="1"/>
  <c r="R1800" i="1" s="1"/>
  <c r="Y736" i="1"/>
  <c r="Y159" i="1"/>
  <c r="Y148" i="1"/>
  <c r="Y1616" i="1"/>
  <c r="X1531" i="1"/>
  <c r="P1531" i="1" s="1"/>
  <c r="Q1531" i="1" s="1"/>
  <c r="R1531" i="1" s="1"/>
  <c r="Y279" i="1"/>
  <c r="X1094" i="1"/>
  <c r="Y831" i="1"/>
  <c r="X2049" i="1"/>
  <c r="P2049" i="1" s="1"/>
  <c r="Q2049" i="1" s="1"/>
  <c r="R2049" i="1" s="1"/>
  <c r="X1767" i="1"/>
  <c r="P1767" i="1" s="1"/>
  <c r="Q1767" i="1" s="1"/>
  <c r="R1767" i="1" s="1"/>
  <c r="Y1414" i="1"/>
  <c r="X1677" i="1"/>
  <c r="Y1339" i="1"/>
  <c r="X1196" i="1"/>
  <c r="P1196" i="1" s="1"/>
  <c r="Q1196" i="1" s="1"/>
  <c r="R1196" i="1" s="1"/>
  <c r="X232" i="1"/>
  <c r="Y232" i="1"/>
  <c r="X214" i="1"/>
  <c r="P214" i="1" s="1"/>
  <c r="Q214" i="1" s="1"/>
  <c r="R214" i="1" s="1"/>
  <c r="X758" i="1"/>
  <c r="P758" i="1" s="1"/>
  <c r="Q758" i="1" s="1"/>
  <c r="R758" i="1" s="1"/>
  <c r="X889" i="1"/>
  <c r="Y889" i="1"/>
  <c r="X281" i="1"/>
  <c r="X947" i="1"/>
  <c r="X1999" i="1"/>
  <c r="X1992" i="1"/>
  <c r="X842" i="1"/>
  <c r="P842" i="1" s="1"/>
  <c r="Q842" i="1" s="1"/>
  <c r="X1596" i="1"/>
  <c r="P1596" i="1" s="1"/>
  <c r="Q1596" i="1" s="1"/>
  <c r="X258" i="1"/>
  <c r="X1965" i="1"/>
  <c r="P1965" i="1" s="1"/>
  <c r="Q1965" i="1" s="1"/>
  <c r="R1965" i="1" s="1"/>
  <c r="X14" i="1"/>
  <c r="P14" i="1" s="1"/>
  <c r="Q14" i="1" s="1"/>
  <c r="X1100" i="1"/>
  <c r="P1100" i="1" s="1"/>
  <c r="Q1100" i="1" s="1"/>
  <c r="R1100" i="1" s="1"/>
  <c r="X1927" i="1"/>
  <c r="X1922" i="1"/>
  <c r="X1657" i="1"/>
  <c r="X972" i="1"/>
  <c r="P972" i="1" s="1"/>
  <c r="Q972" i="1" s="1"/>
  <c r="R972" i="1" s="1"/>
  <c r="X1387" i="1"/>
  <c r="X810" i="1"/>
  <c r="Y454" i="1"/>
  <c r="X1014" i="1"/>
  <c r="P1014" i="1" s="1"/>
  <c r="Q1014" i="1" s="1"/>
  <c r="R1014" i="1" s="1"/>
  <c r="X83" i="1"/>
  <c r="P83" i="1" s="1"/>
  <c r="Q83" i="1" s="1"/>
  <c r="R83" i="1" s="1"/>
  <c r="X1069" i="1"/>
  <c r="P1069" i="1" s="1"/>
  <c r="Q1069" i="1" s="1"/>
  <c r="R1069" i="1" s="1"/>
  <c r="Y108" i="1"/>
  <c r="X1312" i="1"/>
  <c r="P1312" i="1" s="1"/>
  <c r="Q1312" i="1" s="1"/>
  <c r="R1312" i="1" s="1"/>
  <c r="X1900" i="1"/>
  <c r="Y262" i="1"/>
  <c r="X2016" i="1"/>
  <c r="P2016" i="1" s="1"/>
  <c r="Q2016" i="1" s="1"/>
  <c r="R2016" i="1" s="1"/>
  <c r="Y406" i="1"/>
  <c r="X890" i="1"/>
  <c r="P890" i="1" s="1"/>
  <c r="Q890" i="1" s="1"/>
  <c r="R890" i="1" s="1"/>
  <c r="X1274" i="1"/>
  <c r="Y1232" i="1"/>
  <c r="Y1333" i="1"/>
  <c r="X198" i="1"/>
  <c r="P198" i="1" s="1"/>
  <c r="Q198" i="1" s="1"/>
  <c r="R198" i="1" s="1"/>
  <c r="X1344" i="1"/>
  <c r="P1344" i="1" s="1"/>
  <c r="Q1344" i="1" s="1"/>
  <c r="R1344" i="1" s="1"/>
  <c r="Y128" i="1"/>
  <c r="X1899" i="1"/>
  <c r="X30" i="1"/>
  <c r="P30" i="1" s="1"/>
  <c r="Q30" i="1" s="1"/>
  <c r="R30" i="1" s="1"/>
  <c r="X2039" i="1"/>
  <c r="P2039" i="1" s="1"/>
  <c r="Q2039" i="1" s="1"/>
  <c r="R2039" i="1" s="1"/>
  <c r="X2104" i="1"/>
  <c r="X494" i="1"/>
  <c r="P494" i="1" s="1"/>
  <c r="Q494" i="1" s="1"/>
  <c r="R494" i="1" s="1"/>
  <c r="X891" i="1"/>
  <c r="X1795" i="1"/>
  <c r="P1795" i="1" s="1"/>
  <c r="Q1795" i="1" s="1"/>
  <c r="R1795" i="1" s="1"/>
  <c r="X1390" i="1"/>
  <c r="X585" i="1"/>
  <c r="P585" i="1" s="1"/>
  <c r="Q585" i="1" s="1"/>
  <c r="R585" i="1" s="1"/>
  <c r="X1693" i="1"/>
  <c r="P1693" i="1" s="1"/>
  <c r="Q1693" i="1" s="1"/>
  <c r="R1693" i="1" s="1"/>
  <c r="X1187" i="1"/>
  <c r="Y1187" i="1"/>
  <c r="X1602" i="1"/>
  <c r="X882" i="1"/>
  <c r="X218" i="1"/>
  <c r="P218" i="1" s="1"/>
  <c r="Q218" i="1" s="1"/>
  <c r="R218" i="1" s="1"/>
  <c r="X1742" i="1"/>
  <c r="X8" i="1"/>
  <c r="P8" i="1" s="1"/>
  <c r="Q8" i="1" s="1"/>
  <c r="R8" i="1" s="1"/>
  <c r="X1193" i="1"/>
  <c r="P1193" i="1" s="1"/>
  <c r="Q1193" i="1" s="1"/>
  <c r="R1193" i="1" s="1"/>
  <c r="X1828" i="1"/>
  <c r="X1793" i="1"/>
  <c r="Y1793" i="1"/>
  <c r="X805" i="1"/>
  <c r="P805" i="1" s="1"/>
  <c r="Q805" i="1" s="1"/>
  <c r="R805" i="1" s="1"/>
  <c r="X569" i="1"/>
  <c r="P569" i="1" s="1"/>
  <c r="Q569" i="1" s="1"/>
  <c r="R569" i="1" s="1"/>
  <c r="X1318" i="1"/>
  <c r="P1318" i="1" s="1"/>
  <c r="Q1318" i="1" s="1"/>
  <c r="R1318" i="1" s="1"/>
  <c r="X38" i="1"/>
  <c r="P38" i="1" s="1"/>
  <c r="Q38" i="1" s="1"/>
  <c r="R38" i="1" s="1"/>
  <c r="X133" i="1"/>
  <c r="X685" i="1"/>
  <c r="P685" i="1" s="1"/>
  <c r="Q685" i="1" s="1"/>
  <c r="R685" i="1" s="1"/>
  <c r="X966" i="1"/>
  <c r="X84" i="1"/>
  <c r="P84" i="1" s="1"/>
  <c r="Q84" i="1" s="1"/>
  <c r="R84" i="1" s="1"/>
  <c r="X728" i="1"/>
  <c r="P728" i="1" s="1"/>
  <c r="Q728" i="1" s="1"/>
  <c r="R728" i="1" s="1"/>
  <c r="X2003" i="1"/>
  <c r="P2003" i="1" s="1"/>
  <c r="Q2003" i="1" s="1"/>
  <c r="R2003" i="1" s="1"/>
  <c r="X1621" i="1"/>
  <c r="P1621" i="1" s="1"/>
  <c r="Q1621" i="1" s="1"/>
  <c r="R1621" i="1" s="1"/>
  <c r="Y781" i="1"/>
  <c r="X781" i="1"/>
  <c r="X1130" i="1"/>
  <c r="P1130" i="1" s="1"/>
  <c r="Q1130" i="1" s="1"/>
  <c r="R1130" i="1" s="1"/>
  <c r="X21" i="1"/>
  <c r="P21" i="1" s="1"/>
  <c r="Q21" i="1" s="1"/>
  <c r="R21" i="1" s="1"/>
  <c r="X2000" i="1"/>
  <c r="X1665" i="1"/>
  <c r="X1782" i="1"/>
  <c r="P1782" i="1" s="1"/>
  <c r="Q1782" i="1" s="1"/>
  <c r="R1782" i="1" s="1"/>
  <c r="X332" i="1"/>
  <c r="P332" i="1" s="1"/>
  <c r="Q332" i="1" s="1"/>
  <c r="R332" i="1" s="1"/>
  <c r="X147" i="1"/>
  <c r="X322" i="1"/>
  <c r="P322" i="1" s="1"/>
  <c r="Q322" i="1" s="1"/>
  <c r="R322" i="1" s="1"/>
  <c r="X1998" i="1"/>
  <c r="P1998" i="1" s="1"/>
  <c r="Q1998" i="1" s="1"/>
  <c r="R1998" i="1" s="1"/>
  <c r="X762" i="1"/>
  <c r="P762" i="1" s="1"/>
  <c r="Q762" i="1" s="1"/>
  <c r="R762" i="1" s="1"/>
  <c r="X1637" i="1"/>
  <c r="Y1637" i="1"/>
  <c r="X212" i="1"/>
  <c r="Y212" i="1"/>
  <c r="X655" i="1"/>
  <c r="P655" i="1" s="1"/>
  <c r="Q655" i="1" s="1"/>
  <c r="R655" i="1" s="1"/>
  <c r="X1737" i="1"/>
  <c r="X1651" i="1"/>
  <c r="X1186" i="1"/>
  <c r="X309" i="1"/>
  <c r="X81" i="1"/>
  <c r="P81" i="1" s="1"/>
  <c r="Q81" i="1" s="1"/>
  <c r="R81" i="1" s="1"/>
  <c r="X1244" i="1"/>
  <c r="X1625" i="1"/>
  <c r="X1370" i="1"/>
  <c r="P1370" i="1" s="1"/>
  <c r="Q1370" i="1" s="1"/>
  <c r="R1370" i="1" s="1"/>
  <c r="X1610" i="1"/>
  <c r="X990" i="1"/>
  <c r="X1206" i="1"/>
  <c r="P1206" i="1" s="1"/>
  <c r="Q1206" i="1" s="1"/>
  <c r="R1206" i="1" s="1"/>
  <c r="X1089" i="1"/>
  <c r="X340" i="1"/>
  <c r="P340" i="1" s="1"/>
  <c r="Q340" i="1" s="1"/>
  <c r="R340" i="1" s="1"/>
  <c r="X573" i="1"/>
  <c r="P573" i="1" s="1"/>
  <c r="Q573" i="1" s="1"/>
  <c r="R573" i="1" s="1"/>
  <c r="X1088" i="1"/>
  <c r="P1088" i="1" s="1"/>
  <c r="Q1088" i="1" s="1"/>
  <c r="R1088" i="1" s="1"/>
  <c r="X1458" i="1"/>
  <c r="P1458" i="1" s="1"/>
  <c r="Q1458" i="1" s="1"/>
  <c r="R1458" i="1" s="1"/>
  <c r="X1406" i="1"/>
  <c r="P1406" i="1" s="1"/>
  <c r="Q1406" i="1" s="1"/>
  <c r="R1406" i="1" s="1"/>
  <c r="X1362" i="1"/>
  <c r="P1362" i="1" s="1"/>
  <c r="Q1362" i="1" s="1"/>
  <c r="R1362" i="1" s="1"/>
  <c r="X1425" i="1"/>
  <c r="P1425" i="1" s="1"/>
  <c r="Q1425" i="1" s="1"/>
  <c r="R1425" i="1" s="1"/>
  <c r="X869" i="1"/>
  <c r="P869" i="1" s="1"/>
  <c r="Q869" i="1" s="1"/>
  <c r="R869" i="1" s="1"/>
  <c r="X1342" i="1"/>
  <c r="P1342" i="1" s="1"/>
  <c r="Q1342" i="1" s="1"/>
  <c r="R1342" i="1" s="1"/>
  <c r="X1957" i="1"/>
  <c r="X1623" i="1"/>
  <c r="X637" i="1"/>
  <c r="P637" i="1" s="1"/>
  <c r="Q637" i="1" s="1"/>
  <c r="R637" i="1" s="1"/>
  <c r="X921" i="1"/>
  <c r="P921" i="1" s="1"/>
  <c r="Q921" i="1" s="1"/>
  <c r="R921" i="1" s="1"/>
  <c r="X545" i="1"/>
  <c r="P545" i="1" s="1"/>
  <c r="Q545" i="1" s="1"/>
  <c r="R545" i="1" s="1"/>
  <c r="Y868" i="1"/>
  <c r="X1338" i="1"/>
  <c r="P1338" i="1" s="1"/>
  <c r="Q1338" i="1" s="1"/>
  <c r="R1338" i="1" s="1"/>
  <c r="X1479" i="1"/>
  <c r="P1479" i="1" s="1"/>
  <c r="Q1479" i="1" s="1"/>
  <c r="R1479" i="1" s="1"/>
  <c r="X709" i="1"/>
  <c r="P709" i="1" s="1"/>
  <c r="Q709" i="1" s="1"/>
  <c r="R709" i="1" s="1"/>
  <c r="X1081" i="1"/>
  <c r="P1081" i="1" s="1"/>
  <c r="Q1081" i="1" s="1"/>
  <c r="R1081" i="1" s="1"/>
  <c r="X1768" i="1"/>
  <c r="P1768" i="1" s="1"/>
  <c r="Q1768" i="1" s="1"/>
  <c r="R1768" i="1" s="1"/>
  <c r="X1236" i="1"/>
  <c r="P1236" i="1" s="1"/>
  <c r="Q1236" i="1" s="1"/>
  <c r="R1236" i="1" s="1"/>
  <c r="X1987" i="1"/>
  <c r="P1987" i="1" s="1"/>
  <c r="Q1987" i="1" s="1"/>
  <c r="R1987" i="1" s="1"/>
  <c r="Y520" i="1"/>
  <c r="Y510" i="1"/>
  <c r="X510" i="1"/>
  <c r="Y1348" i="1"/>
  <c r="X1348" i="1"/>
  <c r="Y26" i="1"/>
  <c r="X1588" i="1"/>
  <c r="X1708" i="1"/>
  <c r="P1708" i="1" s="1"/>
  <c r="Q1708" i="1" s="1"/>
  <c r="R1708" i="1" s="1"/>
  <c r="X1792" i="1"/>
  <c r="P1792" i="1" s="1"/>
  <c r="Q1792" i="1" s="1"/>
  <c r="R1792" i="1" s="1"/>
  <c r="X1661" i="1"/>
  <c r="P1661" i="1" s="1"/>
  <c r="Q1661" i="1" s="1"/>
  <c r="R1661" i="1" s="1"/>
  <c r="Y800" i="1"/>
  <c r="X1420" i="1"/>
  <c r="P1420" i="1" s="1"/>
  <c r="Q1420" i="1" s="1"/>
  <c r="R1420" i="1" s="1"/>
  <c r="X373" i="1"/>
  <c r="P373" i="1" s="1"/>
  <c r="Q373" i="1" s="1"/>
  <c r="R373" i="1" s="1"/>
  <c r="X737" i="1"/>
  <c r="P737" i="1" s="1"/>
  <c r="Q737" i="1" s="1"/>
  <c r="R737" i="1" s="1"/>
  <c r="X1707" i="1"/>
  <c r="X1979" i="1"/>
  <c r="P1979" i="1" s="1"/>
  <c r="Q1979" i="1" s="1"/>
  <c r="R1979" i="1" s="1"/>
  <c r="X617" i="1"/>
  <c r="P617" i="1" s="1"/>
  <c r="Q617" i="1" s="1"/>
  <c r="R617" i="1" s="1"/>
  <c r="X1528" i="1"/>
  <c r="P1528" i="1" s="1"/>
  <c r="Q1528" i="1" s="1"/>
  <c r="R1528" i="1" s="1"/>
  <c r="Y688" i="1"/>
  <c r="X1353" i="1"/>
  <c r="P1353" i="1" s="1"/>
  <c r="Q1353" i="1" s="1"/>
  <c r="R1353" i="1" s="1"/>
  <c r="X1161" i="1"/>
  <c r="P1161" i="1" s="1"/>
  <c r="Q1161" i="1" s="1"/>
  <c r="R1161" i="1" s="1"/>
  <c r="X1501" i="1"/>
  <c r="P1501" i="1" s="1"/>
  <c r="Q1501" i="1" s="1"/>
  <c r="R1501" i="1" s="1"/>
  <c r="Y784" i="1"/>
  <c r="X784" i="1"/>
  <c r="X100" i="1"/>
  <c r="P100" i="1" s="1"/>
  <c r="Q100" i="1" s="1"/>
  <c r="R100" i="1" s="1"/>
  <c r="Y914" i="1"/>
  <c r="X861" i="1"/>
  <c r="Y861" i="1"/>
  <c r="X1078" i="1"/>
  <c r="Y1078" i="1"/>
  <c r="X690" i="1"/>
  <c r="P690" i="1" s="1"/>
  <c r="Q690" i="1" s="1"/>
  <c r="R690" i="1" s="1"/>
  <c r="X770" i="1"/>
  <c r="X1426" i="1"/>
  <c r="P1426" i="1" s="1"/>
  <c r="Q1426" i="1" s="1"/>
  <c r="R1426" i="1" s="1"/>
  <c r="X1175" i="1"/>
  <c r="P1175" i="1" s="1"/>
  <c r="Q1175" i="1" s="1"/>
  <c r="R1175" i="1" s="1"/>
  <c r="X789" i="1"/>
  <c r="P789" i="1" s="1"/>
  <c r="Q789" i="1" s="1"/>
  <c r="R789" i="1" s="1"/>
  <c r="X1606" i="1"/>
  <c r="P1606" i="1" s="1"/>
  <c r="Q1606" i="1" s="1"/>
  <c r="R1606" i="1" s="1"/>
  <c r="X1560" i="1"/>
  <c r="P1560" i="1" s="1"/>
  <c r="Q1560" i="1" s="1"/>
  <c r="R1560" i="1" s="1"/>
  <c r="X1225" i="1"/>
  <c r="P1225" i="1" s="1"/>
  <c r="Q1225" i="1" s="1"/>
  <c r="R1225" i="1" s="1"/>
  <c r="X25" i="1"/>
  <c r="P25" i="1" s="1"/>
  <c r="Q25" i="1" s="1"/>
  <c r="R25" i="1" s="1"/>
  <c r="X1416" i="1"/>
  <c r="P1416" i="1" s="1"/>
  <c r="Q1416" i="1" s="1"/>
  <c r="R1416" i="1" s="1"/>
  <c r="Y133" i="1"/>
  <c r="X930" i="1"/>
  <c r="X704" i="1"/>
  <c r="P704" i="1" s="1"/>
  <c r="Q704" i="1" s="1"/>
  <c r="R704" i="1" s="1"/>
  <c r="X1140" i="1"/>
  <c r="X1995" i="1"/>
  <c r="P1995" i="1" s="1"/>
  <c r="Q1995" i="1" s="1"/>
  <c r="R1995" i="1" s="1"/>
  <c r="X1595" i="1"/>
  <c r="Y728" i="1"/>
  <c r="X1085" i="1"/>
  <c r="P1085" i="1" s="1"/>
  <c r="Q1085" i="1" s="1"/>
  <c r="R1085" i="1" s="1"/>
  <c r="X1541" i="1"/>
  <c r="X1956" i="1"/>
  <c r="Q1956" i="1" s="1"/>
  <c r="R1956" i="1" s="1"/>
  <c r="X33" i="1"/>
  <c r="P33" i="1" s="1"/>
  <c r="Q33" i="1" s="1"/>
  <c r="R33" i="1" s="1"/>
  <c r="X1315" i="1"/>
  <c r="P1315" i="1" s="1"/>
  <c r="Q1315" i="1" s="1"/>
  <c r="R1315" i="1" s="1"/>
  <c r="X1781" i="1"/>
  <c r="X1653" i="1"/>
  <c r="P1653" i="1" s="1"/>
  <c r="Q1653" i="1" s="1"/>
  <c r="R1653" i="1" s="1"/>
  <c r="X1790" i="1"/>
  <c r="P1790" i="1" s="1"/>
  <c r="Q1790" i="1" s="1"/>
  <c r="R1790" i="1" s="1"/>
  <c r="X1018" i="1"/>
  <c r="P1018" i="1" s="1"/>
  <c r="Q1018" i="1" s="1"/>
  <c r="R1018" i="1" s="1"/>
  <c r="X197" i="1"/>
  <c r="P197" i="1" s="1"/>
  <c r="Q197" i="1" s="1"/>
  <c r="R197" i="1" s="1"/>
  <c r="X296" i="1"/>
  <c r="P296" i="1" s="1"/>
  <c r="Q296" i="1" s="1"/>
  <c r="R296" i="1" s="1"/>
  <c r="X180" i="1"/>
  <c r="P180" i="1" s="1"/>
  <c r="Q180" i="1" s="1"/>
  <c r="R180" i="1" s="1"/>
  <c r="X1427" i="1"/>
  <c r="Y30" i="1"/>
  <c r="X1403" i="1"/>
  <c r="P1403" i="1" s="1"/>
  <c r="Q1403" i="1" s="1"/>
  <c r="R1403" i="1" s="1"/>
  <c r="Y1941" i="1"/>
  <c r="X1341" i="1"/>
  <c r="X858" i="1"/>
  <c r="P858" i="1" s="1"/>
  <c r="Q858" i="1" s="1"/>
  <c r="R858" i="1" s="1"/>
  <c r="X343" i="1"/>
  <c r="P343" i="1" s="1"/>
  <c r="Q343" i="1" s="1"/>
  <c r="R343" i="1" s="1"/>
  <c r="X355" i="1"/>
  <c r="P355" i="1" s="1"/>
  <c r="Q355" i="1" s="1"/>
  <c r="R355" i="1" s="1"/>
  <c r="Y1007" i="1"/>
  <c r="Y1443" i="1"/>
  <c r="Y1523" i="1"/>
  <c r="X1523" i="1"/>
  <c r="X1462" i="1"/>
  <c r="X1655" i="1"/>
  <c r="P1655" i="1" s="1"/>
  <c r="Q1655" i="1" s="1"/>
  <c r="R1655" i="1" s="1"/>
  <c r="X506" i="1"/>
  <c r="X1646" i="1"/>
  <c r="X1369" i="1"/>
  <c r="P1369" i="1" s="1"/>
  <c r="Q1369" i="1" s="1"/>
  <c r="R1369" i="1" s="1"/>
  <c r="X888" i="1"/>
  <c r="P888" i="1" s="1"/>
  <c r="Q888" i="1" s="1"/>
  <c r="R888" i="1" s="1"/>
  <c r="X217" i="1"/>
  <c r="P217" i="1" s="1"/>
  <c r="Q217" i="1" s="1"/>
  <c r="R217" i="1" s="1"/>
  <c r="X377" i="1"/>
  <c r="P377" i="1" s="1"/>
  <c r="Q377" i="1" s="1"/>
  <c r="R377" i="1" s="1"/>
  <c r="X297" i="1"/>
  <c r="P297" i="1" s="1"/>
  <c r="Q297" i="1" s="1"/>
  <c r="R297" i="1" s="1"/>
  <c r="X103" i="1"/>
  <c r="P103" i="1" s="1"/>
  <c r="Q103" i="1" s="1"/>
  <c r="R103" i="1" s="1"/>
  <c r="X1572" i="1"/>
  <c r="X1534" i="1"/>
  <c r="P1534" i="1" s="1"/>
  <c r="Q1534" i="1" s="1"/>
  <c r="R1534" i="1" s="1"/>
  <c r="X135" i="1"/>
  <c r="P135" i="1" s="1"/>
  <c r="Q135" i="1" s="1"/>
  <c r="R135" i="1" s="1"/>
  <c r="X1464" i="1"/>
  <c r="X1340" i="1"/>
  <c r="P1340" i="1" s="1"/>
  <c r="Q1340" i="1" s="1"/>
  <c r="R1340" i="1" s="1"/>
  <c r="Y1665" i="1"/>
  <c r="X337" i="1"/>
  <c r="P337" i="1" s="1"/>
  <c r="Q337" i="1" s="1"/>
  <c r="R337" i="1" s="1"/>
  <c r="X1237" i="1"/>
  <c r="P1237" i="1" s="1"/>
  <c r="Q1237" i="1" s="1"/>
  <c r="R1237" i="1" s="1"/>
  <c r="X1446" i="1"/>
  <c r="P1446" i="1" s="1"/>
  <c r="Q1446" i="1" s="1"/>
  <c r="R1446" i="1" s="1"/>
  <c r="X2010" i="1"/>
  <c r="P2010" i="1" s="1"/>
  <c r="Q2010" i="1" s="1"/>
  <c r="R2010" i="1" s="1"/>
  <c r="X455" i="1"/>
  <c r="P455" i="1" s="1"/>
  <c r="Q455" i="1" s="1"/>
  <c r="R455" i="1" s="1"/>
  <c r="X1918" i="1"/>
  <c r="P1918" i="1" s="1"/>
  <c r="Q1918" i="1" s="1"/>
  <c r="R1918" i="1" s="1"/>
  <c r="X523" i="1"/>
  <c r="P523" i="1" s="1"/>
  <c r="Q523" i="1" s="1"/>
  <c r="R523" i="1" s="1"/>
  <c r="X604" i="1"/>
  <c r="P604" i="1" s="1"/>
  <c r="Q604" i="1" s="1"/>
  <c r="R604" i="1" s="1"/>
  <c r="X102" i="1"/>
  <c r="P102" i="1" s="1"/>
  <c r="Q102" i="1" s="1"/>
  <c r="R102" i="1" s="1"/>
  <c r="X1381" i="1"/>
  <c r="X2017" i="1"/>
  <c r="P2017" i="1" s="1"/>
  <c r="Q2017" i="1" s="1"/>
  <c r="R2017" i="1" s="1"/>
  <c r="Y147" i="1"/>
  <c r="Y322" i="1"/>
  <c r="X1332" i="1"/>
  <c r="P1332" i="1" s="1"/>
  <c r="Q1332" i="1" s="1"/>
  <c r="R1332" i="1" s="1"/>
  <c r="X1055" i="1"/>
  <c r="P1055" i="1" s="1"/>
  <c r="Q1055" i="1" s="1"/>
  <c r="R1055" i="1" s="1"/>
  <c r="X1002" i="1"/>
  <c r="P1002" i="1" s="1"/>
  <c r="Q1002" i="1" s="1"/>
  <c r="R1002" i="1" s="1"/>
  <c r="X448" i="1"/>
  <c r="P448" i="1" s="1"/>
  <c r="Q448" i="1" s="1"/>
  <c r="R448" i="1" s="1"/>
  <c r="X43" i="1"/>
  <c r="P43" i="1" s="1"/>
  <c r="Q43" i="1" s="1"/>
  <c r="R43" i="1" s="1"/>
  <c r="Y1772" i="1"/>
  <c r="X1974" i="1"/>
  <c r="P1974" i="1" s="1"/>
  <c r="Q1974" i="1" s="1"/>
  <c r="R1974" i="1" s="1"/>
  <c r="Y1283" i="1"/>
  <c r="X1788" i="1"/>
  <c r="P1788" i="1" s="1"/>
  <c r="Q1788" i="1" s="1"/>
  <c r="R1788" i="1" s="1"/>
  <c r="Y1172" i="1"/>
  <c r="X2008" i="1"/>
  <c r="P2008" i="1" s="1"/>
  <c r="Q2008" i="1" s="1"/>
  <c r="R2008" i="1" s="1"/>
  <c r="Y1978" i="1"/>
  <c r="X1978" i="1"/>
  <c r="X460" i="1"/>
  <c r="Y460" i="1"/>
  <c r="X1319" i="1"/>
  <c r="P1319" i="1" s="1"/>
  <c r="Q1319" i="1" s="1"/>
  <c r="R1319" i="1" s="1"/>
  <c r="X694" i="1"/>
  <c r="P694" i="1" s="1"/>
  <c r="Q694" i="1" s="1"/>
  <c r="R694" i="1" s="1"/>
  <c r="X1178" i="1"/>
  <c r="P1178" i="1" s="1"/>
  <c r="Q1178" i="1" s="1"/>
  <c r="R1178" i="1" s="1"/>
  <c r="X1917" i="1"/>
  <c r="P1917" i="1" s="1"/>
  <c r="Q1917" i="1" s="1"/>
  <c r="R1917" i="1" s="1"/>
  <c r="X95" i="1"/>
  <c r="P95" i="1" s="1"/>
  <c r="Q95" i="1" s="1"/>
  <c r="X1086" i="1"/>
  <c r="P1086" i="1" s="1"/>
  <c r="Q1086" i="1" s="1"/>
  <c r="R1086" i="1" s="1"/>
  <c r="X392" i="1"/>
  <c r="P392" i="1" s="1"/>
  <c r="Q392" i="1" s="1"/>
  <c r="R392" i="1" s="1"/>
  <c r="X896" i="1"/>
  <c r="P896" i="1" s="1"/>
  <c r="Q896" i="1" s="1"/>
  <c r="R896" i="1" s="1"/>
  <c r="X1176" i="1"/>
  <c r="P1176" i="1" s="1"/>
  <c r="Q1176" i="1" s="1"/>
  <c r="R1176" i="1" s="1"/>
  <c r="X533" i="1"/>
  <c r="P533" i="1" s="1"/>
  <c r="Q533" i="1" s="1"/>
  <c r="R533" i="1" s="1"/>
  <c r="Y504" i="1"/>
  <c r="X235" i="1"/>
  <c r="P235" i="1" s="1"/>
  <c r="Q235" i="1" s="1"/>
  <c r="R235" i="1" s="1"/>
  <c r="X266" i="1"/>
  <c r="P266" i="1" s="1"/>
  <c r="Q266" i="1" s="1"/>
  <c r="R266" i="1" s="1"/>
  <c r="Y1737" i="1"/>
  <c r="Y836" i="1"/>
  <c r="X1803" i="1"/>
  <c r="P1803" i="1" s="1"/>
  <c r="Q1803" i="1" s="1"/>
  <c r="R1803" i="1" s="1"/>
  <c r="X452" i="1"/>
  <c r="Y1651" i="1"/>
  <c r="X87" i="1"/>
  <c r="P87" i="1" s="1"/>
  <c r="Q87" i="1" s="1"/>
  <c r="R87" i="1" s="1"/>
  <c r="X684" i="1"/>
  <c r="P684" i="1" s="1"/>
  <c r="Q684" i="1" s="1"/>
  <c r="R684" i="1" s="1"/>
  <c r="X933" i="1"/>
  <c r="P933" i="1" s="1"/>
  <c r="Q933" i="1" s="1"/>
  <c r="R933" i="1" s="1"/>
  <c r="X1873" i="1"/>
  <c r="P1873" i="1" s="1"/>
  <c r="Q1873" i="1" s="1"/>
  <c r="R1873" i="1" s="1"/>
  <c r="X1144" i="1"/>
  <c r="P1144" i="1" s="1"/>
  <c r="Q1144" i="1" s="1"/>
  <c r="R1144" i="1" s="1"/>
  <c r="X1066" i="1"/>
  <c r="P1066" i="1" s="1"/>
  <c r="Q1066" i="1" s="1"/>
  <c r="R1066" i="1" s="1"/>
  <c r="X1728" i="1"/>
  <c r="P1728" i="1" s="1"/>
  <c r="Q1728" i="1" s="1"/>
  <c r="R1728" i="1" s="1"/>
  <c r="X1064" i="1"/>
  <c r="Y1064" i="1"/>
  <c r="X385" i="1"/>
  <c r="X920" i="1"/>
  <c r="P920" i="1" s="1"/>
  <c r="Q920" i="1" s="1"/>
  <c r="R920" i="1" s="1"/>
  <c r="X31" i="1"/>
  <c r="P31" i="1" s="1"/>
  <c r="Q31" i="1" s="1"/>
  <c r="R31" i="1" s="1"/>
  <c r="Y714" i="1"/>
  <c r="X413" i="1"/>
  <c r="P413" i="1" s="1"/>
  <c r="Q413" i="1" s="1"/>
  <c r="R413" i="1" s="1"/>
  <c r="X1156" i="1"/>
  <c r="P1156" i="1" s="1"/>
  <c r="Q1156" i="1" s="1"/>
  <c r="R1156" i="1" s="1"/>
  <c r="X649" i="1"/>
  <c r="P649" i="1" s="1"/>
  <c r="Q649" i="1" s="1"/>
  <c r="R649" i="1" s="1"/>
  <c r="X530" i="1"/>
  <c r="P530" i="1" s="1"/>
  <c r="Q530" i="1" s="1"/>
  <c r="R530" i="1" s="1"/>
  <c r="X1902" i="1"/>
  <c r="P1902" i="1" s="1"/>
  <c r="Q1902" i="1" s="1"/>
  <c r="R1902" i="1" s="1"/>
  <c r="X1380" i="1"/>
  <c r="P1380" i="1" s="1"/>
  <c r="Q1380" i="1" s="1"/>
  <c r="R1380" i="1" s="1"/>
  <c r="X1373" i="1"/>
  <c r="Y1584" i="1"/>
  <c r="X1540" i="1"/>
  <c r="X1077" i="1"/>
  <c r="P1077" i="1" s="1"/>
  <c r="Q1077" i="1" s="1"/>
  <c r="R1077" i="1" s="1"/>
  <c r="X1395" i="1"/>
  <c r="X397" i="1"/>
  <c r="P397" i="1" s="1"/>
  <c r="Q397" i="1" s="1"/>
  <c r="R397" i="1" s="1"/>
  <c r="X1649" i="1"/>
  <c r="X150" i="1"/>
  <c r="P150" i="1" s="1"/>
  <c r="Q150" i="1" s="1"/>
  <c r="R150" i="1" s="1"/>
  <c r="X1076" i="1"/>
  <c r="P1076" i="1" s="1"/>
  <c r="Q1076" i="1" s="1"/>
  <c r="R1076" i="1" s="1"/>
  <c r="X738" i="1"/>
  <c r="P738" i="1" s="1"/>
  <c r="Q738" i="1" s="1"/>
  <c r="R738" i="1" s="1"/>
  <c r="X1433" i="1"/>
  <c r="X1499" i="1"/>
  <c r="X1648" i="1"/>
  <c r="X1448" i="1"/>
  <c r="Q1448" i="1" s="1"/>
  <c r="R1448" i="1" s="1"/>
  <c r="X79" i="1"/>
  <c r="P79" i="1" s="1"/>
  <c r="Q79" i="1" s="1"/>
  <c r="R79" i="1" s="1"/>
  <c r="X498" i="1"/>
  <c r="P498" i="1" s="1"/>
  <c r="Q498" i="1" s="1"/>
  <c r="R498" i="1" s="1"/>
  <c r="X1533" i="1"/>
  <c r="P1533" i="1" s="1"/>
  <c r="Q1533" i="1" s="1"/>
  <c r="R1533" i="1" s="1"/>
  <c r="X1513" i="1"/>
  <c r="P1513" i="1" s="1"/>
  <c r="Q1513" i="1" s="1"/>
  <c r="R1513" i="1" s="1"/>
  <c r="X1984" i="1"/>
  <c r="P1984" i="1" s="1"/>
  <c r="Q1984" i="1" s="1"/>
  <c r="R1984" i="1" s="1"/>
  <c r="Y1346" i="1"/>
  <c r="X1812" i="1"/>
  <c r="P1812" i="1" s="1"/>
  <c r="Q1812" i="1" s="1"/>
  <c r="R1812" i="1" s="1"/>
  <c r="X1971" i="1"/>
  <c r="P1971" i="1" s="1"/>
  <c r="Q1971" i="1" s="1"/>
  <c r="R1971" i="1" s="1"/>
  <c r="X2021" i="1"/>
  <c r="X59" i="1"/>
  <c r="P59" i="1" s="1"/>
  <c r="Q59" i="1" s="1"/>
  <c r="R59" i="1" s="1"/>
  <c r="X1543" i="1"/>
  <c r="P1543" i="1" s="1"/>
  <c r="Q1543" i="1" s="1"/>
  <c r="R1543" i="1" s="1"/>
  <c r="X1765" i="1"/>
  <c r="P1765" i="1" s="1"/>
  <c r="Q1765" i="1" s="1"/>
  <c r="R1765" i="1" s="1"/>
  <c r="X1356" i="1"/>
  <c r="P1356" i="1" s="1"/>
  <c r="Q1356" i="1" s="1"/>
  <c r="R1356" i="1" s="1"/>
  <c r="X1327" i="1"/>
  <c r="X42" i="1"/>
  <c r="P42" i="1" s="1"/>
  <c r="Q42" i="1" s="1"/>
  <c r="R42" i="1" s="1"/>
  <c r="Y1715" i="1"/>
  <c r="X1296" i="1"/>
  <c r="P1296" i="1" s="1"/>
  <c r="Q1296" i="1" s="1"/>
  <c r="R1296" i="1" s="1"/>
  <c r="Y1147" i="1"/>
  <c r="Y792" i="1"/>
  <c r="Y775" i="1"/>
  <c r="X1536" i="1"/>
  <c r="X1878" i="1"/>
  <c r="P1878" i="1" s="1"/>
  <c r="Q1878" i="1" s="1"/>
  <c r="R1878" i="1" s="1"/>
  <c r="X1556" i="1"/>
  <c r="P1556" i="1" s="1"/>
  <c r="Q1556" i="1" s="1"/>
  <c r="R1556" i="1" s="1"/>
  <c r="X32" i="1"/>
  <c r="P32" i="1" s="1"/>
  <c r="Q32" i="1" s="1"/>
  <c r="R32" i="1" s="1"/>
  <c r="X434" i="1"/>
  <c r="P434" i="1" s="1"/>
  <c r="Q434" i="1" s="1"/>
  <c r="R434" i="1" s="1"/>
  <c r="X344" i="1"/>
  <c r="X347" i="1"/>
  <c r="P347" i="1" s="1"/>
  <c r="Q347" i="1" s="1"/>
  <c r="R347" i="1" s="1"/>
  <c r="X1247" i="1"/>
  <c r="P1247" i="1" s="1"/>
  <c r="Q1247" i="1" s="1"/>
  <c r="R1247" i="1" s="1"/>
  <c r="X181" i="1"/>
  <c r="P181" i="1" s="1"/>
  <c r="Q181" i="1" s="1"/>
  <c r="R181" i="1" s="1"/>
  <c r="X12" i="1"/>
  <c r="P12" i="1" s="1"/>
  <c r="Q12" i="1" s="1"/>
  <c r="X41" i="1"/>
  <c r="P41" i="1" s="1"/>
  <c r="Q41" i="1" s="1"/>
  <c r="R41" i="1" s="1"/>
  <c r="X1245" i="1"/>
  <c r="P1245" i="1" s="1"/>
  <c r="Q1245" i="1" s="1"/>
  <c r="R1245" i="1" s="1"/>
  <c r="X901" i="1"/>
  <c r="P901" i="1" s="1"/>
  <c r="Q901" i="1" s="1"/>
  <c r="R901" i="1" s="1"/>
  <c r="Y1778" i="1"/>
  <c r="X908" i="1"/>
  <c r="P908" i="1" s="1"/>
  <c r="Q908" i="1" s="1"/>
  <c r="R908" i="1" s="1"/>
  <c r="X1938" i="1"/>
  <c r="P1938" i="1" s="1"/>
  <c r="Q1938" i="1" s="1"/>
  <c r="R1938" i="1" s="1"/>
  <c r="Y653" i="1"/>
  <c r="X238" i="1"/>
  <c r="X1215" i="1"/>
  <c r="P1215" i="1" s="1"/>
  <c r="Q1215" i="1" s="1"/>
  <c r="R1215" i="1" s="1"/>
  <c r="X1619" i="1"/>
  <c r="P1619" i="1" s="1"/>
  <c r="Q1619" i="1" s="1"/>
  <c r="R1619" i="1" s="1"/>
  <c r="X1224" i="1"/>
  <c r="P1224" i="1" s="1"/>
  <c r="Q1224" i="1" s="1"/>
  <c r="R1224" i="1" s="1"/>
  <c r="X735" i="1"/>
  <c r="P735" i="1" s="1"/>
  <c r="Q735" i="1" s="1"/>
  <c r="R735" i="1" s="1"/>
  <c r="X1628" i="1"/>
  <c r="X577" i="1"/>
  <c r="P577" i="1" s="1"/>
  <c r="Q577" i="1" s="1"/>
  <c r="R577" i="1" s="1"/>
  <c r="X518" i="1"/>
  <c r="P518" i="1" s="1"/>
  <c r="Q518" i="1" s="1"/>
  <c r="R518" i="1" s="1"/>
  <c r="X386" i="1"/>
  <c r="P386" i="1" s="1"/>
  <c r="Q386" i="1" s="1"/>
  <c r="R386" i="1" s="1"/>
  <c r="X1477" i="1"/>
  <c r="P1477" i="1" s="1"/>
  <c r="Q1477" i="1" s="1"/>
  <c r="R1477" i="1" s="1"/>
  <c r="X862" i="1"/>
  <c r="P862" i="1" s="1"/>
  <c r="Q862" i="1" s="1"/>
  <c r="R862" i="1" s="1"/>
  <c r="X676" i="1"/>
  <c r="P676" i="1" s="1"/>
  <c r="Q676" i="1" s="1"/>
  <c r="R676" i="1" s="1"/>
  <c r="X979" i="1"/>
  <c r="P979" i="1" s="1"/>
  <c r="Q979" i="1" s="1"/>
  <c r="R979" i="1" s="1"/>
  <c r="X227" i="1"/>
  <c r="P227" i="1" s="1"/>
  <c r="Q227" i="1" s="1"/>
  <c r="R227" i="1" s="1"/>
  <c r="X1864" i="1"/>
  <c r="P1864" i="1" s="1"/>
  <c r="Q1864" i="1" s="1"/>
  <c r="R1864" i="1" s="1"/>
  <c r="X1158" i="1"/>
  <c r="P1158" i="1" s="1"/>
  <c r="Q1158" i="1" s="1"/>
  <c r="R1158" i="1" s="1"/>
  <c r="X1198" i="1"/>
  <c r="P1198" i="1" s="1"/>
  <c r="Q1198" i="1" s="1"/>
  <c r="R1198" i="1" s="1"/>
  <c r="X1163" i="1"/>
  <c r="P1163" i="1" s="1"/>
  <c r="Q1163" i="1" s="1"/>
  <c r="R1163" i="1" s="1"/>
  <c r="X1222" i="1"/>
  <c r="P1222" i="1" s="1"/>
  <c r="Q1222" i="1" s="1"/>
  <c r="R1222" i="1" s="1"/>
  <c r="X97" i="1"/>
  <c r="P97" i="1" s="1"/>
  <c r="Q97" i="1" s="1"/>
  <c r="R97" i="1" s="1"/>
  <c r="X1241" i="1"/>
  <c r="P1241" i="1" s="1"/>
  <c r="Q1241" i="1" s="1"/>
  <c r="R1241" i="1" s="1"/>
  <c r="X1439" i="1"/>
  <c r="P1439" i="1" s="1"/>
  <c r="Q1439" i="1" s="1"/>
  <c r="R1439" i="1" s="1"/>
  <c r="X82" i="1"/>
  <c r="P82" i="1" s="1"/>
  <c r="Q82" i="1" s="1"/>
  <c r="R82" i="1" s="1"/>
  <c r="X368" i="1"/>
  <c r="X1717" i="1"/>
  <c r="X1284" i="1"/>
  <c r="X600" i="1"/>
  <c r="P600" i="1" s="1"/>
  <c r="Q600" i="1" s="1"/>
  <c r="R600" i="1" s="1"/>
  <c r="X190" i="1"/>
  <c r="P190" i="1" s="1"/>
  <c r="Q190" i="1" s="1"/>
  <c r="R190" i="1" s="1"/>
  <c r="X1827" i="1"/>
  <c r="P1827" i="1" s="1"/>
  <c r="Q1827" i="1" s="1"/>
  <c r="R1827" i="1" s="1"/>
  <c r="X1401" i="1"/>
  <c r="P1401" i="1" s="1"/>
  <c r="Q1401" i="1" s="1"/>
  <c r="R1401" i="1" s="1"/>
  <c r="X179" i="1"/>
  <c r="P179" i="1" s="1"/>
  <c r="Q179" i="1" s="1"/>
  <c r="R179" i="1" s="1"/>
  <c r="X90" i="1"/>
  <c r="P90" i="1" s="1"/>
  <c r="Q90" i="1" s="1"/>
  <c r="R90" i="1" s="1"/>
  <c r="X2028" i="1"/>
  <c r="P2028" i="1" s="1"/>
  <c r="Q2028" i="1" s="1"/>
  <c r="R2028" i="1" s="1"/>
  <c r="Y44" i="1"/>
  <c r="X932" i="1"/>
  <c r="P932" i="1" s="1"/>
  <c r="Q932" i="1" s="1"/>
  <c r="R932" i="1" s="1"/>
  <c r="X36" i="1"/>
  <c r="P36" i="1" s="1"/>
  <c r="Q36" i="1" s="1"/>
  <c r="R36" i="1" s="1"/>
  <c r="X1323" i="1"/>
  <c r="P1323" i="1" s="1"/>
  <c r="Q1323" i="1" s="1"/>
  <c r="R1323" i="1" s="1"/>
  <c r="X276" i="1"/>
  <c r="P276" i="1" s="1"/>
  <c r="Q276" i="1" s="1"/>
  <c r="R276" i="1" s="1"/>
  <c r="X977" i="1"/>
  <c r="P977" i="1" s="1"/>
  <c r="Q977" i="1" s="1"/>
  <c r="R977" i="1" s="1"/>
  <c r="X78" i="1"/>
  <c r="P78" i="1" s="1"/>
  <c r="Q78" i="1" s="1"/>
  <c r="R78" i="1" s="1"/>
  <c r="Y385" i="1"/>
  <c r="X2067" i="1"/>
  <c r="P2067" i="1" s="1"/>
  <c r="Q2067" i="1" s="1"/>
  <c r="R2067" i="1" s="1"/>
  <c r="Y1826" i="1"/>
  <c r="X1486" i="1"/>
  <c r="X1615" i="1"/>
  <c r="X1856" i="1"/>
  <c r="X1309" i="1"/>
  <c r="P1309" i="1" s="1"/>
  <c r="Q1309" i="1" s="1"/>
  <c r="R1309" i="1" s="1"/>
  <c r="Y2069" i="1"/>
  <c r="X1807" i="1"/>
  <c r="P1807" i="1" s="1"/>
  <c r="Q1807" i="1" s="1"/>
  <c r="R1807" i="1" s="1"/>
  <c r="X1666" i="1"/>
  <c r="P1666" i="1" s="1"/>
  <c r="Q1666" i="1" s="1"/>
  <c r="R1666" i="1" s="1"/>
  <c r="X997" i="1"/>
  <c r="P997" i="1" s="1"/>
  <c r="Q997" i="1" s="1"/>
  <c r="R997" i="1" s="1"/>
  <c r="X2089" i="1"/>
  <c r="P2089" i="1" s="1"/>
  <c r="Q2089" i="1" s="1"/>
  <c r="R2089" i="1" s="1"/>
  <c r="X1151" i="1"/>
  <c r="P1151" i="1" s="1"/>
  <c r="Q1151" i="1" s="1"/>
  <c r="R1151" i="1" s="1"/>
  <c r="X1173" i="1"/>
  <c r="P1173" i="1" s="1"/>
  <c r="Q1173" i="1" s="1"/>
  <c r="R1173" i="1" s="1"/>
  <c r="X1865" i="1"/>
  <c r="P1865" i="1" s="1"/>
  <c r="Q1865" i="1" s="1"/>
  <c r="R1865" i="1" s="1"/>
  <c r="X1488" i="1"/>
  <c r="P1488" i="1" s="1"/>
  <c r="Q1488" i="1" s="1"/>
  <c r="R1488" i="1" s="1"/>
  <c r="X976" i="1"/>
  <c r="P976" i="1" s="1"/>
  <c r="Q976" i="1" s="1"/>
  <c r="R976" i="1" s="1"/>
  <c r="X857" i="1"/>
  <c r="P857" i="1" s="1"/>
  <c r="Q857" i="1" s="1"/>
  <c r="R857" i="1" s="1"/>
  <c r="X325" i="1"/>
  <c r="P325" i="1" s="1"/>
  <c r="Q325" i="1" s="1"/>
  <c r="R325" i="1" s="1"/>
  <c r="X300" i="1"/>
  <c r="P300" i="1" s="1"/>
  <c r="Q300" i="1" s="1"/>
  <c r="R300" i="1" s="1"/>
  <c r="X155" i="1"/>
  <c r="P155" i="1" s="1"/>
  <c r="Q155" i="1" s="1"/>
  <c r="R155" i="1" s="1"/>
  <c r="X1071" i="1"/>
  <c r="Y1180" i="1"/>
  <c r="X414" i="1"/>
  <c r="P414" i="1" s="1"/>
  <c r="Q414" i="1" s="1"/>
  <c r="R414" i="1" s="1"/>
  <c r="X1890" i="1"/>
  <c r="Y320" i="1"/>
  <c r="X589" i="1"/>
  <c r="P589" i="1" s="1"/>
  <c r="Q589" i="1" s="1"/>
  <c r="R589" i="1" s="1"/>
  <c r="X77" i="1"/>
  <c r="P77" i="1" s="1"/>
  <c r="Q77" i="1" s="1"/>
  <c r="R77" i="1" s="1"/>
  <c r="X1057" i="1"/>
  <c r="P1057" i="1" s="1"/>
  <c r="Q1057" i="1" s="1"/>
  <c r="R1057" i="1" s="1"/>
  <c r="X778" i="1"/>
  <c r="X656" i="1"/>
  <c r="P656" i="1" s="1"/>
  <c r="Q656" i="1" s="1"/>
  <c r="R656" i="1" s="1"/>
  <c r="X750" i="1"/>
  <c r="P750" i="1" s="1"/>
  <c r="Q750" i="1" s="1"/>
  <c r="R750" i="1" s="1"/>
  <c r="X884" i="1"/>
  <c r="P884" i="1" s="1"/>
  <c r="Q884" i="1" s="1"/>
  <c r="R884" i="1" s="1"/>
  <c r="X412" i="1"/>
  <c r="P412" i="1" s="1"/>
  <c r="Q412" i="1" s="1"/>
  <c r="R412" i="1" s="1"/>
  <c r="X299" i="1"/>
  <c r="P299" i="1" s="1"/>
  <c r="Q299" i="1" s="1"/>
  <c r="R299" i="1" s="1"/>
  <c r="X2063" i="1"/>
  <c r="P2063" i="1" s="1"/>
  <c r="Q2063" i="1" s="1"/>
  <c r="R2063" i="1" s="1"/>
  <c r="X1337" i="1"/>
  <c r="P1337" i="1" s="1"/>
  <c r="Q1337" i="1" s="1"/>
  <c r="R1337" i="1" s="1"/>
  <c r="X398" i="1"/>
  <c r="P398" i="1" s="1"/>
  <c r="Q398" i="1" s="1"/>
  <c r="R398" i="1" s="1"/>
  <c r="Y1327" i="1"/>
  <c r="X1633" i="1"/>
  <c r="P1633" i="1" s="1"/>
  <c r="Q1633" i="1" s="1"/>
  <c r="R1633" i="1" s="1"/>
  <c r="Y42" i="1"/>
  <c r="Y1373" i="1"/>
  <c r="X352" i="1"/>
  <c r="P352" i="1" s="1"/>
  <c r="Q352" i="1" s="1"/>
  <c r="R352" i="1" s="1"/>
  <c r="X1075" i="1"/>
  <c r="X354" i="1"/>
  <c r="P354" i="1" s="1"/>
  <c r="Q354" i="1" s="1"/>
  <c r="R354" i="1" s="1"/>
  <c r="X768" i="1"/>
  <c r="P768" i="1" s="1"/>
  <c r="Q768" i="1" s="1"/>
  <c r="R768" i="1" s="1"/>
  <c r="X911" i="1"/>
  <c r="P911" i="1" s="1"/>
  <c r="Q911" i="1" s="1"/>
  <c r="R911" i="1" s="1"/>
  <c r="X1485" i="1"/>
  <c r="P1485" i="1" s="1"/>
  <c r="Q1485" i="1" s="1"/>
  <c r="R1485" i="1" s="1"/>
  <c r="X1671" i="1"/>
  <c r="X1492" i="1"/>
  <c r="P1492" i="1" s="1"/>
  <c r="Q1492" i="1" s="1"/>
  <c r="R1492" i="1" s="1"/>
  <c r="Y2021" i="1"/>
  <c r="X1068" i="1"/>
  <c r="X1837" i="1"/>
  <c r="Y1837" i="1"/>
  <c r="X1838" i="1"/>
  <c r="X1784" i="1"/>
  <c r="X1035" i="1"/>
  <c r="X247" i="1"/>
  <c r="X640" i="1"/>
  <c r="X2042" i="1"/>
  <c r="X660" i="1"/>
  <c r="P660" i="1" s="1"/>
  <c r="X662" i="1"/>
  <c r="P662" i="1" s="1"/>
  <c r="Y662" i="1"/>
  <c r="X796" i="1"/>
  <c r="P796" i="1" s="1"/>
  <c r="X1049" i="1"/>
  <c r="P1049" i="1" s="1"/>
  <c r="Q1049" i="1" s="1"/>
  <c r="Y463" i="1"/>
  <c r="X1213" i="1"/>
  <c r="P1213" i="1" s="1"/>
  <c r="X1758" i="1"/>
  <c r="P1758" i="1" s="1"/>
  <c r="X1465" i="1"/>
  <c r="P1465" i="1" s="1"/>
  <c r="X464" i="1"/>
  <c r="P464" i="1" s="1"/>
  <c r="X225" i="1"/>
  <c r="P225" i="1" s="1"/>
  <c r="X1591" i="1"/>
  <c r="P1591" i="1" s="1"/>
  <c r="X130" i="1"/>
  <c r="P130" i="1" s="1"/>
  <c r="Q130" i="1" s="1"/>
  <c r="R130" i="1" s="1"/>
  <c r="X1915" i="1"/>
  <c r="X1472" i="1"/>
  <c r="X1423" i="1"/>
  <c r="P1423" i="1" s="1"/>
  <c r="X37" i="1"/>
  <c r="P37" i="1" s="1"/>
  <c r="Q37" i="1" s="1"/>
  <c r="Y531" i="1"/>
  <c r="Y54" i="1"/>
  <c r="Y949" i="1"/>
  <c r="Y591" i="1"/>
  <c r="Y1167" i="1"/>
  <c r="X110" i="1"/>
  <c r="P110" i="1" s="1"/>
  <c r="Q110" i="1" s="1"/>
  <c r="X1874" i="1"/>
  <c r="P1874" i="1" s="1"/>
  <c r="Q1874" i="1" s="1"/>
  <c r="X1958" i="1"/>
  <c r="Q1958" i="1" s="1"/>
  <c r="X293" i="1"/>
  <c r="P293" i="1" s="1"/>
  <c r="X1291" i="1"/>
  <c r="P1291" i="1" s="1"/>
  <c r="Q1291" i="1" s="1"/>
  <c r="Y1746" i="1"/>
  <c r="Y1382" i="1"/>
  <c r="X2018" i="1"/>
  <c r="P2018" i="1" s="1"/>
  <c r="Q2018" i="1" s="1"/>
  <c r="X1508" i="1"/>
  <c r="P1508" i="1" s="1"/>
  <c r="Q1508" i="1" s="1"/>
  <c r="Y268" i="1"/>
  <c r="X3" i="1"/>
  <c r="P3" i="1" s="1"/>
  <c r="Q3" i="1" s="1"/>
  <c r="X158" i="1"/>
  <c r="P158" i="1" s="1"/>
  <c r="Q158" i="1" s="1"/>
  <c r="R158" i="1" s="1"/>
  <c r="X1709" i="1"/>
  <c r="X1872" i="1"/>
  <c r="Y1603" i="1"/>
  <c r="Y1766" i="1"/>
  <c r="X986" i="1"/>
  <c r="P986" i="1" s="1"/>
  <c r="Q986" i="1" s="1"/>
  <c r="R986" i="1" s="1"/>
  <c r="X1743" i="1"/>
  <c r="X717" i="1"/>
  <c r="P717" i="1" s="1"/>
  <c r="Q717" i="1" s="1"/>
  <c r="R717" i="1" s="1"/>
  <c r="X1670" i="1"/>
  <c r="Y173" i="1"/>
  <c r="Y109" i="1"/>
  <c r="Y1257" i="1"/>
  <c r="Y1469" i="1"/>
  <c r="Y2001" i="1"/>
  <c r="Y407" i="1"/>
  <c r="X1529" i="1"/>
  <c r="Y1399" i="1"/>
  <c r="X1398" i="1"/>
  <c r="P1398" i="1" s="1"/>
  <c r="Q1398" i="1" s="1"/>
  <c r="X1516" i="1"/>
  <c r="P1516" i="1" s="1"/>
  <c r="Q1516" i="1" s="1"/>
  <c r="Y1181" i="1"/>
  <c r="X1751" i="1"/>
  <c r="P1751" i="1" s="1"/>
  <c r="Q1751" i="1" s="1"/>
  <c r="Y61" i="1"/>
  <c r="Y1926" i="1"/>
  <c r="Y1838" i="1"/>
  <c r="Y1784" i="1"/>
  <c r="Y1035" i="1"/>
  <c r="Y247" i="1"/>
  <c r="Y2042" i="1"/>
  <c r="Y1769" i="1"/>
  <c r="Y1760" i="1"/>
  <c r="Y374" i="1"/>
  <c r="Y586" i="1"/>
  <c r="Y815" i="1"/>
  <c r="Y937" i="1"/>
  <c r="Y1546" i="1"/>
  <c r="Y590" i="1"/>
  <c r="Y1682" i="1"/>
  <c r="Y2038" i="1"/>
  <c r="Y1364" i="1"/>
  <c r="Y66" i="1"/>
  <c r="Y1268" i="1"/>
  <c r="Y1924" i="1"/>
  <c r="Y936" i="1"/>
  <c r="X27" i="1"/>
  <c r="P27" i="1" s="1"/>
  <c r="Q27" i="1" s="1"/>
  <c r="R27" i="1" s="1"/>
  <c r="X304" i="1"/>
  <c r="Y1999" i="1"/>
  <c r="Y958" i="1"/>
  <c r="Y350" i="1"/>
  <c r="Y1248" i="1"/>
  <c r="Y2096" i="1"/>
  <c r="Y640" i="1"/>
  <c r="Y660" i="1"/>
  <c r="Y827" i="1"/>
  <c r="Y1775" i="1"/>
  <c r="Y1894" i="1"/>
  <c r="Y1836" i="1"/>
  <c r="X1880" i="1"/>
  <c r="P1880" i="1" s="1"/>
  <c r="Q1880" i="1" s="1"/>
  <c r="X420" i="1"/>
  <c r="Y947" i="1"/>
  <c r="Y252" i="1"/>
  <c r="X695" i="1"/>
  <c r="Y1972" i="1"/>
  <c r="X1889" i="1"/>
  <c r="P1889" i="1" s="1"/>
  <c r="Q1889" i="1" s="1"/>
  <c r="R1889" i="1" s="1"/>
  <c r="X1535" i="1"/>
  <c r="X1285" i="1"/>
  <c r="P1285" i="1" s="1"/>
  <c r="Q1285" i="1" s="1"/>
  <c r="X925" i="1"/>
  <c r="X324" i="1"/>
  <c r="P324" i="1" s="1"/>
  <c r="Q324" i="1" s="1"/>
  <c r="R324" i="1" s="1"/>
  <c r="Y1992" i="1"/>
  <c r="Y1476" i="1"/>
  <c r="Y157" i="1"/>
  <c r="Y2091" i="1"/>
  <c r="Y973" i="1"/>
  <c r="Y587" i="1"/>
  <c r="P587" i="1" s="1"/>
  <c r="Q587" i="1" s="1"/>
  <c r="Y1449" i="1"/>
  <c r="Y127" i="1"/>
  <c r="Y1631" i="1"/>
  <c r="Y1293" i="1"/>
  <c r="Y96" i="1"/>
  <c r="Y1870" i="1"/>
  <c r="Y98" i="1"/>
  <c r="Y1834" i="1"/>
  <c r="Y2027" i="1"/>
  <c r="Y948" i="1"/>
  <c r="Y91" i="1"/>
  <c r="Y2060" i="1"/>
  <c r="Y1472" i="1"/>
  <c r="Y1915" i="1"/>
  <c r="X754" i="1"/>
  <c r="P754" i="1" s="1"/>
  <c r="Q754" i="1" s="1"/>
  <c r="X1997" i="1"/>
  <c r="P1997" i="1" s="1"/>
  <c r="Q1997" i="1" s="1"/>
  <c r="R1997" i="1" s="1"/>
  <c r="X580" i="1"/>
  <c r="P580" i="1" s="1"/>
  <c r="Q580" i="1" s="1"/>
  <c r="R580" i="1" s="1"/>
  <c r="X307" i="1"/>
  <c r="P307" i="1" s="1"/>
  <c r="Q307" i="1" s="1"/>
  <c r="R307" i="1" s="1"/>
  <c r="X549" i="1"/>
  <c r="P549" i="1" s="1"/>
  <c r="Q549" i="1" s="1"/>
  <c r="R549" i="1" s="1"/>
  <c r="X508" i="1"/>
  <c r="P508" i="1" s="1"/>
  <c r="Q508" i="1" s="1"/>
  <c r="R508" i="1" s="1"/>
  <c r="X1622" i="1"/>
  <c r="P1622" i="1" s="1"/>
  <c r="Q1622" i="1" s="1"/>
  <c r="R1622" i="1" s="1"/>
  <c r="X1149" i="1"/>
  <c r="Q1149" i="1" s="1"/>
  <c r="R1149" i="1" s="1"/>
  <c r="X1097" i="1"/>
  <c r="P1097" i="1" s="1"/>
  <c r="Q1097" i="1" s="1"/>
  <c r="R1097" i="1" s="1"/>
  <c r="X1969" i="1"/>
  <c r="P1969" i="1" s="1"/>
  <c r="Q1969" i="1" s="1"/>
  <c r="R1969" i="1" s="1"/>
  <c r="X2044" i="1"/>
  <c r="Y2044" i="1"/>
  <c r="X1314" i="1"/>
  <c r="P1314" i="1" s="1"/>
  <c r="Q1314" i="1" s="1"/>
  <c r="R1314" i="1" s="1"/>
  <c r="X372" i="1"/>
  <c r="Y372" i="1"/>
  <c r="X10" i="1"/>
  <c r="P10" i="1" s="1"/>
  <c r="Q10" i="1" s="1"/>
  <c r="R10" i="1" s="1"/>
  <c r="X883" i="1"/>
  <c r="Y883" i="1"/>
  <c r="X1898" i="1"/>
  <c r="P1898" i="1" s="1"/>
  <c r="Q1898" i="1" s="1"/>
  <c r="R1898" i="1" s="1"/>
  <c r="X1996" i="1"/>
  <c r="X871" i="1"/>
  <c r="P871" i="1" s="1"/>
  <c r="Q871" i="1" s="1"/>
  <c r="R871" i="1" s="1"/>
  <c r="Y580" i="1"/>
  <c r="Y1916" i="1"/>
  <c r="Y1945" i="1"/>
  <c r="Y1743" i="1"/>
  <c r="Y182" i="1"/>
  <c r="Y575" i="1"/>
  <c r="Y131" i="1"/>
  <c r="Y1670" i="1"/>
  <c r="X548" i="1"/>
  <c r="Y548" i="1"/>
  <c r="X339" i="1"/>
  <c r="Y339" i="1"/>
  <c r="X1000" i="1"/>
  <c r="Y1000" i="1"/>
  <c r="Y1585" i="1"/>
  <c r="X1585" i="1"/>
  <c r="X1098" i="1"/>
  <c r="P1098" i="1" s="1"/>
  <c r="Q1098" i="1" s="1"/>
  <c r="R1098" i="1" s="1"/>
  <c r="Y351" i="1"/>
  <c r="X1734" i="1"/>
  <c r="P1734" i="1" s="1"/>
  <c r="Q1734" i="1" s="1"/>
  <c r="X1321" i="1"/>
  <c r="Q1321" i="1" s="1"/>
  <c r="R1321" i="1" s="1"/>
  <c r="Y1408" i="1"/>
  <c r="X1635" i="1"/>
  <c r="P1635" i="1" s="1"/>
  <c r="Q1635" i="1" s="1"/>
  <c r="R1635" i="1" s="1"/>
  <c r="X526" i="1"/>
  <c r="Y526" i="1"/>
  <c r="X1725" i="1"/>
  <c r="P1725" i="1" s="1"/>
  <c r="Q1725" i="1" s="1"/>
  <c r="R1725" i="1" s="1"/>
  <c r="X1935" i="1"/>
  <c r="Y1935" i="1"/>
  <c r="X462" i="1"/>
  <c r="P462" i="1" s="1"/>
  <c r="Q462" i="1" s="1"/>
  <c r="R462" i="1" s="1"/>
  <c r="X699" i="1"/>
  <c r="Y699" i="1"/>
  <c r="X1712" i="1"/>
  <c r="X449" i="1"/>
  <c r="Y449" i="1"/>
  <c r="Y281" i="1"/>
  <c r="Y152" i="1"/>
  <c r="Y1470" i="1"/>
  <c r="Y925" i="1"/>
  <c r="Y1709" i="1"/>
  <c r="Y304" i="1"/>
  <c r="Y1529" i="1"/>
  <c r="Y695" i="1"/>
  <c r="Y1101" i="1"/>
  <c r="Y261" i="1"/>
  <c r="Y258" i="1"/>
  <c r="Y14" i="1"/>
  <c r="Y358" i="1"/>
  <c r="Y2104" i="1"/>
  <c r="Y891" i="1"/>
  <c r="Y1602" i="1"/>
  <c r="Y882" i="1"/>
  <c r="Y2045" i="1"/>
  <c r="Y1070" i="1"/>
  <c r="Y160" i="1"/>
  <c r="Y1626" i="1"/>
  <c r="X2007" i="1"/>
  <c r="P2007" i="1" s="1"/>
  <c r="Q2007" i="1" s="1"/>
  <c r="Y1028" i="1"/>
  <c r="X1013" i="1"/>
  <c r="X321" i="1"/>
  <c r="X1904" i="1"/>
  <c r="Y1904" i="1"/>
  <c r="X525" i="1"/>
  <c r="X2099" i="1"/>
  <c r="P2099" i="1" s="1"/>
  <c r="Q2099" i="1" s="1"/>
  <c r="R2099" i="1" s="1"/>
  <c r="X1656" i="1"/>
  <c r="Y1656" i="1"/>
  <c r="X1755" i="1"/>
  <c r="Y1755" i="1"/>
  <c r="X801" i="1"/>
  <c r="P801" i="1" s="1"/>
  <c r="Q801" i="1" s="1"/>
  <c r="R801" i="1" s="1"/>
  <c r="Y801" i="1"/>
  <c r="X1741" i="1"/>
  <c r="P1741" i="1" s="1"/>
  <c r="Q1741" i="1" s="1"/>
  <c r="R1741" i="1" s="1"/>
  <c r="X1524" i="1"/>
  <c r="Y1524" i="1"/>
  <c r="X680" i="1"/>
  <c r="P680" i="1" s="1"/>
  <c r="Q680" i="1" s="1"/>
  <c r="R680" i="1" s="1"/>
  <c r="X780" i="1"/>
  <c r="X359" i="1"/>
  <c r="X1694" i="1"/>
  <c r="Y1694" i="1"/>
  <c r="X136" i="1"/>
  <c r="P136" i="1" s="1"/>
  <c r="Q136" i="1" s="1"/>
  <c r="R136" i="1" s="1"/>
  <c r="X1882" i="1"/>
  <c r="P1882" i="1" s="1"/>
  <c r="Q1882" i="1" s="1"/>
  <c r="R1882" i="1" s="1"/>
  <c r="X1467" i="1"/>
  <c r="P1467" i="1" s="1"/>
  <c r="Q1467" i="1" s="1"/>
  <c r="R1467" i="1" s="1"/>
  <c r="Y1220" i="1"/>
  <c r="Y905" i="1"/>
  <c r="Y2035" i="1"/>
  <c r="Y1927" i="1"/>
  <c r="Y1922" i="1"/>
  <c r="Y1657" i="1"/>
  <c r="Y1390" i="1"/>
  <c r="Y1742" i="1"/>
  <c r="X674" i="1"/>
  <c r="Y674" i="1"/>
  <c r="X751" i="1"/>
  <c r="P751" i="1" s="1"/>
  <c r="Q751" i="1" s="1"/>
  <c r="R751" i="1" s="1"/>
  <c r="X1794" i="1"/>
  <c r="Y1794" i="1"/>
  <c r="X394" i="1"/>
  <c r="P394" i="1" s="1"/>
  <c r="Q394" i="1" s="1"/>
  <c r="X1349" i="1"/>
  <c r="Y1349" i="1"/>
  <c r="X1762" i="1"/>
  <c r="P1762" i="1" s="1"/>
  <c r="Q1762" i="1" s="1"/>
  <c r="R1762" i="1" s="1"/>
  <c r="X249" i="1"/>
  <c r="Y249" i="1"/>
  <c r="X382" i="1"/>
  <c r="Y382" i="1"/>
  <c r="X1512" i="1"/>
  <c r="Y1512" i="1"/>
  <c r="X1855" i="1"/>
  <c r="Y1855" i="1"/>
  <c r="Y716" i="1"/>
  <c r="X716" i="1"/>
  <c r="X1835" i="1"/>
  <c r="Y1835" i="1"/>
  <c r="Y420" i="1"/>
  <c r="Y559" i="1"/>
  <c r="Y1909" i="1"/>
  <c r="Y324" i="1"/>
  <c r="Y1872" i="1"/>
  <c r="Y303" i="1"/>
  <c r="Y1387" i="1"/>
  <c r="Y810" i="1"/>
  <c r="Y1535" i="1"/>
  <c r="Y1544" i="1"/>
  <c r="Y2025" i="1"/>
  <c r="X1006" i="1"/>
  <c r="P1006" i="1" s="1"/>
  <c r="Q1006" i="1" s="1"/>
  <c r="R1006" i="1" s="1"/>
  <c r="Y1504" i="1"/>
  <c r="X1191" i="1"/>
  <c r="P1191" i="1" s="1"/>
  <c r="Q1191" i="1" s="1"/>
  <c r="R1191" i="1" s="1"/>
  <c r="Y1829" i="1"/>
  <c r="X15" i="1"/>
  <c r="P15" i="1" s="1"/>
  <c r="Q15" i="1" s="1"/>
  <c r="R15" i="1" s="1"/>
  <c r="X507" i="1"/>
  <c r="X60" i="1"/>
  <c r="P60" i="1" s="1"/>
  <c r="Q60" i="1" s="1"/>
  <c r="X790" i="1"/>
  <c r="X1092" i="1"/>
  <c r="Y1092" i="1"/>
  <c r="X345" i="1"/>
  <c r="X795" i="1"/>
  <c r="Y795" i="1"/>
  <c r="X644" i="1"/>
  <c r="P644" i="1" s="1"/>
  <c r="Q644" i="1" s="1"/>
  <c r="R644" i="1" s="1"/>
  <c r="X663" i="1"/>
  <c r="Y663" i="1"/>
  <c r="X881" i="1"/>
  <c r="P881" i="1" s="1"/>
  <c r="Q881" i="1" s="1"/>
  <c r="R881" i="1" s="1"/>
  <c r="Y881" i="1"/>
  <c r="X854" i="1"/>
  <c r="Y854" i="1"/>
  <c r="X1669" i="1"/>
  <c r="Y1669" i="1"/>
  <c r="X1875" i="1"/>
  <c r="Q1875" i="1" s="1"/>
  <c r="R1875" i="1" s="1"/>
  <c r="X863" i="1"/>
  <c r="Y317" i="1"/>
  <c r="Y1169" i="1"/>
  <c r="Y584" i="1"/>
  <c r="Y1828" i="1"/>
  <c r="Y1357" i="1"/>
  <c r="Y1724" i="1"/>
  <c r="Y506" i="1"/>
  <c r="Y361" i="1"/>
  <c r="Y286" i="1"/>
  <c r="Y1229" i="1"/>
  <c r="X1744" i="1"/>
  <c r="P1744" i="1" s="1"/>
  <c r="Q1744" i="1" s="1"/>
  <c r="R1744" i="1" s="1"/>
  <c r="Y105" i="1"/>
  <c r="X894" i="1"/>
  <c r="X1087" i="1"/>
  <c r="P1087" i="1" s="1"/>
  <c r="Q1087" i="1" s="1"/>
  <c r="R1087" i="1" s="1"/>
  <c r="X1185" i="1"/>
  <c r="P1185" i="1" s="1"/>
  <c r="Q1185" i="1" s="1"/>
  <c r="R1185" i="1" s="1"/>
  <c r="Y1185" i="1"/>
  <c r="X635" i="1"/>
  <c r="X1231" i="1"/>
  <c r="P1231" i="1" s="1"/>
  <c r="Q1231" i="1" s="1"/>
  <c r="R1231" i="1" s="1"/>
  <c r="X390" i="1"/>
  <c r="P390" i="1" s="1"/>
  <c r="Q390" i="1" s="1"/>
  <c r="R390" i="1" s="1"/>
  <c r="X1833" i="1"/>
  <c r="P1833" i="1" s="1"/>
  <c r="Q1833" i="1" s="1"/>
  <c r="R1833" i="1" s="1"/>
  <c r="X1645" i="1"/>
  <c r="Y1645" i="1"/>
  <c r="X342" i="1"/>
  <c r="Y342" i="1"/>
  <c r="X1483" i="1"/>
  <c r="Y1712" i="1"/>
  <c r="Y780" i="1"/>
  <c r="X1548" i="1"/>
  <c r="X1209" i="1"/>
  <c r="P1209" i="1" s="1"/>
  <c r="Q1209" i="1" s="1"/>
  <c r="R1209" i="1" s="1"/>
  <c r="X998" i="1"/>
  <c r="Y998" i="1"/>
  <c r="Y1646" i="1"/>
  <c r="X870" i="1"/>
  <c r="X282" i="1"/>
  <c r="P282" i="1" s="1"/>
  <c r="Q282" i="1" s="1"/>
  <c r="R282" i="1" s="1"/>
  <c r="X1897" i="1"/>
  <c r="P1897" i="1" s="1"/>
  <c r="Q1897" i="1" s="1"/>
  <c r="R1897" i="1" s="1"/>
  <c r="X1073" i="1"/>
  <c r="P1073" i="1" s="1"/>
  <c r="Q1073" i="1" s="1"/>
  <c r="R1073" i="1" s="1"/>
  <c r="Y1073" i="1"/>
  <c r="X798" i="1"/>
  <c r="P798" i="1" s="1"/>
  <c r="Q798" i="1" s="1"/>
  <c r="R798" i="1" s="1"/>
  <c r="X1343" i="1"/>
  <c r="Y1343" i="1"/>
  <c r="Y1900" i="1"/>
  <c r="Y1013" i="1"/>
  <c r="Y507" i="1"/>
  <c r="Y650" i="1"/>
  <c r="Y321" i="1"/>
  <c r="Y60" i="1"/>
  <c r="Y1274" i="1"/>
  <c r="Y1885" i="1"/>
  <c r="Y1094" i="1"/>
  <c r="Y1417" i="1"/>
  <c r="Y790" i="1"/>
  <c r="Y1354" i="1"/>
  <c r="Y1996" i="1"/>
  <c r="Y1677" i="1"/>
  <c r="Y525" i="1"/>
  <c r="Y359" i="1"/>
  <c r="Y345" i="1"/>
  <c r="Y863" i="1"/>
  <c r="Y1610" i="1"/>
  <c r="Y990" i="1"/>
  <c r="Y1588" i="1"/>
  <c r="Y1089" i="1"/>
  <c r="Y1899" i="1"/>
  <c r="Y770" i="1"/>
  <c r="X104" i="1"/>
  <c r="P104" i="1" s="1"/>
  <c r="Q104" i="1" s="1"/>
  <c r="R104" i="1" s="1"/>
  <c r="Y104" i="1"/>
  <c r="X524" i="1"/>
  <c r="P524" i="1" s="1"/>
  <c r="Q524" i="1" s="1"/>
  <c r="R524" i="1" s="1"/>
  <c r="X1210" i="1"/>
  <c r="X563" i="1"/>
  <c r="Y563" i="1"/>
  <c r="X1410" i="1"/>
  <c r="X1831" i="1"/>
  <c r="X284" i="1"/>
  <c r="P284" i="1" s="1"/>
  <c r="Q284" i="1" s="1"/>
  <c r="R284" i="1" s="1"/>
  <c r="X825" i="1"/>
  <c r="X546" i="1"/>
  <c r="P546" i="1" s="1"/>
  <c r="Q546" i="1" s="1"/>
  <c r="R546" i="1" s="1"/>
  <c r="X982" i="1"/>
  <c r="X673" i="1"/>
  <c r="P673" i="1" s="1"/>
  <c r="Q673" i="1" s="1"/>
  <c r="R673" i="1" s="1"/>
  <c r="Y805" i="1"/>
  <c r="Y1548" i="1"/>
  <c r="X957" i="1"/>
  <c r="Y957" i="1"/>
  <c r="X505" i="1"/>
  <c r="P505" i="1" s="1"/>
  <c r="Q505" i="1" s="1"/>
  <c r="R505" i="1" s="1"/>
  <c r="X2080" i="1"/>
  <c r="X1783" i="1"/>
  <c r="Y1783" i="1"/>
  <c r="X628" i="1"/>
  <c r="X233" i="1"/>
  <c r="P233" i="1" s="1"/>
  <c r="Q233" i="1" s="1"/>
  <c r="R233" i="1" s="1"/>
  <c r="X886" i="1"/>
  <c r="Y886" i="1"/>
  <c r="X1303" i="1"/>
  <c r="Y1303" i="1"/>
  <c r="X1212" i="1"/>
  <c r="Y1212" i="1"/>
  <c r="X1886" i="1"/>
  <c r="Y1886" i="1"/>
  <c r="X1054" i="1"/>
  <c r="Y1054" i="1"/>
  <c r="X1005" i="1"/>
  <c r="Y1005" i="1"/>
  <c r="X312" i="1"/>
  <c r="P312" i="1" s="1"/>
  <c r="Q312" i="1" s="1"/>
  <c r="R312" i="1" s="1"/>
  <c r="Y312" i="1"/>
  <c r="X1254" i="1"/>
  <c r="Y1254" i="1"/>
  <c r="X1809" i="1"/>
  <c r="Y1809" i="1"/>
  <c r="Y25" i="1"/>
  <c r="Y1464" i="1"/>
  <c r="Y282" i="1"/>
  <c r="Y930" i="1"/>
  <c r="Y1140" i="1"/>
  <c r="Y1595" i="1"/>
  <c r="Y635" i="1"/>
  <c r="Y1410" i="1"/>
  <c r="Y1831" i="1"/>
  <c r="Y825" i="1"/>
  <c r="Y403" i="1"/>
  <c r="Y982" i="1"/>
  <c r="Y628" i="1"/>
  <c r="Y390" i="1"/>
  <c r="Y1427" i="1"/>
  <c r="X1143" i="1"/>
  <c r="P1143" i="1" s="1"/>
  <c r="Q1143" i="1" s="1"/>
  <c r="R1143" i="1" s="1"/>
  <c r="Y452" i="1"/>
  <c r="Y617" i="1"/>
  <c r="Y1311" i="1"/>
  <c r="X1994" i="1"/>
  <c r="X445" i="1"/>
  <c r="Y445" i="1"/>
  <c r="X808" i="1"/>
  <c r="Y808" i="1"/>
  <c r="Y894" i="1"/>
  <c r="Y1483" i="1"/>
  <c r="Y870" i="1"/>
  <c r="Y749" i="1"/>
  <c r="Y1210" i="1"/>
  <c r="Y2080" i="1"/>
  <c r="Y1957" i="1"/>
  <c r="X92" i="1"/>
  <c r="P92" i="1" s="1"/>
  <c r="Q92" i="1" s="1"/>
  <c r="R92" i="1" s="1"/>
  <c r="X1261" i="1"/>
  <c r="X101" i="1"/>
  <c r="Y101" i="1"/>
  <c r="X1690" i="1"/>
  <c r="Y709" i="1"/>
  <c r="X916" i="1"/>
  <c r="Y916" i="1"/>
  <c r="X1944" i="1"/>
  <c r="P1944" i="1" s="1"/>
  <c r="Q1944" i="1" s="1"/>
  <c r="R1944" i="1" s="1"/>
  <c r="X1361" i="1"/>
  <c r="Y1361" i="1"/>
  <c r="X62" i="1"/>
  <c r="P62" i="1" s="1"/>
  <c r="Q62" i="1" s="1"/>
  <c r="R62" i="1" s="1"/>
  <c r="X1520" i="1"/>
  <c r="Y1520" i="1"/>
  <c r="X1082" i="1"/>
  <c r="P1082" i="1" s="1"/>
  <c r="Q1082" i="1" s="1"/>
  <c r="R1082" i="1" s="1"/>
  <c r="X1892" i="1"/>
  <c r="P1892" i="1" s="1"/>
  <c r="Q1892" i="1" s="1"/>
  <c r="R1892" i="1" s="1"/>
  <c r="X522" i="1"/>
  <c r="P522" i="1" s="1"/>
  <c r="Q522" i="1" s="1"/>
  <c r="R522" i="1" s="1"/>
  <c r="Y1341" i="1"/>
  <c r="X29" i="1"/>
  <c r="P29" i="1" s="1"/>
  <c r="Q29" i="1" s="1"/>
  <c r="R29" i="1" s="1"/>
  <c r="Y29" i="1"/>
  <c r="X1030" i="1"/>
  <c r="Y1030" i="1"/>
  <c r="X1976" i="1"/>
  <c r="P1976" i="1" s="1"/>
  <c r="Q1976" i="1" s="1"/>
  <c r="R1976" i="1" s="1"/>
  <c r="X1672" i="1"/>
  <c r="Y1672" i="1"/>
  <c r="X447" i="1"/>
  <c r="Y447" i="1"/>
  <c r="X1754" i="1"/>
  <c r="Y1754" i="1"/>
  <c r="X1988" i="1"/>
  <c r="Y1988" i="1"/>
  <c r="X1806" i="1"/>
  <c r="Y1806" i="1"/>
  <c r="X999" i="1"/>
  <c r="Y999" i="1"/>
  <c r="X1286" i="1"/>
  <c r="Y1286" i="1"/>
  <c r="X1510" i="1"/>
  <c r="Y1510" i="1"/>
  <c r="X2061" i="1"/>
  <c r="P2061" i="1" s="1"/>
  <c r="Q2061" i="1" s="1"/>
  <c r="R2061" i="1" s="1"/>
  <c r="X981" i="1"/>
  <c r="Y981" i="1"/>
  <c r="X1776" i="1"/>
  <c r="P1776" i="1" s="1"/>
  <c r="Q1776" i="1" s="1"/>
  <c r="R1776" i="1" s="1"/>
  <c r="X230" i="1"/>
  <c r="Y230" i="1"/>
  <c r="X1604" i="1"/>
  <c r="Y1604" i="1"/>
  <c r="X436" i="1"/>
  <c r="Y436" i="1"/>
  <c r="X1270" i="1"/>
  <c r="Y1270" i="1"/>
  <c r="X1347" i="1"/>
  <c r="Y1347" i="1"/>
  <c r="X723" i="1"/>
  <c r="X378" i="1"/>
  <c r="P378" i="1" s="1"/>
  <c r="Q378" i="1" s="1"/>
  <c r="R378" i="1" s="1"/>
  <c r="Y378" i="1"/>
  <c r="X365" i="1"/>
  <c r="Y365" i="1"/>
  <c r="Y1572" i="1"/>
  <c r="Y63" i="1"/>
  <c r="Y38" i="1"/>
  <c r="Y2000" i="1"/>
  <c r="Y655" i="1"/>
  <c r="Y685" i="1"/>
  <c r="Y966" i="1"/>
  <c r="Y84" i="1"/>
  <c r="Y1176" i="1"/>
  <c r="Y1541" i="1"/>
  <c r="Y33" i="1"/>
  <c r="Y1781" i="1"/>
  <c r="Y1707" i="1"/>
  <c r="Y1018" i="1"/>
  <c r="Y1381" i="1"/>
  <c r="X938" i="1"/>
  <c r="P938" i="1" s="1"/>
  <c r="Q938" i="1" s="1"/>
  <c r="R938" i="1" s="1"/>
  <c r="Y1623" i="1"/>
  <c r="Y206" i="1"/>
  <c r="Y402" i="1"/>
  <c r="X741" i="1"/>
  <c r="P741" i="1" s="1"/>
  <c r="Q741" i="1" s="1"/>
  <c r="R741" i="1" s="1"/>
  <c r="X602" i="1"/>
  <c r="Y602" i="1"/>
  <c r="X1168" i="1"/>
  <c r="P1168" i="1" s="1"/>
  <c r="Q1168" i="1" s="1"/>
  <c r="R1168" i="1" s="1"/>
  <c r="X1876" i="1"/>
  <c r="X5" i="1"/>
  <c r="P5" i="1" s="1"/>
  <c r="Q5" i="1" s="1"/>
  <c r="R5" i="1" s="1"/>
  <c r="Y5" i="1"/>
  <c r="X1497" i="1"/>
  <c r="Y1497" i="1"/>
  <c r="X479" i="1"/>
  <c r="P479" i="1" s="1"/>
  <c r="Q479" i="1" s="1"/>
  <c r="R479" i="1" s="1"/>
  <c r="Y92" i="1"/>
  <c r="X1065" i="1"/>
  <c r="P1065" i="1" s="1"/>
  <c r="Q1065" i="1" s="1"/>
  <c r="R1065" i="1" s="1"/>
  <c r="Y1261" i="1"/>
  <c r="Y1690" i="1"/>
  <c r="Y1994" i="1"/>
  <c r="X366" i="1"/>
  <c r="P366" i="1" s="1"/>
  <c r="Q366" i="1" s="1"/>
  <c r="R366" i="1" s="1"/>
  <c r="Y366" i="1"/>
  <c r="X581" i="1"/>
  <c r="P581" i="1" s="1"/>
  <c r="Q581" i="1" s="1"/>
  <c r="R581" i="1" s="1"/>
  <c r="X885" i="1"/>
  <c r="X2070" i="1"/>
  <c r="X783" i="1"/>
  <c r="X1253" i="1"/>
  <c r="X645" i="1"/>
  <c r="Y645" i="1"/>
  <c r="X713" i="1"/>
  <c r="Y713" i="1"/>
  <c r="X1375" i="1"/>
  <c r="Y1375" i="1"/>
  <c r="X2102" i="1"/>
  <c r="Y2102" i="1"/>
  <c r="X1015" i="1"/>
  <c r="X611" i="1"/>
  <c r="X850" i="1"/>
  <c r="X1568" i="1"/>
  <c r="X213" i="1"/>
  <c r="Y213" i="1"/>
  <c r="X319" i="1"/>
  <c r="Y319" i="1"/>
  <c r="X1527" i="1"/>
  <c r="Y1527" i="1"/>
  <c r="X1609" i="1"/>
  <c r="X1521" i="1"/>
  <c r="Y1521" i="1"/>
  <c r="X1009" i="1"/>
  <c r="P1009" i="1" s="1"/>
  <c r="Q1009" i="1" s="1"/>
  <c r="R1009" i="1" s="1"/>
  <c r="X620" i="1"/>
  <c r="Y1747" i="1"/>
  <c r="Y1161" i="1"/>
  <c r="Y723" i="1"/>
  <c r="Y1876" i="1"/>
  <c r="X511" i="1"/>
  <c r="P511" i="1" s="1"/>
  <c r="Q511" i="1" s="1"/>
  <c r="R511" i="1" s="1"/>
  <c r="X826" i="1"/>
  <c r="P826" i="1" s="1"/>
  <c r="Q826" i="1" s="1"/>
  <c r="R826" i="1" s="1"/>
  <c r="X1532" i="1"/>
  <c r="P1532" i="1" s="1"/>
  <c r="Q1532" i="1" s="1"/>
  <c r="R1532" i="1" s="1"/>
  <c r="X1686" i="1"/>
  <c r="P1686" i="1" s="1"/>
  <c r="Q1686" i="1" s="1"/>
  <c r="R1686" i="1" s="1"/>
  <c r="X400" i="1"/>
  <c r="P400" i="1" s="1"/>
  <c r="Q400" i="1" s="1"/>
  <c r="R400" i="1" s="1"/>
  <c r="X208" i="1"/>
  <c r="Y208" i="1"/>
  <c r="X2062" i="1"/>
  <c r="P2062" i="1" s="1"/>
  <c r="Q2062" i="1" s="1"/>
  <c r="R2062" i="1" s="1"/>
  <c r="X399" i="1"/>
  <c r="Y399" i="1"/>
  <c r="X269" i="1"/>
  <c r="P269" i="1" s="1"/>
  <c r="Q269" i="1" s="1"/>
  <c r="R269" i="1" s="1"/>
  <c r="X1583" i="1"/>
  <c r="Y1628" i="1"/>
  <c r="Y1736" i="1"/>
  <c r="X610" i="1"/>
  <c r="Y610" i="1"/>
  <c r="X210" i="1"/>
  <c r="P210" i="1" s="1"/>
  <c r="Q210" i="1" s="1"/>
  <c r="R210" i="1" s="1"/>
  <c r="X1282" i="1"/>
  <c r="Y1282" i="1"/>
  <c r="X1630" i="1"/>
  <c r="Y1630" i="1"/>
  <c r="X1522" i="1"/>
  <c r="X776" i="1"/>
  <c r="P776" i="1" s="1"/>
  <c r="Q776" i="1" s="1"/>
  <c r="R776" i="1" s="1"/>
  <c r="Y776" i="1"/>
  <c r="Y744" i="1"/>
  <c r="X744" i="1"/>
  <c r="Y521" i="1"/>
  <c r="Y469" i="1"/>
  <c r="Y309" i="1"/>
  <c r="Y1244" i="1"/>
  <c r="Y1462" i="1"/>
  <c r="X228" i="1"/>
  <c r="P228" i="1" s="1"/>
  <c r="Q228" i="1" s="1"/>
  <c r="R228" i="1" s="1"/>
  <c r="X582" i="1"/>
  <c r="Y582" i="1"/>
  <c r="X491" i="1"/>
  <c r="Y491" i="1"/>
  <c r="X1652" i="1"/>
  <c r="P1652" i="1" s="1"/>
  <c r="Q1652" i="1" s="1"/>
  <c r="R1652" i="1" s="1"/>
  <c r="X1787" i="1"/>
  <c r="Y1787" i="1"/>
  <c r="X376" i="1"/>
  <c r="P376" i="1" s="1"/>
  <c r="Q376" i="1" s="1"/>
  <c r="R376" i="1" s="1"/>
  <c r="X1150" i="1"/>
  <c r="P1150" i="1" s="1"/>
  <c r="Q1150" i="1" s="1"/>
  <c r="R1150" i="1" s="1"/>
  <c r="Y1150" i="1"/>
  <c r="X1799" i="1"/>
  <c r="Y1186" i="1"/>
  <c r="Y81" i="1"/>
  <c r="Y1625" i="1"/>
  <c r="Y885" i="1"/>
  <c r="Y62" i="1"/>
  <c r="Y2070" i="1"/>
  <c r="Y783" i="1"/>
  <c r="Y1253" i="1"/>
  <c r="X1642" i="1"/>
  <c r="Y1642" i="1"/>
  <c r="X679" i="1"/>
  <c r="P679" i="1" s="1"/>
  <c r="Q679" i="1" s="1"/>
  <c r="R679" i="1" s="1"/>
  <c r="X1791" i="1"/>
  <c r="P1791" i="1" s="1"/>
  <c r="Q1791" i="1" s="1"/>
  <c r="R1791" i="1" s="1"/>
  <c r="X1170" i="1"/>
  <c r="Y1170" i="1"/>
  <c r="X73" i="1"/>
  <c r="P73" i="1" s="1"/>
  <c r="Q73" i="1" s="1"/>
  <c r="R73" i="1" s="1"/>
  <c r="Y73" i="1"/>
  <c r="X1269" i="1"/>
  <c r="Y1269" i="1"/>
  <c r="Y1015" i="1"/>
  <c r="Y611" i="1"/>
  <c r="Y850" i="1"/>
  <c r="Y1568" i="1"/>
  <c r="X1192" i="1"/>
  <c r="P1192" i="1" s="1"/>
  <c r="Q1192" i="1" s="1"/>
  <c r="R1192" i="1" s="1"/>
  <c r="X705" i="1"/>
  <c r="P705" i="1" s="1"/>
  <c r="Q705" i="1" s="1"/>
  <c r="R705" i="1" s="1"/>
  <c r="X58" i="1"/>
  <c r="P58" i="1" s="1"/>
  <c r="Q58" i="1" s="1"/>
  <c r="R58" i="1" s="1"/>
  <c r="X964" i="1"/>
  <c r="P964" i="1" s="1"/>
  <c r="Q964" i="1" s="1"/>
  <c r="R964" i="1" s="1"/>
  <c r="X2009" i="1"/>
  <c r="P2009" i="1" s="1"/>
  <c r="Q2009" i="1" s="1"/>
  <c r="R2009" i="1" s="1"/>
  <c r="X1307" i="1"/>
  <c r="Y1307" i="1"/>
  <c r="X334" i="1"/>
  <c r="Y334" i="1"/>
  <c r="X940" i="1"/>
  <c r="X669" i="1"/>
  <c r="P669" i="1" s="1"/>
  <c r="Q669" i="1" s="1"/>
  <c r="R669" i="1" s="1"/>
  <c r="X1276" i="1"/>
  <c r="X1911" i="1"/>
  <c r="P1911" i="1" s="1"/>
  <c r="Q1911" i="1" s="1"/>
  <c r="R1911" i="1" s="1"/>
  <c r="X1240" i="1"/>
  <c r="P1240" i="1" s="1"/>
  <c r="Q1240" i="1" s="1"/>
  <c r="R1240" i="1" s="1"/>
  <c r="X1936" i="1"/>
  <c r="P1936" i="1" s="1"/>
  <c r="Q1936" i="1" s="1"/>
  <c r="R1936" i="1" s="1"/>
  <c r="X55" i="1"/>
  <c r="P55" i="1" s="1"/>
  <c r="Q55" i="1" s="1"/>
  <c r="R55" i="1" s="1"/>
  <c r="X1287" i="1"/>
  <c r="P1287" i="1" s="1"/>
  <c r="Q1287" i="1" s="1"/>
  <c r="R1287" i="1" s="1"/>
  <c r="X1687" i="1"/>
  <c r="P1687" i="1" s="1"/>
  <c r="Q1687" i="1" s="1"/>
  <c r="R1687" i="1" s="1"/>
  <c r="X1981" i="1"/>
  <c r="Y1981" i="1"/>
  <c r="X1574" i="1"/>
  <c r="Y1574" i="1"/>
  <c r="X1047" i="1"/>
  <c r="P1047" i="1" s="1"/>
  <c r="Q1047" i="1" s="1"/>
  <c r="R1047" i="1" s="1"/>
  <c r="X1238" i="1"/>
  <c r="P1238" i="1" s="1"/>
  <c r="Q1238" i="1" s="1"/>
  <c r="R1238" i="1" s="1"/>
  <c r="X278" i="1"/>
  <c r="P278" i="1" s="1"/>
  <c r="Q278" i="1" s="1"/>
  <c r="R278" i="1" s="1"/>
  <c r="X849" i="1"/>
  <c r="P849" i="1" s="1"/>
  <c r="Q849" i="1" s="1"/>
  <c r="R849" i="1" s="1"/>
  <c r="X2011" i="1"/>
  <c r="P2011" i="1" s="1"/>
  <c r="Q2011" i="1" s="1"/>
  <c r="R2011" i="1" s="1"/>
  <c r="X683" i="1"/>
  <c r="P683" i="1" s="1"/>
  <c r="Q683" i="1" s="1"/>
  <c r="R683" i="1" s="1"/>
  <c r="X1409" i="1"/>
  <c r="P1409" i="1" s="1"/>
  <c r="Q1409" i="1" s="1"/>
  <c r="R1409" i="1" s="1"/>
  <c r="X928" i="1"/>
  <c r="P928" i="1" s="1"/>
  <c r="Q928" i="1" s="1"/>
  <c r="R928" i="1" s="1"/>
  <c r="X1383" i="1"/>
  <c r="X65" i="1"/>
  <c r="P65" i="1" s="1"/>
  <c r="Q65" i="1" s="1"/>
  <c r="R65" i="1" s="1"/>
  <c r="Y620" i="1"/>
  <c r="X1141" i="1"/>
  <c r="X1869" i="1"/>
  <c r="P1869" i="1" s="1"/>
  <c r="Q1869" i="1" s="1"/>
  <c r="R1869" i="1" s="1"/>
  <c r="X1786" i="1"/>
  <c r="P1786" i="1" s="1"/>
  <c r="Q1786" i="1" s="1"/>
  <c r="R1786" i="1" s="1"/>
  <c r="X1204" i="1"/>
  <c r="Y1204" i="1"/>
  <c r="X1774" i="1"/>
  <c r="P1774" i="1" s="1"/>
  <c r="Q1774" i="1" s="1"/>
  <c r="R1774" i="1" s="1"/>
  <c r="X151" i="1"/>
  <c r="P151" i="1" s="1"/>
  <c r="Q151" i="1" s="1"/>
  <c r="R151" i="1" s="1"/>
  <c r="Y151" i="1"/>
  <c r="X1184" i="1"/>
  <c r="Y1184" i="1"/>
  <c r="X1498" i="1"/>
  <c r="Y1498" i="1"/>
  <c r="X1525" i="1"/>
  <c r="Y1525" i="1"/>
  <c r="X1581" i="1"/>
  <c r="Y1581" i="1"/>
  <c r="X926" i="1"/>
  <c r="P926" i="1" s="1"/>
  <c r="Q926" i="1" s="1"/>
  <c r="R926" i="1" s="1"/>
  <c r="Y1395" i="1"/>
  <c r="X435" i="1"/>
  <c r="P435" i="1" s="1"/>
  <c r="Q435" i="1" s="1"/>
  <c r="R435" i="1" s="1"/>
  <c r="X1203" i="1"/>
  <c r="P1203" i="1" s="1"/>
  <c r="Q1203" i="1" s="1"/>
  <c r="R1203" i="1" s="1"/>
  <c r="X1487" i="1"/>
  <c r="P1487" i="1" s="1"/>
  <c r="Q1487" i="1" s="1"/>
  <c r="R1487" i="1" s="1"/>
  <c r="X631" i="1"/>
  <c r="P631" i="1" s="1"/>
  <c r="Q631" i="1" s="1"/>
  <c r="R631" i="1" s="1"/>
  <c r="X974" i="1"/>
  <c r="P974" i="1" s="1"/>
  <c r="Q974" i="1" s="1"/>
  <c r="R974" i="1" s="1"/>
  <c r="X1849" i="1"/>
  <c r="P1849" i="1" s="1"/>
  <c r="Q1849" i="1" s="1"/>
  <c r="R1849" i="1" s="1"/>
  <c r="X492" i="1"/>
  <c r="P492" i="1" s="1"/>
  <c r="Q492" i="1" s="1"/>
  <c r="R492" i="1" s="1"/>
  <c r="X313" i="1"/>
  <c r="Y313" i="1"/>
  <c r="X740" i="1"/>
  <c r="P740" i="1" s="1"/>
  <c r="Q740" i="1" s="1"/>
  <c r="R740" i="1" s="1"/>
  <c r="X1275" i="1"/>
  <c r="P1275" i="1" s="1"/>
  <c r="Q1275" i="1" s="1"/>
  <c r="R1275" i="1" s="1"/>
  <c r="X625" i="1"/>
  <c r="P625" i="1" s="1"/>
  <c r="Q625" i="1" s="1"/>
  <c r="R625" i="1" s="1"/>
  <c r="X1605" i="1"/>
  <c r="Y1605" i="1"/>
  <c r="X1644" i="1"/>
  <c r="P1644" i="1" s="1"/>
  <c r="Q1644" i="1" s="1"/>
  <c r="R1644" i="1" s="1"/>
  <c r="X1704" i="1"/>
  <c r="P1704" i="1" s="1"/>
  <c r="Q1704" i="1" s="1"/>
  <c r="R1704" i="1" s="1"/>
  <c r="X1061" i="1"/>
  <c r="P1061" i="1" s="1"/>
  <c r="Q1061" i="1" s="1"/>
  <c r="R1061" i="1" s="1"/>
  <c r="X821" i="1"/>
  <c r="P821" i="1" s="1"/>
  <c r="Q821" i="1" s="1"/>
  <c r="R821" i="1" s="1"/>
  <c r="Y821" i="1"/>
  <c r="X1618" i="1"/>
  <c r="Y1618" i="1"/>
  <c r="X898" i="1"/>
  <c r="Y898" i="1"/>
  <c r="X263" i="1"/>
  <c r="Y263" i="1"/>
  <c r="X1463" i="1"/>
  <c r="P1463" i="1" s="1"/>
  <c r="Q1463" i="1" s="1"/>
  <c r="R1463" i="1" s="1"/>
  <c r="X1374" i="1"/>
  <c r="Y1374" i="1"/>
  <c r="X1613" i="1"/>
  <c r="X1757" i="1"/>
  <c r="X1563" i="1"/>
  <c r="Y940" i="1"/>
  <c r="Y1609" i="1"/>
  <c r="Y1522" i="1"/>
  <c r="Y1276" i="1"/>
  <c r="Y1009" i="1"/>
  <c r="Y1799" i="1"/>
  <c r="Y1857" i="1"/>
  <c r="Y1583" i="1"/>
  <c r="Y1540" i="1"/>
  <c r="X1985" i="1"/>
  <c r="Y1985" i="1"/>
  <c r="X224" i="1"/>
  <c r="P224" i="1" s="1"/>
  <c r="Q224" i="1" s="1"/>
  <c r="R224" i="1" s="1"/>
  <c r="X1545" i="1"/>
  <c r="Y1545" i="1"/>
  <c r="Y928" i="1"/>
  <c r="X48" i="1"/>
  <c r="P48" i="1" s="1"/>
  <c r="Q48" i="1" s="1"/>
  <c r="R48" i="1" s="1"/>
  <c r="Y48" i="1"/>
  <c r="X1823" i="1"/>
  <c r="Y1823" i="1"/>
  <c r="Y1141" i="1"/>
  <c r="Y1649" i="1"/>
  <c r="Y1061" i="1"/>
  <c r="Y1383" i="1"/>
  <c r="Y1075" i="1"/>
  <c r="Y1536" i="1"/>
  <c r="Y1910" i="1"/>
  <c r="Y1205" i="1"/>
  <c r="Y178" i="1"/>
  <c r="Y1785" i="1"/>
  <c r="Y368" i="1"/>
  <c r="Y2082" i="1"/>
  <c r="Y1284" i="1"/>
  <c r="Y1174" i="1"/>
  <c r="Y1615" i="1"/>
  <c r="Y1071" i="1"/>
  <c r="Y1890" i="1"/>
  <c r="Y1982" i="1"/>
  <c r="Y1802" i="1"/>
  <c r="Y1433" i="1"/>
  <c r="Y1499" i="1"/>
  <c r="Y1648" i="1"/>
  <c r="Y344" i="1"/>
  <c r="Y1717" i="1"/>
  <c r="Y1486" i="1"/>
  <c r="Y600" i="1"/>
  <c r="Y238" i="1"/>
  <c r="Y1856" i="1"/>
  <c r="Y194" i="1"/>
  <c r="Y1893" i="1"/>
  <c r="Y2" i="1"/>
  <c r="Y1539" i="1"/>
  <c r="Y1613" i="1"/>
  <c r="Y1757" i="1"/>
  <c r="Y901" i="1"/>
  <c r="Y1068" i="1"/>
  <c r="Y778" i="1"/>
  <c r="Y1671" i="1"/>
  <c r="Y1563" i="1"/>
  <c r="I976" i="6"/>
  <c r="J976" i="6"/>
  <c r="A1213" i="1"/>
  <c r="C1213" i="1"/>
  <c r="B1213" i="1" s="1"/>
  <c r="A463" i="1"/>
  <c r="A1360" i="1"/>
  <c r="C463" i="1"/>
  <c r="B463" i="1" s="1"/>
  <c r="C1360" i="1"/>
  <c r="B1360" i="1" s="1"/>
  <c r="A464" i="1"/>
  <c r="C464" i="1"/>
  <c r="B464" i="1" s="1"/>
  <c r="A662" i="1"/>
  <c r="C662" i="1"/>
  <c r="B662" i="1" s="1"/>
  <c r="A1975" i="1"/>
  <c r="C1975" i="1"/>
  <c r="B1975" i="1" s="1"/>
  <c r="A796" i="1"/>
  <c r="C796" i="1"/>
  <c r="B796" i="1" s="1"/>
  <c r="A1423" i="1"/>
  <c r="C1423" i="1"/>
  <c r="B1423" i="1" s="1"/>
  <c r="A112" i="1"/>
  <c r="C112" i="1"/>
  <c r="B112" i="1" s="1"/>
  <c r="AE15" i="16"/>
  <c r="A18" i="1"/>
  <c r="C18" i="1"/>
  <c r="B18" i="1" s="1"/>
  <c r="AD15" i="16"/>
  <c r="A991" i="1"/>
  <c r="C991" i="1"/>
  <c r="B991" i="1" s="1"/>
  <c r="M991" i="1"/>
  <c r="O991" i="1"/>
  <c r="T991" i="1"/>
  <c r="K255" i="1"/>
  <c r="A255" i="1"/>
  <c r="C255" i="1"/>
  <c r="B255" i="1" s="1"/>
  <c r="T255" i="1"/>
  <c r="A812" i="1"/>
  <c r="C812" i="1"/>
  <c r="B812" i="1" s="1"/>
  <c r="T812" i="1"/>
  <c r="A298" i="1"/>
  <c r="C298" i="1"/>
  <c r="B298" i="1" s="1"/>
  <c r="T298" i="1"/>
  <c r="A1051" i="1"/>
  <c r="C1051" i="1"/>
  <c r="B1051" i="1" s="1"/>
  <c r="T1051" i="1"/>
  <c r="S1051" i="1"/>
  <c r="K272" i="1"/>
  <c r="A272" i="1"/>
  <c r="C272" i="1"/>
  <c r="B272" i="1" s="1"/>
  <c r="T272" i="1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K10" i="16"/>
  <c r="J10" i="16"/>
  <c r="I10" i="16"/>
  <c r="H10" i="16"/>
  <c r="G10" i="16"/>
  <c r="F10" i="16"/>
  <c r="E10" i="16"/>
  <c r="D10" i="16"/>
  <c r="C10" i="16"/>
  <c r="B10" i="16"/>
  <c r="M5" i="16"/>
  <c r="L5" i="16"/>
  <c r="K5" i="16"/>
  <c r="J5" i="16"/>
  <c r="I5" i="16"/>
  <c r="H5" i="16"/>
  <c r="G5" i="16"/>
  <c r="F5" i="16"/>
  <c r="E5" i="16"/>
  <c r="D5" i="16"/>
  <c r="C5" i="16"/>
  <c r="B5" i="16"/>
  <c r="C27" i="104"/>
  <c r="C25" i="104"/>
  <c r="C24" i="104"/>
  <c r="C22" i="104"/>
  <c r="C23" i="104"/>
  <c r="C21" i="104"/>
  <c r="C20" i="104"/>
  <c r="C19" i="104"/>
  <c r="C18" i="104"/>
  <c r="C17" i="104"/>
  <c r="C16" i="104"/>
  <c r="C15" i="104"/>
  <c r="C14" i="104"/>
  <c r="C13" i="104"/>
  <c r="C12" i="104"/>
  <c r="C11" i="104"/>
  <c r="C10" i="104"/>
  <c r="C9" i="104"/>
  <c r="C8" i="104"/>
  <c r="C7" i="104"/>
  <c r="C6" i="104"/>
  <c r="C5" i="104"/>
  <c r="C4" i="104"/>
  <c r="C3" i="104"/>
  <c r="C2" i="104"/>
  <c r="AB28" i="16"/>
  <c r="Z28" i="16"/>
  <c r="Y28" i="16"/>
  <c r="AB22" i="16"/>
  <c r="AA22" i="16"/>
  <c r="Z22" i="16"/>
  <c r="Y22" i="16"/>
  <c r="X22" i="16"/>
  <c r="W22" i="16"/>
  <c r="V22" i="16"/>
  <c r="U22" i="16"/>
  <c r="U13" i="16" s="1"/>
  <c r="T22" i="16"/>
  <c r="T13" i="16" s="1"/>
  <c r="S22" i="16"/>
  <c r="S13" i="16" s="1"/>
  <c r="R22" i="16"/>
  <c r="R13" i="16" s="1"/>
  <c r="Q22" i="16"/>
  <c r="Q13" i="16" s="1"/>
  <c r="P22" i="16"/>
  <c r="P13" i="16" s="1"/>
  <c r="O22" i="16"/>
  <c r="O13" i="16" s="1"/>
  <c r="N22" i="16"/>
  <c r="N13" i="16" s="1"/>
  <c r="AB20" i="16"/>
  <c r="AA20" i="16"/>
  <c r="Z20" i="16"/>
  <c r="Y20" i="16"/>
  <c r="X20" i="16"/>
  <c r="W20" i="16"/>
  <c r="V20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I893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34" i="6"/>
  <c r="I935" i="6"/>
  <c r="I928" i="6"/>
  <c r="I932" i="6"/>
  <c r="I933" i="6"/>
  <c r="I929" i="6"/>
  <c r="I931" i="6"/>
  <c r="I930" i="6"/>
  <c r="I936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37" i="6"/>
  <c r="I938" i="6"/>
  <c r="I951" i="6"/>
  <c r="I953" i="6"/>
  <c r="I952" i="6"/>
  <c r="I954" i="6"/>
  <c r="I955" i="6"/>
  <c r="I956" i="6"/>
  <c r="I957" i="6"/>
  <c r="I958" i="6"/>
  <c r="I959" i="6"/>
  <c r="I960" i="6"/>
  <c r="I961" i="6"/>
  <c r="I962" i="6"/>
  <c r="I970" i="6"/>
  <c r="I963" i="6"/>
  <c r="I967" i="6"/>
  <c r="I968" i="6"/>
  <c r="I964" i="6"/>
  <c r="I966" i="6"/>
  <c r="I965" i="6"/>
  <c r="I969" i="6"/>
  <c r="I975" i="6"/>
  <c r="I971" i="6"/>
  <c r="I974" i="6"/>
  <c r="I973" i="6"/>
  <c r="I972" i="6"/>
  <c r="I977" i="6"/>
  <c r="I978" i="6"/>
  <c r="I979" i="6"/>
  <c r="I980" i="6"/>
  <c r="I989" i="6"/>
  <c r="I990" i="6"/>
  <c r="I991" i="6"/>
  <c r="I992" i="6"/>
  <c r="I993" i="6"/>
  <c r="I995" i="6"/>
  <c r="I996" i="6"/>
  <c r="I997" i="6"/>
  <c r="J893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34" i="6"/>
  <c r="J935" i="6"/>
  <c r="J928" i="6"/>
  <c r="J932" i="6"/>
  <c r="J933" i="6"/>
  <c r="J929" i="6"/>
  <c r="J931" i="6"/>
  <c r="J930" i="6"/>
  <c r="J936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37" i="6"/>
  <c r="J938" i="6"/>
  <c r="J951" i="6"/>
  <c r="J953" i="6"/>
  <c r="J952" i="6"/>
  <c r="J954" i="6"/>
  <c r="J955" i="6"/>
  <c r="J956" i="6"/>
  <c r="J957" i="6"/>
  <c r="J958" i="6"/>
  <c r="J959" i="6"/>
  <c r="J960" i="6"/>
  <c r="J961" i="6"/>
  <c r="J962" i="6"/>
  <c r="J970" i="6"/>
  <c r="J963" i="6"/>
  <c r="J967" i="6"/>
  <c r="J968" i="6"/>
  <c r="J964" i="6"/>
  <c r="J966" i="6"/>
  <c r="J965" i="6"/>
  <c r="J969" i="6"/>
  <c r="J975" i="6"/>
  <c r="J971" i="6"/>
  <c r="J974" i="6"/>
  <c r="J973" i="6"/>
  <c r="J972" i="6"/>
  <c r="J977" i="6"/>
  <c r="J978" i="6"/>
  <c r="J979" i="6"/>
  <c r="J980" i="6"/>
  <c r="J989" i="6"/>
  <c r="J990" i="6"/>
  <c r="J991" i="6"/>
  <c r="J992" i="6"/>
  <c r="J993" i="6"/>
  <c r="J995" i="6"/>
  <c r="J996" i="6"/>
  <c r="J997" i="6"/>
  <c r="B27" i="104"/>
  <c r="A27" i="104"/>
  <c r="B25" i="104"/>
  <c r="A25" i="104"/>
  <c r="B24" i="104"/>
  <c r="A24" i="104"/>
  <c r="B22" i="104"/>
  <c r="A22" i="104"/>
  <c r="B23" i="104"/>
  <c r="A23" i="104"/>
  <c r="B21" i="104"/>
  <c r="A21" i="104"/>
  <c r="I20" i="104"/>
  <c r="B20" i="104"/>
  <c r="A20" i="104"/>
  <c r="H19" i="104"/>
  <c r="B19" i="104"/>
  <c r="A19" i="104"/>
  <c r="H18" i="104"/>
  <c r="I18" i="104" s="1"/>
  <c r="B18" i="104"/>
  <c r="A18" i="104"/>
  <c r="H17" i="104"/>
  <c r="I17" i="104" s="1"/>
  <c r="B17" i="104"/>
  <c r="A17" i="104"/>
  <c r="H16" i="104"/>
  <c r="I16" i="104" s="1"/>
  <c r="B16" i="104"/>
  <c r="A16" i="104"/>
  <c r="I15" i="104"/>
  <c r="B15" i="104"/>
  <c r="A15" i="104"/>
  <c r="H14" i="104"/>
  <c r="B14" i="104"/>
  <c r="A14" i="104"/>
  <c r="H13" i="104"/>
  <c r="B13" i="104"/>
  <c r="A13" i="104"/>
  <c r="H12" i="104"/>
  <c r="B12" i="104"/>
  <c r="A12" i="104"/>
  <c r="H11" i="104"/>
  <c r="B11" i="104"/>
  <c r="A11" i="104"/>
  <c r="H10" i="104"/>
  <c r="B10" i="104"/>
  <c r="A10" i="104"/>
  <c r="H9" i="104"/>
  <c r="B9" i="104"/>
  <c r="A9" i="104"/>
  <c r="H8" i="104"/>
  <c r="B8" i="104"/>
  <c r="A8" i="104"/>
  <c r="H7" i="104"/>
  <c r="B7" i="104"/>
  <c r="A7" i="104"/>
  <c r="H6" i="104"/>
  <c r="B6" i="104"/>
  <c r="A6" i="104"/>
  <c r="H5" i="104"/>
  <c r="B5" i="104"/>
  <c r="A5" i="104"/>
  <c r="H4" i="104"/>
  <c r="B4" i="104"/>
  <c r="A4" i="104"/>
  <c r="H3" i="104"/>
  <c r="B3" i="104"/>
  <c r="A3" i="104"/>
  <c r="H2" i="104"/>
  <c r="B2" i="104"/>
  <c r="A2" i="104"/>
  <c r="T1070" i="1"/>
  <c r="T1809" i="1"/>
  <c r="T1164" i="1"/>
  <c r="T1757" i="1"/>
  <c r="T1356" i="1"/>
  <c r="T1630" i="1"/>
  <c r="T757" i="1"/>
  <c r="T1569" i="1"/>
  <c r="T1553" i="1"/>
  <c r="T1762" i="1"/>
  <c r="T1181" i="1"/>
  <c r="T1963" i="1"/>
  <c r="T775" i="1"/>
  <c r="T1350" i="1"/>
  <c r="T274" i="1"/>
  <c r="T266" i="1"/>
  <c r="T795" i="1"/>
  <c r="T462" i="1"/>
  <c r="T321" i="1"/>
  <c r="T1432" i="1"/>
  <c r="T942" i="1"/>
  <c r="T234" i="1"/>
  <c r="T1914" i="1"/>
  <c r="T1898" i="1"/>
  <c r="T1232" i="1"/>
  <c r="T727" i="1"/>
  <c r="T436" i="1"/>
  <c r="T716" i="1"/>
  <c r="T386" i="1"/>
  <c r="T1215" i="1"/>
  <c r="T1008" i="1"/>
  <c r="T1854" i="1"/>
  <c r="T740" i="1"/>
  <c r="T1174" i="1"/>
  <c r="T1679" i="1"/>
  <c r="T1269" i="1"/>
  <c r="T1750" i="1"/>
  <c r="T1170" i="1"/>
  <c r="T1462" i="1"/>
  <c r="T1157" i="1"/>
  <c r="T1479" i="1"/>
  <c r="T1261" i="1"/>
  <c r="T1780" i="1"/>
  <c r="T1781" i="1"/>
  <c r="T1136" i="1"/>
  <c r="T214" i="1"/>
  <c r="T1548" i="1"/>
  <c r="T1610" i="1"/>
  <c r="T1755" i="1"/>
  <c r="T1148" i="1"/>
  <c r="T1603" i="1"/>
  <c r="T754" i="1"/>
  <c r="T1251" i="1"/>
  <c r="T1415" i="1"/>
  <c r="T911" i="1"/>
  <c r="T461" i="1"/>
  <c r="T912" i="1"/>
  <c r="T883" i="1"/>
  <c r="T339" i="1"/>
  <c r="T1291" i="1"/>
  <c r="T926" i="1"/>
  <c r="T1005" i="1"/>
  <c r="T744" i="1"/>
  <c r="T723" i="1"/>
  <c r="T933" i="1"/>
  <c r="T628" i="1"/>
  <c r="T724" i="1"/>
  <c r="T698" i="1"/>
  <c r="T1069" i="1"/>
  <c r="T793" i="1"/>
  <c r="T725" i="1"/>
  <c r="T254" i="1"/>
  <c r="T226" i="1"/>
  <c r="T465" i="1"/>
  <c r="T612" i="1"/>
  <c r="T1154" i="1"/>
  <c r="T1641" i="1"/>
  <c r="T1759" i="1"/>
  <c r="T1395" i="1"/>
  <c r="T1799" i="1"/>
  <c r="T1763" i="1"/>
  <c r="T1903" i="1"/>
  <c r="T1733" i="1"/>
  <c r="T1528" i="1"/>
  <c r="T1410" i="1"/>
  <c r="T2015" i="1"/>
  <c r="T1178" i="1"/>
  <c r="T1512" i="1"/>
  <c r="T1847" i="1"/>
  <c r="T1829" i="1"/>
  <c r="T810" i="1"/>
  <c r="T1997" i="1"/>
  <c r="T1305" i="1"/>
  <c r="T832" i="1"/>
  <c r="T1516" i="1"/>
  <c r="T107" i="1"/>
  <c r="T1937" i="1"/>
  <c r="T1449" i="1"/>
  <c r="T1908" i="1"/>
  <c r="T534" i="1"/>
  <c r="T1060" i="1"/>
  <c r="T756" i="1"/>
  <c r="T446" i="1"/>
  <c r="T224" i="1"/>
  <c r="T347" i="1"/>
  <c r="T385" i="1"/>
  <c r="T368" i="1"/>
  <c r="T1574" i="1"/>
  <c r="T444" i="1"/>
  <c r="T165" i="1"/>
  <c r="T296" i="1"/>
  <c r="T233" i="1"/>
  <c r="T235" i="1"/>
  <c r="T517" i="1"/>
  <c r="T533" i="1"/>
  <c r="T337" i="1"/>
  <c r="T297" i="1"/>
  <c r="T146" i="1"/>
  <c r="T377" i="1"/>
  <c r="T563" i="1"/>
  <c r="T1560" i="1"/>
  <c r="T175" i="1"/>
  <c r="T690" i="1"/>
  <c r="T286" i="1"/>
  <c r="T437" i="1"/>
  <c r="T863" i="1"/>
  <c r="T382" i="1"/>
  <c r="T232" i="1"/>
  <c r="T1740" i="1"/>
  <c r="T148" i="1"/>
  <c r="T159" i="1"/>
  <c r="T418" i="1"/>
  <c r="T372" i="1"/>
  <c r="T242" i="1"/>
  <c r="T650" i="1"/>
  <c r="T663" i="1"/>
  <c r="T1719" i="1"/>
  <c r="T166" i="1"/>
  <c r="T574" i="1"/>
  <c r="T160" i="1"/>
  <c r="T613" i="1"/>
  <c r="T218" i="1"/>
  <c r="T903" i="1"/>
  <c r="T882" i="1"/>
  <c r="T303" i="1"/>
  <c r="T1743" i="1"/>
  <c r="T265" i="1"/>
  <c r="T231" i="1"/>
  <c r="T501" i="1"/>
  <c r="T158" i="1"/>
  <c r="T1026" i="1"/>
  <c r="T844" i="1"/>
  <c r="T925" i="1"/>
  <c r="T1909" i="1"/>
  <c r="T127" i="1"/>
  <c r="T170" i="1"/>
  <c r="T381" i="1"/>
  <c r="T379" i="1"/>
  <c r="T1850" i="1"/>
  <c r="T535" i="1"/>
  <c r="T834" i="1"/>
  <c r="T826" i="1"/>
  <c r="T575" i="1"/>
  <c r="T1644" i="1"/>
  <c r="T1068" i="1"/>
  <c r="T1971" i="1"/>
  <c r="T2088" i="1"/>
  <c r="T1621" i="1"/>
  <c r="T913" i="1"/>
  <c r="T2010" i="1"/>
  <c r="T789" i="1"/>
  <c r="T2025" i="1"/>
  <c r="T56" i="1"/>
  <c r="T639" i="1"/>
  <c r="T1692" i="1"/>
  <c r="T676" i="1"/>
  <c r="T480" i="1"/>
  <c r="T590" i="1"/>
  <c r="T1807" i="1"/>
  <c r="T126" i="1"/>
  <c r="T1607" i="1"/>
  <c r="T63" i="1"/>
  <c r="T749" i="1"/>
  <c r="T543" i="1"/>
  <c r="T2102" i="1"/>
  <c r="T2" i="1"/>
  <c r="T12" i="1"/>
  <c r="T3" i="1"/>
  <c r="T818" i="1"/>
  <c r="T227" i="1"/>
  <c r="T1934" i="1"/>
  <c r="T898" i="1"/>
  <c r="T498" i="1"/>
  <c r="T1047" i="1"/>
  <c r="T1205" i="1"/>
  <c r="T610" i="1"/>
  <c r="T601" i="1"/>
  <c r="T611" i="1"/>
  <c r="T1066" i="1"/>
  <c r="T729" i="1"/>
  <c r="T1372" i="1"/>
  <c r="T730" i="1"/>
  <c r="T1354" i="1"/>
  <c r="T638" i="1"/>
  <c r="T956" i="1"/>
  <c r="T1104" i="1"/>
  <c r="T745" i="1"/>
  <c r="T658" i="1"/>
  <c r="T409" i="1"/>
  <c r="T684" i="1"/>
  <c r="T236" i="1"/>
  <c r="T931" i="1"/>
  <c r="T738" i="1"/>
  <c r="T1319" i="1"/>
  <c r="T1193" i="1"/>
  <c r="T604" i="1"/>
  <c r="T414" i="1"/>
  <c r="T313" i="1"/>
  <c r="T344" i="1"/>
  <c r="T352" i="1"/>
  <c r="T460" i="1"/>
  <c r="T304" i="1"/>
  <c r="T268" i="1"/>
  <c r="T636" i="1"/>
  <c r="T586" i="1"/>
  <c r="T1086" i="1"/>
  <c r="T217" i="1"/>
  <c r="T41" i="1"/>
  <c r="T857" i="1"/>
  <c r="T1987" i="1"/>
  <c r="T1905" i="1"/>
  <c r="T1873" i="1"/>
  <c r="T1803" i="1"/>
  <c r="T373" i="1"/>
  <c r="T704" i="1"/>
  <c r="T2024" i="1"/>
  <c r="T2093" i="1"/>
  <c r="T1672" i="1"/>
  <c r="T1768" i="1"/>
  <c r="T1187" i="1"/>
  <c r="T1899" i="1"/>
  <c r="T1992" i="1"/>
  <c r="T1872" i="1"/>
  <c r="T276" i="1"/>
  <c r="T221" i="1"/>
  <c r="T100" i="1"/>
  <c r="T101" i="1"/>
  <c r="T102" i="1"/>
  <c r="T1144" i="1"/>
  <c r="T1427" i="1"/>
  <c r="T537" i="1"/>
  <c r="T319" i="1"/>
  <c r="T1568" i="1"/>
  <c r="T697" i="1"/>
  <c r="T199" i="1"/>
  <c r="T1498" i="1"/>
  <c r="T1499" i="1"/>
  <c r="T1075" i="1"/>
  <c r="T1076" i="1"/>
  <c r="T1077" i="1"/>
  <c r="T1078" i="1"/>
  <c r="T1500" i="1"/>
  <c r="T1079" i="1"/>
  <c r="T1080" i="1"/>
  <c r="T713" i="1"/>
  <c r="T714" i="1"/>
  <c r="T932" i="1"/>
  <c r="T715" i="1"/>
  <c r="T781" i="1"/>
  <c r="T782" i="1"/>
  <c r="T783" i="1"/>
  <c r="T784" i="1"/>
  <c r="T1501" i="1"/>
  <c r="T1502" i="1"/>
  <c r="T1081" i="1"/>
  <c r="T1082" i="1"/>
  <c r="T1403" i="1"/>
  <c r="T1083" i="1"/>
  <c r="T1084" i="1"/>
  <c r="T1085" i="1"/>
  <c r="T966" i="1"/>
  <c r="T1087" i="1"/>
  <c r="T941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529" i="1"/>
  <c r="T1503" i="1"/>
  <c r="T9" i="1"/>
  <c r="T1102" i="1"/>
  <c r="T1103" i="1"/>
  <c r="T109" i="1"/>
  <c r="T1505" i="1"/>
  <c r="T1105" i="1"/>
  <c r="T1106" i="1"/>
  <c r="T1107" i="1"/>
  <c r="T1108" i="1"/>
  <c r="T1248" i="1"/>
  <c r="T211" i="1"/>
  <c r="T916" i="1"/>
  <c r="T388" i="1"/>
  <c r="T360" i="1"/>
  <c r="T1217" i="1"/>
  <c r="T294" i="1"/>
  <c r="T258" i="1"/>
  <c r="T470" i="1"/>
  <c r="T561" i="1"/>
  <c r="T207" i="1"/>
  <c r="T1309" i="1"/>
  <c r="T862" i="1"/>
  <c r="T921" i="1"/>
  <c r="T197" i="1"/>
  <c r="T33" i="1"/>
  <c r="T1406" i="1"/>
  <c r="T975" i="1"/>
  <c r="T1160" i="1"/>
  <c r="T1407" i="1"/>
  <c r="T1285" i="1"/>
  <c r="T1264" i="1"/>
  <c r="T1614" i="1"/>
  <c r="T212" i="1"/>
  <c r="T1151" i="1"/>
  <c r="T702" i="1"/>
  <c r="T1172" i="1"/>
  <c r="T858" i="1"/>
  <c r="T673" i="1"/>
  <c r="T1513" i="1"/>
  <c r="T618" i="1"/>
  <c r="T252" i="1"/>
  <c r="T591" i="1"/>
  <c r="T807" i="1"/>
  <c r="T1147" i="1"/>
  <c r="T1209" i="1"/>
  <c r="T1290" i="1"/>
  <c r="T190" i="1"/>
  <c r="T1284" i="1"/>
  <c r="T150" i="1"/>
  <c r="T334" i="1"/>
  <c r="T213" i="1"/>
  <c r="T389" i="1"/>
  <c r="T314" i="1"/>
  <c r="T315" i="1"/>
  <c r="T361" i="1"/>
  <c r="T669" i="1"/>
  <c r="T208" i="1"/>
  <c r="T850" i="1"/>
  <c r="T733" i="1"/>
  <c r="T253" i="1"/>
  <c r="T238" i="1"/>
  <c r="T354" i="1"/>
  <c r="T1323" i="1"/>
  <c r="T518" i="1"/>
  <c r="T1015" i="1"/>
  <c r="T1526" i="1"/>
  <c r="T1318" i="1"/>
  <c r="T1727" i="1"/>
  <c r="T1504" i="1"/>
  <c r="T1693" i="1"/>
  <c r="T1387" i="1"/>
  <c r="T245" i="1"/>
  <c r="T27" i="1"/>
  <c r="T19" i="1"/>
  <c r="T1364" i="1"/>
  <c r="T1071" i="1"/>
  <c r="T705" i="1"/>
  <c r="T1030" i="1"/>
  <c r="T1143" i="1"/>
  <c r="T825" i="1"/>
  <c r="T957" i="1"/>
  <c r="T929" i="1"/>
  <c r="T736" i="1"/>
  <c r="T717" i="1"/>
  <c r="T840" i="1"/>
  <c r="T1257" i="1"/>
  <c r="T1522" i="1"/>
  <c r="T1328" i="1"/>
  <c r="T1691" i="1"/>
  <c r="T1955" i="1"/>
  <c r="T1979" i="1"/>
  <c r="T1587" i="1"/>
  <c r="T1312" i="1"/>
  <c r="T1408" i="1"/>
  <c r="T83" i="1"/>
  <c r="T842" i="1"/>
  <c r="T1322" i="1"/>
  <c r="T111" i="1"/>
  <c r="T1592" i="1"/>
  <c r="T1604" i="1"/>
  <c r="T1231" i="1"/>
  <c r="T1256" i="1"/>
  <c r="T1602" i="1"/>
  <c r="T1624" i="1"/>
  <c r="T257" i="1"/>
  <c r="T263" i="1"/>
  <c r="T1615" i="1"/>
  <c r="T974" i="1"/>
  <c r="T696" i="1"/>
  <c r="T75" i="1"/>
  <c r="T1556" i="1"/>
  <c r="T631" i="1"/>
  <c r="T914" i="1"/>
  <c r="T1353" i="1"/>
  <c r="T309" i="1"/>
  <c r="T938" i="1"/>
  <c r="T943" i="1"/>
  <c r="T1206" i="1"/>
  <c r="T854" i="1"/>
  <c r="T279" i="1"/>
  <c r="T318" i="1"/>
  <c r="T1853" i="1"/>
  <c r="T376" i="1"/>
  <c r="T249" i="1"/>
  <c r="T194" i="1"/>
  <c r="T340" i="1"/>
  <c r="T677" i="1"/>
  <c r="T1140" i="1"/>
  <c r="T674" i="1"/>
  <c r="T516" i="1"/>
  <c r="T1200" i="1"/>
  <c r="T229" i="1"/>
  <c r="T1831" i="1"/>
  <c r="T635" i="1"/>
  <c r="T133" i="1"/>
  <c r="T1563" i="1"/>
  <c r="T778" i="1"/>
  <c r="T1525" i="1"/>
  <c r="T605" i="1"/>
  <c r="T1613" i="1"/>
  <c r="T492" i="1"/>
  <c r="T371" i="1"/>
  <c r="T1247" i="1"/>
  <c r="T1400" i="1"/>
  <c r="T1192" i="1"/>
  <c r="T920" i="1"/>
  <c r="T445" i="1"/>
  <c r="T1295" i="1"/>
  <c r="T1311" i="1"/>
  <c r="T84" i="1"/>
  <c r="T1196" i="1"/>
  <c r="T680" i="1"/>
  <c r="T1127" i="1"/>
  <c r="T1489" i="1"/>
  <c r="T1770" i="1"/>
  <c r="T811" i="1"/>
  <c r="T307" i="1"/>
  <c r="T491" i="1"/>
  <c r="T637" i="1"/>
  <c r="T1868" i="1"/>
  <c r="T1889" i="1"/>
  <c r="T1775" i="1"/>
  <c r="T602" i="1"/>
  <c r="T392" i="1"/>
  <c r="T1009" i="1"/>
  <c r="T2049" i="1"/>
  <c r="T573" i="1"/>
  <c r="T328" i="1"/>
  <c r="T1580" i="1"/>
  <c r="T1492" i="1"/>
  <c r="T1539" i="1"/>
  <c r="T1195" i="1"/>
  <c r="T178" i="1"/>
  <c r="T1329" i="1"/>
  <c r="T1240" i="1"/>
  <c r="T1158" i="1"/>
  <c r="T1286" i="1"/>
  <c r="T1595" i="1"/>
  <c r="T1572" i="1"/>
  <c r="T1369" i="1"/>
  <c r="T1175" i="1"/>
  <c r="T1201" i="1"/>
  <c r="T50" i="1"/>
  <c r="T1767" i="1"/>
  <c r="T1544" i="1"/>
  <c r="T1220" i="1"/>
  <c r="T1452" i="1"/>
  <c r="T1915" i="1"/>
  <c r="T20" i="1"/>
  <c r="T876" i="1"/>
  <c r="T345" i="1"/>
  <c r="T761" i="1"/>
  <c r="T394" i="1"/>
  <c r="T108" i="1"/>
  <c r="T703" i="1"/>
  <c r="T364" i="1"/>
  <c r="T439" i="1"/>
  <c r="T532" i="1"/>
  <c r="T395" i="1"/>
  <c r="T440" i="1"/>
  <c r="T338" i="1"/>
  <c r="T1622" i="1"/>
  <c r="T1664" i="1"/>
  <c r="T1709" i="1"/>
  <c r="T1367" i="1"/>
  <c r="T1616" i="1"/>
  <c r="T1596" i="1"/>
  <c r="T1665" i="1"/>
  <c r="T1677" i="1"/>
  <c r="T1274" i="1"/>
  <c r="T2041" i="1"/>
  <c r="T1772" i="1"/>
  <c r="T1690" i="1"/>
  <c r="T1941" i="1"/>
  <c r="T1862" i="1"/>
  <c r="T2003" i="1"/>
  <c r="T1446" i="1"/>
  <c r="T1661" i="1"/>
  <c r="T1694" i="1"/>
  <c r="T1808" i="1"/>
  <c r="T1734" i="1"/>
  <c r="T2007" i="1"/>
  <c r="T2023" i="1"/>
  <c r="T1349" i="1"/>
  <c r="T726" i="1"/>
  <c r="T1880" i="1"/>
  <c r="T85" i="1"/>
  <c r="T1458" i="1"/>
  <c r="T1932" i="1"/>
  <c r="T1246" i="1"/>
  <c r="T1774" i="1"/>
  <c r="T841" i="1"/>
  <c r="T1640" i="1"/>
  <c r="T1765" i="1"/>
  <c r="T1253" i="1"/>
  <c r="T1234" i="1"/>
  <c r="T1806" i="1"/>
  <c r="T1073" i="1"/>
  <c r="T1669" i="1"/>
  <c r="T881" i="1"/>
  <c r="T262" i="1"/>
  <c r="T1670" i="1"/>
  <c r="T1074" i="1"/>
  <c r="T1718" i="1"/>
  <c r="T1782" i="1"/>
  <c r="T1957" i="1"/>
  <c r="T1605" i="1"/>
  <c r="T821" i="1"/>
  <c r="T1433" i="1"/>
  <c r="T653" i="1"/>
  <c r="T1865" i="1"/>
  <c r="T1642" i="1"/>
  <c r="T1579" i="1"/>
  <c r="T1244" i="1"/>
  <c r="T835" i="1"/>
  <c r="T836" i="1"/>
  <c r="T1018" i="1"/>
  <c r="T1265" i="1"/>
  <c r="T1783" i="1"/>
  <c r="T1940" i="1"/>
  <c r="T972" i="1"/>
  <c r="T2035" i="1"/>
  <c r="T2021" i="1"/>
  <c r="T2069" i="1"/>
  <c r="T1984" i="1"/>
  <c r="T90" i="1"/>
  <c r="T77" i="1"/>
  <c r="T1566" i="1"/>
  <c r="T58" i="1"/>
  <c r="T5" i="1"/>
  <c r="T1168" i="1"/>
  <c r="T1779" i="1"/>
  <c r="T1998" i="1"/>
  <c r="T1237" i="1"/>
  <c r="T1416" i="1"/>
  <c r="T1185" i="1"/>
  <c r="T1210" i="1"/>
  <c r="T104" i="1"/>
  <c r="T105" i="1"/>
  <c r="T106" i="1"/>
  <c r="T1990" i="1"/>
  <c r="T1882" i="1"/>
  <c r="T2068" i="1"/>
  <c r="T60" i="1"/>
  <c r="T2019" i="1"/>
  <c r="T1766" i="1"/>
  <c r="T2029" i="1"/>
  <c r="T300" i="1"/>
  <c r="T312" i="1"/>
  <c r="T320" i="1"/>
  <c r="T151" i="1"/>
  <c r="T679" i="1"/>
  <c r="T627" i="1"/>
  <c r="T366" i="1"/>
  <c r="T709" i="1"/>
  <c r="T324" i="1"/>
  <c r="T176" i="1"/>
  <c r="T1485" i="1"/>
  <c r="T78" i="1"/>
  <c r="T1715" i="1"/>
  <c r="T1304" i="1"/>
  <c r="T861" i="1"/>
  <c r="T2009" i="1"/>
  <c r="T1754" i="1"/>
  <c r="T1994" i="1"/>
  <c r="T1487" i="1"/>
  <c r="T626" i="1"/>
  <c r="T661" i="1"/>
  <c r="T325" i="1"/>
  <c r="T289" i="1"/>
  <c r="T269" i="1"/>
  <c r="T1486" i="1"/>
  <c r="T1488" i="1"/>
  <c r="T1401" i="1"/>
  <c r="T1275" i="1"/>
  <c r="T1204" i="1"/>
  <c r="T79" i="1"/>
  <c r="T1238" i="1"/>
  <c r="T1383" i="1"/>
  <c r="T1373" i="1"/>
  <c r="T181" i="1"/>
  <c r="T362" i="1"/>
  <c r="T1559" i="1"/>
  <c r="T1535" i="1"/>
  <c r="T261" i="1"/>
  <c r="T452" i="1"/>
  <c r="T39" i="1"/>
  <c r="T1007" i="1"/>
  <c r="T768" i="1"/>
  <c r="T855" i="1"/>
  <c r="T92" i="1"/>
  <c r="T856" i="1"/>
  <c r="T785" i="1"/>
  <c r="T976" i="1"/>
  <c r="T1785" i="1"/>
  <c r="T977" i="1"/>
  <c r="T1786" i="1"/>
  <c r="T57" i="1"/>
  <c r="T978" i="1"/>
  <c r="T1787" i="1"/>
  <c r="T28" i="1"/>
  <c r="T979" i="1"/>
  <c r="T1791" i="1"/>
  <c r="T36" i="1"/>
  <c r="T980" i="1"/>
  <c r="T1788" i="1"/>
  <c r="T981" i="1"/>
  <c r="T1789" i="1"/>
  <c r="T982" i="1"/>
  <c r="T1790" i="1"/>
  <c r="T983" i="1"/>
  <c r="T1792" i="1"/>
  <c r="T984" i="1"/>
  <c r="T1793" i="1"/>
  <c r="T985" i="1"/>
  <c r="T1794" i="1"/>
  <c r="T986" i="1"/>
  <c r="T1795" i="1"/>
  <c r="T987" i="1"/>
  <c r="T1796" i="1"/>
  <c r="T988" i="1"/>
  <c r="T1874" i="1"/>
  <c r="T37" i="1"/>
  <c r="T1182" i="1"/>
  <c r="T1797" i="1"/>
  <c r="T1258" i="1"/>
  <c r="T363" i="1"/>
  <c r="T103" i="1"/>
  <c r="T731" i="1"/>
  <c r="T694" i="1"/>
  <c r="T1254" i="1"/>
  <c r="T1255" i="1"/>
  <c r="T1327" i="1"/>
  <c r="T412" i="1"/>
  <c r="T1307" i="1"/>
  <c r="T1326" i="1"/>
  <c r="T1341" i="1"/>
  <c r="T1342" i="1"/>
  <c r="T1343" i="1"/>
  <c r="T1344" i="1"/>
  <c r="T1345" i="1"/>
  <c r="T1435" i="1"/>
  <c r="T1470" i="1"/>
  <c r="T1366" i="1"/>
  <c r="T1475" i="1"/>
  <c r="T1236" i="1"/>
  <c r="T1682" i="1"/>
  <c r="T934" i="1"/>
  <c r="T434" i="1"/>
  <c r="T435" i="1"/>
  <c r="T509" i="1"/>
  <c r="T510" i="1"/>
  <c r="T511" i="1"/>
  <c r="T503" i="1"/>
  <c r="T504" i="1"/>
  <c r="T505" i="1"/>
  <c r="T506" i="1"/>
  <c r="T264" i="1"/>
  <c r="T507" i="1"/>
  <c r="T508" i="1"/>
  <c r="T559" i="1"/>
  <c r="T485" i="1"/>
  <c r="T96" i="1"/>
  <c r="T474" i="1"/>
  <c r="T1545" i="1"/>
  <c r="T359" i="1"/>
  <c r="T1222" i="1"/>
  <c r="T447" i="1"/>
  <c r="T1337" i="1"/>
  <c r="T1224" i="1"/>
  <c r="T448" i="1"/>
  <c r="T1338" i="1"/>
  <c r="T449" i="1"/>
  <c r="T1339" i="1"/>
  <c r="T458" i="1"/>
  <c r="T1358" i="1"/>
  <c r="T1064" i="1"/>
  <c r="T31" i="1"/>
  <c r="T21" i="1"/>
  <c r="T1648" i="1"/>
  <c r="T1649" i="1"/>
  <c r="T1652" i="1"/>
  <c r="T1510" i="1"/>
  <c r="T1650" i="1"/>
  <c r="T29" i="1"/>
  <c r="T1651" i="1"/>
  <c r="T30" i="1"/>
  <c r="T1653" i="1"/>
  <c r="T38" i="1"/>
  <c r="T1654" i="1"/>
  <c r="T1655" i="1"/>
  <c r="T1656" i="1"/>
  <c r="T1657" i="1"/>
  <c r="T1658" i="1"/>
  <c r="T1659" i="1"/>
  <c r="T1660" i="1"/>
  <c r="T1365" i="1"/>
  <c r="T866" i="1"/>
  <c r="T884" i="1"/>
  <c r="T867" i="1"/>
  <c r="T885" i="1"/>
  <c r="T868" i="1"/>
  <c r="T886" i="1"/>
  <c r="T869" i="1"/>
  <c r="T887" i="1"/>
  <c r="T870" i="1"/>
  <c r="T888" i="1"/>
  <c r="T871" i="1"/>
  <c r="T889" i="1"/>
  <c r="T872" i="1"/>
  <c r="T890" i="1"/>
  <c r="T873" i="1"/>
  <c r="T891" i="1"/>
  <c r="T935" i="1"/>
  <c r="T947" i="1"/>
  <c r="T936" i="1"/>
  <c r="T948" i="1"/>
  <c r="T949" i="1"/>
  <c r="T937" i="1"/>
  <c r="T1703" i="1"/>
  <c r="T1704" i="1"/>
  <c r="T1609" i="1"/>
  <c r="T1543" i="1"/>
  <c r="T88" i="1"/>
  <c r="T1705" i="1"/>
  <c r="T87" i="1"/>
  <c r="T1706" i="1"/>
  <c r="T1707" i="1"/>
  <c r="T1708" i="1"/>
  <c r="T1724" i="1"/>
  <c r="T875" i="1"/>
  <c r="T1725" i="1"/>
  <c r="T1810" i="1"/>
  <c r="T1811" i="1"/>
  <c r="T152" i="1"/>
  <c r="T1813" i="1"/>
  <c r="T1814" i="1"/>
  <c r="T396" i="1"/>
  <c r="T397" i="1"/>
  <c r="T97" i="1"/>
  <c r="T398" i="1"/>
  <c r="T399" i="1"/>
  <c r="T400" i="1"/>
  <c r="T401" i="1"/>
  <c r="T402" i="1"/>
  <c r="T403" i="1"/>
  <c r="T404" i="1"/>
  <c r="T405" i="1"/>
  <c r="T406" i="1"/>
  <c r="T407" i="1"/>
  <c r="T420" i="1"/>
  <c r="T421" i="1"/>
  <c r="T422" i="1"/>
  <c r="T179" i="1"/>
  <c r="T415" i="1"/>
  <c r="T342" i="1"/>
  <c r="T695" i="1"/>
  <c r="T110" i="1"/>
  <c r="T1732" i="1"/>
  <c r="T790" i="1"/>
  <c r="T308" i="1"/>
  <c r="T1282" i="1"/>
  <c r="T520" i="1"/>
  <c r="T521" i="1"/>
  <c r="T1944" i="1"/>
  <c r="T522" i="1"/>
  <c r="T523" i="1"/>
  <c r="T524" i="1"/>
  <c r="T525" i="1"/>
  <c r="T526" i="1"/>
  <c r="T467" i="1"/>
  <c r="T1945" i="1"/>
  <c r="T494" i="1"/>
  <c r="T527" i="1"/>
  <c r="T528" i="1"/>
  <c r="T481" i="1"/>
  <c r="T625" i="1"/>
  <c r="T908" i="1"/>
  <c r="T999" i="1"/>
  <c r="T1002" i="1"/>
  <c r="T995" i="1"/>
  <c r="T998" i="1"/>
  <c r="T1000" i="1"/>
  <c r="T1013" i="1"/>
  <c r="T1034" i="1"/>
  <c r="T1048" i="1"/>
  <c r="T1049" i="1"/>
  <c r="T1038" i="1"/>
  <c r="T582" i="1"/>
  <c r="T544" i="1"/>
  <c r="T545" i="1"/>
  <c r="T546" i="1"/>
  <c r="T547" i="1"/>
  <c r="T557" i="1"/>
  <c r="T548" i="1"/>
  <c r="T549" i="1"/>
  <c r="T550" i="1"/>
  <c r="T551" i="1"/>
  <c r="T1849" i="1"/>
  <c r="T55" i="1"/>
  <c r="T1869" i="1"/>
  <c r="T1902" i="1"/>
  <c r="T1824" i="1"/>
  <c r="T1876" i="1"/>
  <c r="T23" i="1"/>
  <c r="T43" i="1"/>
  <c r="T1892" i="1"/>
  <c r="T24" i="1"/>
  <c r="T147" i="1"/>
  <c r="T1918" i="1"/>
  <c r="T25" i="1"/>
  <c r="T1919" i="1"/>
  <c r="T26" i="1"/>
  <c r="T1920" i="1"/>
  <c r="T22" i="1"/>
  <c r="T1921" i="1"/>
  <c r="T1922" i="1"/>
  <c r="T1923" i="1"/>
  <c r="T1924" i="1"/>
  <c r="T49" i="1"/>
  <c r="T1925" i="1"/>
  <c r="T1405" i="1"/>
  <c r="T1967" i="1"/>
  <c r="T2000" i="1"/>
  <c r="T1968" i="1"/>
  <c r="T1999" i="1"/>
  <c r="T1463" i="1"/>
  <c r="T1618" i="1"/>
  <c r="T1856" i="1"/>
  <c r="T47" i="1"/>
  <c r="T1536" i="1"/>
  <c r="T48" i="1"/>
  <c r="T1348" i="1"/>
  <c r="T1409" i="1"/>
  <c r="T1540" i="1"/>
  <c r="T776" i="1"/>
  <c r="T1886" i="1"/>
  <c r="T1637" i="1"/>
  <c r="T1131" i="1"/>
  <c r="T1778" i="1"/>
  <c r="T1617" i="1"/>
  <c r="T1625" i="1"/>
  <c r="T1988" i="1"/>
  <c r="T1629" i="1"/>
  <c r="T1065" i="1"/>
  <c r="T1420" i="1"/>
  <c r="T1541" i="1"/>
  <c r="T1954" i="1"/>
  <c r="T1777" i="1"/>
  <c r="T1835" i="1"/>
  <c r="T924" i="1"/>
  <c r="T805" i="1"/>
  <c r="T74" i="1"/>
  <c r="T1454" i="1"/>
  <c r="T1939" i="1"/>
  <c r="T1935" i="1"/>
  <c r="T1626" i="1"/>
  <c r="T1468" i="1"/>
  <c r="T1927" i="1"/>
  <c r="T1132" i="1"/>
  <c r="T358" i="1"/>
  <c r="T1972" i="1"/>
  <c r="T2018" i="1"/>
  <c r="T814" i="1"/>
  <c r="T1631" i="1"/>
  <c r="T815" i="1"/>
  <c r="T1214" i="1"/>
  <c r="T617" i="1"/>
  <c r="T1836" i="1"/>
  <c r="T80" i="1"/>
  <c r="T1150" i="1"/>
  <c r="T390" i="1"/>
  <c r="T95" i="1"/>
  <c r="T1315" i="1"/>
  <c r="T1459" i="1"/>
  <c r="T1276" i="1"/>
  <c r="T1989" i="1"/>
  <c r="T1551" i="1"/>
  <c r="T1456" i="1"/>
  <c r="T1938" i="1"/>
  <c r="T2061" i="1"/>
  <c r="T2016" i="1"/>
  <c r="T2072" i="1"/>
  <c r="T2042" i="1"/>
  <c r="T1636" i="1"/>
  <c r="T1333" i="1"/>
  <c r="T1904" i="1"/>
  <c r="T1547" i="1"/>
  <c r="T1448" i="1"/>
  <c r="T1496" i="1"/>
  <c r="T1393" i="1"/>
  <c r="T2064" i="1"/>
  <c r="T2070" i="1"/>
  <c r="T2048" i="1"/>
  <c r="T277" i="1"/>
  <c r="T1623" i="1"/>
  <c r="T1956" i="1"/>
  <c r="T1858" i="1"/>
  <c r="T1464" i="1"/>
  <c r="T1334" i="1"/>
  <c r="T1875" i="1"/>
  <c r="T1519" i="1"/>
  <c r="T1169" i="1"/>
  <c r="T1800" i="1"/>
  <c r="T1149" i="1"/>
  <c r="T1321" i="1"/>
  <c r="T1958" i="1"/>
  <c r="T1883" i="1"/>
  <c r="T2038" i="1"/>
  <c r="T1453" i="1"/>
  <c r="T278" i="1"/>
  <c r="T288" i="1"/>
  <c r="T620" i="1"/>
  <c r="T530" i="1"/>
  <c r="T750" i="1"/>
  <c r="T808" i="1"/>
  <c r="T581" i="1"/>
  <c r="T562" i="1"/>
  <c r="T737" i="1"/>
  <c r="T770" i="1"/>
  <c r="T878" i="1"/>
  <c r="T797" i="1"/>
  <c r="T905" i="1"/>
  <c r="T280" i="1"/>
  <c r="T281" i="1"/>
  <c r="T61" i="1"/>
  <c r="T86" i="1"/>
  <c r="T630" i="1"/>
  <c r="T587" i="1"/>
  <c r="T764" i="1"/>
  <c r="T1061" i="1"/>
  <c r="T73" i="1"/>
  <c r="T656" i="1"/>
  <c r="T1161" i="1"/>
  <c r="T81" i="1"/>
  <c r="T1221" i="1"/>
  <c r="T1414" i="1"/>
  <c r="T1223" i="1"/>
  <c r="T1021" i="1"/>
  <c r="T1460" i="1"/>
  <c r="T66" i="1"/>
  <c r="T98" i="1"/>
  <c r="T909" i="1"/>
  <c r="T1600" i="1"/>
  <c r="T989" i="1"/>
  <c r="T1508" i="1"/>
  <c r="T1134" i="1"/>
  <c r="T1191" i="1"/>
  <c r="T1382" i="1"/>
  <c r="T838" i="1"/>
  <c r="T1826" i="1"/>
  <c r="T2101" i="1"/>
  <c r="T2089" i="1"/>
  <c r="T2103" i="1"/>
  <c r="T2098" i="1"/>
  <c r="T742" i="1"/>
  <c r="T2104" i="1"/>
  <c r="T1726" i="1"/>
  <c r="T1645" i="1"/>
  <c r="T2045" i="1"/>
  <c r="T310" i="1"/>
  <c r="T1332" i="1"/>
  <c r="T180" i="1"/>
  <c r="T1314" i="1"/>
  <c r="T1399" i="1"/>
  <c r="T806" i="1"/>
  <c r="T1428" i="1"/>
  <c r="T1425" i="1"/>
  <c r="T135" i="1"/>
  <c r="T1472" i="1"/>
  <c r="T130" i="1"/>
  <c r="T1413" i="1"/>
  <c r="T443" i="1"/>
  <c r="T341" i="1"/>
  <c r="T1270" i="1"/>
  <c r="T141" i="1"/>
  <c r="T230" i="1"/>
  <c r="T1424" i="1"/>
  <c r="T206" i="1"/>
  <c r="T1426" i="1"/>
  <c r="T1467" i="1"/>
  <c r="T136" i="1"/>
  <c r="T128" i="1"/>
  <c r="T1417" i="1"/>
  <c r="T1188" i="1"/>
  <c r="T751" i="1"/>
  <c r="T131" i="1"/>
  <c r="T1418" i="1"/>
  <c r="T132" i="1"/>
  <c r="T2055" i="1"/>
  <c r="T2011" i="1"/>
  <c r="T1245" i="1"/>
  <c r="T2063" i="1"/>
  <c r="T2085" i="1"/>
  <c r="T1176" i="1"/>
  <c r="T15" i="1"/>
  <c r="T2099" i="1"/>
  <c r="T16" i="1"/>
  <c r="T17" i="1"/>
  <c r="T4" i="1"/>
  <c r="T1575" i="1"/>
  <c r="T1497" i="1"/>
  <c r="T1225" i="1"/>
  <c r="T1635" i="1"/>
  <c r="T1683" i="1"/>
  <c r="T739" i="1"/>
  <c r="T490" i="1"/>
  <c r="T588" i="1"/>
  <c r="T2028" i="1"/>
  <c r="T901" i="1"/>
  <c r="T600" i="1"/>
  <c r="T1717" i="1"/>
  <c r="T65" i="1"/>
  <c r="T1004" i="1"/>
  <c r="T1628" i="1"/>
  <c r="T378" i="1"/>
  <c r="T62" i="1"/>
  <c r="T1283" i="1"/>
  <c r="T469" i="1"/>
  <c r="T1667" i="1"/>
  <c r="T1437" i="1"/>
  <c r="T67" i="1"/>
  <c r="T1646" i="1"/>
  <c r="T198" i="1"/>
  <c r="T1381" i="1"/>
  <c r="T1478" i="1"/>
  <c r="T1165" i="1"/>
  <c r="T1910" i="1"/>
  <c r="T1991" i="1"/>
  <c r="T2017" i="1"/>
  <c r="T1969" i="1"/>
  <c r="T2030" i="1"/>
  <c r="T1993" i="1"/>
  <c r="T741" i="1"/>
  <c r="T1666" i="1"/>
  <c r="T589" i="1"/>
  <c r="T1184" i="1"/>
  <c r="T1823" i="1"/>
  <c r="T792" i="1"/>
  <c r="T1521" i="1"/>
  <c r="T299" i="1"/>
  <c r="T645" i="1"/>
  <c r="T1523" i="1"/>
  <c r="T765" i="1"/>
  <c r="T1361" i="1"/>
  <c r="T688" i="1"/>
  <c r="T1362" i="1"/>
  <c r="T896" i="1"/>
  <c r="T930" i="1"/>
  <c r="T829" i="1"/>
  <c r="T1130" i="1"/>
  <c r="T431" i="1"/>
  <c r="T990" i="1"/>
  <c r="T799" i="1"/>
  <c r="T780" i="1"/>
  <c r="T1357" i="1"/>
  <c r="T1524" i="1"/>
  <c r="T1014" i="1"/>
  <c r="T1028" i="1"/>
  <c r="T644" i="1"/>
  <c r="T847" i="1"/>
  <c r="T454" i="1"/>
  <c r="T585" i="1"/>
  <c r="T1228" i="1"/>
  <c r="T565" i="1"/>
  <c r="T1398" i="1"/>
  <c r="T1293" i="1"/>
  <c r="T1546" i="1"/>
  <c r="T54" i="1"/>
  <c r="T1058" i="1"/>
  <c r="T1673" i="1"/>
  <c r="T222" i="1"/>
  <c r="T1287" i="1"/>
  <c r="T1532" i="1"/>
  <c r="T689" i="1"/>
  <c r="T800" i="1"/>
  <c r="T801" i="1"/>
  <c r="T1896" i="1"/>
  <c r="T1893" i="1"/>
  <c r="T155" i="1"/>
  <c r="T1533" i="1"/>
  <c r="T849" i="1"/>
  <c r="T2067" i="1"/>
  <c r="T1271" i="1"/>
  <c r="T1936" i="1"/>
  <c r="T1911" i="1"/>
  <c r="T1978" i="1"/>
  <c r="T1443" i="1"/>
  <c r="T1917" i="1"/>
  <c r="T2052" i="1"/>
  <c r="T969" i="1"/>
  <c r="T1855" i="1"/>
  <c r="T2051" i="1"/>
  <c r="T1712" i="1"/>
  <c r="T2058" i="1"/>
  <c r="T1860" i="1"/>
  <c r="T2060" i="1"/>
  <c r="T1279" i="1"/>
  <c r="T44" i="1"/>
  <c r="T1561" i="1"/>
  <c r="T1633" i="1"/>
  <c r="T1520" i="1"/>
  <c r="T1802" i="1"/>
  <c r="T813" i="1"/>
  <c r="T1812" i="1"/>
  <c r="T1346" i="1"/>
  <c r="T1554" i="1"/>
  <c r="T1203" i="1"/>
  <c r="T1439" i="1"/>
  <c r="T1380" i="1"/>
  <c r="T42" i="1"/>
  <c r="T1527" i="1"/>
  <c r="T735" i="1"/>
  <c r="T1347" i="1"/>
  <c r="T479" i="1"/>
  <c r="T670" i="1"/>
  <c r="T655" i="1"/>
  <c r="T1534" i="1"/>
  <c r="T1145" i="1"/>
  <c r="T584" i="1"/>
  <c r="T1741" i="1"/>
  <c r="T515" i="1"/>
  <c r="T1003" i="1"/>
  <c r="T1764" i="1"/>
  <c r="T906" i="1"/>
  <c r="T671" i="1"/>
  <c r="T52" i="1"/>
  <c r="T2034" i="1"/>
  <c r="T2090" i="1"/>
  <c r="T1916" i="1"/>
  <c r="T649" i="1"/>
  <c r="T365" i="1"/>
  <c r="T864" i="1"/>
  <c r="T284" i="1"/>
  <c r="T282" i="1"/>
  <c r="T283" i="1"/>
  <c r="T596" i="1"/>
  <c r="T302" i="1"/>
  <c r="T762" i="1"/>
  <c r="T455" i="1"/>
  <c r="T1483" i="1"/>
  <c r="T1747" i="1"/>
  <c r="T1864" i="1"/>
  <c r="T1728" i="1"/>
  <c r="T34" i="1"/>
  <c r="T1776" i="1"/>
  <c r="T1833" i="1"/>
  <c r="T1588" i="1"/>
  <c r="T1995" i="1"/>
  <c r="T332" i="1"/>
  <c r="T1229" i="1"/>
  <c r="T1885" i="1"/>
  <c r="T651" i="1"/>
  <c r="T14" i="1"/>
  <c r="T1912" i="1"/>
  <c r="T1687" i="1"/>
  <c r="T1241" i="1"/>
  <c r="T1744" i="1"/>
  <c r="T1444" i="1"/>
  <c r="T1173" i="1"/>
  <c r="T728" i="1"/>
  <c r="T894" i="1"/>
  <c r="T1272" i="1"/>
  <c r="T1531" i="1"/>
  <c r="T1390" i="1"/>
  <c r="T1039" i="1"/>
  <c r="T182" i="1"/>
  <c r="T1317" i="1"/>
  <c r="T940" i="1"/>
  <c r="T2082" i="1"/>
  <c r="T683" i="1"/>
  <c r="T519" i="1"/>
  <c r="T928" i="1"/>
  <c r="T82" i="1"/>
  <c r="T228" i="1"/>
  <c r="T802" i="1"/>
  <c r="T798" i="1"/>
  <c r="T592" i="1"/>
  <c r="T753" i="1"/>
  <c r="T1982" i="1"/>
  <c r="T1597" i="1"/>
  <c r="T2080" i="1"/>
  <c r="T569" i="1"/>
  <c r="T10" i="1"/>
  <c r="T8" i="1"/>
  <c r="T7" i="1"/>
  <c r="T2097" i="1"/>
  <c r="T13" i="1"/>
  <c r="T374" i="1"/>
  <c r="T1340" i="1"/>
  <c r="T895" i="1"/>
  <c r="T831" i="1"/>
  <c r="T1363" i="1"/>
  <c r="T1647" i="1"/>
  <c r="T1023" i="1"/>
  <c r="T1890" i="1"/>
  <c r="T1985" i="1"/>
  <c r="T2005" i="1"/>
  <c r="T2062" i="1"/>
  <c r="T2008" i="1"/>
  <c r="T1976" i="1"/>
  <c r="T2006" i="1"/>
  <c r="T1606" i="1"/>
  <c r="T2036" i="1"/>
  <c r="T1996" i="1"/>
  <c r="T2083" i="1"/>
  <c r="T2039" i="1"/>
  <c r="T2079" i="1"/>
  <c r="T997" i="1"/>
  <c r="T1671" i="1"/>
  <c r="T1056" i="1"/>
  <c r="T1171" i="1"/>
  <c r="T1374" i="1"/>
  <c r="T1057" i="1"/>
  <c r="T1180" i="1"/>
  <c r="T32" i="1"/>
  <c r="T1054" i="1"/>
  <c r="T1878" i="1"/>
  <c r="T1141" i="1"/>
  <c r="T1296" i="1"/>
  <c r="T1375" i="1"/>
  <c r="T1857" i="1"/>
  <c r="T1198" i="1"/>
  <c r="T1156" i="1"/>
  <c r="T1686" i="1"/>
  <c r="T248" i="1"/>
  <c r="T59" i="1"/>
  <c r="T964" i="1"/>
  <c r="T771" i="1"/>
  <c r="T1745" i="1"/>
  <c r="T1370" i="1"/>
  <c r="T1297" i="1"/>
  <c r="T1186" i="1"/>
  <c r="T1212" i="1"/>
  <c r="T355" i="1"/>
  <c r="T1688" i="1"/>
  <c r="T1447" i="1"/>
  <c r="T1396" i="1"/>
  <c r="T732" i="1"/>
  <c r="T1598" i="1"/>
  <c r="T1055" i="1"/>
  <c r="T687" i="1"/>
  <c r="T994" i="1"/>
  <c r="T699" i="1"/>
  <c r="T2044" i="1"/>
  <c r="T6" i="1"/>
  <c r="T1006" i="1"/>
  <c r="T710" i="1"/>
  <c r="T1022" i="1"/>
  <c r="T1199" i="1"/>
  <c r="T1469" i="1"/>
  <c r="T1298" i="1"/>
  <c r="T1385" i="1"/>
  <c r="T1268" i="1"/>
  <c r="T1834" i="1"/>
  <c r="T210" i="1"/>
  <c r="T577" i="1"/>
  <c r="T317" i="1"/>
  <c r="T758" i="1"/>
  <c r="T580" i="1"/>
  <c r="T1445" i="1"/>
  <c r="T367" i="1"/>
  <c r="T657" i="1"/>
  <c r="T413" i="1"/>
  <c r="T343" i="1"/>
  <c r="T1303" i="1"/>
  <c r="T322" i="1"/>
  <c r="T685" i="1"/>
  <c r="T351" i="1"/>
  <c r="T777" i="1"/>
  <c r="T1582" i="1"/>
  <c r="T1581" i="1"/>
  <c r="T1827" i="1"/>
  <c r="T1981" i="1"/>
  <c r="T1583" i="1"/>
  <c r="T1584" i="1"/>
  <c r="T1163" i="1"/>
  <c r="T1477" i="1"/>
  <c r="T1736" i="1"/>
  <c r="T1619" i="1"/>
  <c r="T295" i="1"/>
  <c r="T1974" i="1"/>
  <c r="T1335" i="1"/>
  <c r="T1737" i="1"/>
  <c r="T1897" i="1"/>
  <c r="T1585" i="1"/>
  <c r="T1828" i="1"/>
  <c r="T1900" i="1"/>
  <c r="T1742" i="1"/>
  <c r="T1965" i="1"/>
  <c r="T1751" i="1"/>
  <c r="T1746" i="1"/>
  <c r="T1870" i="1"/>
  <c r="T1627" i="1"/>
  <c r="T1784" i="1"/>
  <c r="T157" i="1"/>
  <c r="T893" i="1"/>
  <c r="T350" i="1"/>
  <c r="T939" i="1"/>
  <c r="T164" i="1"/>
  <c r="T1837" i="1"/>
  <c r="T1440" i="1"/>
  <c r="T1109" i="1"/>
  <c r="D89" i="1"/>
  <c r="A1070" i="1"/>
  <c r="A1809" i="1"/>
  <c r="A1164" i="1"/>
  <c r="A1757" i="1"/>
  <c r="A1356" i="1"/>
  <c r="A1630" i="1"/>
  <c r="A757" i="1"/>
  <c r="A1569" i="1"/>
  <c r="A1553" i="1"/>
  <c r="A1762" i="1"/>
  <c r="A1181" i="1"/>
  <c r="A1963" i="1"/>
  <c r="A775" i="1"/>
  <c r="A1350" i="1"/>
  <c r="A274" i="1"/>
  <c r="A266" i="1"/>
  <c r="A795" i="1"/>
  <c r="A462" i="1"/>
  <c r="A321" i="1"/>
  <c r="A1432" i="1"/>
  <c r="A942" i="1"/>
  <c r="A234" i="1"/>
  <c r="A1914" i="1"/>
  <c r="A1898" i="1"/>
  <c r="A1232" i="1"/>
  <c r="A727" i="1"/>
  <c r="A436" i="1"/>
  <c r="A716" i="1"/>
  <c r="A386" i="1"/>
  <c r="A1215" i="1"/>
  <c r="A1008" i="1"/>
  <c r="A1854" i="1"/>
  <c r="A740" i="1"/>
  <c r="A1174" i="1"/>
  <c r="A1679" i="1"/>
  <c r="A1269" i="1"/>
  <c r="A1750" i="1"/>
  <c r="A1170" i="1"/>
  <c r="A1462" i="1"/>
  <c r="A1157" i="1"/>
  <c r="A1479" i="1"/>
  <c r="A1261" i="1"/>
  <c r="A1780" i="1"/>
  <c r="A1781" i="1"/>
  <c r="A1136" i="1"/>
  <c r="A214" i="1"/>
  <c r="A1548" i="1"/>
  <c r="A1610" i="1"/>
  <c r="A1755" i="1"/>
  <c r="A1148" i="1"/>
  <c r="A1603" i="1"/>
  <c r="A754" i="1"/>
  <c r="A1251" i="1"/>
  <c r="A1415" i="1"/>
  <c r="A911" i="1"/>
  <c r="A461" i="1"/>
  <c r="A912" i="1"/>
  <c r="A883" i="1"/>
  <c r="A339" i="1"/>
  <c r="A1291" i="1"/>
  <c r="A926" i="1"/>
  <c r="A1005" i="1"/>
  <c r="A744" i="1"/>
  <c r="A723" i="1"/>
  <c r="A933" i="1"/>
  <c r="A628" i="1"/>
  <c r="A724" i="1"/>
  <c r="A698" i="1"/>
  <c r="A1069" i="1"/>
  <c r="A793" i="1"/>
  <c r="A725" i="1"/>
  <c r="A254" i="1"/>
  <c r="A226" i="1"/>
  <c r="A465" i="1"/>
  <c r="A612" i="1"/>
  <c r="A1154" i="1"/>
  <c r="A1641" i="1"/>
  <c r="A1759" i="1"/>
  <c r="A1395" i="1"/>
  <c r="A1799" i="1"/>
  <c r="A1763" i="1"/>
  <c r="A1903" i="1"/>
  <c r="A1733" i="1"/>
  <c r="A1528" i="1"/>
  <c r="A1410" i="1"/>
  <c r="A2015" i="1"/>
  <c r="A1178" i="1"/>
  <c r="A1512" i="1"/>
  <c r="A1847" i="1"/>
  <c r="A1829" i="1"/>
  <c r="A810" i="1"/>
  <c r="A1997" i="1"/>
  <c r="A1305" i="1"/>
  <c r="A832" i="1"/>
  <c r="A1516" i="1"/>
  <c r="A107" i="1"/>
  <c r="A1937" i="1"/>
  <c r="A1449" i="1"/>
  <c r="A1908" i="1"/>
  <c r="A134" i="1"/>
  <c r="A534" i="1"/>
  <c r="A1060" i="1"/>
  <c r="A756" i="1"/>
  <c r="A446" i="1"/>
  <c r="A224" i="1"/>
  <c r="A347" i="1"/>
  <c r="A385" i="1"/>
  <c r="A368" i="1"/>
  <c r="A1574" i="1"/>
  <c r="A444" i="1"/>
  <c r="A165" i="1"/>
  <c r="A296" i="1"/>
  <c r="A233" i="1"/>
  <c r="A235" i="1"/>
  <c r="A517" i="1"/>
  <c r="A533" i="1"/>
  <c r="A337" i="1"/>
  <c r="A297" i="1"/>
  <c r="A146" i="1"/>
  <c r="A377" i="1"/>
  <c r="A563" i="1"/>
  <c r="A1560" i="1"/>
  <c r="A175" i="1"/>
  <c r="A690" i="1"/>
  <c r="A286" i="1"/>
  <c r="A437" i="1"/>
  <c r="A863" i="1"/>
  <c r="A382" i="1"/>
  <c r="A232" i="1"/>
  <c r="A1740" i="1"/>
  <c r="A148" i="1"/>
  <c r="A159" i="1"/>
  <c r="A418" i="1"/>
  <c r="A372" i="1"/>
  <c r="A242" i="1"/>
  <c r="A650" i="1"/>
  <c r="A663" i="1"/>
  <c r="A1719" i="1"/>
  <c r="A166" i="1"/>
  <c r="A574" i="1"/>
  <c r="A160" i="1"/>
  <c r="A613" i="1"/>
  <c r="A218" i="1"/>
  <c r="A903" i="1"/>
  <c r="A882" i="1"/>
  <c r="A303" i="1"/>
  <c r="A1743" i="1"/>
  <c r="A265" i="1"/>
  <c r="A231" i="1"/>
  <c r="A501" i="1"/>
  <c r="A158" i="1"/>
  <c r="A1026" i="1"/>
  <c r="A844" i="1"/>
  <c r="A925" i="1"/>
  <c r="A1909" i="1"/>
  <c r="A127" i="1"/>
  <c r="A170" i="1"/>
  <c r="A381" i="1"/>
  <c r="A379" i="1"/>
  <c r="A1850" i="1"/>
  <c r="A535" i="1"/>
  <c r="A834" i="1"/>
  <c r="A826" i="1"/>
  <c r="A575" i="1"/>
  <c r="A1644" i="1"/>
  <c r="A1040" i="1"/>
  <c r="A1068" i="1"/>
  <c r="A1971" i="1"/>
  <c r="A2088" i="1"/>
  <c r="A1621" i="1"/>
  <c r="A913" i="1"/>
  <c r="A2010" i="1"/>
  <c r="A789" i="1"/>
  <c r="A2025" i="1"/>
  <c r="A56" i="1"/>
  <c r="A639" i="1"/>
  <c r="A1692" i="1"/>
  <c r="A293" i="1"/>
  <c r="A676" i="1"/>
  <c r="A480" i="1"/>
  <c r="A590" i="1"/>
  <c r="A1807" i="1"/>
  <c r="A126" i="1"/>
  <c r="A1607" i="1"/>
  <c r="A63" i="1"/>
  <c r="A749" i="1"/>
  <c r="A543" i="1"/>
  <c r="A2102" i="1"/>
  <c r="A2" i="1"/>
  <c r="A12" i="1"/>
  <c r="A3" i="1"/>
  <c r="A818" i="1"/>
  <c r="A227" i="1"/>
  <c r="A1934" i="1"/>
  <c r="A898" i="1"/>
  <c r="A498" i="1"/>
  <c r="A1047" i="1"/>
  <c r="A1205" i="1"/>
  <c r="A610" i="1"/>
  <c r="A601" i="1"/>
  <c r="A611" i="1"/>
  <c r="A1066" i="1"/>
  <c r="A729" i="1"/>
  <c r="A1372" i="1"/>
  <c r="A730" i="1"/>
  <c r="A1354" i="1"/>
  <c r="A638" i="1"/>
  <c r="A956" i="1"/>
  <c r="A1104" i="1"/>
  <c r="A745" i="1"/>
  <c r="A658" i="1"/>
  <c r="A409" i="1"/>
  <c r="A684" i="1"/>
  <c r="A236" i="1"/>
  <c r="A931" i="1"/>
  <c r="A738" i="1"/>
  <c r="A1319" i="1"/>
  <c r="A1193" i="1"/>
  <c r="A604" i="1"/>
  <c r="A414" i="1"/>
  <c r="A313" i="1"/>
  <c r="A344" i="1"/>
  <c r="A352" i="1"/>
  <c r="A460" i="1"/>
  <c r="A304" i="1"/>
  <c r="A268" i="1"/>
  <c r="A636" i="1"/>
  <c r="A586" i="1"/>
  <c r="A1086" i="1"/>
  <c r="A217" i="1"/>
  <c r="A41" i="1"/>
  <c r="A857" i="1"/>
  <c r="A1987" i="1"/>
  <c r="A1905" i="1"/>
  <c r="A1873" i="1"/>
  <c r="A1803" i="1"/>
  <c r="A373" i="1"/>
  <c r="A704" i="1"/>
  <c r="A2024" i="1"/>
  <c r="A2093" i="1"/>
  <c r="A1672" i="1"/>
  <c r="A1768" i="1"/>
  <c r="A1187" i="1"/>
  <c r="A1899" i="1"/>
  <c r="A1992" i="1"/>
  <c r="A1872" i="1"/>
  <c r="A1838" i="1"/>
  <c r="A1476" i="1"/>
  <c r="A276" i="1"/>
  <c r="A221" i="1"/>
  <c r="A100" i="1"/>
  <c r="A101" i="1"/>
  <c r="A102" i="1"/>
  <c r="A1144" i="1"/>
  <c r="A1427" i="1"/>
  <c r="A537" i="1"/>
  <c r="A319" i="1"/>
  <c r="A1568" i="1"/>
  <c r="A697" i="1"/>
  <c r="A199" i="1"/>
  <c r="A1498" i="1"/>
  <c r="A1499" i="1"/>
  <c r="A1075" i="1"/>
  <c r="A1076" i="1"/>
  <c r="A1077" i="1"/>
  <c r="A1078" i="1"/>
  <c r="A1500" i="1"/>
  <c r="A1079" i="1"/>
  <c r="A1080" i="1"/>
  <c r="A713" i="1"/>
  <c r="A714" i="1"/>
  <c r="A932" i="1"/>
  <c r="A715" i="1"/>
  <c r="A781" i="1"/>
  <c r="A782" i="1"/>
  <c r="A783" i="1"/>
  <c r="A784" i="1"/>
  <c r="A1501" i="1"/>
  <c r="A1502" i="1"/>
  <c r="A1081" i="1"/>
  <c r="A1082" i="1"/>
  <c r="A1403" i="1"/>
  <c r="A1083" i="1"/>
  <c r="A1084" i="1"/>
  <c r="A1085" i="1"/>
  <c r="A966" i="1"/>
  <c r="A1087" i="1"/>
  <c r="A941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529" i="1"/>
  <c r="A1503" i="1"/>
  <c r="A9" i="1"/>
  <c r="A1102" i="1"/>
  <c r="A1103" i="1"/>
  <c r="A109" i="1"/>
  <c r="A1505" i="1"/>
  <c r="A1105" i="1"/>
  <c r="A1106" i="1"/>
  <c r="A1107" i="1"/>
  <c r="A1108" i="1"/>
  <c r="A1248" i="1"/>
  <c r="A211" i="1"/>
  <c r="A916" i="1"/>
  <c r="A388" i="1"/>
  <c r="A360" i="1"/>
  <c r="A1217" i="1"/>
  <c r="A294" i="1"/>
  <c r="A258" i="1"/>
  <c r="A470" i="1"/>
  <c r="A561" i="1"/>
  <c r="A207" i="1"/>
  <c r="A475" i="1"/>
  <c r="A958" i="1"/>
  <c r="A1309" i="1"/>
  <c r="A862" i="1"/>
  <c r="A921" i="1"/>
  <c r="A197" i="1"/>
  <c r="A33" i="1"/>
  <c r="A1406" i="1"/>
  <c r="A975" i="1"/>
  <c r="A1160" i="1"/>
  <c r="A1407" i="1"/>
  <c r="A1285" i="1"/>
  <c r="A1264" i="1"/>
  <c r="A1614" i="1"/>
  <c r="A212" i="1"/>
  <c r="A1151" i="1"/>
  <c r="A702" i="1"/>
  <c r="A1172" i="1"/>
  <c r="A858" i="1"/>
  <c r="A673" i="1"/>
  <c r="A1513" i="1"/>
  <c r="A618" i="1"/>
  <c r="A252" i="1"/>
  <c r="A591" i="1"/>
  <c r="A807" i="1"/>
  <c r="A1147" i="1"/>
  <c r="A1209" i="1"/>
  <c r="A1290" i="1"/>
  <c r="A190" i="1"/>
  <c r="A1284" i="1"/>
  <c r="A150" i="1"/>
  <c r="A334" i="1"/>
  <c r="A213" i="1"/>
  <c r="A389" i="1"/>
  <c r="A314" i="1"/>
  <c r="A315" i="1"/>
  <c r="A361" i="1"/>
  <c r="A669" i="1"/>
  <c r="A208" i="1"/>
  <c r="A850" i="1"/>
  <c r="A733" i="1"/>
  <c r="A253" i="1"/>
  <c r="A238" i="1"/>
  <c r="A354" i="1"/>
  <c r="A1323" i="1"/>
  <c r="A518" i="1"/>
  <c r="A1015" i="1"/>
  <c r="A1526" i="1"/>
  <c r="A1318" i="1"/>
  <c r="A1727" i="1"/>
  <c r="A1504" i="1"/>
  <c r="A1693" i="1"/>
  <c r="A1387" i="1"/>
  <c r="A245" i="1"/>
  <c r="A27" i="1"/>
  <c r="A19" i="1"/>
  <c r="A1364" i="1"/>
  <c r="A950" i="1"/>
  <c r="A1071" i="1"/>
  <c r="A705" i="1"/>
  <c r="A1030" i="1"/>
  <c r="A1143" i="1"/>
  <c r="A825" i="1"/>
  <c r="A957" i="1"/>
  <c r="A929" i="1"/>
  <c r="A736" i="1"/>
  <c r="A717" i="1"/>
  <c r="A840" i="1"/>
  <c r="A1257" i="1"/>
  <c r="A423" i="1"/>
  <c r="A1522" i="1"/>
  <c r="A1328" i="1"/>
  <c r="A1691" i="1"/>
  <c r="A1955" i="1"/>
  <c r="A1979" i="1"/>
  <c r="A1587" i="1"/>
  <c r="A1312" i="1"/>
  <c r="A1408" i="1"/>
  <c r="A83" i="1"/>
  <c r="A842" i="1"/>
  <c r="A1322" i="1"/>
  <c r="A111" i="1"/>
  <c r="A567" i="1"/>
  <c r="A1592" i="1"/>
  <c r="A1604" i="1"/>
  <c r="A1231" i="1"/>
  <c r="A1256" i="1"/>
  <c r="A1602" i="1"/>
  <c r="A1624" i="1"/>
  <c r="A257" i="1"/>
  <c r="A263" i="1"/>
  <c r="A1615" i="1"/>
  <c r="A974" i="1"/>
  <c r="A696" i="1"/>
  <c r="A75" i="1"/>
  <c r="A1556" i="1"/>
  <c r="A631" i="1"/>
  <c r="A914" i="1"/>
  <c r="A1353" i="1"/>
  <c r="A309" i="1"/>
  <c r="A938" i="1"/>
  <c r="A943" i="1"/>
  <c r="A1206" i="1"/>
  <c r="A854" i="1"/>
  <c r="A279" i="1"/>
  <c r="A318" i="1"/>
  <c r="A1853" i="1"/>
  <c r="A376" i="1"/>
  <c r="A249" i="1"/>
  <c r="A194" i="1"/>
  <c r="A340" i="1"/>
  <c r="A677" i="1"/>
  <c r="A1140" i="1"/>
  <c r="A674" i="1"/>
  <c r="A516" i="1"/>
  <c r="A1200" i="1"/>
  <c r="A229" i="1"/>
  <c r="A1831" i="1"/>
  <c r="A635" i="1"/>
  <c r="A133" i="1"/>
  <c r="A1563" i="1"/>
  <c r="A778" i="1"/>
  <c r="A1525" i="1"/>
  <c r="A605" i="1"/>
  <c r="A1613" i="1"/>
  <c r="A492" i="1"/>
  <c r="A371" i="1"/>
  <c r="A1247" i="1"/>
  <c r="A1400" i="1"/>
  <c r="A1192" i="1"/>
  <c r="A920" i="1"/>
  <c r="A445" i="1"/>
  <c r="A1295" i="1"/>
  <c r="A1311" i="1"/>
  <c r="A84" i="1"/>
  <c r="A1196" i="1"/>
  <c r="A680" i="1"/>
  <c r="A1127" i="1"/>
  <c r="A1489" i="1"/>
  <c r="A1770" i="1"/>
  <c r="A811" i="1"/>
  <c r="A307" i="1"/>
  <c r="A491" i="1"/>
  <c r="A637" i="1"/>
  <c r="A1868" i="1"/>
  <c r="A1889" i="1"/>
  <c r="A1775" i="1"/>
  <c r="A602" i="1"/>
  <c r="A392" i="1"/>
  <c r="A1009" i="1"/>
  <c r="A2049" i="1"/>
  <c r="A573" i="1"/>
  <c r="A328" i="1"/>
  <c r="A1580" i="1"/>
  <c r="A1492" i="1"/>
  <c r="A1539" i="1"/>
  <c r="A1195" i="1"/>
  <c r="A178" i="1"/>
  <c r="A1329" i="1"/>
  <c r="A1240" i="1"/>
  <c r="A1158" i="1"/>
  <c r="A1286" i="1"/>
  <c r="A1595" i="1"/>
  <c r="A1572" i="1"/>
  <c r="A1369" i="1"/>
  <c r="A1175" i="1"/>
  <c r="A1201" i="1"/>
  <c r="A50" i="1"/>
  <c r="A1767" i="1"/>
  <c r="A1544" i="1"/>
  <c r="A1220" i="1"/>
  <c r="A1452" i="1"/>
  <c r="A1915" i="1"/>
  <c r="A20" i="1"/>
  <c r="A876" i="1"/>
  <c r="A173" i="1"/>
  <c r="A345" i="1"/>
  <c r="A761" i="1"/>
  <c r="A394" i="1"/>
  <c r="A108" i="1"/>
  <c r="A703" i="1"/>
  <c r="A364" i="1"/>
  <c r="A439" i="1"/>
  <c r="A532" i="1"/>
  <c r="A395" i="1"/>
  <c r="A440" i="1"/>
  <c r="A338" i="1"/>
  <c r="A1926" i="1"/>
  <c r="A51" i="1"/>
  <c r="A1441" i="1"/>
  <c r="A1622" i="1"/>
  <c r="A1664" i="1"/>
  <c r="A1709" i="1"/>
  <c r="A1367" i="1"/>
  <c r="A1616" i="1"/>
  <c r="A1596" i="1"/>
  <c r="A1665" i="1"/>
  <c r="A1677" i="1"/>
  <c r="A1274" i="1"/>
  <c r="A2041" i="1"/>
  <c r="A1668" i="1"/>
  <c r="A609" i="1"/>
  <c r="A1772" i="1"/>
  <c r="A1690" i="1"/>
  <c r="A1941" i="1"/>
  <c r="A1862" i="1"/>
  <c r="A2003" i="1"/>
  <c r="A1446" i="1"/>
  <c r="A1661" i="1"/>
  <c r="A1694" i="1"/>
  <c r="A1808" i="1"/>
  <c r="A1734" i="1"/>
  <c r="A2007" i="1"/>
  <c r="A2023" i="1"/>
  <c r="A1349" i="1"/>
  <c r="A726" i="1"/>
  <c r="A1880" i="1"/>
  <c r="A85" i="1"/>
  <c r="A1458" i="1"/>
  <c r="A1932" i="1"/>
  <c r="A1246" i="1"/>
  <c r="A1774" i="1"/>
  <c r="A841" i="1"/>
  <c r="A1640" i="1"/>
  <c r="A1765" i="1"/>
  <c r="A1253" i="1"/>
  <c r="A1234" i="1"/>
  <c r="A1806" i="1"/>
  <c r="A1073" i="1"/>
  <c r="A1669" i="1"/>
  <c r="A881" i="1"/>
  <c r="A262" i="1"/>
  <c r="A1670" i="1"/>
  <c r="A1074" i="1"/>
  <c r="A1801" i="1"/>
  <c r="A1718" i="1"/>
  <c r="A1782" i="1"/>
  <c r="A1957" i="1"/>
  <c r="A1605" i="1"/>
  <c r="A821" i="1"/>
  <c r="A1433" i="1"/>
  <c r="A653" i="1"/>
  <c r="A1865" i="1"/>
  <c r="A1642" i="1"/>
  <c r="A1579" i="1"/>
  <c r="A1244" i="1"/>
  <c r="A835" i="1"/>
  <c r="A836" i="1"/>
  <c r="A1018" i="1"/>
  <c r="A1265" i="1"/>
  <c r="A1783" i="1"/>
  <c r="A1940" i="1"/>
  <c r="A972" i="1"/>
  <c r="A2035" i="1"/>
  <c r="A1035" i="1"/>
  <c r="A2091" i="1"/>
  <c r="A2021" i="1"/>
  <c r="A2069" i="1"/>
  <c r="A1984" i="1"/>
  <c r="A90" i="1"/>
  <c r="A77" i="1"/>
  <c r="A1566" i="1"/>
  <c r="A58" i="1"/>
  <c r="A5" i="1"/>
  <c r="A1168" i="1"/>
  <c r="A1779" i="1"/>
  <c r="A1998" i="1"/>
  <c r="A1237" i="1"/>
  <c r="A1416" i="1"/>
  <c r="A1185" i="1"/>
  <c r="A1210" i="1"/>
  <c r="A104" i="1"/>
  <c r="A105" i="1"/>
  <c r="A106" i="1"/>
  <c r="A1990" i="1"/>
  <c r="A1882" i="1"/>
  <c r="A2068" i="1"/>
  <c r="A60" i="1"/>
  <c r="A2019" i="1"/>
  <c r="A1766" i="1"/>
  <c r="A2029" i="1"/>
  <c r="A2096" i="1"/>
  <c r="A300" i="1"/>
  <c r="A312" i="1"/>
  <c r="A320" i="1"/>
  <c r="A151" i="1"/>
  <c r="A679" i="1"/>
  <c r="A627" i="1"/>
  <c r="A366" i="1"/>
  <c r="A709" i="1"/>
  <c r="A324" i="1"/>
  <c r="A176" i="1"/>
  <c r="A1485" i="1"/>
  <c r="A78" i="1"/>
  <c r="A1715" i="1"/>
  <c r="A1304" i="1"/>
  <c r="A861" i="1"/>
  <c r="A2009" i="1"/>
  <c r="A1754" i="1"/>
  <c r="A1994" i="1"/>
  <c r="A1487" i="1"/>
  <c r="A626" i="1"/>
  <c r="A661" i="1"/>
  <c r="A325" i="1"/>
  <c r="A289" i="1"/>
  <c r="A269" i="1"/>
  <c r="A1486" i="1"/>
  <c r="A1488" i="1"/>
  <c r="A1401" i="1"/>
  <c r="A1275" i="1"/>
  <c r="A1204" i="1"/>
  <c r="A79" i="1"/>
  <c r="A1238" i="1"/>
  <c r="A1383" i="1"/>
  <c r="A1373" i="1"/>
  <c r="A181" i="1"/>
  <c r="A362" i="1"/>
  <c r="A1559" i="1"/>
  <c r="A1535" i="1"/>
  <c r="A261" i="1"/>
  <c r="A452" i="1"/>
  <c r="A1852" i="1"/>
  <c r="A39" i="1"/>
  <c r="A1007" i="1"/>
  <c r="A768" i="1"/>
  <c r="A855" i="1"/>
  <c r="A92" i="1"/>
  <c r="A856" i="1"/>
  <c r="A785" i="1"/>
  <c r="A976" i="1"/>
  <c r="A1785" i="1"/>
  <c r="A977" i="1"/>
  <c r="A1786" i="1"/>
  <c r="A57" i="1"/>
  <c r="A978" i="1"/>
  <c r="A1787" i="1"/>
  <c r="A28" i="1"/>
  <c r="A979" i="1"/>
  <c r="A1791" i="1"/>
  <c r="A36" i="1"/>
  <c r="A980" i="1"/>
  <c r="A1788" i="1"/>
  <c r="A981" i="1"/>
  <c r="A1789" i="1"/>
  <c r="A982" i="1"/>
  <c r="A1790" i="1"/>
  <c r="A983" i="1"/>
  <c r="A1792" i="1"/>
  <c r="A984" i="1"/>
  <c r="A1793" i="1"/>
  <c r="A985" i="1"/>
  <c r="A1794" i="1"/>
  <c r="A986" i="1"/>
  <c r="A1795" i="1"/>
  <c r="A987" i="1"/>
  <c r="A1796" i="1"/>
  <c r="A988" i="1"/>
  <c r="A1874" i="1"/>
  <c r="A37" i="1"/>
  <c r="A1182" i="1"/>
  <c r="A1797" i="1"/>
  <c r="A1258" i="1"/>
  <c r="A1404" i="1"/>
  <c r="A363" i="1"/>
  <c r="A103" i="1"/>
  <c r="A731" i="1"/>
  <c r="A694" i="1"/>
  <c r="A1254" i="1"/>
  <c r="A1255" i="1"/>
  <c r="A1327" i="1"/>
  <c r="A412" i="1"/>
  <c r="A1307" i="1"/>
  <c r="A1326" i="1"/>
  <c r="A1341" i="1"/>
  <c r="A1342" i="1"/>
  <c r="A1343" i="1"/>
  <c r="A1344" i="1"/>
  <c r="A1345" i="1"/>
  <c r="A1435" i="1"/>
  <c r="A1470" i="1"/>
  <c r="A1366" i="1"/>
  <c r="A1475" i="1"/>
  <c r="A247" i="1"/>
  <c r="A1236" i="1"/>
  <c r="A1682" i="1"/>
  <c r="A934" i="1"/>
  <c r="A434" i="1"/>
  <c r="A435" i="1"/>
  <c r="A509" i="1"/>
  <c r="A510" i="1"/>
  <c r="A511" i="1"/>
  <c r="A503" i="1"/>
  <c r="A504" i="1"/>
  <c r="A505" i="1"/>
  <c r="A506" i="1"/>
  <c r="A264" i="1"/>
  <c r="A507" i="1"/>
  <c r="A508" i="1"/>
  <c r="A559" i="1"/>
  <c r="A485" i="1"/>
  <c r="A96" i="1"/>
  <c r="A474" i="1"/>
  <c r="A1545" i="1"/>
  <c r="A359" i="1"/>
  <c r="A1222" i="1"/>
  <c r="A447" i="1"/>
  <c r="A1337" i="1"/>
  <c r="A1224" i="1"/>
  <c r="A448" i="1"/>
  <c r="A1338" i="1"/>
  <c r="A449" i="1"/>
  <c r="A1339" i="1"/>
  <c r="A458" i="1"/>
  <c r="A1358" i="1"/>
  <c r="A1064" i="1"/>
  <c r="A31" i="1"/>
  <c r="A21" i="1"/>
  <c r="A1648" i="1"/>
  <c r="A1649" i="1"/>
  <c r="A1652" i="1"/>
  <c r="A1510" i="1"/>
  <c r="A1650" i="1"/>
  <c r="A29" i="1"/>
  <c r="A1651" i="1"/>
  <c r="A30" i="1"/>
  <c r="A1653" i="1"/>
  <c r="A38" i="1"/>
  <c r="A1654" i="1"/>
  <c r="A1655" i="1"/>
  <c r="A1656" i="1"/>
  <c r="A1657" i="1"/>
  <c r="A1658" i="1"/>
  <c r="A1659" i="1"/>
  <c r="A1660" i="1"/>
  <c r="A1365" i="1"/>
  <c r="A866" i="1"/>
  <c r="A884" i="1"/>
  <c r="A867" i="1"/>
  <c r="A885" i="1"/>
  <c r="A868" i="1"/>
  <c r="A886" i="1"/>
  <c r="A869" i="1"/>
  <c r="A887" i="1"/>
  <c r="A870" i="1"/>
  <c r="A888" i="1"/>
  <c r="A871" i="1"/>
  <c r="A889" i="1"/>
  <c r="A872" i="1"/>
  <c r="A890" i="1"/>
  <c r="A873" i="1"/>
  <c r="A891" i="1"/>
  <c r="A935" i="1"/>
  <c r="A947" i="1"/>
  <c r="A936" i="1"/>
  <c r="A948" i="1"/>
  <c r="A949" i="1"/>
  <c r="A937" i="1"/>
  <c r="A1703" i="1"/>
  <c r="A1704" i="1"/>
  <c r="A1609" i="1"/>
  <c r="A1543" i="1"/>
  <c r="A88" i="1"/>
  <c r="A1705" i="1"/>
  <c r="A87" i="1"/>
  <c r="A1706" i="1"/>
  <c r="A1707" i="1"/>
  <c r="A1708" i="1"/>
  <c r="A1724" i="1"/>
  <c r="A875" i="1"/>
  <c r="A1725" i="1"/>
  <c r="A1810" i="1"/>
  <c r="A1811" i="1"/>
  <c r="A152" i="1"/>
  <c r="A1813" i="1"/>
  <c r="A1814" i="1"/>
  <c r="A1371" i="1"/>
  <c r="A396" i="1"/>
  <c r="A397" i="1"/>
  <c r="A97" i="1"/>
  <c r="A398" i="1"/>
  <c r="A399" i="1"/>
  <c r="A400" i="1"/>
  <c r="A401" i="1"/>
  <c r="A402" i="1"/>
  <c r="A403" i="1"/>
  <c r="A404" i="1"/>
  <c r="A405" i="1"/>
  <c r="A406" i="1"/>
  <c r="A407" i="1"/>
  <c r="A420" i="1"/>
  <c r="A421" i="1"/>
  <c r="A422" i="1"/>
  <c r="A179" i="1"/>
  <c r="A415" i="1"/>
  <c r="A342" i="1"/>
  <c r="A695" i="1"/>
  <c r="A110" i="1"/>
  <c r="A1732" i="1"/>
  <c r="A790" i="1"/>
  <c r="A308" i="1"/>
  <c r="A531" i="1"/>
  <c r="A1282" i="1"/>
  <c r="A520" i="1"/>
  <c r="A521" i="1"/>
  <c r="A1944" i="1"/>
  <c r="A522" i="1"/>
  <c r="A523" i="1"/>
  <c r="A524" i="1"/>
  <c r="A525" i="1"/>
  <c r="A526" i="1"/>
  <c r="A467" i="1"/>
  <c r="A1945" i="1"/>
  <c r="A494" i="1"/>
  <c r="A527" i="1"/>
  <c r="A528" i="1"/>
  <c r="A481" i="1"/>
  <c r="A625" i="1"/>
  <c r="A908" i="1"/>
  <c r="A999" i="1"/>
  <c r="A1002" i="1"/>
  <c r="A995" i="1"/>
  <c r="A998" i="1"/>
  <c r="A1000" i="1"/>
  <c r="A1013" i="1"/>
  <c r="A1034" i="1"/>
  <c r="A1048" i="1"/>
  <c r="A1049" i="1"/>
  <c r="A1038" i="1"/>
  <c r="A582" i="1"/>
  <c r="A544" i="1"/>
  <c r="A545" i="1"/>
  <c r="A546" i="1"/>
  <c r="A547" i="1"/>
  <c r="A557" i="1"/>
  <c r="A548" i="1"/>
  <c r="A549" i="1"/>
  <c r="A550" i="1"/>
  <c r="A551" i="1"/>
  <c r="A1849" i="1"/>
  <c r="A55" i="1"/>
  <c r="A1869" i="1"/>
  <c r="A1902" i="1"/>
  <c r="A1824" i="1"/>
  <c r="A1876" i="1"/>
  <c r="A23" i="1"/>
  <c r="A43" i="1"/>
  <c r="A1892" i="1"/>
  <c r="A24" i="1"/>
  <c r="A147" i="1"/>
  <c r="A1918" i="1"/>
  <c r="A25" i="1"/>
  <c r="A1919" i="1"/>
  <c r="A26" i="1"/>
  <c r="A1920" i="1"/>
  <c r="A22" i="1"/>
  <c r="A1921" i="1"/>
  <c r="A1922" i="1"/>
  <c r="A1923" i="1"/>
  <c r="A1924" i="1"/>
  <c r="A49" i="1"/>
  <c r="A1925" i="1"/>
  <c r="A640" i="1"/>
  <c r="A2095" i="1"/>
  <c r="A1405" i="1"/>
  <c r="A1967" i="1"/>
  <c r="A2000" i="1"/>
  <c r="A1968" i="1"/>
  <c r="A1999" i="1"/>
  <c r="A1463" i="1"/>
  <c r="A2054" i="1"/>
  <c r="A1618" i="1"/>
  <c r="A1856" i="1"/>
  <c r="A47" i="1"/>
  <c r="A1536" i="1"/>
  <c r="A48" i="1"/>
  <c r="A1348" i="1"/>
  <c r="A1409" i="1"/>
  <c r="A1540" i="1"/>
  <c r="A776" i="1"/>
  <c r="A1886" i="1"/>
  <c r="A1637" i="1"/>
  <c r="A1131" i="1"/>
  <c r="A1778" i="1"/>
  <c r="A1617" i="1"/>
  <c r="A1625" i="1"/>
  <c r="A1988" i="1"/>
  <c r="A1629" i="1"/>
  <c r="A1065" i="1"/>
  <c r="A1420" i="1"/>
  <c r="A1541" i="1"/>
  <c r="A1954" i="1"/>
  <c r="A1777" i="1"/>
  <c r="A1835" i="1"/>
  <c r="A924" i="1"/>
  <c r="A805" i="1"/>
  <c r="A74" i="1"/>
  <c r="A1454" i="1"/>
  <c r="A1939" i="1"/>
  <c r="A1935" i="1"/>
  <c r="A1626" i="1"/>
  <c r="A1468" i="1"/>
  <c r="A1927" i="1"/>
  <c r="A1132" i="1"/>
  <c r="A358" i="1"/>
  <c r="A1972" i="1"/>
  <c r="A2018" i="1"/>
  <c r="A814" i="1"/>
  <c r="A1631" i="1"/>
  <c r="A815" i="1"/>
  <c r="A1214" i="1"/>
  <c r="A1758" i="1"/>
  <c r="A1769" i="1"/>
  <c r="A617" i="1"/>
  <c r="A225" i="1"/>
  <c r="A1133" i="1"/>
  <c r="A827" i="1"/>
  <c r="A1836" i="1"/>
  <c r="A80" i="1"/>
  <c r="A1150" i="1"/>
  <c r="A390" i="1"/>
  <c r="A95" i="1"/>
  <c r="A1315" i="1"/>
  <c r="A1459" i="1"/>
  <c r="A1276" i="1"/>
  <c r="A1989" i="1"/>
  <c r="A1551" i="1"/>
  <c r="A1456" i="1"/>
  <c r="A1938" i="1"/>
  <c r="A2061" i="1"/>
  <c r="A2016" i="1"/>
  <c r="A2072" i="1"/>
  <c r="A2042" i="1"/>
  <c r="A1636" i="1"/>
  <c r="A1333" i="1"/>
  <c r="A1904" i="1"/>
  <c r="A1547" i="1"/>
  <c r="A1448" i="1"/>
  <c r="A1496" i="1"/>
  <c r="A1393" i="1"/>
  <c r="A2064" i="1"/>
  <c r="A2070" i="1"/>
  <c r="A2048" i="1"/>
  <c r="A277" i="1"/>
  <c r="A1623" i="1"/>
  <c r="A1956" i="1"/>
  <c r="A1858" i="1"/>
  <c r="A1464" i="1"/>
  <c r="A1334" i="1"/>
  <c r="A1875" i="1"/>
  <c r="A1519" i="1"/>
  <c r="A1169" i="1"/>
  <c r="A1800" i="1"/>
  <c r="A1149" i="1"/>
  <c r="A1321" i="1"/>
  <c r="A1958" i="1"/>
  <c r="A1883" i="1"/>
  <c r="A2038" i="1"/>
  <c r="A652" i="1"/>
  <c r="A1453" i="1"/>
  <c r="A278" i="1"/>
  <c r="A288" i="1"/>
  <c r="A620" i="1"/>
  <c r="A530" i="1"/>
  <c r="A750" i="1"/>
  <c r="A808" i="1"/>
  <c r="A581" i="1"/>
  <c r="A562" i="1"/>
  <c r="A737" i="1"/>
  <c r="A770" i="1"/>
  <c r="A878" i="1"/>
  <c r="A797" i="1"/>
  <c r="A905" i="1"/>
  <c r="A280" i="1"/>
  <c r="A281" i="1"/>
  <c r="A61" i="1"/>
  <c r="A86" i="1"/>
  <c r="A630" i="1"/>
  <c r="A587" i="1"/>
  <c r="A764" i="1"/>
  <c r="A1061" i="1"/>
  <c r="A73" i="1"/>
  <c r="A656" i="1"/>
  <c r="A1161" i="1"/>
  <c r="A81" i="1"/>
  <c r="A1221" i="1"/>
  <c r="A1414" i="1"/>
  <c r="A1223" i="1"/>
  <c r="A1021" i="1"/>
  <c r="A1460" i="1"/>
  <c r="A66" i="1"/>
  <c r="A98" i="1"/>
  <c r="A909" i="1"/>
  <c r="A1600" i="1"/>
  <c r="A989" i="1"/>
  <c r="A1508" i="1"/>
  <c r="A1134" i="1"/>
  <c r="A1191" i="1"/>
  <c r="A1382" i="1"/>
  <c r="A838" i="1"/>
  <c r="A1760" i="1"/>
  <c r="A1826" i="1"/>
  <c r="A2101" i="1"/>
  <c r="A2089" i="1"/>
  <c r="A2103" i="1"/>
  <c r="A2098" i="1"/>
  <c r="A742" i="1"/>
  <c r="A2104" i="1"/>
  <c r="A1306" i="1"/>
  <c r="A1591" i="1"/>
  <c r="A1726" i="1"/>
  <c r="A1645" i="1"/>
  <c r="A2045" i="1"/>
  <c r="A1861" i="1"/>
  <c r="A310" i="1"/>
  <c r="A1332" i="1"/>
  <c r="A180" i="1"/>
  <c r="A1314" i="1"/>
  <c r="A1399" i="1"/>
  <c r="A806" i="1"/>
  <c r="A1428" i="1"/>
  <c r="A1425" i="1"/>
  <c r="A135" i="1"/>
  <c r="A1472" i="1"/>
  <c r="A130" i="1"/>
  <c r="A1413" i="1"/>
  <c r="A443" i="1"/>
  <c r="A341" i="1"/>
  <c r="A1270" i="1"/>
  <c r="A141" i="1"/>
  <c r="A230" i="1"/>
  <c r="A1424" i="1"/>
  <c r="A206" i="1"/>
  <c r="A1426" i="1"/>
  <c r="A1467" i="1"/>
  <c r="A136" i="1"/>
  <c r="A128" i="1"/>
  <c r="A1417" i="1"/>
  <c r="A1188" i="1"/>
  <c r="A751" i="1"/>
  <c r="A131" i="1"/>
  <c r="A1418" i="1"/>
  <c r="A132" i="1"/>
  <c r="A2055" i="1"/>
  <c r="A2011" i="1"/>
  <c r="A1245" i="1"/>
  <c r="A2063" i="1"/>
  <c r="A2085" i="1"/>
  <c r="A1176" i="1"/>
  <c r="A15" i="1"/>
  <c r="A2099" i="1"/>
  <c r="A16" i="1"/>
  <c r="A17" i="1"/>
  <c r="A4" i="1"/>
  <c r="A2100" i="1"/>
  <c r="A1575" i="1"/>
  <c r="A1497" i="1"/>
  <c r="A1225" i="1"/>
  <c r="A1635" i="1"/>
  <c r="A1683" i="1"/>
  <c r="A739" i="1"/>
  <c r="A490" i="1"/>
  <c r="A588" i="1"/>
  <c r="A250" i="1"/>
  <c r="A2028" i="1"/>
  <c r="A901" i="1"/>
  <c r="A600" i="1"/>
  <c r="A1717" i="1"/>
  <c r="A65" i="1"/>
  <c r="A1004" i="1"/>
  <c r="A1628" i="1"/>
  <c r="A378" i="1"/>
  <c r="A62" i="1"/>
  <c r="A1283" i="1"/>
  <c r="A469" i="1"/>
  <c r="A1667" i="1"/>
  <c r="A1437" i="1"/>
  <c r="A67" i="1"/>
  <c r="A1646" i="1"/>
  <c r="A198" i="1"/>
  <c r="A1381" i="1"/>
  <c r="A1478" i="1"/>
  <c r="A1165" i="1"/>
  <c r="A1894" i="1"/>
  <c r="A1910" i="1"/>
  <c r="A1991" i="1"/>
  <c r="A2017" i="1"/>
  <c r="A1969" i="1"/>
  <c r="A2030" i="1"/>
  <c r="A1993" i="1"/>
  <c r="A741" i="1"/>
  <c r="A1666" i="1"/>
  <c r="A589" i="1"/>
  <c r="A1184" i="1"/>
  <c r="A1823" i="1"/>
  <c r="A792" i="1"/>
  <c r="A1521" i="1"/>
  <c r="A299" i="1"/>
  <c r="A645" i="1"/>
  <c r="A1523" i="1"/>
  <c r="A765" i="1"/>
  <c r="A1361" i="1"/>
  <c r="A688" i="1"/>
  <c r="A1362" i="1"/>
  <c r="A896" i="1"/>
  <c r="A930" i="1"/>
  <c r="A829" i="1"/>
  <c r="A1130" i="1"/>
  <c r="A431" i="1"/>
  <c r="A990" i="1"/>
  <c r="A799" i="1"/>
  <c r="A780" i="1"/>
  <c r="A1357" i="1"/>
  <c r="A1524" i="1"/>
  <c r="A1014" i="1"/>
  <c r="A1028" i="1"/>
  <c r="A644" i="1"/>
  <c r="A847" i="1"/>
  <c r="A454" i="1"/>
  <c r="A585" i="1"/>
  <c r="A1228" i="1"/>
  <c r="A565" i="1"/>
  <c r="A1398" i="1"/>
  <c r="A1293" i="1"/>
  <c r="A1546" i="1"/>
  <c r="A54" i="1"/>
  <c r="A1983" i="1"/>
  <c r="A1058" i="1"/>
  <c r="A1673" i="1"/>
  <c r="A222" i="1"/>
  <c r="A1287" i="1"/>
  <c r="A1532" i="1"/>
  <c r="A689" i="1"/>
  <c r="A800" i="1"/>
  <c r="A801" i="1"/>
  <c r="A1896" i="1"/>
  <c r="A1986" i="1"/>
  <c r="A1893" i="1"/>
  <c r="A155" i="1"/>
  <c r="A1533" i="1"/>
  <c r="A849" i="1"/>
  <c r="A2067" i="1"/>
  <c r="A1271" i="1"/>
  <c r="A1936" i="1"/>
  <c r="A1911" i="1"/>
  <c r="A1978" i="1"/>
  <c r="A1443" i="1"/>
  <c r="A1917" i="1"/>
  <c r="A2052" i="1"/>
  <c r="A969" i="1"/>
  <c r="A1855" i="1"/>
  <c r="A2051" i="1"/>
  <c r="A1712" i="1"/>
  <c r="A2058" i="1"/>
  <c r="A1860" i="1"/>
  <c r="A2060" i="1"/>
  <c r="A1279" i="1"/>
  <c r="A660" i="1"/>
  <c r="A973" i="1"/>
  <c r="A44" i="1"/>
  <c r="A1561" i="1"/>
  <c r="A1633" i="1"/>
  <c r="A1520" i="1"/>
  <c r="A1802" i="1"/>
  <c r="A813" i="1"/>
  <c r="A1812" i="1"/>
  <c r="A1346" i="1"/>
  <c r="A1554" i="1"/>
  <c r="A1203" i="1"/>
  <c r="A1439" i="1"/>
  <c r="A1380" i="1"/>
  <c r="A42" i="1"/>
  <c r="A1527" i="1"/>
  <c r="A735" i="1"/>
  <c r="A1347" i="1"/>
  <c r="A479" i="1"/>
  <c r="A670" i="1"/>
  <c r="A655" i="1"/>
  <c r="A1534" i="1"/>
  <c r="A1145" i="1"/>
  <c r="A584" i="1"/>
  <c r="A1741" i="1"/>
  <c r="A515" i="1"/>
  <c r="A1003" i="1"/>
  <c r="A1764" i="1"/>
  <c r="A906" i="1"/>
  <c r="A671" i="1"/>
  <c r="A52" i="1"/>
  <c r="A1680" i="1"/>
  <c r="A2034" i="1"/>
  <c r="A2090" i="1"/>
  <c r="A1916" i="1"/>
  <c r="A649" i="1"/>
  <c r="A365" i="1"/>
  <c r="A864" i="1"/>
  <c r="A284" i="1"/>
  <c r="A282" i="1"/>
  <c r="A283" i="1"/>
  <c r="A596" i="1"/>
  <c r="A302" i="1"/>
  <c r="A762" i="1"/>
  <c r="A455" i="1"/>
  <c r="A1483" i="1"/>
  <c r="A1747" i="1"/>
  <c r="A1864" i="1"/>
  <c r="A1728" i="1"/>
  <c r="A34" i="1"/>
  <c r="A1776" i="1"/>
  <c r="A1833" i="1"/>
  <c r="A1588" i="1"/>
  <c r="A1995" i="1"/>
  <c r="A332" i="1"/>
  <c r="A1229" i="1"/>
  <c r="A1885" i="1"/>
  <c r="A651" i="1"/>
  <c r="A14" i="1"/>
  <c r="A1912" i="1"/>
  <c r="A1481" i="1"/>
  <c r="A1687" i="1"/>
  <c r="A1241" i="1"/>
  <c r="A1744" i="1"/>
  <c r="A1444" i="1"/>
  <c r="A1173" i="1"/>
  <c r="A851" i="1"/>
  <c r="A728" i="1"/>
  <c r="A894" i="1"/>
  <c r="A1272" i="1"/>
  <c r="A1531" i="1"/>
  <c r="A1390" i="1"/>
  <c r="A1039" i="1"/>
  <c r="A182" i="1"/>
  <c r="A1317" i="1"/>
  <c r="A634" i="1"/>
  <c r="A1710" i="1"/>
  <c r="A1465" i="1"/>
  <c r="A940" i="1"/>
  <c r="A2082" i="1"/>
  <c r="A683" i="1"/>
  <c r="A519" i="1"/>
  <c r="A928" i="1"/>
  <c r="A82" i="1"/>
  <c r="A228" i="1"/>
  <c r="A802" i="1"/>
  <c r="A798" i="1"/>
  <c r="A592" i="1"/>
  <c r="A753" i="1"/>
  <c r="A1982" i="1"/>
  <c r="A1597" i="1"/>
  <c r="A2080" i="1"/>
  <c r="A569" i="1"/>
  <c r="A10" i="1"/>
  <c r="A8" i="1"/>
  <c r="A7" i="1"/>
  <c r="A2097" i="1"/>
  <c r="A13" i="1"/>
  <c r="A374" i="1"/>
  <c r="A1167" i="1"/>
  <c r="A1340" i="1"/>
  <c r="A895" i="1"/>
  <c r="A831" i="1"/>
  <c r="A1363" i="1"/>
  <c r="A1647" i="1"/>
  <c r="A1023" i="1"/>
  <c r="A1890" i="1"/>
  <c r="A1985" i="1"/>
  <c r="A2005" i="1"/>
  <c r="A2062" i="1"/>
  <c r="A2008" i="1"/>
  <c r="A1976" i="1"/>
  <c r="A2006" i="1"/>
  <c r="A1606" i="1"/>
  <c r="A2036" i="1"/>
  <c r="A1996" i="1"/>
  <c r="A2083" i="1"/>
  <c r="A2039" i="1"/>
  <c r="A2079" i="1"/>
  <c r="A997" i="1"/>
  <c r="A1671" i="1"/>
  <c r="A1056" i="1"/>
  <c r="A1171" i="1"/>
  <c r="A1374" i="1"/>
  <c r="A1057" i="1"/>
  <c r="A1180" i="1"/>
  <c r="A32" i="1"/>
  <c r="A1054" i="1"/>
  <c r="A1878" i="1"/>
  <c r="A1141" i="1"/>
  <c r="A1296" i="1"/>
  <c r="A1375" i="1"/>
  <c r="A1857" i="1"/>
  <c r="A1198" i="1"/>
  <c r="A1156" i="1"/>
  <c r="A1686" i="1"/>
  <c r="A248" i="1"/>
  <c r="A59" i="1"/>
  <c r="A964" i="1"/>
  <c r="A771" i="1"/>
  <c r="A1745" i="1"/>
  <c r="A1370" i="1"/>
  <c r="A1297" i="1"/>
  <c r="A1186" i="1"/>
  <c r="A1212" i="1"/>
  <c r="A355" i="1"/>
  <c r="A1688" i="1"/>
  <c r="A1447" i="1"/>
  <c r="A1396" i="1"/>
  <c r="A732" i="1"/>
  <c r="A1598" i="1"/>
  <c r="A1055" i="1"/>
  <c r="A687" i="1"/>
  <c r="A994" i="1"/>
  <c r="A699" i="1"/>
  <c r="A2044" i="1"/>
  <c r="A6" i="1"/>
  <c r="A1006" i="1"/>
  <c r="A710" i="1"/>
  <c r="A1022" i="1"/>
  <c r="A1199" i="1"/>
  <c r="A1469" i="1"/>
  <c r="A1298" i="1"/>
  <c r="A1385" i="1"/>
  <c r="A1268" i="1"/>
  <c r="A1834" i="1"/>
  <c r="A210" i="1"/>
  <c r="A577" i="1"/>
  <c r="A317" i="1"/>
  <c r="A758" i="1"/>
  <c r="A580" i="1"/>
  <c r="A1445" i="1"/>
  <c r="A367" i="1"/>
  <c r="A657" i="1"/>
  <c r="A413" i="1"/>
  <c r="A343" i="1"/>
  <c r="A1303" i="1"/>
  <c r="A322" i="1"/>
  <c r="A685" i="1"/>
  <c r="A351" i="1"/>
  <c r="A777" i="1"/>
  <c r="A1582" i="1"/>
  <c r="A1581" i="1"/>
  <c r="A1827" i="1"/>
  <c r="A1981" i="1"/>
  <c r="A1583" i="1"/>
  <c r="A1584" i="1"/>
  <c r="A1163" i="1"/>
  <c r="A1477" i="1"/>
  <c r="A1736" i="1"/>
  <c r="A1619" i="1"/>
  <c r="A295" i="1"/>
  <c r="A1974" i="1"/>
  <c r="A1335" i="1"/>
  <c r="A1737" i="1"/>
  <c r="A1897" i="1"/>
  <c r="A1585" i="1"/>
  <c r="A1828" i="1"/>
  <c r="A1900" i="1"/>
  <c r="A1742" i="1"/>
  <c r="A1965" i="1"/>
  <c r="A1751" i="1"/>
  <c r="A1746" i="1"/>
  <c r="A1870" i="1"/>
  <c r="A1627" i="1"/>
  <c r="A1267" i="1"/>
  <c r="A1784" i="1"/>
  <c r="A157" i="1"/>
  <c r="A893" i="1"/>
  <c r="A350" i="1"/>
  <c r="A939" i="1"/>
  <c r="A164" i="1"/>
  <c r="A2027" i="1"/>
  <c r="A91" i="1"/>
  <c r="A2026" i="1"/>
  <c r="A89" i="1"/>
  <c r="A2001" i="1"/>
  <c r="A1837" i="1"/>
  <c r="A1440" i="1"/>
  <c r="A1109" i="1"/>
  <c r="A45" i="1"/>
  <c r="C1070" i="1"/>
  <c r="B1070" i="1" s="1"/>
  <c r="C1809" i="1"/>
  <c r="B1809" i="1" s="1"/>
  <c r="C1164" i="1"/>
  <c r="B1164" i="1" s="1"/>
  <c r="C1757" i="1"/>
  <c r="B1757" i="1" s="1"/>
  <c r="C1356" i="1"/>
  <c r="B1356" i="1" s="1"/>
  <c r="C1630" i="1"/>
  <c r="B1630" i="1" s="1"/>
  <c r="C757" i="1"/>
  <c r="B757" i="1" s="1"/>
  <c r="C1569" i="1"/>
  <c r="B1569" i="1" s="1"/>
  <c r="C1553" i="1"/>
  <c r="B1553" i="1" s="1"/>
  <c r="C1762" i="1"/>
  <c r="B1762" i="1" s="1"/>
  <c r="C1181" i="1"/>
  <c r="B1181" i="1" s="1"/>
  <c r="C1963" i="1"/>
  <c r="B1963" i="1" s="1"/>
  <c r="C775" i="1"/>
  <c r="B775" i="1" s="1"/>
  <c r="C1350" i="1"/>
  <c r="B1350" i="1" s="1"/>
  <c r="C274" i="1"/>
  <c r="B274" i="1" s="1"/>
  <c r="C266" i="1"/>
  <c r="B266" i="1" s="1"/>
  <c r="C795" i="1"/>
  <c r="B795" i="1" s="1"/>
  <c r="C462" i="1"/>
  <c r="B462" i="1" s="1"/>
  <c r="C321" i="1"/>
  <c r="B321" i="1" s="1"/>
  <c r="C1432" i="1"/>
  <c r="B1432" i="1" s="1"/>
  <c r="C942" i="1"/>
  <c r="B942" i="1" s="1"/>
  <c r="C234" i="1"/>
  <c r="B234" i="1" s="1"/>
  <c r="C1914" i="1"/>
  <c r="B1914" i="1" s="1"/>
  <c r="C1898" i="1"/>
  <c r="B1898" i="1" s="1"/>
  <c r="C1232" i="1"/>
  <c r="B1232" i="1" s="1"/>
  <c r="C727" i="1"/>
  <c r="B727" i="1" s="1"/>
  <c r="C436" i="1"/>
  <c r="B436" i="1" s="1"/>
  <c r="C716" i="1"/>
  <c r="B716" i="1" s="1"/>
  <c r="C386" i="1"/>
  <c r="B386" i="1" s="1"/>
  <c r="C1215" i="1"/>
  <c r="B1215" i="1" s="1"/>
  <c r="C1008" i="1"/>
  <c r="B1008" i="1" s="1"/>
  <c r="C1854" i="1"/>
  <c r="B1854" i="1" s="1"/>
  <c r="C740" i="1"/>
  <c r="B740" i="1" s="1"/>
  <c r="C1174" i="1"/>
  <c r="B1174" i="1" s="1"/>
  <c r="C1679" i="1"/>
  <c r="B1679" i="1" s="1"/>
  <c r="C1269" i="1"/>
  <c r="B1269" i="1" s="1"/>
  <c r="C1750" i="1"/>
  <c r="B1750" i="1" s="1"/>
  <c r="C1170" i="1"/>
  <c r="B1170" i="1" s="1"/>
  <c r="C1462" i="1"/>
  <c r="B1462" i="1" s="1"/>
  <c r="C1157" i="1"/>
  <c r="B1157" i="1" s="1"/>
  <c r="C1479" i="1"/>
  <c r="B1479" i="1" s="1"/>
  <c r="C1261" i="1"/>
  <c r="B1261" i="1" s="1"/>
  <c r="C1780" i="1"/>
  <c r="B1780" i="1" s="1"/>
  <c r="C1781" i="1"/>
  <c r="B1781" i="1" s="1"/>
  <c r="C1136" i="1"/>
  <c r="B1136" i="1" s="1"/>
  <c r="C214" i="1"/>
  <c r="B214" i="1" s="1"/>
  <c r="C1548" i="1"/>
  <c r="B1548" i="1" s="1"/>
  <c r="C1610" i="1"/>
  <c r="B1610" i="1" s="1"/>
  <c r="C1755" i="1"/>
  <c r="B1755" i="1" s="1"/>
  <c r="C1148" i="1"/>
  <c r="B1148" i="1" s="1"/>
  <c r="C1603" i="1"/>
  <c r="B1603" i="1" s="1"/>
  <c r="C754" i="1"/>
  <c r="B754" i="1" s="1"/>
  <c r="C1251" i="1"/>
  <c r="B1251" i="1" s="1"/>
  <c r="C1415" i="1"/>
  <c r="B1415" i="1" s="1"/>
  <c r="C911" i="1"/>
  <c r="B911" i="1" s="1"/>
  <c r="C461" i="1"/>
  <c r="B461" i="1" s="1"/>
  <c r="C912" i="1"/>
  <c r="B912" i="1" s="1"/>
  <c r="C883" i="1"/>
  <c r="B883" i="1" s="1"/>
  <c r="C339" i="1"/>
  <c r="B339" i="1" s="1"/>
  <c r="C1291" i="1"/>
  <c r="B1291" i="1" s="1"/>
  <c r="C926" i="1"/>
  <c r="B926" i="1" s="1"/>
  <c r="C1005" i="1"/>
  <c r="B1005" i="1" s="1"/>
  <c r="C744" i="1"/>
  <c r="B744" i="1" s="1"/>
  <c r="C723" i="1"/>
  <c r="B723" i="1" s="1"/>
  <c r="C933" i="1"/>
  <c r="B933" i="1" s="1"/>
  <c r="C628" i="1"/>
  <c r="B628" i="1" s="1"/>
  <c r="C724" i="1"/>
  <c r="B724" i="1" s="1"/>
  <c r="C698" i="1"/>
  <c r="B698" i="1" s="1"/>
  <c r="C1069" i="1"/>
  <c r="B1069" i="1" s="1"/>
  <c r="C793" i="1"/>
  <c r="B793" i="1" s="1"/>
  <c r="C725" i="1"/>
  <c r="B725" i="1" s="1"/>
  <c r="C254" i="1"/>
  <c r="B254" i="1" s="1"/>
  <c r="C226" i="1"/>
  <c r="B226" i="1" s="1"/>
  <c r="C465" i="1"/>
  <c r="B465" i="1" s="1"/>
  <c r="C612" i="1"/>
  <c r="B612" i="1" s="1"/>
  <c r="C1154" i="1"/>
  <c r="B1154" i="1" s="1"/>
  <c r="C1641" i="1"/>
  <c r="B1641" i="1" s="1"/>
  <c r="C1759" i="1"/>
  <c r="B1759" i="1" s="1"/>
  <c r="C1395" i="1"/>
  <c r="B1395" i="1" s="1"/>
  <c r="C1799" i="1"/>
  <c r="B1799" i="1" s="1"/>
  <c r="C1763" i="1"/>
  <c r="B1763" i="1" s="1"/>
  <c r="C1903" i="1"/>
  <c r="B1903" i="1" s="1"/>
  <c r="C1733" i="1"/>
  <c r="B1733" i="1" s="1"/>
  <c r="C1528" i="1"/>
  <c r="B1528" i="1" s="1"/>
  <c r="C1410" i="1"/>
  <c r="B1410" i="1" s="1"/>
  <c r="C2015" i="1"/>
  <c r="B2015" i="1" s="1"/>
  <c r="C1178" i="1"/>
  <c r="B1178" i="1" s="1"/>
  <c r="C1512" i="1"/>
  <c r="B1512" i="1" s="1"/>
  <c r="C1847" i="1"/>
  <c r="B1847" i="1" s="1"/>
  <c r="C1829" i="1"/>
  <c r="B1829" i="1" s="1"/>
  <c r="C810" i="1"/>
  <c r="B810" i="1" s="1"/>
  <c r="C1997" i="1"/>
  <c r="B1997" i="1" s="1"/>
  <c r="C1305" i="1"/>
  <c r="B1305" i="1" s="1"/>
  <c r="C832" i="1"/>
  <c r="B832" i="1" s="1"/>
  <c r="C1516" i="1"/>
  <c r="B1516" i="1" s="1"/>
  <c r="C107" i="1"/>
  <c r="B107" i="1" s="1"/>
  <c r="C1937" i="1"/>
  <c r="B1937" i="1" s="1"/>
  <c r="C1449" i="1"/>
  <c r="B1449" i="1" s="1"/>
  <c r="C1908" i="1"/>
  <c r="B1908" i="1" s="1"/>
  <c r="C134" i="1"/>
  <c r="B134" i="1" s="1"/>
  <c r="C534" i="1"/>
  <c r="B534" i="1" s="1"/>
  <c r="C1060" i="1"/>
  <c r="B1060" i="1" s="1"/>
  <c r="C756" i="1"/>
  <c r="B756" i="1" s="1"/>
  <c r="C446" i="1"/>
  <c r="B446" i="1" s="1"/>
  <c r="C224" i="1"/>
  <c r="B224" i="1" s="1"/>
  <c r="C347" i="1"/>
  <c r="B347" i="1" s="1"/>
  <c r="C385" i="1"/>
  <c r="B385" i="1" s="1"/>
  <c r="C368" i="1"/>
  <c r="B368" i="1" s="1"/>
  <c r="C1574" i="1"/>
  <c r="B1574" i="1" s="1"/>
  <c r="C444" i="1"/>
  <c r="B444" i="1" s="1"/>
  <c r="C165" i="1"/>
  <c r="B165" i="1" s="1"/>
  <c r="C296" i="1"/>
  <c r="B296" i="1" s="1"/>
  <c r="C233" i="1"/>
  <c r="B233" i="1" s="1"/>
  <c r="C235" i="1"/>
  <c r="B235" i="1" s="1"/>
  <c r="C517" i="1"/>
  <c r="B517" i="1" s="1"/>
  <c r="C533" i="1"/>
  <c r="B533" i="1" s="1"/>
  <c r="C337" i="1"/>
  <c r="B337" i="1" s="1"/>
  <c r="C297" i="1"/>
  <c r="B297" i="1" s="1"/>
  <c r="C146" i="1"/>
  <c r="B146" i="1" s="1"/>
  <c r="C377" i="1"/>
  <c r="B377" i="1" s="1"/>
  <c r="C563" i="1"/>
  <c r="B563" i="1" s="1"/>
  <c r="C1560" i="1"/>
  <c r="B1560" i="1" s="1"/>
  <c r="C175" i="1"/>
  <c r="B175" i="1" s="1"/>
  <c r="C690" i="1"/>
  <c r="B690" i="1" s="1"/>
  <c r="C286" i="1"/>
  <c r="B286" i="1" s="1"/>
  <c r="C437" i="1"/>
  <c r="B437" i="1" s="1"/>
  <c r="C863" i="1"/>
  <c r="B863" i="1" s="1"/>
  <c r="C382" i="1"/>
  <c r="B382" i="1" s="1"/>
  <c r="C232" i="1"/>
  <c r="B232" i="1" s="1"/>
  <c r="C1740" i="1"/>
  <c r="B1740" i="1" s="1"/>
  <c r="C148" i="1"/>
  <c r="B148" i="1" s="1"/>
  <c r="C159" i="1"/>
  <c r="B159" i="1" s="1"/>
  <c r="C418" i="1"/>
  <c r="B418" i="1" s="1"/>
  <c r="C372" i="1"/>
  <c r="B372" i="1" s="1"/>
  <c r="C242" i="1"/>
  <c r="B242" i="1" s="1"/>
  <c r="C650" i="1"/>
  <c r="B650" i="1" s="1"/>
  <c r="C663" i="1"/>
  <c r="B663" i="1" s="1"/>
  <c r="C1719" i="1"/>
  <c r="B1719" i="1" s="1"/>
  <c r="C166" i="1"/>
  <c r="B166" i="1" s="1"/>
  <c r="C574" i="1"/>
  <c r="B574" i="1" s="1"/>
  <c r="C160" i="1"/>
  <c r="B160" i="1" s="1"/>
  <c r="C613" i="1"/>
  <c r="B613" i="1" s="1"/>
  <c r="C218" i="1"/>
  <c r="B218" i="1" s="1"/>
  <c r="C903" i="1"/>
  <c r="B903" i="1" s="1"/>
  <c r="C882" i="1"/>
  <c r="B882" i="1" s="1"/>
  <c r="C303" i="1"/>
  <c r="B303" i="1" s="1"/>
  <c r="C1743" i="1"/>
  <c r="B1743" i="1" s="1"/>
  <c r="C265" i="1"/>
  <c r="B265" i="1" s="1"/>
  <c r="C231" i="1"/>
  <c r="B231" i="1" s="1"/>
  <c r="C501" i="1"/>
  <c r="B501" i="1" s="1"/>
  <c r="C158" i="1"/>
  <c r="B158" i="1" s="1"/>
  <c r="C1026" i="1"/>
  <c r="B1026" i="1" s="1"/>
  <c r="C844" i="1"/>
  <c r="B844" i="1" s="1"/>
  <c r="C925" i="1"/>
  <c r="B925" i="1" s="1"/>
  <c r="C1909" i="1"/>
  <c r="B1909" i="1" s="1"/>
  <c r="C127" i="1"/>
  <c r="B127" i="1" s="1"/>
  <c r="C170" i="1"/>
  <c r="B170" i="1" s="1"/>
  <c r="C381" i="1"/>
  <c r="B381" i="1" s="1"/>
  <c r="C379" i="1"/>
  <c r="B379" i="1" s="1"/>
  <c r="C1850" i="1"/>
  <c r="B1850" i="1" s="1"/>
  <c r="C535" i="1"/>
  <c r="B535" i="1" s="1"/>
  <c r="C834" i="1"/>
  <c r="B834" i="1" s="1"/>
  <c r="C826" i="1"/>
  <c r="B826" i="1" s="1"/>
  <c r="C575" i="1"/>
  <c r="B575" i="1" s="1"/>
  <c r="C1644" i="1"/>
  <c r="B1644" i="1" s="1"/>
  <c r="C1040" i="1"/>
  <c r="B1040" i="1" s="1"/>
  <c r="C1068" i="1"/>
  <c r="B1068" i="1" s="1"/>
  <c r="C1971" i="1"/>
  <c r="B1971" i="1" s="1"/>
  <c r="C2088" i="1"/>
  <c r="B2088" i="1" s="1"/>
  <c r="C1621" i="1"/>
  <c r="B1621" i="1" s="1"/>
  <c r="C913" i="1"/>
  <c r="B913" i="1" s="1"/>
  <c r="C2010" i="1"/>
  <c r="B2010" i="1" s="1"/>
  <c r="C789" i="1"/>
  <c r="B789" i="1" s="1"/>
  <c r="C2025" i="1"/>
  <c r="B2025" i="1" s="1"/>
  <c r="C56" i="1"/>
  <c r="B56" i="1" s="1"/>
  <c r="C639" i="1"/>
  <c r="B639" i="1" s="1"/>
  <c r="C1692" i="1"/>
  <c r="B1692" i="1" s="1"/>
  <c r="C293" i="1"/>
  <c r="B293" i="1" s="1"/>
  <c r="C676" i="1"/>
  <c r="B676" i="1" s="1"/>
  <c r="C480" i="1"/>
  <c r="B480" i="1" s="1"/>
  <c r="C590" i="1"/>
  <c r="B590" i="1" s="1"/>
  <c r="C1807" i="1"/>
  <c r="B1807" i="1" s="1"/>
  <c r="C126" i="1"/>
  <c r="B126" i="1" s="1"/>
  <c r="C1607" i="1"/>
  <c r="B1607" i="1" s="1"/>
  <c r="C63" i="1"/>
  <c r="B63" i="1" s="1"/>
  <c r="C749" i="1"/>
  <c r="B749" i="1" s="1"/>
  <c r="C543" i="1"/>
  <c r="B543" i="1" s="1"/>
  <c r="C2102" i="1"/>
  <c r="B2102" i="1" s="1"/>
  <c r="C2" i="1"/>
  <c r="B2" i="1" s="1"/>
  <c r="C12" i="1"/>
  <c r="B12" i="1" s="1"/>
  <c r="C3" i="1"/>
  <c r="B3" i="1" s="1"/>
  <c r="C818" i="1"/>
  <c r="B818" i="1" s="1"/>
  <c r="C227" i="1"/>
  <c r="B227" i="1" s="1"/>
  <c r="C1934" i="1"/>
  <c r="B1934" i="1" s="1"/>
  <c r="C898" i="1"/>
  <c r="B898" i="1" s="1"/>
  <c r="C498" i="1"/>
  <c r="B498" i="1" s="1"/>
  <c r="C1047" i="1"/>
  <c r="B1047" i="1" s="1"/>
  <c r="C1205" i="1"/>
  <c r="B1205" i="1" s="1"/>
  <c r="C610" i="1"/>
  <c r="B610" i="1" s="1"/>
  <c r="C601" i="1"/>
  <c r="B601" i="1" s="1"/>
  <c r="C611" i="1"/>
  <c r="B611" i="1" s="1"/>
  <c r="C1066" i="1"/>
  <c r="B1066" i="1" s="1"/>
  <c r="C729" i="1"/>
  <c r="B729" i="1" s="1"/>
  <c r="C1372" i="1"/>
  <c r="B1372" i="1" s="1"/>
  <c r="C730" i="1"/>
  <c r="B730" i="1" s="1"/>
  <c r="C1354" i="1"/>
  <c r="B1354" i="1" s="1"/>
  <c r="C638" i="1"/>
  <c r="B638" i="1" s="1"/>
  <c r="C956" i="1"/>
  <c r="B956" i="1" s="1"/>
  <c r="C1104" i="1"/>
  <c r="B1104" i="1" s="1"/>
  <c r="C745" i="1"/>
  <c r="B745" i="1" s="1"/>
  <c r="C658" i="1"/>
  <c r="B658" i="1" s="1"/>
  <c r="C409" i="1"/>
  <c r="B409" i="1" s="1"/>
  <c r="C684" i="1"/>
  <c r="B684" i="1" s="1"/>
  <c r="C236" i="1"/>
  <c r="B236" i="1" s="1"/>
  <c r="C931" i="1"/>
  <c r="B931" i="1" s="1"/>
  <c r="C738" i="1"/>
  <c r="B738" i="1" s="1"/>
  <c r="C1319" i="1"/>
  <c r="B1319" i="1" s="1"/>
  <c r="C1193" i="1"/>
  <c r="B1193" i="1" s="1"/>
  <c r="C604" i="1"/>
  <c r="B604" i="1" s="1"/>
  <c r="C414" i="1"/>
  <c r="B414" i="1" s="1"/>
  <c r="C313" i="1"/>
  <c r="B313" i="1" s="1"/>
  <c r="C344" i="1"/>
  <c r="B344" i="1" s="1"/>
  <c r="C352" i="1"/>
  <c r="B352" i="1" s="1"/>
  <c r="C460" i="1"/>
  <c r="B460" i="1" s="1"/>
  <c r="C304" i="1"/>
  <c r="B304" i="1" s="1"/>
  <c r="C268" i="1"/>
  <c r="B268" i="1" s="1"/>
  <c r="C636" i="1"/>
  <c r="B636" i="1" s="1"/>
  <c r="C586" i="1"/>
  <c r="B586" i="1" s="1"/>
  <c r="C1086" i="1"/>
  <c r="B1086" i="1" s="1"/>
  <c r="C217" i="1"/>
  <c r="B217" i="1" s="1"/>
  <c r="C41" i="1"/>
  <c r="B41" i="1" s="1"/>
  <c r="C857" i="1"/>
  <c r="B857" i="1" s="1"/>
  <c r="C1987" i="1"/>
  <c r="B1987" i="1" s="1"/>
  <c r="C1905" i="1"/>
  <c r="B1905" i="1" s="1"/>
  <c r="C1873" i="1"/>
  <c r="B1873" i="1" s="1"/>
  <c r="C1803" i="1"/>
  <c r="B1803" i="1" s="1"/>
  <c r="C373" i="1"/>
  <c r="B373" i="1" s="1"/>
  <c r="C704" i="1"/>
  <c r="B704" i="1" s="1"/>
  <c r="C2024" i="1"/>
  <c r="B2024" i="1" s="1"/>
  <c r="C2093" i="1"/>
  <c r="B2093" i="1" s="1"/>
  <c r="C1672" i="1"/>
  <c r="B1672" i="1" s="1"/>
  <c r="C1768" i="1"/>
  <c r="B1768" i="1" s="1"/>
  <c r="C1187" i="1"/>
  <c r="B1187" i="1" s="1"/>
  <c r="C1899" i="1"/>
  <c r="B1899" i="1" s="1"/>
  <c r="C1992" i="1"/>
  <c r="B1992" i="1" s="1"/>
  <c r="C1872" i="1"/>
  <c r="B1872" i="1" s="1"/>
  <c r="C1838" i="1"/>
  <c r="B1838" i="1" s="1"/>
  <c r="C1476" i="1"/>
  <c r="B1476" i="1" s="1"/>
  <c r="C276" i="1"/>
  <c r="B276" i="1" s="1"/>
  <c r="C221" i="1"/>
  <c r="B221" i="1" s="1"/>
  <c r="C100" i="1"/>
  <c r="B100" i="1" s="1"/>
  <c r="C101" i="1"/>
  <c r="B101" i="1" s="1"/>
  <c r="C102" i="1"/>
  <c r="B102" i="1" s="1"/>
  <c r="C1144" i="1"/>
  <c r="B1144" i="1" s="1"/>
  <c r="C1427" i="1"/>
  <c r="B1427" i="1" s="1"/>
  <c r="C537" i="1"/>
  <c r="B537" i="1" s="1"/>
  <c r="C319" i="1"/>
  <c r="B319" i="1" s="1"/>
  <c r="C1568" i="1"/>
  <c r="B1568" i="1" s="1"/>
  <c r="C697" i="1"/>
  <c r="B697" i="1" s="1"/>
  <c r="C199" i="1"/>
  <c r="B199" i="1" s="1"/>
  <c r="C1498" i="1"/>
  <c r="B1498" i="1" s="1"/>
  <c r="C1499" i="1"/>
  <c r="B1499" i="1" s="1"/>
  <c r="C1075" i="1"/>
  <c r="B1075" i="1" s="1"/>
  <c r="C1076" i="1"/>
  <c r="B1076" i="1" s="1"/>
  <c r="C1077" i="1"/>
  <c r="B1077" i="1" s="1"/>
  <c r="C1078" i="1"/>
  <c r="B1078" i="1" s="1"/>
  <c r="C1500" i="1"/>
  <c r="B1500" i="1" s="1"/>
  <c r="C1079" i="1"/>
  <c r="B1079" i="1" s="1"/>
  <c r="C1080" i="1"/>
  <c r="B1080" i="1" s="1"/>
  <c r="C713" i="1"/>
  <c r="B713" i="1" s="1"/>
  <c r="C714" i="1"/>
  <c r="B714" i="1" s="1"/>
  <c r="C932" i="1"/>
  <c r="B932" i="1" s="1"/>
  <c r="C715" i="1"/>
  <c r="B715" i="1" s="1"/>
  <c r="C781" i="1"/>
  <c r="B781" i="1" s="1"/>
  <c r="C782" i="1"/>
  <c r="B782" i="1" s="1"/>
  <c r="C783" i="1"/>
  <c r="B783" i="1" s="1"/>
  <c r="C784" i="1"/>
  <c r="B784" i="1" s="1"/>
  <c r="C1501" i="1"/>
  <c r="B1501" i="1" s="1"/>
  <c r="C1502" i="1"/>
  <c r="B1502" i="1" s="1"/>
  <c r="C1081" i="1"/>
  <c r="B1081" i="1" s="1"/>
  <c r="C1082" i="1"/>
  <c r="B1082" i="1" s="1"/>
  <c r="C1403" i="1"/>
  <c r="B1403" i="1" s="1"/>
  <c r="C1083" i="1"/>
  <c r="B1083" i="1" s="1"/>
  <c r="C1084" i="1"/>
  <c r="B1084" i="1" s="1"/>
  <c r="C1085" i="1"/>
  <c r="B1085" i="1" s="1"/>
  <c r="C966" i="1"/>
  <c r="B966" i="1" s="1"/>
  <c r="C1087" i="1"/>
  <c r="B1087" i="1" s="1"/>
  <c r="C941" i="1"/>
  <c r="B941" i="1" s="1"/>
  <c r="C1088" i="1"/>
  <c r="B1088" i="1" s="1"/>
  <c r="C1089" i="1"/>
  <c r="B1089" i="1" s="1"/>
  <c r="C1090" i="1"/>
  <c r="B1090" i="1" s="1"/>
  <c r="C1091" i="1"/>
  <c r="B1091" i="1" s="1"/>
  <c r="C1092" i="1"/>
  <c r="B1092" i="1" s="1"/>
  <c r="C1093" i="1"/>
  <c r="B1093" i="1" s="1"/>
  <c r="C1094" i="1"/>
  <c r="B1094" i="1" s="1"/>
  <c r="C1095" i="1"/>
  <c r="B1095" i="1" s="1"/>
  <c r="C1096" i="1"/>
  <c r="B1096" i="1" s="1"/>
  <c r="C1097" i="1"/>
  <c r="B1097" i="1" s="1"/>
  <c r="C1098" i="1"/>
  <c r="B1098" i="1" s="1"/>
  <c r="C1099" i="1"/>
  <c r="B1099" i="1" s="1"/>
  <c r="C1100" i="1"/>
  <c r="B1100" i="1" s="1"/>
  <c r="C1101" i="1"/>
  <c r="B1101" i="1" s="1"/>
  <c r="C1529" i="1"/>
  <c r="B1529" i="1" s="1"/>
  <c r="C1503" i="1"/>
  <c r="B1503" i="1" s="1"/>
  <c r="C9" i="1"/>
  <c r="B9" i="1" s="1"/>
  <c r="C1102" i="1"/>
  <c r="B1102" i="1" s="1"/>
  <c r="C1103" i="1"/>
  <c r="B1103" i="1" s="1"/>
  <c r="C109" i="1"/>
  <c r="B109" i="1" s="1"/>
  <c r="C1505" i="1"/>
  <c r="B1505" i="1" s="1"/>
  <c r="C1105" i="1"/>
  <c r="B1105" i="1" s="1"/>
  <c r="C1106" i="1"/>
  <c r="B1106" i="1" s="1"/>
  <c r="C1107" i="1"/>
  <c r="B1107" i="1" s="1"/>
  <c r="C1108" i="1"/>
  <c r="B1108" i="1" s="1"/>
  <c r="C1248" i="1"/>
  <c r="B1248" i="1" s="1"/>
  <c r="C211" i="1"/>
  <c r="B211" i="1" s="1"/>
  <c r="C916" i="1"/>
  <c r="B916" i="1" s="1"/>
  <c r="C388" i="1"/>
  <c r="B388" i="1" s="1"/>
  <c r="C360" i="1"/>
  <c r="B360" i="1" s="1"/>
  <c r="C1217" i="1"/>
  <c r="B1217" i="1" s="1"/>
  <c r="C294" i="1"/>
  <c r="B294" i="1" s="1"/>
  <c r="C258" i="1"/>
  <c r="B258" i="1" s="1"/>
  <c r="C470" i="1"/>
  <c r="B470" i="1" s="1"/>
  <c r="C561" i="1"/>
  <c r="B561" i="1" s="1"/>
  <c r="C207" i="1"/>
  <c r="B207" i="1" s="1"/>
  <c r="C475" i="1"/>
  <c r="B475" i="1" s="1"/>
  <c r="C958" i="1"/>
  <c r="B958" i="1" s="1"/>
  <c r="C1309" i="1"/>
  <c r="B1309" i="1" s="1"/>
  <c r="C862" i="1"/>
  <c r="B862" i="1" s="1"/>
  <c r="C921" i="1"/>
  <c r="B921" i="1" s="1"/>
  <c r="C197" i="1"/>
  <c r="B197" i="1" s="1"/>
  <c r="C33" i="1"/>
  <c r="B33" i="1" s="1"/>
  <c r="C1406" i="1"/>
  <c r="B1406" i="1" s="1"/>
  <c r="C975" i="1"/>
  <c r="B975" i="1" s="1"/>
  <c r="C1160" i="1"/>
  <c r="B1160" i="1" s="1"/>
  <c r="C1407" i="1"/>
  <c r="B1407" i="1" s="1"/>
  <c r="C1285" i="1"/>
  <c r="B1285" i="1" s="1"/>
  <c r="C1264" i="1"/>
  <c r="B1264" i="1" s="1"/>
  <c r="C1614" i="1"/>
  <c r="B1614" i="1" s="1"/>
  <c r="C212" i="1"/>
  <c r="B212" i="1" s="1"/>
  <c r="C1151" i="1"/>
  <c r="B1151" i="1" s="1"/>
  <c r="C702" i="1"/>
  <c r="B702" i="1" s="1"/>
  <c r="C1172" i="1"/>
  <c r="B1172" i="1" s="1"/>
  <c r="C858" i="1"/>
  <c r="B858" i="1" s="1"/>
  <c r="C673" i="1"/>
  <c r="B673" i="1" s="1"/>
  <c r="C1513" i="1"/>
  <c r="B1513" i="1" s="1"/>
  <c r="C618" i="1"/>
  <c r="B618" i="1" s="1"/>
  <c r="C252" i="1"/>
  <c r="B252" i="1" s="1"/>
  <c r="C591" i="1"/>
  <c r="B591" i="1" s="1"/>
  <c r="C807" i="1"/>
  <c r="B807" i="1" s="1"/>
  <c r="C1147" i="1"/>
  <c r="B1147" i="1" s="1"/>
  <c r="C1209" i="1"/>
  <c r="B1209" i="1" s="1"/>
  <c r="C1290" i="1"/>
  <c r="B1290" i="1" s="1"/>
  <c r="C190" i="1"/>
  <c r="B190" i="1" s="1"/>
  <c r="C1284" i="1"/>
  <c r="B1284" i="1" s="1"/>
  <c r="C150" i="1"/>
  <c r="B150" i="1" s="1"/>
  <c r="C334" i="1"/>
  <c r="B334" i="1" s="1"/>
  <c r="C213" i="1"/>
  <c r="B213" i="1" s="1"/>
  <c r="C389" i="1"/>
  <c r="B389" i="1" s="1"/>
  <c r="C314" i="1"/>
  <c r="B314" i="1" s="1"/>
  <c r="C315" i="1"/>
  <c r="B315" i="1" s="1"/>
  <c r="C361" i="1"/>
  <c r="B361" i="1" s="1"/>
  <c r="C669" i="1"/>
  <c r="B669" i="1" s="1"/>
  <c r="C208" i="1"/>
  <c r="B208" i="1" s="1"/>
  <c r="C850" i="1"/>
  <c r="B850" i="1" s="1"/>
  <c r="C733" i="1"/>
  <c r="B733" i="1" s="1"/>
  <c r="C253" i="1"/>
  <c r="B253" i="1" s="1"/>
  <c r="C238" i="1"/>
  <c r="B238" i="1" s="1"/>
  <c r="C354" i="1"/>
  <c r="B354" i="1" s="1"/>
  <c r="C1323" i="1"/>
  <c r="B1323" i="1" s="1"/>
  <c r="C518" i="1"/>
  <c r="B518" i="1" s="1"/>
  <c r="C1015" i="1"/>
  <c r="B1015" i="1" s="1"/>
  <c r="C1526" i="1"/>
  <c r="B1526" i="1" s="1"/>
  <c r="C1318" i="1"/>
  <c r="B1318" i="1" s="1"/>
  <c r="C1727" i="1"/>
  <c r="B1727" i="1" s="1"/>
  <c r="C1504" i="1"/>
  <c r="B1504" i="1" s="1"/>
  <c r="C1693" i="1"/>
  <c r="B1693" i="1" s="1"/>
  <c r="C1387" i="1"/>
  <c r="B1387" i="1" s="1"/>
  <c r="C245" i="1"/>
  <c r="B245" i="1" s="1"/>
  <c r="C27" i="1"/>
  <c r="B27" i="1" s="1"/>
  <c r="C19" i="1"/>
  <c r="B19" i="1" s="1"/>
  <c r="C1364" i="1"/>
  <c r="B1364" i="1" s="1"/>
  <c r="C950" i="1"/>
  <c r="B950" i="1" s="1"/>
  <c r="C1071" i="1"/>
  <c r="B1071" i="1" s="1"/>
  <c r="C705" i="1"/>
  <c r="B705" i="1" s="1"/>
  <c r="C1030" i="1"/>
  <c r="B1030" i="1" s="1"/>
  <c r="C1143" i="1"/>
  <c r="B1143" i="1" s="1"/>
  <c r="C825" i="1"/>
  <c r="B825" i="1" s="1"/>
  <c r="C957" i="1"/>
  <c r="B957" i="1" s="1"/>
  <c r="C929" i="1"/>
  <c r="B929" i="1" s="1"/>
  <c r="C736" i="1"/>
  <c r="B736" i="1" s="1"/>
  <c r="C717" i="1"/>
  <c r="B717" i="1" s="1"/>
  <c r="C840" i="1"/>
  <c r="B840" i="1" s="1"/>
  <c r="C1257" i="1"/>
  <c r="B1257" i="1" s="1"/>
  <c r="C423" i="1"/>
  <c r="B423" i="1" s="1"/>
  <c r="C1522" i="1"/>
  <c r="B1522" i="1" s="1"/>
  <c r="C1328" i="1"/>
  <c r="B1328" i="1" s="1"/>
  <c r="C1691" i="1"/>
  <c r="B1691" i="1" s="1"/>
  <c r="C1955" i="1"/>
  <c r="B1955" i="1" s="1"/>
  <c r="C1979" i="1"/>
  <c r="B1979" i="1" s="1"/>
  <c r="C1587" i="1"/>
  <c r="B1587" i="1" s="1"/>
  <c r="C1312" i="1"/>
  <c r="B1312" i="1" s="1"/>
  <c r="C1408" i="1"/>
  <c r="B1408" i="1" s="1"/>
  <c r="C83" i="1"/>
  <c r="B83" i="1" s="1"/>
  <c r="C842" i="1"/>
  <c r="B842" i="1" s="1"/>
  <c r="C1322" i="1"/>
  <c r="B1322" i="1" s="1"/>
  <c r="C111" i="1"/>
  <c r="B111" i="1" s="1"/>
  <c r="C567" i="1"/>
  <c r="B567" i="1" s="1"/>
  <c r="C1592" i="1"/>
  <c r="B1592" i="1" s="1"/>
  <c r="C1604" i="1"/>
  <c r="B1604" i="1" s="1"/>
  <c r="C1231" i="1"/>
  <c r="B1231" i="1" s="1"/>
  <c r="C1256" i="1"/>
  <c r="B1256" i="1" s="1"/>
  <c r="C1602" i="1"/>
  <c r="B1602" i="1" s="1"/>
  <c r="C1624" i="1"/>
  <c r="B1624" i="1" s="1"/>
  <c r="C257" i="1"/>
  <c r="B257" i="1" s="1"/>
  <c r="C263" i="1"/>
  <c r="B263" i="1" s="1"/>
  <c r="C1615" i="1"/>
  <c r="B1615" i="1" s="1"/>
  <c r="C974" i="1"/>
  <c r="B974" i="1" s="1"/>
  <c r="C696" i="1"/>
  <c r="B696" i="1" s="1"/>
  <c r="C75" i="1"/>
  <c r="B75" i="1" s="1"/>
  <c r="C1556" i="1"/>
  <c r="B1556" i="1" s="1"/>
  <c r="C631" i="1"/>
  <c r="B631" i="1" s="1"/>
  <c r="C914" i="1"/>
  <c r="B914" i="1" s="1"/>
  <c r="C1353" i="1"/>
  <c r="B1353" i="1" s="1"/>
  <c r="C309" i="1"/>
  <c r="B309" i="1" s="1"/>
  <c r="C938" i="1"/>
  <c r="B938" i="1" s="1"/>
  <c r="C943" i="1"/>
  <c r="B943" i="1" s="1"/>
  <c r="C1206" i="1"/>
  <c r="B1206" i="1" s="1"/>
  <c r="C854" i="1"/>
  <c r="B854" i="1" s="1"/>
  <c r="C279" i="1"/>
  <c r="B279" i="1" s="1"/>
  <c r="C318" i="1"/>
  <c r="B318" i="1" s="1"/>
  <c r="C1853" i="1"/>
  <c r="B1853" i="1" s="1"/>
  <c r="C376" i="1"/>
  <c r="B376" i="1" s="1"/>
  <c r="C249" i="1"/>
  <c r="B249" i="1" s="1"/>
  <c r="C194" i="1"/>
  <c r="B194" i="1" s="1"/>
  <c r="C340" i="1"/>
  <c r="B340" i="1" s="1"/>
  <c r="C677" i="1"/>
  <c r="B677" i="1" s="1"/>
  <c r="C1140" i="1"/>
  <c r="B1140" i="1" s="1"/>
  <c r="C674" i="1"/>
  <c r="B674" i="1" s="1"/>
  <c r="C516" i="1"/>
  <c r="B516" i="1" s="1"/>
  <c r="C1200" i="1"/>
  <c r="B1200" i="1" s="1"/>
  <c r="C229" i="1"/>
  <c r="B229" i="1" s="1"/>
  <c r="C1831" i="1"/>
  <c r="B1831" i="1" s="1"/>
  <c r="C635" i="1"/>
  <c r="B635" i="1" s="1"/>
  <c r="C133" i="1"/>
  <c r="B133" i="1" s="1"/>
  <c r="C1563" i="1"/>
  <c r="B1563" i="1" s="1"/>
  <c r="C778" i="1"/>
  <c r="B778" i="1" s="1"/>
  <c r="C1525" i="1"/>
  <c r="B1525" i="1" s="1"/>
  <c r="C605" i="1"/>
  <c r="B605" i="1" s="1"/>
  <c r="C1613" i="1"/>
  <c r="B1613" i="1" s="1"/>
  <c r="C492" i="1"/>
  <c r="B492" i="1" s="1"/>
  <c r="C371" i="1"/>
  <c r="B371" i="1" s="1"/>
  <c r="C1247" i="1"/>
  <c r="B1247" i="1" s="1"/>
  <c r="C1400" i="1"/>
  <c r="B1400" i="1" s="1"/>
  <c r="C1192" i="1"/>
  <c r="B1192" i="1" s="1"/>
  <c r="C920" i="1"/>
  <c r="B920" i="1" s="1"/>
  <c r="C445" i="1"/>
  <c r="B445" i="1" s="1"/>
  <c r="C1295" i="1"/>
  <c r="B1295" i="1" s="1"/>
  <c r="C1311" i="1"/>
  <c r="B1311" i="1" s="1"/>
  <c r="C84" i="1"/>
  <c r="B84" i="1" s="1"/>
  <c r="C1196" i="1"/>
  <c r="B1196" i="1" s="1"/>
  <c r="C680" i="1"/>
  <c r="B680" i="1" s="1"/>
  <c r="C1127" i="1"/>
  <c r="B1127" i="1" s="1"/>
  <c r="C1489" i="1"/>
  <c r="B1489" i="1" s="1"/>
  <c r="C1770" i="1"/>
  <c r="B1770" i="1" s="1"/>
  <c r="C811" i="1"/>
  <c r="B811" i="1" s="1"/>
  <c r="C307" i="1"/>
  <c r="B307" i="1" s="1"/>
  <c r="C491" i="1"/>
  <c r="B491" i="1" s="1"/>
  <c r="C637" i="1"/>
  <c r="B637" i="1" s="1"/>
  <c r="C1868" i="1"/>
  <c r="B1868" i="1" s="1"/>
  <c r="C1889" i="1"/>
  <c r="B1889" i="1" s="1"/>
  <c r="C1775" i="1"/>
  <c r="B1775" i="1" s="1"/>
  <c r="C602" i="1"/>
  <c r="B602" i="1" s="1"/>
  <c r="C392" i="1"/>
  <c r="B392" i="1" s="1"/>
  <c r="C1009" i="1"/>
  <c r="B1009" i="1" s="1"/>
  <c r="C2049" i="1"/>
  <c r="B2049" i="1" s="1"/>
  <c r="C573" i="1"/>
  <c r="B573" i="1" s="1"/>
  <c r="C328" i="1"/>
  <c r="B328" i="1" s="1"/>
  <c r="C1580" i="1"/>
  <c r="B1580" i="1" s="1"/>
  <c r="C1492" i="1"/>
  <c r="B1492" i="1" s="1"/>
  <c r="C1539" i="1"/>
  <c r="B1539" i="1" s="1"/>
  <c r="C1195" i="1"/>
  <c r="B1195" i="1" s="1"/>
  <c r="C178" i="1"/>
  <c r="B178" i="1" s="1"/>
  <c r="C1329" i="1"/>
  <c r="B1329" i="1" s="1"/>
  <c r="C1240" i="1"/>
  <c r="B1240" i="1" s="1"/>
  <c r="C1158" i="1"/>
  <c r="B1158" i="1" s="1"/>
  <c r="C1286" i="1"/>
  <c r="B1286" i="1" s="1"/>
  <c r="C1595" i="1"/>
  <c r="B1595" i="1" s="1"/>
  <c r="C1572" i="1"/>
  <c r="B1572" i="1" s="1"/>
  <c r="C1369" i="1"/>
  <c r="B1369" i="1" s="1"/>
  <c r="C1175" i="1"/>
  <c r="B1175" i="1" s="1"/>
  <c r="C1201" i="1"/>
  <c r="B1201" i="1" s="1"/>
  <c r="C50" i="1"/>
  <c r="B50" i="1" s="1"/>
  <c r="C1767" i="1"/>
  <c r="B1767" i="1" s="1"/>
  <c r="C1544" i="1"/>
  <c r="B1544" i="1" s="1"/>
  <c r="C1220" i="1"/>
  <c r="B1220" i="1" s="1"/>
  <c r="C1452" i="1"/>
  <c r="B1452" i="1" s="1"/>
  <c r="C1915" i="1"/>
  <c r="B1915" i="1" s="1"/>
  <c r="C20" i="1"/>
  <c r="B20" i="1" s="1"/>
  <c r="C876" i="1"/>
  <c r="B876" i="1" s="1"/>
  <c r="C173" i="1"/>
  <c r="B173" i="1" s="1"/>
  <c r="C345" i="1"/>
  <c r="B345" i="1" s="1"/>
  <c r="C761" i="1"/>
  <c r="B761" i="1" s="1"/>
  <c r="C394" i="1"/>
  <c r="B394" i="1" s="1"/>
  <c r="C108" i="1"/>
  <c r="B108" i="1" s="1"/>
  <c r="C703" i="1"/>
  <c r="B703" i="1" s="1"/>
  <c r="C364" i="1"/>
  <c r="B364" i="1" s="1"/>
  <c r="C439" i="1"/>
  <c r="B439" i="1" s="1"/>
  <c r="C532" i="1"/>
  <c r="B532" i="1" s="1"/>
  <c r="C395" i="1"/>
  <c r="B395" i="1" s="1"/>
  <c r="C440" i="1"/>
  <c r="B440" i="1" s="1"/>
  <c r="C338" i="1"/>
  <c r="B338" i="1" s="1"/>
  <c r="C1926" i="1"/>
  <c r="B1926" i="1" s="1"/>
  <c r="C51" i="1"/>
  <c r="B51" i="1" s="1"/>
  <c r="C1441" i="1"/>
  <c r="B1441" i="1" s="1"/>
  <c r="C1622" i="1"/>
  <c r="B1622" i="1" s="1"/>
  <c r="C1664" i="1"/>
  <c r="B1664" i="1" s="1"/>
  <c r="C1709" i="1"/>
  <c r="B1709" i="1" s="1"/>
  <c r="C1367" i="1"/>
  <c r="B1367" i="1" s="1"/>
  <c r="C1616" i="1"/>
  <c r="B1616" i="1" s="1"/>
  <c r="C1596" i="1"/>
  <c r="B1596" i="1" s="1"/>
  <c r="C1665" i="1"/>
  <c r="B1665" i="1" s="1"/>
  <c r="C1677" i="1"/>
  <c r="B1677" i="1" s="1"/>
  <c r="C1274" i="1"/>
  <c r="B1274" i="1" s="1"/>
  <c r="C2041" i="1"/>
  <c r="B2041" i="1" s="1"/>
  <c r="C1668" i="1"/>
  <c r="B1668" i="1" s="1"/>
  <c r="C609" i="1"/>
  <c r="B609" i="1" s="1"/>
  <c r="C1772" i="1"/>
  <c r="B1772" i="1" s="1"/>
  <c r="C1690" i="1"/>
  <c r="B1690" i="1" s="1"/>
  <c r="C1941" i="1"/>
  <c r="B1941" i="1" s="1"/>
  <c r="C1862" i="1"/>
  <c r="B1862" i="1" s="1"/>
  <c r="C2003" i="1"/>
  <c r="B2003" i="1" s="1"/>
  <c r="C1446" i="1"/>
  <c r="B1446" i="1" s="1"/>
  <c r="C1661" i="1"/>
  <c r="B1661" i="1" s="1"/>
  <c r="C1694" i="1"/>
  <c r="B1694" i="1" s="1"/>
  <c r="C1808" i="1"/>
  <c r="B1808" i="1" s="1"/>
  <c r="C1734" i="1"/>
  <c r="B1734" i="1" s="1"/>
  <c r="C2007" i="1"/>
  <c r="B2007" i="1" s="1"/>
  <c r="C2023" i="1"/>
  <c r="B2023" i="1" s="1"/>
  <c r="C1349" i="1"/>
  <c r="B1349" i="1" s="1"/>
  <c r="C726" i="1"/>
  <c r="B726" i="1" s="1"/>
  <c r="C1880" i="1"/>
  <c r="B1880" i="1" s="1"/>
  <c r="C85" i="1"/>
  <c r="B85" i="1" s="1"/>
  <c r="C1458" i="1"/>
  <c r="B1458" i="1" s="1"/>
  <c r="C1932" i="1"/>
  <c r="B1932" i="1" s="1"/>
  <c r="C1246" i="1"/>
  <c r="B1246" i="1" s="1"/>
  <c r="C1774" i="1"/>
  <c r="B1774" i="1" s="1"/>
  <c r="C841" i="1"/>
  <c r="B841" i="1" s="1"/>
  <c r="C1640" i="1"/>
  <c r="B1640" i="1" s="1"/>
  <c r="C1765" i="1"/>
  <c r="B1765" i="1" s="1"/>
  <c r="C1253" i="1"/>
  <c r="B1253" i="1" s="1"/>
  <c r="C1234" i="1"/>
  <c r="B1234" i="1" s="1"/>
  <c r="C1806" i="1"/>
  <c r="B1806" i="1" s="1"/>
  <c r="C1073" i="1"/>
  <c r="B1073" i="1" s="1"/>
  <c r="C1669" i="1"/>
  <c r="B1669" i="1" s="1"/>
  <c r="C881" i="1"/>
  <c r="B881" i="1" s="1"/>
  <c r="C262" i="1"/>
  <c r="B262" i="1" s="1"/>
  <c r="C1670" i="1"/>
  <c r="B1670" i="1" s="1"/>
  <c r="C1074" i="1"/>
  <c r="B1074" i="1" s="1"/>
  <c r="C1801" i="1"/>
  <c r="B1801" i="1" s="1"/>
  <c r="C1718" i="1"/>
  <c r="B1718" i="1" s="1"/>
  <c r="C1782" i="1"/>
  <c r="B1782" i="1" s="1"/>
  <c r="C1957" i="1"/>
  <c r="B1957" i="1" s="1"/>
  <c r="C1605" i="1"/>
  <c r="B1605" i="1" s="1"/>
  <c r="C821" i="1"/>
  <c r="B821" i="1" s="1"/>
  <c r="C1433" i="1"/>
  <c r="B1433" i="1" s="1"/>
  <c r="C653" i="1"/>
  <c r="B653" i="1" s="1"/>
  <c r="C1865" i="1"/>
  <c r="B1865" i="1" s="1"/>
  <c r="C1642" i="1"/>
  <c r="B1642" i="1" s="1"/>
  <c r="C1579" i="1"/>
  <c r="B1579" i="1" s="1"/>
  <c r="C1244" i="1"/>
  <c r="B1244" i="1" s="1"/>
  <c r="C835" i="1"/>
  <c r="B835" i="1" s="1"/>
  <c r="C836" i="1"/>
  <c r="B836" i="1" s="1"/>
  <c r="C1018" i="1"/>
  <c r="B1018" i="1" s="1"/>
  <c r="C1265" i="1"/>
  <c r="B1265" i="1" s="1"/>
  <c r="C1783" i="1"/>
  <c r="B1783" i="1" s="1"/>
  <c r="C1940" i="1"/>
  <c r="B1940" i="1" s="1"/>
  <c r="C972" i="1"/>
  <c r="B972" i="1" s="1"/>
  <c r="C2035" i="1"/>
  <c r="B2035" i="1" s="1"/>
  <c r="C1035" i="1"/>
  <c r="B1035" i="1" s="1"/>
  <c r="C2091" i="1"/>
  <c r="B2091" i="1" s="1"/>
  <c r="C2021" i="1"/>
  <c r="B2021" i="1" s="1"/>
  <c r="C2069" i="1"/>
  <c r="B2069" i="1" s="1"/>
  <c r="C1984" i="1"/>
  <c r="B1984" i="1" s="1"/>
  <c r="C90" i="1"/>
  <c r="B90" i="1" s="1"/>
  <c r="C77" i="1"/>
  <c r="B77" i="1" s="1"/>
  <c r="C1566" i="1"/>
  <c r="B1566" i="1" s="1"/>
  <c r="C58" i="1"/>
  <c r="B58" i="1" s="1"/>
  <c r="C5" i="1"/>
  <c r="B5" i="1" s="1"/>
  <c r="C1168" i="1"/>
  <c r="B1168" i="1" s="1"/>
  <c r="C1779" i="1"/>
  <c r="B1779" i="1" s="1"/>
  <c r="C1998" i="1"/>
  <c r="B1998" i="1" s="1"/>
  <c r="C1237" i="1"/>
  <c r="B1237" i="1" s="1"/>
  <c r="C1416" i="1"/>
  <c r="B1416" i="1" s="1"/>
  <c r="C1185" i="1"/>
  <c r="B1185" i="1" s="1"/>
  <c r="C1210" i="1"/>
  <c r="B1210" i="1" s="1"/>
  <c r="C104" i="1"/>
  <c r="B104" i="1" s="1"/>
  <c r="C105" i="1"/>
  <c r="B105" i="1" s="1"/>
  <c r="C106" i="1"/>
  <c r="B106" i="1" s="1"/>
  <c r="C1990" i="1"/>
  <c r="B1990" i="1" s="1"/>
  <c r="C1882" i="1"/>
  <c r="B1882" i="1" s="1"/>
  <c r="C2068" i="1"/>
  <c r="B2068" i="1" s="1"/>
  <c r="C60" i="1"/>
  <c r="B60" i="1" s="1"/>
  <c r="C2019" i="1"/>
  <c r="B2019" i="1" s="1"/>
  <c r="C1766" i="1"/>
  <c r="B1766" i="1" s="1"/>
  <c r="C2029" i="1"/>
  <c r="B2029" i="1" s="1"/>
  <c r="C2096" i="1"/>
  <c r="B2096" i="1" s="1"/>
  <c r="C300" i="1"/>
  <c r="B300" i="1" s="1"/>
  <c r="C312" i="1"/>
  <c r="B312" i="1" s="1"/>
  <c r="C320" i="1"/>
  <c r="B320" i="1" s="1"/>
  <c r="C151" i="1"/>
  <c r="B151" i="1" s="1"/>
  <c r="C679" i="1"/>
  <c r="B679" i="1" s="1"/>
  <c r="C627" i="1"/>
  <c r="B627" i="1" s="1"/>
  <c r="C366" i="1"/>
  <c r="B366" i="1" s="1"/>
  <c r="C709" i="1"/>
  <c r="B709" i="1" s="1"/>
  <c r="C324" i="1"/>
  <c r="B324" i="1" s="1"/>
  <c r="C176" i="1"/>
  <c r="B176" i="1" s="1"/>
  <c r="C1485" i="1"/>
  <c r="B1485" i="1" s="1"/>
  <c r="C78" i="1"/>
  <c r="B78" i="1" s="1"/>
  <c r="C1715" i="1"/>
  <c r="B1715" i="1" s="1"/>
  <c r="C1304" i="1"/>
  <c r="B1304" i="1" s="1"/>
  <c r="C861" i="1"/>
  <c r="B861" i="1" s="1"/>
  <c r="C2009" i="1"/>
  <c r="B2009" i="1" s="1"/>
  <c r="C1754" i="1"/>
  <c r="B1754" i="1" s="1"/>
  <c r="C1994" i="1"/>
  <c r="B1994" i="1" s="1"/>
  <c r="C1487" i="1"/>
  <c r="B1487" i="1" s="1"/>
  <c r="C626" i="1"/>
  <c r="B626" i="1" s="1"/>
  <c r="C661" i="1"/>
  <c r="B661" i="1" s="1"/>
  <c r="C325" i="1"/>
  <c r="B325" i="1" s="1"/>
  <c r="C289" i="1"/>
  <c r="B289" i="1" s="1"/>
  <c r="C269" i="1"/>
  <c r="B269" i="1" s="1"/>
  <c r="C1486" i="1"/>
  <c r="B1486" i="1" s="1"/>
  <c r="C1488" i="1"/>
  <c r="B1488" i="1" s="1"/>
  <c r="C1401" i="1"/>
  <c r="B1401" i="1" s="1"/>
  <c r="C1275" i="1"/>
  <c r="B1275" i="1" s="1"/>
  <c r="C1204" i="1"/>
  <c r="B1204" i="1" s="1"/>
  <c r="C79" i="1"/>
  <c r="B79" i="1" s="1"/>
  <c r="C1238" i="1"/>
  <c r="B1238" i="1" s="1"/>
  <c r="C1383" i="1"/>
  <c r="B1383" i="1" s="1"/>
  <c r="C1373" i="1"/>
  <c r="B1373" i="1" s="1"/>
  <c r="C181" i="1"/>
  <c r="B181" i="1" s="1"/>
  <c r="C362" i="1"/>
  <c r="B362" i="1" s="1"/>
  <c r="C1559" i="1"/>
  <c r="B1559" i="1" s="1"/>
  <c r="C1535" i="1"/>
  <c r="B1535" i="1" s="1"/>
  <c r="C261" i="1"/>
  <c r="B261" i="1" s="1"/>
  <c r="C452" i="1"/>
  <c r="B452" i="1" s="1"/>
  <c r="C1852" i="1"/>
  <c r="B1852" i="1" s="1"/>
  <c r="C39" i="1"/>
  <c r="B39" i="1" s="1"/>
  <c r="C1007" i="1"/>
  <c r="B1007" i="1" s="1"/>
  <c r="C768" i="1"/>
  <c r="B768" i="1" s="1"/>
  <c r="C855" i="1"/>
  <c r="B855" i="1" s="1"/>
  <c r="C92" i="1"/>
  <c r="B92" i="1" s="1"/>
  <c r="C856" i="1"/>
  <c r="B856" i="1" s="1"/>
  <c r="C785" i="1"/>
  <c r="B785" i="1" s="1"/>
  <c r="C976" i="1"/>
  <c r="B976" i="1" s="1"/>
  <c r="C1785" i="1"/>
  <c r="B1785" i="1" s="1"/>
  <c r="C977" i="1"/>
  <c r="B977" i="1" s="1"/>
  <c r="C1786" i="1"/>
  <c r="B1786" i="1" s="1"/>
  <c r="C57" i="1"/>
  <c r="B57" i="1" s="1"/>
  <c r="C978" i="1"/>
  <c r="B978" i="1" s="1"/>
  <c r="C1787" i="1"/>
  <c r="B1787" i="1" s="1"/>
  <c r="C28" i="1"/>
  <c r="B28" i="1" s="1"/>
  <c r="C979" i="1"/>
  <c r="B979" i="1" s="1"/>
  <c r="C1791" i="1"/>
  <c r="B1791" i="1" s="1"/>
  <c r="C36" i="1"/>
  <c r="B36" i="1" s="1"/>
  <c r="C980" i="1"/>
  <c r="B980" i="1" s="1"/>
  <c r="C1788" i="1"/>
  <c r="B1788" i="1" s="1"/>
  <c r="C981" i="1"/>
  <c r="B981" i="1" s="1"/>
  <c r="C1789" i="1"/>
  <c r="B1789" i="1" s="1"/>
  <c r="C982" i="1"/>
  <c r="B982" i="1" s="1"/>
  <c r="C1790" i="1"/>
  <c r="B1790" i="1" s="1"/>
  <c r="C983" i="1"/>
  <c r="B983" i="1" s="1"/>
  <c r="C1792" i="1"/>
  <c r="B1792" i="1" s="1"/>
  <c r="C984" i="1"/>
  <c r="B984" i="1" s="1"/>
  <c r="C1793" i="1"/>
  <c r="B1793" i="1" s="1"/>
  <c r="C985" i="1"/>
  <c r="B985" i="1" s="1"/>
  <c r="C1794" i="1"/>
  <c r="B1794" i="1" s="1"/>
  <c r="C986" i="1"/>
  <c r="B986" i="1" s="1"/>
  <c r="C1795" i="1"/>
  <c r="B1795" i="1" s="1"/>
  <c r="C987" i="1"/>
  <c r="B987" i="1" s="1"/>
  <c r="C1796" i="1"/>
  <c r="B1796" i="1" s="1"/>
  <c r="C988" i="1"/>
  <c r="B988" i="1" s="1"/>
  <c r="C1874" i="1"/>
  <c r="B1874" i="1" s="1"/>
  <c r="C37" i="1"/>
  <c r="B37" i="1" s="1"/>
  <c r="C1182" i="1"/>
  <c r="B1182" i="1" s="1"/>
  <c r="C1797" i="1"/>
  <c r="B1797" i="1" s="1"/>
  <c r="C1258" i="1"/>
  <c r="B1258" i="1" s="1"/>
  <c r="C1404" i="1"/>
  <c r="B1404" i="1" s="1"/>
  <c r="C363" i="1"/>
  <c r="B363" i="1" s="1"/>
  <c r="C103" i="1"/>
  <c r="B103" i="1" s="1"/>
  <c r="C731" i="1"/>
  <c r="B731" i="1" s="1"/>
  <c r="C694" i="1"/>
  <c r="B694" i="1" s="1"/>
  <c r="C1254" i="1"/>
  <c r="B1254" i="1" s="1"/>
  <c r="C1255" i="1"/>
  <c r="B1255" i="1" s="1"/>
  <c r="C1327" i="1"/>
  <c r="B1327" i="1" s="1"/>
  <c r="C412" i="1"/>
  <c r="B412" i="1" s="1"/>
  <c r="C1307" i="1"/>
  <c r="B1307" i="1" s="1"/>
  <c r="C1326" i="1"/>
  <c r="B1326" i="1" s="1"/>
  <c r="C1341" i="1"/>
  <c r="B1341" i="1" s="1"/>
  <c r="C1342" i="1"/>
  <c r="B1342" i="1" s="1"/>
  <c r="C1343" i="1"/>
  <c r="B1343" i="1" s="1"/>
  <c r="C1344" i="1"/>
  <c r="B1344" i="1" s="1"/>
  <c r="C1345" i="1"/>
  <c r="B1345" i="1" s="1"/>
  <c r="C1435" i="1"/>
  <c r="B1435" i="1" s="1"/>
  <c r="C1470" i="1"/>
  <c r="B1470" i="1" s="1"/>
  <c r="C1366" i="1"/>
  <c r="B1366" i="1" s="1"/>
  <c r="C1475" i="1"/>
  <c r="B1475" i="1" s="1"/>
  <c r="C247" i="1"/>
  <c r="B247" i="1" s="1"/>
  <c r="C1236" i="1"/>
  <c r="B1236" i="1" s="1"/>
  <c r="C1682" i="1"/>
  <c r="B1682" i="1" s="1"/>
  <c r="C934" i="1"/>
  <c r="B934" i="1" s="1"/>
  <c r="C434" i="1"/>
  <c r="B434" i="1" s="1"/>
  <c r="C435" i="1"/>
  <c r="B435" i="1" s="1"/>
  <c r="C509" i="1"/>
  <c r="B509" i="1" s="1"/>
  <c r="C510" i="1"/>
  <c r="B510" i="1" s="1"/>
  <c r="C511" i="1"/>
  <c r="B511" i="1" s="1"/>
  <c r="C503" i="1"/>
  <c r="B503" i="1" s="1"/>
  <c r="C504" i="1"/>
  <c r="B504" i="1" s="1"/>
  <c r="C505" i="1"/>
  <c r="B505" i="1" s="1"/>
  <c r="C506" i="1"/>
  <c r="B506" i="1" s="1"/>
  <c r="C264" i="1"/>
  <c r="B264" i="1" s="1"/>
  <c r="C507" i="1"/>
  <c r="B507" i="1" s="1"/>
  <c r="C508" i="1"/>
  <c r="B508" i="1" s="1"/>
  <c r="C559" i="1"/>
  <c r="B559" i="1" s="1"/>
  <c r="C485" i="1"/>
  <c r="B485" i="1" s="1"/>
  <c r="C96" i="1"/>
  <c r="B96" i="1" s="1"/>
  <c r="C474" i="1"/>
  <c r="B474" i="1" s="1"/>
  <c r="C1545" i="1"/>
  <c r="B1545" i="1" s="1"/>
  <c r="C359" i="1"/>
  <c r="B359" i="1" s="1"/>
  <c r="C1222" i="1"/>
  <c r="B1222" i="1" s="1"/>
  <c r="C447" i="1"/>
  <c r="B447" i="1" s="1"/>
  <c r="C1337" i="1"/>
  <c r="B1337" i="1" s="1"/>
  <c r="C1224" i="1"/>
  <c r="B1224" i="1" s="1"/>
  <c r="C448" i="1"/>
  <c r="B448" i="1" s="1"/>
  <c r="C1338" i="1"/>
  <c r="B1338" i="1" s="1"/>
  <c r="C449" i="1"/>
  <c r="B449" i="1" s="1"/>
  <c r="C1339" i="1"/>
  <c r="B1339" i="1" s="1"/>
  <c r="C458" i="1"/>
  <c r="B458" i="1" s="1"/>
  <c r="C1358" i="1"/>
  <c r="B1358" i="1" s="1"/>
  <c r="C1064" i="1"/>
  <c r="B1064" i="1" s="1"/>
  <c r="C31" i="1"/>
  <c r="B31" i="1" s="1"/>
  <c r="C21" i="1"/>
  <c r="B21" i="1" s="1"/>
  <c r="C1648" i="1"/>
  <c r="B1648" i="1" s="1"/>
  <c r="C1649" i="1"/>
  <c r="B1649" i="1" s="1"/>
  <c r="C1652" i="1"/>
  <c r="B1652" i="1" s="1"/>
  <c r="C1510" i="1"/>
  <c r="B1510" i="1" s="1"/>
  <c r="C1650" i="1"/>
  <c r="B1650" i="1" s="1"/>
  <c r="C29" i="1"/>
  <c r="B29" i="1" s="1"/>
  <c r="C1651" i="1"/>
  <c r="B1651" i="1" s="1"/>
  <c r="C30" i="1"/>
  <c r="B30" i="1" s="1"/>
  <c r="C1653" i="1"/>
  <c r="B1653" i="1" s="1"/>
  <c r="C38" i="1"/>
  <c r="B38" i="1" s="1"/>
  <c r="C1654" i="1"/>
  <c r="B1654" i="1" s="1"/>
  <c r="C1655" i="1"/>
  <c r="B1655" i="1" s="1"/>
  <c r="C1656" i="1"/>
  <c r="B1656" i="1" s="1"/>
  <c r="C1657" i="1"/>
  <c r="B1657" i="1" s="1"/>
  <c r="C1658" i="1"/>
  <c r="B1658" i="1" s="1"/>
  <c r="C1659" i="1"/>
  <c r="B1659" i="1" s="1"/>
  <c r="C1660" i="1"/>
  <c r="B1660" i="1" s="1"/>
  <c r="C1365" i="1"/>
  <c r="B1365" i="1" s="1"/>
  <c r="C866" i="1"/>
  <c r="B866" i="1" s="1"/>
  <c r="C884" i="1"/>
  <c r="B884" i="1" s="1"/>
  <c r="C867" i="1"/>
  <c r="B867" i="1" s="1"/>
  <c r="C885" i="1"/>
  <c r="B885" i="1" s="1"/>
  <c r="C868" i="1"/>
  <c r="B868" i="1" s="1"/>
  <c r="C886" i="1"/>
  <c r="B886" i="1" s="1"/>
  <c r="C869" i="1"/>
  <c r="B869" i="1" s="1"/>
  <c r="C887" i="1"/>
  <c r="B887" i="1" s="1"/>
  <c r="C870" i="1"/>
  <c r="B870" i="1" s="1"/>
  <c r="C888" i="1"/>
  <c r="B888" i="1" s="1"/>
  <c r="C871" i="1"/>
  <c r="B871" i="1" s="1"/>
  <c r="C889" i="1"/>
  <c r="B889" i="1" s="1"/>
  <c r="C872" i="1"/>
  <c r="B872" i="1" s="1"/>
  <c r="C890" i="1"/>
  <c r="B890" i="1" s="1"/>
  <c r="C873" i="1"/>
  <c r="B873" i="1" s="1"/>
  <c r="C891" i="1"/>
  <c r="B891" i="1" s="1"/>
  <c r="C935" i="1"/>
  <c r="B935" i="1" s="1"/>
  <c r="C947" i="1"/>
  <c r="B947" i="1" s="1"/>
  <c r="C936" i="1"/>
  <c r="B936" i="1" s="1"/>
  <c r="C948" i="1"/>
  <c r="B948" i="1" s="1"/>
  <c r="C949" i="1"/>
  <c r="B949" i="1" s="1"/>
  <c r="C937" i="1"/>
  <c r="B937" i="1" s="1"/>
  <c r="C1703" i="1"/>
  <c r="B1703" i="1" s="1"/>
  <c r="C1704" i="1"/>
  <c r="B1704" i="1" s="1"/>
  <c r="C1609" i="1"/>
  <c r="B1609" i="1" s="1"/>
  <c r="C1543" i="1"/>
  <c r="B1543" i="1" s="1"/>
  <c r="C88" i="1"/>
  <c r="B88" i="1" s="1"/>
  <c r="C1705" i="1"/>
  <c r="B1705" i="1" s="1"/>
  <c r="C87" i="1"/>
  <c r="B87" i="1" s="1"/>
  <c r="C1706" i="1"/>
  <c r="B1706" i="1" s="1"/>
  <c r="C1707" i="1"/>
  <c r="B1707" i="1" s="1"/>
  <c r="C1708" i="1"/>
  <c r="B1708" i="1" s="1"/>
  <c r="C1724" i="1"/>
  <c r="B1724" i="1" s="1"/>
  <c r="C875" i="1"/>
  <c r="B875" i="1" s="1"/>
  <c r="C1725" i="1"/>
  <c r="B1725" i="1" s="1"/>
  <c r="C1810" i="1"/>
  <c r="B1810" i="1" s="1"/>
  <c r="C1811" i="1"/>
  <c r="B1811" i="1" s="1"/>
  <c r="C152" i="1"/>
  <c r="B152" i="1" s="1"/>
  <c r="C1813" i="1"/>
  <c r="B1813" i="1" s="1"/>
  <c r="C1814" i="1"/>
  <c r="B1814" i="1" s="1"/>
  <c r="C1371" i="1"/>
  <c r="B1371" i="1" s="1"/>
  <c r="C396" i="1"/>
  <c r="B396" i="1" s="1"/>
  <c r="C397" i="1"/>
  <c r="B397" i="1" s="1"/>
  <c r="C97" i="1"/>
  <c r="B97" i="1" s="1"/>
  <c r="C398" i="1"/>
  <c r="B398" i="1" s="1"/>
  <c r="C399" i="1"/>
  <c r="B399" i="1" s="1"/>
  <c r="C400" i="1"/>
  <c r="B400" i="1" s="1"/>
  <c r="C401" i="1"/>
  <c r="B401" i="1" s="1"/>
  <c r="C402" i="1"/>
  <c r="B402" i="1" s="1"/>
  <c r="C403" i="1"/>
  <c r="B403" i="1" s="1"/>
  <c r="C404" i="1"/>
  <c r="B404" i="1" s="1"/>
  <c r="C405" i="1"/>
  <c r="B405" i="1" s="1"/>
  <c r="C406" i="1"/>
  <c r="B406" i="1" s="1"/>
  <c r="C407" i="1"/>
  <c r="B407" i="1" s="1"/>
  <c r="C420" i="1"/>
  <c r="B420" i="1" s="1"/>
  <c r="C421" i="1"/>
  <c r="B421" i="1" s="1"/>
  <c r="C422" i="1"/>
  <c r="B422" i="1" s="1"/>
  <c r="C179" i="1"/>
  <c r="B179" i="1" s="1"/>
  <c r="C415" i="1"/>
  <c r="B415" i="1" s="1"/>
  <c r="C342" i="1"/>
  <c r="B342" i="1" s="1"/>
  <c r="C695" i="1"/>
  <c r="B695" i="1" s="1"/>
  <c r="C110" i="1"/>
  <c r="B110" i="1" s="1"/>
  <c r="C1732" i="1"/>
  <c r="B1732" i="1" s="1"/>
  <c r="C790" i="1"/>
  <c r="B790" i="1" s="1"/>
  <c r="C308" i="1"/>
  <c r="B308" i="1" s="1"/>
  <c r="C531" i="1"/>
  <c r="B531" i="1" s="1"/>
  <c r="C1282" i="1"/>
  <c r="B1282" i="1" s="1"/>
  <c r="C520" i="1"/>
  <c r="B520" i="1" s="1"/>
  <c r="C521" i="1"/>
  <c r="B521" i="1" s="1"/>
  <c r="C1944" i="1"/>
  <c r="B1944" i="1" s="1"/>
  <c r="C522" i="1"/>
  <c r="B522" i="1" s="1"/>
  <c r="C523" i="1"/>
  <c r="B523" i="1" s="1"/>
  <c r="C524" i="1"/>
  <c r="B524" i="1" s="1"/>
  <c r="C525" i="1"/>
  <c r="B525" i="1" s="1"/>
  <c r="C526" i="1"/>
  <c r="B526" i="1" s="1"/>
  <c r="C467" i="1"/>
  <c r="B467" i="1" s="1"/>
  <c r="C1945" i="1"/>
  <c r="B1945" i="1" s="1"/>
  <c r="C494" i="1"/>
  <c r="B494" i="1" s="1"/>
  <c r="C527" i="1"/>
  <c r="B527" i="1" s="1"/>
  <c r="C528" i="1"/>
  <c r="B528" i="1" s="1"/>
  <c r="C481" i="1"/>
  <c r="B481" i="1" s="1"/>
  <c r="C625" i="1"/>
  <c r="B625" i="1" s="1"/>
  <c r="C908" i="1"/>
  <c r="B908" i="1" s="1"/>
  <c r="C999" i="1"/>
  <c r="B999" i="1" s="1"/>
  <c r="C1002" i="1"/>
  <c r="B1002" i="1" s="1"/>
  <c r="C995" i="1"/>
  <c r="B995" i="1" s="1"/>
  <c r="C998" i="1"/>
  <c r="B998" i="1" s="1"/>
  <c r="C1000" i="1"/>
  <c r="B1000" i="1" s="1"/>
  <c r="C1013" i="1"/>
  <c r="B1013" i="1" s="1"/>
  <c r="C1034" i="1"/>
  <c r="B1034" i="1" s="1"/>
  <c r="C1048" i="1"/>
  <c r="B1048" i="1" s="1"/>
  <c r="C1049" i="1"/>
  <c r="B1049" i="1" s="1"/>
  <c r="C1038" i="1"/>
  <c r="B1038" i="1" s="1"/>
  <c r="C582" i="1"/>
  <c r="B582" i="1" s="1"/>
  <c r="C544" i="1"/>
  <c r="B544" i="1" s="1"/>
  <c r="C545" i="1"/>
  <c r="B545" i="1" s="1"/>
  <c r="C546" i="1"/>
  <c r="B546" i="1" s="1"/>
  <c r="C547" i="1"/>
  <c r="B547" i="1" s="1"/>
  <c r="C557" i="1"/>
  <c r="B557" i="1" s="1"/>
  <c r="C548" i="1"/>
  <c r="B548" i="1" s="1"/>
  <c r="C549" i="1"/>
  <c r="B549" i="1" s="1"/>
  <c r="C550" i="1"/>
  <c r="B550" i="1" s="1"/>
  <c r="C551" i="1"/>
  <c r="B551" i="1" s="1"/>
  <c r="C1849" i="1"/>
  <c r="B1849" i="1" s="1"/>
  <c r="C55" i="1"/>
  <c r="B55" i="1" s="1"/>
  <c r="C1869" i="1"/>
  <c r="B1869" i="1" s="1"/>
  <c r="C1902" i="1"/>
  <c r="B1902" i="1" s="1"/>
  <c r="C1824" i="1"/>
  <c r="B1824" i="1" s="1"/>
  <c r="C1876" i="1"/>
  <c r="B1876" i="1" s="1"/>
  <c r="C23" i="1"/>
  <c r="B23" i="1" s="1"/>
  <c r="C43" i="1"/>
  <c r="B43" i="1" s="1"/>
  <c r="C1892" i="1"/>
  <c r="B1892" i="1" s="1"/>
  <c r="C24" i="1"/>
  <c r="B24" i="1" s="1"/>
  <c r="C147" i="1"/>
  <c r="B147" i="1" s="1"/>
  <c r="C1918" i="1"/>
  <c r="B1918" i="1" s="1"/>
  <c r="C25" i="1"/>
  <c r="B25" i="1" s="1"/>
  <c r="C1919" i="1"/>
  <c r="B1919" i="1" s="1"/>
  <c r="C26" i="1"/>
  <c r="B26" i="1" s="1"/>
  <c r="C1920" i="1"/>
  <c r="B1920" i="1" s="1"/>
  <c r="C22" i="1"/>
  <c r="B22" i="1" s="1"/>
  <c r="C1921" i="1"/>
  <c r="B1921" i="1" s="1"/>
  <c r="C1922" i="1"/>
  <c r="B1922" i="1" s="1"/>
  <c r="C1923" i="1"/>
  <c r="B1923" i="1" s="1"/>
  <c r="C1924" i="1"/>
  <c r="B1924" i="1" s="1"/>
  <c r="C49" i="1"/>
  <c r="B49" i="1" s="1"/>
  <c r="C1925" i="1"/>
  <c r="B1925" i="1" s="1"/>
  <c r="C640" i="1"/>
  <c r="B640" i="1" s="1"/>
  <c r="C2095" i="1"/>
  <c r="B2095" i="1" s="1"/>
  <c r="C1405" i="1"/>
  <c r="B1405" i="1" s="1"/>
  <c r="C1967" i="1"/>
  <c r="B1967" i="1" s="1"/>
  <c r="C2000" i="1"/>
  <c r="B2000" i="1" s="1"/>
  <c r="C1968" i="1"/>
  <c r="B1968" i="1" s="1"/>
  <c r="C1999" i="1"/>
  <c r="B1999" i="1" s="1"/>
  <c r="C1463" i="1"/>
  <c r="B1463" i="1" s="1"/>
  <c r="C2054" i="1"/>
  <c r="B2054" i="1" s="1"/>
  <c r="C1618" i="1"/>
  <c r="B1618" i="1" s="1"/>
  <c r="C1856" i="1"/>
  <c r="B1856" i="1" s="1"/>
  <c r="C47" i="1"/>
  <c r="B47" i="1" s="1"/>
  <c r="C1536" i="1"/>
  <c r="B1536" i="1" s="1"/>
  <c r="C48" i="1"/>
  <c r="B48" i="1" s="1"/>
  <c r="C1348" i="1"/>
  <c r="B1348" i="1" s="1"/>
  <c r="C1409" i="1"/>
  <c r="B1409" i="1" s="1"/>
  <c r="C1540" i="1"/>
  <c r="B1540" i="1" s="1"/>
  <c r="C776" i="1"/>
  <c r="B776" i="1" s="1"/>
  <c r="C1886" i="1"/>
  <c r="B1886" i="1" s="1"/>
  <c r="C1637" i="1"/>
  <c r="B1637" i="1" s="1"/>
  <c r="C1131" i="1"/>
  <c r="B1131" i="1" s="1"/>
  <c r="C1778" i="1"/>
  <c r="B1778" i="1" s="1"/>
  <c r="C1617" i="1"/>
  <c r="B1617" i="1" s="1"/>
  <c r="C1625" i="1"/>
  <c r="B1625" i="1" s="1"/>
  <c r="C1988" i="1"/>
  <c r="B1988" i="1" s="1"/>
  <c r="C1629" i="1"/>
  <c r="B1629" i="1" s="1"/>
  <c r="C1065" i="1"/>
  <c r="B1065" i="1" s="1"/>
  <c r="C1420" i="1"/>
  <c r="B1420" i="1" s="1"/>
  <c r="C1541" i="1"/>
  <c r="B1541" i="1" s="1"/>
  <c r="C1954" i="1"/>
  <c r="B1954" i="1" s="1"/>
  <c r="C1777" i="1"/>
  <c r="B1777" i="1" s="1"/>
  <c r="C1835" i="1"/>
  <c r="B1835" i="1" s="1"/>
  <c r="C924" i="1"/>
  <c r="B924" i="1" s="1"/>
  <c r="C805" i="1"/>
  <c r="B805" i="1" s="1"/>
  <c r="C74" i="1"/>
  <c r="B74" i="1" s="1"/>
  <c r="C1454" i="1"/>
  <c r="B1454" i="1" s="1"/>
  <c r="C1939" i="1"/>
  <c r="B1939" i="1" s="1"/>
  <c r="C1935" i="1"/>
  <c r="B1935" i="1" s="1"/>
  <c r="C1626" i="1"/>
  <c r="B1626" i="1" s="1"/>
  <c r="C1468" i="1"/>
  <c r="B1468" i="1" s="1"/>
  <c r="C1927" i="1"/>
  <c r="B1927" i="1" s="1"/>
  <c r="C1132" i="1"/>
  <c r="B1132" i="1" s="1"/>
  <c r="C358" i="1"/>
  <c r="B358" i="1" s="1"/>
  <c r="C1972" i="1"/>
  <c r="B1972" i="1" s="1"/>
  <c r="C2018" i="1"/>
  <c r="B2018" i="1" s="1"/>
  <c r="C814" i="1"/>
  <c r="B814" i="1" s="1"/>
  <c r="C1631" i="1"/>
  <c r="B1631" i="1" s="1"/>
  <c r="C815" i="1"/>
  <c r="B815" i="1" s="1"/>
  <c r="C1214" i="1"/>
  <c r="B1214" i="1" s="1"/>
  <c r="C1758" i="1"/>
  <c r="C1769" i="1"/>
  <c r="B1769" i="1" s="1"/>
  <c r="C617" i="1"/>
  <c r="B617" i="1" s="1"/>
  <c r="C225" i="1"/>
  <c r="B225" i="1" s="1"/>
  <c r="C1133" i="1"/>
  <c r="B1133" i="1" s="1"/>
  <c r="C827" i="1"/>
  <c r="B827" i="1" s="1"/>
  <c r="C1836" i="1"/>
  <c r="B1836" i="1" s="1"/>
  <c r="C80" i="1"/>
  <c r="B80" i="1" s="1"/>
  <c r="C1150" i="1"/>
  <c r="B1150" i="1" s="1"/>
  <c r="C390" i="1"/>
  <c r="B390" i="1" s="1"/>
  <c r="C95" i="1"/>
  <c r="B95" i="1" s="1"/>
  <c r="C1315" i="1"/>
  <c r="B1315" i="1" s="1"/>
  <c r="C1459" i="1"/>
  <c r="B1459" i="1" s="1"/>
  <c r="C1276" i="1"/>
  <c r="B1276" i="1" s="1"/>
  <c r="C1989" i="1"/>
  <c r="B1989" i="1" s="1"/>
  <c r="C1551" i="1"/>
  <c r="B1551" i="1" s="1"/>
  <c r="C1456" i="1"/>
  <c r="B1456" i="1" s="1"/>
  <c r="C1938" i="1"/>
  <c r="B1938" i="1" s="1"/>
  <c r="C2061" i="1"/>
  <c r="B2061" i="1" s="1"/>
  <c r="C2016" i="1"/>
  <c r="B2016" i="1" s="1"/>
  <c r="C2072" i="1"/>
  <c r="B2072" i="1" s="1"/>
  <c r="C2042" i="1"/>
  <c r="B2042" i="1" s="1"/>
  <c r="C1636" i="1"/>
  <c r="B1636" i="1" s="1"/>
  <c r="C1333" i="1"/>
  <c r="B1333" i="1" s="1"/>
  <c r="C1904" i="1"/>
  <c r="B1904" i="1" s="1"/>
  <c r="C1547" i="1"/>
  <c r="B1547" i="1" s="1"/>
  <c r="C1448" i="1"/>
  <c r="B1448" i="1" s="1"/>
  <c r="C1496" i="1"/>
  <c r="B1496" i="1" s="1"/>
  <c r="C1393" i="1"/>
  <c r="B1393" i="1" s="1"/>
  <c r="C2064" i="1"/>
  <c r="B2064" i="1" s="1"/>
  <c r="C2070" i="1"/>
  <c r="B2070" i="1" s="1"/>
  <c r="C2048" i="1"/>
  <c r="B2048" i="1" s="1"/>
  <c r="C277" i="1"/>
  <c r="B277" i="1" s="1"/>
  <c r="C1623" i="1"/>
  <c r="B1623" i="1" s="1"/>
  <c r="C1956" i="1"/>
  <c r="B1956" i="1" s="1"/>
  <c r="C1858" i="1"/>
  <c r="B1858" i="1" s="1"/>
  <c r="C1464" i="1"/>
  <c r="B1464" i="1" s="1"/>
  <c r="C1334" i="1"/>
  <c r="B1334" i="1" s="1"/>
  <c r="C1875" i="1"/>
  <c r="B1875" i="1" s="1"/>
  <c r="C1519" i="1"/>
  <c r="B1519" i="1" s="1"/>
  <c r="C1169" i="1"/>
  <c r="B1169" i="1" s="1"/>
  <c r="C1800" i="1"/>
  <c r="B1800" i="1" s="1"/>
  <c r="C1149" i="1"/>
  <c r="B1149" i="1" s="1"/>
  <c r="C1321" i="1"/>
  <c r="B1321" i="1" s="1"/>
  <c r="C1958" i="1"/>
  <c r="B1958" i="1" s="1"/>
  <c r="C1883" i="1"/>
  <c r="B1883" i="1" s="1"/>
  <c r="C2038" i="1"/>
  <c r="B2038" i="1" s="1"/>
  <c r="C652" i="1"/>
  <c r="B652" i="1" s="1"/>
  <c r="C1453" i="1"/>
  <c r="B1453" i="1" s="1"/>
  <c r="C278" i="1"/>
  <c r="B278" i="1" s="1"/>
  <c r="C288" i="1"/>
  <c r="B288" i="1" s="1"/>
  <c r="C620" i="1"/>
  <c r="B620" i="1" s="1"/>
  <c r="C530" i="1"/>
  <c r="B530" i="1" s="1"/>
  <c r="C750" i="1"/>
  <c r="B750" i="1" s="1"/>
  <c r="C808" i="1"/>
  <c r="B808" i="1" s="1"/>
  <c r="C581" i="1"/>
  <c r="B581" i="1" s="1"/>
  <c r="C562" i="1"/>
  <c r="B562" i="1" s="1"/>
  <c r="C737" i="1"/>
  <c r="B737" i="1" s="1"/>
  <c r="C770" i="1"/>
  <c r="B770" i="1" s="1"/>
  <c r="C878" i="1"/>
  <c r="B878" i="1" s="1"/>
  <c r="C797" i="1"/>
  <c r="B797" i="1" s="1"/>
  <c r="C905" i="1"/>
  <c r="B905" i="1" s="1"/>
  <c r="C280" i="1"/>
  <c r="B280" i="1" s="1"/>
  <c r="C281" i="1"/>
  <c r="B281" i="1" s="1"/>
  <c r="C61" i="1"/>
  <c r="B61" i="1" s="1"/>
  <c r="C86" i="1"/>
  <c r="B86" i="1" s="1"/>
  <c r="C630" i="1"/>
  <c r="B630" i="1" s="1"/>
  <c r="C587" i="1"/>
  <c r="B587" i="1" s="1"/>
  <c r="C764" i="1"/>
  <c r="B764" i="1" s="1"/>
  <c r="C1061" i="1"/>
  <c r="B1061" i="1" s="1"/>
  <c r="C73" i="1"/>
  <c r="B73" i="1" s="1"/>
  <c r="C656" i="1"/>
  <c r="B656" i="1" s="1"/>
  <c r="C1161" i="1"/>
  <c r="B1161" i="1" s="1"/>
  <c r="C81" i="1"/>
  <c r="B81" i="1" s="1"/>
  <c r="C1221" i="1"/>
  <c r="B1221" i="1" s="1"/>
  <c r="C1414" i="1"/>
  <c r="B1414" i="1" s="1"/>
  <c r="C1223" i="1"/>
  <c r="B1223" i="1" s="1"/>
  <c r="C1021" i="1"/>
  <c r="B1021" i="1" s="1"/>
  <c r="C1460" i="1"/>
  <c r="B1460" i="1" s="1"/>
  <c r="C66" i="1"/>
  <c r="B66" i="1" s="1"/>
  <c r="C98" i="1"/>
  <c r="B98" i="1" s="1"/>
  <c r="C909" i="1"/>
  <c r="B909" i="1" s="1"/>
  <c r="C1600" i="1"/>
  <c r="B1600" i="1" s="1"/>
  <c r="C989" i="1"/>
  <c r="B989" i="1" s="1"/>
  <c r="C1508" i="1"/>
  <c r="B1508" i="1" s="1"/>
  <c r="C1134" i="1"/>
  <c r="B1134" i="1" s="1"/>
  <c r="C1191" i="1"/>
  <c r="B1191" i="1" s="1"/>
  <c r="C1382" i="1"/>
  <c r="B1382" i="1" s="1"/>
  <c r="C838" i="1"/>
  <c r="B838" i="1" s="1"/>
  <c r="C1760" i="1"/>
  <c r="B1760" i="1" s="1"/>
  <c r="C1826" i="1"/>
  <c r="B1826" i="1" s="1"/>
  <c r="C2101" i="1"/>
  <c r="B2101" i="1" s="1"/>
  <c r="C2089" i="1"/>
  <c r="B2089" i="1" s="1"/>
  <c r="C2103" i="1"/>
  <c r="B2103" i="1" s="1"/>
  <c r="C2098" i="1"/>
  <c r="B2098" i="1" s="1"/>
  <c r="C742" i="1"/>
  <c r="B742" i="1" s="1"/>
  <c r="C2104" i="1"/>
  <c r="B2104" i="1" s="1"/>
  <c r="C1306" i="1"/>
  <c r="B1306" i="1" s="1"/>
  <c r="C1591" i="1"/>
  <c r="B1591" i="1" s="1"/>
  <c r="C1726" i="1"/>
  <c r="B1726" i="1" s="1"/>
  <c r="C1645" i="1"/>
  <c r="B1645" i="1" s="1"/>
  <c r="C2045" i="1"/>
  <c r="B2045" i="1" s="1"/>
  <c r="C1861" i="1"/>
  <c r="B1861" i="1" s="1"/>
  <c r="C310" i="1"/>
  <c r="B310" i="1" s="1"/>
  <c r="C1332" i="1"/>
  <c r="B1332" i="1" s="1"/>
  <c r="C180" i="1"/>
  <c r="B180" i="1" s="1"/>
  <c r="C1314" i="1"/>
  <c r="B1314" i="1" s="1"/>
  <c r="C1399" i="1"/>
  <c r="B1399" i="1" s="1"/>
  <c r="C806" i="1"/>
  <c r="B806" i="1" s="1"/>
  <c r="C1428" i="1"/>
  <c r="B1428" i="1" s="1"/>
  <c r="C1425" i="1"/>
  <c r="B1425" i="1" s="1"/>
  <c r="C135" i="1"/>
  <c r="B135" i="1" s="1"/>
  <c r="C1472" i="1"/>
  <c r="B1472" i="1" s="1"/>
  <c r="C130" i="1"/>
  <c r="B130" i="1" s="1"/>
  <c r="C1413" i="1"/>
  <c r="B1413" i="1" s="1"/>
  <c r="C443" i="1"/>
  <c r="B443" i="1" s="1"/>
  <c r="C341" i="1"/>
  <c r="B341" i="1" s="1"/>
  <c r="C1270" i="1"/>
  <c r="B1270" i="1" s="1"/>
  <c r="C141" i="1"/>
  <c r="B141" i="1" s="1"/>
  <c r="C230" i="1"/>
  <c r="B230" i="1" s="1"/>
  <c r="C1424" i="1"/>
  <c r="B1424" i="1" s="1"/>
  <c r="C206" i="1"/>
  <c r="B206" i="1" s="1"/>
  <c r="C1426" i="1"/>
  <c r="B1426" i="1" s="1"/>
  <c r="C1467" i="1"/>
  <c r="B1467" i="1" s="1"/>
  <c r="C136" i="1"/>
  <c r="B136" i="1" s="1"/>
  <c r="C128" i="1"/>
  <c r="B128" i="1" s="1"/>
  <c r="C1417" i="1"/>
  <c r="B1417" i="1" s="1"/>
  <c r="C1188" i="1"/>
  <c r="B1188" i="1" s="1"/>
  <c r="C751" i="1"/>
  <c r="B751" i="1" s="1"/>
  <c r="C131" i="1"/>
  <c r="B131" i="1" s="1"/>
  <c r="C1418" i="1"/>
  <c r="B1418" i="1" s="1"/>
  <c r="C132" i="1"/>
  <c r="B132" i="1" s="1"/>
  <c r="C2055" i="1"/>
  <c r="B2055" i="1" s="1"/>
  <c r="C2011" i="1"/>
  <c r="B2011" i="1" s="1"/>
  <c r="C1245" i="1"/>
  <c r="B1245" i="1" s="1"/>
  <c r="C2063" i="1"/>
  <c r="B2063" i="1" s="1"/>
  <c r="C2085" i="1"/>
  <c r="B2085" i="1" s="1"/>
  <c r="C1176" i="1"/>
  <c r="B1176" i="1" s="1"/>
  <c r="C15" i="1"/>
  <c r="B15" i="1" s="1"/>
  <c r="C2099" i="1"/>
  <c r="B2099" i="1" s="1"/>
  <c r="C16" i="1"/>
  <c r="B16" i="1" s="1"/>
  <c r="C17" i="1"/>
  <c r="B17" i="1" s="1"/>
  <c r="C4" i="1"/>
  <c r="B4" i="1" s="1"/>
  <c r="C2100" i="1"/>
  <c r="B2100" i="1" s="1"/>
  <c r="C1575" i="1"/>
  <c r="B1575" i="1" s="1"/>
  <c r="C1497" i="1"/>
  <c r="B1497" i="1" s="1"/>
  <c r="C1225" i="1"/>
  <c r="B1225" i="1" s="1"/>
  <c r="C1635" i="1"/>
  <c r="B1635" i="1" s="1"/>
  <c r="C1683" i="1"/>
  <c r="B1683" i="1" s="1"/>
  <c r="C739" i="1"/>
  <c r="B739" i="1" s="1"/>
  <c r="C490" i="1"/>
  <c r="B490" i="1" s="1"/>
  <c r="C588" i="1"/>
  <c r="B588" i="1" s="1"/>
  <c r="C250" i="1"/>
  <c r="B250" i="1" s="1"/>
  <c r="C2028" i="1"/>
  <c r="B2028" i="1" s="1"/>
  <c r="C901" i="1"/>
  <c r="B901" i="1" s="1"/>
  <c r="C600" i="1"/>
  <c r="B600" i="1" s="1"/>
  <c r="C1717" i="1"/>
  <c r="B1717" i="1" s="1"/>
  <c r="C65" i="1"/>
  <c r="B65" i="1" s="1"/>
  <c r="C1004" i="1"/>
  <c r="B1004" i="1" s="1"/>
  <c r="C1628" i="1"/>
  <c r="B1628" i="1" s="1"/>
  <c r="C378" i="1"/>
  <c r="B378" i="1" s="1"/>
  <c r="C62" i="1"/>
  <c r="B62" i="1" s="1"/>
  <c r="C1283" i="1"/>
  <c r="B1283" i="1" s="1"/>
  <c r="C469" i="1"/>
  <c r="B469" i="1" s="1"/>
  <c r="C1667" i="1"/>
  <c r="B1667" i="1" s="1"/>
  <c r="C1437" i="1"/>
  <c r="B1437" i="1" s="1"/>
  <c r="C67" i="1"/>
  <c r="B67" i="1" s="1"/>
  <c r="C1646" i="1"/>
  <c r="B1646" i="1" s="1"/>
  <c r="C198" i="1"/>
  <c r="B198" i="1" s="1"/>
  <c r="C1381" i="1"/>
  <c r="B1381" i="1" s="1"/>
  <c r="C1478" i="1"/>
  <c r="B1478" i="1" s="1"/>
  <c r="C1165" i="1"/>
  <c r="B1165" i="1" s="1"/>
  <c r="C1894" i="1"/>
  <c r="B1894" i="1" s="1"/>
  <c r="C1910" i="1"/>
  <c r="B1910" i="1" s="1"/>
  <c r="C1991" i="1"/>
  <c r="B1991" i="1" s="1"/>
  <c r="C2017" i="1"/>
  <c r="B2017" i="1" s="1"/>
  <c r="C1969" i="1"/>
  <c r="B1969" i="1" s="1"/>
  <c r="C2030" i="1"/>
  <c r="B2030" i="1" s="1"/>
  <c r="C1993" i="1"/>
  <c r="B1993" i="1" s="1"/>
  <c r="C741" i="1"/>
  <c r="B741" i="1" s="1"/>
  <c r="C1666" i="1"/>
  <c r="B1666" i="1" s="1"/>
  <c r="C589" i="1"/>
  <c r="B589" i="1" s="1"/>
  <c r="C1184" i="1"/>
  <c r="B1184" i="1" s="1"/>
  <c r="C1823" i="1"/>
  <c r="B1823" i="1" s="1"/>
  <c r="C792" i="1"/>
  <c r="B792" i="1" s="1"/>
  <c r="C1521" i="1"/>
  <c r="B1521" i="1" s="1"/>
  <c r="C299" i="1"/>
  <c r="B299" i="1" s="1"/>
  <c r="C645" i="1"/>
  <c r="B645" i="1" s="1"/>
  <c r="C1523" i="1"/>
  <c r="B1523" i="1" s="1"/>
  <c r="C765" i="1"/>
  <c r="B765" i="1" s="1"/>
  <c r="C1361" i="1"/>
  <c r="B1361" i="1" s="1"/>
  <c r="C688" i="1"/>
  <c r="B688" i="1" s="1"/>
  <c r="C1362" i="1"/>
  <c r="B1362" i="1" s="1"/>
  <c r="C896" i="1"/>
  <c r="B896" i="1" s="1"/>
  <c r="C930" i="1"/>
  <c r="B930" i="1" s="1"/>
  <c r="C829" i="1"/>
  <c r="B829" i="1" s="1"/>
  <c r="C1130" i="1"/>
  <c r="B1130" i="1" s="1"/>
  <c r="C431" i="1"/>
  <c r="B431" i="1" s="1"/>
  <c r="C990" i="1"/>
  <c r="B990" i="1" s="1"/>
  <c r="C799" i="1"/>
  <c r="B799" i="1" s="1"/>
  <c r="C780" i="1"/>
  <c r="B780" i="1" s="1"/>
  <c r="C1357" i="1"/>
  <c r="B1357" i="1" s="1"/>
  <c r="C1524" i="1"/>
  <c r="B1524" i="1" s="1"/>
  <c r="C1014" i="1"/>
  <c r="B1014" i="1" s="1"/>
  <c r="C1028" i="1"/>
  <c r="B1028" i="1" s="1"/>
  <c r="C644" i="1"/>
  <c r="B644" i="1" s="1"/>
  <c r="C847" i="1"/>
  <c r="B847" i="1" s="1"/>
  <c r="C454" i="1"/>
  <c r="B454" i="1" s="1"/>
  <c r="C585" i="1"/>
  <c r="B585" i="1" s="1"/>
  <c r="C1228" i="1"/>
  <c r="B1228" i="1" s="1"/>
  <c r="C565" i="1"/>
  <c r="B565" i="1" s="1"/>
  <c r="C1398" i="1"/>
  <c r="B1398" i="1" s="1"/>
  <c r="C1293" i="1"/>
  <c r="B1293" i="1" s="1"/>
  <c r="C1546" i="1"/>
  <c r="B1546" i="1" s="1"/>
  <c r="C54" i="1"/>
  <c r="B54" i="1" s="1"/>
  <c r="C1983" i="1"/>
  <c r="B1983" i="1" s="1"/>
  <c r="C1058" i="1"/>
  <c r="B1058" i="1" s="1"/>
  <c r="C1673" i="1"/>
  <c r="B1673" i="1" s="1"/>
  <c r="C222" i="1"/>
  <c r="B222" i="1" s="1"/>
  <c r="C1287" i="1"/>
  <c r="B1287" i="1" s="1"/>
  <c r="C1532" i="1"/>
  <c r="B1532" i="1" s="1"/>
  <c r="C689" i="1"/>
  <c r="B689" i="1" s="1"/>
  <c r="C800" i="1"/>
  <c r="B800" i="1" s="1"/>
  <c r="C801" i="1"/>
  <c r="B801" i="1" s="1"/>
  <c r="C1896" i="1"/>
  <c r="B1896" i="1" s="1"/>
  <c r="C1986" i="1"/>
  <c r="B1986" i="1" s="1"/>
  <c r="C1893" i="1"/>
  <c r="B1893" i="1" s="1"/>
  <c r="C155" i="1"/>
  <c r="B155" i="1" s="1"/>
  <c r="C1533" i="1"/>
  <c r="B1533" i="1" s="1"/>
  <c r="C849" i="1"/>
  <c r="B849" i="1" s="1"/>
  <c r="C2067" i="1"/>
  <c r="B2067" i="1" s="1"/>
  <c r="C1271" i="1"/>
  <c r="B1271" i="1" s="1"/>
  <c r="C1936" i="1"/>
  <c r="B1936" i="1" s="1"/>
  <c r="C1911" i="1"/>
  <c r="B1911" i="1" s="1"/>
  <c r="C1978" i="1"/>
  <c r="B1978" i="1" s="1"/>
  <c r="C1443" i="1"/>
  <c r="B1443" i="1" s="1"/>
  <c r="C1917" i="1"/>
  <c r="B1917" i="1" s="1"/>
  <c r="C2052" i="1"/>
  <c r="B2052" i="1" s="1"/>
  <c r="C969" i="1"/>
  <c r="B969" i="1" s="1"/>
  <c r="C1855" i="1"/>
  <c r="B1855" i="1" s="1"/>
  <c r="C2051" i="1"/>
  <c r="B2051" i="1" s="1"/>
  <c r="C1712" i="1"/>
  <c r="B1712" i="1" s="1"/>
  <c r="C2058" i="1"/>
  <c r="B2058" i="1" s="1"/>
  <c r="C1860" i="1"/>
  <c r="B1860" i="1" s="1"/>
  <c r="C2060" i="1"/>
  <c r="B2060" i="1" s="1"/>
  <c r="C1279" i="1"/>
  <c r="B1279" i="1" s="1"/>
  <c r="C660" i="1"/>
  <c r="B660" i="1" s="1"/>
  <c r="C973" i="1"/>
  <c r="B973" i="1" s="1"/>
  <c r="C44" i="1"/>
  <c r="B44" i="1" s="1"/>
  <c r="C1561" i="1"/>
  <c r="B1561" i="1" s="1"/>
  <c r="C1633" i="1"/>
  <c r="B1633" i="1" s="1"/>
  <c r="C1520" i="1"/>
  <c r="B1520" i="1" s="1"/>
  <c r="C1802" i="1"/>
  <c r="B1802" i="1" s="1"/>
  <c r="C813" i="1"/>
  <c r="B813" i="1" s="1"/>
  <c r="C1812" i="1"/>
  <c r="B1812" i="1" s="1"/>
  <c r="C1346" i="1"/>
  <c r="B1346" i="1" s="1"/>
  <c r="C1554" i="1"/>
  <c r="B1554" i="1" s="1"/>
  <c r="C1203" i="1"/>
  <c r="B1203" i="1" s="1"/>
  <c r="C1439" i="1"/>
  <c r="B1439" i="1" s="1"/>
  <c r="C1380" i="1"/>
  <c r="B1380" i="1" s="1"/>
  <c r="C42" i="1"/>
  <c r="B42" i="1" s="1"/>
  <c r="C1527" i="1"/>
  <c r="B1527" i="1" s="1"/>
  <c r="C735" i="1"/>
  <c r="B735" i="1" s="1"/>
  <c r="C1347" i="1"/>
  <c r="B1347" i="1" s="1"/>
  <c r="C479" i="1"/>
  <c r="B479" i="1" s="1"/>
  <c r="C670" i="1"/>
  <c r="B670" i="1" s="1"/>
  <c r="C655" i="1"/>
  <c r="B655" i="1" s="1"/>
  <c r="C1534" i="1"/>
  <c r="B1534" i="1" s="1"/>
  <c r="C1145" i="1"/>
  <c r="B1145" i="1" s="1"/>
  <c r="C584" i="1"/>
  <c r="B584" i="1" s="1"/>
  <c r="C1741" i="1"/>
  <c r="B1741" i="1" s="1"/>
  <c r="C515" i="1"/>
  <c r="B515" i="1" s="1"/>
  <c r="C1003" i="1"/>
  <c r="B1003" i="1" s="1"/>
  <c r="C1764" i="1"/>
  <c r="B1764" i="1" s="1"/>
  <c r="C906" i="1"/>
  <c r="B906" i="1" s="1"/>
  <c r="C671" i="1"/>
  <c r="B671" i="1" s="1"/>
  <c r="C52" i="1"/>
  <c r="B52" i="1" s="1"/>
  <c r="C1680" i="1"/>
  <c r="B1680" i="1" s="1"/>
  <c r="C2034" i="1"/>
  <c r="B2034" i="1" s="1"/>
  <c r="C2090" i="1"/>
  <c r="B2090" i="1" s="1"/>
  <c r="C1916" i="1"/>
  <c r="B1916" i="1" s="1"/>
  <c r="C649" i="1"/>
  <c r="B649" i="1" s="1"/>
  <c r="C365" i="1"/>
  <c r="B365" i="1" s="1"/>
  <c r="C864" i="1"/>
  <c r="B864" i="1" s="1"/>
  <c r="C284" i="1"/>
  <c r="B284" i="1" s="1"/>
  <c r="C282" i="1"/>
  <c r="B282" i="1" s="1"/>
  <c r="C283" i="1"/>
  <c r="B283" i="1" s="1"/>
  <c r="C596" i="1"/>
  <c r="B596" i="1" s="1"/>
  <c r="C302" i="1"/>
  <c r="B302" i="1" s="1"/>
  <c r="C762" i="1"/>
  <c r="B762" i="1" s="1"/>
  <c r="C455" i="1"/>
  <c r="B455" i="1" s="1"/>
  <c r="C1483" i="1"/>
  <c r="B1483" i="1" s="1"/>
  <c r="C1747" i="1"/>
  <c r="B1747" i="1" s="1"/>
  <c r="C1864" i="1"/>
  <c r="B1864" i="1" s="1"/>
  <c r="C1728" i="1"/>
  <c r="B1728" i="1" s="1"/>
  <c r="C34" i="1"/>
  <c r="B34" i="1" s="1"/>
  <c r="C1776" i="1"/>
  <c r="B1776" i="1" s="1"/>
  <c r="C1833" i="1"/>
  <c r="B1833" i="1" s="1"/>
  <c r="C1588" i="1"/>
  <c r="B1588" i="1" s="1"/>
  <c r="C1995" i="1"/>
  <c r="B1995" i="1" s="1"/>
  <c r="C332" i="1"/>
  <c r="B332" i="1" s="1"/>
  <c r="C1229" i="1"/>
  <c r="B1229" i="1" s="1"/>
  <c r="C1885" i="1"/>
  <c r="B1885" i="1" s="1"/>
  <c r="C651" i="1"/>
  <c r="B651" i="1" s="1"/>
  <c r="C14" i="1"/>
  <c r="B14" i="1" s="1"/>
  <c r="C1912" i="1"/>
  <c r="B1912" i="1" s="1"/>
  <c r="C1481" i="1"/>
  <c r="B1481" i="1" s="1"/>
  <c r="C1687" i="1"/>
  <c r="B1687" i="1" s="1"/>
  <c r="C1241" i="1"/>
  <c r="B1241" i="1" s="1"/>
  <c r="C1744" i="1"/>
  <c r="B1744" i="1" s="1"/>
  <c r="C1444" i="1"/>
  <c r="B1444" i="1" s="1"/>
  <c r="C1173" i="1"/>
  <c r="B1173" i="1" s="1"/>
  <c r="C851" i="1"/>
  <c r="B851" i="1" s="1"/>
  <c r="C728" i="1"/>
  <c r="B728" i="1" s="1"/>
  <c r="C894" i="1"/>
  <c r="B894" i="1" s="1"/>
  <c r="C1272" i="1"/>
  <c r="B1272" i="1" s="1"/>
  <c r="C1531" i="1"/>
  <c r="B1531" i="1" s="1"/>
  <c r="C1390" i="1"/>
  <c r="B1390" i="1" s="1"/>
  <c r="C1039" i="1"/>
  <c r="B1039" i="1" s="1"/>
  <c r="C182" i="1"/>
  <c r="B182" i="1" s="1"/>
  <c r="C1317" i="1"/>
  <c r="B1317" i="1" s="1"/>
  <c r="C634" i="1"/>
  <c r="B634" i="1" s="1"/>
  <c r="C1710" i="1"/>
  <c r="B1710" i="1" s="1"/>
  <c r="C1465" i="1"/>
  <c r="B1465" i="1" s="1"/>
  <c r="C940" i="1"/>
  <c r="B940" i="1" s="1"/>
  <c r="C2082" i="1"/>
  <c r="B2082" i="1" s="1"/>
  <c r="C683" i="1"/>
  <c r="B683" i="1" s="1"/>
  <c r="C519" i="1"/>
  <c r="B519" i="1" s="1"/>
  <c r="C928" i="1"/>
  <c r="B928" i="1" s="1"/>
  <c r="C82" i="1"/>
  <c r="B82" i="1" s="1"/>
  <c r="C228" i="1"/>
  <c r="B228" i="1" s="1"/>
  <c r="C802" i="1"/>
  <c r="B802" i="1" s="1"/>
  <c r="C798" i="1"/>
  <c r="B798" i="1" s="1"/>
  <c r="C592" i="1"/>
  <c r="B592" i="1" s="1"/>
  <c r="C753" i="1"/>
  <c r="B753" i="1" s="1"/>
  <c r="C1982" i="1"/>
  <c r="B1982" i="1" s="1"/>
  <c r="C1597" i="1"/>
  <c r="B1597" i="1" s="1"/>
  <c r="C2080" i="1"/>
  <c r="B2080" i="1" s="1"/>
  <c r="C569" i="1"/>
  <c r="B569" i="1" s="1"/>
  <c r="C10" i="1"/>
  <c r="B10" i="1" s="1"/>
  <c r="C8" i="1"/>
  <c r="B8" i="1" s="1"/>
  <c r="C7" i="1"/>
  <c r="B7" i="1" s="1"/>
  <c r="C2097" i="1"/>
  <c r="B2097" i="1" s="1"/>
  <c r="C13" i="1"/>
  <c r="B13" i="1" s="1"/>
  <c r="C374" i="1"/>
  <c r="B374" i="1" s="1"/>
  <c r="C1167" i="1"/>
  <c r="B1167" i="1" s="1"/>
  <c r="C1340" i="1"/>
  <c r="B1340" i="1" s="1"/>
  <c r="C895" i="1"/>
  <c r="B895" i="1" s="1"/>
  <c r="C831" i="1"/>
  <c r="B831" i="1" s="1"/>
  <c r="C1363" i="1"/>
  <c r="B1363" i="1" s="1"/>
  <c r="C1647" i="1"/>
  <c r="B1647" i="1" s="1"/>
  <c r="C1023" i="1"/>
  <c r="B1023" i="1" s="1"/>
  <c r="C1890" i="1"/>
  <c r="B1890" i="1" s="1"/>
  <c r="C1985" i="1"/>
  <c r="B1985" i="1" s="1"/>
  <c r="C2005" i="1"/>
  <c r="B2005" i="1" s="1"/>
  <c r="C2062" i="1"/>
  <c r="B2062" i="1" s="1"/>
  <c r="C2008" i="1"/>
  <c r="B2008" i="1" s="1"/>
  <c r="C1976" i="1"/>
  <c r="B1976" i="1" s="1"/>
  <c r="C2006" i="1"/>
  <c r="B2006" i="1" s="1"/>
  <c r="C1606" i="1"/>
  <c r="B1606" i="1" s="1"/>
  <c r="C2036" i="1"/>
  <c r="B2036" i="1" s="1"/>
  <c r="C1996" i="1"/>
  <c r="B1996" i="1" s="1"/>
  <c r="C2083" i="1"/>
  <c r="B2083" i="1" s="1"/>
  <c r="C2039" i="1"/>
  <c r="B2039" i="1" s="1"/>
  <c r="C2079" i="1"/>
  <c r="B2079" i="1" s="1"/>
  <c r="C997" i="1"/>
  <c r="B997" i="1" s="1"/>
  <c r="C1671" i="1"/>
  <c r="B1671" i="1" s="1"/>
  <c r="C1056" i="1"/>
  <c r="B1056" i="1" s="1"/>
  <c r="C1171" i="1"/>
  <c r="B1171" i="1" s="1"/>
  <c r="C1374" i="1"/>
  <c r="B1374" i="1" s="1"/>
  <c r="C1057" i="1"/>
  <c r="B1057" i="1" s="1"/>
  <c r="C1180" i="1"/>
  <c r="B1180" i="1" s="1"/>
  <c r="C32" i="1"/>
  <c r="B32" i="1" s="1"/>
  <c r="C1054" i="1"/>
  <c r="B1054" i="1" s="1"/>
  <c r="C1878" i="1"/>
  <c r="B1878" i="1" s="1"/>
  <c r="C1141" i="1"/>
  <c r="B1141" i="1" s="1"/>
  <c r="C1296" i="1"/>
  <c r="B1296" i="1" s="1"/>
  <c r="C1375" i="1"/>
  <c r="B1375" i="1" s="1"/>
  <c r="C1857" i="1"/>
  <c r="B1857" i="1" s="1"/>
  <c r="C1198" i="1"/>
  <c r="B1198" i="1" s="1"/>
  <c r="C1156" i="1"/>
  <c r="B1156" i="1" s="1"/>
  <c r="C1686" i="1"/>
  <c r="B1686" i="1" s="1"/>
  <c r="C248" i="1"/>
  <c r="B248" i="1" s="1"/>
  <c r="C59" i="1"/>
  <c r="B59" i="1" s="1"/>
  <c r="C964" i="1"/>
  <c r="B964" i="1" s="1"/>
  <c r="C771" i="1"/>
  <c r="B771" i="1" s="1"/>
  <c r="C1745" i="1"/>
  <c r="B1745" i="1" s="1"/>
  <c r="C1370" i="1"/>
  <c r="B1370" i="1" s="1"/>
  <c r="C1297" i="1"/>
  <c r="B1297" i="1" s="1"/>
  <c r="C1186" i="1"/>
  <c r="B1186" i="1" s="1"/>
  <c r="C1212" i="1"/>
  <c r="B1212" i="1" s="1"/>
  <c r="C355" i="1"/>
  <c r="B355" i="1" s="1"/>
  <c r="C1688" i="1"/>
  <c r="B1688" i="1" s="1"/>
  <c r="C1447" i="1"/>
  <c r="B1447" i="1" s="1"/>
  <c r="C1396" i="1"/>
  <c r="B1396" i="1" s="1"/>
  <c r="C732" i="1"/>
  <c r="B732" i="1" s="1"/>
  <c r="C1598" i="1"/>
  <c r="B1598" i="1" s="1"/>
  <c r="C1055" i="1"/>
  <c r="B1055" i="1" s="1"/>
  <c r="C687" i="1"/>
  <c r="B687" i="1" s="1"/>
  <c r="C994" i="1"/>
  <c r="B994" i="1" s="1"/>
  <c r="C699" i="1"/>
  <c r="B699" i="1" s="1"/>
  <c r="C2044" i="1"/>
  <c r="B2044" i="1" s="1"/>
  <c r="C6" i="1"/>
  <c r="B6" i="1" s="1"/>
  <c r="C1006" i="1"/>
  <c r="B1006" i="1" s="1"/>
  <c r="C710" i="1"/>
  <c r="B710" i="1" s="1"/>
  <c r="C1022" i="1"/>
  <c r="B1022" i="1" s="1"/>
  <c r="C1199" i="1"/>
  <c r="B1199" i="1" s="1"/>
  <c r="C1469" i="1"/>
  <c r="B1469" i="1" s="1"/>
  <c r="C1298" i="1"/>
  <c r="B1298" i="1" s="1"/>
  <c r="C1385" i="1"/>
  <c r="B1385" i="1" s="1"/>
  <c r="C1268" i="1"/>
  <c r="B1268" i="1" s="1"/>
  <c r="C1834" i="1"/>
  <c r="B1834" i="1" s="1"/>
  <c r="C210" i="1"/>
  <c r="B210" i="1" s="1"/>
  <c r="C577" i="1"/>
  <c r="B577" i="1" s="1"/>
  <c r="C317" i="1"/>
  <c r="B317" i="1" s="1"/>
  <c r="C758" i="1"/>
  <c r="B758" i="1" s="1"/>
  <c r="C580" i="1"/>
  <c r="B580" i="1" s="1"/>
  <c r="C1445" i="1"/>
  <c r="B1445" i="1" s="1"/>
  <c r="C367" i="1"/>
  <c r="B367" i="1" s="1"/>
  <c r="C657" i="1"/>
  <c r="B657" i="1" s="1"/>
  <c r="C413" i="1"/>
  <c r="B413" i="1" s="1"/>
  <c r="C343" i="1"/>
  <c r="B343" i="1" s="1"/>
  <c r="C1303" i="1"/>
  <c r="B1303" i="1" s="1"/>
  <c r="C322" i="1"/>
  <c r="B322" i="1" s="1"/>
  <c r="C685" i="1"/>
  <c r="B685" i="1" s="1"/>
  <c r="C351" i="1"/>
  <c r="B351" i="1" s="1"/>
  <c r="C777" i="1"/>
  <c r="B777" i="1" s="1"/>
  <c r="C1582" i="1"/>
  <c r="B1582" i="1" s="1"/>
  <c r="C1581" i="1"/>
  <c r="B1581" i="1" s="1"/>
  <c r="C1827" i="1"/>
  <c r="B1827" i="1" s="1"/>
  <c r="C1981" i="1"/>
  <c r="B1981" i="1" s="1"/>
  <c r="C1583" i="1"/>
  <c r="B1583" i="1" s="1"/>
  <c r="C1584" i="1"/>
  <c r="B1584" i="1" s="1"/>
  <c r="C1163" i="1"/>
  <c r="B1163" i="1" s="1"/>
  <c r="C1477" i="1"/>
  <c r="B1477" i="1" s="1"/>
  <c r="C1736" i="1"/>
  <c r="B1736" i="1" s="1"/>
  <c r="C1619" i="1"/>
  <c r="B1619" i="1" s="1"/>
  <c r="C295" i="1"/>
  <c r="B295" i="1" s="1"/>
  <c r="C1974" i="1"/>
  <c r="B1974" i="1" s="1"/>
  <c r="C1335" i="1"/>
  <c r="B1335" i="1" s="1"/>
  <c r="C1737" i="1"/>
  <c r="B1737" i="1" s="1"/>
  <c r="C1897" i="1"/>
  <c r="B1897" i="1" s="1"/>
  <c r="C1585" i="1"/>
  <c r="B1585" i="1" s="1"/>
  <c r="C1828" i="1"/>
  <c r="B1828" i="1" s="1"/>
  <c r="C1900" i="1"/>
  <c r="B1900" i="1" s="1"/>
  <c r="C1742" i="1"/>
  <c r="B1742" i="1" s="1"/>
  <c r="C1965" i="1"/>
  <c r="B1965" i="1" s="1"/>
  <c r="C1751" i="1"/>
  <c r="B1751" i="1" s="1"/>
  <c r="C1746" i="1"/>
  <c r="B1746" i="1" s="1"/>
  <c r="C1870" i="1"/>
  <c r="B1870" i="1" s="1"/>
  <c r="C1627" i="1"/>
  <c r="B1627" i="1" s="1"/>
  <c r="C1267" i="1"/>
  <c r="B1267" i="1" s="1"/>
  <c r="C1784" i="1"/>
  <c r="B1784" i="1" s="1"/>
  <c r="C157" i="1"/>
  <c r="B157" i="1" s="1"/>
  <c r="C893" i="1"/>
  <c r="B893" i="1" s="1"/>
  <c r="C350" i="1"/>
  <c r="B350" i="1" s="1"/>
  <c r="C939" i="1"/>
  <c r="B939" i="1" s="1"/>
  <c r="C164" i="1"/>
  <c r="B164" i="1" s="1"/>
  <c r="C2027" i="1"/>
  <c r="B2027" i="1" s="1"/>
  <c r="C91" i="1"/>
  <c r="B91" i="1" s="1"/>
  <c r="C2026" i="1"/>
  <c r="B2026" i="1" s="1"/>
  <c r="C89" i="1"/>
  <c r="B89" i="1" s="1"/>
  <c r="C2001" i="1"/>
  <c r="B2001" i="1" s="1"/>
  <c r="C1837" i="1"/>
  <c r="B1837" i="1" s="1"/>
  <c r="C1440" i="1"/>
  <c r="B1440" i="1" s="1"/>
  <c r="C1109" i="1"/>
  <c r="B1109" i="1" s="1"/>
  <c r="C45" i="1"/>
  <c r="B45" i="1" s="1"/>
  <c r="D1070" i="1"/>
  <c r="D1809" i="1"/>
  <c r="D1164" i="1"/>
  <c r="D1757" i="1"/>
  <c r="D1356" i="1"/>
  <c r="D1630" i="1"/>
  <c r="D757" i="1"/>
  <c r="D1569" i="1"/>
  <c r="D1553" i="1"/>
  <c r="D1762" i="1"/>
  <c r="D1181" i="1"/>
  <c r="D1963" i="1"/>
  <c r="D1914" i="1"/>
  <c r="D1898" i="1"/>
  <c r="D1232" i="1"/>
  <c r="D727" i="1"/>
  <c r="D436" i="1"/>
  <c r="D716" i="1"/>
  <c r="D386" i="1"/>
  <c r="D911" i="1"/>
  <c r="D461" i="1"/>
  <c r="D912" i="1"/>
  <c r="D883" i="1"/>
  <c r="D339" i="1"/>
  <c r="D1291" i="1"/>
  <c r="D926" i="1"/>
  <c r="D1005" i="1"/>
  <c r="D744" i="1"/>
  <c r="D723" i="1"/>
  <c r="D933" i="1"/>
  <c r="D628" i="1"/>
  <c r="D724" i="1"/>
  <c r="D698" i="1"/>
  <c r="D1069" i="1"/>
  <c r="D793" i="1"/>
  <c r="D725" i="1"/>
  <c r="D254" i="1"/>
  <c r="D226" i="1"/>
  <c r="D465" i="1"/>
  <c r="D612" i="1"/>
  <c r="D1154" i="1"/>
  <c r="D534" i="1"/>
  <c r="D1060" i="1"/>
  <c r="D756" i="1"/>
  <c r="D446" i="1"/>
  <c r="D224" i="1"/>
  <c r="D347" i="1"/>
  <c r="D385" i="1"/>
  <c r="D368" i="1"/>
  <c r="D1574" i="1"/>
  <c r="D444" i="1"/>
  <c r="D165" i="1"/>
  <c r="D296" i="1"/>
  <c r="D233" i="1"/>
  <c r="D235" i="1"/>
  <c r="D517" i="1"/>
  <c r="D533" i="1"/>
  <c r="D337" i="1"/>
  <c r="D297" i="1"/>
  <c r="D146" i="1"/>
  <c r="D377" i="1"/>
  <c r="D563" i="1"/>
  <c r="D1560" i="1"/>
  <c r="D175" i="1"/>
  <c r="D690" i="1"/>
  <c r="D286" i="1"/>
  <c r="D437" i="1"/>
  <c r="D863" i="1"/>
  <c r="D382" i="1"/>
  <c r="D232" i="1"/>
  <c r="D1740" i="1"/>
  <c r="D148" i="1"/>
  <c r="D159" i="1"/>
  <c r="D418" i="1"/>
  <c r="D372" i="1"/>
  <c r="D242" i="1"/>
  <c r="D650" i="1"/>
  <c r="D663" i="1"/>
  <c r="D1719" i="1"/>
  <c r="D166" i="1"/>
  <c r="D574" i="1"/>
  <c r="D160" i="1"/>
  <c r="D613" i="1"/>
  <c r="D218" i="1"/>
  <c r="D903" i="1"/>
  <c r="D882" i="1"/>
  <c r="D303" i="1"/>
  <c r="D1743" i="1"/>
  <c r="D265" i="1"/>
  <c r="D231" i="1"/>
  <c r="D501" i="1"/>
  <c r="D158" i="1"/>
  <c r="D1026" i="1"/>
  <c r="D844" i="1"/>
  <c r="D925" i="1"/>
  <c r="D1909" i="1"/>
  <c r="D127" i="1"/>
  <c r="D170" i="1"/>
  <c r="D381" i="1"/>
  <c r="D379" i="1"/>
  <c r="D1850" i="1"/>
  <c r="D535" i="1"/>
  <c r="D834" i="1"/>
  <c r="D826" i="1"/>
  <c r="D575" i="1"/>
  <c r="D676" i="1"/>
  <c r="D480" i="1"/>
  <c r="D590" i="1"/>
  <c r="D1807" i="1"/>
  <c r="D126" i="1"/>
  <c r="D1607" i="1"/>
  <c r="D63" i="1"/>
  <c r="D749" i="1"/>
  <c r="D543" i="1"/>
  <c r="D2102" i="1"/>
  <c r="D2" i="1"/>
  <c r="D12" i="1"/>
  <c r="D3" i="1"/>
  <c r="D818" i="1"/>
  <c r="D227" i="1"/>
  <c r="D1934" i="1"/>
  <c r="D684" i="1"/>
  <c r="D236" i="1"/>
  <c r="D931" i="1"/>
  <c r="D738" i="1"/>
  <c r="D1319" i="1"/>
  <c r="D1193" i="1"/>
  <c r="D604" i="1"/>
  <c r="D414" i="1"/>
  <c r="D313" i="1"/>
  <c r="D344" i="1"/>
  <c r="D352" i="1"/>
  <c r="D460" i="1"/>
  <c r="D304" i="1"/>
  <c r="D268" i="1"/>
  <c r="D636" i="1"/>
  <c r="D586" i="1"/>
  <c r="D1086" i="1"/>
  <c r="D217" i="1"/>
  <c r="D41" i="1"/>
  <c r="D857" i="1"/>
  <c r="D1987" i="1"/>
  <c r="D1905" i="1"/>
  <c r="D1873" i="1"/>
  <c r="D1803" i="1"/>
  <c r="D373" i="1"/>
  <c r="D704" i="1"/>
  <c r="D2024" i="1"/>
  <c r="D2093" i="1"/>
  <c r="D276" i="1"/>
  <c r="D221" i="1"/>
  <c r="D100" i="1"/>
  <c r="D101" i="1"/>
  <c r="D102" i="1"/>
  <c r="D1144" i="1"/>
  <c r="D1427" i="1"/>
  <c r="D537" i="1"/>
  <c r="D319" i="1"/>
  <c r="D1568" i="1"/>
  <c r="D697" i="1"/>
  <c r="D199" i="1"/>
  <c r="D1498" i="1"/>
  <c r="D1499" i="1"/>
  <c r="D1075" i="1"/>
  <c r="D1076" i="1"/>
  <c r="D1077" i="1"/>
  <c r="D1078" i="1"/>
  <c r="D1500" i="1"/>
  <c r="D1079" i="1"/>
  <c r="D1080" i="1"/>
  <c r="D713" i="1"/>
  <c r="D714" i="1"/>
  <c r="D932" i="1"/>
  <c r="D715" i="1"/>
  <c r="D781" i="1"/>
  <c r="D782" i="1"/>
  <c r="D783" i="1"/>
  <c r="D784" i="1"/>
  <c r="D1501" i="1"/>
  <c r="D1502" i="1"/>
  <c r="D1081" i="1"/>
  <c r="D1082" i="1"/>
  <c r="D1403" i="1"/>
  <c r="D1083" i="1"/>
  <c r="D1084" i="1"/>
  <c r="D1085" i="1"/>
  <c r="D966" i="1"/>
  <c r="D1087" i="1"/>
  <c r="D941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529" i="1"/>
  <c r="D1503" i="1"/>
  <c r="D9" i="1"/>
  <c r="D1102" i="1"/>
  <c r="D1103" i="1"/>
  <c r="D109" i="1"/>
  <c r="D1505" i="1"/>
  <c r="D1105" i="1"/>
  <c r="D1106" i="1"/>
  <c r="D1107" i="1"/>
  <c r="D1108" i="1"/>
  <c r="D1248" i="1"/>
  <c r="D1309" i="1"/>
  <c r="D862" i="1"/>
  <c r="D921" i="1"/>
  <c r="D197" i="1"/>
  <c r="D33" i="1"/>
  <c r="D1406" i="1"/>
  <c r="D975" i="1"/>
  <c r="D1160" i="1"/>
  <c r="D1407" i="1"/>
  <c r="D1285" i="1"/>
  <c r="D1264" i="1"/>
  <c r="D1614" i="1"/>
  <c r="D212" i="1"/>
  <c r="D1151" i="1"/>
  <c r="D702" i="1"/>
  <c r="D1172" i="1"/>
  <c r="D858" i="1"/>
  <c r="D673" i="1"/>
  <c r="D1513" i="1"/>
  <c r="D618" i="1"/>
  <c r="D252" i="1"/>
  <c r="D591" i="1"/>
  <c r="D807" i="1"/>
  <c r="D1147" i="1"/>
  <c r="D1209" i="1"/>
  <c r="D1290" i="1"/>
  <c r="D190" i="1"/>
  <c r="D1284" i="1"/>
  <c r="D150" i="1"/>
  <c r="D334" i="1"/>
  <c r="D213" i="1"/>
  <c r="D389" i="1"/>
  <c r="D314" i="1"/>
  <c r="D315" i="1"/>
  <c r="D361" i="1"/>
  <c r="D669" i="1"/>
  <c r="D208" i="1"/>
  <c r="D850" i="1"/>
  <c r="D733" i="1"/>
  <c r="D253" i="1"/>
  <c r="D238" i="1"/>
  <c r="D354" i="1"/>
  <c r="D1522" i="1"/>
  <c r="D1328" i="1"/>
  <c r="D1691" i="1"/>
  <c r="D1955" i="1"/>
  <c r="D1979" i="1"/>
  <c r="D1592" i="1"/>
  <c r="D1604" i="1"/>
  <c r="D1231" i="1"/>
  <c r="D1256" i="1"/>
  <c r="D1602" i="1"/>
  <c r="D1624" i="1"/>
  <c r="D257" i="1"/>
  <c r="D263" i="1"/>
  <c r="D1615" i="1"/>
  <c r="D974" i="1"/>
  <c r="D696" i="1"/>
  <c r="D75" i="1"/>
  <c r="D1556" i="1"/>
  <c r="D631" i="1"/>
  <c r="D914" i="1"/>
  <c r="D1353" i="1"/>
  <c r="D309" i="1"/>
  <c r="D938" i="1"/>
  <c r="D943" i="1"/>
  <c r="D1206" i="1"/>
  <c r="D854" i="1"/>
  <c r="D279" i="1"/>
  <c r="D318" i="1"/>
  <c r="D1853" i="1"/>
  <c r="D376" i="1"/>
  <c r="D249" i="1"/>
  <c r="D194" i="1"/>
  <c r="D340" i="1"/>
  <c r="D677" i="1"/>
  <c r="D1140" i="1"/>
  <c r="D674" i="1"/>
  <c r="D516" i="1"/>
  <c r="D1200" i="1"/>
  <c r="D229" i="1"/>
  <c r="D1831" i="1"/>
  <c r="D635" i="1"/>
  <c r="D133" i="1"/>
  <c r="D778" i="1"/>
  <c r="D1525" i="1"/>
  <c r="D605" i="1"/>
  <c r="D1613" i="1"/>
  <c r="D492" i="1"/>
  <c r="D371" i="1"/>
  <c r="D920" i="1"/>
  <c r="D445" i="1"/>
  <c r="D1295" i="1"/>
  <c r="D1311" i="1"/>
  <c r="D84" i="1"/>
  <c r="D307" i="1"/>
  <c r="D491" i="1"/>
  <c r="D637" i="1"/>
  <c r="D1868" i="1"/>
  <c r="D1889" i="1"/>
  <c r="D1775" i="1"/>
  <c r="D602" i="1"/>
  <c r="D392" i="1"/>
  <c r="D1009" i="1"/>
  <c r="D2049" i="1"/>
  <c r="D573" i="1"/>
  <c r="D328" i="1"/>
  <c r="D1580" i="1"/>
  <c r="D1622" i="1"/>
  <c r="D1664" i="1"/>
  <c r="D1709" i="1"/>
  <c r="D1665" i="1"/>
  <c r="D1677" i="1"/>
  <c r="D1274" i="1"/>
  <c r="D2041" i="1"/>
  <c r="D1772" i="1"/>
  <c r="D1690" i="1"/>
  <c r="D1941" i="1"/>
  <c r="D1862" i="1"/>
  <c r="D2003" i="1"/>
  <c r="D1446" i="1"/>
  <c r="D1661" i="1"/>
  <c r="D1694" i="1"/>
  <c r="D1808" i="1"/>
  <c r="D1734" i="1"/>
  <c r="D2007" i="1"/>
  <c r="D2023" i="1"/>
  <c r="D1349" i="1"/>
  <c r="D726" i="1"/>
  <c r="D1880" i="1"/>
  <c r="D85" i="1"/>
  <c r="D1458" i="1"/>
  <c r="D1932" i="1"/>
  <c r="D1246" i="1"/>
  <c r="D1774" i="1"/>
  <c r="D841" i="1"/>
  <c r="D1640" i="1"/>
  <c r="D1765" i="1"/>
  <c r="D1253" i="1"/>
  <c r="D1234" i="1"/>
  <c r="D1806" i="1"/>
  <c r="D1073" i="1"/>
  <c r="D1669" i="1"/>
  <c r="D881" i="1"/>
  <c r="D262" i="1"/>
  <c r="D1670" i="1"/>
  <c r="D1074" i="1"/>
  <c r="D1957" i="1"/>
  <c r="D300" i="1"/>
  <c r="D312" i="1"/>
  <c r="D320" i="1"/>
  <c r="D151" i="1"/>
  <c r="D679" i="1"/>
  <c r="D627" i="1"/>
  <c r="D366" i="1"/>
  <c r="D709" i="1"/>
  <c r="D324" i="1"/>
  <c r="D176" i="1"/>
  <c r="D1485" i="1"/>
  <c r="D78" i="1"/>
  <c r="D1715" i="1"/>
  <c r="D1304" i="1"/>
  <c r="D861" i="1"/>
  <c r="D2009" i="1"/>
  <c r="D1754" i="1"/>
  <c r="D1994" i="1"/>
  <c r="D1487" i="1"/>
  <c r="D626" i="1"/>
  <c r="D661" i="1"/>
  <c r="D325" i="1"/>
  <c r="D289" i="1"/>
  <c r="D269" i="1"/>
  <c r="D1486" i="1"/>
  <c r="D1488" i="1"/>
  <c r="D1401" i="1"/>
  <c r="D1275" i="1"/>
  <c r="D1204" i="1"/>
  <c r="D79" i="1"/>
  <c r="D1238" i="1"/>
  <c r="D1383" i="1"/>
  <c r="D1373" i="1"/>
  <c r="D181" i="1"/>
  <c r="D362" i="1"/>
  <c r="D1559" i="1"/>
  <c r="D1535" i="1"/>
  <c r="D261" i="1"/>
  <c r="D452" i="1"/>
  <c r="D1007" i="1"/>
  <c r="D768" i="1"/>
  <c r="D855" i="1"/>
  <c r="D92" i="1"/>
  <c r="D856" i="1"/>
  <c r="D785" i="1"/>
  <c r="D363" i="1"/>
  <c r="D103" i="1"/>
  <c r="D731" i="1"/>
  <c r="D694" i="1"/>
  <c r="D1236" i="1"/>
  <c r="D1682" i="1"/>
  <c r="D934" i="1"/>
  <c r="D359" i="1"/>
  <c r="D1064" i="1"/>
  <c r="D31" i="1"/>
  <c r="D21" i="1"/>
  <c r="D1648" i="1"/>
  <c r="D1649" i="1"/>
  <c r="D1652" i="1"/>
  <c r="D1510" i="1"/>
  <c r="D1650" i="1"/>
  <c r="D29" i="1"/>
  <c r="D1651" i="1"/>
  <c r="D30" i="1"/>
  <c r="D1653" i="1"/>
  <c r="D38" i="1"/>
  <c r="D1654" i="1"/>
  <c r="D1655" i="1"/>
  <c r="D1656" i="1"/>
  <c r="D1657" i="1"/>
  <c r="D1658" i="1"/>
  <c r="D1659" i="1"/>
  <c r="D1660" i="1"/>
  <c r="D1365" i="1"/>
  <c r="D1703" i="1"/>
  <c r="D1704" i="1"/>
  <c r="D1609" i="1"/>
  <c r="D1543" i="1"/>
  <c r="D88" i="1"/>
  <c r="D1705" i="1"/>
  <c r="D87" i="1"/>
  <c r="D1706" i="1"/>
  <c r="D1707" i="1"/>
  <c r="D1708" i="1"/>
  <c r="D1724" i="1"/>
  <c r="D875" i="1"/>
  <c r="D1725" i="1"/>
  <c r="D1810" i="1"/>
  <c r="D1811" i="1"/>
  <c r="D152" i="1"/>
  <c r="D1813" i="1"/>
  <c r="D1814" i="1"/>
  <c r="D179" i="1"/>
  <c r="D415" i="1"/>
  <c r="D342" i="1"/>
  <c r="D695" i="1"/>
  <c r="D110" i="1"/>
  <c r="D1732" i="1"/>
  <c r="D790" i="1"/>
  <c r="D308" i="1"/>
  <c r="D625" i="1"/>
  <c r="D582" i="1"/>
  <c r="D544" i="1"/>
  <c r="D545" i="1"/>
  <c r="D546" i="1"/>
  <c r="D547" i="1"/>
  <c r="D557" i="1"/>
  <c r="D548" i="1"/>
  <c r="D549" i="1"/>
  <c r="D550" i="1"/>
  <c r="D551" i="1"/>
  <c r="D1836" i="1"/>
  <c r="D80" i="1"/>
  <c r="D1150" i="1"/>
  <c r="D390" i="1"/>
  <c r="D95" i="1"/>
  <c r="D1315" i="1"/>
  <c r="D1459" i="1"/>
  <c r="D1276" i="1"/>
  <c r="D1989" i="1"/>
  <c r="D1551" i="1"/>
  <c r="D1456" i="1"/>
  <c r="D1938" i="1"/>
  <c r="D2061" i="1"/>
  <c r="D2016" i="1"/>
  <c r="D2072" i="1"/>
  <c r="D2042" i="1"/>
  <c r="D1636" i="1"/>
  <c r="D1333" i="1"/>
  <c r="D1904" i="1"/>
  <c r="D1547" i="1"/>
  <c r="D1453" i="1"/>
  <c r="D278" i="1"/>
  <c r="D288" i="1"/>
  <c r="D620" i="1"/>
  <c r="D530" i="1"/>
  <c r="D750" i="1"/>
  <c r="D808" i="1"/>
  <c r="D581" i="1"/>
  <c r="D562" i="1"/>
  <c r="D737" i="1"/>
  <c r="D770" i="1"/>
  <c r="D878" i="1"/>
  <c r="D797" i="1"/>
  <c r="D905" i="1"/>
  <c r="D280" i="1"/>
  <c r="D281" i="1"/>
  <c r="D61" i="1"/>
  <c r="D86" i="1"/>
  <c r="D630" i="1"/>
  <c r="D587" i="1"/>
  <c r="D1600" i="1"/>
  <c r="D989" i="1"/>
  <c r="D1508" i="1"/>
  <c r="D1826" i="1"/>
  <c r="D310" i="1"/>
  <c r="D1332" i="1"/>
  <c r="D180" i="1"/>
  <c r="D1314" i="1"/>
  <c r="D1399" i="1"/>
  <c r="D806" i="1"/>
  <c r="D1428" i="1"/>
  <c r="D1425" i="1"/>
  <c r="D135" i="1"/>
  <c r="D1472" i="1"/>
  <c r="D130" i="1"/>
  <c r="D1413" i="1"/>
  <c r="D443" i="1"/>
  <c r="D341" i="1"/>
  <c r="D1575" i="1"/>
  <c r="D1497" i="1"/>
  <c r="D1225" i="1"/>
  <c r="D1635" i="1"/>
  <c r="D1683" i="1"/>
  <c r="D739" i="1"/>
  <c r="D490" i="1"/>
  <c r="D588" i="1"/>
  <c r="D1910" i="1"/>
  <c r="D1991" i="1"/>
  <c r="D2017" i="1"/>
  <c r="D1969" i="1"/>
  <c r="D2030" i="1"/>
  <c r="D1993" i="1"/>
  <c r="D741" i="1"/>
  <c r="D1673" i="1"/>
  <c r="D222" i="1"/>
  <c r="D44" i="1"/>
  <c r="D1561" i="1"/>
  <c r="D1633" i="1"/>
  <c r="D1520" i="1"/>
  <c r="D2034" i="1"/>
  <c r="D2090" i="1"/>
  <c r="D1916" i="1"/>
  <c r="D649" i="1"/>
  <c r="D365" i="1"/>
  <c r="D864" i="1"/>
  <c r="D284" i="1"/>
  <c r="D282" i="1"/>
  <c r="D283" i="1"/>
  <c r="D596" i="1"/>
  <c r="D302" i="1"/>
  <c r="D762" i="1"/>
  <c r="D455" i="1"/>
  <c r="D1483" i="1"/>
  <c r="D1747" i="1"/>
  <c r="D1864" i="1"/>
  <c r="D1728" i="1"/>
  <c r="D34" i="1"/>
  <c r="D1776" i="1"/>
  <c r="D1833" i="1"/>
  <c r="D1588" i="1"/>
  <c r="D1687" i="1"/>
  <c r="D1241" i="1"/>
  <c r="D1744" i="1"/>
  <c r="D1444" i="1"/>
  <c r="D894" i="1"/>
  <c r="D1272" i="1"/>
  <c r="D1039" i="1"/>
  <c r="D182" i="1"/>
  <c r="D940" i="1"/>
  <c r="D2082" i="1"/>
  <c r="D1340" i="1"/>
  <c r="D895" i="1"/>
  <c r="D831" i="1"/>
  <c r="D1363" i="1"/>
  <c r="D1647" i="1"/>
  <c r="D1023" i="1"/>
  <c r="D1890" i="1"/>
  <c r="D1985" i="1"/>
  <c r="D2005" i="1"/>
  <c r="D2062" i="1"/>
  <c r="D2008" i="1"/>
  <c r="D1976" i="1"/>
  <c r="D2006" i="1"/>
  <c r="D1606" i="1"/>
  <c r="D2036" i="1"/>
  <c r="D1996" i="1"/>
  <c r="D2083" i="1"/>
  <c r="D2039" i="1"/>
  <c r="D2079" i="1"/>
  <c r="D1834" i="1"/>
  <c r="D210" i="1"/>
  <c r="D577" i="1"/>
  <c r="D317" i="1"/>
  <c r="D758" i="1"/>
  <c r="D580" i="1"/>
  <c r="D1445" i="1"/>
  <c r="D367" i="1"/>
  <c r="D657" i="1"/>
  <c r="D413" i="1"/>
  <c r="D343" i="1"/>
  <c r="D1303" i="1"/>
  <c r="D322" i="1"/>
  <c r="D685" i="1"/>
  <c r="D351" i="1"/>
  <c r="D777" i="1"/>
  <c r="D1627" i="1"/>
  <c r="D1784" i="1"/>
  <c r="D157" i="1"/>
  <c r="D893" i="1"/>
  <c r="D350" i="1"/>
  <c r="D939" i="1"/>
  <c r="D164" i="1"/>
  <c r="D1837" i="1"/>
  <c r="D1109" i="1"/>
  <c r="D39" i="1"/>
  <c r="S1070" i="1"/>
  <c r="S1809" i="1"/>
  <c r="S1164" i="1"/>
  <c r="S1757" i="1"/>
  <c r="S1356" i="1"/>
  <c r="S1630" i="1"/>
  <c r="S757" i="1"/>
  <c r="S1569" i="1"/>
  <c r="S1553" i="1"/>
  <c r="S1762" i="1"/>
  <c r="S1181" i="1"/>
  <c r="S1963" i="1"/>
  <c r="S775" i="1"/>
  <c r="S1350" i="1"/>
  <c r="S274" i="1"/>
  <c r="S266" i="1"/>
  <c r="S795" i="1"/>
  <c r="S462" i="1"/>
  <c r="S321" i="1"/>
  <c r="S1432" i="1"/>
  <c r="S942" i="1"/>
  <c r="S234" i="1"/>
  <c r="S1914" i="1"/>
  <c r="S1898" i="1"/>
  <c r="S1232" i="1"/>
  <c r="S727" i="1"/>
  <c r="S436" i="1"/>
  <c r="S716" i="1"/>
  <c r="S386" i="1"/>
  <c r="S1215" i="1"/>
  <c r="S1008" i="1"/>
  <c r="S1854" i="1"/>
  <c r="S740" i="1"/>
  <c r="S1174" i="1"/>
  <c r="S1679" i="1"/>
  <c r="S1269" i="1"/>
  <c r="S1750" i="1"/>
  <c r="S1170" i="1"/>
  <c r="S1462" i="1"/>
  <c r="S1157" i="1"/>
  <c r="S1479" i="1"/>
  <c r="S1261" i="1"/>
  <c r="S1780" i="1"/>
  <c r="S1781" i="1"/>
  <c r="S1136" i="1"/>
  <c r="S214" i="1"/>
  <c r="S1548" i="1"/>
  <c r="S1610" i="1"/>
  <c r="S1755" i="1"/>
  <c r="S1148" i="1"/>
  <c r="S1603" i="1"/>
  <c r="S754" i="1"/>
  <c r="S1251" i="1"/>
  <c r="S1415" i="1"/>
  <c r="S911" i="1"/>
  <c r="S461" i="1"/>
  <c r="S912" i="1"/>
  <c r="S883" i="1"/>
  <c r="S339" i="1"/>
  <c r="S1291" i="1"/>
  <c r="S926" i="1"/>
  <c r="S1005" i="1"/>
  <c r="S744" i="1"/>
  <c r="S723" i="1"/>
  <c r="S933" i="1"/>
  <c r="S628" i="1"/>
  <c r="S724" i="1"/>
  <c r="S698" i="1"/>
  <c r="S1069" i="1"/>
  <c r="S793" i="1"/>
  <c r="S725" i="1"/>
  <c r="S254" i="1"/>
  <c r="S226" i="1"/>
  <c r="S465" i="1"/>
  <c r="S612" i="1"/>
  <c r="S1154" i="1"/>
  <c r="S1641" i="1"/>
  <c r="S1759" i="1"/>
  <c r="S1395" i="1"/>
  <c r="S1799" i="1"/>
  <c r="S1763" i="1"/>
  <c r="S1903" i="1"/>
  <c r="S1733" i="1"/>
  <c r="S1528" i="1"/>
  <c r="S1410" i="1"/>
  <c r="S2015" i="1"/>
  <c r="S1178" i="1"/>
  <c r="S1512" i="1"/>
  <c r="S1847" i="1"/>
  <c r="S1829" i="1"/>
  <c r="S810" i="1"/>
  <c r="S1997" i="1"/>
  <c r="S1305" i="1"/>
  <c r="S832" i="1"/>
  <c r="S1516" i="1"/>
  <c r="S107" i="1"/>
  <c r="S1937" i="1"/>
  <c r="S1449" i="1"/>
  <c r="S1908" i="1"/>
  <c r="S534" i="1"/>
  <c r="S1060" i="1"/>
  <c r="S756" i="1"/>
  <c r="S446" i="1"/>
  <c r="S224" i="1"/>
  <c r="S347" i="1"/>
  <c r="S385" i="1"/>
  <c r="S368" i="1"/>
  <c r="S1574" i="1"/>
  <c r="S444" i="1"/>
  <c r="S165" i="1"/>
  <c r="S296" i="1"/>
  <c r="S233" i="1"/>
  <c r="S235" i="1"/>
  <c r="S517" i="1"/>
  <c r="S533" i="1"/>
  <c r="S337" i="1"/>
  <c r="S297" i="1"/>
  <c r="S146" i="1"/>
  <c r="S377" i="1"/>
  <c r="S563" i="1"/>
  <c r="S1560" i="1"/>
  <c r="S175" i="1"/>
  <c r="S690" i="1"/>
  <c r="S286" i="1"/>
  <c r="S437" i="1"/>
  <c r="S863" i="1"/>
  <c r="S382" i="1"/>
  <c r="S232" i="1"/>
  <c r="S1740" i="1"/>
  <c r="S148" i="1"/>
  <c r="S159" i="1"/>
  <c r="S418" i="1"/>
  <c r="S372" i="1"/>
  <c r="S242" i="1"/>
  <c r="S650" i="1"/>
  <c r="S663" i="1"/>
  <c r="S1719" i="1"/>
  <c r="S166" i="1"/>
  <c r="S574" i="1"/>
  <c r="S160" i="1"/>
  <c r="S613" i="1"/>
  <c r="S218" i="1"/>
  <c r="S903" i="1"/>
  <c r="S882" i="1"/>
  <c r="S303" i="1"/>
  <c r="S1743" i="1"/>
  <c r="S265" i="1"/>
  <c r="S231" i="1"/>
  <c r="S501" i="1"/>
  <c r="S158" i="1"/>
  <c r="S1026" i="1"/>
  <c r="S844" i="1"/>
  <c r="S925" i="1"/>
  <c r="S1909" i="1"/>
  <c r="S127" i="1"/>
  <c r="S170" i="1"/>
  <c r="S381" i="1"/>
  <c r="S379" i="1"/>
  <c r="S1850" i="1"/>
  <c r="S535" i="1"/>
  <c r="S834" i="1"/>
  <c r="S826" i="1"/>
  <c r="S575" i="1"/>
  <c r="S1644" i="1"/>
  <c r="S1068" i="1"/>
  <c r="S1971" i="1"/>
  <c r="S2088" i="1"/>
  <c r="S1621" i="1"/>
  <c r="S913" i="1"/>
  <c r="S2010" i="1"/>
  <c r="S789" i="1"/>
  <c r="S2025" i="1"/>
  <c r="S56" i="1"/>
  <c r="S639" i="1"/>
  <c r="S1692" i="1"/>
  <c r="S676" i="1"/>
  <c r="S480" i="1"/>
  <c r="S590" i="1"/>
  <c r="S1807" i="1"/>
  <c r="S126" i="1"/>
  <c r="S1607" i="1"/>
  <c r="S63" i="1"/>
  <c r="S749" i="1"/>
  <c r="S543" i="1"/>
  <c r="S2102" i="1"/>
  <c r="S2" i="1"/>
  <c r="S12" i="1"/>
  <c r="S3" i="1"/>
  <c r="S818" i="1"/>
  <c r="S227" i="1"/>
  <c r="S1934" i="1"/>
  <c r="S898" i="1"/>
  <c r="S498" i="1"/>
  <c r="S1047" i="1"/>
  <c r="S1205" i="1"/>
  <c r="S610" i="1"/>
  <c r="S601" i="1"/>
  <c r="S611" i="1"/>
  <c r="S1066" i="1"/>
  <c r="S729" i="1"/>
  <c r="S1372" i="1"/>
  <c r="S730" i="1"/>
  <c r="S1354" i="1"/>
  <c r="S638" i="1"/>
  <c r="S956" i="1"/>
  <c r="S1104" i="1"/>
  <c r="S745" i="1"/>
  <c r="S658" i="1"/>
  <c r="S409" i="1"/>
  <c r="S684" i="1"/>
  <c r="S236" i="1"/>
  <c r="S931" i="1"/>
  <c r="S738" i="1"/>
  <c r="S1319" i="1"/>
  <c r="S1193" i="1"/>
  <c r="S604" i="1"/>
  <c r="S414" i="1"/>
  <c r="S313" i="1"/>
  <c r="S344" i="1"/>
  <c r="S352" i="1"/>
  <c r="S460" i="1"/>
  <c r="S304" i="1"/>
  <c r="S268" i="1"/>
  <c r="S636" i="1"/>
  <c r="S586" i="1"/>
  <c r="S1086" i="1"/>
  <c r="S217" i="1"/>
  <c r="S41" i="1"/>
  <c r="S857" i="1"/>
  <c r="S1987" i="1"/>
  <c r="S1905" i="1"/>
  <c r="S1873" i="1"/>
  <c r="S1803" i="1"/>
  <c r="S373" i="1"/>
  <c r="S704" i="1"/>
  <c r="S2024" i="1"/>
  <c r="S2093" i="1"/>
  <c r="S1672" i="1"/>
  <c r="S1768" i="1"/>
  <c r="S1187" i="1"/>
  <c r="S1899" i="1"/>
  <c r="S1992" i="1"/>
  <c r="S1872" i="1"/>
  <c r="S276" i="1"/>
  <c r="S221" i="1"/>
  <c r="S100" i="1"/>
  <c r="S101" i="1"/>
  <c r="S102" i="1"/>
  <c r="S1144" i="1"/>
  <c r="S1427" i="1"/>
  <c r="S537" i="1"/>
  <c r="S319" i="1"/>
  <c r="S1568" i="1"/>
  <c r="S697" i="1"/>
  <c r="S199" i="1"/>
  <c r="S1498" i="1"/>
  <c r="S1499" i="1"/>
  <c r="S1075" i="1"/>
  <c r="S1076" i="1"/>
  <c r="S1077" i="1"/>
  <c r="S1078" i="1"/>
  <c r="S1500" i="1"/>
  <c r="S1079" i="1"/>
  <c r="S1080" i="1"/>
  <c r="S713" i="1"/>
  <c r="S714" i="1"/>
  <c r="S932" i="1"/>
  <c r="S715" i="1"/>
  <c r="S781" i="1"/>
  <c r="S782" i="1"/>
  <c r="S783" i="1"/>
  <c r="S784" i="1"/>
  <c r="S1501" i="1"/>
  <c r="S1502" i="1"/>
  <c r="S1081" i="1"/>
  <c r="S1082" i="1"/>
  <c r="S1403" i="1"/>
  <c r="S1083" i="1"/>
  <c r="S1084" i="1"/>
  <c r="S1085" i="1"/>
  <c r="S966" i="1"/>
  <c r="S1087" i="1"/>
  <c r="S941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529" i="1"/>
  <c r="S1503" i="1"/>
  <c r="S9" i="1"/>
  <c r="S1102" i="1"/>
  <c r="S1103" i="1"/>
  <c r="S109" i="1"/>
  <c r="S1505" i="1"/>
  <c r="S1105" i="1"/>
  <c r="S1106" i="1"/>
  <c r="S1107" i="1"/>
  <c r="S1108" i="1"/>
  <c r="S1248" i="1"/>
  <c r="S211" i="1"/>
  <c r="S916" i="1"/>
  <c r="S388" i="1"/>
  <c r="S360" i="1"/>
  <c r="S1217" i="1"/>
  <c r="S294" i="1"/>
  <c r="S258" i="1"/>
  <c r="S470" i="1"/>
  <c r="S561" i="1"/>
  <c r="S207" i="1"/>
  <c r="S1309" i="1"/>
  <c r="S862" i="1"/>
  <c r="S921" i="1"/>
  <c r="S197" i="1"/>
  <c r="S33" i="1"/>
  <c r="S1406" i="1"/>
  <c r="S975" i="1"/>
  <c r="S1160" i="1"/>
  <c r="S1407" i="1"/>
  <c r="S1285" i="1"/>
  <c r="S1264" i="1"/>
  <c r="S1614" i="1"/>
  <c r="S212" i="1"/>
  <c r="S1151" i="1"/>
  <c r="S702" i="1"/>
  <c r="S1172" i="1"/>
  <c r="S858" i="1"/>
  <c r="S673" i="1"/>
  <c r="S1513" i="1"/>
  <c r="S618" i="1"/>
  <c r="S252" i="1"/>
  <c r="S591" i="1"/>
  <c r="S807" i="1"/>
  <c r="S1147" i="1"/>
  <c r="S1209" i="1"/>
  <c r="S1290" i="1"/>
  <c r="S190" i="1"/>
  <c r="S1284" i="1"/>
  <c r="S150" i="1"/>
  <c r="S334" i="1"/>
  <c r="S213" i="1"/>
  <c r="S389" i="1"/>
  <c r="S314" i="1"/>
  <c r="S315" i="1"/>
  <c r="S361" i="1"/>
  <c r="S669" i="1"/>
  <c r="S208" i="1"/>
  <c r="S850" i="1"/>
  <c r="S733" i="1"/>
  <c r="S253" i="1"/>
  <c r="S238" i="1"/>
  <c r="S354" i="1"/>
  <c r="S1323" i="1"/>
  <c r="S518" i="1"/>
  <c r="S1015" i="1"/>
  <c r="S1526" i="1"/>
  <c r="S1318" i="1"/>
  <c r="S1727" i="1"/>
  <c r="S1504" i="1"/>
  <c r="S1693" i="1"/>
  <c r="S1387" i="1"/>
  <c r="S245" i="1"/>
  <c r="S27" i="1"/>
  <c r="S19" i="1"/>
  <c r="S1364" i="1"/>
  <c r="S1071" i="1"/>
  <c r="S705" i="1"/>
  <c r="S1030" i="1"/>
  <c r="S1143" i="1"/>
  <c r="S825" i="1"/>
  <c r="S957" i="1"/>
  <c r="S929" i="1"/>
  <c r="S736" i="1"/>
  <c r="S717" i="1"/>
  <c r="S840" i="1"/>
  <c r="S1257" i="1"/>
  <c r="S1522" i="1"/>
  <c r="S1328" i="1"/>
  <c r="S1691" i="1"/>
  <c r="S1955" i="1"/>
  <c r="S1979" i="1"/>
  <c r="S1587" i="1"/>
  <c r="S1312" i="1"/>
  <c r="S1408" i="1"/>
  <c r="S83" i="1"/>
  <c r="S842" i="1"/>
  <c r="S1322" i="1"/>
  <c r="S111" i="1"/>
  <c r="S1592" i="1"/>
  <c r="S1604" i="1"/>
  <c r="S1231" i="1"/>
  <c r="S1256" i="1"/>
  <c r="S1602" i="1"/>
  <c r="S1624" i="1"/>
  <c r="S257" i="1"/>
  <c r="S263" i="1"/>
  <c r="S1615" i="1"/>
  <c r="S974" i="1"/>
  <c r="S696" i="1"/>
  <c r="S75" i="1"/>
  <c r="S1556" i="1"/>
  <c r="S631" i="1"/>
  <c r="S914" i="1"/>
  <c r="S1353" i="1"/>
  <c r="S309" i="1"/>
  <c r="S938" i="1"/>
  <c r="S943" i="1"/>
  <c r="S1206" i="1"/>
  <c r="S854" i="1"/>
  <c r="S279" i="1"/>
  <c r="S318" i="1"/>
  <c r="S1853" i="1"/>
  <c r="S376" i="1"/>
  <c r="S249" i="1"/>
  <c r="S194" i="1"/>
  <c r="S340" i="1"/>
  <c r="S677" i="1"/>
  <c r="S1140" i="1"/>
  <c r="S674" i="1"/>
  <c r="S516" i="1"/>
  <c r="S1200" i="1"/>
  <c r="S229" i="1"/>
  <c r="S1831" i="1"/>
  <c r="S635" i="1"/>
  <c r="S133" i="1"/>
  <c r="S1563" i="1"/>
  <c r="S778" i="1"/>
  <c r="S1525" i="1"/>
  <c r="S605" i="1"/>
  <c r="S1613" i="1"/>
  <c r="S492" i="1"/>
  <c r="S371" i="1"/>
  <c r="S1247" i="1"/>
  <c r="S1400" i="1"/>
  <c r="S1192" i="1"/>
  <c r="S920" i="1"/>
  <c r="S445" i="1"/>
  <c r="S1295" i="1"/>
  <c r="S1311" i="1"/>
  <c r="S84" i="1"/>
  <c r="S1196" i="1"/>
  <c r="S680" i="1"/>
  <c r="S1127" i="1"/>
  <c r="S1489" i="1"/>
  <c r="S1770" i="1"/>
  <c r="S811" i="1"/>
  <c r="S307" i="1"/>
  <c r="S491" i="1"/>
  <c r="S637" i="1"/>
  <c r="S1868" i="1"/>
  <c r="S1889" i="1"/>
  <c r="S1775" i="1"/>
  <c r="S602" i="1"/>
  <c r="S392" i="1"/>
  <c r="S1009" i="1"/>
  <c r="S2049" i="1"/>
  <c r="S573" i="1"/>
  <c r="S328" i="1"/>
  <c r="S1580" i="1"/>
  <c r="S1492" i="1"/>
  <c r="S1539" i="1"/>
  <c r="S1195" i="1"/>
  <c r="S178" i="1"/>
  <c r="S1329" i="1"/>
  <c r="S1240" i="1"/>
  <c r="S1158" i="1"/>
  <c r="S1286" i="1"/>
  <c r="S1595" i="1"/>
  <c r="S1572" i="1"/>
  <c r="S1369" i="1"/>
  <c r="S1175" i="1"/>
  <c r="S1201" i="1"/>
  <c r="S50" i="1"/>
  <c r="S1767" i="1"/>
  <c r="S1544" i="1"/>
  <c r="S1220" i="1"/>
  <c r="S1452" i="1"/>
  <c r="S1915" i="1"/>
  <c r="S20" i="1"/>
  <c r="S876" i="1"/>
  <c r="S345" i="1"/>
  <c r="S761" i="1"/>
  <c r="S394" i="1"/>
  <c r="S108" i="1"/>
  <c r="S703" i="1"/>
  <c r="S364" i="1"/>
  <c r="S439" i="1"/>
  <c r="S532" i="1"/>
  <c r="S395" i="1"/>
  <c r="S440" i="1"/>
  <c r="S338" i="1"/>
  <c r="S1622" i="1"/>
  <c r="S1664" i="1"/>
  <c r="S1709" i="1"/>
  <c r="S1367" i="1"/>
  <c r="S1616" i="1"/>
  <c r="S1596" i="1"/>
  <c r="S1665" i="1"/>
  <c r="S1677" i="1"/>
  <c r="S1274" i="1"/>
  <c r="S2041" i="1"/>
  <c r="S1772" i="1"/>
  <c r="S1690" i="1"/>
  <c r="S1941" i="1"/>
  <c r="S1862" i="1"/>
  <c r="S2003" i="1"/>
  <c r="S1446" i="1"/>
  <c r="S1661" i="1"/>
  <c r="S1694" i="1"/>
  <c r="S1808" i="1"/>
  <c r="S1734" i="1"/>
  <c r="S2007" i="1"/>
  <c r="S2023" i="1"/>
  <c r="S1349" i="1"/>
  <c r="S726" i="1"/>
  <c r="S1880" i="1"/>
  <c r="S85" i="1"/>
  <c r="S1458" i="1"/>
  <c r="S1932" i="1"/>
  <c r="S1246" i="1"/>
  <c r="S1774" i="1"/>
  <c r="S841" i="1"/>
  <c r="S1640" i="1"/>
  <c r="S1765" i="1"/>
  <c r="S1253" i="1"/>
  <c r="S1234" i="1"/>
  <c r="S1806" i="1"/>
  <c r="S1073" i="1"/>
  <c r="S1669" i="1"/>
  <c r="S881" i="1"/>
  <c r="S262" i="1"/>
  <c r="S1670" i="1"/>
  <c r="S1074" i="1"/>
  <c r="S1718" i="1"/>
  <c r="S1782" i="1"/>
  <c r="S1957" i="1"/>
  <c r="S1605" i="1"/>
  <c r="S821" i="1"/>
  <c r="S1433" i="1"/>
  <c r="S653" i="1"/>
  <c r="S1865" i="1"/>
  <c r="S1642" i="1"/>
  <c r="S1579" i="1"/>
  <c r="S1244" i="1"/>
  <c r="S835" i="1"/>
  <c r="S836" i="1"/>
  <c r="S1018" i="1"/>
  <c r="S1265" i="1"/>
  <c r="S1783" i="1"/>
  <c r="S1940" i="1"/>
  <c r="S972" i="1"/>
  <c r="S2035" i="1"/>
  <c r="S2021" i="1"/>
  <c r="S2069" i="1"/>
  <c r="S1984" i="1"/>
  <c r="S90" i="1"/>
  <c r="S77" i="1"/>
  <c r="S1566" i="1"/>
  <c r="S58" i="1"/>
  <c r="S5" i="1"/>
  <c r="S1168" i="1"/>
  <c r="S1779" i="1"/>
  <c r="S1998" i="1"/>
  <c r="S1237" i="1"/>
  <c r="S1416" i="1"/>
  <c r="S1185" i="1"/>
  <c r="S1210" i="1"/>
  <c r="S104" i="1"/>
  <c r="S105" i="1"/>
  <c r="S106" i="1"/>
  <c r="S1990" i="1"/>
  <c r="S1882" i="1"/>
  <c r="S2068" i="1"/>
  <c r="S60" i="1"/>
  <c r="S2019" i="1"/>
  <c r="S1766" i="1"/>
  <c r="S2029" i="1"/>
  <c r="S300" i="1"/>
  <c r="S312" i="1"/>
  <c r="S320" i="1"/>
  <c r="S151" i="1"/>
  <c r="S679" i="1"/>
  <c r="S627" i="1"/>
  <c r="S366" i="1"/>
  <c r="S709" i="1"/>
  <c r="S324" i="1"/>
  <c r="S176" i="1"/>
  <c r="S1485" i="1"/>
  <c r="S78" i="1"/>
  <c r="S1715" i="1"/>
  <c r="S1304" i="1"/>
  <c r="S861" i="1"/>
  <c r="S2009" i="1"/>
  <c r="S1754" i="1"/>
  <c r="S1994" i="1"/>
  <c r="S1487" i="1"/>
  <c r="S626" i="1"/>
  <c r="S661" i="1"/>
  <c r="S325" i="1"/>
  <c r="S289" i="1"/>
  <c r="S269" i="1"/>
  <c r="S1486" i="1"/>
  <c r="S1488" i="1"/>
  <c r="S1401" i="1"/>
  <c r="S1275" i="1"/>
  <c r="S1204" i="1"/>
  <c r="S79" i="1"/>
  <c r="S1238" i="1"/>
  <c r="S1383" i="1"/>
  <c r="S1373" i="1"/>
  <c r="S181" i="1"/>
  <c r="S362" i="1"/>
  <c r="S1559" i="1"/>
  <c r="S1535" i="1"/>
  <c r="S261" i="1"/>
  <c r="S452" i="1"/>
  <c r="S39" i="1"/>
  <c r="S1007" i="1"/>
  <c r="S768" i="1"/>
  <c r="S855" i="1"/>
  <c r="S92" i="1"/>
  <c r="S856" i="1"/>
  <c r="S785" i="1"/>
  <c r="S976" i="1"/>
  <c r="S1785" i="1"/>
  <c r="S977" i="1"/>
  <c r="S1786" i="1"/>
  <c r="S57" i="1"/>
  <c r="S978" i="1"/>
  <c r="S1787" i="1"/>
  <c r="S28" i="1"/>
  <c r="S979" i="1"/>
  <c r="S1791" i="1"/>
  <c r="S36" i="1"/>
  <c r="S980" i="1"/>
  <c r="S1788" i="1"/>
  <c r="S981" i="1"/>
  <c r="S1789" i="1"/>
  <c r="S982" i="1"/>
  <c r="S1790" i="1"/>
  <c r="S983" i="1"/>
  <c r="S1792" i="1"/>
  <c r="S984" i="1"/>
  <c r="S1793" i="1"/>
  <c r="S985" i="1"/>
  <c r="S1794" i="1"/>
  <c r="S986" i="1"/>
  <c r="S1795" i="1"/>
  <c r="S987" i="1"/>
  <c r="S1796" i="1"/>
  <c r="S988" i="1"/>
  <c r="S1874" i="1"/>
  <c r="S37" i="1"/>
  <c r="S1182" i="1"/>
  <c r="S1797" i="1"/>
  <c r="S1258" i="1"/>
  <c r="S363" i="1"/>
  <c r="S103" i="1"/>
  <c r="S731" i="1"/>
  <c r="S694" i="1"/>
  <c r="S1254" i="1"/>
  <c r="S1255" i="1"/>
  <c r="S1327" i="1"/>
  <c r="S412" i="1"/>
  <c r="S1307" i="1"/>
  <c r="S1326" i="1"/>
  <c r="S1341" i="1"/>
  <c r="S1342" i="1"/>
  <c r="S1343" i="1"/>
  <c r="S1344" i="1"/>
  <c r="S1345" i="1"/>
  <c r="S1435" i="1"/>
  <c r="S1470" i="1"/>
  <c r="S1366" i="1"/>
  <c r="S1475" i="1"/>
  <c r="S1236" i="1"/>
  <c r="S1682" i="1"/>
  <c r="S934" i="1"/>
  <c r="S434" i="1"/>
  <c r="S435" i="1"/>
  <c r="S509" i="1"/>
  <c r="S510" i="1"/>
  <c r="S511" i="1"/>
  <c r="S503" i="1"/>
  <c r="S504" i="1"/>
  <c r="S505" i="1"/>
  <c r="S506" i="1"/>
  <c r="S264" i="1"/>
  <c r="S507" i="1"/>
  <c r="S508" i="1"/>
  <c r="S559" i="1"/>
  <c r="S485" i="1"/>
  <c r="S96" i="1"/>
  <c r="S474" i="1"/>
  <c r="S1545" i="1"/>
  <c r="S359" i="1"/>
  <c r="S1222" i="1"/>
  <c r="S447" i="1"/>
  <c r="S1337" i="1"/>
  <c r="S1224" i="1"/>
  <c r="S448" i="1"/>
  <c r="S1338" i="1"/>
  <c r="S449" i="1"/>
  <c r="S1339" i="1"/>
  <c r="S458" i="1"/>
  <c r="S1358" i="1"/>
  <c r="S1064" i="1"/>
  <c r="S31" i="1"/>
  <c r="S21" i="1"/>
  <c r="S1648" i="1"/>
  <c r="S1649" i="1"/>
  <c r="S1652" i="1"/>
  <c r="S1510" i="1"/>
  <c r="S1650" i="1"/>
  <c r="S29" i="1"/>
  <c r="S1651" i="1"/>
  <c r="S30" i="1"/>
  <c r="S1653" i="1"/>
  <c r="S38" i="1"/>
  <c r="S1654" i="1"/>
  <c r="S1655" i="1"/>
  <c r="S1656" i="1"/>
  <c r="S1657" i="1"/>
  <c r="S1658" i="1"/>
  <c r="S1659" i="1"/>
  <c r="S1660" i="1"/>
  <c r="S1365" i="1"/>
  <c r="S866" i="1"/>
  <c r="S884" i="1"/>
  <c r="S867" i="1"/>
  <c r="S885" i="1"/>
  <c r="S868" i="1"/>
  <c r="S886" i="1"/>
  <c r="S869" i="1"/>
  <c r="S887" i="1"/>
  <c r="S870" i="1"/>
  <c r="S888" i="1"/>
  <c r="S871" i="1"/>
  <c r="S889" i="1"/>
  <c r="S872" i="1"/>
  <c r="S890" i="1"/>
  <c r="S873" i="1"/>
  <c r="S891" i="1"/>
  <c r="S935" i="1"/>
  <c r="S947" i="1"/>
  <c r="S936" i="1"/>
  <c r="S948" i="1"/>
  <c r="S949" i="1"/>
  <c r="S937" i="1"/>
  <c r="S1703" i="1"/>
  <c r="S1704" i="1"/>
  <c r="S1609" i="1"/>
  <c r="S1543" i="1"/>
  <c r="S88" i="1"/>
  <c r="S1705" i="1"/>
  <c r="S87" i="1"/>
  <c r="S1706" i="1"/>
  <c r="S1707" i="1"/>
  <c r="S1708" i="1"/>
  <c r="S1724" i="1"/>
  <c r="S875" i="1"/>
  <c r="S1725" i="1"/>
  <c r="S1810" i="1"/>
  <c r="S1811" i="1"/>
  <c r="S152" i="1"/>
  <c r="S1813" i="1"/>
  <c r="S1814" i="1"/>
  <c r="S396" i="1"/>
  <c r="S397" i="1"/>
  <c r="S97" i="1"/>
  <c r="S398" i="1"/>
  <c r="S399" i="1"/>
  <c r="S400" i="1"/>
  <c r="S401" i="1"/>
  <c r="S402" i="1"/>
  <c r="S403" i="1"/>
  <c r="S404" i="1"/>
  <c r="S405" i="1"/>
  <c r="S406" i="1"/>
  <c r="S407" i="1"/>
  <c r="S420" i="1"/>
  <c r="S421" i="1"/>
  <c r="S422" i="1"/>
  <c r="S179" i="1"/>
  <c r="S415" i="1"/>
  <c r="S342" i="1"/>
  <c r="S695" i="1"/>
  <c r="S110" i="1"/>
  <c r="S1732" i="1"/>
  <c r="S790" i="1"/>
  <c r="S308" i="1"/>
  <c r="S1282" i="1"/>
  <c r="S520" i="1"/>
  <c r="S521" i="1"/>
  <c r="S1944" i="1"/>
  <c r="S522" i="1"/>
  <c r="S523" i="1"/>
  <c r="S524" i="1"/>
  <c r="S525" i="1"/>
  <c r="S526" i="1"/>
  <c r="S467" i="1"/>
  <c r="S1945" i="1"/>
  <c r="S494" i="1"/>
  <c r="S527" i="1"/>
  <c r="S528" i="1"/>
  <c r="S481" i="1"/>
  <c r="S625" i="1"/>
  <c r="S908" i="1"/>
  <c r="S999" i="1"/>
  <c r="S1002" i="1"/>
  <c r="S995" i="1"/>
  <c r="S998" i="1"/>
  <c r="S1000" i="1"/>
  <c r="S1013" i="1"/>
  <c r="S1034" i="1"/>
  <c r="S1048" i="1"/>
  <c r="S1049" i="1"/>
  <c r="S1038" i="1"/>
  <c r="S582" i="1"/>
  <c r="S544" i="1"/>
  <c r="S545" i="1"/>
  <c r="S546" i="1"/>
  <c r="S547" i="1"/>
  <c r="S557" i="1"/>
  <c r="S548" i="1"/>
  <c r="S549" i="1"/>
  <c r="S550" i="1"/>
  <c r="S551" i="1"/>
  <c r="S1849" i="1"/>
  <c r="S55" i="1"/>
  <c r="S1869" i="1"/>
  <c r="S1902" i="1"/>
  <c r="S1824" i="1"/>
  <c r="S1876" i="1"/>
  <c r="S23" i="1"/>
  <c r="S43" i="1"/>
  <c r="S1892" i="1"/>
  <c r="S24" i="1"/>
  <c r="S147" i="1"/>
  <c r="S1918" i="1"/>
  <c r="S25" i="1"/>
  <c r="S1919" i="1"/>
  <c r="S26" i="1"/>
  <c r="S1920" i="1"/>
  <c r="S22" i="1"/>
  <c r="S1921" i="1"/>
  <c r="S1922" i="1"/>
  <c r="S1923" i="1"/>
  <c r="S1924" i="1"/>
  <c r="S49" i="1"/>
  <c r="S1925" i="1"/>
  <c r="S1405" i="1"/>
  <c r="S1967" i="1"/>
  <c r="S2000" i="1"/>
  <c r="S1968" i="1"/>
  <c r="S1999" i="1"/>
  <c r="S1463" i="1"/>
  <c r="S1618" i="1"/>
  <c r="S1856" i="1"/>
  <c r="S47" i="1"/>
  <c r="S1536" i="1"/>
  <c r="S48" i="1"/>
  <c r="S1348" i="1"/>
  <c r="S1409" i="1"/>
  <c r="S1540" i="1"/>
  <c r="S776" i="1"/>
  <c r="S1886" i="1"/>
  <c r="S1637" i="1"/>
  <c r="S1131" i="1"/>
  <c r="S1778" i="1"/>
  <c r="S1617" i="1"/>
  <c r="S1625" i="1"/>
  <c r="S1988" i="1"/>
  <c r="S1629" i="1"/>
  <c r="S1065" i="1"/>
  <c r="S1420" i="1"/>
  <c r="S1541" i="1"/>
  <c r="S1954" i="1"/>
  <c r="S1777" i="1"/>
  <c r="S1835" i="1"/>
  <c r="S924" i="1"/>
  <c r="S805" i="1"/>
  <c r="S74" i="1"/>
  <c r="S1454" i="1"/>
  <c r="S1939" i="1"/>
  <c r="S1935" i="1"/>
  <c r="S1626" i="1"/>
  <c r="S1468" i="1"/>
  <c r="S1927" i="1"/>
  <c r="S1132" i="1"/>
  <c r="S358" i="1"/>
  <c r="S1972" i="1"/>
  <c r="S2018" i="1"/>
  <c r="S814" i="1"/>
  <c r="S1631" i="1"/>
  <c r="S815" i="1"/>
  <c r="S1214" i="1"/>
  <c r="S617" i="1"/>
  <c r="S1836" i="1"/>
  <c r="S80" i="1"/>
  <c r="S1150" i="1"/>
  <c r="S390" i="1"/>
  <c r="S95" i="1"/>
  <c r="S1315" i="1"/>
  <c r="S1459" i="1"/>
  <c r="S1276" i="1"/>
  <c r="S1989" i="1"/>
  <c r="S1551" i="1"/>
  <c r="S1456" i="1"/>
  <c r="S1938" i="1"/>
  <c r="S2061" i="1"/>
  <c r="S2016" i="1"/>
  <c r="S2072" i="1"/>
  <c r="S2042" i="1"/>
  <c r="S1636" i="1"/>
  <c r="S1333" i="1"/>
  <c r="S1904" i="1"/>
  <c r="S1547" i="1"/>
  <c r="S1448" i="1"/>
  <c r="S1496" i="1"/>
  <c r="S1393" i="1"/>
  <c r="S2064" i="1"/>
  <c r="S2070" i="1"/>
  <c r="S2048" i="1"/>
  <c r="S277" i="1"/>
  <c r="S1623" i="1"/>
  <c r="S1956" i="1"/>
  <c r="S1858" i="1"/>
  <c r="S1464" i="1"/>
  <c r="S1334" i="1"/>
  <c r="S1875" i="1"/>
  <c r="S1519" i="1"/>
  <c r="S1169" i="1"/>
  <c r="S1800" i="1"/>
  <c r="S1149" i="1"/>
  <c r="S1321" i="1"/>
  <c r="S1958" i="1"/>
  <c r="S1883" i="1"/>
  <c r="S2038" i="1"/>
  <c r="S1453" i="1"/>
  <c r="S278" i="1"/>
  <c r="S288" i="1"/>
  <c r="S620" i="1"/>
  <c r="S530" i="1"/>
  <c r="S750" i="1"/>
  <c r="S808" i="1"/>
  <c r="S581" i="1"/>
  <c r="S562" i="1"/>
  <c r="S737" i="1"/>
  <c r="S770" i="1"/>
  <c r="S878" i="1"/>
  <c r="S797" i="1"/>
  <c r="S905" i="1"/>
  <c r="S280" i="1"/>
  <c r="S281" i="1"/>
  <c r="S61" i="1"/>
  <c r="S86" i="1"/>
  <c r="S630" i="1"/>
  <c r="S587" i="1"/>
  <c r="S764" i="1"/>
  <c r="S1061" i="1"/>
  <c r="S73" i="1"/>
  <c r="S656" i="1"/>
  <c r="S1161" i="1"/>
  <c r="S81" i="1"/>
  <c r="S1221" i="1"/>
  <c r="S1414" i="1"/>
  <c r="S1223" i="1"/>
  <c r="S1021" i="1"/>
  <c r="S1460" i="1"/>
  <c r="S66" i="1"/>
  <c r="S98" i="1"/>
  <c r="S909" i="1"/>
  <c r="S1600" i="1"/>
  <c r="S989" i="1"/>
  <c r="S1508" i="1"/>
  <c r="S1134" i="1"/>
  <c r="S1191" i="1"/>
  <c r="S1382" i="1"/>
  <c r="S838" i="1"/>
  <c r="S1826" i="1"/>
  <c r="S2101" i="1"/>
  <c r="S2089" i="1"/>
  <c r="S2103" i="1"/>
  <c r="S2098" i="1"/>
  <c r="S742" i="1"/>
  <c r="S2104" i="1"/>
  <c r="S1726" i="1"/>
  <c r="S1645" i="1"/>
  <c r="S2045" i="1"/>
  <c r="S310" i="1"/>
  <c r="S1332" i="1"/>
  <c r="S180" i="1"/>
  <c r="S1314" i="1"/>
  <c r="S1399" i="1"/>
  <c r="S806" i="1"/>
  <c r="S1428" i="1"/>
  <c r="S1425" i="1"/>
  <c r="S135" i="1"/>
  <c r="S1472" i="1"/>
  <c r="S130" i="1"/>
  <c r="S1413" i="1"/>
  <c r="S443" i="1"/>
  <c r="S341" i="1"/>
  <c r="S1270" i="1"/>
  <c r="S141" i="1"/>
  <c r="S230" i="1"/>
  <c r="S1424" i="1"/>
  <c r="S206" i="1"/>
  <c r="S1426" i="1"/>
  <c r="S1467" i="1"/>
  <c r="S136" i="1"/>
  <c r="S128" i="1"/>
  <c r="S1417" i="1"/>
  <c r="S1188" i="1"/>
  <c r="S751" i="1"/>
  <c r="S131" i="1"/>
  <c r="S1418" i="1"/>
  <c r="S132" i="1"/>
  <c r="S2055" i="1"/>
  <c r="S2011" i="1"/>
  <c r="S1245" i="1"/>
  <c r="S2063" i="1"/>
  <c r="S2085" i="1"/>
  <c r="S1176" i="1"/>
  <c r="S15" i="1"/>
  <c r="S2099" i="1"/>
  <c r="S16" i="1"/>
  <c r="S17" i="1"/>
  <c r="S4" i="1"/>
  <c r="S1575" i="1"/>
  <c r="S1497" i="1"/>
  <c r="S1225" i="1"/>
  <c r="S1635" i="1"/>
  <c r="S1683" i="1"/>
  <c r="S739" i="1"/>
  <c r="S490" i="1"/>
  <c r="S588" i="1"/>
  <c r="S2028" i="1"/>
  <c r="S901" i="1"/>
  <c r="S600" i="1"/>
  <c r="S1717" i="1"/>
  <c r="S65" i="1"/>
  <c r="S1004" i="1"/>
  <c r="S1628" i="1"/>
  <c r="S378" i="1"/>
  <c r="S62" i="1"/>
  <c r="S1283" i="1"/>
  <c r="S469" i="1"/>
  <c r="S1667" i="1"/>
  <c r="S1437" i="1"/>
  <c r="S67" i="1"/>
  <c r="S1646" i="1"/>
  <c r="S198" i="1"/>
  <c r="S1381" i="1"/>
  <c r="S1478" i="1"/>
  <c r="S1165" i="1"/>
  <c r="S1910" i="1"/>
  <c r="S1991" i="1"/>
  <c r="S2017" i="1"/>
  <c r="S1969" i="1"/>
  <c r="S2030" i="1"/>
  <c r="S1993" i="1"/>
  <c r="S741" i="1"/>
  <c r="S1666" i="1"/>
  <c r="S589" i="1"/>
  <c r="S1184" i="1"/>
  <c r="S1823" i="1"/>
  <c r="S792" i="1"/>
  <c r="S1521" i="1"/>
  <c r="S299" i="1"/>
  <c r="S645" i="1"/>
  <c r="S1523" i="1"/>
  <c r="S765" i="1"/>
  <c r="S1361" i="1"/>
  <c r="S688" i="1"/>
  <c r="S1362" i="1"/>
  <c r="S896" i="1"/>
  <c r="S930" i="1"/>
  <c r="S829" i="1"/>
  <c r="S1130" i="1"/>
  <c r="S431" i="1"/>
  <c r="S990" i="1"/>
  <c r="S799" i="1"/>
  <c r="S780" i="1"/>
  <c r="S1357" i="1"/>
  <c r="S1524" i="1"/>
  <c r="S1014" i="1"/>
  <c r="S1028" i="1"/>
  <c r="S644" i="1"/>
  <c r="S847" i="1"/>
  <c r="S454" i="1"/>
  <c r="S585" i="1"/>
  <c r="S1228" i="1"/>
  <c r="S565" i="1"/>
  <c r="S1398" i="1"/>
  <c r="S1293" i="1"/>
  <c r="S1546" i="1"/>
  <c r="S54" i="1"/>
  <c r="S1058" i="1"/>
  <c r="S1673" i="1"/>
  <c r="S222" i="1"/>
  <c r="S1287" i="1"/>
  <c r="S1532" i="1"/>
  <c r="S689" i="1"/>
  <c r="S800" i="1"/>
  <c r="S801" i="1"/>
  <c r="S1896" i="1"/>
  <c r="S1893" i="1"/>
  <c r="S155" i="1"/>
  <c r="S1533" i="1"/>
  <c r="S849" i="1"/>
  <c r="S2067" i="1"/>
  <c r="S1271" i="1"/>
  <c r="S1936" i="1"/>
  <c r="S1911" i="1"/>
  <c r="S1978" i="1"/>
  <c r="S1443" i="1"/>
  <c r="S1917" i="1"/>
  <c r="S2052" i="1"/>
  <c r="S969" i="1"/>
  <c r="S1855" i="1"/>
  <c r="S2051" i="1"/>
  <c r="S1712" i="1"/>
  <c r="S2058" i="1"/>
  <c r="S1860" i="1"/>
  <c r="S2060" i="1"/>
  <c r="S1279" i="1"/>
  <c r="S44" i="1"/>
  <c r="S1561" i="1"/>
  <c r="S1633" i="1"/>
  <c r="S1520" i="1"/>
  <c r="S1802" i="1"/>
  <c r="S813" i="1"/>
  <c r="S1812" i="1"/>
  <c r="S1346" i="1"/>
  <c r="S1554" i="1"/>
  <c r="S1203" i="1"/>
  <c r="S1439" i="1"/>
  <c r="S1380" i="1"/>
  <c r="S42" i="1"/>
  <c r="S1527" i="1"/>
  <c r="S735" i="1"/>
  <c r="S1347" i="1"/>
  <c r="S479" i="1"/>
  <c r="S670" i="1"/>
  <c r="S655" i="1"/>
  <c r="S1534" i="1"/>
  <c r="S1145" i="1"/>
  <c r="S584" i="1"/>
  <c r="S1741" i="1"/>
  <c r="S515" i="1"/>
  <c r="S1003" i="1"/>
  <c r="S1764" i="1"/>
  <c r="S906" i="1"/>
  <c r="S671" i="1"/>
  <c r="S52" i="1"/>
  <c r="S2034" i="1"/>
  <c r="S2090" i="1"/>
  <c r="S1916" i="1"/>
  <c r="S649" i="1"/>
  <c r="S365" i="1"/>
  <c r="S864" i="1"/>
  <c r="S284" i="1"/>
  <c r="S282" i="1"/>
  <c r="S283" i="1"/>
  <c r="S596" i="1"/>
  <c r="S302" i="1"/>
  <c r="S762" i="1"/>
  <c r="S455" i="1"/>
  <c r="S1483" i="1"/>
  <c r="S1747" i="1"/>
  <c r="S1864" i="1"/>
  <c r="S1728" i="1"/>
  <c r="S34" i="1"/>
  <c r="S1776" i="1"/>
  <c r="S1833" i="1"/>
  <c r="S1588" i="1"/>
  <c r="S1995" i="1"/>
  <c r="S332" i="1"/>
  <c r="S1229" i="1"/>
  <c r="S1885" i="1"/>
  <c r="S651" i="1"/>
  <c r="S14" i="1"/>
  <c r="S1912" i="1"/>
  <c r="S1687" i="1"/>
  <c r="S1241" i="1"/>
  <c r="S1744" i="1"/>
  <c r="S1444" i="1"/>
  <c r="S1173" i="1"/>
  <c r="S728" i="1"/>
  <c r="S894" i="1"/>
  <c r="S1272" i="1"/>
  <c r="S1531" i="1"/>
  <c r="S1390" i="1"/>
  <c r="S1039" i="1"/>
  <c r="S182" i="1"/>
  <c r="S1317" i="1"/>
  <c r="S940" i="1"/>
  <c r="S2082" i="1"/>
  <c r="S683" i="1"/>
  <c r="S519" i="1"/>
  <c r="S928" i="1"/>
  <c r="S82" i="1"/>
  <c r="S228" i="1"/>
  <c r="S802" i="1"/>
  <c r="S798" i="1"/>
  <c r="S592" i="1"/>
  <c r="S753" i="1"/>
  <c r="S1982" i="1"/>
  <c r="S1597" i="1"/>
  <c r="S2080" i="1"/>
  <c r="S569" i="1"/>
  <c r="S10" i="1"/>
  <c r="S8" i="1"/>
  <c r="S7" i="1"/>
  <c r="S2097" i="1"/>
  <c r="S13" i="1"/>
  <c r="S374" i="1"/>
  <c r="S1340" i="1"/>
  <c r="S895" i="1"/>
  <c r="S831" i="1"/>
  <c r="S1363" i="1"/>
  <c r="S1647" i="1"/>
  <c r="S1023" i="1"/>
  <c r="S1890" i="1"/>
  <c r="S1985" i="1"/>
  <c r="S2005" i="1"/>
  <c r="S2062" i="1"/>
  <c r="S2008" i="1"/>
  <c r="S1976" i="1"/>
  <c r="S2006" i="1"/>
  <c r="S1606" i="1"/>
  <c r="S2036" i="1"/>
  <c r="S1996" i="1"/>
  <c r="S2083" i="1"/>
  <c r="S2039" i="1"/>
  <c r="S2079" i="1"/>
  <c r="S997" i="1"/>
  <c r="S1671" i="1"/>
  <c r="S1056" i="1"/>
  <c r="S1171" i="1"/>
  <c r="S1374" i="1"/>
  <c r="S1057" i="1"/>
  <c r="S1180" i="1"/>
  <c r="S32" i="1"/>
  <c r="S1054" i="1"/>
  <c r="S1878" i="1"/>
  <c r="S1141" i="1"/>
  <c r="S1296" i="1"/>
  <c r="S1375" i="1"/>
  <c r="S1857" i="1"/>
  <c r="S1198" i="1"/>
  <c r="S1156" i="1"/>
  <c r="S1686" i="1"/>
  <c r="S248" i="1"/>
  <c r="S59" i="1"/>
  <c r="S964" i="1"/>
  <c r="S771" i="1"/>
  <c r="S1745" i="1"/>
  <c r="S1370" i="1"/>
  <c r="S1297" i="1"/>
  <c r="S1186" i="1"/>
  <c r="S1212" i="1"/>
  <c r="S355" i="1"/>
  <c r="S1688" i="1"/>
  <c r="S1447" i="1"/>
  <c r="S1396" i="1"/>
  <c r="S732" i="1"/>
  <c r="S1598" i="1"/>
  <c r="S1055" i="1"/>
  <c r="S687" i="1"/>
  <c r="S994" i="1"/>
  <c r="S699" i="1"/>
  <c r="S2044" i="1"/>
  <c r="S6" i="1"/>
  <c r="S1006" i="1"/>
  <c r="S710" i="1"/>
  <c r="S1022" i="1"/>
  <c r="S1199" i="1"/>
  <c r="S1469" i="1"/>
  <c r="S1298" i="1"/>
  <c r="S1385" i="1"/>
  <c r="S1268" i="1"/>
  <c r="S1834" i="1"/>
  <c r="S210" i="1"/>
  <c r="S577" i="1"/>
  <c r="S317" i="1"/>
  <c r="S758" i="1"/>
  <c r="S580" i="1"/>
  <c r="S1445" i="1"/>
  <c r="S367" i="1"/>
  <c r="S657" i="1"/>
  <c r="S413" i="1"/>
  <c r="S343" i="1"/>
  <c r="S1303" i="1"/>
  <c r="S322" i="1"/>
  <c r="S685" i="1"/>
  <c r="S351" i="1"/>
  <c r="S777" i="1"/>
  <c r="S1582" i="1"/>
  <c r="S1581" i="1"/>
  <c r="S1827" i="1"/>
  <c r="S1981" i="1"/>
  <c r="S1583" i="1"/>
  <c r="S1584" i="1"/>
  <c r="S1163" i="1"/>
  <c r="S1477" i="1"/>
  <c r="S1736" i="1"/>
  <c r="S1619" i="1"/>
  <c r="S295" i="1"/>
  <c r="S1974" i="1"/>
  <c r="S1335" i="1"/>
  <c r="S1737" i="1"/>
  <c r="S1897" i="1"/>
  <c r="S1585" i="1"/>
  <c r="S1828" i="1"/>
  <c r="S1900" i="1"/>
  <c r="S1742" i="1"/>
  <c r="S1965" i="1"/>
  <c r="S1751" i="1"/>
  <c r="S1746" i="1"/>
  <c r="S1870" i="1"/>
  <c r="S1627" i="1"/>
  <c r="S1784" i="1"/>
  <c r="S157" i="1"/>
  <c r="S893" i="1"/>
  <c r="S350" i="1"/>
  <c r="S939" i="1"/>
  <c r="S164" i="1"/>
  <c r="S1837" i="1"/>
  <c r="S1440" i="1"/>
  <c r="S1109" i="1"/>
  <c r="O255" i="1" l="1"/>
  <c r="M255" i="1"/>
  <c r="O272" i="1"/>
  <c r="M272" i="1"/>
  <c r="Q1169" i="1"/>
  <c r="R1169" i="1" s="1"/>
  <c r="P1909" i="1"/>
  <c r="Q1909" i="1" s="1"/>
  <c r="R1909" i="1" s="1"/>
  <c r="P1181" i="1"/>
  <c r="Q1181" i="1" s="1"/>
  <c r="P1470" i="1"/>
  <c r="Q1470" i="1" s="1"/>
  <c r="R1470" i="1" s="1"/>
  <c r="P1742" i="1"/>
  <c r="Q1742" i="1" s="1"/>
  <c r="R1742" i="1" s="1"/>
  <c r="P238" i="1"/>
  <c r="Q238" i="1" s="1"/>
  <c r="R238" i="1" s="1"/>
  <c r="P344" i="1"/>
  <c r="Q344" i="1" s="1"/>
  <c r="R344" i="1" s="1"/>
  <c r="P1615" i="1"/>
  <c r="Q1615" i="1" s="1"/>
  <c r="R1615" i="1" s="1"/>
  <c r="P1364" i="1"/>
  <c r="Q1364" i="1" s="1"/>
  <c r="P1736" i="1"/>
  <c r="Q1736" i="1" s="1"/>
  <c r="R1736" i="1" s="1"/>
  <c r="P1311" i="1"/>
  <c r="Q1311" i="1" s="1"/>
  <c r="R1311" i="1" s="1"/>
  <c r="P1544" i="1"/>
  <c r="Q1544" i="1" s="1"/>
  <c r="R1544" i="1" s="1"/>
  <c r="AA12" i="16"/>
  <c r="AB12" i="16"/>
  <c r="Z12" i="16"/>
  <c r="J9" i="16"/>
  <c r="Q225" i="1"/>
  <c r="R225" i="1" s="1"/>
  <c r="Q1213" i="1"/>
  <c r="R1213" i="1" s="1"/>
  <c r="Q1167" i="1"/>
  <c r="R1167" i="1" s="1"/>
  <c r="Q531" i="1"/>
  <c r="R531" i="1" s="1"/>
  <c r="Q134" i="1"/>
  <c r="R134" i="1" s="1"/>
  <c r="Q1801" i="1"/>
  <c r="R1801" i="1" s="1"/>
  <c r="Q293" i="1"/>
  <c r="R293" i="1" s="1"/>
  <c r="Q464" i="1"/>
  <c r="R464" i="1" s="1"/>
  <c r="Q662" i="1"/>
  <c r="R662" i="1" s="1"/>
  <c r="Q634" i="1"/>
  <c r="R634" i="1" s="1"/>
  <c r="Q1710" i="1"/>
  <c r="R1710" i="1" s="1"/>
  <c r="Q1360" i="1"/>
  <c r="R1360" i="1" s="1"/>
  <c r="Q1371" i="1"/>
  <c r="R1371" i="1" s="1"/>
  <c r="D375" i="1" s="1"/>
  <c r="Q1306" i="1"/>
  <c r="R1306" i="1" s="1"/>
  <c r="Q2095" i="1"/>
  <c r="R2095" i="1" s="1"/>
  <c r="Q1852" i="1"/>
  <c r="R1852" i="1" s="1"/>
  <c r="Q1465" i="1"/>
  <c r="R1465" i="1" s="1"/>
  <c r="Q660" i="1"/>
  <c r="R660" i="1" s="1"/>
  <c r="Q652" i="1"/>
  <c r="R652" i="1" s="1"/>
  <c r="Q1986" i="1"/>
  <c r="R1986" i="1" s="1"/>
  <c r="Q2054" i="1"/>
  <c r="R2054" i="1" s="1"/>
  <c r="Q973" i="1"/>
  <c r="R973" i="1" s="1"/>
  <c r="Q1404" i="1"/>
  <c r="R1404" i="1" s="1"/>
  <c r="Q1267" i="1"/>
  <c r="R1267" i="1" s="1"/>
  <c r="Q1975" i="1"/>
  <c r="R1975" i="1" s="1"/>
  <c r="Q1423" i="1"/>
  <c r="R1423" i="1" s="1"/>
  <c r="Q1591" i="1"/>
  <c r="R1591" i="1" s="1"/>
  <c r="Q1758" i="1"/>
  <c r="R1758" i="1" s="1"/>
  <c r="Q796" i="1"/>
  <c r="R796" i="1" s="1"/>
  <c r="Q1680" i="1"/>
  <c r="R1680" i="1" s="1"/>
  <c r="Q1983" i="1"/>
  <c r="R1983" i="1" s="1"/>
  <c r="Q1133" i="1"/>
  <c r="R1133" i="1" s="1"/>
  <c r="Q250" i="1"/>
  <c r="R250" i="1" s="1"/>
  <c r="Q1861" i="1"/>
  <c r="R1861" i="1" s="1"/>
  <c r="Q1481" i="1"/>
  <c r="R1481" i="1" s="1"/>
  <c r="Q1668" i="1"/>
  <c r="R1668" i="1" s="1"/>
  <c r="D1565" i="1" s="1"/>
  <c r="D2059" i="1"/>
  <c r="D2087" i="1"/>
  <c r="D336" i="1"/>
  <c r="D1586" i="1"/>
  <c r="D1336" i="1"/>
  <c r="D927" i="1"/>
  <c r="P1064" i="1"/>
  <c r="Q1064" i="1" s="1"/>
  <c r="R1064" i="1" s="1"/>
  <c r="P147" i="1"/>
  <c r="Q147" i="1" s="1"/>
  <c r="R147" i="1" s="1"/>
  <c r="P342" i="1"/>
  <c r="Q342" i="1" s="1"/>
  <c r="R342" i="1" s="1"/>
  <c r="P695" i="1"/>
  <c r="Q695" i="1" s="1"/>
  <c r="R695" i="1" s="1"/>
  <c r="P173" i="1"/>
  <c r="Q173" i="1" s="1"/>
  <c r="D2086" i="1"/>
  <c r="D327" i="1"/>
  <c r="B1758" i="1"/>
  <c r="T1758" i="1"/>
  <c r="D1632" i="1"/>
  <c r="D1235" i="1"/>
  <c r="D2077" i="1"/>
  <c r="P1414" i="1"/>
  <c r="Q1414" i="1" s="1"/>
  <c r="R1414" i="1" s="1"/>
  <c r="P1228" i="1"/>
  <c r="Q1228" i="1" s="1"/>
  <c r="R1228" i="1" s="1"/>
  <c r="P1646" i="1"/>
  <c r="Q1646" i="1" s="1"/>
  <c r="R1646" i="1" s="1"/>
  <c r="P925" i="1"/>
  <c r="Q925" i="1" s="1"/>
  <c r="R925" i="1" s="1"/>
  <c r="P575" i="1"/>
  <c r="Q575" i="1" s="1"/>
  <c r="R575" i="1" s="1"/>
  <c r="P936" i="1"/>
  <c r="Q936" i="1" s="1"/>
  <c r="P109" i="1"/>
  <c r="Q109" i="1" s="1"/>
  <c r="P1682" i="1"/>
  <c r="Q1682" i="1" s="1"/>
  <c r="R1682" i="1" s="1"/>
  <c r="P1626" i="1"/>
  <c r="Q1626" i="1" s="1"/>
  <c r="R1626" i="1" s="1"/>
  <c r="P1499" i="1"/>
  <c r="Q1499" i="1" s="1"/>
  <c r="R1499" i="1" s="1"/>
  <c r="P1890" i="1"/>
  <c r="Q1890" i="1" s="1"/>
  <c r="R1890" i="1" s="1"/>
  <c r="P1462" i="1"/>
  <c r="Q1462" i="1" s="1"/>
  <c r="R1462" i="1" s="1"/>
  <c r="P810" i="1"/>
  <c r="Q810" i="1" s="1"/>
  <c r="R810" i="1" s="1"/>
  <c r="P1631" i="1"/>
  <c r="Q1631" i="1" s="1"/>
  <c r="P350" i="1"/>
  <c r="Q350" i="1" s="1"/>
  <c r="P1327" i="1"/>
  <c r="Q1327" i="1" s="1"/>
  <c r="P914" i="1"/>
  <c r="Q914" i="1" s="1"/>
  <c r="R914" i="1" s="1"/>
  <c r="Q1519" i="1"/>
  <c r="R1519" i="1" s="1"/>
  <c r="P1683" i="1"/>
  <c r="Q1683" i="1" s="1"/>
  <c r="R1683" i="1" s="1"/>
  <c r="P206" i="1"/>
  <c r="Q206" i="1" s="1"/>
  <c r="R206" i="1" s="1"/>
  <c r="P1957" i="1"/>
  <c r="Q1957" i="1" s="1"/>
  <c r="R1957" i="1" s="1"/>
  <c r="P2044" i="1"/>
  <c r="Q2044" i="1" s="1"/>
  <c r="R2044" i="1" s="1"/>
  <c r="P586" i="1"/>
  <c r="Q586" i="1" s="1"/>
  <c r="P792" i="1"/>
  <c r="Q792" i="1" s="1"/>
  <c r="R792" i="1" s="1"/>
  <c r="P1651" i="1"/>
  <c r="Q1651" i="1" s="1"/>
  <c r="R1651" i="1" s="1"/>
  <c r="P1339" i="1"/>
  <c r="Q1339" i="1" s="1"/>
  <c r="R1339" i="1" s="1"/>
  <c r="P1060" i="1"/>
  <c r="Q1060" i="1" s="1"/>
  <c r="R1060" i="1" s="1"/>
  <c r="P1671" i="1"/>
  <c r="Q1671" i="1" s="1"/>
  <c r="R1671" i="1" s="1"/>
  <c r="P1893" i="1"/>
  <c r="Q1893" i="1" s="1"/>
  <c r="R1893" i="1" s="1"/>
  <c r="P452" i="1"/>
  <c r="Q452" i="1" s="1"/>
  <c r="R452" i="1" s="1"/>
  <c r="P268" i="1"/>
  <c r="Q268" i="1" s="1"/>
  <c r="P279" i="1"/>
  <c r="Q279" i="1" s="1"/>
  <c r="R279" i="1" s="1"/>
  <c r="P1443" i="1"/>
  <c r="Q1443" i="1" s="1"/>
  <c r="R1443" i="1" s="1"/>
  <c r="P1268" i="1"/>
  <c r="Q1268" i="1" s="1"/>
  <c r="P1449" i="1"/>
  <c r="Q1449" i="1" s="1"/>
  <c r="P1382" i="1"/>
  <c r="Q1382" i="1" s="1"/>
  <c r="P1007" i="1"/>
  <c r="Q1007" i="1" s="1"/>
  <c r="R1007" i="1" s="1"/>
  <c r="P1284" i="1"/>
  <c r="Q1284" i="1" s="1"/>
  <c r="R1284" i="1" s="1"/>
  <c r="P521" i="1"/>
  <c r="Q521" i="1" s="1"/>
  <c r="R521" i="1" s="1"/>
  <c r="P749" i="1"/>
  <c r="Q749" i="1" s="1"/>
  <c r="R749" i="1" s="1"/>
  <c r="P714" i="1"/>
  <c r="Q714" i="1" s="1"/>
  <c r="R714" i="1" s="1"/>
  <c r="P745" i="1"/>
  <c r="Q745" i="1" s="1"/>
  <c r="P1910" i="1"/>
  <c r="Q1910" i="1" s="1"/>
  <c r="R1910" i="1" s="1"/>
  <c r="P2035" i="1"/>
  <c r="Q2035" i="1" s="1"/>
  <c r="R2035" i="1" s="1"/>
  <c r="P1972" i="1"/>
  <c r="Q1972" i="1" s="1"/>
  <c r="P407" i="1"/>
  <c r="Q407" i="1" s="1"/>
  <c r="R407" i="1" s="1"/>
  <c r="P1648" i="1"/>
  <c r="Q1648" i="1" s="1"/>
  <c r="R1648" i="1" s="1"/>
  <c r="P1395" i="1"/>
  <c r="Q1395" i="1" s="1"/>
  <c r="R1395" i="1" s="1"/>
  <c r="P949" i="1"/>
  <c r="Q949" i="1" s="1"/>
  <c r="P1030" i="1"/>
  <c r="Q1030" i="1" s="1"/>
  <c r="R1030" i="1" s="1"/>
  <c r="P1709" i="1"/>
  <c r="Q1709" i="1" s="1"/>
  <c r="P2104" i="1"/>
  <c r="Q2104" i="1" s="1"/>
  <c r="P1343" i="1"/>
  <c r="Q1343" i="1" s="1"/>
  <c r="P1383" i="1"/>
  <c r="Q1383" i="1" s="1"/>
  <c r="R1383" i="1" s="1"/>
  <c r="P2052" i="1"/>
  <c r="Q2052" i="1" s="1"/>
  <c r="R2052" i="1" s="1"/>
  <c r="P1856" i="1"/>
  <c r="Q1856" i="1" s="1"/>
  <c r="R1856" i="1" s="1"/>
  <c r="P2069" i="1"/>
  <c r="Q2069" i="1" s="1"/>
  <c r="R2069" i="1" s="1"/>
  <c r="P1994" i="1"/>
  <c r="Q1994" i="1" s="1"/>
  <c r="R1994" i="1" s="1"/>
  <c r="P1838" i="1"/>
  <c r="W12" i="16"/>
  <c r="P2082" i="1"/>
  <c r="Q2082" i="1" s="1"/>
  <c r="R2082" i="1" s="1"/>
  <c r="P1613" i="1"/>
  <c r="Q1613" i="1" s="1"/>
  <c r="R1613" i="1" s="1"/>
  <c r="P2025" i="1"/>
  <c r="Q2025" i="1" s="1"/>
  <c r="P1604" i="1"/>
  <c r="Q1604" i="1" s="1"/>
  <c r="R1604" i="1" s="1"/>
  <c r="P1512" i="1"/>
  <c r="Q1512" i="1" s="1"/>
  <c r="R1512" i="1" s="1"/>
  <c r="P699" i="1"/>
  <c r="Q699" i="1" s="1"/>
  <c r="R699" i="1" s="1"/>
  <c r="P861" i="1"/>
  <c r="Q861" i="1" s="1"/>
  <c r="R861" i="1" s="1"/>
  <c r="P1939" i="1"/>
  <c r="Q1939" i="1" s="1"/>
  <c r="R1939" i="1" s="1"/>
  <c r="P948" i="1"/>
  <c r="Q948" i="1" s="1"/>
  <c r="O12" i="16"/>
  <c r="E9" i="16"/>
  <c r="C9" i="16"/>
  <c r="P1525" i="1"/>
  <c r="Q1525" i="1" s="1"/>
  <c r="R1525" i="1" s="1"/>
  <c r="P850" i="1"/>
  <c r="Q850" i="1" s="1"/>
  <c r="R850" i="1" s="1"/>
  <c r="P1784" i="1"/>
  <c r="Q1784" i="1" s="1"/>
  <c r="P1433" i="1"/>
  <c r="Q1433" i="1" s="1"/>
  <c r="R1433" i="1" s="1"/>
  <c r="P460" i="1"/>
  <c r="Q460" i="1" s="1"/>
  <c r="R460" i="1" s="1"/>
  <c r="P182" i="1"/>
  <c r="Q182" i="1" s="1"/>
  <c r="P1603" i="1"/>
  <c r="Q1603" i="1" s="1"/>
  <c r="P1924" i="1"/>
  <c r="Q1924" i="1" s="1"/>
  <c r="P164" i="1"/>
  <c r="Q164" i="1" s="1"/>
  <c r="P2027" i="1"/>
  <c r="P131" i="1"/>
  <c r="Q131" i="1" s="1"/>
  <c r="R131" i="1" s="1"/>
  <c r="P2091" i="1"/>
  <c r="P1154" i="1"/>
  <c r="Q1154" i="1" s="1"/>
  <c r="P611" i="1"/>
  <c r="Q611" i="1" s="1"/>
  <c r="R611" i="1" s="1"/>
  <c r="P930" i="1"/>
  <c r="Q930" i="1" s="1"/>
  <c r="R930" i="1" s="1"/>
  <c r="P2096" i="1"/>
  <c r="P1476" i="1"/>
  <c r="P1760" i="1"/>
  <c r="P1855" i="1"/>
  <c r="Q1855" i="1" s="1"/>
  <c r="R1855" i="1" s="1"/>
  <c r="P1349" i="1"/>
  <c r="Q1349" i="1" s="1"/>
  <c r="R1349" i="1" s="1"/>
  <c r="P247" i="1"/>
  <c r="P1781" i="1"/>
  <c r="Q1781" i="1" s="1"/>
  <c r="R1781" i="1" s="1"/>
  <c r="P212" i="1"/>
  <c r="Q212" i="1" s="1"/>
  <c r="R212" i="1" s="1"/>
  <c r="P1357" i="1"/>
  <c r="Q1357" i="1" s="1"/>
  <c r="R1357" i="1" s="1"/>
  <c r="P364" i="1"/>
  <c r="Q364" i="1" s="1"/>
  <c r="P2026" i="1"/>
  <c r="P1497" i="1"/>
  <c r="Q1497" i="1" s="1"/>
  <c r="R1497" i="1" s="1"/>
  <c r="P1520" i="1"/>
  <c r="Q1520" i="1" s="1"/>
  <c r="R1520" i="1" s="1"/>
  <c r="P1996" i="1"/>
  <c r="Q1996" i="1" s="1"/>
  <c r="R1996" i="1" s="1"/>
  <c r="P1669" i="1"/>
  <c r="Q1669" i="1" s="1"/>
  <c r="R1669" i="1" s="1"/>
  <c r="P258" i="1"/>
  <c r="Q258" i="1" s="1"/>
  <c r="R258" i="1" s="1"/>
  <c r="P1535" i="1"/>
  <c r="Q1535" i="1" s="1"/>
  <c r="R1535" i="1" s="1"/>
  <c r="P1772" i="1"/>
  <c r="Q1772" i="1" s="1"/>
  <c r="R1772" i="1" s="1"/>
  <c r="P510" i="1"/>
  <c r="Q510" i="1" s="1"/>
  <c r="R510" i="1" s="1"/>
  <c r="P1637" i="1"/>
  <c r="Q1637" i="1" s="1"/>
  <c r="R1637" i="1" s="1"/>
  <c r="P160" i="1"/>
  <c r="Q160" i="1" s="1"/>
  <c r="R160" i="1" s="1"/>
  <c r="P1333" i="1"/>
  <c r="Q1333" i="1" s="1"/>
  <c r="R1333" i="1" s="1"/>
  <c r="P534" i="1"/>
  <c r="Q534" i="1" s="1"/>
  <c r="R534" i="1" s="1"/>
  <c r="P1547" i="1"/>
  <c r="Q1547" i="1" s="1"/>
  <c r="R1547" i="1" s="1"/>
  <c r="P1385" i="1"/>
  <c r="Q1385" i="1" s="1"/>
  <c r="P1040" i="1"/>
  <c r="P688" i="1"/>
  <c r="Q688" i="1" s="1"/>
  <c r="R688" i="1" s="1"/>
  <c r="P1625" i="1"/>
  <c r="Q1625" i="1" s="1"/>
  <c r="R1625" i="1" s="1"/>
  <c r="P1354" i="1"/>
  <c r="Q1354" i="1" s="1"/>
  <c r="R1354" i="1" s="1"/>
  <c r="P1387" i="1"/>
  <c r="Q1387" i="1" s="1"/>
  <c r="P1835" i="1"/>
  <c r="Q1835" i="1" s="1"/>
  <c r="R1835" i="1" s="1"/>
  <c r="P152" i="1"/>
  <c r="Q152" i="1" s="1"/>
  <c r="P339" i="1"/>
  <c r="Q339" i="1" s="1"/>
  <c r="R339" i="1" s="1"/>
  <c r="P1870" i="1"/>
  <c r="Q1870" i="1" s="1"/>
  <c r="P868" i="1"/>
  <c r="Q868" i="1" s="1"/>
  <c r="R868" i="1" s="1"/>
  <c r="P423" i="1"/>
  <c r="P1609" i="1"/>
  <c r="Q1609" i="1" s="1"/>
  <c r="R1609" i="1" s="1"/>
  <c r="P507" i="1"/>
  <c r="Q507" i="1" s="1"/>
  <c r="R507" i="1" s="1"/>
  <c r="P882" i="1"/>
  <c r="Q882" i="1" s="1"/>
  <c r="R882" i="1" s="1"/>
  <c r="P1916" i="1"/>
  <c r="Q1916" i="1" s="1"/>
  <c r="P157" i="1"/>
  <c r="Q157" i="1" s="1"/>
  <c r="P851" i="1"/>
  <c r="P1536" i="1"/>
  <c r="Q1536" i="1" s="1"/>
  <c r="R1536" i="1" s="1"/>
  <c r="P1540" i="1"/>
  <c r="Q1540" i="1" s="1"/>
  <c r="R1540" i="1" s="1"/>
  <c r="P783" i="1"/>
  <c r="Q783" i="1" s="1"/>
  <c r="R783" i="1" s="1"/>
  <c r="P1876" i="1"/>
  <c r="Q1876" i="1" s="1"/>
  <c r="R1876" i="1" s="1"/>
  <c r="P1872" i="1"/>
  <c r="Q1872" i="1" s="1"/>
  <c r="P1665" i="1"/>
  <c r="Q1665" i="1" s="1"/>
  <c r="R1665" i="1" s="1"/>
  <c r="P2001" i="1"/>
  <c r="P827" i="1"/>
  <c r="P1926" i="1"/>
  <c r="P1894" i="1"/>
  <c r="P315" i="1"/>
  <c r="Q315" i="1" s="1"/>
  <c r="R315" i="1" s="1"/>
  <c r="P1900" i="1"/>
  <c r="Q1900" i="1" s="1"/>
  <c r="R1900" i="1" s="1"/>
  <c r="P891" i="1"/>
  <c r="Q891" i="1" s="1"/>
  <c r="R891" i="1" s="1"/>
  <c r="P504" i="1"/>
  <c r="Q504" i="1" s="1"/>
  <c r="R504" i="1" s="1"/>
  <c r="P1172" i="1"/>
  <c r="Q1172" i="1" s="1"/>
  <c r="R1172" i="1" s="1"/>
  <c r="P148" i="1"/>
  <c r="Q148" i="1" s="1"/>
  <c r="R148" i="1" s="1"/>
  <c r="P1769" i="1"/>
  <c r="P2079" i="1"/>
  <c r="Q2079" i="1" s="1"/>
  <c r="P1857" i="1"/>
  <c r="Q1857" i="1" s="1"/>
  <c r="R1857" i="1" s="1"/>
  <c r="P361" i="1"/>
  <c r="Q361" i="1" s="1"/>
  <c r="R361" i="1" s="1"/>
  <c r="P463" i="1"/>
  <c r="P368" i="1"/>
  <c r="Q368" i="1" s="1"/>
  <c r="R368" i="1" s="1"/>
  <c r="P1605" i="1"/>
  <c r="Q1605" i="1" s="1"/>
  <c r="R1605" i="1" s="1"/>
  <c r="P1581" i="1"/>
  <c r="Q1581" i="1" s="1"/>
  <c r="R1581" i="1" s="1"/>
  <c r="P334" i="1"/>
  <c r="Q334" i="1" s="1"/>
  <c r="R334" i="1" s="1"/>
  <c r="P582" i="1"/>
  <c r="Q582" i="1" s="1"/>
  <c r="R582" i="1" s="1"/>
  <c r="P744" i="1"/>
  <c r="Q744" i="1" s="1"/>
  <c r="R744" i="1" s="1"/>
  <c r="P399" i="1"/>
  <c r="Q399" i="1" s="1"/>
  <c r="R399" i="1" s="1"/>
  <c r="P1521" i="1"/>
  <c r="Q1521" i="1" s="1"/>
  <c r="R1521" i="1" s="1"/>
  <c r="P602" i="1"/>
  <c r="Q602" i="1" s="1"/>
  <c r="R602" i="1" s="1"/>
  <c r="P1546" i="1"/>
  <c r="Q1546" i="1" s="1"/>
  <c r="P1035" i="1"/>
  <c r="P609" i="1"/>
  <c r="P1441" i="1"/>
  <c r="P2100" i="1"/>
  <c r="P1757" i="1"/>
  <c r="Q1757" i="1" s="1"/>
  <c r="R1757" i="1" s="1"/>
  <c r="P1374" i="1"/>
  <c r="Q1374" i="1" s="1"/>
  <c r="R1374" i="1" s="1"/>
  <c r="P1307" i="1"/>
  <c r="Q1307" i="1" s="1"/>
  <c r="R1307" i="1" s="1"/>
  <c r="P610" i="1"/>
  <c r="Q610" i="1" s="1"/>
  <c r="R610" i="1" s="1"/>
  <c r="P2000" i="1"/>
  <c r="Q2000" i="1" s="1"/>
  <c r="R2000" i="1" s="1"/>
  <c r="P563" i="1"/>
  <c r="Q563" i="1" s="1"/>
  <c r="R563" i="1" s="1"/>
  <c r="P1089" i="1"/>
  <c r="Q1089" i="1" s="1"/>
  <c r="R1089" i="1" s="1"/>
  <c r="P1645" i="1"/>
  <c r="Q1645" i="1" s="1"/>
  <c r="R1645" i="1" s="1"/>
  <c r="P1724" i="1"/>
  <c r="Q1724" i="1" s="1"/>
  <c r="R1724" i="1" s="1"/>
  <c r="P883" i="1"/>
  <c r="Q883" i="1" s="1"/>
  <c r="R883" i="1" s="1"/>
  <c r="P1746" i="1"/>
  <c r="Q1746" i="1" s="1"/>
  <c r="P1204" i="1"/>
  <c r="Q1204" i="1" s="1"/>
  <c r="R1204" i="1" s="1"/>
  <c r="P1574" i="1"/>
  <c r="Q1574" i="1" s="1"/>
  <c r="R1574" i="1" s="1"/>
  <c r="P1787" i="1"/>
  <c r="Q1787" i="1" s="1"/>
  <c r="R1787" i="1" s="1"/>
  <c r="P208" i="1"/>
  <c r="Q208" i="1" s="1"/>
  <c r="R208" i="1" s="1"/>
  <c r="P1527" i="1"/>
  <c r="Q1527" i="1" s="1"/>
  <c r="R1527" i="1" s="1"/>
  <c r="P645" i="1"/>
  <c r="Q645" i="1" s="1"/>
  <c r="R645" i="1" s="1"/>
  <c r="P1347" i="1"/>
  <c r="Q1347" i="1" s="1"/>
  <c r="R1347" i="1" s="1"/>
  <c r="P230" i="1"/>
  <c r="Q230" i="1" s="1"/>
  <c r="R230" i="1" s="1"/>
  <c r="P1286" i="1"/>
  <c r="Q1286" i="1" s="1"/>
  <c r="R1286" i="1" s="1"/>
  <c r="P1754" i="1"/>
  <c r="Q1754" i="1" s="1"/>
  <c r="R1754" i="1" s="1"/>
  <c r="P1212" i="1"/>
  <c r="Q1212" i="1" s="1"/>
  <c r="R1212" i="1" s="1"/>
  <c r="P1783" i="1"/>
  <c r="Q1783" i="1" s="1"/>
  <c r="R1783" i="1" s="1"/>
  <c r="P982" i="1"/>
  <c r="Q982" i="1" s="1"/>
  <c r="R982" i="1" s="1"/>
  <c r="P795" i="1"/>
  <c r="Q795" i="1" s="1"/>
  <c r="R795" i="1" s="1"/>
  <c r="P382" i="1"/>
  <c r="Q382" i="1" s="1"/>
  <c r="R382" i="1" s="1"/>
  <c r="P1794" i="1"/>
  <c r="Q1794" i="1" s="1"/>
  <c r="R1794" i="1" s="1"/>
  <c r="P1694" i="1"/>
  <c r="Q1694" i="1" s="1"/>
  <c r="R1694" i="1" s="1"/>
  <c r="P1904" i="1"/>
  <c r="Q1904" i="1" s="1"/>
  <c r="R1904" i="1" s="1"/>
  <c r="P309" i="1"/>
  <c r="Q309" i="1" s="1"/>
  <c r="R309" i="1" s="1"/>
  <c r="P1747" i="1"/>
  <c r="Q1747" i="1" s="1"/>
  <c r="R1747" i="1" s="1"/>
  <c r="Q1623" i="1"/>
  <c r="R1623" i="1" s="1"/>
  <c r="P1572" i="1"/>
  <c r="Q1572" i="1" s="1"/>
  <c r="R1572" i="1" s="1"/>
  <c r="Q1464" i="1"/>
  <c r="R1464" i="1" s="1"/>
  <c r="P790" i="1"/>
  <c r="Q790" i="1" s="1"/>
  <c r="R790" i="1" s="1"/>
  <c r="P321" i="1"/>
  <c r="Q321" i="1" s="1"/>
  <c r="R321" i="1" s="1"/>
  <c r="P281" i="1"/>
  <c r="Q281" i="1" s="1"/>
  <c r="P1147" i="1"/>
  <c r="Q1147" i="1" s="1"/>
  <c r="R1147" i="1" s="1"/>
  <c r="P1127" i="1"/>
  <c r="Q1127" i="1" s="1"/>
  <c r="R1127" i="1" s="1"/>
  <c r="Q1883" i="1"/>
  <c r="P620" i="1"/>
  <c r="Q620" i="1" s="1"/>
  <c r="R620" i="1" s="1"/>
  <c r="P894" i="1"/>
  <c r="Q894" i="1" s="1"/>
  <c r="R894" i="1" s="1"/>
  <c r="P1831" i="1"/>
  <c r="Q1831" i="1" s="1"/>
  <c r="R1831" i="1" s="1"/>
  <c r="P863" i="1"/>
  <c r="Q863" i="1" s="1"/>
  <c r="R863" i="1" s="1"/>
  <c r="P1712" i="1"/>
  <c r="Q1712" i="1" s="1"/>
  <c r="R1712" i="1" s="1"/>
  <c r="P1602" i="1"/>
  <c r="Q1602" i="1" s="1"/>
  <c r="R1602" i="1" s="1"/>
  <c r="P304" i="1"/>
  <c r="Q304" i="1" s="1"/>
  <c r="R304" i="1" s="1"/>
  <c r="P1743" i="1"/>
  <c r="Q1743" i="1" s="1"/>
  <c r="R1743" i="1" s="1"/>
  <c r="P2042" i="1"/>
  <c r="Q2042" i="1" s="1"/>
  <c r="P133" i="1"/>
  <c r="Q133" i="1" s="1"/>
  <c r="R133" i="1" s="1"/>
  <c r="P898" i="1"/>
  <c r="Q898" i="1" s="1"/>
  <c r="R898" i="1" s="1"/>
  <c r="P1141" i="1"/>
  <c r="Q1141" i="1" s="1"/>
  <c r="R1141" i="1" s="1"/>
  <c r="P1282" i="1"/>
  <c r="Q1282" i="1" s="1"/>
  <c r="R1282" i="1" s="1"/>
  <c r="P1375" i="1"/>
  <c r="Q1375" i="1" s="1"/>
  <c r="R1375" i="1" s="1"/>
  <c r="P436" i="1"/>
  <c r="Q436" i="1" s="1"/>
  <c r="R436" i="1" s="1"/>
  <c r="P1806" i="1"/>
  <c r="Q1806" i="1" s="1"/>
  <c r="R1806" i="1" s="1"/>
  <c r="P1672" i="1"/>
  <c r="Q1672" i="1" s="1"/>
  <c r="R1672" i="1" s="1"/>
  <c r="P1809" i="1"/>
  <c r="Q1809" i="1" s="1"/>
  <c r="R1809" i="1" s="1"/>
  <c r="P1054" i="1"/>
  <c r="Q1054" i="1" s="1"/>
  <c r="R1054" i="1" s="1"/>
  <c r="P886" i="1"/>
  <c r="Q886" i="1" s="1"/>
  <c r="R886" i="1" s="1"/>
  <c r="P635" i="1"/>
  <c r="Q635" i="1" s="1"/>
  <c r="R635" i="1" s="1"/>
  <c r="P1656" i="1"/>
  <c r="Q1656" i="1" s="1"/>
  <c r="R1656" i="1" s="1"/>
  <c r="P1028" i="1"/>
  <c r="Q1028" i="1" s="1"/>
  <c r="R1028" i="1" s="1"/>
  <c r="P526" i="1"/>
  <c r="Q526" i="1" s="1"/>
  <c r="R526" i="1" s="1"/>
  <c r="P1585" i="1"/>
  <c r="Q1585" i="1" s="1"/>
  <c r="R1585" i="1" s="1"/>
  <c r="P1469" i="1"/>
  <c r="Q1469" i="1" s="1"/>
  <c r="P640" i="1"/>
  <c r="Q640" i="1" s="1"/>
  <c r="P1595" i="1"/>
  <c r="Q1595" i="1" s="1"/>
  <c r="R1595" i="1" s="1"/>
  <c r="P1078" i="1"/>
  <c r="Q1078" i="1" s="1"/>
  <c r="R1078" i="1" s="1"/>
  <c r="P1899" i="1"/>
  <c r="Q1899" i="1" s="1"/>
  <c r="R1899" i="1" s="1"/>
  <c r="P947" i="1"/>
  <c r="Q947" i="1" s="1"/>
  <c r="P406" i="1"/>
  <c r="Q406" i="1" s="1"/>
  <c r="R406" i="1" s="1"/>
  <c r="P127" i="1"/>
  <c r="Q127" i="1" s="1"/>
  <c r="P1257" i="1"/>
  <c r="Q1257" i="1" s="1"/>
  <c r="P1293" i="1"/>
  <c r="Q1293" i="1" s="1"/>
  <c r="P775" i="1"/>
  <c r="Q775" i="1" s="1"/>
  <c r="R775" i="1" s="1"/>
  <c r="P1317" i="1"/>
  <c r="Q1317" i="1" s="1"/>
  <c r="P639" i="1"/>
  <c r="Q639" i="1" s="1"/>
  <c r="P1836" i="1"/>
  <c r="Q1836" i="1" s="1"/>
  <c r="P1766" i="1"/>
  <c r="Q1766" i="1" s="1"/>
  <c r="P1400" i="1"/>
  <c r="Q1400" i="1" s="1"/>
  <c r="R1400" i="1" s="1"/>
  <c r="P1750" i="1"/>
  <c r="Q1750" i="1" s="1"/>
  <c r="R1750" i="1" s="1"/>
  <c r="P935" i="1"/>
  <c r="Q935" i="1" s="1"/>
  <c r="P128" i="1"/>
  <c r="Q128" i="1" s="1"/>
  <c r="R128" i="1" s="1"/>
  <c r="P916" i="1"/>
  <c r="Q916" i="1" s="1"/>
  <c r="R916" i="1" s="1"/>
  <c r="P506" i="1"/>
  <c r="Q506" i="1" s="1"/>
  <c r="R506" i="1" s="1"/>
  <c r="P663" i="1"/>
  <c r="Q663" i="1" s="1"/>
  <c r="R663" i="1" s="1"/>
  <c r="P1390" i="1"/>
  <c r="Q1390" i="1" s="1"/>
  <c r="R1390" i="1" s="1"/>
  <c r="P1524" i="1"/>
  <c r="Q1524" i="1" s="1"/>
  <c r="R1524" i="1" s="1"/>
  <c r="P1348" i="1"/>
  <c r="Q1348" i="1" s="1"/>
  <c r="R1348" i="1" s="1"/>
  <c r="P940" i="1"/>
  <c r="Q940" i="1" s="1"/>
  <c r="R940" i="1" s="1"/>
  <c r="P1184" i="1"/>
  <c r="Q1184" i="1" s="1"/>
  <c r="R1184" i="1" s="1"/>
  <c r="P491" i="1"/>
  <c r="Q491" i="1" s="1"/>
  <c r="R491" i="1" s="1"/>
  <c r="P1583" i="1"/>
  <c r="Q1583" i="1" s="1"/>
  <c r="R1583" i="1" s="1"/>
  <c r="P365" i="1"/>
  <c r="Q365" i="1" s="1"/>
  <c r="R365" i="1" s="1"/>
  <c r="P981" i="1"/>
  <c r="Q981" i="1" s="1"/>
  <c r="R981" i="1" s="1"/>
  <c r="P1092" i="1"/>
  <c r="Q1092" i="1" s="1"/>
  <c r="R1092" i="1" s="1"/>
  <c r="P1504" i="1"/>
  <c r="Q1504" i="1" s="1"/>
  <c r="R1504" i="1" s="1"/>
  <c r="P674" i="1"/>
  <c r="Q674" i="1" s="1"/>
  <c r="R674" i="1" s="1"/>
  <c r="P449" i="1"/>
  <c r="Q449" i="1" s="1"/>
  <c r="R449" i="1" s="1"/>
  <c r="Q2038" i="1"/>
  <c r="P1489" i="1"/>
  <c r="Q1489" i="1" s="1"/>
  <c r="R1489" i="1" s="1"/>
  <c r="P213" i="1"/>
  <c r="Q213" i="1" s="1"/>
  <c r="R213" i="1" s="1"/>
  <c r="P885" i="1"/>
  <c r="Q885" i="1" s="1"/>
  <c r="R885" i="1" s="1"/>
  <c r="P808" i="1"/>
  <c r="Q808" i="1" s="1"/>
  <c r="R808" i="1" s="1"/>
  <c r="P957" i="1"/>
  <c r="Q957" i="1" s="1"/>
  <c r="R957" i="1" s="1"/>
  <c r="P1802" i="1"/>
  <c r="Q1802" i="1" s="1"/>
  <c r="R1802" i="1" s="1"/>
  <c r="P1799" i="1"/>
  <c r="Q1799" i="1" s="1"/>
  <c r="R1799" i="1" s="1"/>
  <c r="Q2070" i="1"/>
  <c r="R2070" i="1" s="1"/>
  <c r="P1568" i="1"/>
  <c r="Q1568" i="1" s="1"/>
  <c r="R1568" i="1" s="1"/>
  <c r="P445" i="1"/>
  <c r="Q445" i="1" s="1"/>
  <c r="R445" i="1" s="1"/>
  <c r="P1254" i="1"/>
  <c r="Q1254" i="1" s="1"/>
  <c r="P1410" i="1"/>
  <c r="Q1410" i="1" s="1"/>
  <c r="R1410" i="1" s="1"/>
  <c r="P525" i="1"/>
  <c r="Q525" i="1" s="1"/>
  <c r="R525" i="1" s="1"/>
  <c r="P998" i="1"/>
  <c r="Q998" i="1" s="1"/>
  <c r="R998" i="1" s="1"/>
  <c r="P1427" i="1"/>
  <c r="Q1427" i="1" s="1"/>
  <c r="R1427" i="1" s="1"/>
  <c r="P889" i="1"/>
  <c r="Q889" i="1" s="1"/>
  <c r="R889" i="1" s="1"/>
  <c r="P1539" i="1"/>
  <c r="Q1539" i="1" s="1"/>
  <c r="R1539" i="1" s="1"/>
  <c r="P1205" i="1"/>
  <c r="Q1205" i="1" s="1"/>
  <c r="R1205" i="1" s="1"/>
  <c r="P870" i="1"/>
  <c r="Q870" i="1" s="1"/>
  <c r="R870" i="1" s="1"/>
  <c r="P520" i="1"/>
  <c r="Q520" i="1" s="1"/>
  <c r="R520" i="1" s="1"/>
  <c r="P1563" i="1"/>
  <c r="Q1563" i="1" s="1"/>
  <c r="R1563" i="1" s="1"/>
  <c r="P1253" i="1"/>
  <c r="Q1253" i="1" s="1"/>
  <c r="R1253" i="1" s="1"/>
  <c r="P345" i="1"/>
  <c r="Q345" i="1" s="1"/>
  <c r="R345" i="1" s="1"/>
  <c r="P1101" i="1"/>
  <c r="Q1101" i="1" s="1"/>
  <c r="R1101" i="1" s="1"/>
  <c r="P1472" i="1"/>
  <c r="Q1472" i="1" s="1"/>
  <c r="R1472" i="1" s="1"/>
  <c r="P2080" i="1"/>
  <c r="Q2080" i="1" s="1"/>
  <c r="R2080" i="1" s="1"/>
  <c r="P716" i="1"/>
  <c r="Q716" i="1" s="1"/>
  <c r="R716" i="1" s="1"/>
  <c r="P770" i="1"/>
  <c r="Q770" i="1" s="1"/>
  <c r="R770" i="1" s="1"/>
  <c r="P1992" i="1"/>
  <c r="Q1992" i="1" s="1"/>
  <c r="P1070" i="1"/>
  <c r="Q1070" i="1" s="1"/>
  <c r="P591" i="1"/>
  <c r="Q591" i="1" s="1"/>
  <c r="P937" i="1"/>
  <c r="Q937" i="1" s="1"/>
  <c r="P418" i="1"/>
  <c r="Q418" i="1" s="1"/>
  <c r="R418" i="1" s="1"/>
  <c r="P1826" i="1"/>
  <c r="Q1826" i="1" s="1"/>
  <c r="R1826" i="1" s="1"/>
  <c r="P1408" i="1"/>
  <c r="Q1408" i="1" s="1"/>
  <c r="R1408" i="1" s="1"/>
  <c r="P1180" i="1"/>
  <c r="Q1180" i="1" s="1"/>
  <c r="R1180" i="1" s="1"/>
  <c r="P1346" i="1"/>
  <c r="Q1346" i="1" s="1"/>
  <c r="R1346" i="1" s="1"/>
  <c r="P1283" i="1"/>
  <c r="Q1283" i="1" s="1"/>
  <c r="R1283" i="1" s="1"/>
  <c r="P1188" i="1"/>
  <c r="Q1188" i="1" s="1"/>
  <c r="R1188" i="1" s="1"/>
  <c r="P1982" i="1"/>
  <c r="Q1982" i="1" s="1"/>
  <c r="R1982" i="1" s="1"/>
  <c r="P1616" i="1"/>
  <c r="Q1616" i="1" s="1"/>
  <c r="R1616" i="1" s="1"/>
  <c r="P194" i="1"/>
  <c r="Q194" i="1" s="1"/>
  <c r="R194" i="1" s="1"/>
  <c r="P385" i="1"/>
  <c r="Q385" i="1" s="1"/>
  <c r="R385" i="1" s="1"/>
  <c r="P286" i="1"/>
  <c r="Q286" i="1" s="1"/>
  <c r="R286" i="1" s="1"/>
  <c r="P1545" i="1"/>
  <c r="Q1545" i="1" s="1"/>
  <c r="R1545" i="1" s="1"/>
  <c r="P1618" i="1"/>
  <c r="Q1618" i="1" s="1"/>
  <c r="R1618" i="1" s="1"/>
  <c r="P1170" i="1"/>
  <c r="Q1170" i="1" s="1"/>
  <c r="R1170" i="1" s="1"/>
  <c r="P713" i="1"/>
  <c r="Q713" i="1" s="1"/>
  <c r="R713" i="1" s="1"/>
  <c r="P1510" i="1"/>
  <c r="Q1510" i="1" s="1"/>
  <c r="R1510" i="1" s="1"/>
  <c r="P1988" i="1"/>
  <c r="Q1988" i="1" s="1"/>
  <c r="R1988" i="1" s="1"/>
  <c r="P1140" i="1"/>
  <c r="Q1140" i="1" s="1"/>
  <c r="R1140" i="1" s="1"/>
  <c r="P1886" i="1"/>
  <c r="Q1886" i="1" s="1"/>
  <c r="R1886" i="1" s="1"/>
  <c r="P628" i="1"/>
  <c r="Q628" i="1" s="1"/>
  <c r="R628" i="1" s="1"/>
  <c r="P1677" i="1"/>
  <c r="Q1677" i="1" s="1"/>
  <c r="R1677" i="1" s="1"/>
  <c r="P420" i="1"/>
  <c r="Q420" i="1" s="1"/>
  <c r="P1000" i="1"/>
  <c r="Q1000" i="1" s="1"/>
  <c r="R1000" i="1" s="1"/>
  <c r="P1717" i="1"/>
  <c r="Q1717" i="1" s="1"/>
  <c r="R1717" i="1" s="1"/>
  <c r="P1244" i="1"/>
  <c r="Q1244" i="1" s="1"/>
  <c r="R1244" i="1" s="1"/>
  <c r="P1548" i="1"/>
  <c r="Q1548" i="1" s="1"/>
  <c r="R1548" i="1" s="1"/>
  <c r="P1945" i="1"/>
  <c r="Q1945" i="1" s="1"/>
  <c r="R1945" i="1" s="1"/>
  <c r="P1915" i="1"/>
  <c r="Q1915" i="1" s="1"/>
  <c r="P1670" i="1"/>
  <c r="Q1670" i="1" s="1"/>
  <c r="R1670" i="1" s="1"/>
  <c r="P736" i="1"/>
  <c r="Q736" i="1" s="1"/>
  <c r="R736" i="1" s="1"/>
  <c r="P403" i="1"/>
  <c r="Q403" i="1" s="1"/>
  <c r="R403" i="1" s="1"/>
  <c r="P1210" i="1"/>
  <c r="Q1210" i="1" s="1"/>
  <c r="R1210" i="1" s="1"/>
  <c r="P1174" i="1"/>
  <c r="Q1174" i="1" s="1"/>
  <c r="R1174" i="1" s="1"/>
  <c r="P1229" i="1"/>
  <c r="Q1229" i="1" s="1"/>
  <c r="R1229" i="1" s="1"/>
  <c r="P2021" i="1"/>
  <c r="Q2021" i="1" s="1"/>
  <c r="R2021" i="1" s="1"/>
  <c r="P1523" i="1"/>
  <c r="Q1523" i="1" s="1"/>
  <c r="R1523" i="1" s="1"/>
  <c r="P781" i="1"/>
  <c r="Q781" i="1" s="1"/>
  <c r="R781" i="1" s="1"/>
  <c r="P1034" i="1"/>
  <c r="Q1034" i="1" s="1"/>
  <c r="R1034" i="1" s="1"/>
  <c r="P1529" i="1"/>
  <c r="Q1529" i="1" s="1"/>
  <c r="R1529" i="1" s="1"/>
  <c r="P1276" i="1"/>
  <c r="Q1276" i="1" s="1"/>
  <c r="R1276" i="1" s="1"/>
  <c r="P1690" i="1"/>
  <c r="Q1690" i="1" s="1"/>
  <c r="R1690" i="1" s="1"/>
  <c r="P999" i="1"/>
  <c r="Q999" i="1" s="1"/>
  <c r="R999" i="1" s="1"/>
  <c r="P1361" i="1"/>
  <c r="Q1361" i="1" s="1"/>
  <c r="R1361" i="1" s="1"/>
  <c r="P1483" i="1"/>
  <c r="Q1483" i="1" s="1"/>
  <c r="R1483" i="1" s="1"/>
  <c r="P1303" i="1"/>
  <c r="Q1303" i="1" s="1"/>
  <c r="R1303" i="1" s="1"/>
  <c r="P359" i="1"/>
  <c r="Q359" i="1" s="1"/>
  <c r="R359" i="1" s="1"/>
  <c r="P1755" i="1"/>
  <c r="Q1755" i="1" s="1"/>
  <c r="R1755" i="1" s="1"/>
  <c r="P372" i="1"/>
  <c r="Q372" i="1" s="1"/>
  <c r="R372" i="1" s="1"/>
  <c r="P1274" i="1"/>
  <c r="Q1274" i="1" s="1"/>
  <c r="R1274" i="1" s="1"/>
  <c r="P1922" i="1"/>
  <c r="Q1922" i="1" s="1"/>
  <c r="R1922" i="1" s="1"/>
  <c r="P1220" i="1"/>
  <c r="Q1220" i="1" s="1"/>
  <c r="P263" i="1"/>
  <c r="Q263" i="1" s="1"/>
  <c r="R263" i="1" s="1"/>
  <c r="P313" i="1"/>
  <c r="Q313" i="1" s="1"/>
  <c r="R313" i="1" s="1"/>
  <c r="P1981" i="1"/>
  <c r="Q1981" i="1" s="1"/>
  <c r="R1981" i="1" s="1"/>
  <c r="P1269" i="1"/>
  <c r="Q1269" i="1" s="1"/>
  <c r="R1269" i="1" s="1"/>
  <c r="P1642" i="1"/>
  <c r="Q1642" i="1" s="1"/>
  <c r="R1642" i="1" s="1"/>
  <c r="P1630" i="1"/>
  <c r="Q1630" i="1" s="1"/>
  <c r="R1630" i="1" s="1"/>
  <c r="P319" i="1"/>
  <c r="Q319" i="1" s="1"/>
  <c r="R319" i="1" s="1"/>
  <c r="P2102" i="1"/>
  <c r="Q2102" i="1" s="1"/>
  <c r="P1270" i="1"/>
  <c r="Q1270" i="1" s="1"/>
  <c r="R1270" i="1" s="1"/>
  <c r="P447" i="1"/>
  <c r="Q447" i="1" s="1"/>
  <c r="R447" i="1" s="1"/>
  <c r="P1341" i="1"/>
  <c r="Q1341" i="1" s="1"/>
  <c r="R1341" i="1" s="1"/>
  <c r="P1261" i="1"/>
  <c r="Q1261" i="1" s="1"/>
  <c r="R1261" i="1" s="1"/>
  <c r="P1005" i="1"/>
  <c r="Q1005" i="1" s="1"/>
  <c r="R1005" i="1" s="1"/>
  <c r="P825" i="1"/>
  <c r="Q825" i="1" s="1"/>
  <c r="R825" i="1" s="1"/>
  <c r="P249" i="1"/>
  <c r="Q249" i="1" s="1"/>
  <c r="R249" i="1" s="1"/>
  <c r="P780" i="1"/>
  <c r="Q780" i="1" s="1"/>
  <c r="R780" i="1" s="1"/>
  <c r="P1013" i="1"/>
  <c r="Q1013" i="1" s="1"/>
  <c r="R1013" i="1" s="1"/>
  <c r="P548" i="1"/>
  <c r="Q548" i="1" s="1"/>
  <c r="R548" i="1" s="1"/>
  <c r="P1068" i="1"/>
  <c r="Q1068" i="1" s="1"/>
  <c r="R1068" i="1" s="1"/>
  <c r="P1075" i="1"/>
  <c r="Q1075" i="1" s="1"/>
  <c r="R1075" i="1" s="1"/>
  <c r="P1486" i="1"/>
  <c r="Q1486" i="1" s="1"/>
  <c r="R1486" i="1" s="1"/>
  <c r="P1649" i="1"/>
  <c r="Q1649" i="1" s="1"/>
  <c r="R1649" i="1" s="1"/>
  <c r="P1941" i="1"/>
  <c r="Q1941" i="1" s="1"/>
  <c r="R1941" i="1" s="1"/>
  <c r="P784" i="1"/>
  <c r="Q784" i="1" s="1"/>
  <c r="R784" i="1" s="1"/>
  <c r="P1707" i="1"/>
  <c r="Q1707" i="1" s="1"/>
  <c r="R1707" i="1" s="1"/>
  <c r="P1588" i="1"/>
  <c r="Q1588" i="1" s="1"/>
  <c r="R1588" i="1" s="1"/>
  <c r="P1610" i="1"/>
  <c r="Q1610" i="1" s="1"/>
  <c r="R1610" i="1" s="1"/>
  <c r="P1999" i="1"/>
  <c r="Q1999" i="1" s="1"/>
  <c r="P232" i="1"/>
  <c r="Q232" i="1" s="1"/>
  <c r="R232" i="1" s="1"/>
  <c r="P1094" i="1"/>
  <c r="Q1094" i="1" s="1"/>
  <c r="R1094" i="1" s="1"/>
  <c r="P1399" i="1"/>
  <c r="Q1399" i="1" s="1"/>
  <c r="R1399" i="1" s="1"/>
  <c r="P1248" i="1"/>
  <c r="Q1248" i="1" s="1"/>
  <c r="P1834" i="1"/>
  <c r="Q1834" i="1" s="1"/>
  <c r="P590" i="1"/>
  <c r="Q590" i="1" s="1"/>
  <c r="P303" i="1"/>
  <c r="Q303" i="1" s="1"/>
  <c r="R303" i="1" s="1"/>
  <c r="P1785" i="1"/>
  <c r="Q1785" i="1" s="1"/>
  <c r="R1785" i="1" s="1"/>
  <c r="P1715" i="1"/>
  <c r="Q1715" i="1" s="1"/>
  <c r="R1715" i="1" s="1"/>
  <c r="P2072" i="1"/>
  <c r="Q2072" i="1" s="1"/>
  <c r="R2072" i="1" s="1"/>
  <c r="P905" i="1"/>
  <c r="Q905" i="1" s="1"/>
  <c r="R905" i="1" s="1"/>
  <c r="P1778" i="1"/>
  <c r="Q1778" i="1" s="1"/>
  <c r="R1778" i="1" s="1"/>
  <c r="P1584" i="1"/>
  <c r="Q1584" i="1" s="1"/>
  <c r="R1584" i="1" s="1"/>
  <c r="P1847" i="1"/>
  <c r="Q1847" i="1" s="1"/>
  <c r="R1847" i="1" s="1"/>
  <c r="P559" i="1"/>
  <c r="Q559" i="1" s="1"/>
  <c r="P723" i="1"/>
  <c r="Q723" i="1" s="1"/>
  <c r="R723" i="1" s="1"/>
  <c r="P1823" i="1"/>
  <c r="Q1823" i="1" s="1"/>
  <c r="R1823" i="1" s="1"/>
  <c r="P1985" i="1"/>
  <c r="Q1985" i="1" s="1"/>
  <c r="R1985" i="1" s="1"/>
  <c r="P1498" i="1"/>
  <c r="Q1498" i="1" s="1"/>
  <c r="R1498" i="1" s="1"/>
  <c r="P101" i="1"/>
  <c r="Q101" i="1" s="1"/>
  <c r="R101" i="1" s="1"/>
  <c r="P990" i="1"/>
  <c r="Q990" i="1" s="1"/>
  <c r="R990" i="1" s="1"/>
  <c r="P1828" i="1"/>
  <c r="Q1828" i="1" s="1"/>
  <c r="R1828" i="1" s="1"/>
  <c r="P854" i="1"/>
  <c r="Q854" i="1" s="1"/>
  <c r="R854" i="1" s="1"/>
  <c r="P1935" i="1"/>
  <c r="Q1935" i="1" s="1"/>
  <c r="R1935" i="1" s="1"/>
  <c r="P1837" i="1"/>
  <c r="Q1837" i="1" s="1"/>
  <c r="P1978" i="1"/>
  <c r="Q1978" i="1" s="1"/>
  <c r="R1978" i="1" s="1"/>
  <c r="P1187" i="1"/>
  <c r="Q1187" i="1" s="1"/>
  <c r="R1187" i="1" s="1"/>
  <c r="P108" i="1"/>
  <c r="Q108" i="1" s="1"/>
  <c r="P956" i="1"/>
  <c r="Q956" i="1" s="1"/>
  <c r="R956" i="1" s="1"/>
  <c r="P987" i="1"/>
  <c r="Q987" i="1" s="1"/>
  <c r="P1435" i="1"/>
  <c r="Q1435" i="1" s="1"/>
  <c r="R1435" i="1" s="1"/>
  <c r="P236" i="1"/>
  <c r="Q236" i="1" s="1"/>
  <c r="R236" i="1" s="1"/>
  <c r="P265" i="1"/>
  <c r="Q265" i="1" s="1"/>
  <c r="R265" i="1" s="1"/>
  <c r="P1015" i="1"/>
  <c r="Q1015" i="1" s="1"/>
  <c r="R1015" i="1" s="1"/>
  <c r="P650" i="1"/>
  <c r="Q650" i="1" s="1"/>
  <c r="R650" i="1" s="1"/>
  <c r="P1829" i="1"/>
  <c r="Q1829" i="1" s="1"/>
  <c r="R1829" i="1" s="1"/>
  <c r="P1927" i="1"/>
  <c r="Q1927" i="1" s="1"/>
  <c r="R1927" i="1" s="1"/>
  <c r="P2045" i="1"/>
  <c r="Q2045" i="1" s="1"/>
  <c r="P261" i="1"/>
  <c r="Q261" i="1" s="1"/>
  <c r="R261" i="1" s="1"/>
  <c r="P1373" i="1"/>
  <c r="Q1373" i="1" s="1"/>
  <c r="R1373" i="1" s="1"/>
  <c r="P1737" i="1"/>
  <c r="Q1737" i="1" s="1"/>
  <c r="R1737" i="1" s="1"/>
  <c r="P1793" i="1"/>
  <c r="Q1793" i="1" s="1"/>
  <c r="R1793" i="1" s="1"/>
  <c r="P1232" i="1"/>
  <c r="Q1232" i="1" s="1"/>
  <c r="R1232" i="1" s="1"/>
  <c r="P454" i="1"/>
  <c r="Q454" i="1" s="1"/>
  <c r="R454" i="1" s="1"/>
  <c r="P565" i="1"/>
  <c r="Q565" i="1" s="1"/>
  <c r="P1522" i="1"/>
  <c r="Q1522" i="1" s="1"/>
  <c r="R1522" i="1" s="1"/>
  <c r="P778" i="1"/>
  <c r="Q778" i="1" s="1"/>
  <c r="R778" i="1" s="1"/>
  <c r="P1071" i="1"/>
  <c r="Q1071" i="1" s="1"/>
  <c r="R1071" i="1" s="1"/>
  <c r="P1628" i="1"/>
  <c r="Q1628" i="1" s="1"/>
  <c r="R1628" i="1" s="1"/>
  <c r="P1381" i="1"/>
  <c r="Q1381" i="1" s="1"/>
  <c r="R1381" i="1" s="1"/>
  <c r="P1541" i="1"/>
  <c r="Q1541" i="1" s="1"/>
  <c r="R1541" i="1" s="1"/>
  <c r="P1186" i="1"/>
  <c r="Q1186" i="1" s="1"/>
  <c r="R1186" i="1" s="1"/>
  <c r="P966" i="1"/>
  <c r="Q966" i="1" s="1"/>
  <c r="R966" i="1" s="1"/>
  <c r="P1657" i="1"/>
  <c r="Q1657" i="1" s="1"/>
  <c r="R1657" i="1" s="1"/>
  <c r="P1885" i="1"/>
  <c r="Q1885" i="1" s="1"/>
  <c r="R1885" i="1" s="1"/>
  <c r="P1775" i="1"/>
  <c r="Q1775" i="1" s="1"/>
  <c r="P958" i="1"/>
  <c r="Q958" i="1" s="1"/>
  <c r="P2060" i="1"/>
  <c r="Q2060" i="1" s="1"/>
  <c r="P443" i="1"/>
  <c r="Q443" i="1" s="1"/>
  <c r="R443" i="1" s="1"/>
  <c r="AA5" i="16" s="1"/>
  <c r="P402" i="1"/>
  <c r="Q402" i="1" s="1"/>
  <c r="R402" i="1" s="1"/>
  <c r="P1417" i="1"/>
  <c r="Q1417" i="1" s="1"/>
  <c r="R1417" i="1" s="1"/>
  <c r="P159" i="1"/>
  <c r="Q159" i="1" s="1"/>
  <c r="R159" i="1" s="1"/>
  <c r="P252" i="1"/>
  <c r="Q252" i="1" s="1"/>
  <c r="R991" i="1"/>
  <c r="R298" i="1"/>
  <c r="R812" i="1"/>
  <c r="D812" i="1" s="1"/>
  <c r="R1051" i="1"/>
  <c r="D519" i="1"/>
  <c r="P272" i="1"/>
  <c r="Q272" i="1" s="1"/>
  <c r="P255" i="1"/>
  <c r="Q255" i="1" s="1"/>
  <c r="T112" i="1"/>
  <c r="W13" i="16"/>
  <c r="AA13" i="16"/>
  <c r="T1213" i="1"/>
  <c r="Y13" i="16"/>
  <c r="T1360" i="1"/>
  <c r="T293" i="1"/>
  <c r="T463" i="1"/>
  <c r="T662" i="1"/>
  <c r="T464" i="1"/>
  <c r="T796" i="1"/>
  <c r="T1975" i="1"/>
  <c r="T1423" i="1"/>
  <c r="T18" i="1"/>
  <c r="K9" i="16"/>
  <c r="G9" i="16"/>
  <c r="D898" i="1"/>
  <c r="D610" i="1"/>
  <c r="D729" i="1"/>
  <c r="D638" i="1"/>
  <c r="D658" i="1"/>
  <c r="D498" i="1"/>
  <c r="D601" i="1"/>
  <c r="D1372" i="1"/>
  <c r="D956" i="1"/>
  <c r="D409" i="1"/>
  <c r="D1047" i="1"/>
  <c r="D611" i="1"/>
  <c r="D730" i="1"/>
  <c r="D1104" i="1"/>
  <c r="D298" i="1"/>
  <c r="D1205" i="1"/>
  <c r="D1066" i="1"/>
  <c r="D1354" i="1"/>
  <c r="D745" i="1"/>
  <c r="D1002" i="1"/>
  <c r="D1013" i="1"/>
  <c r="D1038" i="1"/>
  <c r="D995" i="1"/>
  <c r="D1034" i="1"/>
  <c r="D908" i="1"/>
  <c r="D998" i="1"/>
  <c r="D1048" i="1"/>
  <c r="D1051" i="1"/>
  <c r="D999" i="1"/>
  <c r="D1000" i="1"/>
  <c r="D1049" i="1"/>
  <c r="F9" i="16"/>
  <c r="B9" i="16"/>
  <c r="I9" i="16"/>
  <c r="D272" i="1"/>
  <c r="Q12" i="16"/>
  <c r="Y12" i="16"/>
  <c r="X13" i="16"/>
  <c r="AB13" i="16"/>
  <c r="S12" i="16"/>
  <c r="U12" i="16"/>
  <c r="V13" i="16"/>
  <c r="Z13" i="16"/>
  <c r="D9" i="16"/>
  <c r="H9" i="16"/>
  <c r="N12" i="16"/>
  <c r="R12" i="16"/>
  <c r="V12" i="16"/>
  <c r="P12" i="16"/>
  <c r="T12" i="16"/>
  <c r="X12" i="16"/>
  <c r="T225" i="1"/>
  <c r="T640" i="1"/>
  <c r="T1852" i="1"/>
  <c r="T2096" i="1"/>
  <c r="T1441" i="1"/>
  <c r="T423" i="1"/>
  <c r="T950" i="1"/>
  <c r="T958" i="1"/>
  <c r="T652" i="1"/>
  <c r="T2054" i="1"/>
  <c r="T609" i="1"/>
  <c r="T1040" i="1"/>
  <c r="T2026" i="1"/>
  <c r="T634" i="1"/>
  <c r="T1680" i="1"/>
  <c r="T973" i="1"/>
  <c r="T1983" i="1"/>
  <c r="T2100" i="1"/>
  <c r="T91" i="1"/>
  <c r="T1267" i="1"/>
  <c r="T1465" i="1"/>
  <c r="T851" i="1"/>
  <c r="T660" i="1"/>
  <c r="T1861" i="1"/>
  <c r="T1591" i="1"/>
  <c r="T531" i="1"/>
  <c r="T1668" i="1"/>
  <c r="T51" i="1"/>
  <c r="T475" i="1"/>
  <c r="T45" i="1"/>
  <c r="T2001" i="1"/>
  <c r="T2027" i="1"/>
  <c r="T1986" i="1"/>
  <c r="T1306" i="1"/>
  <c r="T1760" i="1"/>
  <c r="T827" i="1"/>
  <c r="T1769" i="1"/>
  <c r="T1371" i="1"/>
  <c r="T2091" i="1"/>
  <c r="T1926" i="1"/>
  <c r="T173" i="1"/>
  <c r="T1476" i="1"/>
  <c r="T134" i="1"/>
  <c r="T89" i="1"/>
  <c r="T1167" i="1"/>
  <c r="T1710" i="1"/>
  <c r="T1481" i="1"/>
  <c r="T1894" i="1"/>
  <c r="T250" i="1"/>
  <c r="T1133" i="1"/>
  <c r="T2095" i="1"/>
  <c r="T247" i="1"/>
  <c r="T1404" i="1"/>
  <c r="T1035" i="1"/>
  <c r="T1801" i="1"/>
  <c r="T567" i="1"/>
  <c r="T1838" i="1"/>
  <c r="D1287" i="1"/>
  <c r="D801" i="1"/>
  <c r="D1532" i="1"/>
  <c r="D1896" i="1"/>
  <c r="D689" i="1"/>
  <c r="D1167" i="1"/>
  <c r="D800" i="1"/>
  <c r="D1448" i="1"/>
  <c r="D2070" i="1"/>
  <c r="D1956" i="1"/>
  <c r="D1875" i="1"/>
  <c r="D1149" i="1"/>
  <c r="D2038" i="1"/>
  <c r="D1496" i="1"/>
  <c r="D2048" i="1"/>
  <c r="D1858" i="1"/>
  <c r="D1519" i="1"/>
  <c r="D1321" i="1"/>
  <c r="D1393" i="1"/>
  <c r="D277" i="1"/>
  <c r="D1464" i="1"/>
  <c r="D1169" i="1"/>
  <c r="D1958" i="1"/>
  <c r="D2064" i="1"/>
  <c r="D1623" i="1"/>
  <c r="D1334" i="1"/>
  <c r="D1800" i="1"/>
  <c r="D1883" i="1"/>
  <c r="D1306" i="1"/>
  <c r="D1184" i="1"/>
  <c r="D990" i="1"/>
  <c r="D652" i="1"/>
  <c r="D829" i="1"/>
  <c r="D1398" i="1"/>
  <c r="D1362" i="1"/>
  <c r="D585" i="1"/>
  <c r="D827" i="1"/>
  <c r="D1521" i="1"/>
  <c r="D765" i="1"/>
  <c r="D896" i="1"/>
  <c r="D1357" i="1"/>
  <c r="D644" i="1"/>
  <c r="D1228" i="1"/>
  <c r="D54" i="1"/>
  <c r="D1769" i="1"/>
  <c r="D1030" i="1"/>
  <c r="D929" i="1"/>
  <c r="D1257" i="1"/>
  <c r="D1143" i="1"/>
  <c r="D736" i="1"/>
  <c r="D1071" i="1"/>
  <c r="D825" i="1"/>
  <c r="D717" i="1"/>
  <c r="D705" i="1"/>
  <c r="D957" i="1"/>
  <c r="D840" i="1"/>
  <c r="D1371" i="1"/>
  <c r="D1782" i="1"/>
  <c r="D1718" i="1"/>
  <c r="D45" i="1"/>
  <c r="D1999" i="1"/>
  <c r="D1726" i="1"/>
  <c r="D1645" i="1"/>
  <c r="D250" i="1"/>
  <c r="D2045" i="1"/>
  <c r="D1986" i="1"/>
  <c r="D1463" i="1"/>
  <c r="D47" i="1"/>
  <c r="D1409" i="1"/>
  <c r="D1637" i="1"/>
  <c r="D1625" i="1"/>
  <c r="D1420" i="1"/>
  <c r="D1835" i="1"/>
  <c r="D1454" i="1"/>
  <c r="D1468" i="1"/>
  <c r="D1972" i="1"/>
  <c r="D815" i="1"/>
  <c r="D1861" i="1"/>
  <c r="D1536" i="1"/>
  <c r="D1540" i="1"/>
  <c r="D1131" i="1"/>
  <c r="D1988" i="1"/>
  <c r="D1541" i="1"/>
  <c r="D924" i="1"/>
  <c r="D1939" i="1"/>
  <c r="D1927" i="1"/>
  <c r="D2018" i="1"/>
  <c r="D1214" i="1"/>
  <c r="D973" i="1"/>
  <c r="D1545" i="1"/>
  <c r="D1618" i="1"/>
  <c r="D48" i="1"/>
  <c r="D776" i="1"/>
  <c r="D1778" i="1"/>
  <c r="D1629" i="1"/>
  <c r="D1954" i="1"/>
  <c r="D805" i="1"/>
  <c r="D1935" i="1"/>
  <c r="D1132" i="1"/>
  <c r="D814" i="1"/>
  <c r="D1133" i="1"/>
  <c r="D1856" i="1"/>
  <c r="D1348" i="1"/>
  <c r="D1886" i="1"/>
  <c r="D1617" i="1"/>
  <c r="D1065" i="1"/>
  <c r="D1777" i="1"/>
  <c r="D74" i="1"/>
  <c r="D1626" i="1"/>
  <c r="D358" i="1"/>
  <c r="D1631" i="1"/>
  <c r="D660" i="1"/>
  <c r="D1191" i="1"/>
  <c r="D1382" i="1"/>
  <c r="D1404" i="1"/>
  <c r="D838" i="1"/>
  <c r="D1134" i="1"/>
  <c r="D1312" i="1"/>
  <c r="D1322" i="1"/>
  <c r="D111" i="1"/>
  <c r="D83" i="1"/>
  <c r="D1035" i="1"/>
  <c r="D1587" i="1"/>
  <c r="D842" i="1"/>
  <c r="D1215" i="1"/>
  <c r="D1174" i="1"/>
  <c r="D1170" i="1"/>
  <c r="D1261" i="1"/>
  <c r="D214" i="1"/>
  <c r="D1148" i="1"/>
  <c r="D1415" i="1"/>
  <c r="D1008" i="1"/>
  <c r="D1679" i="1"/>
  <c r="D1462" i="1"/>
  <c r="D1780" i="1"/>
  <c r="D1548" i="1"/>
  <c r="D1603" i="1"/>
  <c r="D1854" i="1"/>
  <c r="D1269" i="1"/>
  <c r="D1157" i="1"/>
  <c r="D1781" i="1"/>
  <c r="D1610" i="1"/>
  <c r="D754" i="1"/>
  <c r="D1801" i="1"/>
  <c r="D740" i="1"/>
  <c r="D1750" i="1"/>
  <c r="D1479" i="1"/>
  <c r="D1136" i="1"/>
  <c r="D1755" i="1"/>
  <c r="D1251" i="1"/>
  <c r="D1944" i="1"/>
  <c r="D525" i="1"/>
  <c r="D494" i="1"/>
  <c r="D1282" i="1"/>
  <c r="D522" i="1"/>
  <c r="D526" i="1"/>
  <c r="D527" i="1"/>
  <c r="D567" i="1"/>
  <c r="D520" i="1"/>
  <c r="D523" i="1"/>
  <c r="D467" i="1"/>
  <c r="D528" i="1"/>
  <c r="D521" i="1"/>
  <c r="D524" i="1"/>
  <c r="D1945" i="1"/>
  <c r="D481" i="1"/>
  <c r="D901" i="1"/>
  <c r="D1004" i="1"/>
  <c r="D1283" i="1"/>
  <c r="D67" i="1"/>
  <c r="D600" i="1"/>
  <c r="D1628" i="1"/>
  <c r="D469" i="1"/>
  <c r="D1646" i="1"/>
  <c r="D1717" i="1"/>
  <c r="D378" i="1"/>
  <c r="D1667" i="1"/>
  <c r="D198" i="1"/>
  <c r="D2028" i="1"/>
  <c r="D65" i="1"/>
  <c r="D62" i="1"/>
  <c r="D1437" i="1"/>
  <c r="D91" i="1"/>
  <c r="D396" i="1"/>
  <c r="D399" i="1"/>
  <c r="D403" i="1"/>
  <c r="D407" i="1"/>
  <c r="D423" i="1"/>
  <c r="D397" i="1"/>
  <c r="D400" i="1"/>
  <c r="D404" i="1"/>
  <c r="D420" i="1"/>
  <c r="D97" i="1"/>
  <c r="D401" i="1"/>
  <c r="D405" i="1"/>
  <c r="D421" i="1"/>
  <c r="D398" i="1"/>
  <c r="D402" i="1"/>
  <c r="D406" i="1"/>
  <c r="D422" i="1"/>
  <c r="D884" i="1"/>
  <c r="D886" i="1"/>
  <c r="D888" i="1"/>
  <c r="D890" i="1"/>
  <c r="D947" i="1"/>
  <c r="D937" i="1"/>
  <c r="D958" i="1"/>
  <c r="D950" i="1"/>
  <c r="D867" i="1"/>
  <c r="D869" i="1"/>
  <c r="D871" i="1"/>
  <c r="D873" i="1"/>
  <c r="D936" i="1"/>
  <c r="D885" i="1"/>
  <c r="D887" i="1"/>
  <c r="D889" i="1"/>
  <c r="D891" i="1"/>
  <c r="D948" i="1"/>
  <c r="D866" i="1"/>
  <c r="D868" i="1"/>
  <c r="D870" i="1"/>
  <c r="D872" i="1"/>
  <c r="D935" i="1"/>
  <c r="D949" i="1"/>
  <c r="D1786" i="1"/>
  <c r="D28" i="1"/>
  <c r="D980" i="1"/>
  <c r="D982" i="1"/>
  <c r="D984" i="1"/>
  <c r="D986" i="1"/>
  <c r="D988" i="1"/>
  <c r="D1797" i="1"/>
  <c r="D1040" i="1"/>
  <c r="D976" i="1"/>
  <c r="D57" i="1"/>
  <c r="D979" i="1"/>
  <c r="D1788" i="1"/>
  <c r="D1790" i="1"/>
  <c r="D1793" i="1"/>
  <c r="D1795" i="1"/>
  <c r="D1874" i="1"/>
  <c r="D1838" i="1"/>
  <c r="D1785" i="1"/>
  <c r="D978" i="1"/>
  <c r="D1791" i="1"/>
  <c r="D981" i="1"/>
  <c r="D983" i="1"/>
  <c r="D985" i="1"/>
  <c r="D987" i="1"/>
  <c r="D37" i="1"/>
  <c r="D977" i="1"/>
  <c r="D1787" i="1"/>
  <c r="D36" i="1"/>
  <c r="D1789" i="1"/>
  <c r="D1792" i="1"/>
  <c r="D1794" i="1"/>
  <c r="D1796" i="1"/>
  <c r="D1182" i="1"/>
  <c r="D1668" i="1"/>
  <c r="D1885" i="1"/>
  <c r="D1995" i="1"/>
  <c r="D651" i="1"/>
  <c r="D1912" i="1"/>
  <c r="D332" i="1"/>
  <c r="D1229" i="1"/>
  <c r="D14" i="1"/>
  <c r="D475" i="1"/>
  <c r="D509" i="1"/>
  <c r="D504" i="1"/>
  <c r="D507" i="1"/>
  <c r="D96" i="1"/>
  <c r="D510" i="1"/>
  <c r="D505" i="1"/>
  <c r="D508" i="1"/>
  <c r="D474" i="1"/>
  <c r="D434" i="1"/>
  <c r="D511" i="1"/>
  <c r="D506" i="1"/>
  <c r="D559" i="1"/>
  <c r="D435" i="1"/>
  <c r="D503" i="1"/>
  <c r="D264" i="1"/>
  <c r="D485" i="1"/>
  <c r="D1680" i="1"/>
  <c r="D1173" i="1"/>
  <c r="D2098" i="1"/>
  <c r="D2101" i="1"/>
  <c r="D742" i="1"/>
  <c r="D2100" i="1"/>
  <c r="D2089" i="1"/>
  <c r="D2104" i="1"/>
  <c r="D2103" i="1"/>
  <c r="D1641" i="1"/>
  <c r="D1763" i="1"/>
  <c r="D1410" i="1"/>
  <c r="D1847" i="1"/>
  <c r="D1305" i="1"/>
  <c r="D1937" i="1"/>
  <c r="D1759" i="1"/>
  <c r="D1903" i="1"/>
  <c r="D2015" i="1"/>
  <c r="D1829" i="1"/>
  <c r="D832" i="1"/>
  <c r="D1449" i="1"/>
  <c r="D640" i="1"/>
  <c r="D1395" i="1"/>
  <c r="D1733" i="1"/>
  <c r="D1178" i="1"/>
  <c r="D810" i="1"/>
  <c r="D1516" i="1"/>
  <c r="D1908" i="1"/>
  <c r="D1799" i="1"/>
  <c r="D1528" i="1"/>
  <c r="D1512" i="1"/>
  <c r="D1997" i="1"/>
  <c r="D107" i="1"/>
  <c r="D1478" i="1"/>
  <c r="D1852" i="1"/>
  <c r="D1165" i="1"/>
  <c r="D1381" i="1"/>
  <c r="D1869" i="1"/>
  <c r="D23" i="1"/>
  <c r="D147" i="1"/>
  <c r="D26" i="1"/>
  <c r="D1922" i="1"/>
  <c r="D1925" i="1"/>
  <c r="D1902" i="1"/>
  <c r="D43" i="1"/>
  <c r="D1918" i="1"/>
  <c r="D1920" i="1"/>
  <c r="D1923" i="1"/>
  <c r="D1849" i="1"/>
  <c r="D1824" i="1"/>
  <c r="D1892" i="1"/>
  <c r="D25" i="1"/>
  <c r="D22" i="1"/>
  <c r="D1924" i="1"/>
  <c r="D173" i="1"/>
  <c r="D1926" i="1"/>
  <c r="D55" i="1"/>
  <c r="D1876" i="1"/>
  <c r="D24" i="1"/>
  <c r="D1919" i="1"/>
  <c r="D1921" i="1"/>
  <c r="D49" i="1"/>
  <c r="D51" i="1"/>
  <c r="D1255" i="1"/>
  <c r="D1326" i="1"/>
  <c r="D1344" i="1"/>
  <c r="D1366" i="1"/>
  <c r="D1327" i="1"/>
  <c r="D1341" i="1"/>
  <c r="D1345" i="1"/>
  <c r="D1475" i="1"/>
  <c r="D412" i="1"/>
  <c r="D1342" i="1"/>
  <c r="D1435" i="1"/>
  <c r="D1476" i="1"/>
  <c r="D1254" i="1"/>
  <c r="D1307" i="1"/>
  <c r="D1343" i="1"/>
  <c r="D1470" i="1"/>
  <c r="D1644" i="1"/>
  <c r="D1267" i="1"/>
  <c r="D531" i="1"/>
  <c r="D1441" i="1"/>
  <c r="D1346" i="1"/>
  <c r="D1380" i="1"/>
  <c r="D1347" i="1"/>
  <c r="D1534" i="1"/>
  <c r="D515" i="1"/>
  <c r="D671" i="1"/>
  <c r="D1802" i="1"/>
  <c r="D1554" i="1"/>
  <c r="D42" i="1"/>
  <c r="D479" i="1"/>
  <c r="D1145" i="1"/>
  <c r="D1003" i="1"/>
  <c r="D1481" i="1"/>
  <c r="D813" i="1"/>
  <c r="D1203" i="1"/>
  <c r="D1527" i="1"/>
  <c r="D670" i="1"/>
  <c r="D584" i="1"/>
  <c r="D1764" i="1"/>
  <c r="D52" i="1"/>
  <c r="D655" i="1"/>
  <c r="D1812" i="1"/>
  <c r="D1741" i="1"/>
  <c r="D1439" i="1"/>
  <c r="D906" i="1"/>
  <c r="D735" i="1"/>
  <c r="D1433" i="1"/>
  <c r="D1579" i="1"/>
  <c r="D1018" i="1"/>
  <c r="D972" i="1"/>
  <c r="D1591" i="1"/>
  <c r="D653" i="1"/>
  <c r="D1244" i="1"/>
  <c r="D1265" i="1"/>
  <c r="D2035" i="1"/>
  <c r="D1605" i="1"/>
  <c r="D1865" i="1"/>
  <c r="D835" i="1"/>
  <c r="D1783" i="1"/>
  <c r="D1058" i="1"/>
  <c r="D821" i="1"/>
  <c r="D1642" i="1"/>
  <c r="D836" i="1"/>
  <c r="D1940" i="1"/>
  <c r="D1465" i="1"/>
  <c r="W10" i="16" l="1"/>
  <c r="X5" i="16"/>
  <c r="R1254" i="1"/>
  <c r="O5" i="16" s="1"/>
  <c r="R1343" i="1"/>
  <c r="V5" i="16" s="1"/>
  <c r="U10" i="16"/>
  <c r="R1327" i="1"/>
  <c r="Q5" i="16" s="1"/>
  <c r="M10" i="16"/>
  <c r="M9" i="16" s="1"/>
  <c r="L10" i="16"/>
  <c r="L9" i="16" s="1"/>
  <c r="N5" i="16"/>
  <c r="S5" i="16"/>
  <c r="T10" i="16"/>
  <c r="U5" i="16"/>
  <c r="Z5" i="16"/>
  <c r="P10" i="16"/>
  <c r="R5" i="16"/>
  <c r="O10" i="16"/>
  <c r="O9" i="16" s="1"/>
  <c r="N10" i="16"/>
  <c r="N9" i="16" s="1"/>
  <c r="Q10" i="16"/>
  <c r="S10" i="16"/>
  <c r="R10" i="16"/>
  <c r="T5" i="16"/>
  <c r="X10" i="16"/>
  <c r="Y5" i="16"/>
  <c r="V10" i="16"/>
  <c r="W5" i="16"/>
  <c r="D18" i="1"/>
  <c r="D1563" i="1"/>
  <c r="D1258" i="1"/>
  <c r="D728" i="1"/>
  <c r="D1400" i="1"/>
  <c r="D1247" i="1"/>
  <c r="D1390" i="1"/>
  <c r="D617" i="1"/>
  <c r="D1531" i="1"/>
  <c r="D634" i="1"/>
  <c r="D1317" i="1"/>
  <c r="D1192" i="1"/>
  <c r="D1710" i="1"/>
  <c r="D803" i="1"/>
  <c r="D656" i="1"/>
  <c r="D1161" i="1"/>
  <c r="D1061" i="1"/>
  <c r="D73" i="1"/>
  <c r="D1414" i="1"/>
  <c r="D1223" i="1"/>
  <c r="D81" i="1"/>
  <c r="D1460" i="1"/>
  <c r="D909" i="1"/>
  <c r="D1221" i="1"/>
  <c r="D66" i="1"/>
  <c r="D98" i="1"/>
  <c r="D1021" i="1"/>
  <c r="D134" i="1"/>
  <c r="D764" i="1"/>
  <c r="Q2100" i="1"/>
  <c r="R2100" i="1" s="1"/>
  <c r="D2105" i="1" s="1"/>
  <c r="Q463" i="1"/>
  <c r="R463" i="1" s="1"/>
  <c r="Q1769" i="1"/>
  <c r="R1769" i="1" s="1"/>
  <c r="D20" i="1" s="1"/>
  <c r="Q1926" i="1"/>
  <c r="R1926" i="1" s="1"/>
  <c r="Y10" i="16"/>
  <c r="Q1040" i="1"/>
  <c r="R1040" i="1" s="1"/>
  <c r="Q2026" i="1"/>
  <c r="R2026" i="1" s="1"/>
  <c r="Q1760" i="1"/>
  <c r="R1760" i="1" s="1"/>
  <c r="Q2027" i="1"/>
  <c r="R2027" i="1" s="1"/>
  <c r="Q1441" i="1"/>
  <c r="R1441" i="1" s="1"/>
  <c r="D1442" i="1" s="1"/>
  <c r="Q827" i="1"/>
  <c r="R827" i="1" s="1"/>
  <c r="D1361" i="1" s="1"/>
  <c r="Q247" i="1"/>
  <c r="R247" i="1" s="1"/>
  <c r="AB5" i="16" s="1"/>
  <c r="Q1476" i="1"/>
  <c r="R1476" i="1" s="1"/>
  <c r="Q609" i="1"/>
  <c r="R609" i="1" s="1"/>
  <c r="D1474" i="1" s="1"/>
  <c r="Q2001" i="1"/>
  <c r="R2001" i="1" s="1"/>
  <c r="Q423" i="1"/>
  <c r="R423" i="1" s="1"/>
  <c r="Q2096" i="1"/>
  <c r="R2096" i="1" s="1"/>
  <c r="Q2091" i="1"/>
  <c r="R2091" i="1" s="1"/>
  <c r="Q1035" i="1"/>
  <c r="R1035" i="1" s="1"/>
  <c r="D1408" i="1" s="1"/>
  <c r="Q1894" i="1"/>
  <c r="R1894" i="1" s="1"/>
  <c r="Q851" i="1"/>
  <c r="R851" i="1" s="1"/>
  <c r="Q1838" i="1"/>
  <c r="R1838" i="1" s="1"/>
  <c r="D258" i="1"/>
  <c r="AC15" i="16"/>
  <c r="D1201" i="1"/>
  <c r="D907" i="1"/>
  <c r="D76" i="1"/>
  <c r="D879" i="1"/>
  <c r="D1217" i="1"/>
  <c r="D1713" i="1"/>
  <c r="D1369" i="1"/>
  <c r="D1227" i="1"/>
  <c r="D1967" i="1"/>
  <c r="D178" i="1"/>
  <c r="D1240" i="1"/>
  <c r="D1158" i="1"/>
  <c r="D2000" i="1"/>
  <c r="D1293" i="1"/>
  <c r="D1130" i="1"/>
  <c r="D1666" i="1"/>
  <c r="D799" i="1"/>
  <c r="D1823" i="1"/>
  <c r="D1524" i="1"/>
  <c r="D299" i="1"/>
  <c r="D294" i="1"/>
  <c r="D1546" i="1"/>
  <c r="D431" i="1"/>
  <c r="D589" i="1"/>
  <c r="D1028" i="1"/>
  <c r="D1523" i="1"/>
  <c r="D454" i="1"/>
  <c r="D688" i="1"/>
  <c r="D565" i="1"/>
  <c r="D930" i="1"/>
  <c r="D360" i="1"/>
  <c r="D780" i="1"/>
  <c r="D792" i="1"/>
  <c r="D1014" i="1"/>
  <c r="D645" i="1"/>
  <c r="D847" i="1"/>
  <c r="D2001" i="1"/>
  <c r="D1405" i="1"/>
  <c r="D1452" i="1"/>
  <c r="D1539" i="1"/>
  <c r="D1595" i="1"/>
  <c r="D1544" i="1"/>
  <c r="D1915" i="1"/>
  <c r="D1195" i="1"/>
  <c r="D2027" i="1"/>
  <c r="D1968" i="1"/>
  <c r="D50" i="1"/>
  <c r="D876" i="1"/>
  <c r="D1329" i="1"/>
  <c r="D1175" i="1"/>
  <c r="D1767" i="1"/>
  <c r="D2026" i="1"/>
  <c r="D1572" i="1"/>
  <c r="D1220" i="1"/>
  <c r="D1492" i="1"/>
  <c r="D1286" i="1"/>
  <c r="D247" i="1"/>
  <c r="D225" i="1"/>
  <c r="D388" i="1"/>
  <c r="D207" i="1"/>
  <c r="D561" i="1"/>
  <c r="D470" i="1"/>
  <c r="D916" i="1"/>
  <c r="D211" i="1"/>
  <c r="D1213" i="1"/>
  <c r="D1423" i="1"/>
  <c r="D155" i="1"/>
  <c r="D1917" i="1"/>
  <c r="D2067" i="1"/>
  <c r="D1271" i="1"/>
  <c r="D2051" i="1"/>
  <c r="D1978" i="1"/>
  <c r="D1443" i="1"/>
  <c r="D2060" i="1"/>
  <c r="D969" i="1"/>
  <c r="D1855" i="1"/>
  <c r="D849" i="1"/>
  <c r="D1893" i="1"/>
  <c r="D1860" i="1"/>
  <c r="D1911" i="1"/>
  <c r="D2058" i="1"/>
  <c r="D1758" i="1"/>
  <c r="D2052" i="1"/>
  <c r="D1533" i="1"/>
  <c r="D1712" i="1"/>
  <c r="D2054" i="1"/>
  <c r="D1279" i="1"/>
  <c r="D1936" i="1"/>
  <c r="D1975" i="1"/>
  <c r="D1900" i="1"/>
  <c r="D1981" i="1"/>
  <c r="D1335" i="1"/>
  <c r="D1746" i="1"/>
  <c r="D1477" i="1"/>
  <c r="D1828" i="1"/>
  <c r="D1827" i="1"/>
  <c r="D1974" i="1"/>
  <c r="D1751" i="1"/>
  <c r="D1894" i="1"/>
  <c r="D1163" i="1"/>
  <c r="D1585" i="1"/>
  <c r="D1581" i="1"/>
  <c r="D295" i="1"/>
  <c r="D1965" i="1"/>
  <c r="D1584" i="1"/>
  <c r="D1897" i="1"/>
  <c r="D1582" i="1"/>
  <c r="D1619" i="1"/>
  <c r="D1742" i="1"/>
  <c r="D1583" i="1"/>
  <c r="D1737" i="1"/>
  <c r="D1870" i="1"/>
  <c r="D1736" i="1"/>
  <c r="R255" i="1"/>
  <c r="R272" i="1"/>
  <c r="D463" i="1"/>
  <c r="D2085" i="1"/>
  <c r="D2063" i="1"/>
  <c r="D17" i="1"/>
  <c r="D1176" i="1"/>
  <c r="D2055" i="1"/>
  <c r="D4" i="1"/>
  <c r="D2011" i="1"/>
  <c r="D2095" i="1"/>
  <c r="D15" i="1"/>
  <c r="D16" i="1"/>
  <c r="D2099" i="1"/>
  <c r="D1245" i="1"/>
  <c r="D592" i="1"/>
  <c r="D228" i="1"/>
  <c r="D662" i="1"/>
  <c r="D753" i="1"/>
  <c r="D82" i="1"/>
  <c r="D798" i="1"/>
  <c r="D683" i="1"/>
  <c r="D2088" i="1"/>
  <c r="D789" i="1"/>
  <c r="D1692" i="1"/>
  <c r="D1621" i="1"/>
  <c r="D2025" i="1"/>
  <c r="D293" i="1"/>
  <c r="D1068" i="1"/>
  <c r="D913" i="1"/>
  <c r="D56" i="1"/>
  <c r="D1971" i="1"/>
  <c r="D2010" i="1"/>
  <c r="D639" i="1"/>
  <c r="D928" i="1"/>
  <c r="D802" i="1"/>
  <c r="D1360" i="1"/>
  <c r="D1337" i="1"/>
  <c r="D449" i="1"/>
  <c r="D1224" i="1"/>
  <c r="D1339" i="1"/>
  <c r="D1222" i="1"/>
  <c r="D448" i="1"/>
  <c r="D458" i="1"/>
  <c r="D447" i="1"/>
  <c r="D1338" i="1"/>
  <c r="D1358" i="1"/>
  <c r="D141" i="1"/>
  <c r="D1426" i="1"/>
  <c r="D1417" i="1"/>
  <c r="D1418" i="1"/>
  <c r="D206" i="1"/>
  <c r="D230" i="1"/>
  <c r="D1467" i="1"/>
  <c r="D1188" i="1"/>
  <c r="D132" i="1"/>
  <c r="D1440" i="1"/>
  <c r="D1424" i="1"/>
  <c r="D136" i="1"/>
  <c r="D751" i="1"/>
  <c r="D128" i="1"/>
  <c r="D131" i="1"/>
  <c r="D464" i="1"/>
  <c r="D1270" i="1"/>
  <c r="D1489" i="1"/>
  <c r="D1196" i="1"/>
  <c r="D1770" i="1"/>
  <c r="D680" i="1"/>
  <c r="D811" i="1"/>
  <c r="D991" i="1"/>
  <c r="D1127" i="1"/>
  <c r="D266" i="1"/>
  <c r="D1432" i="1"/>
  <c r="D775" i="1"/>
  <c r="D795" i="1"/>
  <c r="D942" i="1"/>
  <c r="D1350" i="1"/>
  <c r="D462" i="1"/>
  <c r="D234" i="1"/>
  <c r="D255" i="1"/>
  <c r="D274" i="1"/>
  <c r="D321" i="1"/>
  <c r="D1672" i="1"/>
  <c r="D1992" i="1"/>
  <c r="D1768" i="1"/>
  <c r="D1872" i="1"/>
  <c r="D1983" i="1"/>
  <c r="D1187" i="1"/>
  <c r="D1899" i="1"/>
  <c r="D851" i="1"/>
  <c r="AI6" i="16" l="1"/>
  <c r="AI7" i="16"/>
  <c r="AH7" i="16"/>
  <c r="AH6" i="16"/>
  <c r="AG6" i="16"/>
  <c r="AG7" i="16"/>
  <c r="AF7" i="16"/>
  <c r="AF6" i="16"/>
  <c r="D115" i="1"/>
  <c r="AF5" i="16"/>
  <c r="D1031" i="1"/>
  <c r="D243" i="1"/>
  <c r="D244" i="1"/>
  <c r="D72" i="1"/>
  <c r="D1397" i="1"/>
  <c r="D1001" i="1"/>
  <c r="D1537" i="1"/>
  <c r="AE10" i="16"/>
  <c r="AE7" i="16"/>
  <c r="AE6" i="16"/>
  <c r="AE5" i="16"/>
  <c r="D1933" i="1"/>
  <c r="D1573" i="1"/>
  <c r="AD10" i="16"/>
  <c r="D468" i="1"/>
  <c r="D993" i="1"/>
  <c r="Z10" i="16"/>
  <c r="D532" i="1"/>
  <c r="D761" i="1"/>
  <c r="D345" i="1"/>
  <c r="D108" i="1"/>
  <c r="D440" i="1"/>
  <c r="D338" i="1"/>
  <c r="D394" i="1"/>
  <c r="D703" i="1"/>
  <c r="D364" i="1"/>
  <c r="D439" i="1"/>
  <c r="D395" i="1"/>
  <c r="AD5" i="16"/>
  <c r="AA10" i="16"/>
  <c r="D1416" i="1"/>
  <c r="D2069" i="1"/>
  <c r="D106" i="1"/>
  <c r="D58" i="1"/>
  <c r="D2019" i="1"/>
  <c r="D104" i="1"/>
  <c r="D2021" i="1"/>
  <c r="D105" i="1"/>
  <c r="D1566" i="1"/>
  <c r="D60" i="1"/>
  <c r="D1998" i="1"/>
  <c r="D90" i="1"/>
  <c r="D1882" i="1"/>
  <c r="D77" i="1"/>
  <c r="D2068" i="1"/>
  <c r="D1779" i="1"/>
  <c r="D2096" i="1"/>
  <c r="D1210" i="1"/>
  <c r="D5" i="1"/>
  <c r="D1766" i="1"/>
  <c r="D2029" i="1"/>
  <c r="D1984" i="1"/>
  <c r="D1237" i="1"/>
  <c r="D1168" i="1"/>
  <c r="D1185" i="1"/>
  <c r="D1990" i="1"/>
  <c r="D6" i="1"/>
  <c r="D771" i="1"/>
  <c r="D994" i="1"/>
  <c r="D997" i="1"/>
  <c r="D1598" i="1"/>
  <c r="D1385" i="1"/>
  <c r="D1296" i="1"/>
  <c r="D1469" i="1"/>
  <c r="D1054" i="1"/>
  <c r="D1370" i="1"/>
  <c r="D1671" i="1"/>
  <c r="D964" i="1"/>
  <c r="D1055" i="1"/>
  <c r="D1878" i="1"/>
  <c r="D732" i="1"/>
  <c r="D1298" i="1"/>
  <c r="D248" i="1"/>
  <c r="D1022" i="1"/>
  <c r="D32" i="1"/>
  <c r="D1212" i="1"/>
  <c r="D1374" i="1"/>
  <c r="D59" i="1"/>
  <c r="D687" i="1"/>
  <c r="D1156" i="1"/>
  <c r="D846" i="1"/>
  <c r="D796" i="1"/>
  <c r="D1447" i="1"/>
  <c r="D1199" i="1"/>
  <c r="D355" i="1"/>
  <c r="D710" i="1"/>
  <c r="D1180" i="1"/>
  <c r="D2044" i="1"/>
  <c r="D1171" i="1"/>
  <c r="D1686" i="1"/>
  <c r="D609" i="1"/>
  <c r="D1198" i="1"/>
  <c r="D1688" i="1"/>
  <c r="D1368" i="1"/>
  <c r="D1057" i="1"/>
  <c r="D1186" i="1"/>
  <c r="D1006" i="1"/>
  <c r="D1857" i="1"/>
  <c r="D699" i="1"/>
  <c r="D1056" i="1"/>
  <c r="D1745" i="1"/>
  <c r="D1268" i="1"/>
  <c r="D1375" i="1"/>
  <c r="D1396" i="1"/>
  <c r="D1141" i="1"/>
  <c r="D1297" i="1"/>
  <c r="D1616" i="1"/>
  <c r="D1367" i="1"/>
  <c r="D1596" i="1"/>
  <c r="D1318" i="1"/>
  <c r="D1323" i="1"/>
  <c r="D19" i="1"/>
  <c r="D1015" i="1"/>
  <c r="D1526" i="1"/>
  <c r="D1760" i="1"/>
  <c r="D1504" i="1"/>
  <c r="D1364" i="1"/>
  <c r="D245" i="1"/>
  <c r="D27" i="1"/>
  <c r="AB10" i="16"/>
  <c r="AC10" i="16"/>
  <c r="D518" i="1"/>
  <c r="D1387" i="1"/>
  <c r="D1727" i="1"/>
  <c r="D1693" i="1"/>
  <c r="D1597" i="1"/>
  <c r="D374" i="1"/>
  <c r="D2080" i="1"/>
  <c r="D569" i="1"/>
  <c r="D2097" i="1"/>
  <c r="D7" i="1"/>
  <c r="D113" i="1"/>
  <c r="D112" i="1"/>
  <c r="D8" i="1"/>
  <c r="D13" i="1"/>
  <c r="D10" i="1"/>
  <c r="D1982" i="1"/>
  <c r="D2091" i="1"/>
  <c r="AD7" i="16"/>
  <c r="AD6" i="16"/>
  <c r="AC5" i="16"/>
  <c r="AC6" i="16"/>
  <c r="AC7" i="16"/>
  <c r="V6" i="16"/>
  <c r="B7" i="16"/>
  <c r="C7" i="16"/>
  <c r="R7" i="16"/>
  <c r="S7" i="16"/>
  <c r="AB6" i="16"/>
  <c r="T7" i="16"/>
  <c r="I7" i="16"/>
  <c r="Q7" i="16"/>
  <c r="Z7" i="16"/>
  <c r="D7" i="16"/>
  <c r="AA6" i="16"/>
  <c r="T6" i="16"/>
  <c r="AB7" i="16"/>
  <c r="K6" i="16"/>
  <c r="E7" i="16"/>
  <c r="O7" i="16"/>
  <c r="F6" i="16"/>
  <c r="L6" i="16"/>
  <c r="G7" i="16"/>
  <c r="F7" i="16"/>
  <c r="Q6" i="16"/>
  <c r="X7" i="16"/>
  <c r="G6" i="16"/>
  <c r="Z6" i="16"/>
  <c r="U7" i="16"/>
  <c r="I6" i="16"/>
  <c r="H6" i="16"/>
  <c r="R6" i="16"/>
  <c r="AA7" i="16"/>
  <c r="L7" i="16"/>
  <c r="O6" i="16"/>
  <c r="V7" i="16"/>
  <c r="J6" i="16"/>
  <c r="N7" i="16"/>
  <c r="X6" i="16"/>
  <c r="E6" i="16"/>
  <c r="D6" i="16"/>
  <c r="W7" i="16"/>
  <c r="B6" i="16"/>
  <c r="S6" i="16"/>
  <c r="W6" i="16"/>
  <c r="P7" i="16"/>
  <c r="P6" i="16"/>
  <c r="Y6" i="16"/>
  <c r="U6" i="16"/>
  <c r="Y7" i="16"/>
  <c r="C6" i="16"/>
  <c r="N6" i="16"/>
  <c r="K7" i="16"/>
  <c r="J7" i="16"/>
  <c r="M6" i="16"/>
  <c r="M7" i="16"/>
  <c r="H7" i="16"/>
  <c r="J894" i="6"/>
  <c r="I894" i="6"/>
  <c r="J892" i="6"/>
  <c r="I892" i="6"/>
  <c r="J896" i="6"/>
  <c r="I896" i="6"/>
  <c r="J895" i="6"/>
  <c r="I895" i="6"/>
  <c r="J891" i="6"/>
  <c r="I891" i="6"/>
  <c r="J898" i="6"/>
  <c r="I898" i="6"/>
  <c r="J897" i="6"/>
  <c r="I897" i="6"/>
  <c r="J890" i="6"/>
  <c r="I890" i="6"/>
  <c r="J889" i="6"/>
  <c r="I889" i="6"/>
  <c r="J887" i="6"/>
  <c r="J886" i="6"/>
  <c r="I886" i="6"/>
  <c r="J885" i="6"/>
  <c r="I885" i="6"/>
  <c r="J884" i="6"/>
  <c r="I884" i="6"/>
  <c r="J883" i="6"/>
  <c r="I883" i="6"/>
  <c r="J882" i="6"/>
  <c r="I882" i="6"/>
  <c r="J881" i="6"/>
  <c r="I881" i="6"/>
  <c r="J880" i="6"/>
  <c r="I880" i="6"/>
  <c r="J879" i="6"/>
  <c r="I879" i="6"/>
  <c r="J878" i="6"/>
  <c r="I878" i="6"/>
  <c r="J877" i="6"/>
  <c r="I877" i="6"/>
  <c r="J876" i="6"/>
  <c r="I876" i="6"/>
  <c r="J875" i="6"/>
  <c r="I875" i="6"/>
  <c r="J874" i="6"/>
  <c r="I874" i="6"/>
  <c r="J870" i="6"/>
  <c r="I870" i="6"/>
  <c r="J855" i="6"/>
  <c r="I855" i="6"/>
  <c r="J854" i="6"/>
  <c r="I854" i="6"/>
  <c r="J853" i="6"/>
  <c r="I853" i="6"/>
  <c r="J852" i="6"/>
  <c r="I852" i="6"/>
  <c r="J851" i="6"/>
  <c r="I851" i="6"/>
  <c r="J850" i="6"/>
  <c r="I850" i="6"/>
  <c r="J849" i="6"/>
  <c r="I849" i="6"/>
  <c r="J848" i="6"/>
  <c r="I848" i="6"/>
  <c r="J847" i="6"/>
  <c r="I847" i="6"/>
  <c r="J846" i="6"/>
  <c r="I846" i="6"/>
  <c r="J845" i="6"/>
  <c r="I845" i="6"/>
  <c r="J844" i="6"/>
  <c r="I844" i="6"/>
  <c r="J843" i="6"/>
  <c r="I843" i="6"/>
  <c r="J837" i="6"/>
  <c r="I837" i="6"/>
  <c r="J838" i="6"/>
  <c r="I838" i="6"/>
  <c r="J836" i="6"/>
  <c r="I836" i="6"/>
  <c r="J839" i="6"/>
  <c r="I839" i="6"/>
  <c r="J841" i="6"/>
  <c r="I841" i="6"/>
  <c r="J831" i="6"/>
  <c r="I831" i="6"/>
  <c r="J830" i="6"/>
  <c r="I830" i="6"/>
  <c r="J829" i="6"/>
  <c r="I829" i="6"/>
  <c r="J826" i="6"/>
  <c r="I826" i="6"/>
  <c r="J825" i="6"/>
  <c r="I825" i="6"/>
  <c r="J824" i="6"/>
  <c r="I824" i="6"/>
  <c r="J823" i="6"/>
  <c r="I823" i="6"/>
  <c r="J822" i="6"/>
  <c r="I822" i="6"/>
  <c r="J821" i="6"/>
  <c r="I821" i="6"/>
  <c r="J820" i="6"/>
  <c r="I820" i="6"/>
  <c r="J819" i="6"/>
  <c r="I819" i="6"/>
  <c r="J818" i="6"/>
  <c r="I818" i="6"/>
  <c r="J817" i="6"/>
  <c r="I817" i="6"/>
  <c r="J816" i="6"/>
  <c r="I816" i="6"/>
  <c r="J815" i="6"/>
  <c r="I815" i="6"/>
  <c r="J814" i="6"/>
  <c r="I814" i="6"/>
  <c r="J813" i="6"/>
  <c r="I813" i="6"/>
  <c r="J812" i="6"/>
  <c r="I812" i="6"/>
  <c r="J811" i="6"/>
  <c r="I811" i="6"/>
  <c r="J810" i="6"/>
  <c r="I810" i="6"/>
  <c r="J809" i="6"/>
  <c r="I809" i="6"/>
  <c r="J808" i="6"/>
  <c r="I808" i="6"/>
  <c r="J804" i="6"/>
  <c r="I804" i="6"/>
  <c r="J803" i="6"/>
  <c r="I803" i="6"/>
  <c r="J806" i="6"/>
  <c r="I806" i="6"/>
  <c r="J805" i="6"/>
  <c r="I805" i="6"/>
  <c r="J802" i="6"/>
  <c r="I802" i="6"/>
  <c r="J807" i="6"/>
  <c r="I807" i="6"/>
  <c r="J801" i="6"/>
  <c r="I801" i="6"/>
  <c r="J800" i="6"/>
  <c r="I800" i="6"/>
  <c r="J799" i="6"/>
  <c r="I799" i="6"/>
  <c r="J798" i="6"/>
  <c r="I798" i="6"/>
  <c r="J797" i="6"/>
  <c r="I797" i="6"/>
  <c r="J796" i="6"/>
  <c r="I796" i="6"/>
  <c r="J795" i="6"/>
  <c r="I795" i="6"/>
  <c r="J794" i="6"/>
  <c r="I794" i="6"/>
  <c r="J793" i="6"/>
  <c r="I793" i="6"/>
  <c r="J792" i="6"/>
  <c r="I792" i="6"/>
  <c r="J791" i="6"/>
  <c r="I791" i="6"/>
  <c r="J790" i="6"/>
  <c r="I790" i="6"/>
  <c r="J789" i="6"/>
  <c r="I789" i="6"/>
  <c r="J788" i="6"/>
  <c r="I788" i="6"/>
  <c r="J787" i="6"/>
  <c r="I787" i="6"/>
  <c r="J786" i="6"/>
  <c r="I786" i="6"/>
  <c r="J785" i="6"/>
  <c r="I785" i="6"/>
  <c r="J784" i="6"/>
  <c r="I784" i="6"/>
  <c r="J783" i="6"/>
  <c r="I783" i="6"/>
  <c r="J782" i="6"/>
  <c r="I782" i="6"/>
  <c r="J781" i="6"/>
  <c r="I781" i="6"/>
  <c r="J780" i="6"/>
  <c r="I780" i="6"/>
  <c r="J779" i="6"/>
  <c r="I779" i="6"/>
  <c r="J778" i="6"/>
  <c r="I778" i="6"/>
  <c r="J777" i="6"/>
  <c r="I777" i="6"/>
  <c r="J773" i="6"/>
  <c r="I773" i="6"/>
  <c r="J772" i="6"/>
  <c r="I772" i="6"/>
  <c r="J775" i="6"/>
  <c r="I775" i="6"/>
  <c r="J774" i="6"/>
  <c r="I774" i="6"/>
  <c r="J771" i="6"/>
  <c r="I771" i="6"/>
  <c r="J776" i="6"/>
  <c r="I776" i="6"/>
  <c r="J770" i="6"/>
  <c r="I770" i="6"/>
  <c r="J769" i="6"/>
  <c r="I769" i="6"/>
  <c r="J768" i="6"/>
  <c r="I768" i="6"/>
  <c r="J767" i="6"/>
  <c r="I767" i="6"/>
  <c r="J766" i="6"/>
  <c r="I766" i="6"/>
  <c r="J765" i="6"/>
  <c r="I765" i="6"/>
  <c r="J764" i="6"/>
  <c r="I764" i="6"/>
  <c r="J763" i="6"/>
  <c r="I763" i="6"/>
  <c r="J762" i="6"/>
  <c r="I762" i="6"/>
  <c r="J761" i="6"/>
  <c r="I761" i="6"/>
  <c r="J760" i="6"/>
  <c r="I760" i="6"/>
  <c r="J759" i="6"/>
  <c r="I759" i="6"/>
  <c r="J758" i="6"/>
  <c r="I758" i="6"/>
  <c r="J757" i="6"/>
  <c r="I757" i="6"/>
  <c r="J756" i="6"/>
  <c r="I756" i="6"/>
  <c r="J755" i="6"/>
  <c r="I755" i="6"/>
  <c r="J754" i="6"/>
  <c r="I754" i="6"/>
  <c r="J753" i="6"/>
  <c r="I753" i="6"/>
  <c r="J751" i="6"/>
  <c r="I751" i="6"/>
  <c r="J750" i="6"/>
  <c r="I750" i="6"/>
  <c r="J749" i="6"/>
  <c r="I749" i="6"/>
  <c r="J748" i="6"/>
  <c r="I748" i="6"/>
  <c r="J747" i="6"/>
  <c r="I747" i="6"/>
  <c r="J746" i="6"/>
  <c r="I746" i="6"/>
  <c r="J745" i="6"/>
  <c r="I745" i="6"/>
  <c r="J744" i="6"/>
  <c r="I744" i="6"/>
  <c r="J743" i="6"/>
  <c r="I743" i="6"/>
  <c r="J742" i="6"/>
  <c r="I742" i="6"/>
  <c r="J737" i="6"/>
  <c r="I737" i="6"/>
  <c r="J736" i="6"/>
  <c r="I736" i="6"/>
  <c r="J739" i="6"/>
  <c r="I739" i="6"/>
  <c r="J738" i="6"/>
  <c r="I738" i="6"/>
  <c r="J735" i="6"/>
  <c r="I735" i="6"/>
  <c r="J741" i="6"/>
  <c r="I741" i="6"/>
  <c r="J740" i="6"/>
  <c r="I740" i="6"/>
  <c r="J734" i="6"/>
  <c r="I734" i="6"/>
  <c r="J733" i="6"/>
  <c r="I733" i="6"/>
  <c r="J732" i="6"/>
  <c r="I732" i="6"/>
  <c r="J731" i="6"/>
  <c r="I731" i="6"/>
  <c r="J730" i="6"/>
  <c r="I730" i="6"/>
  <c r="J729" i="6"/>
  <c r="I729" i="6"/>
  <c r="J728" i="6"/>
  <c r="I728" i="6"/>
  <c r="J727" i="6"/>
  <c r="I727" i="6"/>
  <c r="J726" i="6"/>
  <c r="I726" i="6"/>
  <c r="J725" i="6"/>
  <c r="I725" i="6"/>
  <c r="J724" i="6"/>
  <c r="I724" i="6"/>
  <c r="J723" i="6"/>
  <c r="I723" i="6"/>
  <c r="J722" i="6"/>
  <c r="I722" i="6"/>
  <c r="J721" i="6"/>
  <c r="I721" i="6"/>
  <c r="J720" i="6"/>
  <c r="I720" i="6"/>
  <c r="J719" i="6"/>
  <c r="I719" i="6"/>
  <c r="J718" i="6"/>
  <c r="I718" i="6"/>
  <c r="J717" i="6"/>
  <c r="I717" i="6"/>
  <c r="J716" i="6"/>
  <c r="I716" i="6"/>
  <c r="J715" i="6"/>
  <c r="I715" i="6"/>
  <c r="J710" i="6"/>
  <c r="I710" i="6"/>
  <c r="J709" i="6"/>
  <c r="I709" i="6"/>
  <c r="J712" i="6"/>
  <c r="I712" i="6"/>
  <c r="J711" i="6"/>
  <c r="I711" i="6"/>
  <c r="J708" i="6"/>
  <c r="I708" i="6"/>
  <c r="J714" i="6"/>
  <c r="I714" i="6"/>
  <c r="J713" i="6"/>
  <c r="I713" i="6"/>
  <c r="J707" i="6"/>
  <c r="I707" i="6"/>
  <c r="J706" i="6"/>
  <c r="I706" i="6"/>
  <c r="J705" i="6"/>
  <c r="I705" i="6"/>
  <c r="J704" i="6"/>
  <c r="I704" i="6"/>
  <c r="J703" i="6"/>
  <c r="I703" i="6"/>
  <c r="J702" i="6"/>
  <c r="I702" i="6"/>
  <c r="J701" i="6"/>
  <c r="I701" i="6"/>
  <c r="J700" i="6"/>
  <c r="I700" i="6"/>
  <c r="J699" i="6"/>
  <c r="I699" i="6"/>
  <c r="J698" i="6"/>
  <c r="I698" i="6"/>
  <c r="J697" i="6"/>
  <c r="I697" i="6"/>
  <c r="J696" i="6"/>
  <c r="I696" i="6"/>
  <c r="J695" i="6"/>
  <c r="I695" i="6"/>
  <c r="J694" i="6"/>
  <c r="I694" i="6"/>
  <c r="J693" i="6"/>
  <c r="I693" i="6"/>
  <c r="J692" i="6"/>
  <c r="I692" i="6"/>
  <c r="J691" i="6"/>
  <c r="I691" i="6"/>
  <c r="J687" i="6"/>
  <c r="I687" i="6"/>
  <c r="J686" i="6"/>
  <c r="I686" i="6"/>
  <c r="J689" i="6"/>
  <c r="I689" i="6"/>
  <c r="J688" i="6"/>
  <c r="I688" i="6"/>
  <c r="J685" i="6"/>
  <c r="I685" i="6"/>
  <c r="J690" i="6"/>
  <c r="I690" i="6"/>
  <c r="J684" i="6"/>
  <c r="I684" i="6"/>
  <c r="J683" i="6"/>
  <c r="I683" i="6"/>
  <c r="J682" i="6"/>
  <c r="I682" i="6"/>
  <c r="J681" i="6"/>
  <c r="I681" i="6"/>
  <c r="J677" i="6"/>
  <c r="I677" i="6"/>
  <c r="J676" i="6"/>
  <c r="I676" i="6"/>
  <c r="J679" i="6"/>
  <c r="I679" i="6"/>
  <c r="J678" i="6"/>
  <c r="I678" i="6"/>
  <c r="J675" i="6"/>
  <c r="I675" i="6"/>
  <c r="J680" i="6"/>
  <c r="I680" i="6"/>
  <c r="J674" i="6"/>
  <c r="I674" i="6"/>
  <c r="J673" i="6"/>
  <c r="I673" i="6"/>
  <c r="J672" i="6"/>
  <c r="I672" i="6"/>
  <c r="J671" i="6"/>
  <c r="I671" i="6"/>
  <c r="J670" i="6"/>
  <c r="I670" i="6"/>
  <c r="J669" i="6"/>
  <c r="I669" i="6"/>
  <c r="J668" i="6"/>
  <c r="I668" i="6"/>
  <c r="J667" i="6"/>
  <c r="I667" i="6"/>
  <c r="J666" i="6"/>
  <c r="I666" i="6"/>
  <c r="J665" i="6"/>
  <c r="I665" i="6"/>
  <c r="J664" i="6"/>
  <c r="I664" i="6"/>
  <c r="J663" i="6"/>
  <c r="I663" i="6"/>
  <c r="J662" i="6"/>
  <c r="I662" i="6"/>
  <c r="J661" i="6"/>
  <c r="I661" i="6"/>
  <c r="J660" i="6"/>
  <c r="I660" i="6"/>
  <c r="J659" i="6"/>
  <c r="I659" i="6"/>
  <c r="J658" i="6"/>
  <c r="I658" i="6"/>
  <c r="J657" i="6"/>
  <c r="I657" i="6"/>
  <c r="J656" i="6"/>
  <c r="I656" i="6"/>
  <c r="J655" i="6"/>
  <c r="I655" i="6"/>
  <c r="J654" i="6"/>
  <c r="I654" i="6"/>
  <c r="J653" i="6"/>
  <c r="I653" i="6"/>
  <c r="J652" i="6"/>
  <c r="I652" i="6"/>
  <c r="J651" i="6"/>
  <c r="I651" i="6"/>
  <c r="J650" i="6"/>
  <c r="I650" i="6"/>
  <c r="J649" i="6"/>
  <c r="I649" i="6"/>
  <c r="J648" i="6"/>
  <c r="I648" i="6"/>
  <c r="J647" i="6"/>
  <c r="I647" i="6"/>
  <c r="J646" i="6"/>
  <c r="I646" i="6"/>
  <c r="J645" i="6"/>
  <c r="I645" i="6"/>
  <c r="J644" i="6"/>
  <c r="I644" i="6"/>
  <c r="J643" i="6"/>
  <c r="I643" i="6"/>
  <c r="J642" i="6"/>
  <c r="I642" i="6"/>
  <c r="J641" i="6"/>
  <c r="I641" i="6"/>
  <c r="J640" i="6"/>
  <c r="I640" i="6"/>
  <c r="J639" i="6"/>
  <c r="I639" i="6"/>
  <c r="J638" i="6"/>
  <c r="I638" i="6"/>
  <c r="J637" i="6"/>
  <c r="I637" i="6"/>
  <c r="J636" i="6"/>
  <c r="I636" i="6"/>
  <c r="J635" i="6"/>
  <c r="I635" i="6"/>
  <c r="J634" i="6"/>
  <c r="I634" i="6"/>
  <c r="J633" i="6"/>
  <c r="I633" i="6"/>
  <c r="J632" i="6"/>
  <c r="I632" i="6"/>
  <c r="J631" i="6"/>
  <c r="I631" i="6"/>
  <c r="J630" i="6"/>
  <c r="I630" i="6"/>
  <c r="J629" i="6"/>
  <c r="I629" i="6"/>
  <c r="J628" i="6"/>
  <c r="I628" i="6"/>
  <c r="J627" i="6"/>
  <c r="I627" i="6"/>
  <c r="J626" i="6"/>
  <c r="I626" i="6"/>
  <c r="J625" i="6"/>
  <c r="I625" i="6"/>
  <c r="J624" i="6"/>
  <c r="I624" i="6"/>
  <c r="J623" i="6"/>
  <c r="I623" i="6"/>
  <c r="J622" i="6"/>
  <c r="I622" i="6"/>
  <c r="J621" i="6"/>
  <c r="I621" i="6"/>
  <c r="J610" i="6"/>
  <c r="I610" i="6"/>
  <c r="J609" i="6"/>
  <c r="I609" i="6"/>
  <c r="J612" i="6"/>
  <c r="I612" i="6"/>
  <c r="J611" i="6"/>
  <c r="I611" i="6"/>
  <c r="J608" i="6"/>
  <c r="I608" i="6"/>
  <c r="J620" i="6"/>
  <c r="I620" i="6"/>
  <c r="J619" i="6"/>
  <c r="I619" i="6"/>
  <c r="J618" i="6"/>
  <c r="I618" i="6"/>
  <c r="J617" i="6"/>
  <c r="I617" i="6"/>
  <c r="J616" i="6"/>
  <c r="I616" i="6"/>
  <c r="J615" i="6"/>
  <c r="I615" i="6"/>
  <c r="J614" i="6"/>
  <c r="I614" i="6"/>
  <c r="J613" i="6"/>
  <c r="I613" i="6"/>
  <c r="J607" i="6"/>
  <c r="I607" i="6"/>
  <c r="J606" i="6"/>
  <c r="I606" i="6"/>
  <c r="J605" i="6"/>
  <c r="I605" i="6"/>
  <c r="J604" i="6"/>
  <c r="I604" i="6"/>
  <c r="J603" i="6"/>
  <c r="I603" i="6"/>
  <c r="J602" i="6"/>
  <c r="I602" i="6"/>
  <c r="J601" i="6"/>
  <c r="I601" i="6"/>
  <c r="J595" i="6"/>
  <c r="I595" i="6"/>
  <c r="J594" i="6"/>
  <c r="I594" i="6"/>
  <c r="J597" i="6"/>
  <c r="I597" i="6"/>
  <c r="J596" i="6"/>
  <c r="I596" i="6"/>
  <c r="J600" i="6"/>
  <c r="I600" i="6"/>
  <c r="J599" i="6"/>
  <c r="I599" i="6"/>
  <c r="J598" i="6"/>
  <c r="I598" i="6"/>
  <c r="J593" i="6"/>
  <c r="I593" i="6"/>
  <c r="J592" i="6"/>
  <c r="I592" i="6"/>
  <c r="J590" i="6"/>
  <c r="I590" i="6"/>
  <c r="J589" i="6"/>
  <c r="I589" i="6"/>
  <c r="J588" i="6"/>
  <c r="I588" i="6"/>
  <c r="J587" i="6"/>
  <c r="I587" i="6"/>
  <c r="J586" i="6"/>
  <c r="I586" i="6"/>
  <c r="J585" i="6"/>
  <c r="I585" i="6"/>
  <c r="J584" i="6"/>
  <c r="I584" i="6"/>
  <c r="J583" i="6"/>
  <c r="I583" i="6"/>
  <c r="J579" i="6"/>
  <c r="I579" i="6"/>
  <c r="J582" i="6"/>
  <c r="I582" i="6"/>
  <c r="J581" i="6"/>
  <c r="I581" i="6"/>
  <c r="J580" i="6"/>
  <c r="I580" i="6"/>
  <c r="J578" i="6"/>
  <c r="I578" i="6"/>
  <c r="J577" i="6"/>
  <c r="I577" i="6"/>
  <c r="J569" i="6"/>
  <c r="I569" i="6"/>
  <c r="J568" i="6"/>
  <c r="I568" i="6"/>
  <c r="J571" i="6"/>
  <c r="I571" i="6"/>
  <c r="J570" i="6"/>
  <c r="I570" i="6"/>
  <c r="J576" i="6"/>
  <c r="I576" i="6"/>
  <c r="J575" i="6"/>
  <c r="I575" i="6"/>
  <c r="J574" i="6"/>
  <c r="I574" i="6"/>
  <c r="J573" i="6"/>
  <c r="I573" i="6"/>
  <c r="J572" i="6"/>
  <c r="I572" i="6"/>
  <c r="J567" i="6"/>
  <c r="I567" i="6"/>
  <c r="J566" i="6"/>
  <c r="I566" i="6"/>
  <c r="J565" i="6"/>
  <c r="I565" i="6"/>
  <c r="J564" i="6"/>
  <c r="I564" i="6"/>
  <c r="J563" i="6"/>
  <c r="I563" i="6"/>
  <c r="J562" i="6"/>
  <c r="I562" i="6"/>
  <c r="J561" i="6"/>
  <c r="I561" i="6"/>
  <c r="J560" i="6"/>
  <c r="I560" i="6"/>
  <c r="J559" i="6"/>
  <c r="I559" i="6"/>
  <c r="J558" i="6"/>
  <c r="I558" i="6"/>
  <c r="J557" i="6"/>
  <c r="I557" i="6"/>
  <c r="J556" i="6"/>
  <c r="I556" i="6"/>
  <c r="J555" i="6"/>
  <c r="I555" i="6"/>
  <c r="J554" i="6"/>
  <c r="I554" i="6"/>
  <c r="J553" i="6"/>
  <c r="I553" i="6"/>
  <c r="J544" i="6"/>
  <c r="I544" i="6"/>
  <c r="J543" i="6"/>
  <c r="I543" i="6"/>
  <c r="J546" i="6"/>
  <c r="I546" i="6"/>
  <c r="J545" i="6"/>
  <c r="I545" i="6"/>
  <c r="J552" i="6"/>
  <c r="I552" i="6"/>
  <c r="J551" i="6"/>
  <c r="I551" i="6"/>
  <c r="J550" i="6"/>
  <c r="I550" i="6"/>
  <c r="J549" i="6"/>
  <c r="I549" i="6"/>
  <c r="J548" i="6"/>
  <c r="I548" i="6"/>
  <c r="J547" i="6"/>
  <c r="I547" i="6"/>
  <c r="J542" i="6"/>
  <c r="I542" i="6"/>
  <c r="J541" i="6"/>
  <c r="I541" i="6"/>
  <c r="J540" i="6"/>
  <c r="I540" i="6"/>
  <c r="J539" i="6"/>
  <c r="I539" i="6"/>
  <c r="J532" i="6"/>
  <c r="I532" i="6"/>
  <c r="J531" i="6"/>
  <c r="I531" i="6"/>
  <c r="J534" i="6"/>
  <c r="I534" i="6"/>
  <c r="J533" i="6"/>
  <c r="I533" i="6"/>
  <c r="J538" i="6"/>
  <c r="I538" i="6"/>
  <c r="J537" i="6"/>
  <c r="I537" i="6"/>
  <c r="J536" i="6"/>
  <c r="I536" i="6"/>
  <c r="J535" i="6"/>
  <c r="I535" i="6"/>
  <c r="J530" i="6"/>
  <c r="I530" i="6"/>
  <c r="J529" i="6"/>
  <c r="I529" i="6"/>
  <c r="J528" i="6"/>
  <c r="I528" i="6"/>
  <c r="J527" i="6"/>
  <c r="I527" i="6"/>
  <c r="J526" i="6"/>
  <c r="I526" i="6"/>
  <c r="J525" i="6"/>
  <c r="I525" i="6"/>
  <c r="J524" i="6"/>
  <c r="I524" i="6"/>
  <c r="J523" i="6"/>
  <c r="I523" i="6"/>
  <c r="J522" i="6"/>
  <c r="I522" i="6"/>
  <c r="J521" i="6"/>
  <c r="I521" i="6"/>
  <c r="J520" i="6"/>
  <c r="I520" i="6"/>
  <c r="J519" i="6"/>
  <c r="I519" i="6"/>
  <c r="J518" i="6"/>
  <c r="I518" i="6"/>
  <c r="J517" i="6"/>
  <c r="I517" i="6"/>
  <c r="J516" i="6"/>
  <c r="I516" i="6"/>
  <c r="J515" i="6"/>
  <c r="I515" i="6"/>
  <c r="J506" i="6"/>
  <c r="I506" i="6"/>
  <c r="J505" i="6"/>
  <c r="I505" i="6"/>
  <c r="J508" i="6"/>
  <c r="I508" i="6"/>
  <c r="J507" i="6"/>
  <c r="I507" i="6"/>
  <c r="J514" i="6"/>
  <c r="I514" i="6"/>
  <c r="J513" i="6"/>
  <c r="I513" i="6"/>
  <c r="J512" i="6"/>
  <c r="I512" i="6"/>
  <c r="J511" i="6"/>
  <c r="I511" i="6"/>
  <c r="J510" i="6"/>
  <c r="I510" i="6"/>
  <c r="J509" i="6"/>
  <c r="I509" i="6"/>
  <c r="J504" i="6"/>
  <c r="I504" i="6"/>
  <c r="J503" i="6"/>
  <c r="I503" i="6"/>
  <c r="J502" i="6"/>
  <c r="I502" i="6"/>
  <c r="J501" i="6"/>
  <c r="I501" i="6"/>
  <c r="J500" i="6"/>
  <c r="I500" i="6"/>
  <c r="J493" i="6"/>
  <c r="I493" i="6"/>
  <c r="J492" i="6"/>
  <c r="I492" i="6"/>
  <c r="J495" i="6"/>
  <c r="I495" i="6"/>
  <c r="J494" i="6"/>
  <c r="I494" i="6"/>
  <c r="J499" i="6"/>
  <c r="I499" i="6"/>
  <c r="J498" i="6"/>
  <c r="I498" i="6"/>
  <c r="J497" i="6"/>
  <c r="I497" i="6"/>
  <c r="J496" i="6"/>
  <c r="I496" i="6"/>
  <c r="J491" i="6"/>
  <c r="I491" i="6"/>
  <c r="J490" i="6"/>
  <c r="I490" i="6"/>
  <c r="J489" i="6"/>
  <c r="I489" i="6"/>
  <c r="J488" i="6"/>
  <c r="I488" i="6"/>
  <c r="J487" i="6"/>
  <c r="I487" i="6"/>
  <c r="J486" i="6"/>
  <c r="I486" i="6"/>
  <c r="J485" i="6"/>
  <c r="I485" i="6"/>
  <c r="J484" i="6"/>
  <c r="I484" i="6"/>
  <c r="J483" i="6"/>
  <c r="I483" i="6"/>
  <c r="J482" i="6"/>
  <c r="I482" i="6"/>
  <c r="J481" i="6"/>
  <c r="I481" i="6"/>
  <c r="J480" i="6"/>
  <c r="I480" i="6"/>
  <c r="J479" i="6"/>
  <c r="I479" i="6"/>
  <c r="J478" i="6"/>
  <c r="I478" i="6"/>
  <c r="J477" i="6"/>
  <c r="I477" i="6"/>
  <c r="J476" i="6"/>
  <c r="I476" i="6"/>
  <c r="J475" i="6"/>
  <c r="I475" i="6"/>
  <c r="J474" i="6"/>
  <c r="I474" i="6"/>
  <c r="J473" i="6"/>
  <c r="I473" i="6"/>
  <c r="J472" i="6"/>
  <c r="I472" i="6"/>
  <c r="J471" i="6"/>
  <c r="I471" i="6"/>
  <c r="J470" i="6"/>
  <c r="I470" i="6"/>
  <c r="J469" i="6"/>
  <c r="I469" i="6"/>
  <c r="J460" i="6"/>
  <c r="I460" i="6"/>
  <c r="J459" i="6"/>
  <c r="I459" i="6"/>
  <c r="J462" i="6"/>
  <c r="I462" i="6"/>
  <c r="J461" i="6"/>
  <c r="I461" i="6"/>
  <c r="J468" i="6"/>
  <c r="I468" i="6"/>
  <c r="J467" i="6"/>
  <c r="I467" i="6"/>
  <c r="J466" i="6"/>
  <c r="I466" i="6"/>
  <c r="J465" i="6"/>
  <c r="I465" i="6"/>
  <c r="J464" i="6"/>
  <c r="I464" i="6"/>
  <c r="J463" i="6"/>
  <c r="I463" i="6"/>
  <c r="J458" i="6"/>
  <c r="I458" i="6"/>
  <c r="J457" i="6"/>
  <c r="I457" i="6"/>
  <c r="J456" i="6"/>
  <c r="I456" i="6"/>
  <c r="J455" i="6"/>
  <c r="I455" i="6"/>
  <c r="J454" i="6"/>
  <c r="I454" i="6"/>
  <c r="J453" i="6"/>
  <c r="I453" i="6"/>
  <c r="J452" i="6"/>
  <c r="I452" i="6"/>
  <c r="J451" i="6"/>
  <c r="I451" i="6"/>
  <c r="J450" i="6"/>
  <c r="I450" i="6"/>
  <c r="J449" i="6"/>
  <c r="I449" i="6"/>
  <c r="J448" i="6"/>
  <c r="I448" i="6"/>
  <c r="J447" i="6"/>
  <c r="I447" i="6"/>
  <c r="J446" i="6"/>
  <c r="I446" i="6"/>
  <c r="J439" i="6"/>
  <c r="I439" i="6"/>
  <c r="J438" i="6"/>
  <c r="I438" i="6"/>
  <c r="J440" i="6"/>
  <c r="I440" i="6"/>
  <c r="J445" i="6"/>
  <c r="I445" i="6"/>
  <c r="J444" i="6"/>
  <c r="I444" i="6"/>
  <c r="J443" i="6"/>
  <c r="I443" i="6"/>
  <c r="J442" i="6"/>
  <c r="I442" i="6"/>
  <c r="J441" i="6"/>
  <c r="I441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31" i="6"/>
  <c r="I431" i="6"/>
  <c r="J430" i="6"/>
  <c r="I430" i="6"/>
  <c r="J429" i="6"/>
  <c r="I429" i="6"/>
  <c r="J428" i="6"/>
  <c r="I428" i="6"/>
  <c r="J427" i="6"/>
  <c r="I427" i="6"/>
  <c r="J426" i="6"/>
  <c r="I426" i="6"/>
  <c r="J425" i="6"/>
  <c r="I425" i="6"/>
  <c r="J424" i="6"/>
  <c r="I424" i="6"/>
  <c r="J423" i="6"/>
  <c r="I423" i="6"/>
  <c r="J414" i="6"/>
  <c r="I414" i="6"/>
  <c r="J413" i="6"/>
  <c r="I413" i="6"/>
  <c r="J416" i="6"/>
  <c r="I416" i="6"/>
  <c r="J415" i="6"/>
  <c r="I415" i="6"/>
  <c r="J422" i="6"/>
  <c r="I422" i="6"/>
  <c r="J421" i="6"/>
  <c r="I421" i="6"/>
  <c r="J420" i="6"/>
  <c r="I420" i="6"/>
  <c r="J419" i="6"/>
  <c r="I419" i="6"/>
  <c r="J418" i="6"/>
  <c r="I418" i="6"/>
  <c r="J417" i="6"/>
  <c r="I417" i="6"/>
  <c r="J412" i="6"/>
  <c r="I412" i="6"/>
  <c r="J411" i="6"/>
  <c r="I411" i="6"/>
  <c r="J410" i="6"/>
  <c r="I410" i="6"/>
  <c r="J409" i="6"/>
  <c r="I409" i="6"/>
  <c r="J408" i="6"/>
  <c r="I408" i="6"/>
  <c r="J402" i="6"/>
  <c r="I402" i="6"/>
  <c r="J401" i="6"/>
  <c r="I401" i="6"/>
  <c r="J404" i="6"/>
  <c r="I404" i="6"/>
  <c r="J403" i="6"/>
  <c r="I403" i="6"/>
  <c r="J407" i="6"/>
  <c r="I407" i="6"/>
  <c r="J406" i="6"/>
  <c r="I406" i="6"/>
  <c r="J405" i="6"/>
  <c r="I405" i="6"/>
  <c r="J400" i="6"/>
  <c r="I400" i="6"/>
  <c r="J399" i="6"/>
  <c r="I399" i="6"/>
  <c r="J398" i="6"/>
  <c r="I398" i="6"/>
  <c r="J397" i="6"/>
  <c r="I397" i="6"/>
  <c r="J396" i="6"/>
  <c r="I396" i="6"/>
  <c r="J395" i="6"/>
  <c r="I395" i="6"/>
  <c r="J394" i="6"/>
  <c r="I394" i="6"/>
  <c r="J393" i="6"/>
  <c r="I393" i="6"/>
  <c r="J392" i="6"/>
  <c r="I392" i="6"/>
  <c r="J391" i="6"/>
  <c r="I391" i="6"/>
  <c r="J390" i="6"/>
  <c r="I390" i="6"/>
  <c r="J389" i="6"/>
  <c r="I389" i="6"/>
  <c r="J388" i="6"/>
  <c r="I388" i="6"/>
  <c r="J387" i="6"/>
  <c r="I387" i="6"/>
  <c r="J386" i="6"/>
  <c r="I386" i="6"/>
  <c r="J385" i="6"/>
  <c r="I385" i="6"/>
  <c r="J378" i="6"/>
  <c r="I378" i="6"/>
  <c r="J377" i="6"/>
  <c r="I377" i="6"/>
  <c r="J380" i="6"/>
  <c r="I380" i="6"/>
  <c r="J379" i="6"/>
  <c r="I379" i="6"/>
  <c r="J384" i="6"/>
  <c r="I384" i="6"/>
  <c r="J383" i="6"/>
  <c r="I383" i="6"/>
  <c r="J382" i="6"/>
  <c r="I382" i="6"/>
  <c r="J381" i="6"/>
  <c r="I381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70" i="6"/>
  <c r="I370" i="6"/>
  <c r="J369" i="6"/>
  <c r="I369" i="6"/>
  <c r="J368" i="6"/>
  <c r="I368" i="6"/>
  <c r="J752" i="6"/>
  <c r="I752" i="6"/>
  <c r="J367" i="6"/>
  <c r="I367" i="6"/>
  <c r="J366" i="6"/>
  <c r="I366" i="6"/>
  <c r="J365" i="6"/>
  <c r="I365" i="6"/>
  <c r="J364" i="6"/>
  <c r="I364" i="6"/>
  <c r="J353" i="6"/>
  <c r="I353" i="6"/>
  <c r="J352" i="6"/>
  <c r="I352" i="6"/>
  <c r="J355" i="6"/>
  <c r="I355" i="6"/>
  <c r="J354" i="6"/>
  <c r="I354" i="6"/>
  <c r="J363" i="6"/>
  <c r="I363" i="6"/>
  <c r="J362" i="6"/>
  <c r="I362" i="6"/>
  <c r="J361" i="6"/>
  <c r="I361" i="6"/>
  <c r="J360" i="6"/>
  <c r="I360" i="6"/>
  <c r="J359" i="6"/>
  <c r="I359" i="6"/>
  <c r="J358" i="6"/>
  <c r="I358" i="6"/>
  <c r="J357" i="6"/>
  <c r="I357" i="6"/>
  <c r="J356" i="6"/>
  <c r="I356" i="6"/>
  <c r="J351" i="6"/>
  <c r="I351" i="6"/>
  <c r="J350" i="6"/>
  <c r="I350" i="6"/>
  <c r="J349" i="6"/>
  <c r="I349" i="6"/>
  <c r="J348" i="6"/>
  <c r="I348" i="6"/>
  <c r="J347" i="6"/>
  <c r="I347" i="6"/>
  <c r="J346" i="6"/>
  <c r="I346" i="6"/>
  <c r="J345" i="6"/>
  <c r="I345" i="6"/>
  <c r="J344" i="6"/>
  <c r="I344" i="6"/>
  <c r="J343" i="6"/>
  <c r="I343" i="6"/>
  <c r="J342" i="6"/>
  <c r="I342" i="6"/>
  <c r="J341" i="6"/>
  <c r="I341" i="6"/>
  <c r="J340" i="6"/>
  <c r="I340" i="6"/>
  <c r="J339" i="6"/>
  <c r="I339" i="6"/>
  <c r="J338" i="6"/>
  <c r="I338" i="6"/>
  <c r="J337" i="6"/>
  <c r="I337" i="6"/>
  <c r="J336" i="6"/>
  <c r="I336" i="6"/>
  <c r="J335" i="6"/>
  <c r="I335" i="6"/>
  <c r="J334" i="6"/>
  <c r="I334" i="6"/>
  <c r="J333" i="6"/>
  <c r="I333" i="6"/>
  <c r="J332" i="6"/>
  <c r="I332" i="6"/>
  <c r="J331" i="6"/>
  <c r="I331" i="6"/>
  <c r="J330" i="6"/>
  <c r="I330" i="6"/>
  <c r="J329" i="6"/>
  <c r="I329" i="6"/>
  <c r="J327" i="6"/>
  <c r="I327" i="6"/>
  <c r="J328" i="6"/>
  <c r="I328" i="6"/>
  <c r="J319" i="6"/>
  <c r="I319" i="6"/>
  <c r="J321" i="6"/>
  <c r="I321" i="6"/>
  <c r="J320" i="6"/>
  <c r="I320" i="6"/>
  <c r="J326" i="6"/>
  <c r="I326" i="6"/>
  <c r="J325" i="6"/>
  <c r="I325" i="6"/>
  <c r="J324" i="6"/>
  <c r="I324" i="6"/>
  <c r="J323" i="6"/>
  <c r="I323" i="6"/>
  <c r="J322" i="6"/>
  <c r="I322" i="6"/>
  <c r="J318" i="6"/>
  <c r="I318" i="6"/>
  <c r="J317" i="6"/>
  <c r="I317" i="6"/>
  <c r="J316" i="6"/>
  <c r="I316" i="6"/>
  <c r="J315" i="6"/>
  <c r="I315" i="6"/>
  <c r="J314" i="6"/>
  <c r="I314" i="6"/>
  <c r="J313" i="6"/>
  <c r="I313" i="6"/>
  <c r="J312" i="6"/>
  <c r="I312" i="6"/>
  <c r="J311" i="6"/>
  <c r="I311" i="6"/>
  <c r="J310" i="6"/>
  <c r="I310" i="6"/>
  <c r="J309" i="6"/>
  <c r="I309" i="6"/>
  <c r="J299" i="6"/>
  <c r="I299" i="6"/>
  <c r="J298" i="6"/>
  <c r="I298" i="6"/>
  <c r="J308" i="6"/>
  <c r="I308" i="6"/>
  <c r="J307" i="6"/>
  <c r="I307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7" i="6"/>
  <c r="I297" i="6"/>
  <c r="J296" i="6"/>
  <c r="I296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3" i="6"/>
  <c r="I283" i="6"/>
  <c r="J282" i="6"/>
  <c r="I282" i="6"/>
  <c r="J281" i="6"/>
  <c r="I281" i="6"/>
  <c r="J280" i="6"/>
  <c r="I280" i="6"/>
  <c r="J273" i="6"/>
  <c r="I273" i="6"/>
  <c r="I279" i="6"/>
  <c r="J278" i="6"/>
  <c r="I278" i="6"/>
  <c r="J277" i="6"/>
  <c r="I277" i="6"/>
  <c r="J275" i="6"/>
  <c r="I275" i="6"/>
  <c r="J272" i="6"/>
  <c r="I272" i="6"/>
  <c r="J271" i="6"/>
  <c r="I271" i="6"/>
  <c r="J270" i="6"/>
  <c r="I270" i="6"/>
  <c r="J269" i="6"/>
  <c r="I269" i="6"/>
  <c r="J268" i="6"/>
  <c r="I268" i="6"/>
  <c r="J267" i="6"/>
  <c r="I267" i="6"/>
  <c r="J266" i="6"/>
  <c r="I266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7" i="6"/>
  <c r="I247" i="6"/>
  <c r="J246" i="6"/>
  <c r="I246" i="6"/>
  <c r="J245" i="6"/>
  <c r="I245" i="6"/>
  <c r="J244" i="6"/>
  <c r="I244" i="6"/>
  <c r="J243" i="6"/>
  <c r="I243" i="6"/>
  <c r="J242" i="6"/>
  <c r="I242" i="6"/>
  <c r="J240" i="6"/>
  <c r="I240" i="6"/>
  <c r="J239" i="6"/>
  <c r="I239" i="6"/>
  <c r="J238" i="6"/>
  <c r="I238" i="6"/>
  <c r="J237" i="6"/>
  <c r="I237" i="6"/>
  <c r="J236" i="6"/>
  <c r="I236" i="6"/>
  <c r="I235" i="6"/>
  <c r="J234" i="6"/>
  <c r="I234" i="6"/>
  <c r="J233" i="6"/>
  <c r="I233" i="6"/>
  <c r="J232" i="6"/>
  <c r="I232" i="6"/>
  <c r="J231" i="6"/>
  <c r="I231" i="6"/>
  <c r="J230" i="6"/>
  <c r="I230" i="6"/>
  <c r="J229" i="6"/>
  <c r="I229" i="6"/>
  <c r="J228" i="6"/>
  <c r="I228" i="6"/>
  <c r="J227" i="6"/>
  <c r="I227" i="6"/>
  <c r="J226" i="6"/>
  <c r="I226" i="6"/>
  <c r="J225" i="6"/>
  <c r="I225" i="6"/>
  <c r="J224" i="6"/>
  <c r="I224" i="6"/>
  <c r="J223" i="6"/>
  <c r="I223" i="6"/>
  <c r="J222" i="6"/>
  <c r="I222" i="6"/>
  <c r="J221" i="6"/>
  <c r="J220" i="6"/>
  <c r="I220" i="6"/>
  <c r="J219" i="6"/>
  <c r="I219" i="6"/>
  <c r="J218" i="6"/>
  <c r="I218" i="6"/>
  <c r="J217" i="6"/>
  <c r="I217" i="6"/>
  <c r="J216" i="6"/>
  <c r="I216" i="6"/>
  <c r="J215" i="6"/>
  <c r="I215" i="6"/>
  <c r="J214" i="6"/>
  <c r="I214" i="6"/>
  <c r="J213" i="6"/>
  <c r="I213" i="6"/>
  <c r="J212" i="6"/>
  <c r="I212" i="6"/>
  <c r="J211" i="6"/>
  <c r="I211" i="6"/>
  <c r="J210" i="6"/>
  <c r="I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2" i="6"/>
  <c r="I192" i="6"/>
  <c r="J191" i="6"/>
  <c r="I191" i="6"/>
  <c r="J190" i="6"/>
  <c r="I190" i="6"/>
  <c r="J189" i="6"/>
  <c r="I189" i="6"/>
  <c r="J188" i="6"/>
  <c r="I188" i="6"/>
  <c r="J187" i="6"/>
  <c r="I187" i="6"/>
  <c r="J186" i="6"/>
  <c r="I186" i="6"/>
  <c r="J185" i="6"/>
  <c r="I185" i="6"/>
  <c r="J184" i="6"/>
  <c r="I184" i="6"/>
  <c r="J183" i="6"/>
  <c r="I183" i="6"/>
  <c r="J182" i="6"/>
  <c r="I182" i="6"/>
  <c r="J181" i="6"/>
  <c r="I181" i="6"/>
  <c r="J180" i="6"/>
  <c r="I180" i="6"/>
  <c r="J179" i="6"/>
  <c r="I179" i="6"/>
  <c r="J178" i="6"/>
  <c r="I178" i="6"/>
  <c r="J177" i="6"/>
  <c r="I177" i="6"/>
  <c r="J176" i="6"/>
  <c r="I176" i="6"/>
  <c r="J175" i="6"/>
  <c r="I175" i="6"/>
  <c r="J174" i="6"/>
  <c r="I174" i="6"/>
  <c r="J173" i="6"/>
  <c r="I173" i="6"/>
  <c r="J172" i="6"/>
  <c r="I172" i="6"/>
  <c r="J171" i="6"/>
  <c r="I171" i="6"/>
  <c r="J170" i="6"/>
  <c r="I170" i="6"/>
  <c r="J169" i="6"/>
  <c r="I169" i="6"/>
  <c r="J168" i="6"/>
  <c r="I168" i="6"/>
  <c r="J167" i="6"/>
  <c r="I167" i="6"/>
  <c r="J166" i="6"/>
  <c r="I166" i="6"/>
  <c r="J165" i="6"/>
  <c r="I165" i="6"/>
  <c r="J164" i="6"/>
  <c r="I164" i="6"/>
  <c r="J163" i="6"/>
  <c r="I163" i="6"/>
  <c r="J162" i="6"/>
  <c r="I162" i="6"/>
  <c r="J161" i="6"/>
  <c r="I161" i="6"/>
  <c r="J160" i="6"/>
  <c r="I160" i="6"/>
  <c r="J159" i="6"/>
  <c r="I15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5" i="6"/>
  <c r="I145" i="6"/>
  <c r="J144" i="6"/>
  <c r="I144" i="6"/>
  <c r="J143" i="6"/>
  <c r="I143" i="6"/>
  <c r="J142" i="6"/>
  <c r="I142" i="6"/>
  <c r="J141" i="6"/>
  <c r="I141" i="6"/>
  <c r="J140" i="6"/>
  <c r="I140" i="6"/>
  <c r="J139" i="6"/>
  <c r="I139" i="6"/>
  <c r="J138" i="6"/>
  <c r="I138" i="6"/>
  <c r="J137" i="6"/>
  <c r="I137" i="6"/>
  <c r="J136" i="6"/>
  <c r="I136" i="6"/>
  <c r="J135" i="6"/>
  <c r="I135" i="6"/>
  <c r="J134" i="6"/>
  <c r="I134" i="6"/>
  <c r="J133" i="6"/>
  <c r="I133" i="6"/>
  <c r="J132" i="6"/>
  <c r="I132" i="6"/>
  <c r="J131" i="6"/>
  <c r="I131" i="6"/>
  <c r="J129" i="6"/>
  <c r="I129" i="6"/>
  <c r="J128" i="6"/>
  <c r="I128" i="6"/>
  <c r="J127" i="6"/>
  <c r="I127" i="6"/>
  <c r="J126" i="6"/>
  <c r="I126" i="6"/>
  <c r="J125" i="6"/>
  <c r="I125" i="6"/>
  <c r="J124" i="6"/>
  <c r="I124" i="6"/>
  <c r="J121" i="6"/>
  <c r="I121" i="6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J113" i="6"/>
  <c r="I113" i="6"/>
  <c r="J112" i="6"/>
  <c r="I112" i="6"/>
  <c r="J111" i="6"/>
  <c r="I111" i="6"/>
  <c r="J110" i="6"/>
  <c r="I110" i="6"/>
  <c r="J109" i="6"/>
  <c r="I109" i="6"/>
  <c r="J108" i="6"/>
  <c r="I108" i="6"/>
  <c r="J107" i="6"/>
  <c r="I107" i="6"/>
  <c r="J106" i="6"/>
  <c r="I106" i="6"/>
  <c r="J105" i="6"/>
  <c r="I105" i="6"/>
  <c r="J104" i="6"/>
  <c r="I104" i="6"/>
  <c r="J103" i="6"/>
  <c r="I103" i="6"/>
  <c r="J102" i="6"/>
  <c r="I102" i="6"/>
  <c r="J101" i="6"/>
  <c r="I101" i="6"/>
  <c r="J100" i="6"/>
  <c r="I100" i="6"/>
  <c r="J99" i="6"/>
  <c r="I99" i="6"/>
  <c r="J98" i="6"/>
  <c r="I98" i="6"/>
  <c r="J97" i="6"/>
  <c r="I97" i="6"/>
  <c r="J96" i="6"/>
  <c r="I96" i="6"/>
  <c r="J95" i="6"/>
  <c r="I95" i="6"/>
  <c r="J94" i="6"/>
  <c r="I94" i="6"/>
  <c r="J93" i="6"/>
  <c r="I93" i="6"/>
  <c r="J92" i="6"/>
  <c r="I92" i="6"/>
  <c r="J91" i="6"/>
  <c r="I91" i="6"/>
  <c r="J90" i="6"/>
  <c r="I90" i="6"/>
  <c r="J89" i="6"/>
  <c r="I89" i="6"/>
  <c r="J88" i="6"/>
  <c r="I88" i="6"/>
  <c r="J87" i="6"/>
  <c r="I87" i="6"/>
  <c r="J86" i="6"/>
  <c r="I86" i="6"/>
  <c r="J83" i="6"/>
  <c r="I83" i="6"/>
  <c r="J82" i="6"/>
  <c r="I82" i="6"/>
  <c r="J81" i="6"/>
  <c r="I81" i="6"/>
  <c r="J80" i="6"/>
  <c r="I80" i="6"/>
  <c r="J79" i="6"/>
  <c r="I79" i="6"/>
  <c r="J78" i="6"/>
  <c r="I78" i="6"/>
  <c r="J77" i="6"/>
  <c r="I77" i="6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I5" i="6"/>
  <c r="J4" i="6"/>
  <c r="I4" i="6"/>
  <c r="J3" i="6"/>
  <c r="I3" i="6"/>
  <c r="J2" i="6"/>
  <c r="I2" i="6"/>
  <c r="B1" i="12"/>
  <c r="AI8" i="16" l="1"/>
  <c r="S967" i="1"/>
  <c r="S2107" i="1"/>
  <c r="S1891" i="1"/>
  <c r="S1756" i="1"/>
  <c r="S1190" i="1"/>
  <c r="S1507" i="1"/>
  <c r="S910" i="1"/>
  <c r="S1183" i="1"/>
  <c r="S748" i="1"/>
  <c r="S902" i="1"/>
  <c r="S330" i="1"/>
  <c r="S287" i="1"/>
  <c r="S1907" i="1"/>
  <c r="S1589" i="1"/>
  <c r="S1179" i="1"/>
  <c r="S2066" i="1"/>
  <c r="S383" i="1"/>
  <c r="S708" i="1"/>
  <c r="S2071" i="1"/>
  <c r="S169" i="1"/>
  <c r="S2053" i="1"/>
  <c r="S623" i="1"/>
  <c r="S540" i="1"/>
  <c r="S541" i="1"/>
  <c r="S1027" i="1"/>
  <c r="S595" i="1"/>
  <c r="S571" i="1"/>
  <c r="S1436" i="1"/>
  <c r="S1511" i="1"/>
  <c r="S1943" i="1"/>
  <c r="S1484" i="1"/>
  <c r="S1451" i="1"/>
  <c r="S2056" i="1"/>
  <c r="S822" i="1"/>
  <c r="S721" i="1"/>
  <c r="S1830" i="1"/>
  <c r="S1771" i="1"/>
  <c r="S1517" i="1"/>
  <c r="S1259" i="1"/>
  <c r="S1928" i="1"/>
  <c r="S1386" i="1"/>
  <c r="S843" i="1"/>
  <c r="S1752" i="1"/>
  <c r="S380" i="1"/>
  <c r="S1033" i="1"/>
  <c r="S877" i="1"/>
  <c r="S161" i="1"/>
  <c r="S246" i="1"/>
  <c r="S1749" i="1"/>
  <c r="S2065" i="1"/>
  <c r="S706" i="1"/>
  <c r="S828" i="1"/>
  <c r="S1310" i="1"/>
  <c r="S701" i="1"/>
  <c r="S578" i="1"/>
  <c r="S471" i="1"/>
  <c r="S1024" i="1"/>
  <c r="S1960" i="1"/>
  <c r="S568" i="1"/>
  <c r="S848" i="1"/>
  <c r="S457" i="1"/>
  <c r="S539" i="1"/>
  <c r="S963" i="1"/>
  <c r="S1494" i="1"/>
  <c r="S1352" i="1"/>
  <c r="S1379" i="1"/>
  <c r="S489" i="1"/>
  <c r="S955" i="1"/>
  <c r="S189" i="1"/>
  <c r="S205" i="1"/>
  <c r="S1819" i="1"/>
  <c r="S1961" i="1"/>
  <c r="S429" i="1"/>
  <c r="S316" i="1"/>
  <c r="S417" i="1"/>
  <c r="S678" i="1"/>
  <c r="S809" i="1"/>
  <c r="S456" i="1"/>
  <c r="S514" i="1"/>
  <c r="S483" i="1"/>
  <c r="S1029" i="1"/>
  <c r="S391" i="1"/>
  <c r="S163" i="1"/>
  <c r="S647" i="1"/>
  <c r="S606" i="1"/>
  <c r="S260" i="1"/>
  <c r="S1620" i="1"/>
  <c r="S1155" i="1"/>
  <c r="S168" i="1"/>
  <c r="S681" i="1"/>
  <c r="S1611" i="1"/>
  <c r="S2073" i="1"/>
  <c r="S1063" i="1"/>
  <c r="S2047" i="1"/>
  <c r="S2092" i="1"/>
  <c r="S2081" i="1"/>
  <c r="S2033" i="1"/>
  <c r="S971" i="1"/>
  <c r="S1639" i="1"/>
  <c r="S1822" i="1"/>
  <c r="S2078" i="1"/>
  <c r="S1288" i="1"/>
  <c r="S918" i="1"/>
  <c r="S1289" i="1"/>
  <c r="S734" i="1"/>
  <c r="S291" i="1"/>
  <c r="S833" i="1"/>
  <c r="S693" i="1"/>
  <c r="S1239" i="1"/>
  <c r="S1438" i="1"/>
  <c r="S1491" i="1"/>
  <c r="S659" i="1"/>
  <c r="S664" i="1"/>
  <c r="S720" i="1"/>
  <c r="S1017" i="1"/>
  <c r="AH8" i="16"/>
  <c r="S2020" i="1"/>
  <c r="S216" i="1"/>
  <c r="S624" i="1"/>
  <c r="S1216" i="1"/>
  <c r="S968" i="1"/>
  <c r="S616" i="1"/>
  <c r="S904" i="1"/>
  <c r="S529" i="1"/>
  <c r="S1612" i="1"/>
  <c r="S1036" i="1"/>
  <c r="S513" i="1"/>
  <c r="S1242" i="1"/>
  <c r="S416" i="1"/>
  <c r="S538" i="1"/>
  <c r="S432" i="1"/>
  <c r="S1266" i="1"/>
  <c r="S615" i="1"/>
  <c r="S1355" i="1"/>
  <c r="S1676" i="1"/>
  <c r="S1942" i="1"/>
  <c r="S1530" i="1"/>
  <c r="S594" i="1"/>
  <c r="S1951" i="1"/>
  <c r="S1700" i="1"/>
  <c r="S1126" i="1"/>
  <c r="S188" i="1"/>
  <c r="S204" i="1"/>
  <c r="S566" i="1"/>
  <c r="S1506" i="1"/>
  <c r="S1634" i="1"/>
  <c r="S40" i="1"/>
  <c r="S450" i="1"/>
  <c r="S2031" i="1"/>
  <c r="S1966" i="1"/>
  <c r="S646" i="1"/>
  <c r="S482" i="1"/>
  <c r="S897" i="1"/>
  <c r="S542" i="1"/>
  <c r="S68" i="1"/>
  <c r="S1263" i="1"/>
  <c r="S129" i="1"/>
  <c r="S1843" i="1"/>
  <c r="S1411" i="1"/>
  <c r="S1025" i="1"/>
  <c r="S1351" i="1"/>
  <c r="S962" i="1"/>
  <c r="S357" i="1"/>
  <c r="S767" i="1"/>
  <c r="S954" i="1"/>
  <c r="S428" i="1"/>
  <c r="AG8" i="16"/>
  <c r="S477" i="1"/>
  <c r="S1818" i="1"/>
  <c r="S1422" i="1"/>
  <c r="S816" i="1"/>
  <c r="S819" i="1"/>
  <c r="S1308" i="1"/>
  <c r="S1552" i="1"/>
  <c r="S1461" i="1"/>
  <c r="S1515" i="1"/>
  <c r="S719" i="1"/>
  <c r="S556" i="1"/>
  <c r="S2043" i="1"/>
  <c r="S718" i="1"/>
  <c r="S1514" i="1"/>
  <c r="S1412" i="1"/>
  <c r="S1662" i="1"/>
  <c r="S2050" i="1"/>
  <c r="S707" i="1"/>
  <c r="S124" i="1"/>
  <c r="S1685" i="1"/>
  <c r="S1207" i="1"/>
  <c r="S1570" i="1"/>
  <c r="S484" i="1"/>
  <c r="S564" i="1"/>
  <c r="S1050" i="1"/>
  <c r="S583" i="1"/>
  <c r="S675" i="1"/>
  <c r="S1421" i="1"/>
  <c r="S1137" i="1"/>
  <c r="S1888" i="1"/>
  <c r="S174" i="1"/>
  <c r="S579" i="1"/>
  <c r="S1730" i="1"/>
  <c r="S1578" i="1"/>
  <c r="S2022" i="1"/>
  <c r="S1871" i="1"/>
  <c r="S1394" i="1"/>
  <c r="S837" i="1"/>
  <c r="S495" i="1"/>
  <c r="S1219" i="1"/>
  <c r="S1128" i="1"/>
  <c r="S711" i="1"/>
  <c r="S1389" i="1"/>
  <c r="S970" i="1"/>
  <c r="S766" i="1"/>
  <c r="S1884" i="1"/>
  <c r="S441" i="1"/>
  <c r="S53" i="1"/>
  <c r="S430" i="1"/>
  <c r="S1832" i="1"/>
  <c r="S1678" i="1"/>
  <c r="S1012" i="1"/>
  <c r="S747" i="1"/>
  <c r="S241" i="1"/>
  <c r="S292" i="1"/>
  <c r="S306" i="1"/>
  <c r="S121" i="1"/>
  <c r="S122" i="1"/>
  <c r="S120" i="1"/>
  <c r="S333" i="1"/>
  <c r="S1324" i="1"/>
  <c r="S642" i="1"/>
  <c r="S493" i="1"/>
  <c r="S1973" i="1"/>
  <c r="S2032" i="1"/>
  <c r="S240" i="1"/>
  <c r="S1723" i="1"/>
  <c r="S686" i="1"/>
  <c r="S64" i="1"/>
  <c r="S1159" i="1"/>
  <c r="S852" i="1"/>
  <c r="S1466" i="1"/>
  <c r="S1391" i="1"/>
  <c r="S820" i="1"/>
  <c r="S1689" i="1"/>
  <c r="S692" i="1"/>
  <c r="S1493" i="1"/>
  <c r="S1278" i="1"/>
  <c r="S1518" i="1"/>
  <c r="S1716" i="1"/>
  <c r="S500" i="1"/>
  <c r="S1825" i="1"/>
  <c r="S1020" i="1"/>
  <c r="S1846" i="1"/>
  <c r="S536" i="1"/>
  <c r="S763" i="1"/>
  <c r="S570" i="1"/>
  <c r="S1430" i="1"/>
  <c r="S156" i="1"/>
  <c r="S2075" i="1"/>
  <c r="S144" i="1"/>
  <c r="S632" i="1"/>
  <c r="S2106" i="1"/>
  <c r="S839" i="1"/>
  <c r="S259" i="1"/>
  <c r="S410" i="1"/>
  <c r="S187" i="1"/>
  <c r="S2012" i="1"/>
  <c r="S203" i="1"/>
  <c r="S476" i="1"/>
  <c r="S1699" i="1"/>
  <c r="S788" i="1"/>
  <c r="S1139" i="1"/>
  <c r="S1218" i="1"/>
  <c r="S1197" i="1"/>
  <c r="S922" i="1"/>
  <c r="S348" i="1"/>
  <c r="S1773" i="1"/>
  <c r="S691" i="1"/>
  <c r="S1562" i="1"/>
  <c r="S1845" i="1"/>
  <c r="S1230" i="1"/>
  <c r="S93" i="1"/>
  <c r="S1434" i="1"/>
  <c r="S2002" i="1"/>
  <c r="S1608" i="1"/>
  <c r="S648" i="1"/>
  <c r="S1879" i="1"/>
  <c r="S779" i="1"/>
  <c r="S1962" i="1"/>
  <c r="S1906" i="1"/>
  <c r="S1959" i="1"/>
  <c r="S1280" i="1"/>
  <c r="S787" i="1"/>
  <c r="S1299" i="1"/>
  <c r="S743" i="1"/>
  <c r="S2057" i="1"/>
  <c r="S1044" i="1"/>
  <c r="S1711" i="1"/>
  <c r="S1950" i="1"/>
  <c r="S1842" i="1"/>
  <c r="S1482" i="1"/>
  <c r="S1805" i="1"/>
  <c r="S1895" i="1"/>
  <c r="S667" i="1"/>
  <c r="S427" i="1"/>
  <c r="S1817" i="1"/>
  <c r="S69" i="1"/>
  <c r="S426" i="1"/>
  <c r="AF8" i="16"/>
  <c r="S1122" i="1"/>
  <c r="S118" i="1"/>
  <c r="S99" i="1"/>
  <c r="S759" i="1"/>
  <c r="S116" i="1"/>
  <c r="S193" i="1"/>
  <c r="S643" i="1"/>
  <c r="S119" i="1"/>
  <c r="S555" i="1"/>
  <c r="S2037" i="1"/>
  <c r="S1316" i="1"/>
  <c r="S712" i="1"/>
  <c r="S1643" i="1"/>
  <c r="S1674" i="1"/>
  <c r="S1577" i="1"/>
  <c r="S1731" i="1"/>
  <c r="S1599" i="1"/>
  <c r="S1866" i="1"/>
  <c r="S2084" i="1"/>
  <c r="S1233" i="1"/>
  <c r="S1953" i="1"/>
  <c r="S1119" i="1"/>
  <c r="S115" i="1"/>
  <c r="S1887" i="1"/>
  <c r="S1698" i="1"/>
  <c r="S502" i="1"/>
  <c r="S497" i="1"/>
  <c r="S1194" i="1"/>
  <c r="S117" i="1"/>
  <c r="S512" i="1"/>
  <c r="AE17" i="16"/>
  <c r="S186" i="1"/>
  <c r="S202" i="1"/>
  <c r="S459" i="1"/>
  <c r="S1359" i="1"/>
  <c r="S466" i="1"/>
  <c r="S1153" i="1"/>
  <c r="S1601" i="1"/>
  <c r="S275" i="1"/>
  <c r="S1129" i="1"/>
  <c r="S1480" i="1"/>
  <c r="S946" i="1"/>
  <c r="S1913" i="1"/>
  <c r="S1032" i="1"/>
  <c r="S1292" i="1"/>
  <c r="S1281" i="1"/>
  <c r="S1564" i="1"/>
  <c r="S125" i="1"/>
  <c r="S1378" i="1"/>
  <c r="S853" i="1"/>
  <c r="S1019" i="1"/>
  <c r="S1675" i="1"/>
  <c r="S1260" i="1"/>
  <c r="S1753" i="1"/>
  <c r="S1557" i="1"/>
  <c r="S1474" i="1"/>
  <c r="S860" i="1"/>
  <c r="S953" i="1"/>
  <c r="S961" i="1"/>
  <c r="S1901" i="1"/>
  <c r="S865" i="1"/>
  <c r="S1851" i="1"/>
  <c r="S1949" i="1"/>
  <c r="S1117" i="1"/>
  <c r="S243" i="1"/>
  <c r="S488" i="1"/>
  <c r="S137" i="1"/>
  <c r="S1841" i="1"/>
  <c r="S1043" i="1"/>
  <c r="S666" i="1"/>
  <c r="S149" i="1"/>
  <c r="S35" i="1"/>
  <c r="S1821" i="1"/>
  <c r="AE8" i="16"/>
  <c r="S438" i="1"/>
  <c r="S46" i="1"/>
  <c r="S1863" i="1"/>
  <c r="S237" i="1"/>
  <c r="S239" i="1"/>
  <c r="S2014" i="1"/>
  <c r="S1138" i="1"/>
  <c r="S451" i="1"/>
  <c r="S817" i="1"/>
  <c r="S560" i="1"/>
  <c r="S1558" i="1"/>
  <c r="S1388" i="1"/>
  <c r="S267" i="1"/>
  <c r="S1059" i="1"/>
  <c r="S1011" i="1"/>
  <c r="S672" i="1"/>
  <c r="S2076" i="1"/>
  <c r="S1392" i="1"/>
  <c r="S143" i="1"/>
  <c r="S1555" i="1"/>
  <c r="S139" i="1"/>
  <c r="S72" i="1"/>
  <c r="S1573" i="1"/>
  <c r="S1735" i="1"/>
  <c r="S945" i="1"/>
  <c r="S1933" i="1"/>
  <c r="S794" i="1"/>
  <c r="S1542" i="1"/>
  <c r="S1697" i="1"/>
  <c r="S1189" i="1"/>
  <c r="S301" i="1"/>
  <c r="S1798" i="1"/>
  <c r="S1294" i="1"/>
  <c r="S769" i="1"/>
  <c r="S1739" i="1"/>
  <c r="S1331" i="1"/>
  <c r="S244" i="1"/>
  <c r="S1537" i="1"/>
  <c r="S285" i="1"/>
  <c r="S1001" i="1"/>
  <c r="S71" i="1"/>
  <c r="S1211" i="1"/>
  <c r="S755" i="1"/>
  <c r="S599" i="1"/>
  <c r="S356" i="1"/>
  <c r="S1473" i="1"/>
  <c r="S1377" i="1"/>
  <c r="S1397" i="1"/>
  <c r="S496" i="1"/>
  <c r="S760" i="1"/>
  <c r="S273" i="1"/>
  <c r="S1313" i="1"/>
  <c r="S2046" i="1"/>
  <c r="S185" i="1"/>
  <c r="S201" i="1"/>
  <c r="S1964" i="1"/>
  <c r="S1594" i="1"/>
  <c r="S960" i="1"/>
  <c r="S1738" i="1"/>
  <c r="S1663" i="1"/>
  <c r="S952" i="1"/>
  <c r="S472" i="1"/>
  <c r="S773" i="1"/>
  <c r="S171" i="1"/>
  <c r="S1638" i="1"/>
  <c r="S219" i="1"/>
  <c r="S114" i="1"/>
  <c r="S191" i="1"/>
  <c r="S408" i="1"/>
  <c r="S1301" i="1"/>
  <c r="S993" i="1"/>
  <c r="S473" i="1"/>
  <c r="S1273" i="1"/>
  <c r="S1142" i="1"/>
  <c r="S1840" i="1"/>
  <c r="S1042" i="1"/>
  <c r="S153" i="1"/>
  <c r="S1948" i="1"/>
  <c r="S140" i="1"/>
  <c r="S1226" i="1"/>
  <c r="S487" i="1"/>
  <c r="S2094" i="1"/>
  <c r="S349" i="1"/>
  <c r="S830" i="1"/>
  <c r="S786" i="1"/>
  <c r="S425" i="1"/>
  <c r="S665" i="1"/>
  <c r="S1820" i="1"/>
  <c r="S682" i="1"/>
  <c r="S1571" i="1"/>
  <c r="S468" i="1"/>
  <c r="S453" i="1"/>
  <c r="S804" i="1"/>
  <c r="S70" i="1"/>
  <c r="S220" i="1"/>
  <c r="S2013" i="1"/>
  <c r="S892" i="1"/>
  <c r="S919" i="1"/>
  <c r="S1980" i="1"/>
  <c r="S1867" i="1"/>
  <c r="S138" i="1"/>
  <c r="S996" i="1"/>
  <c r="S1761" i="1"/>
  <c r="S1208" i="1"/>
  <c r="S94" i="1"/>
  <c r="S1816" i="1"/>
  <c r="S1166" i="1"/>
  <c r="S1567" i="1"/>
  <c r="S1031" i="1"/>
  <c r="S880" i="1"/>
  <c r="S772" i="1"/>
  <c r="S1970" i="1"/>
  <c r="S192" i="1"/>
  <c r="S1419" i="1"/>
  <c r="S215" i="1"/>
  <c r="S113" i="1"/>
  <c r="S1549" i="1"/>
  <c r="S331" i="1"/>
  <c r="S1593" i="1"/>
  <c r="S1946" i="1"/>
  <c r="S1072" i="1"/>
  <c r="S1696" i="1"/>
  <c r="S2059" i="1"/>
  <c r="S2087" i="1"/>
  <c r="S944" i="1"/>
  <c r="S1952" i="1"/>
  <c r="S791" i="1"/>
  <c r="S251" i="1"/>
  <c r="S393" i="1"/>
  <c r="S992" i="1"/>
  <c r="S433" i="1"/>
  <c r="S1402" i="1"/>
  <c r="S1729" i="1"/>
  <c r="S442" i="1"/>
  <c r="S1457" i="1"/>
  <c r="S1590" i="1"/>
  <c r="S11" i="1"/>
  <c r="S1931" i="1"/>
  <c r="S1300" i="1"/>
  <c r="S1576" i="1"/>
  <c r="S1859" i="1"/>
  <c r="S1877" i="1"/>
  <c r="S1442" i="1"/>
  <c r="S145" i="1"/>
  <c r="S172" i="1"/>
  <c r="S1586" i="1"/>
  <c r="S323" i="1"/>
  <c r="S1250" i="1"/>
  <c r="S336" i="1"/>
  <c r="S899" i="1"/>
  <c r="S1052" i="1"/>
  <c r="S1376" i="1"/>
  <c r="S177" i="1"/>
  <c r="S1336" i="1"/>
  <c r="S927" i="1"/>
  <c r="S951" i="1"/>
  <c r="S959" i="1"/>
  <c r="S200" i="1"/>
  <c r="S184" i="1"/>
  <c r="AD8" i="16"/>
  <c r="S1930" i="1"/>
  <c r="S1702" i="1"/>
  <c r="S2105" i="1"/>
  <c r="S1929" i="1"/>
  <c r="S597" i="1"/>
  <c r="S803" i="1"/>
  <c r="S572" i="1"/>
  <c r="S1016" i="1"/>
  <c r="S375" i="1"/>
  <c r="S1146" i="1"/>
  <c r="S619" i="1"/>
  <c r="S965" i="1"/>
  <c r="S1041" i="1"/>
  <c r="S290" i="1"/>
  <c r="S1839" i="1"/>
  <c r="S486" i="1"/>
  <c r="S327" i="1"/>
  <c r="S1947" i="1"/>
  <c r="S424" i="1"/>
  <c r="S2086" i="1"/>
  <c r="S629" i="1"/>
  <c r="S2004" i="1"/>
  <c r="S1815" i="1"/>
  <c r="S1632" i="1"/>
  <c r="S1235" i="1"/>
  <c r="AB8" i="16"/>
  <c r="S335" i="1"/>
  <c r="S722" i="1"/>
  <c r="S879" i="1"/>
  <c r="S1495" i="1"/>
  <c r="S1713" i="1"/>
  <c r="S1565" i="1"/>
  <c r="S907" i="1"/>
  <c r="S1368" i="1"/>
  <c r="S353" i="1"/>
  <c r="S346" i="1"/>
  <c r="S846" i="1"/>
  <c r="S1450" i="1"/>
  <c r="S1330" i="1"/>
  <c r="S411" i="1"/>
  <c r="S1110" i="1"/>
  <c r="S1227" i="1"/>
  <c r="S1262" i="1"/>
  <c r="S1152" i="1"/>
  <c r="S621" i="1"/>
  <c r="S845" i="1"/>
  <c r="S1252" i="1"/>
  <c r="S622" i="1"/>
  <c r="S1213" i="1"/>
  <c r="R8" i="16"/>
  <c r="H8" i="16"/>
  <c r="S8" i="16"/>
  <c r="C8" i="16"/>
  <c r="E8" i="16"/>
  <c r="I8" i="16"/>
  <c r="D8" i="16"/>
  <c r="U8" i="16"/>
  <c r="J8" i="16"/>
  <c r="B8" i="16"/>
  <c r="Z8" i="16"/>
  <c r="N8" i="16"/>
  <c r="Q8" i="16"/>
  <c r="V8" i="16"/>
  <c r="O8" i="16"/>
  <c r="X8" i="16"/>
  <c r="K8" i="16"/>
  <c r="AC8" i="16"/>
  <c r="F8" i="16"/>
  <c r="G8" i="16"/>
  <c r="P8" i="16"/>
  <c r="T8" i="16"/>
  <c r="M8" i="16"/>
  <c r="Y8" i="16"/>
  <c r="W8" i="16"/>
  <c r="AA8" i="16"/>
  <c r="L8" i="16"/>
  <c r="S1360" i="1"/>
  <c r="S293" i="1"/>
  <c r="S464" i="1"/>
  <c r="S463" i="1"/>
  <c r="S1975" i="1"/>
  <c r="S662" i="1"/>
  <c r="S1423" i="1"/>
  <c r="S796" i="1"/>
  <c r="S18" i="1"/>
  <c r="S112" i="1"/>
  <c r="S255" i="1"/>
  <c r="S991" i="1"/>
  <c r="S298" i="1"/>
  <c r="S812" i="1"/>
  <c r="S272" i="1"/>
  <c r="S1838" i="1"/>
  <c r="S567" i="1"/>
  <c r="S1801" i="1"/>
  <c r="S1035" i="1"/>
  <c r="S1404" i="1"/>
  <c r="S247" i="1"/>
  <c r="S2095" i="1"/>
  <c r="S1758" i="1"/>
  <c r="S250" i="1"/>
  <c r="S1481" i="1"/>
  <c r="S1710" i="1"/>
  <c r="S1167" i="1"/>
  <c r="S89" i="1"/>
  <c r="S134" i="1"/>
  <c r="S1476" i="1"/>
  <c r="S1926" i="1"/>
  <c r="S1760" i="1"/>
  <c r="S2027" i="1"/>
  <c r="S2091" i="1"/>
  <c r="S1371" i="1"/>
  <c r="S1769" i="1"/>
  <c r="S2001" i="1"/>
  <c r="S475" i="1"/>
  <c r="S51" i="1"/>
  <c r="S1668" i="1"/>
  <c r="S531" i="1"/>
  <c r="S1591" i="1"/>
  <c r="S851" i="1"/>
  <c r="S1465" i="1"/>
  <c r="S91" i="1"/>
  <c r="S1040" i="1"/>
  <c r="S958" i="1"/>
  <c r="S950" i="1"/>
  <c r="S423" i="1"/>
  <c r="S1441" i="1"/>
  <c r="S609" i="1"/>
  <c r="S2096" i="1"/>
  <c r="S1852" i="1"/>
  <c r="S640" i="1"/>
  <c r="S2054" i="1"/>
  <c r="S225" i="1"/>
  <c r="S652" i="1"/>
  <c r="S2100" i="1"/>
  <c r="S1983" i="1"/>
  <c r="S1680" i="1"/>
  <c r="S634" i="1"/>
  <c r="S2026" i="1"/>
  <c r="S173" i="1"/>
  <c r="S827" i="1"/>
  <c r="S1986" i="1"/>
  <c r="S45" i="1"/>
  <c r="J235" i="6"/>
  <c r="I130" i="6"/>
  <c r="I241" i="6"/>
  <c r="J241" i="6"/>
  <c r="I221" i="6"/>
  <c r="I887" i="6"/>
  <c r="H16" i="16" l="1"/>
  <c r="H17" i="16" s="1"/>
  <c r="D16" i="16"/>
  <c r="D17" i="16" s="1"/>
  <c r="K16" i="16"/>
  <c r="K17" i="16" s="1"/>
  <c r="G16" i="16"/>
  <c r="G17" i="16" s="1"/>
  <c r="C16" i="16"/>
  <c r="C17" i="16" s="1"/>
  <c r="J16" i="16"/>
  <c r="J17" i="16" s="1"/>
  <c r="F16" i="16"/>
  <c r="F17" i="16" s="1"/>
  <c r="B16" i="16"/>
  <c r="B17" i="16" s="1"/>
  <c r="I16" i="16"/>
  <c r="I17" i="16" s="1"/>
  <c r="E16" i="16"/>
  <c r="E17" i="16" s="1"/>
  <c r="L16" i="16"/>
  <c r="L17" i="16" s="1"/>
  <c r="M16" i="16"/>
  <c r="M17" i="16" s="1"/>
  <c r="O16" i="16"/>
  <c r="O17" i="16" s="1"/>
  <c r="P16" i="16"/>
  <c r="P17" i="16" s="1"/>
  <c r="Q16" i="16"/>
  <c r="Q17" i="16" s="1"/>
  <c r="S16" i="16"/>
  <c r="S17" i="16" s="1"/>
  <c r="T16" i="16"/>
  <c r="T17" i="16" s="1"/>
  <c r="N16" i="16"/>
  <c r="N17" i="16" s="1"/>
  <c r="R16" i="16"/>
  <c r="R17" i="16" s="1"/>
  <c r="Y16" i="16"/>
  <c r="Z16" i="16"/>
  <c r="Z17" i="16" s="1"/>
  <c r="AA16" i="16"/>
  <c r="AA17" i="16" s="1"/>
  <c r="AD17" i="16"/>
  <c r="AB17" i="16"/>
  <c r="U16" i="16"/>
  <c r="X16" i="16"/>
  <c r="W16" i="16"/>
  <c r="V16" i="16"/>
  <c r="J130" i="6"/>
  <c r="J888" i="6" l="1"/>
  <c r="I888" i="6"/>
  <c r="J840" i="6" l="1"/>
  <c r="I840" i="6"/>
  <c r="J835" i="6" l="1"/>
  <c r="I835" i="6"/>
  <c r="J842" i="6" l="1"/>
  <c r="I842" i="6"/>
  <c r="J834" i="6" l="1"/>
  <c r="I834" i="6"/>
  <c r="J833" i="6" l="1"/>
  <c r="I833" i="6"/>
  <c r="J832" i="6" l="1"/>
  <c r="I832" i="6"/>
  <c r="J827" i="6" l="1"/>
  <c r="I827" i="6"/>
  <c r="J274" i="6"/>
  <c r="I274" i="6"/>
  <c r="J828" i="6"/>
  <c r="I828" i="6"/>
  <c r="J14" i="6" l="1"/>
  <c r="I14" i="6"/>
  <c r="J279" i="6" l="1"/>
  <c r="J43" i="6" l="1"/>
  <c r="I43" i="6"/>
  <c r="J84" i="6"/>
  <c r="I84" i="6"/>
  <c r="J85" i="6" l="1"/>
  <c r="I85" i="6"/>
  <c r="J5" i="6" l="1"/>
  <c r="J276" i="6" l="1"/>
  <c r="I276" i="6"/>
  <c r="J122" i="6" l="1"/>
  <c r="I122" i="6"/>
  <c r="J123" i="6" l="1"/>
  <c r="I123" i="6"/>
  <c r="AC17" i="16" l="1"/>
  <c r="V17" i="16" l="1"/>
  <c r="Y17" i="16"/>
  <c r="U17" i="16"/>
  <c r="X17" i="16"/>
  <c r="W17" i="16"/>
  <c r="I1129" i="6"/>
  <c r="F1129" i="6"/>
  <c r="J1129" i="6"/>
  <c r="F705" i="6"/>
  <c r="F732" i="6"/>
  <c r="AF11" i="16"/>
  <c r="AF9" i="16" s="1"/>
  <c r="U11" i="16"/>
  <c r="U9" i="16" s="1"/>
  <c r="P11" i="16"/>
  <c r="P9" i="16" s="1"/>
  <c r="S11" i="16"/>
  <c r="S9" i="16" s="1"/>
  <c r="Q11" i="16"/>
  <c r="Q9" i="16" s="1"/>
  <c r="R11" i="16"/>
  <c r="R9" i="16" s="1"/>
  <c r="AC11" i="16"/>
  <c r="AC9" i="16" s="1"/>
  <c r="AE11" i="16"/>
  <c r="AE9" i="16" s="1"/>
  <c r="AA11" i="16"/>
  <c r="AA9" i="16" s="1"/>
  <c r="F1131" i="6"/>
  <c r="F634" i="6"/>
  <c r="S12" i="15"/>
  <c r="F1099" i="6"/>
  <c r="F796" i="6"/>
  <c r="F1056" i="6"/>
  <c r="F591" i="6"/>
  <c r="F887" i="6"/>
  <c r="F662" i="6"/>
  <c r="F921" i="6"/>
  <c r="F833" i="6"/>
  <c r="O12" i="15"/>
  <c r="F760" i="6"/>
  <c r="F1026" i="6"/>
  <c r="J591" i="6"/>
  <c r="F642" i="6"/>
  <c r="P12" i="15"/>
  <c r="T12" i="15"/>
  <c r="I591" i="6"/>
  <c r="R12" i="15"/>
  <c r="F958" i="6"/>
  <c r="F995" i="6"/>
  <c r="F592" i="6"/>
  <c r="Q12" i="15"/>
  <c r="N12" i="15"/>
  <c r="F669" i="6"/>
  <c r="P5" i="16"/>
  <c r="T11" i="16"/>
  <c r="T9" i="16" s="1"/>
  <c r="W11" i="16"/>
  <c r="W9" i="16" s="1"/>
  <c r="V11" i="16"/>
  <c r="V9" i="16" s="1"/>
  <c r="X11" i="16"/>
  <c r="X9" i="16" s="1"/>
  <c r="Y11" i="16"/>
  <c r="Y9" i="16" s="1"/>
  <c r="Z11" i="16"/>
  <c r="Z9" i="16" s="1"/>
  <c r="AB11" i="16"/>
  <c r="AB9" i="16" s="1"/>
  <c r="F528" i="6"/>
  <c r="AD11" i="16"/>
  <c r="AD9" i="16" s="1"/>
  <c r="I1161" i="6" l="1"/>
  <c r="F1161" i="6"/>
  <c r="J1161" i="6" l="1"/>
  <c r="AH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4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6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18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0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1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2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CD953C46-6BA2-40EB-A08E-CEF0CC1375F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<sst xmlns="http://schemas.openxmlformats.org/spreadsheetml/2006/main" count="13009" uniqueCount="1835">
  <si>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</si>
  <si>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</si>
  <si>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</si>
  <si>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</si>
  <si>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</si>
  <si>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</si>
  <si>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</si>
  <si>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</si>
  <si>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</si>
  <si>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</si>
  <si>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</si>
  <si>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</si>
  <si>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</si>
  <si>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</si>
  <si>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</si>
  <si>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</si>
  <si>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</si>
  <si>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</si>
  <si>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</si>
  <si>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</si>
  <si>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</si>
  <si>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</si>
  <si>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</si>
  <si>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</si>
  <si>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</si>
  <si>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</si>
  <si>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</si>
  <si>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</si>
  <si>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</si>
  <si>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</si>
  <si>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</si>
  <si>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</si>
  <si>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</si>
  <si>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</si>
  <si>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</si>
  <si>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</si>
  <si>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</si>
  <si>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</si>
  <si>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</si>
  <si>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</si>
  <si>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</si>
  <si>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</si>
  <si>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</si>
  <si>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</si>
  <si>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</si>
  <si>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</si>
  <si>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</si>
  <si>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</si>
  <si>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</si>
  <si>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</si>
  <si>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</si>
  <si>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</si>
  <si>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</si>
  <si>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</si>
  <si>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</si>
  <si>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</si>
  <si>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</si>
  <si>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</si>
  <si>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</si>
  <si>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</si>
  <si>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</si>
  <si>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</si>
  <si>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</si>
  <si>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</si>
  <si>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</si>
  <si>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</si>
  <si>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</si>
  <si>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abono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</si>
  <si>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</si>
  <si>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</si>
  <si>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</si>
  <si>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</si>
  <si>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</si>
  <si>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</si>
  <si>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</si>
  <si>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molinos</t>
  </si>
  <si>
    <t>EMT</t>
  </si>
  <si>
    <t>LOIX</t>
  </si>
  <si>
    <t>ME475523</t>
  </si>
  <si>
    <t>DISUIZA</t>
  </si>
  <si>
    <t>FVX3989</t>
  </si>
  <si>
    <t>CASIO TIENDAS OFICIALES</t>
  </si>
  <si>
    <t>18 -  SI032764 SI033158 SI033271</t>
  </si>
  <si>
    <t>46 - 52880</t>
  </si>
  <si>
    <t>ME477383</t>
  </si>
  <si>
    <t>ME477413</t>
  </si>
  <si>
    <t>MDIS5.040.544</t>
  </si>
  <si>
    <t>MS1525</t>
  </si>
  <si>
    <t>MS1546</t>
  </si>
  <si>
    <t>ME478870</t>
  </si>
  <si>
    <t>ME478484</t>
  </si>
  <si>
    <t>ME478863</t>
  </si>
  <si>
    <t>SG365</t>
  </si>
  <si>
    <t>SG368</t>
  </si>
  <si>
    <t>SG364</t>
  </si>
  <si>
    <t>FVX4580</t>
  </si>
  <si>
    <t>FVX4581</t>
  </si>
  <si>
    <t>24791 MUÑECOS</t>
  </si>
  <si>
    <t>$ CAPITAL</t>
  </si>
  <si>
    <t>SALDO</t>
  </si>
  <si>
    <t>DETALLE</t>
  </si>
  <si>
    <t>PAGO</t>
  </si>
  <si>
    <t>MS1646</t>
  </si>
  <si>
    <t>FE24969</t>
  </si>
  <si>
    <t xml:space="preserve">2160-127620 </t>
  </si>
  <si>
    <t>ME479977</t>
  </si>
  <si>
    <t>GABRIEL JAIME BOTERO ARANGO</t>
  </si>
  <si>
    <t>SUBTOTAL</t>
  </si>
  <si>
    <t>IVA 19%</t>
  </si>
  <si>
    <t>Total</t>
  </si>
  <si>
    <t>Descuento sobre subtotal %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</si>
  <si>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</si>
  <si>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</si>
  <si>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</si>
  <si>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</si>
  <si>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</si>
  <si>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</si>
  <si>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</si>
  <si>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</si>
  <si>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</si>
  <si>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</si>
  <si>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</si>
  <si>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</si>
  <si>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</si>
  <si>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</si>
  <si>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CORREO</t>
  </si>
  <si>
    <t>FLASH - Abajo</t>
  </si>
  <si>
    <t>CUENTA BANCARIA</t>
  </si>
  <si>
    <t>flash - tnr</t>
  </si>
  <si>
    <t>FLASH impuestos - MONTBLANC</t>
  </si>
  <si>
    <t>flash impuestos - tnr</t>
  </si>
  <si>
    <t>new time BRIDGE</t>
  </si>
  <si>
    <t>opelsa - kenex</t>
  </si>
  <si>
    <t>opelsa - powersonic</t>
  </si>
  <si>
    <t>MDIS5.040.592</t>
  </si>
  <si>
    <t>FE25516</t>
  </si>
  <si>
    <t>FE25515</t>
  </si>
  <si>
    <t>flash - CASILLERO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</si>
  <si>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</si>
  <si>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</si>
  <si>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</si>
  <si>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</si>
  <si>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</si>
  <si>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</si>
  <si>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nc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</si>
  <si>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</si>
  <si>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</si>
  <si>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</si>
  <si>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</si>
  <si>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</si>
  <si>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</si>
  <si>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</si>
  <si>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</si>
  <si>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</si>
  <si>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</si>
  <si>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</si>
  <si>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</si>
  <si>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</si>
  <si>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</si>
  <si>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</si>
  <si>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</si>
  <si>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</si>
  <si>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</si>
  <si>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</si>
  <si>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</si>
  <si>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</si>
  <si>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FE26183</t>
  </si>
  <si>
    <t>kbh metering</t>
  </si>
  <si>
    <t>bancolombia ah 91215970731</t>
  </si>
  <si>
    <t>2169-279400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</si>
  <si>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</si>
  <si>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</si>
  <si>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</si>
  <si>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</si>
  <si>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pn</t>
  </si>
  <si>
    <t>SALDO PROVEEDOR</t>
  </si>
  <si>
    <t>Electronicas canare</t>
  </si>
  <si>
    <t>BANCOLOMBIA AHORROS 10352314124</t>
  </si>
  <si>
    <t>pse</t>
  </si>
  <si>
    <t>nc 493</t>
  </si>
  <si>
    <t>nc 1001691</t>
  </si>
  <si>
    <t>ME481958</t>
  </si>
  <si>
    <t>ME481967</t>
  </si>
  <si>
    <t>MS1819</t>
  </si>
  <si>
    <t>MDIS5.040.654</t>
  </si>
  <si>
    <t>PV</t>
  </si>
  <si>
    <t>BANCO AGRARIO 6030</t>
  </si>
  <si>
    <t>BANCOLOMBIA 2478</t>
  </si>
  <si>
    <t>BANCOLOMBIA 3103</t>
  </si>
  <si>
    <t xml:space="preserve">BANCOLOMBIA USD$ </t>
  </si>
  <si>
    <t>BANCOLOMBIA USD$ 2555152482</t>
  </si>
  <si>
    <t xml:space="preserve">CAJA SOCIAL </t>
  </si>
  <si>
    <t>DAVIVIENDA *************2613</t>
  </si>
  <si>
    <t>DAVIVIENDA *************5400</t>
  </si>
  <si>
    <t xml:space="preserve">ITAU </t>
  </si>
  <si>
    <t xml:space="preserve">TC6015 </t>
  </si>
  <si>
    <t xml:space="preserve">TC7003 </t>
  </si>
  <si>
    <t xml:space="preserve">TC8338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</si>
  <si>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</si>
  <si>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</si>
  <si>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</si>
  <si>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</si>
  <si>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</si>
  <si>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</si>
  <si>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</si>
  <si>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BANCOLOMBIA USD$ 2555073332</t>
  </si>
  <si>
    <t>BANCOLOMBIA USD$ 2555098242</t>
  </si>
  <si>
    <t>BANCOLOMBIA USD$ 2555115992</t>
  </si>
  <si>
    <t>BANCOLOMBIA USD$ 2555143692</t>
  </si>
  <si>
    <t>PRESTAMO</t>
  </si>
  <si>
    <t>ene-21</t>
  </si>
  <si>
    <t>feb-21</t>
  </si>
  <si>
    <t>nc 170108571</t>
  </si>
  <si>
    <t>liq. Jul 2020</t>
  </si>
  <si>
    <t>2179 - 128121</t>
  </si>
  <si>
    <t>9785 - 280191</t>
  </si>
  <si>
    <t>SAYER - YERMIN</t>
  </si>
  <si>
    <t>WILFER GOMEZ - YERMIN</t>
  </si>
  <si>
    <t>JARLY SAS - JORGE ARREDONDO</t>
  </si>
  <si>
    <t xml:space="preserve">2182 - 280191 </t>
  </si>
  <si>
    <t>FE26806</t>
  </si>
  <si>
    <t>nc 2NBV293</t>
  </si>
  <si>
    <t>FE29</t>
  </si>
  <si>
    <t>FESJ159080</t>
  </si>
  <si>
    <t>nc 2021020062</t>
  </si>
  <si>
    <t>AJUSTE FIN DE MES</t>
  </si>
  <si>
    <t>KENEX POWERSONIC oct 2020</t>
  </si>
  <si>
    <t>MDIS5.040.687</t>
  </si>
  <si>
    <t>FESJ160063</t>
  </si>
  <si>
    <t>ME483894</t>
  </si>
  <si>
    <t>FE28416</t>
  </si>
  <si>
    <t>ME483753</t>
  </si>
  <si>
    <t>fe25362</t>
  </si>
  <si>
    <t>mar-21</t>
  </si>
  <si>
    <t>MS1997</t>
  </si>
  <si>
    <t>intereses no pagados en 2020</t>
  </si>
  <si>
    <t>ajuste de cuentas con fernando</t>
  </si>
  <si>
    <t>FEN5119</t>
  </si>
  <si>
    <t>nc 119714</t>
  </si>
  <si>
    <t xml:space="preserve">Bancolombia AH 102-125 283-78 </t>
  </si>
  <si>
    <t>nc 20440</t>
  </si>
  <si>
    <t>FE1033</t>
  </si>
  <si>
    <t>ME484730</t>
  </si>
  <si>
    <t>ME485080</t>
  </si>
  <si>
    <t>MS2062</t>
  </si>
  <si>
    <t>FE28984</t>
  </si>
  <si>
    <t>FVX6131</t>
  </si>
  <si>
    <t>MDIS5.040.739</t>
  </si>
  <si>
    <t>2198 - 280663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</si>
  <si>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</si>
  <si>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</si>
  <si>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</si>
  <si>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</si>
  <si>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</si>
  <si>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</si>
  <si>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</si>
  <si>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</si>
  <si>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</si>
  <si>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</si>
  <si>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tesoreria@lacentral.com.co;girlesa.ruiz@servipilas.com;joriescobar64@gmail.com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</si>
  <si>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</si>
  <si>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</si>
  <si>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</si>
  <si>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</si>
  <si>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</si>
  <si>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</si>
  <si>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</si>
  <si>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</si>
  <si>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</si>
  <si>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</si>
  <si>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</si>
  <si>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</si>
  <si>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</si>
  <si>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</si>
  <si>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</si>
  <si>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</si>
  <si>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BANCO DE BOGOTÁ cc 071-189-245</t>
  </si>
  <si>
    <t>supervisorventasbridge@gmail.com;newtimewatches1@gmail.com;girlesa.ruiz@servipilas.com;joriescobar64@gmail.com</t>
  </si>
  <si>
    <t>ALEKO</t>
  </si>
  <si>
    <t>nc 1343</t>
  </si>
  <si>
    <t>256 - SO032015</t>
  </si>
  <si>
    <t>SO032015</t>
  </si>
  <si>
    <t>BANCOLOMBIA USD$ 2555170162</t>
  </si>
  <si>
    <t xml:space="preserve"> 5.278.113,67</t>
  </si>
  <si>
    <t>2.397.084,22</t>
  </si>
  <si>
    <t>2.743.726,97</t>
  </si>
  <si>
    <t>SIMH</t>
  </si>
  <si>
    <t>electronicascanaresas@gmail.com;girlesa.ruiz@servipilas.com;joriescobar64@gmail.com</t>
  </si>
  <si>
    <t>facturasimh@simh.com.co;girlesa.ruiz@servipilas.com;joriescobar64@gmail.com</t>
  </si>
  <si>
    <t>SP1764</t>
  </si>
  <si>
    <t>ventas@ismartsas.com;girlesa.ruiz@servipilas.com;joriescobar64@gmail.com</t>
  </si>
  <si>
    <t>Pygimportadora@gmail.com;girlesa.ruiz@servipilas.com;joriescobar64@gmail.com</t>
  </si>
  <si>
    <t>FESJ160887</t>
  </si>
  <si>
    <t>MS2124</t>
  </si>
  <si>
    <t>davivienda cc 456369996909</t>
  </si>
  <si>
    <t xml:space="preserve">11234 - 53922 </t>
  </si>
  <si>
    <t>ME487318</t>
  </si>
  <si>
    <t>ME486747</t>
  </si>
  <si>
    <t>SG531</t>
  </si>
  <si>
    <t>FEN10709</t>
  </si>
  <si>
    <t>ZIONE - Andres Dario Ramirez Aristizabal</t>
  </si>
  <si>
    <t>FEV31350</t>
  </si>
  <si>
    <t>92 - 53922</t>
  </si>
  <si>
    <t>MSL - Somonsing China</t>
  </si>
  <si>
    <t>asistente@mslcorporate.com.co;girlesa.ruiz@servipilas.com;joriescobar64@gmail.com</t>
  </si>
  <si>
    <t>IND Y COMERCIO</t>
  </si>
  <si>
    <t>plan vive girlesa semestre</t>
  </si>
  <si>
    <t>seguro colectivo</t>
  </si>
  <si>
    <t>bog.fa1@pressex.co;bog.fm1@pressex.co;kbaumgartner@pressex.co;girlesa.ruiz@servipilas.com;joriescobar64@gmail.com</t>
  </si>
  <si>
    <t>68 - 9</t>
  </si>
  <si>
    <t>abr-21</t>
  </si>
  <si>
    <t>769 - nc 29</t>
  </si>
  <si>
    <t>L2293</t>
  </si>
  <si>
    <t>O1003</t>
  </si>
  <si>
    <t>MUNDITONNER</t>
  </si>
  <si>
    <t>comercial@munditonner.com.co;girlesa.ruiz@servipilas.com;joriescobar64@gmail.com</t>
  </si>
  <si>
    <t>FE4366</t>
  </si>
  <si>
    <t>20403 NC 247</t>
  </si>
  <si>
    <t>HyR</t>
  </si>
  <si>
    <t>FE 510</t>
  </si>
  <si>
    <t>ME488303</t>
  </si>
  <si>
    <t>ME488470</t>
  </si>
  <si>
    <t>FETU1524</t>
  </si>
  <si>
    <t>MS2273</t>
  </si>
  <si>
    <t>128666 128668</t>
  </si>
  <si>
    <t>Movecargo - Sinoming china</t>
  </si>
  <si>
    <t>judy.torres@movecargo.co;girlesa.ruiz@servipilas.com;joriescobar64@gmail.com</t>
  </si>
  <si>
    <t>FVX4580 - nc 2NV-00001344</t>
  </si>
  <si>
    <t>FVX4580 - nc</t>
  </si>
  <si>
    <t>ME488838</t>
  </si>
  <si>
    <t>MDIS5.040.848</t>
  </si>
  <si>
    <t>Pressex Logistics - tnr</t>
  </si>
  <si>
    <t>ME488303 - NC31889</t>
  </si>
  <si>
    <t xml:space="preserve">asistente@remarcalimitada.com;girlesa.ruiz@servipilas.com;joriescobar64@gmail.com
</t>
  </si>
  <si>
    <t>SP2196</t>
  </si>
  <si>
    <t>MS2348</t>
  </si>
  <si>
    <t>FETU1606</t>
  </si>
  <si>
    <t>MDIS5.040.880</t>
  </si>
  <si>
    <t>MS2396</t>
  </si>
  <si>
    <t>ME490111</t>
  </si>
  <si>
    <t>ME490408</t>
  </si>
  <si>
    <t>ME490110</t>
  </si>
  <si>
    <t>ME490109</t>
  </si>
  <si>
    <t>FEV32778</t>
  </si>
  <si>
    <t>MDIS5.040.901</t>
  </si>
  <si>
    <t>LOGIMEX TNR</t>
  </si>
  <si>
    <t>IMPUESTOS - TNR</t>
  </si>
  <si>
    <t>Pressex Logistics - casillero</t>
  </si>
  <si>
    <t>MS2435</t>
  </si>
  <si>
    <t>ME490748</t>
  </si>
  <si>
    <t>FEF4252</t>
  </si>
  <si>
    <t>Pressex Logistics - montblanc</t>
  </si>
  <si>
    <t>aguadulce - sinming china</t>
  </si>
  <si>
    <t>ME491228</t>
  </si>
  <si>
    <t>ME491231</t>
  </si>
  <si>
    <t>ME491165</t>
  </si>
  <si>
    <t>ME491257</t>
  </si>
  <si>
    <t>FEN15306</t>
  </si>
  <si>
    <t>ME491565</t>
  </si>
  <si>
    <t>ME491944</t>
  </si>
  <si>
    <t>ME491907</t>
  </si>
  <si>
    <t>FEID5127</t>
  </si>
  <si>
    <t>90437 - 114001</t>
  </si>
  <si>
    <t xml:space="preserve">28795 - NC20668 </t>
  </si>
  <si>
    <t>134 - 281564</t>
  </si>
  <si>
    <t>135 - 282538</t>
  </si>
  <si>
    <t>MAXIPILAS</t>
  </si>
  <si>
    <t>MP1131</t>
  </si>
  <si>
    <t>mcastillo@kenextrading.com;agarcia@kenextrading.com;girlesa.ruiz@servipilas.com;joriescobar64@gmail.com</t>
  </si>
  <si>
    <t>may-21</t>
  </si>
  <si>
    <t>jun-21</t>
  </si>
  <si>
    <t>FE357 - 283198</t>
  </si>
  <si>
    <t>BANCOLOMBIA USD$ 2555187392</t>
  </si>
  <si>
    <t>KENEX 53922 abr 21</t>
  </si>
  <si>
    <t>SP2420</t>
  </si>
  <si>
    <t>IMPUESTOS - 283198</t>
  </si>
  <si>
    <t>3391 - 1768</t>
  </si>
  <si>
    <t>MS2638</t>
  </si>
  <si>
    <t>FVX7905</t>
  </si>
  <si>
    <t>para pagar fossil</t>
  </si>
  <si>
    <t>cartera@aerosan.com;girlesa.ruiz@servipilas.com;joriescobar64@gmail.com</t>
  </si>
  <si>
    <t>11368 - 54504</t>
  </si>
  <si>
    <t xml:space="preserve">bancolombia cc 388-991169-88 </t>
  </si>
  <si>
    <t>ME493265</t>
  </si>
  <si>
    <t>FEN17319</t>
  </si>
  <si>
    <t>FVX8036</t>
  </si>
  <si>
    <t>FE8031 - 545054</t>
  </si>
  <si>
    <t>DMARIO</t>
  </si>
  <si>
    <t>FE892</t>
  </si>
  <si>
    <t>MDIS5.040.992</t>
  </si>
  <si>
    <t>MDIS5.040.987</t>
  </si>
  <si>
    <t>MS2757</t>
  </si>
  <si>
    <t>DIAN IVA</t>
  </si>
  <si>
    <t>MDIS5.040.999</t>
  </si>
  <si>
    <t>FE8439 - 129398</t>
  </si>
  <si>
    <t>jul-21</t>
  </si>
  <si>
    <t>1158 NC</t>
  </si>
  <si>
    <t>Pressex courier - casillero</t>
  </si>
  <si>
    <t>Pressex courier - Kenex</t>
  </si>
  <si>
    <t>Pressex courier - montblanc</t>
  </si>
  <si>
    <t>FE283 - 281564</t>
  </si>
  <si>
    <t>SP2638</t>
  </si>
  <si>
    <t>swizzeraux2@gmail.com;girlesa.ruiz@servipilas.com;joriescobar64@gmail.com</t>
  </si>
  <si>
    <t>IMPUESTOS - MONTBLANC</t>
  </si>
  <si>
    <t>LOGIMEX MONTBLANC</t>
  </si>
  <si>
    <t>impuestos - 129398</t>
  </si>
  <si>
    <t>FE2311</t>
  </si>
  <si>
    <t>JORGE ARREDONDO - JARLY SAS</t>
  </si>
  <si>
    <t>PROVECOL</t>
  </si>
  <si>
    <t>SG657</t>
  </si>
  <si>
    <t>SG658</t>
  </si>
  <si>
    <t>MP1281</t>
  </si>
  <si>
    <t>MDIS5.041.013</t>
  </si>
  <si>
    <t>13E215673</t>
  </si>
  <si>
    <t>13E215568</t>
  </si>
  <si>
    <t>149 - 54504</t>
  </si>
  <si>
    <t>142 - 283198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</si>
  <si>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</si>
  <si>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</si>
  <si>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</si>
  <si>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</si>
  <si>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 xml:space="preserve">10174 - 129398 </t>
  </si>
  <si>
    <t>TB PLUS</t>
  </si>
  <si>
    <t>??;girlesa.ruiz@servipilas.com;joriescobar64@gmail.com</t>
  </si>
  <si>
    <t>13E216791</t>
  </si>
  <si>
    <t>FVX8556</t>
  </si>
  <si>
    <t>FEF4320</t>
  </si>
  <si>
    <t>18/8/21 AJUSTE FIN DE MES</t>
  </si>
  <si>
    <t>STEREN</t>
  </si>
  <si>
    <t>MS2902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</si>
  <si>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</si>
  <si>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</si>
  <si>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</si>
  <si>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</si>
  <si>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2174 NC</t>
  </si>
  <si>
    <t>FVX8709</t>
  </si>
  <si>
    <t>FVX8751</t>
  </si>
  <si>
    <t>FEN20269</t>
  </si>
  <si>
    <t>13E210254</t>
  </si>
  <si>
    <t>13E208377</t>
  </si>
  <si>
    <t>13E211147</t>
  </si>
  <si>
    <t>13E211287</t>
  </si>
  <si>
    <t>163 - 129398</t>
  </si>
  <si>
    <t>FE332 - 128666 128668</t>
  </si>
  <si>
    <t>FE328 - 282538</t>
  </si>
  <si>
    <t>COMSISTEL</t>
  </si>
  <si>
    <t>FE3716</t>
  </si>
  <si>
    <t>BANCOLOMBIA corriente + ahorros</t>
  </si>
  <si>
    <t>ago-21</t>
  </si>
  <si>
    <t>ME496997</t>
  </si>
  <si>
    <t>FE8957 - 128666 128668</t>
  </si>
  <si>
    <t>1416 NC 82</t>
  </si>
  <si>
    <t>FEF4320 NC7110</t>
  </si>
  <si>
    <t>FEV37229</t>
  </si>
  <si>
    <t>MDIS5.041.043</t>
  </si>
  <si>
    <t>FVX8860</t>
  </si>
  <si>
    <t>SP2878</t>
  </si>
  <si>
    <t>FEI100040642</t>
  </si>
  <si>
    <t>FEI100040501</t>
  </si>
  <si>
    <t>FEI100040643</t>
  </si>
  <si>
    <t>MARIA MARTHA RAMIREZ ZULUAGA - JORGE ARREDONDO</t>
  </si>
  <si>
    <t>Pressex courier - tnr</t>
  </si>
  <si>
    <t>FEV37505</t>
  </si>
  <si>
    <t>FEV37517</t>
  </si>
  <si>
    <t>FE12509</t>
  </si>
  <si>
    <t>13E217999</t>
  </si>
  <si>
    <t>ALKOMPRAR</t>
  </si>
  <si>
    <t>sep-21</t>
  </si>
  <si>
    <t>ME497815</t>
  </si>
  <si>
    <t>129428 retención</t>
  </si>
  <si>
    <t>FE429 - 284593 284796</t>
  </si>
  <si>
    <t>consignado en la cuenta de daniel escobar</t>
  </si>
  <si>
    <t>FE1632</t>
  </si>
  <si>
    <t>juanzuluaga@ducon.com.co;girlesa.ruiz@servipilas.com;joriescobar64@gmail.com</t>
  </si>
  <si>
    <t>MS3064</t>
  </si>
  <si>
    <t>FE447 - 284978</t>
  </si>
  <si>
    <t>jarlysas@gmail.com;o.clockinternational@gmail.com;girlesa.ruiz@servipilas.com;joriescobar64@gmail.com</t>
  </si>
  <si>
    <t>FEV38500</t>
  </si>
  <si>
    <t xml:space="preserve">Número Documento Aduanero
902020000147352 $698.85
</t>
  </si>
  <si>
    <t>FVX9289</t>
  </si>
  <si>
    <t>FVX9290</t>
  </si>
  <si>
    <t>193 - 284593 284796</t>
  </si>
  <si>
    <t>194 - 284978</t>
  </si>
  <si>
    <t>FEV39104</t>
  </si>
  <si>
    <t>1759 NC 96</t>
  </si>
  <si>
    <t>FE001427</t>
  </si>
  <si>
    <t>BANCOLOMBIA USD$ 2555212532</t>
  </si>
  <si>
    <t>MS3223</t>
  </si>
  <si>
    <t>13E221646</t>
  </si>
  <si>
    <t>13E221255</t>
  </si>
  <si>
    <t>No. E-4345</t>
  </si>
  <si>
    <t>FEV39650</t>
  </si>
  <si>
    <t>FVX7555</t>
  </si>
  <si>
    <t>FVX7905 nc 599</t>
  </si>
  <si>
    <t>FVX8036 nc 599</t>
  </si>
  <si>
    <t>FVX8556 nc 599</t>
  </si>
  <si>
    <t>ME500431</t>
  </si>
  <si>
    <t>ALEX MARINO ENRIQUEZ</t>
  </si>
  <si>
    <t>alexenriquez73.ae@gmail.com;girlesa.ruiz@servipilas.com;joriescobar64@gmail.com;info@servipilas.com</t>
  </si>
  <si>
    <t>CB 102021 - ESE QUIBDO</t>
  </si>
  <si>
    <t>FETU2282</t>
  </si>
  <si>
    <t>FETU2276</t>
  </si>
  <si>
    <t xml:space="preserve">1234 - 285759 </t>
  </si>
  <si>
    <t>financiero@dmariocolombia.com;cartera@dmariocolombia.com.co;girlesa.ruiz@servipilas.com;joriescobar64@gmail.com</t>
  </si>
  <si>
    <t>SP3120</t>
  </si>
  <si>
    <t>aleja-1305agudelo@hotmail.com;provecol@une.net.co;girlesa.ruiz@servipilas.com;joriescobar64@gmail.com</t>
  </si>
  <si>
    <t xml:space="preserve">1236 - 285851 </t>
  </si>
  <si>
    <t>11540 - 55161</t>
  </si>
  <si>
    <t>JYN TECHNOLOGY</t>
  </si>
  <si>
    <t>ventasonline@disantioquia.com.co;girlesa.ruiz@servipilas.com;joriescobar64@gmail.com</t>
  </si>
  <si>
    <t>COEXITO servipilas</t>
  </si>
  <si>
    <t>13E223704</t>
  </si>
  <si>
    <t>COMERCIALIZADORA DEL ESTE</t>
  </si>
  <si>
    <t>13E223209</t>
  </si>
  <si>
    <t>FVX9821</t>
  </si>
  <si>
    <t>1240 -CASILLERO</t>
  </si>
  <si>
    <t>1214 - CASILLERO</t>
  </si>
  <si>
    <t>SP3354</t>
  </si>
  <si>
    <t>jessica.barrios@carpainternacional;girlesa.ruiz@servipilas.com;joriescobar64@gmail.com</t>
  </si>
  <si>
    <t>MS3364</t>
  </si>
  <si>
    <t>oct-21</t>
  </si>
  <si>
    <t>130239 130242</t>
  </si>
  <si>
    <t>216 - 285851</t>
  </si>
  <si>
    <t>858 859 860 861 866 867 869</t>
  </si>
  <si>
    <t>ME501626</t>
  </si>
  <si>
    <t>ME501626 - NC33887</t>
  </si>
  <si>
    <t>1249 - A2013</t>
  </si>
  <si>
    <t>MDIS5.041.165</t>
  </si>
  <si>
    <t>CARPA - CASILLERO</t>
  </si>
  <si>
    <t>CARPA - MONTBLANC</t>
  </si>
  <si>
    <t>CARPA - TNR</t>
  </si>
  <si>
    <t>CIC304 - 130239 130242</t>
  </si>
  <si>
    <t>FE015570</t>
  </si>
  <si>
    <t>1043661 NC 122099</t>
  </si>
  <si>
    <t>FEN30568</t>
  </si>
  <si>
    <t>ME502310</t>
  </si>
  <si>
    <t>ALPHA</t>
  </si>
  <si>
    <t>RELOJES BIYCLOCK</t>
  </si>
  <si>
    <t>SG831</t>
  </si>
  <si>
    <t>FE14570</t>
  </si>
  <si>
    <t>13E226510</t>
  </si>
  <si>
    <t>13E225854</t>
  </si>
  <si>
    <t>SANTA BARBARA DISTRONIK</t>
  </si>
  <si>
    <t>para pagar andres kairos</t>
  </si>
  <si>
    <t>228 - 285759</t>
  </si>
  <si>
    <t>nov-21</t>
  </si>
  <si>
    <t>DESEMBOLSO POR 75,700,687.87  Y COBRARON SEGURO POR 1,478,400</t>
  </si>
  <si>
    <t xml:space="preserve"> bateriasindustrialesbogota2@coexito.com.co;girlesa.ruiz@servipilas.com;joriescobar64@gmail.com</t>
  </si>
  <si>
    <t>MS3505</t>
  </si>
  <si>
    <t>13E227420</t>
  </si>
  <si>
    <t>MDIS5.041.192</t>
  </si>
  <si>
    <t>SP3612</t>
  </si>
  <si>
    <t>ME503622</t>
  </si>
  <si>
    <t>dic-21</t>
  </si>
  <si>
    <t>lpena@tbplusenergy.com;girlesa.ruiz@servipilas.com;joriescobar64@gmail.com</t>
  </si>
  <si>
    <t>FE3231</t>
  </si>
  <si>
    <t>MS3560</t>
  </si>
  <si>
    <t>FETU2562</t>
  </si>
  <si>
    <t>MDIS5.041.202</t>
  </si>
  <si>
    <t>804 - nc 071</t>
  </si>
  <si>
    <t>11640 - 55546</t>
  </si>
  <si>
    <t>ME504135</t>
  </si>
  <si>
    <t>FE4129</t>
  </si>
  <si>
    <t>FVX10571</t>
  </si>
  <si>
    <t>FVX10572</t>
  </si>
  <si>
    <t>1272 - 286942</t>
  </si>
  <si>
    <t>245 - 55546</t>
  </si>
  <si>
    <t>1263 - A2044</t>
  </si>
  <si>
    <t>1277 - A2063</t>
  </si>
  <si>
    <t>1276 - A2063</t>
  </si>
  <si>
    <t>1278 - A2063</t>
  </si>
  <si>
    <t>FEV43134</t>
  </si>
  <si>
    <t>FVX10882</t>
  </si>
  <si>
    <t>FEID12854</t>
  </si>
  <si>
    <t>1282 - A2095</t>
  </si>
  <si>
    <t>FVX9821 NC734</t>
  </si>
  <si>
    <t>873+875+878</t>
  </si>
  <si>
    <t>SP3862</t>
  </si>
  <si>
    <t>SI056191</t>
  </si>
  <si>
    <t>SI054623</t>
  </si>
  <si>
    <t>seguro vida jorge girlesa</t>
  </si>
  <si>
    <t>salud prepagada jorge girlesa</t>
  </si>
  <si>
    <t>FESJ171529</t>
  </si>
  <si>
    <t>FESJ161946</t>
  </si>
  <si>
    <t>NC10354</t>
  </si>
  <si>
    <t>FESJ163560</t>
  </si>
  <si>
    <t>NC10724</t>
  </si>
  <si>
    <t>FESJ164747</t>
  </si>
  <si>
    <t>FESJ166091</t>
  </si>
  <si>
    <t>FESJ166648</t>
  </si>
  <si>
    <t>FESJ168686</t>
  </si>
  <si>
    <t>FESJ169123</t>
  </si>
  <si>
    <t>FESJ170348</t>
  </si>
  <si>
    <t>NC2021060073</t>
  </si>
  <si>
    <t>NC2021060073 reteF</t>
  </si>
  <si>
    <t>sd</t>
  </si>
  <si>
    <t>lc</t>
  </si>
  <si>
    <t>ml</t>
  </si>
  <si>
    <t>my</t>
  </si>
  <si>
    <t>CARPA - POWERSONIC</t>
  </si>
  <si>
    <t>1295 - SI054623 SI056191</t>
  </si>
  <si>
    <t>NC</t>
  </si>
  <si>
    <t>192 NC</t>
  </si>
  <si>
    <t>ene-22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</si>
  <si>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</si>
  <si>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</si>
  <si>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</si>
  <si>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</si>
  <si>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</si>
  <si>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282 - SI054623 SI056191</t>
  </si>
  <si>
    <t>carloseuristika@hotmail.com;girlesa.ruiz@servipilas.com;joriescobar64@gmail.com</t>
  </si>
  <si>
    <t>BANCOLOMBIA USD$ 2555235952</t>
  </si>
  <si>
    <t>dotaciones.ohana.eu@gmail.com;girlesa.ruiz@servipilas.com;joriescobar64@gmail.com</t>
  </si>
  <si>
    <t>uniformes</t>
  </si>
  <si>
    <t>SI054623 SI056191</t>
  </si>
  <si>
    <t>LOGIMEX POWERSONIC</t>
  </si>
  <si>
    <t>03MS3779</t>
  </si>
  <si>
    <t>03MS3718</t>
  </si>
  <si>
    <t>FE16558</t>
  </si>
  <si>
    <t>FE016093</t>
  </si>
  <si>
    <t>FESJ172676</t>
  </si>
  <si>
    <t>Abajo A TU MANO</t>
  </si>
  <si>
    <t>variedades.sfg@gmail.com;girlesa.ruiz@servipilas.com;joriescobar64@gmail.com</t>
  </si>
  <si>
    <t>Abajo ADRIANA ARISTIZABAL</t>
  </si>
  <si>
    <t>Abajo ALEKO</t>
  </si>
  <si>
    <t>Abajo ALEX DAVAL</t>
  </si>
  <si>
    <t>Abajo ALIEXPRESS</t>
  </si>
  <si>
    <t>Abajo ANDREA RAMIREZ</t>
  </si>
  <si>
    <t>Abajo audifonos</t>
  </si>
  <si>
    <t>Abajo AURELIO PILAS</t>
  </si>
  <si>
    <t>a2184</t>
  </si>
  <si>
    <t>jessica.barios.com@carpainternacional;girlesa.ruiz@servipilas.com;joriescobar64@gmail.com</t>
  </si>
  <si>
    <t>1373 - 289692</t>
  </si>
  <si>
    <t>Abajo AVELINA</t>
  </si>
  <si>
    <t>Abajo billen</t>
  </si>
  <si>
    <t>Abajo CAJONES DE RELOJ</t>
  </si>
  <si>
    <t>Abajo cajones girlesa</t>
  </si>
  <si>
    <t>Abajo CARLOS MARIO BETANCUR</t>
  </si>
  <si>
    <t>Abajo CASILLERO</t>
  </si>
  <si>
    <t>a2220</t>
  </si>
  <si>
    <t>a2243</t>
  </si>
  <si>
    <t>a2282</t>
  </si>
  <si>
    <t>nb 288822</t>
  </si>
  <si>
    <t>Abajo COMERCIALIZADORA BYJ</t>
  </si>
  <si>
    <t>Abajo CONTADO</t>
  </si>
  <si>
    <t>of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</si>
  <si>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</si>
  <si>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</si>
  <si>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</si>
  <si>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</si>
  <si>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</si>
  <si>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Abajo EFREN</t>
  </si>
  <si>
    <t>Abajo EL PALACIO NAVIDEÑO</t>
  </si>
  <si>
    <t>3392 - consignacion</t>
  </si>
  <si>
    <t>Abajo elite</t>
  </si>
  <si>
    <t>Abajo Gasto Dotaciones Ohana</t>
  </si>
  <si>
    <t>Abajo GERMAN PALACIOS</t>
  </si>
  <si>
    <t>Abajo gloria bello</t>
  </si>
  <si>
    <t>Abajo Gloria Estrada</t>
  </si>
  <si>
    <t>gloritasz@gmail.com;girlesa.ruiz@servipilas.com;joriescobar64@gmail.com</t>
  </si>
  <si>
    <t>Abajo GLORIA SOTO</t>
  </si>
  <si>
    <t>Abajo GUSTAVO PULSOS</t>
  </si>
  <si>
    <t>a2257</t>
  </si>
  <si>
    <t>a2266</t>
  </si>
  <si>
    <t>a2284</t>
  </si>
  <si>
    <t>Abajo HERMANO DE KAIROS</t>
  </si>
  <si>
    <t>Abajo HUMBERTO ALVAREZ</t>
  </si>
  <si>
    <t>abajo innovatech</t>
  </si>
  <si>
    <t>Abajo INSTITUCIONALES</t>
  </si>
  <si>
    <t>Abajo IVA</t>
  </si>
  <si>
    <t>Abajo JORGE ARREDONDO - JARLY SAS</t>
  </si>
  <si>
    <t>Abajo KAIROS</t>
  </si>
  <si>
    <t>Abajo LA ESQUINA DEL MACHETE</t>
  </si>
  <si>
    <t>Abajo MEGARED</t>
  </si>
  <si>
    <t>daniel linio officex3 windowsx2</t>
  </si>
  <si>
    <t>a2256</t>
  </si>
  <si>
    <t>facturacion@losmolinos.com.co</t>
  </si>
  <si>
    <t>Abajo MERCEDES PILAS</t>
  </si>
  <si>
    <t>Abajo MODULOS</t>
  </si>
  <si>
    <t>Abajo NALPI</t>
  </si>
  <si>
    <t>Abajo OLGA CARDONA</t>
  </si>
  <si>
    <t>Abajo pilas</t>
  </si>
  <si>
    <t>abajo pilas</t>
  </si>
  <si>
    <t>Abajo PILAS</t>
  </si>
  <si>
    <t>Abajo pulsos</t>
  </si>
  <si>
    <t>Abajo PYG</t>
  </si>
  <si>
    <t>Abajo REPUESTOS CALI</t>
  </si>
  <si>
    <t>stabarbaradistronik@gmail.com;girlesa.ruiz@servipilas.com;joriescobar64@gmail.com</t>
  </si>
  <si>
    <t>Abajo SANTA BARBARA DISTRONIK</t>
  </si>
  <si>
    <t>Abajo STARTIME</t>
  </si>
  <si>
    <t>a2219</t>
  </si>
  <si>
    <t>Abajo SWIZZER REPUESTOS</t>
  </si>
  <si>
    <t>Abajo Tapabocas Juan Diego</t>
  </si>
  <si>
    <t>Abajo tecno manhatan</t>
  </si>
  <si>
    <t>Abajo Termopack</t>
  </si>
  <si>
    <t>Abajo UNIVERSAL TIME</t>
  </si>
  <si>
    <t>882+883+885+887+888+889+890+893+894</t>
  </si>
  <si>
    <t>abajo uriel gomez</t>
  </si>
  <si>
    <t>Abajo W CUERO</t>
  </si>
  <si>
    <t>Abajo YERMIN</t>
  </si>
  <si>
    <t>Abajo YOLANDA</t>
  </si>
  <si>
    <t>Abajo ZUMA</t>
  </si>
  <si>
    <t>11790 - 56143</t>
  </si>
  <si>
    <t>6124 - NC55</t>
  </si>
  <si>
    <t>1320 - A2158</t>
  </si>
  <si>
    <t>10117 NC</t>
  </si>
  <si>
    <t>1322 - 130713</t>
  </si>
  <si>
    <t>FI181033</t>
  </si>
  <si>
    <t>ME510858</t>
  </si>
  <si>
    <t>13E231864</t>
  </si>
  <si>
    <t>635 - nc45</t>
  </si>
  <si>
    <t>a2296</t>
  </si>
  <si>
    <t>FVX11935</t>
  </si>
  <si>
    <t>dua@cedesistemas.edu.co;girlesa.ruiz@servipilas.com;joriescobar64@gmail.com</t>
  </si>
  <si>
    <t>556 abono</t>
  </si>
  <si>
    <t>FV05662</t>
  </si>
  <si>
    <t>FV05947</t>
  </si>
  <si>
    <t>FV06798 - nc</t>
  </si>
  <si>
    <t>sfonnegra@nanicastation.com.co;facturas@nanicastation.com.co;girlesa.ruiz@servipilas.com;joriescobar64@gmail.com</t>
  </si>
  <si>
    <t>FE18323</t>
  </si>
  <si>
    <t>daniel guantes</t>
  </si>
  <si>
    <t>mobiliariomasproyectos@gmail.com;girlesa.ruiz@servipilas.com;joriescobar64@gmail.com</t>
  </si>
  <si>
    <t>vitrina lc</t>
  </si>
  <si>
    <t>66158 - descuento no aplicado</t>
  </si>
  <si>
    <t>FESJ173142</t>
  </si>
  <si>
    <t>FESJ174559</t>
  </si>
  <si>
    <t>a2289</t>
  </si>
  <si>
    <t>adelanto</t>
  </si>
  <si>
    <t>1363 - a2282</t>
  </si>
  <si>
    <t>SG1127</t>
  </si>
  <si>
    <t>FEI100050484</t>
  </si>
  <si>
    <t>FEI100050811</t>
  </si>
  <si>
    <t>FEV47234</t>
  </si>
  <si>
    <t>FEV47269</t>
  </si>
  <si>
    <t>daniel cintas termicas</t>
  </si>
  <si>
    <t>IFE34930</t>
  </si>
  <si>
    <t>IFE34930 - NC21144</t>
  </si>
  <si>
    <t>IFE34930 - NC21144 retencion por diferencia</t>
  </si>
  <si>
    <t>IFE35882</t>
  </si>
  <si>
    <t>FE17773</t>
  </si>
  <si>
    <t>a2268</t>
  </si>
  <si>
    <t>MDIS5.041.345</t>
  </si>
  <si>
    <t>272 - 130713</t>
  </si>
  <si>
    <t>270 - SI054623 SI056191</t>
  </si>
  <si>
    <t>287 - SI054623 SI056191</t>
  </si>
  <si>
    <t>271 - 286942</t>
  </si>
  <si>
    <t>MEGAMUNDO</t>
  </si>
  <si>
    <t>03MS4136</t>
  </si>
  <si>
    <t>1878591 - NC162178</t>
  </si>
  <si>
    <t>a2252</t>
  </si>
  <si>
    <t>MDIS5.041.328</t>
  </si>
  <si>
    <t>FEV44348</t>
  </si>
  <si>
    <t>FEV44716</t>
  </si>
  <si>
    <t>FEV45061</t>
  </si>
  <si>
    <t>24466 - nc53415</t>
  </si>
  <si>
    <t>1342 - a2243</t>
  </si>
  <si>
    <t>FE9151</t>
  </si>
  <si>
    <t>162642 NC</t>
  </si>
  <si>
    <t>RODRIGUEZ Y URBINA</t>
  </si>
  <si>
    <t>S02943 RU1280</t>
  </si>
  <si>
    <t>a2215</t>
  </si>
  <si>
    <t>1337 - a2220</t>
  </si>
  <si>
    <t>73279 abono</t>
  </si>
  <si>
    <t>ME506093</t>
  </si>
  <si>
    <t>ME506622</t>
  </si>
  <si>
    <t>ME506623</t>
  </si>
  <si>
    <t>ME507102</t>
  </si>
  <si>
    <t>ME507295</t>
  </si>
  <si>
    <t>13E233959</t>
  </si>
  <si>
    <t>FETU3052</t>
  </si>
  <si>
    <t>FEN-37015</t>
  </si>
  <si>
    <t>03MS3968</t>
  </si>
  <si>
    <t>13E233987</t>
  </si>
  <si>
    <t>FEI100054006</t>
  </si>
  <si>
    <t>NC119</t>
  </si>
  <si>
    <t>FEI100053907</t>
  </si>
  <si>
    <t>24007 - NC</t>
  </si>
  <si>
    <t>FEI100053411</t>
  </si>
  <si>
    <t>anticipo - 289692</t>
  </si>
  <si>
    <t>días de vencimiento</t>
  </si>
  <si>
    <t>Abajo 11 TECHNOLOGIES</t>
  </si>
  <si>
    <t>Abajo ACCESORIOS PARA CELULAR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</si>
  <si>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</si>
  <si>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</si>
  <si>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</si>
  <si>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</si>
  <si>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</si>
  <si>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</si>
  <si>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</si>
  <si>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</si>
  <si>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</si>
  <si>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</si>
  <si>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</si>
  <si>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</si>
  <si>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</si>
  <si>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</si>
  <si>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</si>
  <si>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</si>
  <si>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</si>
  <si>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</si>
  <si>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</si>
  <si>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</si>
  <si>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</si>
  <si>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</si>
  <si>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</si>
  <si>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</si>
  <si>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</si>
  <si>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</si>
  <si>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</si>
  <si>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</si>
  <si>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</si>
  <si>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</si>
  <si>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</si>
  <si>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</si>
  <si>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</si>
  <si>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</si>
  <si>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</si>
  <si>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</si>
  <si>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>1278 saldo pendiente</t>
  </si>
  <si>
    <t xml:space="preserve">Abajo DANIEL ESCOBAR </t>
  </si>
  <si>
    <t xml:space="preserve">Abajo FONDO </t>
  </si>
  <si>
    <t>DAVIVIENDA ************6881</t>
  </si>
  <si>
    <t>DAVIVIENDA ************7029</t>
  </si>
  <si>
    <t xml:space="preserve">Abajo FERNANDO JIMENEZ </t>
  </si>
  <si>
    <t xml:space="preserve">Abajo CATALINA SANCHEZ </t>
  </si>
  <si>
    <t>DAVIVIENDA ************6699</t>
  </si>
  <si>
    <t>DAVIVIENDA ************6723</t>
  </si>
  <si>
    <t>DAVIVIENDA ************3174</t>
  </si>
  <si>
    <t xml:space="preserve">Abajo MARIANA </t>
  </si>
  <si>
    <t>DAVIVIENDA ************5872</t>
  </si>
  <si>
    <t xml:space="preserve">Abajo ALBA  </t>
  </si>
  <si>
    <t>kenex 53263 dic 2020</t>
  </si>
  <si>
    <t>Abajo PIEDAD ESCOBAR</t>
  </si>
  <si>
    <t>DAVIVIENDA ************0957</t>
  </si>
  <si>
    <t>Abajo CLAUDIA RUIZ</t>
  </si>
  <si>
    <t>DAVIVIENDA ************5098</t>
  </si>
  <si>
    <t xml:space="preserve">Abajo DON LUCIANO </t>
  </si>
  <si>
    <t>Abajo JORGE IVAN ESCOBAR</t>
  </si>
  <si>
    <t>jorge arredondo</t>
  </si>
  <si>
    <t>BANCOLOMBIA CESANTIAS</t>
  </si>
  <si>
    <t>palacio navideño</t>
  </si>
  <si>
    <t>mueble la central</t>
  </si>
  <si>
    <t>avelina</t>
  </si>
  <si>
    <t>amdres ramirez</t>
  </si>
  <si>
    <t>120k del 4x1000</t>
  </si>
  <si>
    <t>Abajo AGRARIO JORGE</t>
  </si>
  <si>
    <t xml:space="preserve">Abajo ANIBAL  </t>
  </si>
  <si>
    <t xml:space="preserve">Abajo FAMILIA SANCHEZ </t>
  </si>
  <si>
    <t xml:space="preserve">Abajo GILBERTO </t>
  </si>
  <si>
    <t>Abajo GIRLESA</t>
  </si>
  <si>
    <t xml:space="preserve">Abajo HERNAN MARIN </t>
  </si>
  <si>
    <t>COP</t>
  </si>
  <si>
    <t>cuota extra</t>
  </si>
  <si>
    <t>a2316</t>
  </si>
  <si>
    <t>a2309</t>
  </si>
  <si>
    <t>75600 - NC</t>
  </si>
  <si>
    <t>FEV48225</t>
  </si>
  <si>
    <t>ME511329</t>
  </si>
  <si>
    <t>03MS4371</t>
  </si>
  <si>
    <t>334 - 289692</t>
  </si>
  <si>
    <t>COMERCIALIZADORA AVELINA</t>
  </si>
  <si>
    <t>avelinacomer@gmail.com;girlesa.ruiz@servipilas.com;joriescobar64@gmail.com</t>
  </si>
  <si>
    <t>FE11073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</si>
  <si>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</si>
  <si>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</si>
  <si>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</si>
  <si>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</si>
  <si>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</si>
  <si>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</si>
  <si>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</si>
  <si>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</si>
  <si>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</si>
  <si>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</si>
  <si>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</si>
  <si>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</si>
  <si>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feb-22</t>
  </si>
  <si>
    <t>mar-22</t>
  </si>
  <si>
    <t>abr-22</t>
  </si>
  <si>
    <t>DAVIVIENDA ************2127</t>
  </si>
  <si>
    <t>AJUSTE ABR20 2022</t>
  </si>
  <si>
    <t>pago de los uniformes</t>
  </si>
  <si>
    <t>FEV46356</t>
  </si>
  <si>
    <t>FETU3377</t>
  </si>
  <si>
    <t xml:space="preserve">SG1127 - NCE37 </t>
  </si>
  <si>
    <t>sandra.ospina@powest.com;girlesa.ruiz@servipilas.com;joriescobar64@gmail.com</t>
  </si>
  <si>
    <t>girlesa salud</t>
  </si>
  <si>
    <t>ME512097</t>
  </si>
  <si>
    <t>ME512055</t>
  </si>
  <si>
    <t>FETU3394</t>
  </si>
  <si>
    <t>FI184484</t>
  </si>
  <si>
    <t>SG1213</t>
  </si>
  <si>
    <t>FEI100060300</t>
  </si>
  <si>
    <t>a2331</t>
  </si>
  <si>
    <t>1387 - casillero</t>
  </si>
  <si>
    <t>42651 nd</t>
  </si>
  <si>
    <t>FESJ174856</t>
  </si>
  <si>
    <t>FEV48949</t>
  </si>
  <si>
    <t>FEV49144</t>
  </si>
  <si>
    <t>12378 a2346</t>
  </si>
  <si>
    <t>217 - 55161</t>
  </si>
  <si>
    <t>IFE37101</t>
  </si>
  <si>
    <t>FEI100061061</t>
  </si>
  <si>
    <t>FEI100060704</t>
  </si>
  <si>
    <t>palabras que no operan</t>
  </si>
  <si>
    <t>Abajo Dotaciones Ohana X@</t>
  </si>
  <si>
    <t>COEXITO X@</t>
  </si>
  <si>
    <t>Abajo contado X@</t>
  </si>
  <si>
    <t>Allianz Seguros X@</t>
  </si>
  <si>
    <t>ARCOSISTEMAS X@</t>
  </si>
  <si>
    <t>BOMBEROS BELLOS X@</t>
  </si>
  <si>
    <t>BOMBEROS SABANETA X@</t>
  </si>
  <si>
    <t>CESDE X@</t>
  </si>
  <si>
    <t>COMERCIAL WEB X@</t>
  </si>
  <si>
    <t>CONSTRUCCIONES Y BIENES X@</t>
  </si>
  <si>
    <t>DIAN X@</t>
  </si>
  <si>
    <t>DISANTIOQUIA X@</t>
  </si>
  <si>
    <t>DUCON X@</t>
  </si>
  <si>
    <t>GB BIENES X@</t>
  </si>
  <si>
    <t>LA CENTRAL admistración X@</t>
  </si>
  <si>
    <t>Liberty seguros X@</t>
  </si>
  <si>
    <t>MARIANA PELAEZ X@</t>
  </si>
  <si>
    <t>MOLINOS administración X@</t>
  </si>
  <si>
    <t>Movistar movil X@</t>
  </si>
  <si>
    <t>MUNICIPIO DE MEDELLIN X@</t>
  </si>
  <si>
    <t>PATEX X@</t>
  </si>
  <si>
    <t>PROPERTY MARKETING X@</t>
  </si>
  <si>
    <t>REMARCA X@</t>
  </si>
  <si>
    <t>SANDIEGO X@</t>
  </si>
  <si>
    <t>SANTA JUANA (jorge escobar) X@</t>
  </si>
  <si>
    <t>SAPIAN X@</t>
  </si>
  <si>
    <t>SEÑALIZACIÓN Y AVISOS X@</t>
  </si>
  <si>
    <t>SIIGO X@</t>
  </si>
  <si>
    <t>SURA X@</t>
  </si>
  <si>
    <t>syco y acimpro X@</t>
  </si>
  <si>
    <t>TIGO FIJO X@</t>
  </si>
  <si>
    <t>TIGO MOVIL X@</t>
  </si>
  <si>
    <t>VYP X@</t>
  </si>
  <si>
    <t>CEDESISTEMAS X@</t>
  </si>
  <si>
    <t>M+P  X@</t>
  </si>
  <si>
    <t>comercial web X@</t>
  </si>
  <si>
    <t>molinos administración X@</t>
  </si>
  <si>
    <t>sapian X@</t>
  </si>
  <si>
    <t>vyp X@</t>
  </si>
  <si>
    <t>X@</t>
  </si>
  <si>
    <t>316 - 516143</t>
  </si>
  <si>
    <t>ofi</t>
  </si>
  <si>
    <t>03MS4520</t>
  </si>
  <si>
    <t>03MS4536</t>
  </si>
  <si>
    <t>anticipo - 51643</t>
  </si>
  <si>
    <t>oswaldo.alvarez@logimexsas.com;girlesa.ruiz@servipilas.com;joriescobar64@gmail.com;facturacion@servipilas.com</t>
  </si>
  <si>
    <t>03MS4549</t>
  </si>
  <si>
    <t>03MS4587</t>
  </si>
  <si>
    <t>FETU3522</t>
  </si>
  <si>
    <t>S63839</t>
  </si>
  <si>
    <t>S63559</t>
  </si>
  <si>
    <t>S64208</t>
  </si>
  <si>
    <t>S64207</t>
  </si>
  <si>
    <t>S62679</t>
  </si>
  <si>
    <t>S62399</t>
  </si>
  <si>
    <t>S63255</t>
  </si>
  <si>
    <t>S62976</t>
  </si>
  <si>
    <t>FEI100061061 - NC100009114</t>
  </si>
  <si>
    <t>FEI100061750</t>
  </si>
  <si>
    <t>a2363</t>
  </si>
  <si>
    <t>a2350</t>
  </si>
  <si>
    <t>a2349 - '28/05/2022</t>
  </si>
  <si>
    <t>Abajo SIMON MDE</t>
  </si>
  <si>
    <t>FEF4650</t>
  </si>
  <si>
    <t>gerencia@som-tec.com;girlesa.ruiz@servipilas.com;joriescobar64@gmail.com</t>
  </si>
  <si>
    <t>carlos.bohorquez@copapel.com;girlesa.ruiz@servipilas.com;joriescobar64@gmail.com</t>
  </si>
  <si>
    <t>FEV49928</t>
  </si>
  <si>
    <t>FEV50110</t>
  </si>
  <si>
    <t>FE017072</t>
  </si>
  <si>
    <t>daniel reloj daño mayorca</t>
  </si>
  <si>
    <t>BANCOLOMBIA USD$ 2555265132</t>
  </si>
  <si>
    <t>kenex 56143 mar 22</t>
  </si>
  <si>
    <t>wruiz@tsqsa.com;girlesa.ruiz@servipilas.com;joriescobar64@gmail.com</t>
  </si>
  <si>
    <t>anticipo coolers</t>
  </si>
  <si>
    <t>PREDIAL LA CENTRAL</t>
  </si>
  <si>
    <t>may-22</t>
  </si>
  <si>
    <t xml:space="preserve"> 265 registro importador</t>
  </si>
  <si>
    <t>FETU3626</t>
  </si>
  <si>
    <t>salud clasico jorge girlesa</t>
  </si>
  <si>
    <t>ME514195</t>
  </si>
  <si>
    <t>FE19536</t>
  </si>
  <si>
    <t>FV-1917003 pc contabilidad</t>
  </si>
  <si>
    <t>NC11771</t>
  </si>
  <si>
    <t>FI192542</t>
  </si>
  <si>
    <t>ID-393</t>
  </si>
  <si>
    <t>FE1763</t>
  </si>
  <si>
    <t>FESJ177306</t>
  </si>
  <si>
    <t>FESJ178413</t>
  </si>
  <si>
    <t>13E244739</t>
  </si>
  <si>
    <t>13E244630</t>
  </si>
  <si>
    <t>Abajo NIA</t>
  </si>
  <si>
    <t>nc8608</t>
  </si>
  <si>
    <t>ND 10533</t>
  </si>
  <si>
    <t>DxPP NO APLICABLE</t>
  </si>
  <si>
    <t>mercadopago</t>
  </si>
  <si>
    <t>FESJ178720</t>
  </si>
  <si>
    <t>amazon a2388</t>
  </si>
  <si>
    <t>a2404</t>
  </si>
  <si>
    <t>TECNOSOLUCIONES X@</t>
  </si>
  <si>
    <t>S64600</t>
  </si>
  <si>
    <t>S65183</t>
  </si>
  <si>
    <t>S64901</t>
  </si>
  <si>
    <t>S64601</t>
  </si>
  <si>
    <t>1410 - a2404</t>
  </si>
  <si>
    <t>1411 - a2404 amazon</t>
  </si>
  <si>
    <t>daniel linio officex4</t>
  </si>
  <si>
    <t>2702 - 2385</t>
  </si>
  <si>
    <t>jun-22</t>
  </si>
  <si>
    <t>Facturas vencidas a cierre del mes</t>
  </si>
  <si>
    <t>2. eliminar facturas con fecha de facturación posteriores al cierre de mes estudiada</t>
  </si>
  <si>
    <t>3. borrar fechas de pago posteriores al cierre de mes esudiado</t>
  </si>
  <si>
    <t>cierre de mes</t>
  </si>
  <si>
    <t>dias de credito</t>
  </si>
  <si>
    <t>venc</t>
  </si>
  <si>
    <t>Columna1</t>
  </si>
  <si>
    <t>4. cambiar fecha de cierre de mes</t>
  </si>
  <si>
    <t>VENCIDA</t>
  </si>
  <si>
    <t>Pagada</t>
  </si>
  <si>
    <t>Vencida</t>
  </si>
  <si>
    <t>Por pagar</t>
  </si>
  <si>
    <t>cartera@makingbusiness.com.co;tesoreria@makingbusiness.com.co;girlesa.ruiz@servipilas.com;joriescobar64@gmail.com</t>
  </si>
  <si>
    <t>int + 4x1000</t>
  </si>
  <si>
    <t>03MS4753</t>
  </si>
  <si>
    <t xml:space="preserve"> dsmazuera@widexcolombia.com;cartera@widexcolombia.com;girlesa.ruiz@servipilas.com;joriescobar64@gmail.com</t>
  </si>
  <si>
    <t>5158 racklo consignación</t>
  </si>
  <si>
    <t>daniel fuente de poder</t>
  </si>
  <si>
    <t>11 TECHNOLOGIES</t>
  </si>
  <si>
    <t>1421 - 291706 291707</t>
  </si>
  <si>
    <t>KINESIS</t>
  </si>
  <si>
    <t>Facturas@kinnesis.com;girlesa.ruiz@servipilas.com;joriescobar64@gmail.com</t>
  </si>
  <si>
    <t>FEK1398</t>
  </si>
  <si>
    <t>ME515188</t>
  </si>
  <si>
    <t>contabilidad@sandiego.com.co;girlesa.ruiz@servipilas.com;joriescobar64@gmail.com</t>
  </si>
  <si>
    <t>3362 unifrmes</t>
  </si>
  <si>
    <t>se pago el crdito de itaú y se abonó al de davivienda 2127</t>
  </si>
  <si>
    <t>FETU3767</t>
  </si>
  <si>
    <t>FEN51762</t>
  </si>
  <si>
    <t>ME515789</t>
  </si>
  <si>
    <t>ME515873</t>
  </si>
  <si>
    <t>ME515748</t>
  </si>
  <si>
    <t>03MS4816</t>
  </si>
  <si>
    <t>TECH1636</t>
  </si>
  <si>
    <t>1925429 celular mayorca</t>
  </si>
  <si>
    <t>FVX13110</t>
  </si>
  <si>
    <t>FVX13109</t>
  </si>
  <si>
    <t>13E246698</t>
  </si>
  <si>
    <t>ABAJO RODOLFO PARAMO X@</t>
  </si>
  <si>
    <t>Ruta para crear los pdf</t>
  </si>
  <si>
    <t>247 faltaron en el pago</t>
  </si>
  <si>
    <t>ajuste 22/6/22</t>
  </si>
  <si>
    <t>para pagar reforma de mayorca</t>
  </si>
  <si>
    <t>nc + RETENCIÓN</t>
  </si>
  <si>
    <t>por pago extra en la factura ME510858</t>
  </si>
  <si>
    <t>ND119</t>
  </si>
  <si>
    <t>valor extra descontado de la NC119</t>
  </si>
  <si>
    <t>IEO ASOCIADOS</t>
  </si>
  <si>
    <t>FEV51820</t>
  </si>
  <si>
    <t>IFE38403</t>
  </si>
  <si>
    <t>SG1410</t>
  </si>
  <si>
    <t>MDIS5.041.536</t>
  </si>
  <si>
    <t>MDIS5.041.526</t>
  </si>
  <si>
    <t>FET119167</t>
  </si>
  <si>
    <t>1429 - 291706 291707</t>
  </si>
  <si>
    <t>1426 - 291706 291707</t>
  </si>
  <si>
    <t>1604 a2423</t>
  </si>
  <si>
    <t>5277 a2418</t>
  </si>
  <si>
    <t>a2430</t>
  </si>
  <si>
    <t>291 a2416</t>
  </si>
  <si>
    <t>oficina jorge</t>
  </si>
  <si>
    <t>Abajo FREDY SERNA</t>
  </si>
  <si>
    <t>5498 a2417</t>
  </si>
  <si>
    <t>898+001+002+003+004+005+006+007+008+20 renata390</t>
  </si>
  <si>
    <t>ID-413</t>
  </si>
  <si>
    <t>CIDET X@</t>
  </si>
  <si>
    <t>DEVOLUCIÓN FV-3-6001</t>
  </si>
  <si>
    <t>Total2</t>
  </si>
  <si>
    <t>kenex 54504 jul 21</t>
  </si>
  <si>
    <t>anticipo - 56405</t>
  </si>
  <si>
    <t>346 - 56405</t>
  </si>
  <si>
    <t>FE19536 - nc N1-11776</t>
  </si>
  <si>
    <t>FEI100060300 nc 100008974</t>
  </si>
  <si>
    <t>FESJ180515</t>
  </si>
  <si>
    <t>S66130</t>
  </si>
  <si>
    <t>S66129</t>
  </si>
  <si>
    <t>S65777</t>
  </si>
  <si>
    <t>S65506</t>
  </si>
  <si>
    <t>ME516774</t>
  </si>
  <si>
    <t>237 a2448</t>
  </si>
  <si>
    <t>03MS4900</t>
  </si>
  <si>
    <t>2822 a2443</t>
  </si>
  <si>
    <t>ME516651</t>
  </si>
  <si>
    <t>FETU3837</t>
  </si>
  <si>
    <t>658005 a2436</t>
  </si>
  <si>
    <t>a2449</t>
  </si>
  <si>
    <t>a2444</t>
  </si>
  <si>
    <t>a2446</t>
  </si>
  <si>
    <t>a2437</t>
  </si>
  <si>
    <t>FEV52130</t>
  </si>
  <si>
    <t>389 - 291707</t>
  </si>
  <si>
    <t>379 - 291706</t>
  </si>
  <si>
    <t>anticipo 291706</t>
  </si>
  <si>
    <t>anticipo 291707</t>
  </si>
  <si>
    <t>DILOY COLOMBIA</t>
  </si>
  <si>
    <t>tesoreria@cidet.org.co;girlesa.ruiz@servipilas.com;joriescobar64@gmail.com</t>
  </si>
  <si>
    <t>1432 - A2437 A2446</t>
  </si>
  <si>
    <t>BANCOLOMBIA USD$ 2555277122</t>
  </si>
  <si>
    <t>jul-22</t>
  </si>
  <si>
    <t>1. copiar y pegar toda la base de datos de la hoja F. proveedores</t>
  </si>
  <si>
    <t>COPAPEL X@</t>
  </si>
  <si>
    <t>a2405</t>
  </si>
  <si>
    <t>capital leasing</t>
  </si>
  <si>
    <t>intereses cuota 18/06/2022</t>
  </si>
  <si>
    <t>seguro cuota 18/06/2022</t>
  </si>
  <si>
    <t>prorroga seguro</t>
  </si>
  <si>
    <t>prorroga intereses</t>
  </si>
  <si>
    <t>capital leasing + prorrogas</t>
  </si>
  <si>
    <t>Ajuste 15/07/2022</t>
  </si>
  <si>
    <t>FVX11935 abono</t>
  </si>
  <si>
    <t>FI203501</t>
  </si>
  <si>
    <t>ME517744</t>
  </si>
  <si>
    <t>13E248669</t>
  </si>
  <si>
    <t>LUZ MYRIAM GIRALDO ZUMA</t>
  </si>
  <si>
    <t>LMGS789@HOTMAIL.COM;girlesa.ruiz@servipilas.com;joriescobar64@gmail.com</t>
  </si>
  <si>
    <t>APC X@</t>
  </si>
  <si>
    <t>22488 cooler la central y jorge andres</t>
  </si>
  <si>
    <t>daniel nevera mayorca</t>
  </si>
  <si>
    <t>Abajo MERCADOLIBRE X@</t>
  </si>
  <si>
    <t>DAVIVIENDA ************5062</t>
  </si>
  <si>
    <t>corporacion.trovemos@gmail.com;girlesa.ruiz@servipilas.com;joriescobar64@gmail.com</t>
  </si>
  <si>
    <t>COPORACION TROVEMOS X@</t>
  </si>
  <si>
    <t>ABAJO MEGARED</t>
  </si>
  <si>
    <t>syman07@hotmail.com;girlesa.ruiz@servipilas.com;joriescobar64@gmail.com</t>
  </si>
  <si>
    <t>SILLAS Y MANTENIMIENTOS X@</t>
  </si>
  <si>
    <t>NC12054</t>
  </si>
  <si>
    <t>Descuento sobre subtotal $2</t>
  </si>
  <si>
    <t>descuento sobre subtotal</t>
  </si>
  <si>
    <t>saldo extra pagado por el celular d emayorca</t>
  </si>
  <si>
    <t>lygonzalez@gmail.com;girlesa.ruiz@servipilas.com;joriescobar64@gmail.com</t>
  </si>
  <si>
    <t>FESJ181335</t>
  </si>
  <si>
    <t>03MS5005</t>
  </si>
  <si>
    <t>FI207753</t>
  </si>
  <si>
    <t>S66707</t>
  </si>
  <si>
    <t>S66477</t>
  </si>
  <si>
    <t>FEV53048</t>
  </si>
  <si>
    <t>a2486</t>
  </si>
  <si>
    <t>a2472</t>
  </si>
  <si>
    <t>1443 - a2472</t>
  </si>
  <si>
    <t>FE017521</t>
  </si>
  <si>
    <t>13E250625</t>
  </si>
  <si>
    <t>2396 megamundo - nc53</t>
  </si>
  <si>
    <t>300 a2478</t>
  </si>
  <si>
    <t>EL IMPERIO DIGITAL - YERMIN</t>
  </si>
  <si>
    <t>yermingg@hotmail.com;rubizulu@hotmail.com;girlesa.ruiz@servipilas.com;joriescobar64@gmail.com</t>
  </si>
  <si>
    <t>G:\Mi unidad\INFO\FACTURAS POR PAGAR\POR PAGAR compras\pagar</t>
  </si>
  <si>
    <t>jorge andres amazon</t>
  </si>
  <si>
    <t>prestados por alba</t>
  </si>
  <si>
    <t>daniel cargador</t>
  </si>
  <si>
    <t>para pagar vitrina mayorca</t>
  </si>
  <si>
    <t>anticipo - 57126</t>
  </si>
  <si>
    <t>413 - 57126</t>
  </si>
  <si>
    <t>se cruzó con una reparación de un reloj de don Ivan</t>
  </si>
  <si>
    <t>julian@ieosas.com;girlesa.ruiz@servipilas.com;joriescobar64@gmail.com</t>
  </si>
  <si>
    <t>margaritadavid@hotmail.es;girlesa.ruiz@servipilas.com;joriescobar64@gmail.com;MERCADEO@servipilas.com</t>
  </si>
  <si>
    <t>RENTOLDOS SAS BANCOLOMBIA X@</t>
  </si>
  <si>
    <t>iva</t>
  </si>
  <si>
    <t>FEV54013</t>
  </si>
  <si>
    <t>a2488</t>
  </si>
  <si>
    <t>1456 - a2488</t>
  </si>
  <si>
    <t>ME519126</t>
  </si>
  <si>
    <t>ME519375</t>
  </si>
  <si>
    <t>03MS5178</t>
  </si>
  <si>
    <t>MDIS5.041.590</t>
  </si>
  <si>
    <t>ID-441</t>
  </si>
  <si>
    <t>Nota: la formula no suma los porveedores con X@</t>
  </si>
  <si>
    <t>RE0065</t>
  </si>
  <si>
    <t>a2499</t>
  </si>
  <si>
    <t>a1256</t>
  </si>
  <si>
    <t>a1271 320278</t>
  </si>
  <si>
    <t>a1271 532207</t>
  </si>
  <si>
    <t>MONTBLaNC 127718</t>
  </si>
  <si>
    <t>a1400</t>
  </si>
  <si>
    <t>aDELaNTO</t>
  </si>
  <si>
    <t>la central</t>
  </si>
  <si>
    <t>mayorca</t>
  </si>
  <si>
    <t>sandiego</t>
  </si>
  <si>
    <t>a1450</t>
  </si>
  <si>
    <t>a1437 532664</t>
  </si>
  <si>
    <t>oficina arr - 330</t>
  </si>
  <si>
    <t>a1444</t>
  </si>
  <si>
    <t>a-1455</t>
  </si>
  <si>
    <t>a-1479</t>
  </si>
  <si>
    <t>a1491</t>
  </si>
  <si>
    <t>a1517</t>
  </si>
  <si>
    <t>a1536</t>
  </si>
  <si>
    <t>anticipo - SO032015</t>
  </si>
  <si>
    <t>aRR 821</t>
  </si>
  <si>
    <t>aMD 781</t>
  </si>
  <si>
    <t>aRR 821 NC</t>
  </si>
  <si>
    <t>aRR 3956</t>
  </si>
  <si>
    <t>a1560</t>
  </si>
  <si>
    <t>PREDIaL 1003 TRIMESTRaL</t>
  </si>
  <si>
    <t>PREDIaL 2293 TRIMESTRaL</t>
  </si>
  <si>
    <t>FE6300 - casillero</t>
  </si>
  <si>
    <t>a1578 - 1115</t>
  </si>
  <si>
    <t>a1593</t>
  </si>
  <si>
    <t>a1590</t>
  </si>
  <si>
    <t>a1595</t>
  </si>
  <si>
    <t>a1597</t>
  </si>
  <si>
    <t>a1596</t>
  </si>
  <si>
    <t>7921 saldo pendiente</t>
  </si>
  <si>
    <t>FE1166 IVa</t>
  </si>
  <si>
    <t>aRR 041</t>
  </si>
  <si>
    <t>aDM 255</t>
  </si>
  <si>
    <t>aRR 041 - nc306</t>
  </si>
  <si>
    <t>oficina arr - 4413</t>
  </si>
  <si>
    <t>398219 renovación</t>
  </si>
  <si>
    <t>a1697-2704</t>
  </si>
  <si>
    <t>a1611</t>
  </si>
  <si>
    <t>a1612 - 321317</t>
  </si>
  <si>
    <t>anticipo - 114001</t>
  </si>
  <si>
    <t>a1632 - 3320</t>
  </si>
  <si>
    <t>a1635</t>
  </si>
  <si>
    <t>FE7050 - casillero</t>
  </si>
  <si>
    <t>a1634</t>
  </si>
  <si>
    <t>a1671 - 2049</t>
  </si>
  <si>
    <t>a1641</t>
  </si>
  <si>
    <t>a1643 - 2777</t>
  </si>
  <si>
    <t>a1640</t>
  </si>
  <si>
    <t>89 registro importadores</t>
  </si>
  <si>
    <t>a1670 - 1378</t>
  </si>
  <si>
    <t>a1660 - 7697</t>
  </si>
  <si>
    <t>a1662</t>
  </si>
  <si>
    <t>a1659 - 1190</t>
  </si>
  <si>
    <t>a1672</t>
  </si>
  <si>
    <t>a1675</t>
  </si>
  <si>
    <t>a1677 - 2881</t>
  </si>
  <si>
    <t>a1678 - 3347</t>
  </si>
  <si>
    <t>aRR 999</t>
  </si>
  <si>
    <t>aDM 754</t>
  </si>
  <si>
    <t>oficina arr - 4670</t>
  </si>
  <si>
    <t>a1679 - 2252</t>
  </si>
  <si>
    <t>hijo asdrual</t>
  </si>
  <si>
    <t>a1718</t>
  </si>
  <si>
    <t>a1723</t>
  </si>
  <si>
    <t>a1720</t>
  </si>
  <si>
    <t>a1727</t>
  </si>
  <si>
    <t>pilas</t>
  </si>
  <si>
    <t>bodegaje - 114001</t>
  </si>
  <si>
    <t>FE7643 - casillero</t>
  </si>
  <si>
    <t>a1741 - 628478</t>
  </si>
  <si>
    <t>seguir carro nissan</t>
  </si>
  <si>
    <t>a1738 - 2095</t>
  </si>
  <si>
    <t>aRR 3956 abono</t>
  </si>
  <si>
    <t>a1743</t>
  </si>
  <si>
    <t>a1745</t>
  </si>
  <si>
    <t>a1755</t>
  </si>
  <si>
    <t>a1757</t>
  </si>
  <si>
    <t>aRR - 481</t>
  </si>
  <si>
    <t>aDM - 180</t>
  </si>
  <si>
    <t>aNTICIPO - 283198</t>
  </si>
  <si>
    <t>aRR 118</t>
  </si>
  <si>
    <t>a1780 - 1623</t>
  </si>
  <si>
    <t>a1781</t>
  </si>
  <si>
    <t>a1793</t>
  </si>
  <si>
    <t>a1789</t>
  </si>
  <si>
    <t>aNTICIPO  - 54504</t>
  </si>
  <si>
    <t>a1772</t>
  </si>
  <si>
    <t>a1800</t>
  </si>
  <si>
    <t>a1801</t>
  </si>
  <si>
    <t>a1788</t>
  </si>
  <si>
    <t>a1818</t>
  </si>
  <si>
    <t>aRR 915</t>
  </si>
  <si>
    <t>aDM 645</t>
  </si>
  <si>
    <t>aRR 330</t>
  </si>
  <si>
    <t>a1827</t>
  </si>
  <si>
    <t>aNTICIPO - 129398</t>
  </si>
  <si>
    <t>FE8440 - casillero</t>
  </si>
  <si>
    <t>a1834</t>
  </si>
  <si>
    <t>motor tool Daniel mercado libre</t>
  </si>
  <si>
    <t>unificada</t>
  </si>
  <si>
    <t>a1859</t>
  </si>
  <si>
    <t>pilas centro</t>
  </si>
  <si>
    <t>FE8766 - casillero a1869</t>
  </si>
  <si>
    <t>FE8767 - casillero a1869</t>
  </si>
  <si>
    <t>FE8770 - casillero a1869</t>
  </si>
  <si>
    <t>a1862</t>
  </si>
  <si>
    <t>a1869</t>
  </si>
  <si>
    <t>OSSa 171</t>
  </si>
  <si>
    <t>compra mayorca</t>
  </si>
  <si>
    <t>1566 IVa</t>
  </si>
  <si>
    <t>IVa</t>
  </si>
  <si>
    <t>institucionales</t>
  </si>
  <si>
    <t>pilas centro a1881</t>
  </si>
  <si>
    <t>aRREGLO CaMaRaS MaYORCa</t>
  </si>
  <si>
    <t>Fernando Jimenez  medio iva pisos y pisos 379</t>
  </si>
  <si>
    <t>aRR 880</t>
  </si>
  <si>
    <t>aDM 617</t>
  </si>
  <si>
    <t>aRR 626</t>
  </si>
  <si>
    <t>a1890</t>
  </si>
  <si>
    <t>daniel ultrasonido</t>
  </si>
  <si>
    <t>daniel linio office</t>
  </si>
  <si>
    <t xml:space="preserve">aNTICIPO - 284593 284796 </t>
  </si>
  <si>
    <t>a1907</t>
  </si>
  <si>
    <t>a1912</t>
  </si>
  <si>
    <t>MaNILLaS</t>
  </si>
  <si>
    <t>aNTICIPO - 284978</t>
  </si>
  <si>
    <t>pilas almacen sotis</t>
  </si>
  <si>
    <t>J andres dhl impuestos reloj</t>
  </si>
  <si>
    <t>a1937</t>
  </si>
  <si>
    <t>a1936</t>
  </si>
  <si>
    <t>puerta del norte</t>
  </si>
  <si>
    <t>aguinaldo metro</t>
  </si>
  <si>
    <t>a1942</t>
  </si>
  <si>
    <t>1214 - CaSILLERO</t>
  </si>
  <si>
    <t>aRR 662</t>
  </si>
  <si>
    <t>aDM 395</t>
  </si>
  <si>
    <t>21666 fibra optica</t>
  </si>
  <si>
    <t>clausula de permanencia</t>
  </si>
  <si>
    <t>aRR 889</t>
  </si>
  <si>
    <t>arreglos mayorca</t>
  </si>
  <si>
    <t>carro gloria restrepo</t>
  </si>
  <si>
    <t>1823523 - dayana pc pagado por ella</t>
  </si>
  <si>
    <t>saldo a favor</t>
  </si>
  <si>
    <t>a1959</t>
  </si>
  <si>
    <t>FESJ168687 ajuste retroactivo</t>
  </si>
  <si>
    <t>1827072 PC BODEGa</t>
  </si>
  <si>
    <t>94500992 aSTROSELLING</t>
  </si>
  <si>
    <t xml:space="preserve">aNTICIPO -  285759 </t>
  </si>
  <si>
    <t>PC THINKPaD</t>
  </si>
  <si>
    <t>aNTICIPO - 285851</t>
  </si>
  <si>
    <t>a1982</t>
  </si>
  <si>
    <t>a1997</t>
  </si>
  <si>
    <t>a1981</t>
  </si>
  <si>
    <t>a1996</t>
  </si>
  <si>
    <t>71593 abono</t>
  </si>
  <si>
    <t>1240 -CaSILLERO</t>
  </si>
  <si>
    <t>aRR 481</t>
  </si>
  <si>
    <t>aDM 211</t>
  </si>
  <si>
    <t>anticipo - 55161</t>
  </si>
  <si>
    <t>aRR 1313</t>
  </si>
  <si>
    <t>a2005 pilas centro</t>
  </si>
  <si>
    <t>a2013</t>
  </si>
  <si>
    <t>as4424</t>
  </si>
  <si>
    <t>a2044</t>
  </si>
  <si>
    <t>a2024</t>
  </si>
  <si>
    <t>a2046</t>
  </si>
  <si>
    <t>institucinales</t>
  </si>
  <si>
    <t>a2057 a2058</t>
  </si>
  <si>
    <t>aRR 276</t>
  </si>
  <si>
    <t>aDM 004</t>
  </si>
  <si>
    <t>aRR 1577</t>
  </si>
  <si>
    <t>a2056</t>
  </si>
  <si>
    <t>anticipo - 286942</t>
  </si>
  <si>
    <t>daniel linio office x2</t>
  </si>
  <si>
    <t>a2063</t>
  </si>
  <si>
    <t>a2095</t>
  </si>
  <si>
    <t>anticipo - 55546</t>
  </si>
  <si>
    <t>a2068</t>
  </si>
  <si>
    <t>a2078</t>
  </si>
  <si>
    <t>a2066</t>
  </si>
  <si>
    <t>a2085</t>
  </si>
  <si>
    <t>a2086</t>
  </si>
  <si>
    <t>a2084</t>
  </si>
  <si>
    <t>a2029</t>
  </si>
  <si>
    <t>a2115</t>
  </si>
  <si>
    <t>aRR FV05121</t>
  </si>
  <si>
    <t>aDM FV04843</t>
  </si>
  <si>
    <t>aRR 1835</t>
  </si>
  <si>
    <t>a2114</t>
  </si>
  <si>
    <t>a2156</t>
  </si>
  <si>
    <t>a2158</t>
  </si>
  <si>
    <t>aNTICIPO - SI054623 SI056191</t>
  </si>
  <si>
    <t>a2159</t>
  </si>
  <si>
    <t>a2161</t>
  </si>
  <si>
    <t>anticipo - 130713</t>
  </si>
  <si>
    <t>a2186</t>
  </si>
  <si>
    <t>a2196</t>
  </si>
  <si>
    <t>a2340</t>
  </si>
  <si>
    <t>95475513 RENOVaCIÓN</t>
  </si>
  <si>
    <t>a2374</t>
  </si>
  <si>
    <t>aS4596</t>
  </si>
  <si>
    <t>VITRINaS MaYORCa</t>
  </si>
  <si>
    <t>ELJ18742 TECLaDO OFICINa</t>
  </si>
  <si>
    <t>a2428</t>
  </si>
  <si>
    <t>a2447</t>
  </si>
  <si>
    <t>a2440</t>
  </si>
  <si>
    <t>a2465</t>
  </si>
  <si>
    <t>a2428 abono</t>
  </si>
  <si>
    <t>a2475</t>
  </si>
  <si>
    <t>FERIa SaNDIEGO</t>
  </si>
  <si>
    <t>hyr FERIa SaNDIEGO</t>
  </si>
  <si>
    <t>transporte VITRINaS MaYORCa</t>
  </si>
  <si>
    <t>esta entrega no la completaron por lo que acreditaron la cuenta de daniel, pero ya la empresa le había consignado, por lo que el valor queda a favor de la empresa.</t>
  </si>
  <si>
    <t>complementario jaime</t>
  </si>
  <si>
    <t>FEV54306</t>
  </si>
  <si>
    <t>ISMART ELECTRONICS X@</t>
  </si>
  <si>
    <t>IFE39801</t>
  </si>
  <si>
    <t>daniel licencia x3 windows</t>
  </si>
  <si>
    <t>SM2207</t>
  </si>
  <si>
    <t>SM2207 aBONO MITaD</t>
  </si>
  <si>
    <t>4% con base</t>
  </si>
  <si>
    <t>SM2255</t>
  </si>
  <si>
    <t>CAPITAL</t>
  </si>
  <si>
    <t>daniel cintas termicas x6</t>
  </si>
  <si>
    <t>daniel cargador x2</t>
  </si>
  <si>
    <t>ME520166</t>
  </si>
  <si>
    <t>ME520112</t>
  </si>
  <si>
    <t>FE-7435</t>
  </si>
  <si>
    <t>FI212206</t>
  </si>
  <si>
    <t>651- NC BGNC31</t>
  </si>
  <si>
    <t>FE017830</t>
  </si>
  <si>
    <t>FENL 34636</t>
  </si>
  <si>
    <t>IFE39970</t>
  </si>
  <si>
    <t>FEIN 29</t>
  </si>
  <si>
    <t>IFE 39709</t>
  </si>
  <si>
    <t>FEI100070454</t>
  </si>
  <si>
    <t>santiago.botero@apcmayorista.com;girlesa.ruiz@servipilas.com;joriescobar64@gmail.com</t>
  </si>
  <si>
    <t>3440 A2513</t>
  </si>
  <si>
    <t>536 A2508</t>
  </si>
  <si>
    <t>556 A2517</t>
  </si>
  <si>
    <t>A2518</t>
  </si>
  <si>
    <t>A2502</t>
  </si>
  <si>
    <t>A2501</t>
  </si>
  <si>
    <t>A2509</t>
  </si>
  <si>
    <t>23762 pc silvia uribe</t>
  </si>
  <si>
    <t>GRUPOINTER LLANTAS X@</t>
  </si>
  <si>
    <t>03MS5320</t>
  </si>
  <si>
    <t>3522 a2510</t>
  </si>
  <si>
    <t>2812 a1722</t>
  </si>
  <si>
    <t>2897 a1812</t>
  </si>
  <si>
    <t>2948 a1874</t>
  </si>
  <si>
    <t>2295 a1919</t>
  </si>
  <si>
    <t>3053 a1979</t>
  </si>
  <si>
    <t>3052 a1980</t>
  </si>
  <si>
    <t>3165 a2089</t>
  </si>
  <si>
    <t>3164 a2088</t>
  </si>
  <si>
    <t>3328 a2343</t>
  </si>
  <si>
    <t>3327 a2344</t>
  </si>
  <si>
    <t>3347 a2364</t>
  </si>
  <si>
    <t>3346 a2357</t>
  </si>
  <si>
    <t>3521 a2500</t>
  </si>
  <si>
    <t>3523 a2504</t>
  </si>
  <si>
    <t>FVX14146</t>
  </si>
  <si>
    <t>FVX14147</t>
  </si>
  <si>
    <t>INDUSTRIA ELECTRICA NEWLINE</t>
  </si>
  <si>
    <t>FENL 34848</t>
  </si>
  <si>
    <t>Abajo INVERSIONES ARCILA</t>
  </si>
  <si>
    <t>INVERSIONES ARCILA</t>
  </si>
  <si>
    <t>4209 a1739 nc</t>
  </si>
  <si>
    <t>35957 a1566</t>
  </si>
  <si>
    <t>9800 a1479</t>
  </si>
  <si>
    <t>1042 a1616</t>
  </si>
  <si>
    <t>540243 a1639</t>
  </si>
  <si>
    <t>FVX4580 abono</t>
  </si>
  <si>
    <t>321659 a1725</t>
  </si>
  <si>
    <t>540494 a1724</t>
  </si>
  <si>
    <t>FE357 a favor por pago extra en 332</t>
  </si>
  <si>
    <t>4209 a1739</t>
  </si>
  <si>
    <t>2272 a1773</t>
  </si>
  <si>
    <t>38472 a1744</t>
  </si>
  <si>
    <t>7766 a1737</t>
  </si>
  <si>
    <t>38743 abono</t>
  </si>
  <si>
    <t>38568 a1746</t>
  </si>
  <si>
    <t>26770 a1774</t>
  </si>
  <si>
    <t xml:space="preserve">1081 a1769 </t>
  </si>
  <si>
    <t>26767 a1770</t>
  </si>
  <si>
    <t>540758 a1791</t>
  </si>
  <si>
    <t>39617 a1825</t>
  </si>
  <si>
    <t>5035 a1817</t>
  </si>
  <si>
    <t>363 a1815</t>
  </si>
  <si>
    <t>1158 a1816</t>
  </si>
  <si>
    <t>2284 a1829</t>
  </si>
  <si>
    <t>2159 a1836</t>
  </si>
  <si>
    <t>4365 a1831</t>
  </si>
  <si>
    <t>915 a1835</t>
  </si>
  <si>
    <t>10821 a1832</t>
  </si>
  <si>
    <t>3438 a1843</t>
  </si>
  <si>
    <t>916 a1863</t>
  </si>
  <si>
    <t>1802 a1856</t>
  </si>
  <si>
    <t>540758 a1791 - NC</t>
  </si>
  <si>
    <t>4414 a1860</t>
  </si>
  <si>
    <t>1213 a1880</t>
  </si>
  <si>
    <t>915 a1835 ND</t>
  </si>
  <si>
    <t>5336 a1871</t>
  </si>
  <si>
    <t>13023 a1870</t>
  </si>
  <si>
    <t>3668 a1882</t>
  </si>
  <si>
    <t>322319 a1893</t>
  </si>
  <si>
    <t>541242 a1892</t>
  </si>
  <si>
    <t>40933 a1894</t>
  </si>
  <si>
    <t>2310 a1896</t>
  </si>
  <si>
    <t>4408 a1891</t>
  </si>
  <si>
    <t>1253 a1895</t>
  </si>
  <si>
    <t>2269 a1911</t>
  </si>
  <si>
    <t>8546 a1909</t>
  </si>
  <si>
    <t>8546 a1910</t>
  </si>
  <si>
    <t>4783 a1925</t>
  </si>
  <si>
    <t>1272 a1920</t>
  </si>
  <si>
    <t>2299 a1928</t>
  </si>
  <si>
    <t>217 a1953</t>
  </si>
  <si>
    <t>218 a1960</t>
  </si>
  <si>
    <t>2336 a1962</t>
  </si>
  <si>
    <t>1316 a1968</t>
  </si>
  <si>
    <t>638783 a1998</t>
  </si>
  <si>
    <t>3105 a1984</t>
  </si>
  <si>
    <t>3101 a1983</t>
  </si>
  <si>
    <t>3099 a1985</t>
  </si>
  <si>
    <t>28234 a1978</t>
  </si>
  <si>
    <t>2075 a1986</t>
  </si>
  <si>
    <t>42762 a1987</t>
  </si>
  <si>
    <t>42761 a1995</t>
  </si>
  <si>
    <t>28302 a1994</t>
  </si>
  <si>
    <t>1263 a2044</t>
  </si>
  <si>
    <t>2136 a2006</t>
  </si>
  <si>
    <t>1342 a2004</t>
  </si>
  <si>
    <t>6373 a2010</t>
  </si>
  <si>
    <t>1249 a2013</t>
  </si>
  <si>
    <t>SG657 aBONO</t>
  </si>
  <si>
    <t>6426 a2021</t>
  </si>
  <si>
    <t>542117 a2012</t>
  </si>
  <si>
    <t>322830 a2012</t>
  </si>
  <si>
    <t>2355 a2020</t>
  </si>
  <si>
    <t>3562 a2019</t>
  </si>
  <si>
    <t>4366 a2023</t>
  </si>
  <si>
    <t>6426 a2021 nc258</t>
  </si>
  <si>
    <t>4947 a2026</t>
  </si>
  <si>
    <t>43579 a2030</t>
  </si>
  <si>
    <t>pilas centro a2031</t>
  </si>
  <si>
    <t>625 a2039</t>
  </si>
  <si>
    <t>3587 a2040</t>
  </si>
  <si>
    <t>2183 a2049</t>
  </si>
  <si>
    <t>323017 a2047</t>
  </si>
  <si>
    <t>643360 a2062</t>
  </si>
  <si>
    <t>pilas centro a2052</t>
  </si>
  <si>
    <t>1277 a2063</t>
  </si>
  <si>
    <t>1276 a2063</t>
  </si>
  <si>
    <t>1278 a2063</t>
  </si>
  <si>
    <t>4911 a2067</t>
  </si>
  <si>
    <t>235 a2065</t>
  </si>
  <si>
    <t>6952 a2074</t>
  </si>
  <si>
    <t>4955 a2076</t>
  </si>
  <si>
    <t>9417 a2070</t>
  </si>
  <si>
    <t>9602 a2077</t>
  </si>
  <si>
    <t>2364 a2105</t>
  </si>
  <si>
    <t>239 a2087</t>
  </si>
  <si>
    <t>pilas centro a2079</t>
  </si>
  <si>
    <t>4729 a2027</t>
  </si>
  <si>
    <t>1282 a2095</t>
  </si>
  <si>
    <t>3562 a2019 abono</t>
  </si>
  <si>
    <t>4366 a2023 NC</t>
  </si>
  <si>
    <t>1424 a2147</t>
  </si>
  <si>
    <t>4901 a2143</t>
  </si>
  <si>
    <t>3532 a2145</t>
  </si>
  <si>
    <t>2531 a2145</t>
  </si>
  <si>
    <t>5053 a2146</t>
  </si>
  <si>
    <t>5051 a2140</t>
  </si>
  <si>
    <t>2245 a2112</t>
  </si>
  <si>
    <t>45531 a2160</t>
  </si>
  <si>
    <t>4986 a2170</t>
  </si>
  <si>
    <t>1454 a2163</t>
  </si>
  <si>
    <t>1320 a2158</t>
  </si>
  <si>
    <t>29746 a2168</t>
  </si>
  <si>
    <t>3393 a2166</t>
  </si>
  <si>
    <t>5106 a2164</t>
  </si>
  <si>
    <t>254 a2180</t>
  </si>
  <si>
    <t>5128 a2185</t>
  </si>
  <si>
    <t>7694 a2195</t>
  </si>
  <si>
    <t>04736 a2210</t>
  </si>
  <si>
    <t>3713 a2187</t>
  </si>
  <si>
    <t>1337 a2220</t>
  </si>
  <si>
    <t>260 a2233</t>
  </si>
  <si>
    <t>7889 a2242</t>
  </si>
  <si>
    <t>1342 a2243</t>
  </si>
  <si>
    <t>1504 a2246</t>
  </si>
  <si>
    <t>04741 a2210</t>
  </si>
  <si>
    <t>47476 a2258</t>
  </si>
  <si>
    <t>8404 a2271</t>
  </si>
  <si>
    <t>1363 a2282</t>
  </si>
  <si>
    <t>7694 a2195 abono</t>
  </si>
  <si>
    <t>8498 a2297</t>
  </si>
  <si>
    <t>48214 a2298</t>
  </si>
  <si>
    <t>270 a2300</t>
  </si>
  <si>
    <t>324035 a2323</t>
  </si>
  <si>
    <t>344381 a2323</t>
  </si>
  <si>
    <t>344382 a2323</t>
  </si>
  <si>
    <t>5581 a2351</t>
  </si>
  <si>
    <t>2146 a2334</t>
  </si>
  <si>
    <t>3091 a2336</t>
  </si>
  <si>
    <t>5800 a2355</t>
  </si>
  <si>
    <t>9012 a2362 - FE6526</t>
  </si>
  <si>
    <t>1562 a2366</t>
  </si>
  <si>
    <t>450 a2368</t>
  </si>
  <si>
    <t>467 a2368</t>
  </si>
  <si>
    <t>466 a2368</t>
  </si>
  <si>
    <t>72 a2376</t>
  </si>
  <si>
    <t>544822 a2387</t>
  </si>
  <si>
    <t>324299 a2386</t>
  </si>
  <si>
    <t>5332 a2384</t>
  </si>
  <si>
    <t>75600 abono</t>
  </si>
  <si>
    <t>3256 a2395</t>
  </si>
  <si>
    <t>872 a2391</t>
  </si>
  <si>
    <t>50061 a2394</t>
  </si>
  <si>
    <t>116 a2393</t>
  </si>
  <si>
    <t>277 a2342</t>
  </si>
  <si>
    <t>1410 a2404</t>
  </si>
  <si>
    <t>1411 a2404 amazon</t>
  </si>
  <si>
    <t>9160 a2381</t>
  </si>
  <si>
    <t>51070 a2442</t>
  </si>
  <si>
    <t>1838 a2439</t>
  </si>
  <si>
    <t>51121 a2441</t>
  </si>
  <si>
    <t>1432 a2437 a2446</t>
  </si>
  <si>
    <t>3460 a2452</t>
  </si>
  <si>
    <t>1958 a2461</t>
  </si>
  <si>
    <t>5600 a2458</t>
  </si>
  <si>
    <t>abono 9160 a2381</t>
  </si>
  <si>
    <t>1443 a2472</t>
  </si>
  <si>
    <t>3509 a2473</t>
  </si>
  <si>
    <t>277 a2466</t>
  </si>
  <si>
    <t>2424 a2487</t>
  </si>
  <si>
    <t>324710 a2476</t>
  </si>
  <si>
    <t>545560 a2477</t>
  </si>
  <si>
    <t>1456 a2488</t>
  </si>
  <si>
    <t>1662 a2497</t>
  </si>
  <si>
    <t>5765 a2425</t>
  </si>
  <si>
    <t>1460 - A2502</t>
  </si>
  <si>
    <t>1466 - A2509</t>
  </si>
  <si>
    <t>1465 - A2518</t>
  </si>
  <si>
    <t>1463 - A 2518</t>
  </si>
  <si>
    <t>1463 - A2518</t>
  </si>
  <si>
    <t>ajuste ago26/20222 con juan guillermo</t>
  </si>
  <si>
    <t>BIGTRONICA X@</t>
  </si>
  <si>
    <t>FEC3525</t>
  </si>
  <si>
    <t>FI213548</t>
  </si>
  <si>
    <t>facturado a girlesa, NO SE PAGO POR INCUMPLIMEINTO DE ARCOSISTEMAS 26/8/22</t>
  </si>
  <si>
    <t>NACIONAL DE PILAS PANASONIC</t>
  </si>
  <si>
    <t>TUSPILAS.CO</t>
  </si>
  <si>
    <t>FEV54715</t>
  </si>
  <si>
    <t>ME520808</t>
  </si>
  <si>
    <t>GRUPO ZAMBRANO</t>
  </si>
  <si>
    <t>logistic@grupozambrano.com;info@servipilas.com;girlesa.ruiz@servipilas.com;joriescobar64@gmail.com</t>
  </si>
  <si>
    <t>devolución</t>
  </si>
  <si>
    <t>1475 - 293703</t>
  </si>
  <si>
    <t xml:space="preserve">ME510858 NC </t>
  </si>
  <si>
    <t>ME479977 nc</t>
  </si>
  <si>
    <t>ANTICIPO - 293703</t>
  </si>
  <si>
    <t>FETU 4267</t>
  </si>
  <si>
    <t>FETU4260 NC PEND</t>
  </si>
  <si>
    <t>FESJ182606</t>
  </si>
  <si>
    <t>ago-22</t>
  </si>
  <si>
    <t>ce</t>
  </si>
  <si>
    <t>mdedcnvi@bateriasduncan.com.co;girlesa.ruiz@servipilas.com;joriescobar64@gmail.com</t>
  </si>
  <si>
    <t>PSICOLOGA BEATRIZ FLOREZ X@</t>
  </si>
  <si>
    <t>004 286 48 021 Bancolombia ahorros</t>
  </si>
  <si>
    <t>horas seguridad y salud</t>
  </si>
  <si>
    <t>SM2359</t>
  </si>
  <si>
    <t>%</t>
  </si>
  <si>
    <t> Giro financiado resi</t>
  </si>
  <si>
    <t>VIGENTE</t>
  </si>
  <si>
    <t>TOTAL</t>
  </si>
  <si>
    <t>CREDITO No.</t>
  </si>
  <si>
    <t>KENEX 55546 dic 21</t>
  </si>
  <si>
    <t>FV11848</t>
  </si>
  <si>
    <t>FV11567</t>
  </si>
  <si>
    <t>A2540</t>
  </si>
  <si>
    <t>A2526</t>
  </si>
  <si>
    <t>NCE 10771</t>
  </si>
  <si>
    <t>FE-438 - 293703</t>
  </si>
  <si>
    <t>FE-439 - 293703</t>
  </si>
  <si>
    <t>1473 - A2540</t>
  </si>
  <si>
    <t>1474 - STAR TIME 663839</t>
  </si>
  <si>
    <t>10242688219  Bancolombia ahorros</t>
  </si>
  <si>
    <t>E-8715</t>
  </si>
  <si>
    <t>FEV56126</t>
  </si>
  <si>
    <t>SE-699</t>
  </si>
  <si>
    <t>FV-1958954</t>
  </si>
  <si>
    <t>FEV56151</t>
  </si>
  <si>
    <t>FEV56198</t>
  </si>
  <si>
    <t>FE-267</t>
  </si>
  <si>
    <t>LIA URIBE Seguridad y salud X@</t>
  </si>
  <si>
    <t>55126836537  Bancolombia ahorros</t>
  </si>
  <si>
    <t>liauribe@une.net.co;girlesa.ruiz@servipilas.com;joriescobar64@gmail.com</t>
  </si>
  <si>
    <t>XXXX</t>
  </si>
  <si>
    <t>SANTIAGO MURIEL Contador  X@</t>
  </si>
  <si>
    <t xml:space="preserve">91222722841  Bancolombia ahorros </t>
  </si>
  <si>
    <t>santiago30m@hotmail.com;girlesa.ruiz@servipilas.com;joriescobar64@gmail.com</t>
  </si>
  <si>
    <t>lsierra@santajuana.com.co;girlesa.ruiz@servipilas.com;joriescobar64@gmail.com</t>
  </si>
  <si>
    <t>O1003 Cuota extra</t>
  </si>
  <si>
    <t>O1003 admon</t>
  </si>
  <si>
    <t>L2293 Admon</t>
  </si>
  <si>
    <t>L2293 Cuota extra</t>
  </si>
  <si>
    <t>AR 44446</t>
  </si>
  <si>
    <t>PM-4376</t>
  </si>
  <si>
    <t>A-2528</t>
  </si>
  <si>
    <t>A-2556</t>
  </si>
  <si>
    <t>A-2548</t>
  </si>
  <si>
    <t>FE22844</t>
  </si>
  <si>
    <t>A-2561</t>
  </si>
  <si>
    <t>A-2559</t>
  </si>
  <si>
    <t>A-2547</t>
  </si>
  <si>
    <t>A-2562</t>
  </si>
  <si>
    <t>A-2560</t>
  </si>
  <si>
    <t>A-2557</t>
  </si>
  <si>
    <t>ABAJO PULSOS</t>
  </si>
  <si>
    <t>A-2542</t>
  </si>
  <si>
    <t>Abajo Yolanda</t>
  </si>
  <si>
    <t>A-2539</t>
  </si>
  <si>
    <t>NC -126007 - FAC 1056755</t>
  </si>
  <si>
    <t>FEF4850</t>
  </si>
  <si>
    <t>FEF4849</t>
  </si>
  <si>
    <t>FE 1557</t>
  </si>
  <si>
    <t>FEI100074582</t>
  </si>
  <si>
    <t>FEF4867</t>
  </si>
  <si>
    <t>FEF4868</t>
  </si>
  <si>
    <t>sep-22</t>
  </si>
  <si>
    <t>4330 dólar</t>
  </si>
  <si>
    <t>AJUSTE FIN DE MES dólar 4330</t>
  </si>
  <si>
    <t>A 2541</t>
  </si>
  <si>
    <t>67300016442 CTA CTE Bancolombia</t>
  </si>
  <si>
    <t>24098035016 CTA Ahorros BCS</t>
  </si>
  <si>
    <t>00591647411 CTA CTE Bancolombia</t>
  </si>
  <si>
    <t>027010875 CTA CTE Banco Occidente</t>
  </si>
  <si>
    <t>A2572</t>
  </si>
  <si>
    <t>ABAJO NIA</t>
  </si>
  <si>
    <t>A 2571</t>
  </si>
  <si>
    <t>A 2568</t>
  </si>
  <si>
    <t>CED 1418</t>
  </si>
  <si>
    <t>A 2574</t>
  </si>
  <si>
    <t>A 2565</t>
  </si>
  <si>
    <t xml:space="preserve"> A 2566</t>
  </si>
  <si>
    <t>Abajo aleko</t>
  </si>
  <si>
    <t xml:space="preserve"> A 2567</t>
  </si>
  <si>
    <t>Abajo MEGAMUNDO</t>
  </si>
  <si>
    <t>ABAJO MEGAMUNDO</t>
  </si>
  <si>
    <t>A 2570</t>
  </si>
  <si>
    <t>Abajo MUÑECOS J.M.J</t>
  </si>
  <si>
    <t>ABAJO MUÑECOS J.M.J</t>
  </si>
  <si>
    <t>3357 A 2573</t>
  </si>
  <si>
    <t>NC37334- ME519580</t>
  </si>
  <si>
    <t>ME519580 ojo sf 1768102</t>
  </si>
  <si>
    <t>ME518920</t>
  </si>
  <si>
    <t>ME521476</t>
  </si>
  <si>
    <t>FORWARD 14000usd</t>
  </si>
  <si>
    <t>10312,31</t>
  </si>
  <si>
    <t>BANCOLOMBIA USD$ 2555300332</t>
  </si>
  <si>
    <t>KENEX 57126 JUL 22</t>
  </si>
  <si>
    <t>abajo CONTADO</t>
  </si>
  <si>
    <t>MOLINOS</t>
  </si>
  <si>
    <t>SANDIEGO</t>
  </si>
  <si>
    <t>MAYORCA</t>
  </si>
  <si>
    <t>LA CENTRAL</t>
  </si>
  <si>
    <t>PUERTA DEL NORTE</t>
  </si>
  <si>
    <t>INT02245</t>
  </si>
  <si>
    <t>FV12424</t>
  </si>
  <si>
    <t>FV12683</t>
  </si>
  <si>
    <t>INT02078</t>
  </si>
  <si>
    <t>FVX14542</t>
  </si>
  <si>
    <t>FVX14541</t>
  </si>
  <si>
    <t>ID-476</t>
  </si>
  <si>
    <t>HFE1-1059870</t>
  </si>
  <si>
    <t>SG1542</t>
  </si>
  <si>
    <t>SG1543</t>
  </si>
  <si>
    <t>SG1544</t>
  </si>
  <si>
    <t>SG1545</t>
  </si>
  <si>
    <t>SG1550</t>
  </si>
  <si>
    <t>ABAJO CASILLERO</t>
  </si>
  <si>
    <t>A-2579</t>
  </si>
  <si>
    <t>03MS5153</t>
  </si>
  <si>
    <t>ABAJO EFREN</t>
  </si>
  <si>
    <t>ABAJO GUSTAVO PULSOS</t>
  </si>
  <si>
    <t>A-2583</t>
  </si>
  <si>
    <t>FECHA</t>
  </si>
  <si>
    <t>INTERESES</t>
  </si>
  <si>
    <t xml:space="preserve">PAGO </t>
  </si>
  <si>
    <t>VYP  P.A MERCURIO X@</t>
  </si>
  <si>
    <t>arrendamientos@vyp.com.co;girlesa.ruiz@servipilas.com;joriescobar64@gmail.com</t>
  </si>
  <si>
    <t>61100002255 Bancolombia corriente</t>
  </si>
  <si>
    <t>FEID26554</t>
  </si>
  <si>
    <t>BANCOLOMBIA CTA CTE # 60959261381</t>
  </si>
  <si>
    <t>1503A</t>
  </si>
  <si>
    <t>SP-6356</t>
  </si>
  <si>
    <t>FESJ183975</t>
  </si>
  <si>
    <t>S 19263 LO</t>
  </si>
  <si>
    <t>S 19295 OF</t>
  </si>
  <si>
    <t>AD 69248</t>
  </si>
  <si>
    <t>S 18983 Admon</t>
  </si>
  <si>
    <t>S 18941</t>
  </si>
  <si>
    <t>ZC 23775 FIBRA OPTICA</t>
  </si>
  <si>
    <t>ANTICIPO</t>
  </si>
  <si>
    <t>FE 304411</t>
  </si>
  <si>
    <t>HFE1-1060463</t>
  </si>
  <si>
    <t>FV-1971530</t>
  </si>
  <si>
    <t>FETU4613</t>
  </si>
  <si>
    <t>01FE10466</t>
  </si>
  <si>
    <t>A-2602</t>
  </si>
  <si>
    <t>A-2601</t>
  </si>
  <si>
    <t>A-2603</t>
  </si>
  <si>
    <t>A-2593</t>
  </si>
  <si>
    <t>A-2600</t>
  </si>
  <si>
    <t>A-2563</t>
  </si>
  <si>
    <t>A-2599</t>
  </si>
  <si>
    <t>13E259235</t>
  </si>
  <si>
    <t>HFE1-1060863</t>
  </si>
  <si>
    <t>2059829 ABONO  1965000</t>
  </si>
  <si>
    <t>Abajo UNIFORMES</t>
  </si>
  <si>
    <t>abajo UNIFORMES</t>
  </si>
  <si>
    <t>XXX ABONO X 925500</t>
  </si>
  <si>
    <t>FI229400</t>
  </si>
  <si>
    <t>SE - 732</t>
  </si>
  <si>
    <t>FEV58063</t>
  </si>
  <si>
    <t>01FE10569</t>
  </si>
  <si>
    <t>HFE1-1061039</t>
  </si>
  <si>
    <t>FE24195</t>
  </si>
  <si>
    <t>FEI100077550</t>
  </si>
  <si>
    <t>A-2611</t>
  </si>
  <si>
    <t>A-2612</t>
  </si>
  <si>
    <t xml:space="preserve">AMERICAN INSAP INGENIERIA Y SERVICIOS </t>
  </si>
  <si>
    <t>FE-2692</t>
  </si>
  <si>
    <t>FE-2719</t>
  </si>
  <si>
    <t>AMERICAN INSAP INGENIERIA</t>
  </si>
  <si>
    <t>MDEC 12243</t>
  </si>
  <si>
    <t>IFE41948</t>
  </si>
  <si>
    <t>1762 A-2619</t>
  </si>
  <si>
    <t>03MS5833</t>
  </si>
  <si>
    <t>TP8670</t>
  </si>
  <si>
    <t>03MS5855</t>
  </si>
  <si>
    <t>A-2624</t>
  </si>
  <si>
    <t>A-2623</t>
  </si>
  <si>
    <t>efectivos+ megared</t>
  </si>
  <si>
    <t>VTA INSTUCIONALES</t>
  </si>
  <si>
    <t>4900 DÓLAR</t>
  </si>
  <si>
    <t>AJUSTE FIN DEMES</t>
  </si>
  <si>
    <t>Oct-22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</si>
</sst>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&quot;$&quot;\ #,##0.00;[Red]\-&quot;$&quot;\ #,##0.00"/>
    <numFmt numFmtId="165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&quot;$&quot;\ #,##0_);[Red]\(&quot;$&quot;\ #,##0\)"/>
    <numFmt numFmtId="169" formatCode="&quot;$&quot;#,##0;[Red]\-&quot;$&quot;#,##0"/>
    <numFmt numFmtId="170" formatCode="m/d/yyyy"/>
    <numFmt numFmtId="171" formatCode="0.0%"/>
    <numFmt numFmtId="172" formatCode="dd\ &quot;de&quot;\ mmmm\ &quot;de&quot;\ yyyy"/>
    <numFmt numFmtId="173" formatCode="&quot;$&quot;#,##0.0;[Red]\-&quot;$&quot;#,##0.0"/>
    <numFmt numFmtId="174" formatCode="dd/mm/yyyy;@"/>
    <numFmt numFmtId="175" formatCode="&quot;$&quot;#,##0.00;[Red]\-&quot;$&quot;#,##0.00"/>
    <numFmt numFmtId="176" formatCode="_(&quot;$&quot;* #,##0_);_(&quot;$&quot;* \(#,##0\);_(&quot;$&quot;* &quot;-&quot;??_);_(@_)"/>
  </numFmts>
  <fonts count="8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2"/>
      <color theme="1" tint="4.9989318521683403E-2"/>
      <name val="Calibri"/>
      <family val="2"/>
      <scheme val="minor"/>
    </font>
    <font>
      <sz val="11"/>
      <name val="Bell MT"/>
    </font>
    <font>
      <b/>
      <sz val="12"/>
      <name val="Bell MT"/>
    </font>
    <font>
      <b/>
      <sz val="12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rgb="FFD9E2F3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18" fillId="0" borderId="0" applyNumberFormat="0" applyFill="0" applyBorder="0" applyAlignment="0" applyProtection="0"/>
    <xf numFmtId="0" fontId="19" fillId="0" borderId="0"/>
    <xf numFmtId="167" fontId="21" fillId="0" borderId="0" applyFont="0" applyFill="0" applyBorder="0" applyAlignment="0" applyProtection="0"/>
  </cellStyleXfs>
  <cellXfs count="278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3" xfId="0" applyNumberFormat="1" applyFont="1" applyBorder="1" applyAlignment="1">
      <alignment horizontal="center" vertical="center"/>
    </xf>
    <xf numFmtId="165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68" fontId="12" fillId="0" borderId="0" xfId="0" applyNumberFormat="1" applyFont="1" applyAlignment="1">
      <alignment vertical="center"/>
    </xf>
    <xf numFmtId="0" fontId="12" fillId="4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165" fontId="12" fillId="4" borderId="0" xfId="0" applyNumberFormat="1" applyFont="1" applyFill="1" applyAlignment="1">
      <alignment vertical="center"/>
    </xf>
    <xf numFmtId="166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71" fontId="1" fillId="2" borderId="0" xfId="0" applyNumberFormat="1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169" fontId="7" fillId="0" borderId="0" xfId="0" applyNumberFormat="1" applyFont="1" applyAlignment="1">
      <alignment vertical="center"/>
    </xf>
    <xf numFmtId="169" fontId="1" fillId="0" borderId="0" xfId="0" applyNumberFormat="1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" fillId="4" borderId="0" xfId="0" applyFont="1" applyFill="1" applyAlignment="1">
      <alignment vertical="center"/>
    </xf>
    <xf numFmtId="166" fontId="5" fillId="0" borderId="0" xfId="0" applyNumberFormat="1" applyFont="1" applyAlignment="1">
      <alignment vertical="center"/>
    </xf>
    <xf numFmtId="170" fontId="7" fillId="0" borderId="0" xfId="0" applyNumberFormat="1" applyFont="1" applyAlignment="1">
      <alignment horizontal="left" vertical="center"/>
    </xf>
    <xf numFmtId="0" fontId="1" fillId="4" borderId="0" xfId="0" applyFont="1" applyFill="1"/>
    <xf numFmtId="0" fontId="5" fillId="4" borderId="0" xfId="0" applyFont="1" applyFill="1" applyAlignment="1">
      <alignment vertical="center"/>
    </xf>
    <xf numFmtId="166" fontId="5" fillId="4" borderId="0" xfId="0" applyNumberFormat="1" applyFont="1" applyFill="1" applyAlignment="1">
      <alignment vertical="center"/>
    </xf>
    <xf numFmtId="166" fontId="6" fillId="4" borderId="0" xfId="0" applyNumberFormat="1" applyFont="1" applyFill="1" applyAlignment="1">
      <alignment vertical="center"/>
    </xf>
    <xf numFmtId="0" fontId="7" fillId="4" borderId="0" xfId="0" applyFont="1" applyFill="1" applyAlignment="1">
      <alignment vertical="center"/>
    </xf>
    <xf numFmtId="171" fontId="1" fillId="4" borderId="0" xfId="0" applyNumberFormat="1" applyFont="1" applyFill="1" applyAlignment="1">
      <alignment vertical="center"/>
    </xf>
    <xf numFmtId="165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left" vertical="center"/>
    </xf>
    <xf numFmtId="1" fontId="7" fillId="2" borderId="0" xfId="0" applyNumberFormat="1" applyFont="1" applyFill="1" applyAlignment="1">
      <alignment horizontal="left" vertical="center" wrapText="1"/>
    </xf>
    <xf numFmtId="1" fontId="7" fillId="4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vertical="center"/>
    </xf>
    <xf numFmtId="0" fontId="13" fillId="5" borderId="4" xfId="0" applyFont="1" applyFill="1" applyBorder="1" applyAlignment="1">
      <alignment vertical="center" wrapText="1"/>
    </xf>
    <xf numFmtId="0" fontId="13" fillId="6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0" fontId="15" fillId="6" borderId="0" xfId="0" applyFont="1" applyFill="1"/>
    <xf numFmtId="0" fontId="16" fillId="6" borderId="0" xfId="0" applyFont="1" applyFill="1"/>
    <xf numFmtId="0" fontId="16" fillId="5" borderId="0" xfId="0" applyFont="1" applyFill="1"/>
    <xf numFmtId="165" fontId="16" fillId="6" borderId="0" xfId="0" applyNumberFormat="1" applyFont="1" applyFill="1"/>
    <xf numFmtId="165" fontId="16" fillId="5" borderId="0" xfId="0" applyNumberFormat="1" applyFont="1" applyFill="1"/>
    <xf numFmtId="165" fontId="15" fillId="5" borderId="0" xfId="0" applyNumberFormat="1" applyFont="1" applyFill="1"/>
    <xf numFmtId="165" fontId="15" fillId="6" borderId="0" xfId="0" applyNumberFormat="1" applyFont="1" applyFill="1"/>
    <xf numFmtId="0" fontId="12" fillId="0" borderId="0" xfId="0" applyFont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165" fontId="0" fillId="0" borderId="0" xfId="0" applyNumberFormat="1" applyAlignment="1">
      <alignment vertical="center"/>
    </xf>
    <xf numFmtId="166" fontId="12" fillId="0" borderId="0" xfId="0" applyNumberFormat="1" applyFont="1" applyAlignment="1">
      <alignment vertical="center"/>
    </xf>
    <xf numFmtId="166" fontId="11" fillId="0" borderId="2" xfId="0" applyNumberFormat="1" applyFont="1" applyBorder="1" applyAlignment="1">
      <alignment horizontal="center" vertical="center" wrapText="1"/>
    </xf>
    <xf numFmtId="17" fontId="0" fillId="0" borderId="0" xfId="0" applyNumberFormat="1" applyAlignment="1">
      <alignment vertical="center"/>
    </xf>
    <xf numFmtId="0" fontId="3" fillId="8" borderId="4" xfId="0" applyFont="1" applyFill="1" applyBorder="1" applyAlignment="1">
      <alignment horizontal="left" vertical="center" wrapText="1"/>
    </xf>
    <xf numFmtId="166" fontId="0" fillId="0" borderId="0" xfId="0" applyNumberFormat="1" applyAlignment="1">
      <alignment horizontal="right" vertical="center"/>
    </xf>
    <xf numFmtId="0" fontId="5" fillId="0" borderId="0" xfId="0" applyFont="1" applyAlignment="1">
      <alignment vertical="center"/>
    </xf>
    <xf numFmtId="165" fontId="0" fillId="0" borderId="0" xfId="0" applyNumberFormat="1" applyAlignment="1">
      <alignment horizontal="right" vertical="center"/>
    </xf>
    <xf numFmtId="166" fontId="12" fillId="0" borderId="0" xfId="0" applyNumberFormat="1" applyFont="1" applyAlignment="1">
      <alignment vertical="center" wrapText="1"/>
    </xf>
    <xf numFmtId="14" fontId="0" fillId="0" borderId="0" xfId="0" applyNumberFormat="1" applyAlignment="1">
      <alignment vertical="center"/>
    </xf>
    <xf numFmtId="165" fontId="17" fillId="6" borderId="0" xfId="0" applyNumberFormat="1" applyFont="1" applyFill="1"/>
    <xf numFmtId="165" fontId="0" fillId="6" borderId="0" xfId="0" applyNumberFormat="1" applyFill="1"/>
    <xf numFmtId="16" fontId="0" fillId="0" borderId="0" xfId="0" applyNumberFormat="1"/>
    <xf numFmtId="172" fontId="0" fillId="0" borderId="0" xfId="0" applyNumberFormat="1"/>
    <xf numFmtId="0" fontId="22" fillId="0" borderId="0" xfId="0" applyFont="1" applyAlignment="1">
      <alignment vertical="center"/>
    </xf>
    <xf numFmtId="1" fontId="5" fillId="2" borderId="0" xfId="3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166" fontId="1" fillId="4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70" fontId="6" fillId="4" borderId="0" xfId="0" applyNumberFormat="1" applyFont="1" applyFill="1" applyAlignment="1">
      <alignment vertical="center"/>
    </xf>
    <xf numFmtId="170" fontId="6" fillId="0" borderId="0" xfId="0" applyNumberFormat="1" applyFont="1" applyAlignment="1">
      <alignment vertical="center"/>
    </xf>
    <xf numFmtId="173" fontId="7" fillId="0" borderId="0" xfId="0" applyNumberFormat="1" applyFont="1" applyAlignment="1">
      <alignment vertical="center"/>
    </xf>
    <xf numFmtId="166" fontId="1" fillId="4" borderId="0" xfId="0" applyNumberFormat="1" applyFont="1" applyFill="1" applyAlignment="1">
      <alignment vertical="center"/>
    </xf>
    <xf numFmtId="165" fontId="10" fillId="4" borderId="0" xfId="0" applyNumberFormat="1" applyFont="1" applyFill="1" applyAlignment="1">
      <alignment vertical="center"/>
    </xf>
    <xf numFmtId="17" fontId="0" fillId="0" borderId="5" xfId="0" applyNumberFormat="1" applyBorder="1" applyAlignment="1">
      <alignment vertical="center"/>
    </xf>
    <xf numFmtId="166" fontId="0" fillId="7" borderId="4" xfId="0" applyNumberFormat="1" applyFill="1" applyBorder="1" applyAlignment="1">
      <alignment vertical="center"/>
    </xf>
    <xf numFmtId="166" fontId="0" fillId="0" borderId="4" xfId="0" applyNumberFormat="1" applyBorder="1" applyAlignment="1">
      <alignment vertical="center"/>
    </xf>
    <xf numFmtId="166" fontId="0" fillId="0" borderId="4" xfId="0" applyNumberFormat="1" applyBorder="1" applyAlignment="1">
      <alignment horizontal="right" vertical="center"/>
    </xf>
    <xf numFmtId="165" fontId="0" fillId="0" borderId="0" xfId="0" applyNumberFormat="1"/>
    <xf numFmtId="10" fontId="1" fillId="0" borderId="0" xfId="0" applyNumberFormat="1" applyFont="1" applyAlignment="1">
      <alignment vertical="center"/>
    </xf>
    <xf numFmtId="10" fontId="7" fillId="4" borderId="0" xfId="0" applyNumberFormat="1" applyFont="1" applyFill="1" applyAlignment="1">
      <alignment vertical="center"/>
    </xf>
    <xf numFmtId="171" fontId="0" fillId="0" borderId="0" xfId="0" applyNumberFormat="1"/>
    <xf numFmtId="171" fontId="0" fillId="10" borderId="0" xfId="0" applyNumberFormat="1" applyFill="1"/>
    <xf numFmtId="0" fontId="0" fillId="10" borderId="0" xfId="0" applyFill="1"/>
    <xf numFmtId="165" fontId="0" fillId="10" borderId="0" xfId="0" applyNumberFormat="1" applyFill="1"/>
    <xf numFmtId="1" fontId="20" fillId="10" borderId="0" xfId="0" applyNumberFormat="1" applyFont="1" applyFill="1"/>
    <xf numFmtId="171" fontId="20" fillId="10" borderId="0" xfId="0" applyNumberFormat="1" applyFont="1" applyFill="1"/>
    <xf numFmtId="1" fontId="20" fillId="0" borderId="0" xfId="0" applyNumberFormat="1" applyFont="1"/>
    <xf numFmtId="1" fontId="7" fillId="10" borderId="0" xfId="0" applyNumberFormat="1" applyFont="1" applyFill="1" applyAlignment="1">
      <alignment horizontal="right" vertical="center" wrapText="1"/>
    </xf>
    <xf numFmtId="1" fontId="7" fillId="10" borderId="0" xfId="0" applyNumberFormat="1" applyFont="1" applyFill="1" applyAlignment="1">
      <alignment horizontal="center" vertical="center" wrapText="1"/>
    </xf>
    <xf numFmtId="165" fontId="7" fillId="10" borderId="0" xfId="0" applyNumberFormat="1" applyFont="1" applyFill="1" applyAlignment="1">
      <alignment horizontal="center" vertical="center" wrapText="1"/>
    </xf>
    <xf numFmtId="171" fontId="7" fillId="10" borderId="0" xfId="0" applyNumberFormat="1" applyFont="1" applyFill="1" applyAlignment="1">
      <alignment horizontal="center" vertical="center" wrapText="1"/>
    </xf>
    <xf numFmtId="1" fontId="7" fillId="10" borderId="0" xfId="0" applyNumberFormat="1" applyFont="1" applyFill="1" applyAlignment="1">
      <alignment horizontal="right" vertical="center"/>
    </xf>
    <xf numFmtId="1" fontId="7" fillId="10" borderId="0" xfId="0" applyNumberFormat="1" applyFont="1" applyFill="1" applyAlignment="1">
      <alignment vertical="center"/>
    </xf>
    <xf numFmtId="165" fontId="7" fillId="10" borderId="0" xfId="0" applyNumberFormat="1" applyFont="1" applyFill="1" applyAlignment="1">
      <alignment vertical="center"/>
    </xf>
    <xf numFmtId="171" fontId="7" fillId="10" borderId="0" xfId="0" applyNumberFormat="1" applyFont="1" applyFill="1" applyAlignment="1">
      <alignment vertical="center"/>
    </xf>
    <xf numFmtId="1" fontId="1" fillId="10" borderId="0" xfId="0" applyNumberFormat="1" applyFont="1" applyFill="1" applyAlignment="1">
      <alignment horizontal="right" vertical="center"/>
    </xf>
    <xf numFmtId="1" fontId="1" fillId="10" borderId="0" xfId="0" applyNumberFormat="1" applyFont="1" applyFill="1" applyAlignment="1">
      <alignment vertical="center"/>
    </xf>
    <xf numFmtId="165" fontId="1" fillId="10" borderId="0" xfId="0" applyNumberFormat="1" applyFont="1" applyFill="1" applyAlignment="1">
      <alignment vertical="center"/>
    </xf>
    <xf numFmtId="171" fontId="1" fillId="10" borderId="0" xfId="0" applyNumberFormat="1" applyFont="1" applyFill="1" applyAlignment="1">
      <alignment vertical="center"/>
    </xf>
    <xf numFmtId="170" fontId="23" fillId="0" borderId="0" xfId="0" applyNumberFormat="1" applyFont="1" applyAlignment="1">
      <alignment horizontal="left"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171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4" fillId="0" borderId="0" xfId="0" applyFont="1" applyAlignment="1">
      <alignment vertical="center"/>
    </xf>
    <xf numFmtId="1" fontId="25" fillId="10" borderId="0" xfId="0" applyNumberFormat="1" applyFont="1" applyFill="1" applyAlignment="1">
      <alignment horizontal="right" vertical="center"/>
    </xf>
    <xf numFmtId="1" fontId="25" fillId="10" borderId="0" xfId="0" applyNumberFormat="1" applyFont="1" applyFill="1" applyAlignment="1">
      <alignment vertical="center"/>
    </xf>
    <xf numFmtId="165" fontId="25" fillId="10" borderId="0" xfId="0" applyNumberFormat="1" applyFont="1" applyFill="1" applyAlignment="1">
      <alignment vertical="center"/>
    </xf>
    <xf numFmtId="171" fontId="25" fillId="10" borderId="0" xfId="0" applyNumberFormat="1" applyFont="1" applyFill="1" applyAlignment="1">
      <alignment vertical="center"/>
    </xf>
    <xf numFmtId="166" fontId="0" fillId="0" borderId="0" xfId="0" applyNumberFormat="1"/>
    <xf numFmtId="0" fontId="26" fillId="0" borderId="0" xfId="0" applyFont="1" applyAlignment="1">
      <alignment vertical="center"/>
    </xf>
    <xf numFmtId="0" fontId="18" fillId="0" borderId="0" xfId="1" applyFill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3" fillId="11" borderId="0" xfId="0" applyFont="1" applyFill="1" applyAlignment="1">
      <alignment vertical="center"/>
    </xf>
    <xf numFmtId="1" fontId="3" fillId="11" borderId="0" xfId="0" applyNumberFormat="1" applyFont="1" applyFill="1" applyAlignment="1">
      <alignment horizontal="right" vertical="center"/>
    </xf>
    <xf numFmtId="166" fontId="3" fillId="11" borderId="0" xfId="0" applyNumberFormat="1" applyFont="1" applyFill="1" applyAlignment="1">
      <alignment vertical="center"/>
    </xf>
    <xf numFmtId="0" fontId="0" fillId="11" borderId="0" xfId="0" applyFill="1" applyAlignment="1">
      <alignment horizontal="center" vertical="center"/>
    </xf>
    <xf numFmtId="0" fontId="31" fillId="11" borderId="0" xfId="1" quotePrefix="1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5" fillId="0" borderId="0" xfId="0" applyFont="1" applyAlignment="1">
      <alignment vertical="center"/>
    </xf>
    <xf numFmtId="165" fontId="15" fillId="12" borderId="0" xfId="0" applyNumberFormat="1" applyFont="1" applyFill="1"/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1" fontId="7" fillId="0" borderId="0" xfId="0" quotePrefix="1" applyNumberFormat="1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14" fontId="12" fillId="0" borderId="0" xfId="0" applyNumberFormat="1" applyFont="1" applyAlignment="1">
      <alignment vertical="center"/>
    </xf>
    <xf numFmtId="14" fontId="12" fillId="4" borderId="0" xfId="0" applyNumberFormat="1" applyFont="1" applyFill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0" fillId="13" borderId="0" xfId="0" applyFill="1"/>
    <xf numFmtId="166" fontId="0" fillId="13" borderId="0" xfId="0" applyNumberFormat="1" applyFill="1"/>
    <xf numFmtId="1" fontId="0" fillId="0" borderId="0" xfId="0" applyNumberFormat="1"/>
    <xf numFmtId="14" fontId="0" fillId="13" borderId="0" xfId="0" applyNumberFormat="1" applyFill="1"/>
    <xf numFmtId="166" fontId="0" fillId="0" borderId="0" xfId="0" applyNumberFormat="1" applyAlignment="1">
      <alignment horizontal="left" wrapText="1"/>
    </xf>
    <xf numFmtId="14" fontId="23" fillId="13" borderId="6" xfId="0" applyNumberFormat="1" applyFont="1" applyFill="1" applyBorder="1" applyAlignment="1">
      <alignment horizontal="center" wrapText="1"/>
    </xf>
    <xf numFmtId="1" fontId="0" fillId="13" borderId="0" xfId="0" applyNumberFormat="1" applyFill="1"/>
    <xf numFmtId="174" fontId="0" fillId="13" borderId="0" xfId="0" applyNumberFormat="1" applyFill="1"/>
    <xf numFmtId="174" fontId="0" fillId="0" borderId="0" xfId="0" applyNumberFormat="1"/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14" fontId="6" fillId="4" borderId="0" xfId="0" applyNumberFormat="1" applyFont="1" applyFill="1" applyAlignment="1">
      <alignment vertical="center"/>
    </xf>
    <xf numFmtId="14" fontId="6" fillId="2" borderId="0" xfId="0" applyNumberFormat="1" applyFont="1" applyFill="1" applyAlignment="1">
      <alignment horizontal="center" vertical="center" wrapText="1"/>
    </xf>
    <xf numFmtId="0" fontId="0" fillId="0" borderId="10" xfId="0" applyBorder="1"/>
    <xf numFmtId="0" fontId="50" fillId="0" borderId="9" xfId="0" applyFont="1" applyBorder="1"/>
    <xf numFmtId="0" fontId="0" fillId="0" borderId="8" xfId="0" applyBorder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51" fillId="0" borderId="0" xfId="1" applyFont="1" applyFill="1" applyAlignment="1">
      <alignment vertical="center"/>
    </xf>
    <xf numFmtId="0" fontId="0" fillId="14" borderId="0" xfId="0" applyFill="1"/>
    <xf numFmtId="0" fontId="6" fillId="15" borderId="11" xfId="0" applyFont="1" applyFill="1" applyBorder="1" applyAlignment="1">
      <alignment horizontal="center" vertical="center" wrapText="1"/>
    </xf>
    <xf numFmtId="0" fontId="7" fillId="15" borderId="11" xfId="0" applyFont="1" applyFill="1" applyBorder="1" applyAlignment="1">
      <alignment horizontal="center" vertical="center" wrapText="1"/>
    </xf>
    <xf numFmtId="14" fontId="6" fillId="15" borderId="11" xfId="0" applyNumberFormat="1" applyFont="1" applyFill="1" applyBorder="1" applyAlignment="1">
      <alignment horizontal="center" vertical="center" wrapText="1"/>
    </xf>
    <xf numFmtId="1" fontId="7" fillId="15" borderId="11" xfId="0" applyNumberFormat="1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171" fontId="3" fillId="15" borderId="11" xfId="0" applyNumberFormat="1" applyFont="1" applyFill="1" applyBorder="1" applyAlignment="1">
      <alignment horizontal="center" vertical="center" wrapText="1"/>
    </xf>
    <xf numFmtId="0" fontId="20" fillId="15" borderId="0" xfId="0" applyFont="1" applyFill="1" applyAlignment="1">
      <alignment horizontal="center" vertical="center"/>
    </xf>
    <xf numFmtId="175" fontId="7" fillId="0" borderId="0" xfId="0" applyNumberFormat="1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0" fillId="0" borderId="0" xfId="0" applyAlignment="1">
      <alignment horizontal="center"/>
    </xf>
    <xf numFmtId="166" fontId="23" fillId="0" borderId="7" xfId="0" applyNumberFormat="1" applyFont="1" applyBorder="1" applyAlignment="1">
      <alignment vertical="center" wrapText="1"/>
    </xf>
    <xf numFmtId="166" fontId="23" fillId="0" borderId="8" xfId="0" applyNumberFormat="1" applyFont="1" applyBorder="1" applyAlignment="1">
      <alignment vertical="center" wrapText="1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20" fillId="14" borderId="0" xfId="0" applyFont="1" applyFill="1"/>
    <xf numFmtId="0" fontId="0" fillId="15" borderId="0" xfId="0" applyFill="1"/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13" fillId="16" borderId="4" xfId="0" applyFont="1" applyFill="1" applyBorder="1" applyAlignment="1">
      <alignment vertical="center" wrapText="1"/>
    </xf>
    <xf numFmtId="165" fontId="15" fillId="16" borderId="0" xfId="0" applyNumberFormat="1" applyFont="1" applyFill="1"/>
    <xf numFmtId="0" fontId="66" fillId="0" borderId="0" xfId="0" applyFont="1" applyAlignment="1">
      <alignment vertical="center"/>
    </xf>
    <xf numFmtId="0" fontId="67" fillId="0" borderId="0" xfId="0" applyFont="1" applyAlignment="1">
      <alignment vertical="center"/>
    </xf>
    <xf numFmtId="14" fontId="6" fillId="9" borderId="0" xfId="0" applyNumberFormat="1" applyFont="1" applyFill="1" applyAlignment="1">
      <alignment vertical="center"/>
    </xf>
    <xf numFmtId="14" fontId="6" fillId="15" borderId="11" xfId="0" applyNumberFormat="1" applyFont="1" applyFill="1" applyBorder="1" applyAlignment="1">
      <alignment horizontal="center" vertical="center"/>
    </xf>
    <xf numFmtId="164" fontId="0" fillId="0" borderId="0" xfId="0" applyNumberFormat="1"/>
    <xf numFmtId="168" fontId="12" fillId="9" borderId="0" xfId="0" applyNumberFormat="1" applyFont="1" applyFill="1" applyAlignment="1">
      <alignment vertical="center"/>
    </xf>
    <xf numFmtId="0" fontId="12" fillId="9" borderId="0" xfId="0" applyFont="1" applyFill="1" applyAlignment="1">
      <alignment vertical="center"/>
    </xf>
    <xf numFmtId="166" fontId="12" fillId="9" borderId="0" xfId="0" applyNumberFormat="1" applyFont="1" applyFill="1" applyAlignment="1">
      <alignment vertical="center"/>
    </xf>
    <xf numFmtId="0" fontId="68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165" fontId="12" fillId="9" borderId="0" xfId="0" applyNumberFormat="1" applyFont="1" applyFill="1" applyAlignment="1">
      <alignment horizontal="center" vertical="center"/>
    </xf>
    <xf numFmtId="165" fontId="12" fillId="9" borderId="0" xfId="0" applyNumberFormat="1" applyFont="1" applyFill="1" applyAlignment="1">
      <alignment vertical="center"/>
    </xf>
    <xf numFmtId="0" fontId="70" fillId="0" borderId="0" xfId="0" applyFont="1" applyAlignment="1">
      <alignment vertical="center"/>
    </xf>
    <xf numFmtId="0" fontId="71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74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0" fontId="77" fillId="0" borderId="0" xfId="0" applyFont="1" applyAlignment="1">
      <alignment vertical="center"/>
    </xf>
    <xf numFmtId="164" fontId="20" fillId="0" borderId="0" xfId="0" applyNumberFormat="1" applyFont="1"/>
    <xf numFmtId="164" fontId="0" fillId="0" borderId="0" xfId="0" applyNumberFormat="1" applyAlignment="1">
      <alignment horizontal="center"/>
    </xf>
    <xf numFmtId="0" fontId="78" fillId="0" borderId="0" xfId="0" applyFont="1" applyAlignment="1">
      <alignment vertical="center"/>
    </xf>
    <xf numFmtId="0" fontId="79" fillId="0" borderId="0" xfId="0" applyFont="1" applyAlignment="1">
      <alignment vertical="center"/>
    </xf>
    <xf numFmtId="0" fontId="20" fillId="0" borderId="0" xfId="0" applyFont="1"/>
    <xf numFmtId="0" fontId="18" fillId="0" borderId="0" xfId="1"/>
    <xf numFmtId="0" fontId="5" fillId="14" borderId="0" xfId="0" applyFont="1" applyFill="1" applyAlignment="1">
      <alignment vertical="center"/>
    </xf>
    <xf numFmtId="14" fontId="6" fillId="14" borderId="0" xfId="0" applyNumberFormat="1" applyFont="1" applyFill="1" applyAlignment="1">
      <alignment vertical="center"/>
    </xf>
    <xf numFmtId="170" fontId="7" fillId="14" borderId="0" xfId="0" applyNumberFormat="1" applyFont="1" applyFill="1" applyAlignment="1">
      <alignment horizontal="left" vertical="center"/>
    </xf>
    <xf numFmtId="1" fontId="7" fillId="14" borderId="0" xfId="0" applyNumberFormat="1" applyFont="1" applyFill="1" applyAlignment="1">
      <alignment horizontal="left" vertical="center"/>
    </xf>
    <xf numFmtId="169" fontId="7" fillId="14" borderId="0" xfId="0" applyNumberFormat="1" applyFont="1" applyFill="1" applyAlignment="1">
      <alignment vertical="center"/>
    </xf>
    <xf numFmtId="169" fontId="1" fillId="14" borderId="0" xfId="0" applyNumberFormat="1" applyFont="1" applyFill="1" applyAlignment="1">
      <alignment vertical="center"/>
    </xf>
    <xf numFmtId="171" fontId="1" fillId="14" borderId="0" xfId="0" applyNumberFormat="1" applyFont="1" applyFill="1" applyAlignment="1">
      <alignment vertical="center"/>
    </xf>
    <xf numFmtId="10" fontId="1" fillId="14" borderId="0" xfId="0" applyNumberFormat="1" applyFont="1" applyFill="1" applyAlignment="1">
      <alignment vertical="center"/>
    </xf>
    <xf numFmtId="169" fontId="7" fillId="14" borderId="11" xfId="0" applyNumberFormat="1" applyFont="1" applyFill="1" applyBorder="1" applyAlignment="1">
      <alignment vertical="center"/>
    </xf>
    <xf numFmtId="169" fontId="7" fillId="15" borderId="11" xfId="0" applyNumberFormat="1" applyFont="1" applyFill="1" applyBorder="1" applyAlignment="1">
      <alignment vertical="center"/>
    </xf>
    <xf numFmtId="0" fontId="9" fillId="9" borderId="0" xfId="0" applyFont="1" applyFill="1" applyAlignment="1">
      <alignment vertical="center"/>
    </xf>
    <xf numFmtId="1" fontId="8" fillId="9" borderId="0" xfId="0" applyNumberFormat="1" applyFont="1" applyFill="1" applyAlignment="1">
      <alignment vertical="center"/>
    </xf>
    <xf numFmtId="1" fontId="5" fillId="9" borderId="0" xfId="0" applyNumberFormat="1" applyFont="1" applyFill="1" applyAlignment="1">
      <alignment horizontal="center" vertical="center"/>
    </xf>
    <xf numFmtId="166" fontId="5" fillId="9" borderId="0" xfId="0" applyNumberFormat="1" applyFont="1" applyFill="1" applyAlignment="1">
      <alignment vertical="center"/>
    </xf>
    <xf numFmtId="0" fontId="5" fillId="9" borderId="0" xfId="0" applyFont="1" applyFill="1" applyAlignment="1">
      <alignment vertical="center"/>
    </xf>
    <xf numFmtId="170" fontId="7" fillId="9" borderId="0" xfId="0" applyNumberFormat="1" applyFont="1" applyFill="1" applyAlignment="1">
      <alignment horizontal="left" vertical="center"/>
    </xf>
    <xf numFmtId="1" fontId="7" fillId="9" borderId="0" xfId="0" applyNumberFormat="1" applyFont="1" applyFill="1" applyAlignment="1">
      <alignment horizontal="left" vertical="center"/>
    </xf>
    <xf numFmtId="169" fontId="7" fillId="9" borderId="0" xfId="0" applyNumberFormat="1" applyFont="1" applyFill="1" applyAlignment="1">
      <alignment vertical="center"/>
    </xf>
    <xf numFmtId="169" fontId="1" fillId="9" borderId="0" xfId="0" applyNumberFormat="1" applyFont="1" applyFill="1" applyAlignment="1">
      <alignment vertical="center"/>
    </xf>
    <xf numFmtId="171" fontId="1" fillId="9" borderId="0" xfId="0" applyNumberFormat="1" applyFont="1" applyFill="1" applyAlignment="1">
      <alignment vertical="center"/>
    </xf>
    <xf numFmtId="10" fontId="1" fillId="9" borderId="0" xfId="0" applyNumberFormat="1" applyFont="1" applyFill="1" applyAlignment="1">
      <alignment vertical="center"/>
    </xf>
    <xf numFmtId="0" fontId="25" fillId="9" borderId="0" xfId="0" applyFont="1" applyFill="1" applyAlignment="1">
      <alignment vertical="center"/>
    </xf>
    <xf numFmtId="1" fontId="7" fillId="9" borderId="0" xfId="0" applyNumberFormat="1" applyFont="1" applyFill="1" applyAlignment="1">
      <alignment horizontal="center" vertical="center"/>
    </xf>
    <xf numFmtId="1" fontId="25" fillId="9" borderId="0" xfId="0" applyNumberFormat="1" applyFont="1" applyFill="1" applyAlignment="1">
      <alignment horizontal="right" vertical="center"/>
    </xf>
    <xf numFmtId="1" fontId="25" fillId="9" borderId="0" xfId="0" applyNumberFormat="1" applyFont="1" applyFill="1" applyAlignment="1">
      <alignment vertical="center"/>
    </xf>
    <xf numFmtId="165" fontId="25" fillId="9" borderId="0" xfId="0" applyNumberFormat="1" applyFont="1" applyFill="1" applyAlignment="1">
      <alignment vertical="center"/>
    </xf>
    <xf numFmtId="171" fontId="25" fillId="9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1" fontId="1" fillId="9" borderId="0" xfId="0" applyNumberFormat="1" applyFont="1" applyFill="1" applyAlignment="1">
      <alignment horizontal="right" vertical="center"/>
    </xf>
    <xf numFmtId="1" fontId="1" fillId="9" borderId="0" xfId="0" applyNumberFormat="1" applyFont="1" applyFill="1" applyAlignment="1">
      <alignment vertical="center"/>
    </xf>
    <xf numFmtId="165" fontId="1" fillId="9" borderId="0" xfId="0" applyNumberFormat="1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80" fillId="0" borderId="0" xfId="0" applyFont="1" applyAlignment="1">
      <alignment vertical="center"/>
    </xf>
    <xf numFmtId="0" fontId="81" fillId="0" borderId="0" xfId="0" applyFont="1" applyAlignment="1">
      <alignment vertical="center"/>
    </xf>
    <xf numFmtId="0" fontId="12" fillId="11" borderId="0" xfId="0" applyFont="1" applyFill="1" applyAlignment="1">
      <alignment horizontal="left" vertical="center"/>
    </xf>
    <xf numFmtId="165" fontId="1" fillId="0" borderId="0" xfId="0" applyNumberFormat="1" applyFont="1" applyAlignment="1">
      <alignment vertical="center"/>
    </xf>
    <xf numFmtId="0" fontId="20" fillId="0" borderId="0" xfId="0" applyFont="1" applyAlignment="1">
      <alignment horizontal="center"/>
    </xf>
    <xf numFmtId="164" fontId="20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76" fontId="0" fillId="0" borderId="0" xfId="3" applyNumberFormat="1" applyFont="1" applyAlignment="1">
      <alignment horizontal="center"/>
    </xf>
    <xf numFmtId="0" fontId="7" fillId="17" borderId="0" xfId="0" applyFont="1" applyFill="1" applyAlignment="1">
      <alignment horizontal="center" vertical="center" wrapText="1"/>
    </xf>
    <xf numFmtId="170" fontId="82" fillId="9" borderId="0" xfId="0" applyNumberFormat="1" applyFont="1" applyFill="1" applyAlignment="1">
      <alignment horizontal="left" vertical="center"/>
    </xf>
    <xf numFmtId="170" fontId="82" fillId="0" borderId="0" xfId="0" applyNumberFormat="1" applyFont="1" applyAlignment="1">
      <alignment horizontal="left" vertical="center"/>
    </xf>
    <xf numFmtId="169" fontId="3" fillId="14" borderId="0" xfId="0" applyNumberFormat="1" applyFont="1" applyFill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0" applyFont="1" applyAlignment="1">
      <alignment vertical="center"/>
    </xf>
    <xf numFmtId="1" fontId="85" fillId="0" borderId="0" xfId="0" applyNumberFormat="1" applyFont="1" applyAlignment="1">
      <alignment horizontal="left" vertical="center"/>
    </xf>
    <xf numFmtId="170" fontId="6" fillId="14" borderId="0" xfId="0" applyNumberFormat="1" applyFont="1" applyFill="1" applyAlignment="1">
      <alignment vertical="center"/>
    </xf>
    <xf numFmtId="14" fontId="12" fillId="18" borderId="0" xfId="0" applyNumberFormat="1" applyFont="1" applyFill="1" applyAlignment="1">
      <alignment vertical="center"/>
    </xf>
    <xf numFmtId="0" fontId="12" fillId="18" borderId="0" xfId="0" applyFont="1" applyFill="1" applyAlignment="1">
      <alignment horizontal="left" vertical="center"/>
    </xf>
    <xf numFmtId="168" fontId="12" fillId="18" borderId="0" xfId="0" applyNumberFormat="1" applyFont="1" applyFill="1" applyAlignment="1">
      <alignment vertical="center"/>
    </xf>
    <xf numFmtId="166" fontId="23" fillId="0" borderId="7" xfId="0" applyNumberFormat="1" applyFont="1" applyBorder="1" applyAlignment="1">
      <alignment horizontal="center" vertical="center" wrapText="1"/>
    </xf>
    <xf numFmtId="166" fontId="23" fillId="0" borderId="8" xfId="0" applyNumberFormat="1" applyFont="1" applyBorder="1" applyAlignment="1">
      <alignment horizontal="center" vertical="center" wrapText="1"/>
    </xf>
  </cellXfs>
  <cellStyles count="4">
    <cellStyle name="Currency" xfId="3" builtinId="4"/>
    <cellStyle name="Hyperlink" xfId="1" builtinId="8"/>
    <cellStyle name="Normal" xfId="0" builtinId="0"/>
    <cellStyle name="Normal 2" xfId="2" xr:uid="{B02E93D6-0E93-4B55-B3EA-813C71BAF781}"/>
  </cellStyles>
  <dxfs count="216"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numFmt numFmtId="166" formatCode="&quot;$&quot;#,##0.00_);[Red]\(&quot;$&quot;#,##0.00\)"/>
      <alignment horizontal="left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" formatCode="0"/>
    </dxf>
    <dxf>
      <numFmt numFmtId="166" formatCode="&quot;$&quot;#,##0.00_);[Red]\(&quot;$&quot;#,##0.00\)"/>
    </dxf>
    <dxf>
      <numFmt numFmtId="1" formatCode="0"/>
    </dxf>
    <dxf>
      <numFmt numFmtId="166" formatCode="&quot;$&quot;#,##0.00_);[Red]\(&quot;$&quot;#,##0.00\)"/>
    </dxf>
    <dxf>
      <numFmt numFmtId="166" formatCode="&quot;$&quot;#,##0.00_);[Red]\(&quot;$&quot;#,##0.00\)"/>
    </dxf>
    <dxf>
      <numFmt numFmtId="174" formatCode="dd/mm/yyyy;@"/>
    </dxf>
    <dxf>
      <numFmt numFmtId="174" formatCode="dd/mm/yyyy;@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77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3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71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71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5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5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d/mm/yyyy"/>
      <fill>
        <patternFill patternType="solid">
          <fgColor indexed="64"/>
          <bgColor theme="0" tint="-0.149998474074526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m/d/yyyy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71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215"/>
    </tableStyle>
  </tableStyles>
  <colors>
    <mruColors>
      <color rgb="FFD8CFE3"/>
      <color rgb="FF500000"/>
      <color rgb="FF94D61E"/>
      <color rgb="FFE5E3E3"/>
      <color rgb="FFAB6D6D"/>
      <color rgb="FF6F3505"/>
      <color rgb="FF757171"/>
      <color rgb="FF860000"/>
      <color rgb="FF4D3A64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8</xdr:row>
      <xdr:rowOff>57150</xdr:rowOff>
    </xdr:from>
    <xdr:to>
      <xdr:col>11</xdr:col>
      <xdr:colOff>523876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133850" y="1520190"/>
          <a:ext cx="5023486" cy="3011805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288" totalsRowShown="0" headerRowDxfId="214" dataDxfId="213">
  <autoFilter ref="A1:F288" xr:uid="{7ED95743-F75E-4CF1-ACE5-33EBA2B81EAE}"/>
  <sortState xmlns:xlrd2="http://schemas.microsoft.com/office/spreadsheetml/2017/richdata2" ref="A2:F287">
    <sortCondition ref="A1:A287"/>
  </sortState>
  <tableColumns count="6">
    <tableColumn id="1" xr3:uid="{36A50E19-DC7A-4E16-BE4C-42C64333F9EA}" name="PROVEEDOR" dataDxfId="212"/>
    <tableColumn id="2" xr3:uid="{33B16C29-2DF5-45A1-87C1-48E44DFA4D60}" name="DIAS DE PLAZO" dataDxfId="211"/>
    <tableColumn id="3" xr3:uid="{FB09C725-92D2-4DCA-AB96-E3501A05815F}" name="IVA" dataDxfId="210"/>
    <tableColumn id="7" xr3:uid="{6DF6E84E-4497-42A2-A0FF-8BB736818592}" name="ID RETENCION" dataDxfId="209"/>
    <tableColumn id="5" xr3:uid="{C601C28E-77FB-4104-BEA3-CABF7F512A2B}" name="CORREO" dataDxfId="208"/>
    <tableColumn id="6" xr3:uid="{0898AD1E-5D0B-451F-AD5F-54E60AC27BC0}" name="CUENTA BANCARIA" dataDxfId="20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Z2107" totalsRowShown="0" headerRowDxfId="206" dataDxfId="205" tableBorderDxfId="204">
  <autoFilter ref="A1:Z2107" xr:uid="{00000000-000C-0000-FFFF-FFFF00000000}"/>
  <sortState xmlns:xlrd2="http://schemas.microsoft.com/office/spreadsheetml/2017/richdata2" ref="A2:Z2107">
    <sortCondition ref="R1:R2107"/>
  </sortState>
  <tableColumns count="26">
    <tableColumn id="13" xr3:uid="{00000000-0010-0000-0000-00000D000000}" name="Crédito / Contado" dataDxfId="203" totalsRowDxfId="202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201" totalsRowDxfId="200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199" totalsRowDxfId="198">
      <calculatedColumnFormula>+VLOOKUP(PROVEEDORES[[#This Row],[PROVEEDOR]],TERCEROS_INFO[#All],2,FALSE)</calculatedColumnFormula>
    </tableColumn>
    <tableColumn id="2" xr3:uid="{CA18640B-7586-4599-A1A6-79DD9C098ECB}" name="SALDO PROVEEDOR" dataDxfId="197" totalsRowDxfId="196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195" totalsRowDxfId="194"/>
    <tableColumn id="7" xr3:uid="{2C9B9FC6-B6FA-4691-B956-6773DF789E72}" name="CORREO" dataDxfId="193" totalsRowDxfId="192">
      <calculatedColumnFormula>+VLOOKUP(PROVEEDORES[[#This Row],[PROVEEDOR]],
                       Terceros!$A:$F,
                       5,
                       FALSE)</calculatedColumnFormula>
    </tableColumn>
    <tableColumn id="11" xr3:uid="{00000000-0010-0000-0000-00000B000000}" name="FECHA DE PAGO" dataDxfId="191" totalsRowDxfId="190"/>
    <tableColumn id="4" xr3:uid="{00000000-0010-0000-0000-000004000000}" name="PROVEEDOR" dataDxfId="189" totalsRowDxfId="188"/>
    <tableColumn id="1" xr3:uid="{00000000-0010-0000-0000-000001000000}" name="FECHA DE FACTURACIÓN" dataDxfId="187" totalsRowDxfId="186"/>
    <tableColumn id="3" xr3:uid="{00000000-0010-0000-0000-000003000000}" name="# DE FACTURA" dataDxfId="185" totalsRowDxfId="184"/>
    <tableColumn id="15" xr3:uid="{B1350CF4-DA6B-4294-A0DB-4FBB916B554A}" name="SUBTOTAL" dataDxfId="183" totalsRowDxfId="182"/>
    <tableColumn id="17" xr3:uid="{A79AB6A5-68EA-474F-A3FF-ABB7D1FAF67C}" name="descuento sobre subtotal" dataDxfId="181" totalsRowDxfId="180"/>
    <tableColumn id="16" xr3:uid="{32787828-8C20-41E0-97DF-12438EA779B5}" name="IVA 19%" dataDxfId="179" totalsRowDxfId="178">
      <calculatedColumnFormula>(PROVEEDORES[[#This Row],[SUBTOTAL]]-PROVEEDORES[[#This Row],[descuento sobre subtotal]])*VLOOKUP(PROVEEDORES[[#This Row],[PROVEEDOR]],TERCEROS_INFO[#All],3,FALSE)</calculatedColumnFormula>
    </tableColumn>
    <tableColumn id="18" xr3:uid="{810F2A6C-D445-432A-A959-F319CA671B12}" name="Descuento sobre subtotal %" dataDxfId="177" totalsRowDxfId="176"/>
    <tableColumn id="19" xr3:uid="{8E79B2DF-E4C8-4835-BA19-92575BA6D5A8}" name="Descuento sobre subtotal $2" dataDxfId="175" totalsRowDxfId="174">
      <calculatedColumnFormula>+PROVEEDORES[[#This Row],[Descuento sobre subtotal %]]*(PROVEEDORES[[#This Row],[SUBTOTAL]]-PROVEEDORES[[#This Row],[descuento sobre subtotal]])</calculatedColumnFormula>
    </tableColumn>
    <tableColumn id="5" xr3:uid="{509594F6-DB0D-451A-A2DA-90F348BFE23F}" name="Rete Fuente %" dataDxfId="173" totalsRowDxfId="172">
      <calculatedColumnFormula>+IF(PROVEEDORES[[#This Row],[SUBTOTAL]]&lt;PROVEEDORES[[#This Row],[base retencion]],0,PROVEEDORES[[#This Row],[retención aplicada]])</calculatedColumnFormula>
    </tableColumn>
    <tableColumn id="21" xr3:uid="{3708E46D-09DC-4E94-9398-61B753B43C10}" name="Rete Fuente $" dataDxfId="171" totalsRowDxfId="170">
      <calculatedColumnFormula>+PROVEEDORES[[#This Row],[Rete Fuente %]]*(PROVEEDORES[[#This Row],[SUBTOTAL]]-PROVEEDORES[[#This Row],[descuento sobre subtotal]])</calculatedColumnFormula>
    </tableColumn>
    <tableColumn id="22" xr3:uid="{BC400F1B-A204-41A6-A0A2-E831AD48252C}" name="Total" dataDxfId="169" totalsRowDxfId="168">
      <calculatedColumnFormula>+PROVEEDORES[[#This Row],[SUBTOTAL]]+PROVEEDORES[[#This Row],[IVA 19%]]-PROVEEDORES[[#This Row],[descuento sobre subtotal]]-PROVEEDORES[[#This Row],[Descuento sobre subtotal $2]]-PROVEEDORES[[#This Row],[Rete Fuente $]]</calculatedColumnFormula>
    </tableColumn>
    <tableColumn id="12" xr3:uid="{00000000-0010-0000-0000-00000C000000}" name="Estado de la factura" dataDxfId="167" totalsRowDxfId="166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8" xr3:uid="{BB24E7AB-03AF-45D0-8B8F-F77FB29B13AF}" name="días de vencimiento" dataDxfId="165" totalsRowDxfId="164">
      <calculatedColumnFormula>IF(PROVEEDORES[[#This Row],[FECHA DE PAGO]]=0,TODAY()-PROVEEDORES[[#This Row],[FECHA DE FACTURACIÓN]]-PROVEEDORES[[#This Row],[PLAZO Días]],0)</calculatedColumnFormula>
    </tableColumn>
    <tableColumn id="14" xr3:uid="{DD0F8145-67E4-4869-AF10-5FA647996A45}" name="ID RETENCION" dataDxfId="163" totalsRowDxfId="162">
      <calculatedColumnFormula>+VLOOKUP(PROVEEDORES[[#This Row],[PROVEEDOR]],Terceros!$A:$D,4,FALSE)</calculatedColumnFormula>
    </tableColumn>
    <tableColumn id="9" xr3:uid="{CF488130-1CA7-4C2E-A675-7C4B6C3241B2}" name="año facturado" dataDxfId="161" totalsRowDxfId="160">
      <calculatedColumnFormula>+YEAR(PROVEEDORES[[#This Row],[FECHA DE FACTURACIÓN]])</calculatedColumnFormula>
    </tableColumn>
    <tableColumn id="25" xr3:uid="{14878D9B-5127-4C97-AE59-B242D3DF8260}" name="indicador de columna" dataDxfId="159" totalsRowDxfId="158">
      <calculatedColumnFormula>+MATCH(PROVEEDORES[[#This Row],[año facturado]],Retenciones!$1:$1,0)</calculatedColumnFormula>
    </tableColumn>
    <tableColumn id="24" xr3:uid="{599BF99C-B1CB-4B80-A4D4-5CD439D15A2B}" name="base retencion" dataDxfId="157" totalsRowDxfId="156">
      <calculatedColumnFormula>+VLOOKUP(PROVEEDORES[[#This Row],[ID RETENCION]],Retenciones!$A$1:$O$25,PROVEEDORES[[#This Row],[indicador de columna]],FALSE)</calculatedColumnFormula>
    </tableColumn>
    <tableColumn id="26" xr3:uid="{0DFE0347-37D3-4F2D-A383-1AB170844AF8}" name="retención aplicada" dataDxfId="155" totalsRowDxfId="154">
      <calculatedColumnFormula>+VLOOKUP(PROVEEDORES[[#This Row],[ID RETENCION]],Retenciones!$A$1:$O$25,2,FALSE)</calculatedColumnFormula>
    </tableColumn>
    <tableColumn id="20" xr3:uid="{EDA8AC1A-A4E7-4B92-9589-74327F922EDA}" name="X@" dataDxfId="153" totalsRowDxfId="152">
      <calculatedColumnFormula>OR(COUNTIF(PROVEEDORES[[#This Row],[PROVEEDOR]],"*"&amp;'Palabra no opera'!$A$2&amp;"*"))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61" totalsRowShown="0" headerRowDxfId="151" dataDxfId="150" tableBorderDxfId="149">
  <autoFilter ref="A1:I61" xr:uid="{00000000-0009-0000-0100-000001000000}">
    <filterColumn colId="3">
      <filters blank="1">
        <dateGroupItem year="2022" month="9" dateTimeGrouping="month"/>
      </filters>
    </filterColumn>
  </autoFilter>
  <sortState xmlns:xlrd2="http://schemas.microsoft.com/office/spreadsheetml/2017/richdata2" ref="A36:I45">
    <sortCondition ref="F1:F45"/>
  </sortState>
  <tableColumns count="9">
    <tableColumn id="13" xr3:uid="{B42BD185-3F71-4F2C-AEA4-92B1BD04B885}" name="Crédito / Contado" dataDxfId="148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147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146">
      <calculatedColumnFormula>+VLOOKUP(PROVEEDORES3[[#This Row],[PROVEEDOR]],TERCEROS_INFO[[PROVEEDOR]:[CORREO]],5,FALSE)</calculatedColumnFormula>
    </tableColumn>
    <tableColumn id="11" xr3:uid="{574CCCB7-6404-4014-A7C4-E24B35C8242E}" name="FECHA DE PAGO" dataDxfId="145"/>
    <tableColumn id="4" xr3:uid="{2700B3B9-841F-4270-BE9A-B050B545D6DF}" name="PROVEEDOR" dataDxfId="144"/>
    <tableColumn id="1" xr3:uid="{B9637DF7-0F06-414E-8A02-470A0D288B88}" name="FECHA DE FACTURACIÓN" dataDxfId="143"/>
    <tableColumn id="3" xr3:uid="{10A8A101-FA0E-4186-AE5D-EF5556E9484A}" name="# DE FACTURA" dataDxfId="142"/>
    <tableColumn id="15" xr3:uid="{30CB4C40-8263-4421-A32D-17C764402102}" name="Total USD" dataDxfId="141"/>
    <tableColumn id="17" xr3:uid="{1392C75A-49B5-4F13-B7A2-4E0DF985E8DF}" name="COP" dataDxfId="140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1228" totalsRowShown="0" headerRowDxfId="139" dataDxfId="138">
  <autoFilter ref="A1:J1228" xr:uid="{00000000-000C-0000-FFFF-FFFF02000000}">
    <filterColumn colId="0">
      <filters>
        <dateGroupItem year="2022" month="8" dateTimeGrouping="month"/>
      </filters>
    </filterColumn>
  </autoFilter>
  <sortState xmlns:xlrd2="http://schemas.microsoft.com/office/spreadsheetml/2017/richdata2" ref="A3:J1165">
    <sortCondition ref="A1:A1170"/>
  </sortState>
  <tableColumns count="10">
    <tableColumn id="1" xr3:uid="{00000000-0010-0000-0200-000001000000}" name="Fecha" dataDxfId="137"/>
    <tableColumn id="2" xr3:uid="{00000000-0010-0000-0200-000002000000}" name="PRESTAMO" dataDxfId="136" totalsRowDxfId="135"/>
    <tableColumn id="5" xr3:uid="{00000000-0010-0000-0200-000005000000}" name="$ CAPITAL" dataDxfId="134" totalsRowDxfId="133"/>
    <tableColumn id="6" xr3:uid="{00000000-0010-0000-0200-000006000000}" name="$ INTERESES" dataDxfId="132" totalsRowDxfId="131"/>
    <tableColumn id="13" xr3:uid="{AC18AAE4-5F2F-43AA-9096-028504347CEB}" name="PAGO" dataDxfId="130" totalsRowDxfId="129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128" totalsRowDxfId="127">
      <calculatedColumnFormula>+SUMIFS(FINANCIACION[$ CAPITAL],FINANCIACION[Fecha],"&lt;="&amp;FINANCIACION[[#This Row],[Fecha]],FINANCIACION[PRESTAMO],FINANCIACION[[#This Row],[PRESTAMO]])</calculatedColumnFormula>
    </tableColumn>
    <tableColumn id="9" xr3:uid="{00000000-0010-0000-0200-000009000000}" name="DETALLE" dataDxfId="126" totalsRowDxfId="125"/>
    <tableColumn id="10" xr3:uid="{00000000-0010-0000-0200-00000A000000}" name="VALOR EN DOLARES" dataDxfId="124" totalsRowDxfId="123"/>
    <tableColumn id="4" xr3:uid="{00000000-0010-0000-0200-000004000000}" name="ABONOS" dataDxfId="122" totalsRowDxfId="121">
      <calculatedColumnFormula>+IF(FINANCIACION[[#This Row],[$ CAPITAL]]&gt;0,FINANCIACION[[#This Row],[$ CAPITAL]])</calculatedColumnFormula>
    </tableColumn>
    <tableColumn id="11" xr3:uid="{00000000-0010-0000-0200-00000B000000}" name="Pagos del mes" dataDxfId="120" totalsRowDxfId="119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W53" totalsRowShown="0" headerRowDxfId="118" dataDxfId="117">
  <autoFilter ref="A1:W53" xr:uid="{0E1D4469-06DD-45C8-98F5-0FCFA256904B}">
    <filterColumn colId="22">
      <filters>
        <filter val="$1,305,447"/>
        <filter val="$12,000,000"/>
        <filter val="$13,000,000"/>
        <filter val="$13,332,000"/>
        <filter val="$17,356,235"/>
        <filter val="$17,789,205"/>
        <filter val="$19,305,362"/>
        <filter val="$2,723,988"/>
        <filter val="$20,198,045"/>
        <filter val="$23,005,500"/>
        <filter val="$24,514,920"/>
        <filter val="$25,000,000"/>
        <filter val="$25,111,786"/>
        <filter val="$359,871,288"/>
        <filter val="$4,644,463"/>
        <filter val="$40,000,000"/>
        <filter val="$45,529,022"/>
        <filter val="$48,499,065"/>
        <filter val="$50,570,989"/>
        <filter val="$6,978,448"/>
        <filter val="$61,284,074"/>
        <filter val="$68,600,000"/>
        <filter val="$7,492,216"/>
        <filter val="$72,583,152"/>
        <filter val="$75,000,000"/>
        <filter val="$78,826,790"/>
        <filter val="$8,000,000"/>
        <filter val="$8,458,334"/>
        <filter val="$9,035,347"/>
        <filter val="$9,774,211"/>
      </filters>
    </filterColumn>
  </autoFilter>
  <sortState xmlns:xlrd2="http://schemas.microsoft.com/office/spreadsheetml/2017/richdata2" ref="A2:V53">
    <sortCondition ref="A1:A53"/>
  </sortState>
  <tableColumns count="23">
    <tableColumn id="1" xr3:uid="{352BFAB1-24B4-46D7-A59C-4164B96E8980}" name="PRESTAMO" dataDxfId="116"/>
    <tableColumn id="14" xr3:uid="{2B557E5C-AC27-41FE-8DFA-A7BF147C7F35}" name="ene-21" dataDxfId="115">
      <calculatedColumnFormula>-SUMIFS(FINANCIACION[$ CAPITAL],
FINANCIACION[Fecha],"&lt;="&amp;EOMONTH(B$1,0),
FINANCIACION[PRESTAMO],$A2)</calculatedColumnFormula>
    </tableColumn>
    <tableColumn id="15" xr3:uid="{8C66D401-54F2-41E3-90F1-96A5620A0982}" name="feb-21" dataDxfId="114"/>
    <tableColumn id="16" xr3:uid="{222EB924-D0AF-46A5-BF28-38F90D88C37E}" name="mar-21" dataDxfId="113"/>
    <tableColumn id="18" xr3:uid="{B17AED81-1D07-47AA-9E5B-58794FC2E557}" name="abr-21" dataDxfId="112"/>
    <tableColumn id="17" xr3:uid="{E6393113-2F4A-4D73-889E-5C45B240BF18}" name="may-21" dataDxfId="111"/>
    <tableColumn id="19" xr3:uid="{44820D18-784B-4D8E-9233-AB03131C58A9}" name="jun-21" dataDxfId="110"/>
    <tableColumn id="22" xr3:uid="{1C5C170C-82C7-4291-AF61-DCADF0749248}" name="jul-21" dataDxfId="109"/>
    <tableColumn id="23" xr3:uid="{AB4DC181-30C2-41B0-8BD5-B1D92F0B09FC}" name="ago-21" dataDxfId="108"/>
    <tableColumn id="20" xr3:uid="{AE884B4E-E55B-4BF3-B332-ECCCFB9F33ED}" name="sep-21" dataDxfId="107"/>
    <tableColumn id="25" xr3:uid="{60E44DFB-2F64-4FBB-A99F-4DE41C5C2663}" name="oct-21" dataDxfId="106"/>
    <tableColumn id="21" xr3:uid="{F2D8FFEE-DDE1-4321-8B91-585BD71174DE}" name="nov-21" dataDxfId="105"/>
    <tableColumn id="29" xr3:uid="{7D18C2CF-4C7B-446F-8DE6-53A8FB922137}" name="dic-21" dataDxfId="104"/>
    <tableColumn id="2" xr3:uid="{6EB76E51-9174-4C1E-BDF6-0A5B2C6DC493}" name="ene-22" dataDxfId="103">
      <calculatedColumnFormula>-SUMIFS(FINANCIACION[$ CAPITAL],
FINANCIACION[Fecha],"&lt;="&amp;EOMONTH(N$1,0),
FINANCIACION[PRESTAMO],$A2)</calculatedColumnFormula>
    </tableColumn>
    <tableColumn id="3" xr3:uid="{3D6D5452-192E-47A7-84EB-C9C03F4939B1}" name="feb-22" dataDxfId="102">
      <calculatedColumnFormula>-SUMIFS(FINANCIACION[$ CAPITAL],
FINANCIACION[Fecha],"&lt;="&amp;EOMONTH(O$1,0),
FINANCIACION[PRESTAMO],$A2)</calculatedColumnFormula>
    </tableColumn>
    <tableColumn id="5" xr3:uid="{F1AC7D11-29A5-4A81-A355-FA223C246E4E}" name="mar-22" dataDxfId="101">
      <calculatedColumnFormula>-SUMIFS(FINANCIACION[$ CAPITAL],
FINANCIACION[Fecha],"&lt;="&amp;EOMONTH(P$1,0),
FINANCIACION[PRESTAMO],$A2)</calculatedColumnFormula>
    </tableColumn>
    <tableColumn id="4" xr3:uid="{2474FA82-00FF-4C86-800E-0E396C761EDC}" name="abr-22" dataDxfId="100">
      <calculatedColumnFormula>-SUMIFS(FINANCIACION[$ CAPITAL],
FINANCIACION[Fecha],"&lt;="&amp;EOMONTH(Q$1,0),
FINANCIACION[PRESTAMO],$A2)</calculatedColumnFormula>
    </tableColumn>
    <tableColumn id="6" xr3:uid="{F227FAF6-08CB-4A1D-95D3-EF3FA1CD69EE}" name="may-22" dataDxfId="99">
      <calculatedColumnFormula>-SUMIFS(FINANCIACION[$ CAPITAL],
FINANCIACION[Fecha],"&lt;="&amp;EOMONTH(R$1,0),
FINANCIACION[PRESTAMO],$A2)</calculatedColumnFormula>
    </tableColumn>
    <tableColumn id="7" xr3:uid="{1570F9A1-DE1D-4B5E-96DC-FB103A917B6B}" name="jun-22" dataDxfId="98">
      <calculatedColumnFormula>-SUMIFS(FINANCIACION[$ CAPITAL],
FINANCIACION[Fecha],"&lt;="&amp;EOMONTH(S$1,0),
FINANCIACION[PRESTAMO],$A2)</calculatedColumnFormula>
    </tableColumn>
    <tableColumn id="8" xr3:uid="{D5B1AD3C-2BDA-4D91-8426-BF6882DF6ABD}" name="jul-22" dataDxfId="97">
      <calculatedColumnFormula>-SUMIFS(FINANCIACION[$ CAPITAL],
FINANCIACION[Fecha],"&lt;="&amp;EOMONTH(T$1,0),
FINANCIACION[PRESTAMO],$A2)</calculatedColumnFormula>
    </tableColumn>
    <tableColumn id="9" xr3:uid="{D21CD297-A565-4B47-BC91-A398EE542589}" name="ago-22" dataDxfId="0">
      <calculatedColumnFormula>-SUMIFS(FINANCIACION[$ CAPITAL],
FINANCIACION[Fecha],"&lt;="&amp;EOMONTH(U$1,0),
FINANCIACION[PRESTAMO],$A2)</calculatedColumnFormula>
    </tableColumn>
    <tableColumn id="10" xr3:uid="{C36D4EF1-39A4-402F-84AC-D48777714F6D}" name="sep-22" dataDxfId="96">
      <calculatedColumnFormula>-SUMIFS(FINANCIACION[$ CAPITAL],
FINANCIACION[Fecha],"&lt;="&amp;EOMONTH(V$1,0),
FINANCIACION[PRESTAMO],$A2)</calculatedColumnFormula>
    </tableColumn>
    <tableColumn id="12" xr3:uid="{47719FDB-3022-4CF3-9CDF-80E602874394}" name="Oct-22" dataDxfId="1">
      <calculatedColumnFormula>-SUMIFS(FINANCIACION[$ CAPITAL],
FINANCIACION[Fecha],"&lt;="&amp;EOMONTH(W$1,0),
FINANCIACION[PRESTAMO],$A2)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W1999" totalsRowShown="0">
  <autoFilter ref="A6:W1999" xr:uid="{73DB2F45-C381-47B2-8086-480DEE1C9502}"/>
  <sortState xmlns:xlrd2="http://schemas.microsoft.com/office/spreadsheetml/2017/richdata2" ref="A7:W1999">
    <sortCondition descending="1" ref="E6:E1999"/>
  </sortState>
  <tableColumns count="23">
    <tableColumn id="1" xr3:uid="{132C3118-3023-4B2F-96BC-F16058F7D256}" name="PLAZO Días"/>
    <tableColumn id="2" xr3:uid="{EC2FA82B-2E14-4DCF-9EAD-2BACCB783CD8}" name="SALDO PROVEEDOR"/>
    <tableColumn id="3" xr3:uid="{43A7058F-2ED1-4A27-AA72-06520D8322EE}" name="NOTAS"/>
    <tableColumn id="4" xr3:uid="{60D859DF-64A4-4B14-BEA4-53EDC451A813}" name="CORREO"/>
    <tableColumn id="5" xr3:uid="{454828DC-3C5A-4715-824B-B24F214C5E13}" name="FECHA DE PAGO" dataDxfId="95"/>
    <tableColumn id="6" xr3:uid="{611243B7-0D0B-43AA-B686-311F876022B1}" name="PROVEEDOR"/>
    <tableColumn id="7" xr3:uid="{D855F350-1086-42A0-8EA3-7F25CD38C9D3}" name="FECHA DE FACTURACIÓN" dataDxfId="94"/>
    <tableColumn id="8" xr3:uid="{A47DA67B-9F1D-4774-868A-72372E5564B9}" name="# DE FACTURA"/>
    <tableColumn id="9" xr3:uid="{EFE5C62A-0ACB-4DCD-8ECF-5EF13B6C5317}" name="SUBTOTAL"/>
    <tableColumn id="10" xr3:uid="{F1AF051F-9A83-4E4B-A579-356CF6E1CC40}" name="descuento sobre subtotal"/>
    <tableColumn id="11" xr3:uid="{8B4607B9-C44B-4133-85DE-013E69B20E93}" name="IVA 19%"/>
    <tableColumn id="12" xr3:uid="{6A9D0E38-9470-494D-8871-9052119ECCAA}" name="Descuento sobre subtotal %"/>
    <tableColumn id="13" xr3:uid="{B7846F5F-DCDC-455C-A820-B1866BD3DEF5}" name="Descuento sobre subtotal $2"/>
    <tableColumn id="14" xr3:uid="{871D7124-3BAA-4827-B045-4443CA46B11E}" name="Rete Fuente %"/>
    <tableColumn id="15" xr3:uid="{02032375-550C-45FC-AA0D-736EC726964B}" name="Rete Fuente $"/>
    <tableColumn id="16" xr3:uid="{3FBB1F41-A526-42EA-A203-54ABBC239BBD}" name="Total" dataDxfId="93"/>
    <tableColumn id="24" xr3:uid="{7A743829-AEA0-45B6-966E-8D925966D2DE}" name="Estado de la factura" dataDxfId="92"/>
    <tableColumn id="25" xr3:uid="{B7BC761D-0768-4A9C-A5BF-420FDE6F9B67}" name="días de vencimiento" dataDxfId="91"/>
    <tableColumn id="23" xr3:uid="{0177C05A-981A-4D8C-8138-55A654CB25B0}" name="X@" dataDxfId="90">
      <calculatedColumnFormula>OR(COUNTIF(Tabla2[[#This Row],[PROVEEDOR]],"*"&amp;'Palabra no opera'!$A$2&amp;"*"))</calculatedColumnFormula>
    </tableColumn>
    <tableColumn id="17" xr3:uid="{DA71BCF1-93B0-47B9-A984-E2A41D7DDACE}" name="dias de credito" dataDxfId="89">
      <calculatedColumnFormula>+$W$5-Tabla2[[#This Row],[FECHA DE FACTURACIÓN]]</calculatedColumnFormula>
    </tableColumn>
    <tableColumn id="18" xr3:uid="{CF911DDE-F405-4380-86D1-ECA9628F67A6}" name="venc" dataDxfId="88">
      <calculatedColumnFormula>+IF(Tabla2[[#This Row],[dias de credito]]&gt;=Tabla2[[#This Row],[PLAZO Días]],"venc", "No venc")</calculatedColumnFormula>
    </tableColumn>
    <tableColumn id="19" xr3:uid="{8067E3DF-2FE9-4BF5-8CCB-1D20A2AD809A}" name="Columna1" dataDxfId="87">
      <calculatedColumnFormula>+IF(Tabla2[[#This Row],[FECHA DE PAGO]]&gt;0,"pagada","por pagar")</calculatedColumnFormula>
    </tableColumn>
    <tableColumn id="20" xr3:uid="{986FB463-3412-4AF8-ADC3-B64A4214F098}" name="VENCIDA" dataDxfId="86">
      <calculatedColumnFormula>+IF(AND(Tabla2[[#This Row],[venc]]="venc",Tabla2[[#This Row],[Columna1]]="por pagar"),"vencida","no")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sandra.ospina@powest.com;girlesa.ruiz@servipilas.com;joriescobar64@gmail.com" TargetMode="External"/><Relationship Id="rId26" Type="http://schemas.openxmlformats.org/officeDocument/2006/relationships/hyperlink" Target="mailto:cartera@makingbusiness.com.co;tesoreria@makingbusiness.com.co;girlesa.ruiz@servipilas.com;joriescobar64@gmail.com" TargetMode="External"/><Relationship Id="rId39" Type="http://schemas.openxmlformats.org/officeDocument/2006/relationships/hyperlink" Target="mailto:santiago.botero@apcmayorista.com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21" Type="http://schemas.openxmlformats.org/officeDocument/2006/relationships/hyperlink" Target="mailto:oswaldo.alvarez@logimexsas.com;girlesa.ruiz@servipilas.com;joriescobar64@gmail.com;facturacion@servipilas.com" TargetMode="External"/><Relationship Id="rId34" Type="http://schemas.openxmlformats.org/officeDocument/2006/relationships/hyperlink" Target="mailto:LMGS789@HOTMAIL.COM;girlesa.ruiz@servipilas.com;joriescobar64@gmail.com" TargetMode="External"/><Relationship Id="rId42" Type="http://schemas.openxmlformats.org/officeDocument/2006/relationships/hyperlink" Target="mailto:mdedcnvi@bateriasduncan.com.co;girlesa.ruiz@servipilas.com;joriescobar64@gmail.com" TargetMode="External"/><Relationship Id="rId47" Type="http://schemas.openxmlformats.org/officeDocument/2006/relationships/hyperlink" Target="mailto:lsierra@santajuana.com.co;girlesa.ruiz@servipilas.com;joriescobar64@gmail.com" TargetMode="External"/><Relationship Id="rId50" Type="http://schemas.openxmlformats.org/officeDocument/2006/relationships/hyperlink" Target="mailto:UNIFORMES@" TargetMode="External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12" Type="http://schemas.openxmlformats.org/officeDocument/2006/relationships/hyperlink" Target="mailto:jarlysas@gmail.com;o.clockinternational@gmail.com;girlesa.ruiz@servipilas.com;joriescobar64@gmail.com" TargetMode="External"/><Relationship Id="rId17" Type="http://schemas.openxmlformats.org/officeDocument/2006/relationships/hyperlink" Target="mailto:avelinacomer@gmail.com;girlesa.ruiz@servipilas.com;joriescobar64@gmail.com" TargetMode="External"/><Relationship Id="rId25" Type="http://schemas.openxmlformats.org/officeDocument/2006/relationships/hyperlink" Target="mailto:wruiz@tsqsa.com;girlesa.ruiz@servipilas.com;joriescobar64@gmail.com" TargetMode="External"/><Relationship Id="rId33" Type="http://schemas.openxmlformats.org/officeDocument/2006/relationships/hyperlink" Target="mailto:lygonzalez@gmail.com;girlesa.ruiz@servipilas.com;joriescobar64@gmail.com" TargetMode="External"/><Relationship Id="rId38" Type="http://schemas.openxmlformats.org/officeDocument/2006/relationships/hyperlink" Target="mailto:margaritadavid@hotmail.es;girlesa.ruiz@servipilas.com;joriescobar64@gmail.com;MERCADEO@servipilas.com" TargetMode="External"/><Relationship Id="rId46" Type="http://schemas.openxmlformats.org/officeDocument/2006/relationships/hyperlink" Target="mailto:santiago30m@hotmail.com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avelinacomer@gmail.com;girlesa.ruiz@servipilas.com;joriescobar64@gmail.com" TargetMode="External"/><Relationship Id="rId20" Type="http://schemas.openxmlformats.org/officeDocument/2006/relationships/hyperlink" Target="mailto:oswaldo.alvarez@logimexsas.com;girlesa.ruiz@servipilas.com;joriescobar64@gmail.com;facturacion@servipilas.com" TargetMode="External"/><Relationship Id="rId29" Type="http://schemas.openxmlformats.org/officeDocument/2006/relationships/hyperlink" Target="mailto:contabilidad@sandiego.com.co;girlesa.ruiz@servipilas.com;joriescobar64@gmail.com" TargetMode="External"/><Relationship Id="rId41" Type="http://schemas.openxmlformats.org/officeDocument/2006/relationships/hyperlink" Target="mailto:logistic@grupozambrano.com;info@servipilas.com;girlesa.ruiz@servipilas.com;joriescobar64@gmail.com" TargetMode="External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1" Type="http://schemas.openxmlformats.org/officeDocument/2006/relationships/hyperlink" Target="mailto:alexenriquez73.ae@gmail.com;girlesa.ruiz@servipilas.com;joriescobar64@gmail.com;info@servipilas.com" TargetMode="External"/><Relationship Id="rId24" Type="http://schemas.openxmlformats.org/officeDocument/2006/relationships/hyperlink" Target="mailto:carlos.bohorquez@copapel.com;girlesa.ruiz@servipilas.com;joriescobar64@gmail.com" TargetMode="External"/><Relationship Id="rId32" Type="http://schemas.openxmlformats.org/officeDocument/2006/relationships/hyperlink" Target="mailto:tesoreria@cidet.org.co;girlesa.ruiz@servipilas.com;joriescobar64@gmail.com" TargetMode="External"/><Relationship Id="rId37" Type="http://schemas.openxmlformats.org/officeDocument/2006/relationships/hyperlink" Target="mailto:syman07@hotmail.com;girlesa.ruiz@servipilas.com;joriescobar64@gmail.com" TargetMode="External"/><Relationship Id="rId40" Type="http://schemas.openxmlformats.org/officeDocument/2006/relationships/hyperlink" Target="mailto:santiago.botero@apcmayorista.com;girlesa.ruiz@servipilas.com;joriescobar64@gmail.com" TargetMode="External"/><Relationship Id="rId45" Type="http://schemas.openxmlformats.org/officeDocument/2006/relationships/hyperlink" Target="mailto:yermingg@hotmail.com;girlesa.ruiz@servipilas.com;joriescobar64@gmail.com" TargetMode="External"/><Relationship Id="rId5" Type="http://schemas.openxmlformats.org/officeDocument/2006/relationships/hyperlink" Target="mailto:lpena@tbplusenergy.com;girlesa.ruiz@servipilas.com;joriescobar64@gmail.com" TargetMode="External"/><Relationship Id="rId15" Type="http://schemas.openxmlformats.org/officeDocument/2006/relationships/hyperlink" Target="mailto:globalpowerc2018@gmail.com;girlesa.ruiz@servipilas.com;joriescobar64@gmail.com" TargetMode="External"/><Relationship Id="rId23" Type="http://schemas.openxmlformats.org/officeDocument/2006/relationships/hyperlink" Target="mailto:gerencia@som-tec.com;girlesa.ruiz@servipilas.com;joriescobar64@gmail.com" TargetMode="External"/><Relationship Id="rId28" Type="http://schemas.openxmlformats.org/officeDocument/2006/relationships/hyperlink" Target="mailto:Facturas@kinnesis.com;girlesa.ruiz@servipilas.com;joriescobar64@gmail.com" TargetMode="External"/><Relationship Id="rId36" Type="http://schemas.openxmlformats.org/officeDocument/2006/relationships/hyperlink" Target="mailto:cartera@ienewline.com;andres.arroyave@ienewline.com;girlesa.ruiz@servipilas.com;joriescobar64@gmail.com" TargetMode="External"/><Relationship Id="rId49" Type="http://schemas.openxmlformats.org/officeDocument/2006/relationships/hyperlink" Target="mailto:arrendamientos@vyp.com.co;girlesa.ruiz@servipilas.com;joriescobar64@gmail.com" TargetMode="External"/><Relationship Id="rId10" Type="http://schemas.openxmlformats.org/officeDocument/2006/relationships/hyperlink" Target="mailto:jessica.barrios@carpainternacional;girlesa.ruiz@servipilas.com;joriescobar64@gmail.com" TargetMode="External"/><Relationship Id="rId19" Type="http://schemas.openxmlformats.org/officeDocument/2006/relationships/hyperlink" Target="mailto:oswaldo.alvarez@logimexsas.com;girlesa.ruiz@servipilas.com;joriescobar64@gmail.com;facturacion@servipilas.com" TargetMode="External"/><Relationship Id="rId31" Type="http://schemas.openxmlformats.org/officeDocument/2006/relationships/hyperlink" Target="mailto:yermingg@hotmail.com;rubizulu@hotmail.com;girlesa.ruiz@servipilas.com;joriescobar64@gmail.com" TargetMode="External"/><Relationship Id="rId44" Type="http://schemas.openxmlformats.org/officeDocument/2006/relationships/hyperlink" Target="mailto:liauribe@une.net.co;girlesa.ruiz@servipilas.com;joriescobar64@gmail.com" TargetMode="External"/><Relationship Id="rId52" Type="http://schemas.openxmlformats.org/officeDocument/2006/relationships/table" Target="../tables/table1.xml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financiero@dmariocolombia.com;cartera@dmariocolombia.com.co;girlesa.ruiz@servipilas.com;joriescobar64@gmail.com" TargetMode="External"/><Relationship Id="rId14" Type="http://schemas.openxmlformats.org/officeDocument/2006/relationships/hyperlink" Target="mailto:jarlysas@gmail.com;o.clockinternational@gmail.com;girlesa.ruiz@servipilas.com;joriescobar64@gmail.com" TargetMode="External"/><Relationship Id="rId22" Type="http://schemas.openxmlformats.org/officeDocument/2006/relationships/hyperlink" Target="mailto:oswaldo.alvarez@logimexsas.com;girlesa.ruiz@servipilas.com;joriescobar64@gmail.com;facturacion@servipilas.com" TargetMode="External"/><Relationship Id="rId27" Type="http://schemas.openxmlformats.org/officeDocument/2006/relationships/hyperlink" Target="mailto:cartera@makingbusiness.com.co;tesoreria@makingbusiness.com.co;girlesa.ruiz@servipilas.com;joriescobar64@gmail.com" TargetMode="External"/><Relationship Id="rId30" Type="http://schemas.openxmlformats.org/officeDocument/2006/relationships/hyperlink" Target="mailto:julian@ieosas.com;girlesa.ruiz@servipilas.com;joriescobar64@gmail.com" TargetMode="External"/><Relationship Id="rId35" Type="http://schemas.openxmlformats.org/officeDocument/2006/relationships/hyperlink" Target="mailto:corporacion.trovemos@gmail.com;girlesa.ruiz@servipilas.com;joriescobar64@gmail.com" TargetMode="External"/><Relationship Id="rId43" Type="http://schemas.openxmlformats.org/officeDocument/2006/relationships/hyperlink" Target="mailto:inspecciones@bomberossabaneta.com;girlesa.ruiz@servipilas.com;joriescobar64@gmail.com" TargetMode="External"/><Relationship Id="rId48" Type="http://schemas.openxmlformats.org/officeDocument/2006/relationships/hyperlink" Target="mailto:inspecciones@bomberossabaneta.com;girlesa.ruiz@servipilas.com;joriescobar64@gmail.com" TargetMode="External"/><Relationship Id="rId8" Type="http://schemas.openxmlformats.org/officeDocument/2006/relationships/hyperlink" Target="mailto:jessica.barrios@carpainternacional;girlesa.ruiz@servipilas.com;joriescobar64@gmail.com" TargetMode="External"/><Relationship Id="rId5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workbookViewId="0"/>
  </sheetViews>
  <sheetFormatPr defaultColWidth="0" defaultRowHeight="12.75" customHeight="1" zeroHeight="1" x14ac:dyDescent="0.3"/>
  <cols>
    <col min="1" max="17" width="11.44140625" customWidth="1"/>
    <col min="18" max="19" width="11.44140625" hidden="1" customWidth="1"/>
  </cols>
  <sheetData>
    <row r="1" spans="7:14" ht="12.75" customHeight="1" x14ac:dyDescent="0.3"/>
    <row r="2" spans="7:14" ht="12.75" customHeight="1" x14ac:dyDescent="0.3">
      <c r="N2" s="65"/>
    </row>
    <row r="3" spans="7:14" ht="12.75" customHeight="1" x14ac:dyDescent="0.3"/>
    <row r="4" spans="7:14" ht="15" thickBot="1" x14ac:dyDescent="0.35"/>
    <row r="5" spans="7:14" ht="18.600000000000001" thickBot="1" x14ac:dyDescent="0.4">
      <c r="G5" s="164" t="s">
        <v>1051</v>
      </c>
      <c r="H5" s="163"/>
      <c r="I5" s="163"/>
    </row>
    <row r="6" spans="7:14" ht="15" thickBot="1" x14ac:dyDescent="0.35">
      <c r="G6" s="165" t="s">
        <v>1157</v>
      </c>
    </row>
    <row r="7" spans="7:14" ht="14.4" x14ac:dyDescent="0.3"/>
    <row r="8" spans="7:14" ht="14.4" x14ac:dyDescent="0.3"/>
    <row r="9" spans="7:14" ht="14.4" x14ac:dyDescent="0.3"/>
    <row r="10" spans="7:14" ht="14.4" x14ac:dyDescent="0.3"/>
    <row r="11" spans="7:14" ht="14.4" x14ac:dyDescent="0.3"/>
    <row r="12" spans="7:14" ht="14.4" x14ac:dyDescent="0.3"/>
    <row r="13" spans="7:14" ht="14.4" x14ac:dyDescent="0.3"/>
    <row r="14" spans="7:14" ht="14.4" x14ac:dyDescent="0.3"/>
    <row r="15" spans="7:14" ht="14.4" x14ac:dyDescent="0.3"/>
    <row r="16" spans="7:14" ht="14.4" x14ac:dyDescent="0.3"/>
    <row r="17" spans="10:10" ht="14.4" x14ac:dyDescent="0.3"/>
    <row r="18" spans="10:10" ht="14.4" x14ac:dyDescent="0.3">
      <c r="J18" s="64"/>
    </row>
    <row r="19" spans="10:10" ht="14.4" x14ac:dyDescent="0.3"/>
    <row r="20" spans="10:10" ht="14.4" x14ac:dyDescent="0.3"/>
    <row r="21" spans="10:10" ht="14.4" x14ac:dyDescent="0.3"/>
    <row r="22" spans="10:10" ht="14.4" x14ac:dyDescent="0.3"/>
    <row r="23" spans="10:10" ht="14.4" x14ac:dyDescent="0.3"/>
    <row r="24" spans="10:10" ht="14.4" x14ac:dyDescent="0.3"/>
    <row r="25" spans="10:10" ht="14.4" x14ac:dyDescent="0.3"/>
    <row r="26" spans="10:10" ht="14.4" x14ac:dyDescent="0.3"/>
    <row r="27" spans="10:10" ht="14.4" x14ac:dyDescent="0.3"/>
    <row r="28" spans="10:10" ht="14.4" x14ac:dyDescent="0.3"/>
    <row r="29" spans="10:10" ht="14.4" x14ac:dyDescent="0.3"/>
    <row r="30" spans="10:10" ht="14.4" x14ac:dyDescent="0.3"/>
    <row r="31" spans="10:10" ht="14.4" x14ac:dyDescent="0.3"/>
    <row r="32" spans="10:10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hidden="1" x14ac:dyDescent="0.3"/>
    <row r="42" ht="12.75" customHeight="1" x14ac:dyDescent="0.3"/>
    <row r="43" ht="12.75" customHeight="1" x14ac:dyDescent="0.3"/>
    <row r="44" ht="12.75" customHeight="1" x14ac:dyDescent="0.3"/>
    <row r="45" ht="12.75" customHeight="1" x14ac:dyDescent="0.3"/>
    <row r="46" ht="12.75" customHeight="1" x14ac:dyDescent="0.3"/>
    <row r="47" ht="12.75" customHeight="1" x14ac:dyDescent="0.3"/>
    <row r="48" ht="12.75" customHeight="1" x14ac:dyDescent="0.3"/>
    <row r="49" ht="12.75" customHeight="1" x14ac:dyDescent="0.3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5F770-41CC-4F16-BCAE-FAB705BEB489}">
  <sheetPr>
    <pageSetUpPr fitToPage="1"/>
  </sheetPr>
  <dimension ref="A1:N23"/>
  <sheetViews>
    <sheetView topLeftCell="A7" workbookViewId="0">
      <selection activeCell="A19" sqref="A19"/>
    </sheetView>
  </sheetViews>
  <sheetFormatPr defaultColWidth="11.5546875" defaultRowHeight="14.4" x14ac:dyDescent="0.3"/>
  <cols>
    <col min="1" max="1" width="10.88671875" customWidth="1"/>
    <col min="2" max="2" width="13.44140625" bestFit="1" customWidth="1"/>
    <col min="3" max="3" width="18.5546875" bestFit="1" customWidth="1"/>
    <col min="4" max="4" width="11.88671875" bestFit="1" customWidth="1"/>
    <col min="5" max="5" width="9.5546875" bestFit="1" customWidth="1"/>
    <col min="6" max="6" width="10.5546875" bestFit="1" customWidth="1"/>
    <col min="7" max="7" width="9.5546875" bestFit="1" customWidth="1"/>
    <col min="8" max="8" width="8.33203125" bestFit="1" customWidth="1"/>
    <col min="9" max="9" width="9.6640625" bestFit="1" customWidth="1"/>
    <col min="10" max="10" width="10.33203125" bestFit="1" customWidth="1"/>
    <col min="13" max="13" width="10.5546875" bestFit="1" customWidth="1"/>
    <col min="14" max="14" width="7.88671875" customWidth="1"/>
  </cols>
  <sheetData>
    <row r="1" spans="1:14" ht="57.6" x14ac:dyDescent="0.3">
      <c r="A1" s="170" t="s">
        <v>125</v>
      </c>
      <c r="B1" s="202" t="s">
        <v>6</v>
      </c>
      <c r="C1" s="171" t="s">
        <v>3</v>
      </c>
      <c r="D1" s="172" t="s">
        <v>1</v>
      </c>
      <c r="E1" s="173" t="s">
        <v>2</v>
      </c>
      <c r="F1" s="171" t="s">
        <v>107</v>
      </c>
      <c r="G1" s="174" t="s">
        <v>1139</v>
      </c>
      <c r="H1" s="171" t="s">
        <v>108</v>
      </c>
      <c r="I1" s="174" t="s">
        <v>110</v>
      </c>
      <c r="J1" s="174" t="s">
        <v>1138</v>
      </c>
      <c r="K1" s="175" t="s">
        <v>112</v>
      </c>
      <c r="L1" s="174" t="s">
        <v>111</v>
      </c>
      <c r="M1" s="171" t="s">
        <v>109</v>
      </c>
      <c r="N1" s="176" t="s">
        <v>1079</v>
      </c>
    </row>
    <row r="2" spans="1:14" ht="15.6" x14ac:dyDescent="0.3">
      <c r="A2" s="225" t="s">
        <v>631</v>
      </c>
      <c r="B2" s="226">
        <v>44870</v>
      </c>
      <c r="C2" s="227" t="s">
        <v>528</v>
      </c>
      <c r="D2" s="272">
        <v>44824</v>
      </c>
      <c r="E2" s="228">
        <v>1483</v>
      </c>
      <c r="F2" s="229">
        <v>263354</v>
      </c>
      <c r="G2" s="229"/>
      <c r="H2" s="230">
        <v>0</v>
      </c>
      <c r="I2" s="231"/>
      <c r="J2" s="230">
        <v>0</v>
      </c>
      <c r="K2" s="232">
        <v>0</v>
      </c>
      <c r="L2" s="230">
        <v>0</v>
      </c>
      <c r="M2" s="229">
        <v>263354</v>
      </c>
      <c r="N2" s="169">
        <v>263354</v>
      </c>
    </row>
    <row r="3" spans="1:14" ht="15.6" x14ac:dyDescent="0.3">
      <c r="A3" s="225" t="s">
        <v>631</v>
      </c>
      <c r="B3" s="226">
        <v>44870</v>
      </c>
      <c r="C3" s="227" t="s">
        <v>528</v>
      </c>
      <c r="D3" s="272">
        <v>44824</v>
      </c>
      <c r="E3" s="228">
        <v>1487</v>
      </c>
      <c r="F3" s="229">
        <v>465934</v>
      </c>
      <c r="G3" s="229"/>
      <c r="H3" s="230">
        <v>0</v>
      </c>
      <c r="I3" s="231"/>
      <c r="J3" s="230">
        <v>0</v>
      </c>
      <c r="K3" s="232">
        <v>0</v>
      </c>
      <c r="L3" s="230">
        <v>0</v>
      </c>
      <c r="M3" s="229">
        <v>465934</v>
      </c>
      <c r="N3" s="169">
        <v>465934</v>
      </c>
    </row>
    <row r="4" spans="1:14" ht="15.6" x14ac:dyDescent="0.3">
      <c r="A4" s="225" t="s">
        <v>631</v>
      </c>
      <c r="B4" s="226">
        <v>44870</v>
      </c>
      <c r="C4" s="227" t="s">
        <v>528</v>
      </c>
      <c r="D4" s="272">
        <v>44832</v>
      </c>
      <c r="E4" s="228">
        <v>1491</v>
      </c>
      <c r="F4" s="229">
        <v>283612</v>
      </c>
      <c r="G4" s="229"/>
      <c r="H4" s="230">
        <v>0</v>
      </c>
      <c r="I4" s="231"/>
      <c r="J4" s="230">
        <v>0</v>
      </c>
      <c r="K4" s="232">
        <v>0</v>
      </c>
      <c r="L4" s="230">
        <v>0</v>
      </c>
      <c r="M4" s="229">
        <v>283612</v>
      </c>
      <c r="N4" s="169">
        <v>283612</v>
      </c>
    </row>
    <row r="5" spans="1:14" ht="15.6" x14ac:dyDescent="0.3">
      <c r="A5" s="225" t="s">
        <v>631</v>
      </c>
      <c r="B5" s="226">
        <v>44870</v>
      </c>
      <c r="C5" s="227" t="s">
        <v>528</v>
      </c>
      <c r="D5" s="272">
        <v>44832</v>
      </c>
      <c r="E5" s="228">
        <v>1492</v>
      </c>
      <c r="F5" s="229">
        <v>243096</v>
      </c>
      <c r="G5" s="229"/>
      <c r="H5" s="230">
        <v>0</v>
      </c>
      <c r="I5" s="231"/>
      <c r="J5" s="230">
        <v>0</v>
      </c>
      <c r="K5" s="232">
        <v>0</v>
      </c>
      <c r="L5" s="230">
        <v>0</v>
      </c>
      <c r="M5" s="229">
        <v>243096</v>
      </c>
      <c r="N5" s="169">
        <v>243096</v>
      </c>
    </row>
    <row r="6" spans="1:14" ht="15.6" x14ac:dyDescent="0.3">
      <c r="A6" s="225" t="s">
        <v>631</v>
      </c>
      <c r="B6" s="226">
        <v>44870</v>
      </c>
      <c r="C6" s="227" t="s">
        <v>528</v>
      </c>
      <c r="D6" s="272">
        <v>44841</v>
      </c>
      <c r="E6" s="228">
        <v>1498</v>
      </c>
      <c r="F6" s="229">
        <v>303870</v>
      </c>
      <c r="G6" s="229"/>
      <c r="H6" s="230">
        <v>0</v>
      </c>
      <c r="I6" s="231"/>
      <c r="J6" s="230">
        <v>0</v>
      </c>
      <c r="K6" s="232">
        <v>0</v>
      </c>
      <c r="L6" s="230">
        <v>0</v>
      </c>
      <c r="M6" s="229">
        <v>303870</v>
      </c>
      <c r="N6" s="169">
        <v>303870</v>
      </c>
    </row>
    <row r="7" spans="1:14" ht="15.6" x14ac:dyDescent="0.3">
      <c r="A7" s="225" t="s">
        <v>631</v>
      </c>
      <c r="B7" s="226">
        <v>44870</v>
      </c>
      <c r="C7" s="227" t="s">
        <v>528</v>
      </c>
      <c r="D7" s="226">
        <v>44859</v>
      </c>
      <c r="E7" s="228">
        <v>1509</v>
      </c>
      <c r="F7" s="229">
        <v>263354</v>
      </c>
      <c r="G7" s="229"/>
      <c r="H7" s="230">
        <v>0</v>
      </c>
      <c r="I7" s="231"/>
      <c r="J7" s="230">
        <v>0</v>
      </c>
      <c r="K7" s="232">
        <v>0</v>
      </c>
      <c r="L7" s="230">
        <v>0</v>
      </c>
      <c r="M7" s="229">
        <v>263354</v>
      </c>
      <c r="N7" s="169">
        <v>263354</v>
      </c>
    </row>
    <row r="8" spans="1:14" ht="15.6" x14ac:dyDescent="0.3">
      <c r="A8" s="225" t="s">
        <v>631</v>
      </c>
      <c r="B8" s="226">
        <v>44870</v>
      </c>
      <c r="C8" s="227" t="s">
        <v>528</v>
      </c>
      <c r="D8" s="226">
        <v>44859</v>
      </c>
      <c r="E8" s="228">
        <v>1510</v>
      </c>
      <c r="F8" s="229">
        <v>324128</v>
      </c>
      <c r="G8" s="229"/>
      <c r="H8" s="230">
        <v>0</v>
      </c>
      <c r="I8" s="231"/>
      <c r="J8" s="230">
        <v>0</v>
      </c>
      <c r="K8" s="232">
        <v>0</v>
      </c>
      <c r="L8" s="230">
        <v>0</v>
      </c>
      <c r="M8" s="229">
        <v>324128</v>
      </c>
      <c r="N8" s="169">
        <v>324128</v>
      </c>
    </row>
    <row r="9" spans="1:14" ht="15.6" x14ac:dyDescent="0.3">
      <c r="A9" s="225" t="s">
        <v>631</v>
      </c>
      <c r="B9" s="226">
        <v>44870</v>
      </c>
      <c r="C9" s="227" t="s">
        <v>528</v>
      </c>
      <c r="D9" s="226">
        <v>44859</v>
      </c>
      <c r="E9" s="228">
        <v>1511</v>
      </c>
      <c r="F9" s="229">
        <v>344386</v>
      </c>
      <c r="G9" s="229"/>
      <c r="H9" s="230">
        <v>0</v>
      </c>
      <c r="I9" s="231"/>
      <c r="J9" s="230">
        <v>0</v>
      </c>
      <c r="K9" s="232">
        <v>0</v>
      </c>
      <c r="L9" s="230">
        <v>0</v>
      </c>
      <c r="M9" s="229">
        <v>344386</v>
      </c>
      <c r="N9" s="169">
        <v>344386</v>
      </c>
    </row>
    <row r="10" spans="1:14" ht="15.6" x14ac:dyDescent="0.3">
      <c r="A10" s="225" t="s">
        <v>631</v>
      </c>
      <c r="B10" s="226">
        <v>44870</v>
      </c>
      <c r="C10" s="227" t="s">
        <v>528</v>
      </c>
      <c r="D10" s="226">
        <v>44859</v>
      </c>
      <c r="E10" s="228">
        <v>1512</v>
      </c>
      <c r="F10" s="229">
        <v>708017</v>
      </c>
      <c r="G10" s="229"/>
      <c r="H10" s="230">
        <v>0</v>
      </c>
      <c r="I10" s="231"/>
      <c r="J10" s="230">
        <v>0</v>
      </c>
      <c r="K10" s="232">
        <v>0</v>
      </c>
      <c r="L10" s="230">
        <v>0</v>
      </c>
      <c r="M10" s="229">
        <v>708017</v>
      </c>
      <c r="N10" s="169">
        <v>708017</v>
      </c>
    </row>
    <row r="11" spans="1:14" ht="15.6" x14ac:dyDescent="0.3">
      <c r="A11" s="225" t="s">
        <v>631</v>
      </c>
      <c r="B11" s="226">
        <v>44870</v>
      </c>
      <c r="C11" s="227" t="s">
        <v>528</v>
      </c>
      <c r="D11" s="226">
        <v>44865</v>
      </c>
      <c r="E11" s="228">
        <v>1519</v>
      </c>
      <c r="F11" s="229">
        <v>324128</v>
      </c>
      <c r="G11" s="229"/>
      <c r="H11" s="230">
        <v>0</v>
      </c>
      <c r="I11" s="231"/>
      <c r="J11" s="230">
        <v>0</v>
      </c>
      <c r="K11" s="232">
        <v>0</v>
      </c>
      <c r="L11" s="230">
        <v>0</v>
      </c>
      <c r="M11" s="229">
        <v>324128</v>
      </c>
      <c r="N11" s="169">
        <v>324128</v>
      </c>
    </row>
    <row r="12" spans="1:14" ht="15.6" x14ac:dyDescent="0.3">
      <c r="A12" s="225" t="s">
        <v>631</v>
      </c>
      <c r="B12" s="226">
        <v>44870</v>
      </c>
      <c r="C12" s="227" t="s">
        <v>528</v>
      </c>
      <c r="D12" s="226">
        <v>44865</v>
      </c>
      <c r="E12" s="228">
        <v>1521</v>
      </c>
      <c r="F12" s="229">
        <v>324128</v>
      </c>
      <c r="G12" s="229"/>
      <c r="H12" s="230">
        <v>0</v>
      </c>
      <c r="I12" s="231"/>
      <c r="J12" s="230">
        <v>0</v>
      </c>
      <c r="K12" s="232">
        <v>0</v>
      </c>
      <c r="L12" s="230">
        <v>0</v>
      </c>
      <c r="M12" s="229">
        <v>324128</v>
      </c>
      <c r="N12" s="169">
        <v>324128</v>
      </c>
    </row>
    <row r="13" spans="1:14" ht="15.6" x14ac:dyDescent="0.3">
      <c r="A13" s="225" t="s">
        <v>631</v>
      </c>
      <c r="B13" s="226">
        <v>44870</v>
      </c>
      <c r="C13" s="227" t="s">
        <v>528</v>
      </c>
      <c r="D13" s="226">
        <v>44865</v>
      </c>
      <c r="E13" s="228">
        <v>1522</v>
      </c>
      <c r="F13" s="229">
        <v>364644</v>
      </c>
      <c r="G13" s="229"/>
      <c r="H13" s="230">
        <v>0</v>
      </c>
      <c r="I13" s="231"/>
      <c r="J13" s="230">
        <v>0</v>
      </c>
      <c r="K13" s="232">
        <v>0</v>
      </c>
      <c r="L13" s="230">
        <v>0</v>
      </c>
      <c r="M13" s="229">
        <v>364644</v>
      </c>
      <c r="N13" s="169">
        <v>364644</v>
      </c>
    </row>
    <row r="14" spans="1:14" ht="15.6" x14ac:dyDescent="0.3">
      <c r="A14" s="225" t="s">
        <v>631</v>
      </c>
      <c r="B14" s="226">
        <v>44870</v>
      </c>
      <c r="C14" s="227" t="s">
        <v>528</v>
      </c>
      <c r="D14" s="272">
        <v>44841</v>
      </c>
      <c r="E14" s="228" t="s">
        <v>1781</v>
      </c>
      <c r="F14" s="229">
        <v>634582</v>
      </c>
      <c r="G14" s="229"/>
      <c r="H14" s="230">
        <v>0</v>
      </c>
      <c r="I14" s="231"/>
      <c r="J14" s="230">
        <v>0</v>
      </c>
      <c r="K14" s="232">
        <v>0</v>
      </c>
      <c r="L14" s="230">
        <v>0</v>
      </c>
      <c r="M14" s="229">
        <v>634582</v>
      </c>
      <c r="N14" s="169">
        <v>634582</v>
      </c>
    </row>
    <row r="15" spans="1:14" ht="15.6" x14ac:dyDescent="0.3">
      <c r="A15" s="225"/>
      <c r="B15" s="226"/>
      <c r="C15" s="227"/>
      <c r="D15" s="272"/>
      <c r="E15" s="228"/>
      <c r="F15" s="229"/>
      <c r="G15" s="229"/>
      <c r="H15" s="230"/>
      <c r="I15" s="231"/>
      <c r="J15" s="230"/>
      <c r="K15" s="232"/>
      <c r="L15" s="268" t="s">
        <v>109</v>
      </c>
      <c r="M15" s="233">
        <v>4847233</v>
      </c>
      <c r="N15" s="169">
        <v>4847233</v>
      </c>
    </row>
    <row r="16" spans="1:14" ht="15.6" x14ac:dyDescent="0.3">
      <c r="A16" s="225"/>
      <c r="B16" s="226"/>
      <c r="C16" s="227"/>
      <c r="D16" s="272"/>
      <c r="E16" s="228"/>
      <c r="F16" s="229"/>
      <c r="G16" s="229"/>
      <c r="H16" s="230"/>
      <c r="I16" s="231"/>
      <c r="J16" s="230"/>
      <c r="K16" s="232"/>
      <c r="L16" s="230"/>
      <c r="M16" s="229"/>
      <c r="N16" s="169"/>
    </row>
    <row r="17" spans="1:14" ht="15.6" x14ac:dyDescent="0.3">
      <c r="A17" s="225"/>
      <c r="B17" s="226"/>
      <c r="C17" s="227"/>
      <c r="D17" s="272"/>
      <c r="E17" s="228"/>
      <c r="F17" s="229"/>
      <c r="G17" s="229"/>
      <c r="H17" s="230"/>
      <c r="I17" s="231"/>
      <c r="J17" s="230"/>
      <c r="K17" s="232"/>
      <c r="L17" s="230"/>
      <c r="M17" s="229"/>
      <c r="N17" s="169"/>
    </row>
    <row r="18" spans="1:14" ht="57.6" x14ac:dyDescent="0.3">
      <c r="A18" s="170" t="s">
        <v>125</v>
      </c>
      <c r="B18" s="202" t="s">
        <v>6</v>
      </c>
      <c r="C18" s="171" t="s">
        <v>3</v>
      </c>
      <c r="D18" s="172" t="s">
        <v>1</v>
      </c>
      <c r="E18" s="173" t="s">
        <v>2</v>
      </c>
      <c r="F18" s="171" t="s">
        <v>107</v>
      </c>
      <c r="G18" s="174" t="s">
        <v>1139</v>
      </c>
      <c r="H18" s="171" t="s">
        <v>108</v>
      </c>
      <c r="I18" s="174" t="s">
        <v>110</v>
      </c>
      <c r="J18" s="174" t="s">
        <v>1138</v>
      </c>
      <c r="K18" s="175" t="s">
        <v>112</v>
      </c>
      <c r="L18" s="174" t="s">
        <v>111</v>
      </c>
      <c r="M18" s="171" t="s">
        <v>109</v>
      </c>
      <c r="N18" s="176" t="s">
        <v>1079</v>
      </c>
    </row>
    <row r="19" spans="1:14" ht="15.6" x14ac:dyDescent="0.3">
      <c r="A19" s="225" t="s">
        <v>631</v>
      </c>
      <c r="B19" s="226">
        <v>44870</v>
      </c>
      <c r="C19" s="227" t="s">
        <v>530</v>
      </c>
      <c r="D19" s="226">
        <v>44861</v>
      </c>
      <c r="E19" s="228">
        <v>1513</v>
      </c>
      <c r="F19" s="229">
        <v>2025800</v>
      </c>
      <c r="G19" s="229"/>
      <c r="H19" s="230">
        <v>0</v>
      </c>
      <c r="I19" s="231"/>
      <c r="J19" s="230">
        <v>0</v>
      </c>
      <c r="K19" s="232">
        <v>0</v>
      </c>
      <c r="L19" s="230">
        <v>0</v>
      </c>
      <c r="M19" s="229">
        <v>2025800</v>
      </c>
      <c r="N19" s="169">
        <v>2025800</v>
      </c>
    </row>
    <row r="20" spans="1:14" ht="15.6" x14ac:dyDescent="0.3">
      <c r="A20" s="169"/>
      <c r="B20" s="169"/>
      <c r="C20" s="169"/>
      <c r="D20" s="169"/>
      <c r="E20" s="169"/>
      <c r="F20" s="169"/>
      <c r="G20" s="169"/>
      <c r="H20" s="169"/>
      <c r="I20" s="169"/>
      <c r="J20" s="169"/>
      <c r="K20" s="169"/>
      <c r="L20" s="187" t="s">
        <v>109</v>
      </c>
      <c r="M20" s="233">
        <v>2025800</v>
      </c>
      <c r="N20" s="169">
        <v>2025800</v>
      </c>
    </row>
    <row r="23" spans="1:14" ht="15.6" x14ac:dyDescent="0.3">
      <c r="A23" s="188"/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 t="s">
        <v>109</v>
      </c>
      <c r="M23" s="234">
        <v>6873033</v>
      </c>
      <c r="N23" s="188">
        <v>6873033</v>
      </c>
    </row>
  </sheetData>
  <sortState xmlns:xlrd2="http://schemas.microsoft.com/office/spreadsheetml/2017/richdata2" ref="A2:M19">
    <sortCondition ref="C1"/>
    <sortCondition ref="E1"/>
  </sortState>
  <dataValidations count="1">
    <dataValidation allowBlank="1" showInputMessage="1" showErrorMessage="1" error="Primero crea el proveedor en la hoja &quot;Proveedores&quot;." sqref="A1:M1 A18:M18" xr:uid="{22DA57C5-4F13-4040-812A-990CCA318E40}"/>
  </dataValidations>
  <pageMargins left="0.7" right="0.7" top="0.75" bottom="0.75" header="0.3" footer="0.3"/>
  <pageSetup scale="5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defaultColWidth="11.5546875" defaultRowHeight="14.4" x14ac:dyDescent="0.3"/>
  <cols>
    <col min="1" max="2" width="21.44140625" customWidth="1"/>
  </cols>
  <sheetData>
    <row r="1" spans="1:2" ht="25.8" x14ac:dyDescent="0.3">
      <c r="A1" s="1" t="s">
        <v>0</v>
      </c>
      <c r="B1" s="2">
        <f ca="1">TODAY()</f>
        <v>44875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O25"/>
  <sheetViews>
    <sheetView workbookViewId="0"/>
  </sheetViews>
  <sheetFormatPr defaultColWidth="11.5546875" defaultRowHeight="14.4" x14ac:dyDescent="0.3"/>
  <cols>
    <col min="2" max="2" width="11.5546875" style="85"/>
    <col min="3" max="4" width="11.6640625" style="82" bestFit="1" customWidth="1"/>
    <col min="5" max="5" width="13" style="82" bestFit="1" customWidth="1"/>
  </cols>
  <sheetData>
    <row r="1" spans="1:15" s="91" customFormat="1" x14ac:dyDescent="0.3">
      <c r="A1" s="89" t="s">
        <v>863</v>
      </c>
      <c r="B1" s="90" t="s">
        <v>112</v>
      </c>
      <c r="C1" s="89">
        <v>2020</v>
      </c>
      <c r="D1" s="89">
        <v>2021</v>
      </c>
      <c r="E1" s="89">
        <v>2022</v>
      </c>
      <c r="F1" s="89">
        <v>2023</v>
      </c>
      <c r="G1" s="89">
        <v>2024</v>
      </c>
      <c r="H1" s="89">
        <v>2025</v>
      </c>
      <c r="I1" s="89">
        <v>2026</v>
      </c>
      <c r="J1" s="89">
        <v>2027</v>
      </c>
      <c r="K1" s="89">
        <v>2028</v>
      </c>
      <c r="L1" s="89">
        <v>2029</v>
      </c>
      <c r="M1" s="89">
        <v>2030</v>
      </c>
      <c r="N1" s="89">
        <v>2031</v>
      </c>
      <c r="O1" s="89">
        <v>2032</v>
      </c>
    </row>
    <row r="2" spans="1:15" x14ac:dyDescent="0.3">
      <c r="A2" s="87">
        <v>0</v>
      </c>
      <c r="B2" s="86">
        <v>0</v>
      </c>
      <c r="C2" s="88">
        <v>0</v>
      </c>
      <c r="D2" s="88">
        <v>0</v>
      </c>
      <c r="E2" s="88">
        <v>0</v>
      </c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x14ac:dyDescent="0.3">
      <c r="A3" s="87" t="s">
        <v>874</v>
      </c>
      <c r="B3" s="86">
        <v>0.01</v>
      </c>
      <c r="C3" s="88">
        <v>0</v>
      </c>
      <c r="D3" s="88">
        <v>0</v>
      </c>
      <c r="E3" s="88">
        <v>0</v>
      </c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x14ac:dyDescent="0.3">
      <c r="A4" s="87" t="s">
        <v>864</v>
      </c>
      <c r="B4" s="86">
        <v>0.01</v>
      </c>
      <c r="C4" s="88">
        <v>142000</v>
      </c>
      <c r="D4" s="88">
        <v>145000</v>
      </c>
      <c r="E4" s="88">
        <v>152000</v>
      </c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x14ac:dyDescent="0.3">
      <c r="A5" s="87" t="s">
        <v>865</v>
      </c>
      <c r="B5" s="86">
        <v>2.5000000000000001E-2</v>
      </c>
      <c r="C5" s="88">
        <v>961000</v>
      </c>
      <c r="D5" s="88">
        <v>980000</v>
      </c>
      <c r="E5" s="88">
        <v>1026000</v>
      </c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x14ac:dyDescent="0.3">
      <c r="A6" s="87" t="s">
        <v>866</v>
      </c>
      <c r="B6" s="86">
        <v>3.5000000000000003E-2</v>
      </c>
      <c r="C6" s="88">
        <v>0</v>
      </c>
      <c r="D6" s="88">
        <v>0</v>
      </c>
      <c r="E6" s="88">
        <v>0</v>
      </c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x14ac:dyDescent="0.3">
      <c r="A7" s="87" t="s">
        <v>867</v>
      </c>
      <c r="B7" s="86">
        <v>3.5000000000000003E-2</v>
      </c>
      <c r="C7" s="88">
        <v>961000</v>
      </c>
      <c r="D7" s="88">
        <v>980000</v>
      </c>
      <c r="E7" s="88">
        <v>1026000</v>
      </c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x14ac:dyDescent="0.3">
      <c r="A8" s="87" t="s">
        <v>868</v>
      </c>
      <c r="B8" s="86">
        <v>0.04</v>
      </c>
      <c r="C8" s="88">
        <v>0</v>
      </c>
      <c r="D8" s="88">
        <v>0</v>
      </c>
      <c r="E8" s="88">
        <v>0</v>
      </c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x14ac:dyDescent="0.3">
      <c r="A9" s="87" t="s">
        <v>1404</v>
      </c>
      <c r="B9" s="86">
        <v>0.04</v>
      </c>
      <c r="C9" s="88">
        <v>0</v>
      </c>
      <c r="D9" s="88">
        <v>0</v>
      </c>
      <c r="E9" s="88">
        <v>150000</v>
      </c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x14ac:dyDescent="0.3">
      <c r="A10" s="87" t="s">
        <v>869</v>
      </c>
      <c r="B10" s="86">
        <v>0.11</v>
      </c>
      <c r="C10" s="88">
        <v>0</v>
      </c>
      <c r="D10" s="88">
        <v>0</v>
      </c>
      <c r="E10" s="88">
        <v>0</v>
      </c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x14ac:dyDescent="0.3">
      <c r="A11" s="87"/>
      <c r="B11" s="86"/>
      <c r="C11" s="88"/>
      <c r="D11" s="88"/>
      <c r="E11" s="88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x14ac:dyDescent="0.3">
      <c r="A12" s="87"/>
      <c r="B12" s="86"/>
      <c r="C12" s="88"/>
      <c r="D12" s="88"/>
      <c r="E12" s="88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x14ac:dyDescent="0.3">
      <c r="A13" s="87"/>
      <c r="B13" s="86"/>
      <c r="C13" s="88"/>
      <c r="D13" s="88"/>
      <c r="E13" s="88"/>
      <c r="F13" s="87"/>
      <c r="G13" s="87"/>
      <c r="H13" s="87"/>
      <c r="I13" s="87"/>
      <c r="J13" s="87"/>
      <c r="K13" s="87"/>
      <c r="L13" s="87"/>
      <c r="M13" s="87"/>
      <c r="N13" s="87"/>
      <c r="O13" s="87"/>
    </row>
    <row r="14" spans="1:15" x14ac:dyDescent="0.3">
      <c r="A14" s="87"/>
      <c r="B14" s="86"/>
      <c r="C14" s="88"/>
      <c r="D14" s="88"/>
      <c r="E14" s="88"/>
      <c r="F14" s="87"/>
      <c r="G14" s="87"/>
      <c r="H14" s="87"/>
      <c r="I14" s="87"/>
      <c r="J14" s="87"/>
      <c r="K14" s="87"/>
      <c r="L14" s="87"/>
      <c r="M14" s="87"/>
      <c r="N14" s="87"/>
      <c r="O14" s="87"/>
    </row>
    <row r="15" spans="1:15" x14ac:dyDescent="0.3">
      <c r="A15" s="87"/>
      <c r="B15" s="86"/>
      <c r="C15" s="88"/>
      <c r="D15" s="88"/>
      <c r="E15" s="88"/>
      <c r="F15" s="87"/>
      <c r="G15" s="87"/>
      <c r="H15" s="87"/>
      <c r="I15" s="87"/>
      <c r="J15" s="87"/>
      <c r="K15" s="87"/>
      <c r="L15" s="87"/>
      <c r="M15" s="87"/>
      <c r="N15" s="87"/>
      <c r="O15" s="87"/>
    </row>
    <row r="16" spans="1:15" x14ac:dyDescent="0.3">
      <c r="A16" s="87"/>
      <c r="B16" s="86"/>
      <c r="C16" s="88"/>
      <c r="D16" s="88"/>
      <c r="E16" s="88"/>
      <c r="F16" s="87"/>
      <c r="G16" s="87"/>
      <c r="H16" s="87"/>
      <c r="I16" s="87"/>
      <c r="J16" s="87"/>
      <c r="K16" s="87"/>
      <c r="L16" s="87"/>
      <c r="M16" s="87"/>
      <c r="N16" s="87"/>
      <c r="O16" s="87"/>
    </row>
    <row r="17" spans="1:15" x14ac:dyDescent="0.3">
      <c r="A17" s="87"/>
      <c r="B17" s="86"/>
      <c r="C17" s="88"/>
      <c r="D17" s="88"/>
      <c r="E17" s="88"/>
      <c r="F17" s="87"/>
      <c r="G17" s="87"/>
      <c r="H17" s="87"/>
      <c r="I17" s="87"/>
      <c r="J17" s="87"/>
      <c r="K17" s="87"/>
      <c r="L17" s="87"/>
      <c r="M17" s="87"/>
      <c r="N17" s="87"/>
      <c r="O17" s="87"/>
    </row>
    <row r="18" spans="1:15" x14ac:dyDescent="0.3">
      <c r="A18" s="87"/>
      <c r="B18" s="86"/>
      <c r="C18" s="88"/>
      <c r="D18" s="88"/>
      <c r="E18" s="88"/>
      <c r="F18" s="87"/>
      <c r="G18" s="87"/>
      <c r="H18" s="87"/>
      <c r="I18" s="87"/>
      <c r="J18" s="87"/>
      <c r="K18" s="87"/>
      <c r="L18" s="87"/>
      <c r="M18" s="87"/>
      <c r="N18" s="87"/>
      <c r="O18" s="87"/>
    </row>
    <row r="19" spans="1:15" x14ac:dyDescent="0.3">
      <c r="A19" s="87"/>
      <c r="B19" s="86"/>
      <c r="C19" s="88"/>
      <c r="D19" s="88"/>
      <c r="E19" s="88"/>
      <c r="F19" s="87"/>
      <c r="G19" s="87"/>
      <c r="H19" s="87"/>
      <c r="I19" s="87"/>
      <c r="J19" s="87"/>
      <c r="K19" s="87"/>
      <c r="L19" s="87"/>
      <c r="M19" s="87"/>
      <c r="N19" s="87"/>
      <c r="O19" s="87"/>
    </row>
    <row r="20" spans="1:15" x14ac:dyDescent="0.3">
      <c r="A20" s="87"/>
      <c r="B20" s="86"/>
      <c r="C20" s="88"/>
      <c r="D20" s="88"/>
      <c r="E20" s="88"/>
      <c r="F20" s="87"/>
      <c r="G20" s="87"/>
      <c r="H20" s="87"/>
      <c r="I20" s="87"/>
      <c r="J20" s="87"/>
      <c r="K20" s="87"/>
      <c r="L20" s="87"/>
      <c r="M20" s="87"/>
      <c r="N20" s="87"/>
      <c r="O20" s="87"/>
    </row>
    <row r="21" spans="1:15" x14ac:dyDescent="0.3">
      <c r="A21" s="87"/>
      <c r="B21" s="86"/>
      <c r="C21" s="88"/>
      <c r="D21" s="88"/>
      <c r="E21" s="88"/>
      <c r="F21" s="87"/>
      <c r="G21" s="87"/>
      <c r="H21" s="87"/>
      <c r="I21" s="87"/>
      <c r="J21" s="87"/>
      <c r="K21" s="87"/>
      <c r="L21" s="87"/>
      <c r="M21" s="87"/>
      <c r="N21" s="87"/>
      <c r="O21" s="87"/>
    </row>
    <row r="22" spans="1:15" x14ac:dyDescent="0.3">
      <c r="A22" s="87"/>
      <c r="B22" s="86"/>
      <c r="C22" s="88"/>
      <c r="D22" s="88"/>
      <c r="E22" s="88"/>
      <c r="F22" s="87"/>
      <c r="G22" s="87"/>
      <c r="H22" s="87"/>
      <c r="I22" s="87"/>
      <c r="J22" s="87"/>
      <c r="K22" s="87"/>
      <c r="L22" s="87"/>
      <c r="M22" s="87"/>
      <c r="N22" s="87"/>
      <c r="O22" s="87"/>
    </row>
    <row r="23" spans="1:15" x14ac:dyDescent="0.3">
      <c r="A23" s="87"/>
      <c r="B23" s="86"/>
      <c r="C23" s="88"/>
      <c r="D23" s="88"/>
      <c r="E23" s="88"/>
      <c r="F23" s="87"/>
      <c r="G23" s="87"/>
      <c r="H23" s="87"/>
      <c r="I23" s="87"/>
      <c r="J23" s="87"/>
      <c r="K23" s="87"/>
      <c r="L23" s="87"/>
      <c r="M23" s="87"/>
      <c r="N23" s="87"/>
      <c r="O23" s="87"/>
    </row>
    <row r="24" spans="1:15" x14ac:dyDescent="0.3">
      <c r="A24" s="87"/>
      <c r="B24" s="86"/>
      <c r="C24" s="88"/>
      <c r="D24" s="88"/>
      <c r="E24" s="88"/>
      <c r="F24" s="87"/>
      <c r="G24" s="87"/>
      <c r="H24" s="87"/>
      <c r="I24" s="87"/>
      <c r="J24" s="87"/>
      <c r="K24" s="87"/>
      <c r="L24" s="87"/>
      <c r="M24" s="87"/>
      <c r="N24" s="87"/>
      <c r="O24" s="87"/>
    </row>
    <row r="25" spans="1:15" x14ac:dyDescent="0.3">
      <c r="A25" s="87"/>
      <c r="B25" s="86"/>
      <c r="C25" s="88"/>
      <c r="D25" s="88"/>
      <c r="E25" s="88"/>
      <c r="F25" s="87"/>
      <c r="G25" s="87"/>
      <c r="H25" s="87"/>
      <c r="I25" s="87"/>
      <c r="J25" s="87"/>
      <c r="K25" s="87"/>
      <c r="L25" s="87"/>
      <c r="M25" s="87"/>
      <c r="N25" s="87"/>
      <c r="O25" s="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288"/>
  <sheetViews>
    <sheetView topLeftCell="A270" workbookViewId="0">
      <selection activeCell="C290" sqref="C290"/>
    </sheetView>
  </sheetViews>
  <sheetFormatPr defaultColWidth="10.6640625" defaultRowHeight="21" customHeight="1" x14ac:dyDescent="0.3"/>
  <cols>
    <col min="1" max="1" width="33.44140625" style="41" customWidth="1"/>
    <col min="2" max="2" width="12.44140625" style="41" customWidth="1"/>
    <col min="3" max="3" width="9.5546875" style="41" customWidth="1"/>
    <col min="4" max="4" width="11.33203125" style="111" customWidth="1"/>
    <col min="5" max="5" width="33.5546875" style="119" customWidth="1"/>
    <col min="6" max="6" width="27.5546875" style="41" customWidth="1"/>
    <col min="7" max="16384" width="10.6640625" style="41"/>
  </cols>
  <sheetData>
    <row r="1" spans="1:6" s="108" customFormat="1" ht="28.8" x14ac:dyDescent="0.3">
      <c r="A1" s="104" t="s">
        <v>3</v>
      </c>
      <c r="B1" s="105" t="s">
        <v>124</v>
      </c>
      <c r="C1" s="105" t="s">
        <v>29</v>
      </c>
      <c r="D1" s="106" t="s">
        <v>863</v>
      </c>
      <c r="E1" s="119" t="s">
        <v>125</v>
      </c>
      <c r="F1" s="107" t="s">
        <v>127</v>
      </c>
    </row>
    <row r="2" spans="1:6" s="11" customFormat="1" ht="21" customHeight="1" x14ac:dyDescent="0.3">
      <c r="A2" s="104" t="s">
        <v>1030</v>
      </c>
      <c r="B2" s="109">
        <v>30</v>
      </c>
      <c r="C2" s="110">
        <v>0.19</v>
      </c>
      <c r="D2" s="111" t="s">
        <v>865</v>
      </c>
      <c r="E2" s="119"/>
      <c r="F2" s="41"/>
    </row>
    <row r="3" spans="1:6" s="11" customFormat="1" ht="21" customHeight="1" x14ac:dyDescent="0.3">
      <c r="A3" s="104" t="s">
        <v>64</v>
      </c>
      <c r="B3" s="109">
        <v>30</v>
      </c>
      <c r="C3" s="110">
        <v>0.19</v>
      </c>
      <c r="D3" s="111" t="s">
        <v>865</v>
      </c>
      <c r="E3" s="119" t="s">
        <v>139</v>
      </c>
      <c r="F3" s="41"/>
    </row>
    <row r="4" spans="1:6" s="11" customFormat="1" ht="21" customHeight="1" x14ac:dyDescent="0.3">
      <c r="A4" s="104" t="s">
        <v>780</v>
      </c>
      <c r="B4" s="109">
        <v>30</v>
      </c>
      <c r="C4" s="110">
        <v>0</v>
      </c>
      <c r="D4" s="111">
        <v>0</v>
      </c>
      <c r="E4" s="119" t="s">
        <v>139</v>
      </c>
      <c r="F4" s="41"/>
    </row>
    <row r="5" spans="1:6" s="11" customFormat="1" ht="21" customHeight="1" x14ac:dyDescent="0.3">
      <c r="A5" s="104" t="s">
        <v>621</v>
      </c>
      <c r="B5" s="109">
        <v>30</v>
      </c>
      <c r="C5" s="110">
        <v>0</v>
      </c>
      <c r="D5" s="111">
        <v>0</v>
      </c>
      <c r="E5" s="119" t="s">
        <v>605</v>
      </c>
      <c r="F5" s="41" t="s">
        <v>604</v>
      </c>
    </row>
    <row r="6" spans="1:6" s="11" customFormat="1" ht="21" customHeight="1" x14ac:dyDescent="0.3">
      <c r="A6" s="104" t="s">
        <v>781</v>
      </c>
      <c r="B6" s="109">
        <v>30</v>
      </c>
      <c r="C6" s="110">
        <v>0</v>
      </c>
      <c r="D6" s="111">
        <v>0</v>
      </c>
      <c r="E6" s="119" t="s">
        <v>139</v>
      </c>
      <c r="F6" s="41"/>
    </row>
    <row r="7" spans="1:6" s="11" customFormat="1" ht="21" customHeight="1" x14ac:dyDescent="0.3">
      <c r="A7" s="104" t="s">
        <v>623</v>
      </c>
      <c r="B7" s="109">
        <v>30</v>
      </c>
      <c r="C7" s="110">
        <v>0</v>
      </c>
      <c r="D7" s="111">
        <v>0</v>
      </c>
      <c r="E7" s="119" t="s">
        <v>622</v>
      </c>
      <c r="F7" s="41"/>
    </row>
    <row r="8" spans="1:6" s="11" customFormat="1" ht="21" customHeight="1" x14ac:dyDescent="0.3">
      <c r="A8" s="104" t="s">
        <v>782</v>
      </c>
      <c r="B8" s="109">
        <v>30</v>
      </c>
      <c r="C8" s="110">
        <v>0</v>
      </c>
      <c r="D8" s="111">
        <v>0</v>
      </c>
      <c r="E8" s="119" t="s">
        <v>139</v>
      </c>
      <c r="F8" s="41"/>
    </row>
    <row r="9" spans="1:6" s="11" customFormat="1" ht="21" customHeight="1" x14ac:dyDescent="0.3">
      <c r="A9" s="104" t="s">
        <v>625</v>
      </c>
      <c r="B9" s="109">
        <v>30</v>
      </c>
      <c r="C9" s="110">
        <v>0</v>
      </c>
      <c r="D9" s="111">
        <v>0</v>
      </c>
      <c r="E9" s="119" t="s">
        <v>139</v>
      </c>
      <c r="F9" s="41"/>
    </row>
    <row r="10" spans="1:6" s="11" customFormat="1" ht="21" customHeight="1" x14ac:dyDescent="0.3">
      <c r="A10" s="104" t="s">
        <v>626</v>
      </c>
      <c r="B10" s="109">
        <v>0</v>
      </c>
      <c r="C10" s="110">
        <v>0</v>
      </c>
      <c r="D10" s="111">
        <v>0</v>
      </c>
      <c r="E10" s="119"/>
      <c r="F10" s="41"/>
    </row>
    <row r="11" spans="1:6" s="11" customFormat="1" ht="21" customHeight="1" x14ac:dyDescent="0.3">
      <c r="A11" s="104" t="s">
        <v>627</v>
      </c>
      <c r="B11" s="109">
        <v>30</v>
      </c>
      <c r="C11" s="110">
        <v>0</v>
      </c>
      <c r="D11" s="111">
        <v>0</v>
      </c>
      <c r="E11" s="119"/>
      <c r="F11" s="41"/>
    </row>
    <row r="12" spans="1:6" s="11" customFormat="1" ht="21" customHeight="1" x14ac:dyDescent="0.3">
      <c r="A12" s="104" t="s">
        <v>628</v>
      </c>
      <c r="B12" s="109">
        <v>30</v>
      </c>
      <c r="C12" s="110">
        <v>0</v>
      </c>
      <c r="D12" s="111">
        <v>0</v>
      </c>
      <c r="E12" s="119"/>
      <c r="F12" s="41"/>
    </row>
    <row r="13" spans="1:6" s="11" customFormat="1" ht="21" customHeight="1" x14ac:dyDescent="0.3">
      <c r="A13" s="104" t="s">
        <v>629</v>
      </c>
      <c r="B13" s="109">
        <v>30</v>
      </c>
      <c r="C13" s="110">
        <v>0</v>
      </c>
      <c r="D13" s="111">
        <v>0</v>
      </c>
      <c r="E13" s="119" t="s">
        <v>139</v>
      </c>
      <c r="F13" s="41"/>
    </row>
    <row r="14" spans="1:6" s="11" customFormat="1" ht="21" customHeight="1" x14ac:dyDescent="0.3">
      <c r="A14" s="104" t="s">
        <v>633</v>
      </c>
      <c r="B14" s="109">
        <v>30</v>
      </c>
      <c r="C14" s="110">
        <v>0</v>
      </c>
      <c r="D14" s="111">
        <v>0</v>
      </c>
      <c r="E14" s="119" t="s">
        <v>861</v>
      </c>
      <c r="F14" s="41"/>
    </row>
    <row r="15" spans="1:6" s="11" customFormat="1" ht="21" customHeight="1" x14ac:dyDescent="0.3">
      <c r="A15" s="104" t="s">
        <v>783</v>
      </c>
      <c r="B15" s="109">
        <v>30</v>
      </c>
      <c r="C15" s="110">
        <v>0</v>
      </c>
      <c r="D15" s="111">
        <v>0</v>
      </c>
      <c r="E15" s="119" t="s">
        <v>139</v>
      </c>
      <c r="F15" s="41"/>
    </row>
    <row r="16" spans="1:6" s="11" customFormat="1" ht="21" customHeight="1" x14ac:dyDescent="0.3">
      <c r="A16" s="104" t="s">
        <v>635</v>
      </c>
      <c r="B16" s="109">
        <v>30</v>
      </c>
      <c r="C16" s="110">
        <v>0</v>
      </c>
      <c r="D16" s="111">
        <v>0</v>
      </c>
      <c r="E16" s="119" t="s">
        <v>139</v>
      </c>
      <c r="F16" s="41"/>
    </row>
    <row r="17" spans="1:6" s="11" customFormat="1" ht="21" customHeight="1" x14ac:dyDescent="0.3">
      <c r="A17" s="104" t="s">
        <v>784</v>
      </c>
      <c r="B17" s="109">
        <v>30</v>
      </c>
      <c r="C17" s="110">
        <v>0</v>
      </c>
      <c r="D17" s="111">
        <v>0</v>
      </c>
      <c r="E17" s="119" t="s">
        <v>139</v>
      </c>
      <c r="F17" s="41"/>
    </row>
    <row r="18" spans="1:6" s="11" customFormat="1" ht="21" customHeight="1" x14ac:dyDescent="0.3">
      <c r="A18" s="104" t="s">
        <v>785</v>
      </c>
      <c r="B18" s="109">
        <v>30</v>
      </c>
      <c r="C18" s="110">
        <v>0</v>
      </c>
      <c r="D18" s="111">
        <v>0</v>
      </c>
      <c r="E18" s="119" t="s">
        <v>139</v>
      </c>
      <c r="F18" s="41"/>
    </row>
    <row r="19" spans="1:6" s="11" customFormat="1" ht="21" customHeight="1" x14ac:dyDescent="0.3">
      <c r="A19" s="104" t="s">
        <v>637</v>
      </c>
      <c r="B19" s="109">
        <v>10</v>
      </c>
      <c r="C19" s="110">
        <v>0</v>
      </c>
      <c r="D19" s="111">
        <v>0</v>
      </c>
      <c r="E19" s="119" t="s">
        <v>610</v>
      </c>
      <c r="F19" s="41"/>
    </row>
    <row r="20" spans="1:6" s="11" customFormat="1" ht="21" customHeight="1" x14ac:dyDescent="0.3">
      <c r="A20" s="104" t="s">
        <v>638</v>
      </c>
      <c r="B20" s="109">
        <v>30</v>
      </c>
      <c r="C20" s="110">
        <v>0</v>
      </c>
      <c r="D20" s="111">
        <v>0</v>
      </c>
      <c r="E20" s="119" t="s">
        <v>139</v>
      </c>
      <c r="F20" s="41"/>
    </row>
    <row r="21" spans="1:6" s="11" customFormat="1" ht="21" customHeight="1" x14ac:dyDescent="0.3">
      <c r="A21" s="104" t="s">
        <v>643</v>
      </c>
      <c r="B21" s="109">
        <v>30</v>
      </c>
      <c r="C21" s="110">
        <v>0</v>
      </c>
      <c r="D21" s="111">
        <v>0</v>
      </c>
      <c r="E21" s="119"/>
      <c r="F21" s="41"/>
    </row>
    <row r="22" spans="1:6" s="11" customFormat="1" ht="21" customHeight="1" x14ac:dyDescent="0.3">
      <c r="A22" s="104" t="s">
        <v>644</v>
      </c>
      <c r="B22" s="109">
        <v>30</v>
      </c>
      <c r="C22" s="110">
        <v>0</v>
      </c>
      <c r="D22" s="111">
        <v>0</v>
      </c>
      <c r="E22" s="119" t="s">
        <v>139</v>
      </c>
      <c r="F22" s="41"/>
    </row>
    <row r="23" spans="1:6" s="11" customFormat="1" ht="21" customHeight="1" x14ac:dyDescent="0.3">
      <c r="A23" s="104" t="s">
        <v>906</v>
      </c>
      <c r="B23" s="109">
        <v>30</v>
      </c>
      <c r="C23" s="110">
        <v>0</v>
      </c>
      <c r="D23" s="111">
        <v>0</v>
      </c>
      <c r="E23" s="119"/>
      <c r="F23" s="41"/>
    </row>
    <row r="24" spans="1:6" s="11" customFormat="1" ht="21" customHeight="1" x14ac:dyDescent="0.3">
      <c r="A24" s="104" t="s">
        <v>786</v>
      </c>
      <c r="B24" s="109">
        <v>30</v>
      </c>
      <c r="C24" s="110">
        <v>0</v>
      </c>
      <c r="D24" s="111">
        <v>0</v>
      </c>
      <c r="E24" s="119" t="s">
        <v>249</v>
      </c>
      <c r="F24" s="41"/>
    </row>
    <row r="25" spans="1:6" s="11" customFormat="1" ht="21" customHeight="1" x14ac:dyDescent="0.3">
      <c r="A25" s="104" t="s">
        <v>646</v>
      </c>
      <c r="B25" s="109">
        <v>30</v>
      </c>
      <c r="C25" s="110">
        <v>0</v>
      </c>
      <c r="D25" s="111">
        <v>0</v>
      </c>
      <c r="E25" s="119" t="s">
        <v>423</v>
      </c>
      <c r="F25" s="41"/>
    </row>
    <row r="26" spans="1:6" s="11" customFormat="1" ht="21" customHeight="1" x14ac:dyDescent="0.3">
      <c r="A26" s="104" t="s">
        <v>647</v>
      </c>
      <c r="B26" s="109">
        <v>30</v>
      </c>
      <c r="C26" s="110">
        <v>0</v>
      </c>
      <c r="D26" s="111">
        <v>0</v>
      </c>
      <c r="E26" s="119"/>
      <c r="F26" s="41"/>
    </row>
    <row r="27" spans="1:6" s="11" customFormat="1" ht="21" customHeight="1" x14ac:dyDescent="0.3">
      <c r="A27" s="104" t="s">
        <v>648</v>
      </c>
      <c r="B27" s="109">
        <v>30</v>
      </c>
      <c r="C27" s="110">
        <v>0</v>
      </c>
      <c r="D27" s="111">
        <v>0</v>
      </c>
      <c r="E27" s="119"/>
      <c r="F27" s="41"/>
    </row>
    <row r="28" spans="1:6" s="11" customFormat="1" ht="21" customHeight="1" x14ac:dyDescent="0.3">
      <c r="A28" s="104" t="s">
        <v>904</v>
      </c>
      <c r="B28" s="109">
        <v>10</v>
      </c>
      <c r="C28" s="110">
        <v>0</v>
      </c>
      <c r="D28" s="111">
        <v>0</v>
      </c>
      <c r="E28" s="119" t="s">
        <v>612</v>
      </c>
      <c r="F28" s="41"/>
    </row>
    <row r="29" spans="1:6" s="11" customFormat="1" ht="21" customHeight="1" x14ac:dyDescent="0.3">
      <c r="A29" s="104" t="s">
        <v>649</v>
      </c>
      <c r="B29" s="109">
        <v>30</v>
      </c>
      <c r="C29" s="110">
        <v>0</v>
      </c>
      <c r="D29" s="111">
        <v>0</v>
      </c>
      <c r="E29" s="119"/>
      <c r="F29" s="41"/>
    </row>
    <row r="30" spans="1:6" s="11" customFormat="1" ht="21" customHeight="1" x14ac:dyDescent="0.3">
      <c r="A30" s="104" t="s">
        <v>651</v>
      </c>
      <c r="B30" s="109">
        <v>90</v>
      </c>
      <c r="C30" s="110">
        <v>0</v>
      </c>
      <c r="D30" s="111">
        <v>0</v>
      </c>
      <c r="E30" s="119" t="s">
        <v>139</v>
      </c>
      <c r="F30" s="41"/>
    </row>
    <row r="31" spans="1:6" s="11" customFormat="1" ht="21" customHeight="1" x14ac:dyDescent="0.3">
      <c r="A31" s="104" t="s">
        <v>652</v>
      </c>
      <c r="B31" s="109">
        <v>30</v>
      </c>
      <c r="C31" s="110">
        <v>0</v>
      </c>
      <c r="D31" s="111">
        <v>0</v>
      </c>
      <c r="E31" s="119" t="s">
        <v>139</v>
      </c>
      <c r="F31" s="41"/>
    </row>
    <row r="32" spans="1:6" s="11" customFormat="1" ht="21" customHeight="1" x14ac:dyDescent="0.3">
      <c r="A32" s="104" t="s">
        <v>787</v>
      </c>
      <c r="B32" s="109">
        <v>30</v>
      </c>
      <c r="C32" s="110">
        <v>0</v>
      </c>
      <c r="D32" s="111">
        <v>0</v>
      </c>
      <c r="E32" s="119" t="s">
        <v>139</v>
      </c>
      <c r="F32" s="41" t="s">
        <v>168</v>
      </c>
    </row>
    <row r="33" spans="1:6" s="11" customFormat="1" ht="21" customHeight="1" x14ac:dyDescent="0.3">
      <c r="A33" s="104" t="s">
        <v>788</v>
      </c>
      <c r="B33" s="109">
        <v>30</v>
      </c>
      <c r="C33" s="110">
        <v>0</v>
      </c>
      <c r="D33" s="111">
        <v>0</v>
      </c>
      <c r="E33" s="119"/>
      <c r="F33" s="41"/>
    </row>
    <row r="34" spans="1:6" s="11" customFormat="1" ht="21" customHeight="1" x14ac:dyDescent="0.3">
      <c r="A34" s="104" t="s">
        <v>789</v>
      </c>
      <c r="B34" s="109">
        <v>30</v>
      </c>
      <c r="C34" s="110">
        <v>0</v>
      </c>
      <c r="D34" s="111">
        <v>0</v>
      </c>
      <c r="E34" s="119" t="s">
        <v>139</v>
      </c>
      <c r="F34" s="41"/>
    </row>
    <row r="35" spans="1:6" s="11" customFormat="1" ht="21" customHeight="1" x14ac:dyDescent="0.3">
      <c r="A35" s="104" t="s">
        <v>790</v>
      </c>
      <c r="B35" s="109">
        <v>30</v>
      </c>
      <c r="C35" s="110">
        <v>0</v>
      </c>
      <c r="D35" s="111">
        <v>0</v>
      </c>
      <c r="E35" s="119" t="s">
        <v>139</v>
      </c>
      <c r="F35" s="41"/>
    </row>
    <row r="36" spans="1:6" s="11" customFormat="1" ht="21" customHeight="1" x14ac:dyDescent="0.3">
      <c r="A36" s="104" t="s">
        <v>791</v>
      </c>
      <c r="B36" s="109">
        <v>30</v>
      </c>
      <c r="C36" s="110">
        <v>0</v>
      </c>
      <c r="D36" s="111">
        <v>0</v>
      </c>
      <c r="E36" s="119" t="s">
        <v>139</v>
      </c>
      <c r="F36" s="41"/>
    </row>
    <row r="37" spans="1:6" s="11" customFormat="1" ht="21" customHeight="1" x14ac:dyDescent="0.3">
      <c r="A37" s="104" t="s">
        <v>1073</v>
      </c>
      <c r="B37" s="109">
        <v>30</v>
      </c>
      <c r="C37" s="110">
        <v>0</v>
      </c>
      <c r="D37" s="111">
        <v>0</v>
      </c>
      <c r="E37" s="168"/>
      <c r="F37" s="41"/>
    </row>
    <row r="38" spans="1:6" s="11" customFormat="1" ht="21" customHeight="1" x14ac:dyDescent="0.3">
      <c r="A38" s="104" t="s">
        <v>656</v>
      </c>
      <c r="B38" s="109">
        <v>30</v>
      </c>
      <c r="C38" s="110">
        <v>0</v>
      </c>
      <c r="D38" s="111">
        <v>0</v>
      </c>
      <c r="E38" s="119" t="s">
        <v>968</v>
      </c>
      <c r="F38" s="41"/>
    </row>
    <row r="39" spans="1:6" s="11" customFormat="1" ht="21" customHeight="1" x14ac:dyDescent="0.3">
      <c r="A39" s="104" t="s">
        <v>792</v>
      </c>
      <c r="B39" s="109">
        <v>90</v>
      </c>
      <c r="C39" s="110">
        <v>0</v>
      </c>
      <c r="D39" s="111">
        <v>0</v>
      </c>
      <c r="E39" s="119" t="s">
        <v>139</v>
      </c>
      <c r="F39" s="41"/>
    </row>
    <row r="40" spans="1:6" s="11" customFormat="1" ht="21" customHeight="1" x14ac:dyDescent="0.3">
      <c r="A40" s="104" t="s">
        <v>658</v>
      </c>
      <c r="B40" s="109">
        <v>30</v>
      </c>
      <c r="C40" s="110">
        <v>0</v>
      </c>
      <c r="D40" s="111">
        <v>0</v>
      </c>
      <c r="E40" s="119"/>
      <c r="F40" s="41"/>
    </row>
    <row r="41" spans="1:6" s="11" customFormat="1" ht="21" customHeight="1" x14ac:dyDescent="0.3">
      <c r="A41" s="104" t="s">
        <v>660</v>
      </c>
      <c r="B41" s="109">
        <v>60</v>
      </c>
      <c r="C41" s="110">
        <v>0</v>
      </c>
      <c r="D41" s="111">
        <v>0</v>
      </c>
      <c r="E41" s="119" t="s">
        <v>659</v>
      </c>
      <c r="F41" s="41"/>
    </row>
    <row r="42" spans="1:6" s="11" customFormat="1" ht="21" customHeight="1" x14ac:dyDescent="0.3">
      <c r="A42" s="104" t="s">
        <v>661</v>
      </c>
      <c r="B42" s="109">
        <v>30</v>
      </c>
      <c r="C42" s="110">
        <v>0</v>
      </c>
      <c r="D42" s="111">
        <v>0</v>
      </c>
      <c r="E42" s="119" t="s">
        <v>139</v>
      </c>
      <c r="F42" s="41"/>
    </row>
    <row r="43" spans="1:6" s="11" customFormat="1" ht="21" customHeight="1" x14ac:dyDescent="0.3">
      <c r="A43" s="104" t="s">
        <v>793</v>
      </c>
      <c r="B43" s="109">
        <v>30</v>
      </c>
      <c r="C43" s="110">
        <v>0</v>
      </c>
      <c r="D43" s="111">
        <v>0</v>
      </c>
      <c r="E43" s="119"/>
      <c r="F43" s="41"/>
    </row>
    <row r="44" spans="1:6" s="11" customFormat="1" ht="21" customHeight="1" x14ac:dyDescent="0.3">
      <c r="A44" s="104" t="s">
        <v>665</v>
      </c>
      <c r="B44" s="109">
        <v>30</v>
      </c>
      <c r="C44" s="110">
        <v>0</v>
      </c>
      <c r="D44" s="111">
        <v>0</v>
      </c>
      <c r="E44" s="119" t="s">
        <v>139</v>
      </c>
      <c r="F44" s="41"/>
    </row>
    <row r="45" spans="1:6" s="11" customFormat="1" ht="21" customHeight="1" x14ac:dyDescent="0.3">
      <c r="A45" s="104" t="s">
        <v>666</v>
      </c>
      <c r="B45" s="109">
        <v>30</v>
      </c>
      <c r="C45" s="110">
        <v>0</v>
      </c>
      <c r="D45" s="111">
        <v>0</v>
      </c>
      <c r="E45" s="119" t="s">
        <v>139</v>
      </c>
      <c r="F45" s="41"/>
    </row>
    <row r="46" spans="1:6" s="11" customFormat="1" ht="21" customHeight="1" x14ac:dyDescent="0.3">
      <c r="A46" s="104" t="s">
        <v>794</v>
      </c>
      <c r="B46" s="109">
        <v>30</v>
      </c>
      <c r="C46" s="110">
        <v>0</v>
      </c>
      <c r="D46" s="111">
        <v>0</v>
      </c>
      <c r="E46" s="119" t="s">
        <v>258</v>
      </c>
      <c r="F46" s="41" t="s">
        <v>165</v>
      </c>
    </row>
    <row r="47" spans="1:6" s="11" customFormat="1" ht="21" customHeight="1" x14ac:dyDescent="0.3">
      <c r="A47" s="104" t="s">
        <v>668</v>
      </c>
      <c r="B47" s="109">
        <v>30</v>
      </c>
      <c r="C47" s="110">
        <v>0</v>
      </c>
      <c r="D47" s="111">
        <v>0</v>
      </c>
      <c r="E47" s="119"/>
      <c r="F47" s="41"/>
    </row>
    <row r="48" spans="1:6" s="11" customFormat="1" ht="21" customHeight="1" x14ac:dyDescent="0.3">
      <c r="A48" s="104" t="s">
        <v>1450</v>
      </c>
      <c r="B48" s="109">
        <v>30</v>
      </c>
      <c r="C48" s="110">
        <v>0</v>
      </c>
      <c r="D48" s="111">
        <v>0</v>
      </c>
      <c r="E48" s="119" t="s">
        <v>250</v>
      </c>
      <c r="F48" s="105"/>
    </row>
    <row r="49" spans="1:6" s="11" customFormat="1" ht="21" customHeight="1" x14ac:dyDescent="0.3">
      <c r="A49" s="104" t="s">
        <v>669</v>
      </c>
      <c r="B49" s="109">
        <v>30</v>
      </c>
      <c r="C49" s="110">
        <v>0</v>
      </c>
      <c r="D49" s="111">
        <v>0</v>
      </c>
      <c r="E49" s="119"/>
      <c r="F49" s="41"/>
    </row>
    <row r="50" spans="1:6" s="11" customFormat="1" ht="21" customHeight="1" x14ac:dyDescent="0.3">
      <c r="A50" s="104" t="s">
        <v>670</v>
      </c>
      <c r="B50" s="109">
        <v>30</v>
      </c>
      <c r="C50" s="110">
        <v>0</v>
      </c>
      <c r="D50" s="111">
        <v>0</v>
      </c>
      <c r="E50" s="119" t="s">
        <v>476</v>
      </c>
      <c r="F50" s="41" t="s">
        <v>198</v>
      </c>
    </row>
    <row r="51" spans="1:6" s="11" customFormat="1" ht="21" customHeight="1" x14ac:dyDescent="0.3">
      <c r="A51" s="104" t="s">
        <v>795</v>
      </c>
      <c r="B51" s="109">
        <v>30</v>
      </c>
      <c r="C51" s="110">
        <v>0</v>
      </c>
      <c r="D51" s="111">
        <v>0</v>
      </c>
      <c r="E51" s="119" t="s">
        <v>139</v>
      </c>
      <c r="F51" s="41"/>
    </row>
    <row r="52" spans="1:6" s="11" customFormat="1" ht="21" customHeight="1" x14ac:dyDescent="0.3">
      <c r="A52" s="104" t="s">
        <v>671</v>
      </c>
      <c r="B52" s="109">
        <v>30</v>
      </c>
      <c r="C52" s="110">
        <v>0</v>
      </c>
      <c r="D52" s="111">
        <v>0</v>
      </c>
      <c r="E52" s="119" t="s">
        <v>139</v>
      </c>
      <c r="F52" s="41"/>
    </row>
    <row r="53" spans="1:6" s="11" customFormat="1" ht="21" customHeight="1" x14ac:dyDescent="0.3">
      <c r="A53" s="104" t="s">
        <v>796</v>
      </c>
      <c r="B53" s="109">
        <v>30</v>
      </c>
      <c r="C53" s="110">
        <v>0</v>
      </c>
      <c r="D53" s="111">
        <v>0</v>
      </c>
      <c r="E53" s="119" t="s">
        <v>139</v>
      </c>
      <c r="F53" s="41"/>
    </row>
    <row r="54" spans="1:6" s="11" customFormat="1" ht="21" customHeight="1" x14ac:dyDescent="0.3">
      <c r="A54" s="104" t="s">
        <v>672</v>
      </c>
      <c r="B54" s="109">
        <v>20</v>
      </c>
      <c r="C54" s="110">
        <v>0</v>
      </c>
      <c r="D54" s="111">
        <v>0</v>
      </c>
      <c r="E54" s="119"/>
      <c r="F54" s="41"/>
    </row>
    <row r="55" spans="1:6" s="11" customFormat="1" ht="21" customHeight="1" x14ac:dyDescent="0.3">
      <c r="A55" s="104" t="s">
        <v>797</v>
      </c>
      <c r="B55" s="109">
        <v>30</v>
      </c>
      <c r="C55" s="110">
        <v>0</v>
      </c>
      <c r="D55" s="111">
        <v>0</v>
      </c>
      <c r="E55" s="119" t="s">
        <v>139</v>
      </c>
      <c r="F55" s="41"/>
    </row>
    <row r="56" spans="1:6" s="11" customFormat="1" ht="21" customHeight="1" x14ac:dyDescent="0.3">
      <c r="A56" s="104" t="s">
        <v>798</v>
      </c>
      <c r="B56" s="109">
        <v>30</v>
      </c>
      <c r="C56" s="110">
        <v>0</v>
      </c>
      <c r="D56" s="111">
        <v>0</v>
      </c>
      <c r="E56" s="119" t="s">
        <v>1024</v>
      </c>
      <c r="F56" s="41"/>
    </row>
    <row r="57" spans="1:6" s="11" customFormat="1" ht="21" customHeight="1" x14ac:dyDescent="0.3">
      <c r="A57" s="104" t="s">
        <v>799</v>
      </c>
      <c r="B57" s="109">
        <v>30</v>
      </c>
      <c r="C57" s="110">
        <v>0</v>
      </c>
      <c r="D57" s="111">
        <v>0</v>
      </c>
      <c r="E57" s="119" t="s">
        <v>139</v>
      </c>
      <c r="F57" s="41"/>
    </row>
    <row r="58" spans="1:6" s="11" customFormat="1" ht="21" customHeight="1" x14ac:dyDescent="0.3">
      <c r="A58" s="104" t="s">
        <v>800</v>
      </c>
      <c r="B58" s="109">
        <v>30</v>
      </c>
      <c r="C58" s="110">
        <v>0</v>
      </c>
      <c r="D58" s="111">
        <v>0</v>
      </c>
      <c r="E58" s="119" t="s">
        <v>139</v>
      </c>
      <c r="F58" s="41"/>
    </row>
    <row r="59" spans="1:6" s="11" customFormat="1" ht="21" customHeight="1" x14ac:dyDescent="0.3">
      <c r="A59" s="104" t="s">
        <v>1734</v>
      </c>
      <c r="B59" s="109">
        <v>30</v>
      </c>
      <c r="C59" s="110">
        <v>0</v>
      </c>
      <c r="D59" s="111">
        <v>0</v>
      </c>
      <c r="E59" s="168"/>
      <c r="F59" s="41"/>
    </row>
    <row r="60" spans="1:6" s="11" customFormat="1" ht="21" customHeight="1" x14ac:dyDescent="0.3">
      <c r="A60" s="104" t="s">
        <v>673</v>
      </c>
      <c r="B60" s="109">
        <v>30</v>
      </c>
      <c r="C60" s="110">
        <v>0</v>
      </c>
      <c r="D60" s="111">
        <v>0</v>
      </c>
      <c r="E60" s="119" t="s">
        <v>139</v>
      </c>
      <c r="F60" s="41"/>
    </row>
    <row r="61" spans="1:6" s="11" customFormat="1" ht="21" customHeight="1" x14ac:dyDescent="0.3">
      <c r="A61" s="104" t="s">
        <v>1130</v>
      </c>
      <c r="B61" s="109">
        <v>30</v>
      </c>
      <c r="C61" s="110">
        <v>0</v>
      </c>
      <c r="D61" s="111">
        <v>0</v>
      </c>
      <c r="E61" s="119" t="s">
        <v>139</v>
      </c>
      <c r="F61" s="41"/>
    </row>
    <row r="62" spans="1:6" s="11" customFormat="1" ht="21" customHeight="1" x14ac:dyDescent="0.3">
      <c r="A62" s="104" t="s">
        <v>677</v>
      </c>
      <c r="B62" s="109">
        <v>30</v>
      </c>
      <c r="C62" s="110">
        <v>0</v>
      </c>
      <c r="D62" s="111">
        <v>0</v>
      </c>
      <c r="E62" s="119" t="s">
        <v>431</v>
      </c>
      <c r="F62" s="41"/>
    </row>
    <row r="63" spans="1:6" s="11" customFormat="1" ht="21" customHeight="1" x14ac:dyDescent="0.3">
      <c r="A63" s="104" t="s">
        <v>678</v>
      </c>
      <c r="B63" s="109">
        <v>30</v>
      </c>
      <c r="C63" s="110">
        <v>0</v>
      </c>
      <c r="D63" s="111">
        <v>0</v>
      </c>
      <c r="E63" s="119"/>
      <c r="F63" s="41"/>
    </row>
    <row r="64" spans="1:6" s="11" customFormat="1" ht="21" customHeight="1" x14ac:dyDescent="0.3">
      <c r="A64" s="104" t="s">
        <v>801</v>
      </c>
      <c r="B64" s="109">
        <v>30</v>
      </c>
      <c r="C64" s="110">
        <v>0</v>
      </c>
      <c r="D64" s="111">
        <v>0</v>
      </c>
      <c r="E64" s="119" t="s">
        <v>139</v>
      </c>
      <c r="F64" s="41"/>
    </row>
    <row r="65" spans="1:6" s="11" customFormat="1" ht="21" customHeight="1" x14ac:dyDescent="0.3">
      <c r="A65" s="104" t="s">
        <v>1737</v>
      </c>
      <c r="B65" s="109">
        <v>30</v>
      </c>
      <c r="C65" s="110">
        <v>0</v>
      </c>
      <c r="D65" s="111">
        <v>0</v>
      </c>
      <c r="E65" s="168"/>
      <c r="F65" s="41"/>
    </row>
    <row r="66" spans="1:6" s="11" customFormat="1" ht="21" customHeight="1" x14ac:dyDescent="0.3">
      <c r="A66" s="104" t="s">
        <v>679</v>
      </c>
      <c r="B66" s="109">
        <v>30</v>
      </c>
      <c r="C66" s="110">
        <v>0</v>
      </c>
      <c r="D66" s="111">
        <v>0</v>
      </c>
      <c r="E66" s="119" t="s">
        <v>139</v>
      </c>
      <c r="F66" s="41" t="s">
        <v>173</v>
      </c>
    </row>
    <row r="67" spans="1:6" s="11" customFormat="1" ht="21" customHeight="1" x14ac:dyDescent="0.3">
      <c r="A67" s="104" t="s">
        <v>994</v>
      </c>
      <c r="B67" s="109">
        <v>30</v>
      </c>
      <c r="C67" s="110">
        <v>0</v>
      </c>
      <c r="D67" s="111">
        <v>0</v>
      </c>
      <c r="E67" s="119"/>
      <c r="F67" s="41"/>
    </row>
    <row r="68" spans="1:6" s="11" customFormat="1" ht="21" customHeight="1" x14ac:dyDescent="0.3">
      <c r="A68" s="104" t="s">
        <v>802</v>
      </c>
      <c r="B68" s="109">
        <v>30</v>
      </c>
      <c r="C68" s="110">
        <v>0</v>
      </c>
      <c r="D68" s="111">
        <v>0</v>
      </c>
      <c r="E68" s="119" t="s">
        <v>139</v>
      </c>
      <c r="F68" s="41"/>
    </row>
    <row r="69" spans="1:6" s="11" customFormat="1" ht="21" customHeight="1" x14ac:dyDescent="0.3">
      <c r="A69" s="104" t="s">
        <v>680</v>
      </c>
      <c r="B69" s="109">
        <v>30</v>
      </c>
      <c r="C69" s="110">
        <v>0</v>
      </c>
      <c r="D69" s="111">
        <v>0</v>
      </c>
      <c r="E69" s="119" t="s">
        <v>139</v>
      </c>
      <c r="F69" s="41"/>
    </row>
    <row r="70" spans="1:6" s="11" customFormat="1" ht="21" customHeight="1" x14ac:dyDescent="0.3">
      <c r="A70" s="104" t="s">
        <v>803</v>
      </c>
      <c r="B70" s="109">
        <v>30</v>
      </c>
      <c r="C70" s="110">
        <v>0</v>
      </c>
      <c r="D70" s="111">
        <v>0</v>
      </c>
      <c r="E70" s="119" t="s">
        <v>139</v>
      </c>
      <c r="F70" s="41"/>
    </row>
    <row r="71" spans="1:6" s="11" customFormat="1" ht="21" customHeight="1" x14ac:dyDescent="0.3">
      <c r="A71" s="104" t="s">
        <v>683</v>
      </c>
      <c r="B71" s="109">
        <v>30</v>
      </c>
      <c r="C71" s="110">
        <v>0</v>
      </c>
      <c r="D71" s="111">
        <v>0</v>
      </c>
      <c r="E71" s="119" t="s">
        <v>139</v>
      </c>
      <c r="F71" s="41"/>
    </row>
    <row r="72" spans="1:6" s="11" customFormat="1" ht="21" customHeight="1" x14ac:dyDescent="0.3">
      <c r="A72" s="104" t="s">
        <v>804</v>
      </c>
      <c r="B72" s="109">
        <v>30</v>
      </c>
      <c r="C72" s="110">
        <v>0</v>
      </c>
      <c r="D72" s="111">
        <v>0</v>
      </c>
      <c r="E72" s="119" t="s">
        <v>139</v>
      </c>
      <c r="F72" s="41"/>
    </row>
    <row r="73" spans="1:6" s="11" customFormat="1" ht="21" customHeight="1" x14ac:dyDescent="0.3">
      <c r="A73" s="104" t="s">
        <v>684</v>
      </c>
      <c r="B73" s="109">
        <v>30</v>
      </c>
      <c r="C73" s="110">
        <v>0</v>
      </c>
      <c r="D73" s="111">
        <v>0</v>
      </c>
      <c r="E73" s="119" t="s">
        <v>139</v>
      </c>
      <c r="F73" s="41"/>
    </row>
    <row r="74" spans="1:6" s="11" customFormat="1" ht="21" customHeight="1" x14ac:dyDescent="0.3">
      <c r="A74" s="104" t="s">
        <v>805</v>
      </c>
      <c r="B74" s="109">
        <v>30</v>
      </c>
      <c r="C74" s="110">
        <v>0</v>
      </c>
      <c r="D74" s="111">
        <v>0</v>
      </c>
      <c r="E74" s="119" t="s">
        <v>139</v>
      </c>
      <c r="F74" s="41"/>
    </row>
    <row r="75" spans="1:6" s="11" customFormat="1" ht="21" customHeight="1" x14ac:dyDescent="0.3">
      <c r="A75" s="104" t="s">
        <v>806</v>
      </c>
      <c r="B75" s="109">
        <v>30</v>
      </c>
      <c r="C75" s="110">
        <v>0</v>
      </c>
      <c r="D75" s="111">
        <v>0</v>
      </c>
      <c r="E75" s="119" t="s">
        <v>139</v>
      </c>
      <c r="F75" s="41"/>
    </row>
    <row r="76" spans="1:6" s="11" customFormat="1" ht="21" customHeight="1" x14ac:dyDescent="0.3">
      <c r="A76" s="104" t="s">
        <v>685</v>
      </c>
      <c r="B76" s="109">
        <v>30</v>
      </c>
      <c r="C76" s="110">
        <v>0</v>
      </c>
      <c r="D76" s="111">
        <v>0</v>
      </c>
      <c r="E76" s="119" t="s">
        <v>291</v>
      </c>
      <c r="F76" s="41"/>
    </row>
    <row r="77" spans="1:6" s="11" customFormat="1" ht="21" customHeight="1" x14ac:dyDescent="0.3">
      <c r="A77" s="104" t="s">
        <v>807</v>
      </c>
      <c r="B77" s="109">
        <v>30</v>
      </c>
      <c r="C77" s="110">
        <v>0</v>
      </c>
      <c r="D77" s="111">
        <v>0</v>
      </c>
      <c r="E77" s="119" t="s">
        <v>139</v>
      </c>
      <c r="F77" s="41"/>
    </row>
    <row r="78" spans="1:6" s="11" customFormat="1" ht="21" customHeight="1" x14ac:dyDescent="0.3">
      <c r="A78" s="104" t="s">
        <v>686</v>
      </c>
      <c r="B78" s="109">
        <v>30</v>
      </c>
      <c r="C78" s="110">
        <v>0</v>
      </c>
      <c r="D78" s="111">
        <v>0</v>
      </c>
      <c r="E78" s="119" t="s">
        <v>139</v>
      </c>
      <c r="F78" s="41"/>
    </row>
    <row r="79" spans="1:6" s="11" customFormat="1" ht="21" customHeight="1" x14ac:dyDescent="0.3">
      <c r="A79" s="104" t="s">
        <v>1050</v>
      </c>
      <c r="B79" s="109">
        <v>0</v>
      </c>
      <c r="C79" s="110">
        <v>0</v>
      </c>
      <c r="D79" s="111">
        <v>0</v>
      </c>
      <c r="E79" s="119"/>
      <c r="F79" s="41"/>
    </row>
    <row r="80" spans="1:6" s="11" customFormat="1" ht="21" customHeight="1" x14ac:dyDescent="0.3">
      <c r="A80" s="104" t="s">
        <v>808</v>
      </c>
      <c r="B80" s="109">
        <v>30</v>
      </c>
      <c r="C80" s="110">
        <v>0</v>
      </c>
      <c r="D80" s="111">
        <v>0</v>
      </c>
      <c r="E80" s="119" t="s">
        <v>139</v>
      </c>
      <c r="F80" s="41"/>
    </row>
    <row r="81" spans="1:6" s="11" customFormat="1" ht="21" customHeight="1" x14ac:dyDescent="0.3">
      <c r="A81" s="104" t="s">
        <v>809</v>
      </c>
      <c r="B81" s="109">
        <v>30</v>
      </c>
      <c r="C81" s="110">
        <v>0</v>
      </c>
      <c r="D81" s="111">
        <v>0</v>
      </c>
      <c r="E81" s="119" t="s">
        <v>139</v>
      </c>
      <c r="F81" s="41"/>
    </row>
    <row r="82" spans="1:6" s="11" customFormat="1" ht="21" customHeight="1" x14ac:dyDescent="0.3">
      <c r="A82" s="104" t="s">
        <v>688</v>
      </c>
      <c r="B82" s="109">
        <v>30</v>
      </c>
      <c r="C82" s="110">
        <v>0</v>
      </c>
      <c r="D82" s="111">
        <v>0</v>
      </c>
      <c r="E82" s="119" t="s">
        <v>687</v>
      </c>
      <c r="F82" s="41"/>
    </row>
    <row r="83" spans="1:6" s="11" customFormat="1" ht="21" customHeight="1" x14ac:dyDescent="0.3">
      <c r="A83" s="104" t="s">
        <v>966</v>
      </c>
      <c r="B83" s="109">
        <v>8</v>
      </c>
      <c r="C83" s="110">
        <v>0</v>
      </c>
      <c r="D83" s="111">
        <v>0</v>
      </c>
      <c r="E83" s="119"/>
      <c r="F83" s="41"/>
    </row>
    <row r="84" spans="1:6" s="11" customFormat="1" ht="21" customHeight="1" x14ac:dyDescent="0.3">
      <c r="A84" s="104" t="s">
        <v>810</v>
      </c>
      <c r="B84" s="109">
        <v>30</v>
      </c>
      <c r="C84" s="110">
        <v>0</v>
      </c>
      <c r="D84" s="111">
        <v>0</v>
      </c>
      <c r="E84" s="119" t="s">
        <v>139</v>
      </c>
      <c r="F84" s="41"/>
    </row>
    <row r="85" spans="1:6" s="11" customFormat="1" ht="21" customHeight="1" x14ac:dyDescent="0.3">
      <c r="A85" s="104" t="s">
        <v>811</v>
      </c>
      <c r="B85" s="109">
        <v>30</v>
      </c>
      <c r="C85" s="110">
        <v>0</v>
      </c>
      <c r="D85" s="111">
        <v>0</v>
      </c>
      <c r="E85" s="119" t="s">
        <v>139</v>
      </c>
      <c r="F85" s="41"/>
    </row>
    <row r="86" spans="1:6" s="11" customFormat="1" ht="21" customHeight="1" x14ac:dyDescent="0.3">
      <c r="A86" s="104" t="s">
        <v>689</v>
      </c>
      <c r="B86" s="109">
        <v>30</v>
      </c>
      <c r="C86" s="110">
        <v>0</v>
      </c>
      <c r="D86" s="111">
        <v>0</v>
      </c>
      <c r="E86" s="119" t="s">
        <v>139</v>
      </c>
      <c r="F86" s="41"/>
    </row>
    <row r="87" spans="1:6" s="11" customFormat="1" ht="21" customHeight="1" x14ac:dyDescent="0.3">
      <c r="A87" s="104" t="s">
        <v>691</v>
      </c>
      <c r="B87" s="109">
        <v>30</v>
      </c>
      <c r="C87" s="110">
        <v>0</v>
      </c>
      <c r="D87" s="111">
        <v>0</v>
      </c>
      <c r="E87" s="119" t="s">
        <v>402</v>
      </c>
      <c r="F87" s="41"/>
    </row>
    <row r="88" spans="1:6" s="11" customFormat="1" ht="21" customHeight="1" x14ac:dyDescent="0.3">
      <c r="A88" s="104" t="s">
        <v>692</v>
      </c>
      <c r="B88" s="109">
        <v>20</v>
      </c>
      <c r="C88" s="110">
        <v>0</v>
      </c>
      <c r="D88" s="111">
        <v>0</v>
      </c>
      <c r="E88" s="119"/>
      <c r="F88" s="41"/>
    </row>
    <row r="89" spans="1:6" s="11" customFormat="1" ht="21" customHeight="1" x14ac:dyDescent="0.3">
      <c r="A89" s="104" t="s">
        <v>812</v>
      </c>
      <c r="B89" s="109">
        <v>30</v>
      </c>
      <c r="C89" s="110">
        <v>0</v>
      </c>
      <c r="D89" s="111">
        <v>0</v>
      </c>
      <c r="E89" s="119" t="s">
        <v>139</v>
      </c>
      <c r="F89" s="41"/>
    </row>
    <row r="90" spans="1:6" s="11" customFormat="1" ht="21" customHeight="1" x14ac:dyDescent="0.3">
      <c r="A90" s="104" t="s">
        <v>813</v>
      </c>
      <c r="B90" s="109">
        <v>30</v>
      </c>
      <c r="C90" s="110">
        <v>0</v>
      </c>
      <c r="D90" s="111">
        <v>0</v>
      </c>
      <c r="E90" s="119" t="s">
        <v>139</v>
      </c>
      <c r="F90" s="41"/>
    </row>
    <row r="91" spans="1:6" s="11" customFormat="1" ht="21" customHeight="1" x14ac:dyDescent="0.3">
      <c r="A91" s="104" t="s">
        <v>694</v>
      </c>
      <c r="B91" s="109">
        <v>30</v>
      </c>
      <c r="C91" s="110">
        <v>0</v>
      </c>
      <c r="D91" s="111">
        <v>0</v>
      </c>
      <c r="E91" s="119"/>
      <c r="F91" s="41"/>
    </row>
    <row r="92" spans="1:6" s="11" customFormat="1" ht="21" customHeight="1" x14ac:dyDescent="0.3">
      <c r="A92" s="104" t="s">
        <v>1806</v>
      </c>
      <c r="B92" s="109">
        <v>30</v>
      </c>
      <c r="C92" s="110">
        <v>0</v>
      </c>
      <c r="D92" s="111">
        <v>0</v>
      </c>
      <c r="E92" s="168"/>
      <c r="F92" s="41"/>
    </row>
    <row r="93" spans="1:6" s="11" customFormat="1" ht="21" customHeight="1" x14ac:dyDescent="0.3">
      <c r="A93" s="104" t="s">
        <v>695</v>
      </c>
      <c r="B93" s="109">
        <v>30</v>
      </c>
      <c r="C93" s="110">
        <v>0</v>
      </c>
      <c r="D93" s="111">
        <v>0</v>
      </c>
      <c r="E93" s="119" t="s">
        <v>139</v>
      </c>
      <c r="F93" s="41"/>
    </row>
    <row r="94" spans="1:6" s="11" customFormat="1" ht="21" customHeight="1" x14ac:dyDescent="0.3">
      <c r="A94" s="104" t="s">
        <v>814</v>
      </c>
      <c r="B94" s="109">
        <v>30</v>
      </c>
      <c r="C94" s="110">
        <v>0</v>
      </c>
      <c r="D94" s="111">
        <v>0</v>
      </c>
      <c r="E94" s="119" t="s">
        <v>139</v>
      </c>
      <c r="F94" s="41"/>
    </row>
    <row r="95" spans="1:6" s="11" customFormat="1" ht="21" customHeight="1" x14ac:dyDescent="0.3">
      <c r="A95" s="104" t="s">
        <v>815</v>
      </c>
      <c r="B95" s="109">
        <v>30</v>
      </c>
      <c r="C95" s="110">
        <v>0</v>
      </c>
      <c r="D95" s="111">
        <v>0</v>
      </c>
      <c r="E95" s="119" t="s">
        <v>139</v>
      </c>
      <c r="F95" s="41"/>
    </row>
    <row r="96" spans="1:6" s="11" customFormat="1" ht="21" customHeight="1" x14ac:dyDescent="0.3">
      <c r="A96" s="104" t="s">
        <v>698</v>
      </c>
      <c r="B96" s="109">
        <v>30</v>
      </c>
      <c r="C96" s="110">
        <v>0</v>
      </c>
      <c r="D96" s="111">
        <v>0</v>
      </c>
      <c r="E96" s="119" t="s">
        <v>423</v>
      </c>
      <c r="F96" s="41"/>
    </row>
    <row r="97" spans="1:6" s="11" customFormat="1" ht="21" customHeight="1" x14ac:dyDescent="0.3">
      <c r="A97" s="104" t="s">
        <v>816</v>
      </c>
      <c r="B97" s="109">
        <v>30</v>
      </c>
      <c r="C97" s="110">
        <v>0</v>
      </c>
      <c r="D97" s="111">
        <v>0</v>
      </c>
      <c r="E97" s="119" t="s">
        <v>251</v>
      </c>
      <c r="F97" s="41"/>
    </row>
    <row r="98" spans="1:6" s="11" customFormat="1" ht="21" customHeight="1" x14ac:dyDescent="0.3">
      <c r="A98" s="104" t="s">
        <v>699</v>
      </c>
      <c r="B98" s="109">
        <v>30</v>
      </c>
      <c r="C98" s="110">
        <v>0</v>
      </c>
      <c r="D98" s="111">
        <v>0</v>
      </c>
      <c r="E98" s="119" t="s">
        <v>251</v>
      </c>
      <c r="F98" s="41"/>
    </row>
    <row r="99" spans="1:6" s="11" customFormat="1" ht="21" customHeight="1" x14ac:dyDescent="0.3">
      <c r="A99" s="104" t="s">
        <v>700</v>
      </c>
      <c r="B99" s="109">
        <v>30</v>
      </c>
      <c r="C99" s="110">
        <v>0</v>
      </c>
      <c r="D99" s="111">
        <v>0</v>
      </c>
      <c r="E99" s="119"/>
      <c r="F99" s="41"/>
    </row>
    <row r="100" spans="1:6" s="11" customFormat="1" ht="21" customHeight="1" x14ac:dyDescent="0.3">
      <c r="A100" s="104" t="s">
        <v>701</v>
      </c>
      <c r="B100" s="109">
        <v>30</v>
      </c>
      <c r="C100" s="110">
        <v>0.19</v>
      </c>
      <c r="D100" s="111" t="s">
        <v>865</v>
      </c>
      <c r="E100" s="119"/>
      <c r="F100" s="41"/>
    </row>
    <row r="101" spans="1:6" s="11" customFormat="1" ht="21" customHeight="1" x14ac:dyDescent="0.3">
      <c r="A101" s="104" t="s">
        <v>56</v>
      </c>
      <c r="B101" s="109">
        <v>30</v>
      </c>
      <c r="C101" s="110">
        <v>0.19</v>
      </c>
      <c r="D101" s="111">
        <v>0</v>
      </c>
      <c r="E101" s="119" t="s">
        <v>380</v>
      </c>
      <c r="F101" s="41"/>
    </row>
    <row r="102" spans="1:6" s="11" customFormat="1" ht="21" customHeight="1" x14ac:dyDescent="0.3">
      <c r="A102" s="104" t="s">
        <v>352</v>
      </c>
      <c r="B102" s="109">
        <v>10</v>
      </c>
      <c r="C102" s="110">
        <v>0</v>
      </c>
      <c r="D102" s="111">
        <v>0</v>
      </c>
      <c r="E102" s="119"/>
      <c r="F102" s="41"/>
    </row>
    <row r="103" spans="1:6" s="11" customFormat="1" ht="21" customHeight="1" x14ac:dyDescent="0.3">
      <c r="A103" s="104" t="s">
        <v>420</v>
      </c>
      <c r="B103" s="109">
        <v>10</v>
      </c>
      <c r="C103" s="110">
        <v>0.19</v>
      </c>
      <c r="D103" s="111" t="s">
        <v>865</v>
      </c>
      <c r="E103" s="119" t="s">
        <v>419</v>
      </c>
      <c r="F103" s="41"/>
    </row>
    <row r="104" spans="1:6" s="11" customFormat="1" ht="21" customHeight="1" x14ac:dyDescent="0.3">
      <c r="A104" s="104" t="s">
        <v>278</v>
      </c>
      <c r="B104" s="109">
        <v>30</v>
      </c>
      <c r="C104" s="110">
        <v>0.19</v>
      </c>
      <c r="D104" s="111" t="s">
        <v>865</v>
      </c>
      <c r="E104" s="119"/>
      <c r="F104" s="41"/>
    </row>
    <row r="105" spans="1:6" s="11" customFormat="1" ht="21" customHeight="1" x14ac:dyDescent="0.3">
      <c r="A105" s="104" t="s">
        <v>497</v>
      </c>
      <c r="B105" s="109">
        <v>20</v>
      </c>
      <c r="C105" s="110">
        <v>0</v>
      </c>
      <c r="D105" s="111" t="s">
        <v>868</v>
      </c>
      <c r="E105" s="119" t="s">
        <v>498</v>
      </c>
      <c r="F105" s="41"/>
    </row>
    <row r="106" spans="1:6" s="11" customFormat="1" ht="21" customHeight="1" x14ac:dyDescent="0.3">
      <c r="A106" s="104" t="s">
        <v>466</v>
      </c>
      <c r="B106" s="109">
        <v>30</v>
      </c>
      <c r="C106" s="110">
        <v>0.19</v>
      </c>
      <c r="D106" s="111">
        <v>0</v>
      </c>
      <c r="E106" s="119"/>
      <c r="F106" s="41"/>
    </row>
    <row r="107" spans="1:6" s="11" customFormat="1" ht="21" customHeight="1" x14ac:dyDescent="0.3">
      <c r="A107" s="104" t="s">
        <v>907</v>
      </c>
      <c r="B107" s="109">
        <v>30</v>
      </c>
      <c r="C107" s="110">
        <v>0.19</v>
      </c>
      <c r="D107" s="111">
        <v>0</v>
      </c>
      <c r="E107" s="119" t="s">
        <v>178</v>
      </c>
      <c r="F107" s="41"/>
    </row>
    <row r="108" spans="1:6" s="11" customFormat="1" ht="21" customHeight="1" x14ac:dyDescent="0.3">
      <c r="A108" s="104" t="s">
        <v>536</v>
      </c>
      <c r="B108" s="109">
        <v>30</v>
      </c>
      <c r="C108" s="110">
        <v>0.19</v>
      </c>
      <c r="D108" s="111" t="s">
        <v>865</v>
      </c>
      <c r="E108" s="119"/>
      <c r="F108" s="41"/>
    </row>
    <row r="109" spans="1:6" s="11" customFormat="1" ht="21" customHeight="1" x14ac:dyDescent="0.3">
      <c r="A109" s="104" t="s">
        <v>1818</v>
      </c>
      <c r="B109" s="109">
        <v>30</v>
      </c>
      <c r="C109" s="110">
        <v>0</v>
      </c>
      <c r="D109" s="111">
        <v>0</v>
      </c>
      <c r="E109" s="168"/>
      <c r="F109" s="41"/>
    </row>
    <row r="110" spans="1:6" s="11" customFormat="1" ht="21" customHeight="1" x14ac:dyDescent="0.3">
      <c r="A110" s="104" t="s">
        <v>20</v>
      </c>
      <c r="B110" s="109">
        <v>30</v>
      </c>
      <c r="C110" s="110">
        <v>0.19</v>
      </c>
      <c r="D110" s="111" t="s">
        <v>865</v>
      </c>
      <c r="E110" s="119" t="s">
        <v>170</v>
      </c>
      <c r="F110" s="41" t="s">
        <v>294</v>
      </c>
    </row>
    <row r="111" spans="1:6" s="11" customFormat="1" ht="21" customHeight="1" x14ac:dyDescent="0.3">
      <c r="A111" s="104" t="s">
        <v>21</v>
      </c>
      <c r="B111" s="109">
        <v>30</v>
      </c>
      <c r="C111" s="110">
        <v>0.19</v>
      </c>
      <c r="D111" s="111" t="s">
        <v>865</v>
      </c>
      <c r="E111" s="119" t="s">
        <v>1420</v>
      </c>
      <c r="F111" s="41"/>
    </row>
    <row r="112" spans="1:6" s="11" customFormat="1" ht="21" customHeight="1" x14ac:dyDescent="0.3">
      <c r="A112" s="104" t="s">
        <v>1127</v>
      </c>
      <c r="B112" s="109">
        <v>30</v>
      </c>
      <c r="C112" s="110">
        <v>0.19</v>
      </c>
      <c r="D112" s="111" t="s">
        <v>865</v>
      </c>
      <c r="E112" s="119" t="s">
        <v>1420</v>
      </c>
      <c r="F112" s="41"/>
    </row>
    <row r="113" spans="1:6" s="11" customFormat="1" ht="21" customHeight="1" x14ac:dyDescent="0.3">
      <c r="A113" s="104" t="s">
        <v>908</v>
      </c>
      <c r="B113" s="109">
        <v>30</v>
      </c>
      <c r="C113" s="110">
        <v>0.19</v>
      </c>
      <c r="D113" s="111" t="s">
        <v>868</v>
      </c>
      <c r="E113" s="119"/>
      <c r="F113" s="41"/>
    </row>
    <row r="114" spans="1:6" s="11" customFormat="1" ht="21" customHeight="1" x14ac:dyDescent="0.3">
      <c r="A114" s="104" t="s">
        <v>51</v>
      </c>
      <c r="B114" s="109">
        <v>30</v>
      </c>
      <c r="C114" s="110">
        <v>0.19</v>
      </c>
      <c r="D114" s="111" t="s">
        <v>865</v>
      </c>
      <c r="E114" s="119" t="s">
        <v>139</v>
      </c>
      <c r="F114" s="41"/>
    </row>
    <row r="115" spans="1:6" s="11" customFormat="1" ht="21" customHeight="1" x14ac:dyDescent="0.3">
      <c r="A115" s="104" t="s">
        <v>1633</v>
      </c>
      <c r="B115" s="109">
        <v>0</v>
      </c>
      <c r="C115" s="110">
        <v>0.19</v>
      </c>
      <c r="D115" s="111" t="s">
        <v>865</v>
      </c>
      <c r="E115" s="168" t="s">
        <v>178</v>
      </c>
      <c r="F115" s="41"/>
    </row>
    <row r="116" spans="1:6" s="11" customFormat="1" ht="21" customHeight="1" x14ac:dyDescent="0.3">
      <c r="A116" s="104" t="s">
        <v>909</v>
      </c>
      <c r="B116" s="109">
        <v>10</v>
      </c>
      <c r="C116" s="110">
        <v>0.19</v>
      </c>
      <c r="D116" s="111">
        <v>0</v>
      </c>
      <c r="E116" s="119"/>
      <c r="F116" s="41"/>
    </row>
    <row r="117" spans="1:6" s="11" customFormat="1" ht="21" customHeight="1" x14ac:dyDescent="0.3">
      <c r="A117" s="104" t="s">
        <v>910</v>
      </c>
      <c r="B117" s="109">
        <v>30</v>
      </c>
      <c r="C117" s="110">
        <v>0</v>
      </c>
      <c r="D117" s="111">
        <v>0</v>
      </c>
      <c r="E117" s="119" t="s">
        <v>252</v>
      </c>
      <c r="F117" s="41"/>
    </row>
    <row r="118" spans="1:6" s="11" customFormat="1" ht="21" customHeight="1" x14ac:dyDescent="0.3">
      <c r="A118" s="104" t="s">
        <v>910</v>
      </c>
      <c r="B118" s="109">
        <v>0</v>
      </c>
      <c r="C118" s="110">
        <v>0.19</v>
      </c>
      <c r="D118" s="111">
        <v>0</v>
      </c>
      <c r="E118" s="119" t="s">
        <v>252</v>
      </c>
      <c r="F118" s="41" t="s">
        <v>1673</v>
      </c>
    </row>
    <row r="119" spans="1:6" s="11" customFormat="1" ht="21" customHeight="1" x14ac:dyDescent="0.3">
      <c r="A119" s="104" t="s">
        <v>42</v>
      </c>
      <c r="B119" s="109">
        <v>30</v>
      </c>
      <c r="C119" s="110">
        <v>0.19</v>
      </c>
      <c r="D119" s="111" t="s">
        <v>865</v>
      </c>
      <c r="E119" s="119" t="s">
        <v>139</v>
      </c>
      <c r="F119" s="41"/>
    </row>
    <row r="120" spans="1:6" s="11" customFormat="1" ht="21" customHeight="1" x14ac:dyDescent="0.3">
      <c r="A120" s="104" t="s">
        <v>528</v>
      </c>
      <c r="B120" s="109">
        <v>60</v>
      </c>
      <c r="C120" s="110">
        <v>0</v>
      </c>
      <c r="D120" s="111">
        <v>0</v>
      </c>
      <c r="E120" s="119" t="s">
        <v>631</v>
      </c>
      <c r="F120" s="41"/>
    </row>
    <row r="121" spans="1:6" s="11" customFormat="1" ht="21" customHeight="1" x14ac:dyDescent="0.3">
      <c r="A121" s="104" t="s">
        <v>529</v>
      </c>
      <c r="B121" s="109">
        <v>45</v>
      </c>
      <c r="C121" s="110">
        <v>0</v>
      </c>
      <c r="D121" s="111">
        <v>0</v>
      </c>
      <c r="E121" s="119" t="s">
        <v>631</v>
      </c>
      <c r="F121" s="41"/>
    </row>
    <row r="122" spans="1:6" s="11" customFormat="1" ht="21" customHeight="1" x14ac:dyDescent="0.3">
      <c r="A122" s="104" t="s">
        <v>599</v>
      </c>
      <c r="B122" s="109">
        <v>45</v>
      </c>
      <c r="C122" s="110">
        <v>0</v>
      </c>
      <c r="D122" s="111">
        <v>0</v>
      </c>
      <c r="E122" s="119" t="s">
        <v>518</v>
      </c>
      <c r="F122" s="41"/>
    </row>
    <row r="123" spans="1:6" s="11" customFormat="1" ht="21" customHeight="1" x14ac:dyDescent="0.3">
      <c r="A123" s="104" t="s">
        <v>530</v>
      </c>
      <c r="B123" s="109">
        <v>45</v>
      </c>
      <c r="C123" s="110">
        <v>0</v>
      </c>
      <c r="D123" s="111">
        <v>0</v>
      </c>
      <c r="E123" s="119" t="s">
        <v>631</v>
      </c>
      <c r="F123" s="41"/>
    </row>
    <row r="124" spans="1:6" s="11" customFormat="1" ht="21" customHeight="1" x14ac:dyDescent="0.3">
      <c r="A124" s="104" t="s">
        <v>81</v>
      </c>
      <c r="B124" s="109">
        <v>30</v>
      </c>
      <c r="C124" s="110">
        <v>0.19</v>
      </c>
      <c r="D124" s="111" t="s">
        <v>865</v>
      </c>
      <c r="E124" s="119" t="s">
        <v>139</v>
      </c>
      <c r="F124" s="41"/>
    </row>
    <row r="125" spans="1:6" s="11" customFormat="1" ht="21" customHeight="1" x14ac:dyDescent="0.3">
      <c r="A125" s="104" t="s">
        <v>937</v>
      </c>
      <c r="B125" s="109">
        <v>20</v>
      </c>
      <c r="C125" s="110">
        <v>0</v>
      </c>
      <c r="D125" s="111">
        <v>0</v>
      </c>
      <c r="E125" s="119" t="s">
        <v>178</v>
      </c>
      <c r="F125" s="41"/>
    </row>
    <row r="126" spans="1:6" s="11" customFormat="1" ht="21" customHeight="1" x14ac:dyDescent="0.3">
      <c r="A126" s="104" t="s">
        <v>911</v>
      </c>
      <c r="B126" s="109">
        <v>90</v>
      </c>
      <c r="C126" s="110">
        <v>0</v>
      </c>
      <c r="D126" s="111" t="s">
        <v>866</v>
      </c>
      <c r="E126" s="119" t="s">
        <v>713</v>
      </c>
      <c r="F126" s="41"/>
    </row>
    <row r="127" spans="1:6" s="11" customFormat="1" ht="21" customHeight="1" x14ac:dyDescent="0.3">
      <c r="A127" s="104" t="s">
        <v>1077</v>
      </c>
      <c r="B127" s="109">
        <v>30</v>
      </c>
      <c r="C127" s="110">
        <v>0</v>
      </c>
      <c r="D127" s="111">
        <v>0</v>
      </c>
      <c r="E127" s="119" t="s">
        <v>1107</v>
      </c>
      <c r="F127" s="41"/>
    </row>
    <row r="128" spans="1:6" s="11" customFormat="1" ht="21" customHeight="1" x14ac:dyDescent="0.3">
      <c r="A128" s="104" t="s">
        <v>510</v>
      </c>
      <c r="B128" s="109">
        <v>30</v>
      </c>
      <c r="C128" s="110">
        <v>0.19</v>
      </c>
      <c r="D128" s="111">
        <v>0</v>
      </c>
      <c r="E128" s="119" t="s">
        <v>547</v>
      </c>
      <c r="F128" s="41"/>
    </row>
    <row r="129" spans="1:6" s="11" customFormat="1" ht="21" customHeight="1" x14ac:dyDescent="0.3">
      <c r="A129" s="104" t="s">
        <v>905</v>
      </c>
      <c r="B129" s="109">
        <v>30</v>
      </c>
      <c r="C129" s="110">
        <v>0.19</v>
      </c>
      <c r="D129" s="111">
        <v>0</v>
      </c>
      <c r="E129" s="119" t="s">
        <v>547</v>
      </c>
      <c r="F129" s="41"/>
    </row>
    <row r="130" spans="1:6" s="11" customFormat="1" ht="21" customHeight="1" x14ac:dyDescent="0.3">
      <c r="A130" s="104" t="s">
        <v>912</v>
      </c>
      <c r="B130" s="109">
        <v>0</v>
      </c>
      <c r="C130" s="110">
        <v>0.19</v>
      </c>
      <c r="D130" s="111">
        <v>0</v>
      </c>
      <c r="E130" s="119" t="s">
        <v>171</v>
      </c>
      <c r="F130" s="41" t="s">
        <v>140</v>
      </c>
    </row>
    <row r="131" spans="1:6" s="11" customFormat="1" ht="21" customHeight="1" x14ac:dyDescent="0.3">
      <c r="A131" s="104" t="s">
        <v>860</v>
      </c>
      <c r="B131" s="109">
        <v>30</v>
      </c>
      <c r="C131" s="110">
        <v>0.19</v>
      </c>
      <c r="D131" s="111">
        <v>0</v>
      </c>
      <c r="E131" s="119" t="s">
        <v>861</v>
      </c>
      <c r="F131" s="41"/>
    </row>
    <row r="132" spans="1:6" s="11" customFormat="1" ht="21" customHeight="1" x14ac:dyDescent="0.3">
      <c r="A132" s="104" t="s">
        <v>512</v>
      </c>
      <c r="B132" s="109">
        <v>30</v>
      </c>
      <c r="C132" s="110">
        <v>0.19</v>
      </c>
      <c r="D132" s="111" t="s">
        <v>865</v>
      </c>
      <c r="E132" s="119" t="s">
        <v>261</v>
      </c>
      <c r="F132" s="41"/>
    </row>
    <row r="133" spans="1:6" s="11" customFormat="1" ht="21" customHeight="1" x14ac:dyDescent="0.3">
      <c r="A133" s="104" t="s">
        <v>445</v>
      </c>
      <c r="B133" s="109">
        <v>30</v>
      </c>
      <c r="C133" s="110">
        <v>0.19</v>
      </c>
      <c r="D133" s="111" t="s">
        <v>865</v>
      </c>
      <c r="E133" s="119"/>
      <c r="F133" s="41"/>
    </row>
    <row r="134" spans="1:6" s="11" customFormat="1" ht="21" customHeight="1" x14ac:dyDescent="0.3">
      <c r="A134" s="104" t="s">
        <v>913</v>
      </c>
      <c r="B134" s="109">
        <v>30</v>
      </c>
      <c r="C134" s="110">
        <v>0.19</v>
      </c>
      <c r="D134" s="111">
        <v>0</v>
      </c>
      <c r="E134" s="119" t="s">
        <v>650</v>
      </c>
      <c r="F134" s="41"/>
    </row>
    <row r="135" spans="1:6" s="11" customFormat="1" ht="21" customHeight="1" x14ac:dyDescent="0.3">
      <c r="A135" s="104" t="s">
        <v>1112</v>
      </c>
      <c r="B135" s="109">
        <v>30</v>
      </c>
      <c r="C135" s="110">
        <v>0.19</v>
      </c>
      <c r="D135" s="111">
        <v>0</v>
      </c>
      <c r="E135" s="119" t="s">
        <v>969</v>
      </c>
      <c r="F135" s="41"/>
    </row>
    <row r="136" spans="1:6" s="11" customFormat="1" ht="21" customHeight="1" x14ac:dyDescent="0.3">
      <c r="A136" s="104" t="s">
        <v>1133</v>
      </c>
      <c r="B136" s="109">
        <v>0</v>
      </c>
      <c r="C136" s="110">
        <v>0.19</v>
      </c>
      <c r="D136" s="111">
        <v>0</v>
      </c>
      <c r="E136" s="119" t="s">
        <v>1132</v>
      </c>
      <c r="F136" s="41"/>
    </row>
    <row r="137" spans="1:6" s="11" customFormat="1" ht="21" customHeight="1" x14ac:dyDescent="0.3">
      <c r="A137" s="104" t="s">
        <v>49</v>
      </c>
      <c r="B137" s="109">
        <v>30</v>
      </c>
      <c r="C137" s="110">
        <v>0.19</v>
      </c>
      <c r="D137" s="111" t="s">
        <v>865</v>
      </c>
      <c r="E137" s="119" t="s">
        <v>249</v>
      </c>
      <c r="F137" s="41" t="s">
        <v>382</v>
      </c>
    </row>
    <row r="138" spans="1:6" s="11" customFormat="1" ht="21" customHeight="1" x14ac:dyDescent="0.3">
      <c r="A138" s="104" t="s">
        <v>914</v>
      </c>
      <c r="B138" s="109">
        <v>30</v>
      </c>
      <c r="C138" s="110">
        <v>0.19</v>
      </c>
      <c r="D138" s="111" t="s">
        <v>865</v>
      </c>
      <c r="E138" s="119" t="s">
        <v>141</v>
      </c>
      <c r="F138" s="41"/>
    </row>
    <row r="139" spans="1:6" s="11" customFormat="1" ht="21" customHeight="1" x14ac:dyDescent="0.3">
      <c r="A139" s="104" t="s">
        <v>1106</v>
      </c>
      <c r="B139" s="109">
        <v>30</v>
      </c>
      <c r="C139" s="110">
        <v>0.19</v>
      </c>
      <c r="D139" s="111" t="s">
        <v>865</v>
      </c>
      <c r="E139" s="119" t="s">
        <v>1141</v>
      </c>
      <c r="F139" s="41"/>
    </row>
    <row r="140" spans="1:6" s="11" customFormat="1" ht="21" customHeight="1" x14ac:dyDescent="0.3">
      <c r="A140" s="104" t="s">
        <v>915</v>
      </c>
      <c r="B140" s="109">
        <v>180</v>
      </c>
      <c r="C140" s="110">
        <v>0.19</v>
      </c>
      <c r="D140" s="111" t="s">
        <v>865</v>
      </c>
      <c r="E140" s="119" t="s">
        <v>509</v>
      </c>
      <c r="F140" s="41"/>
    </row>
    <row r="141" spans="1:6" s="11" customFormat="1" ht="21" customHeight="1" x14ac:dyDescent="0.3">
      <c r="A141" s="104" t="s">
        <v>79</v>
      </c>
      <c r="B141" s="109">
        <v>30</v>
      </c>
      <c r="C141" s="110">
        <v>0.19</v>
      </c>
      <c r="D141" s="111" t="s">
        <v>865</v>
      </c>
      <c r="E141" s="119" t="s">
        <v>976</v>
      </c>
      <c r="F141" s="41"/>
    </row>
    <row r="142" spans="1:6" s="11" customFormat="1" ht="21" customHeight="1" x14ac:dyDescent="0.3">
      <c r="A142" s="104" t="s">
        <v>387</v>
      </c>
      <c r="B142" s="109">
        <v>90</v>
      </c>
      <c r="C142" s="110">
        <v>0.19</v>
      </c>
      <c r="D142" s="111" t="s">
        <v>865</v>
      </c>
      <c r="E142" s="119" t="s">
        <v>503</v>
      </c>
      <c r="F142" s="41"/>
    </row>
    <row r="143" spans="1:6" s="11" customFormat="1" ht="21" customHeight="1" x14ac:dyDescent="0.3">
      <c r="A143" s="104" t="s">
        <v>916</v>
      </c>
      <c r="B143" s="109">
        <v>10</v>
      </c>
      <c r="C143" s="110">
        <v>0.19</v>
      </c>
      <c r="D143" s="111" t="s">
        <v>865</v>
      </c>
      <c r="E143" s="119" t="s">
        <v>473</v>
      </c>
      <c r="F143" s="41"/>
    </row>
    <row r="144" spans="1:6" s="11" customFormat="1" ht="21" customHeight="1" x14ac:dyDescent="0.3">
      <c r="A144" s="104" t="s">
        <v>24</v>
      </c>
      <c r="B144" s="109">
        <v>30</v>
      </c>
      <c r="C144" s="110">
        <v>0.19</v>
      </c>
      <c r="D144" s="111" t="s">
        <v>865</v>
      </c>
      <c r="E144" s="119" t="s">
        <v>1653</v>
      </c>
      <c r="F144" s="41" t="s">
        <v>1720</v>
      </c>
    </row>
    <row r="145" spans="1:6" s="11" customFormat="1" ht="21" customHeight="1" x14ac:dyDescent="0.3">
      <c r="A145" s="104" t="s">
        <v>12</v>
      </c>
      <c r="B145" s="109">
        <v>90</v>
      </c>
      <c r="C145" s="110">
        <v>0.19</v>
      </c>
      <c r="D145" s="111" t="s">
        <v>865</v>
      </c>
      <c r="E145" s="119" t="s">
        <v>253</v>
      </c>
      <c r="F145" s="41"/>
    </row>
    <row r="146" spans="1:6" s="11" customFormat="1" ht="21" customHeight="1" x14ac:dyDescent="0.3">
      <c r="A146" s="104" t="s">
        <v>1155</v>
      </c>
      <c r="B146" s="109">
        <v>30</v>
      </c>
      <c r="C146" s="110">
        <v>0.19</v>
      </c>
      <c r="D146" s="111" t="s">
        <v>865</v>
      </c>
      <c r="E146" s="119" t="s">
        <v>1156</v>
      </c>
      <c r="F146" s="41"/>
    </row>
    <row r="147" spans="1:6" s="11" customFormat="1" ht="21" customHeight="1" x14ac:dyDescent="0.3">
      <c r="A147" s="104" t="s">
        <v>176</v>
      </c>
      <c r="B147" s="109">
        <v>30</v>
      </c>
      <c r="C147" s="110">
        <v>0.19</v>
      </c>
      <c r="D147" s="111" t="s">
        <v>865</v>
      </c>
      <c r="E147" s="119" t="s">
        <v>287</v>
      </c>
      <c r="F147" s="41" t="s">
        <v>177</v>
      </c>
    </row>
    <row r="148" spans="1:6" s="11" customFormat="1" ht="21" customHeight="1" x14ac:dyDescent="0.3">
      <c r="A148" s="104" t="s">
        <v>37</v>
      </c>
      <c r="B148" s="109">
        <v>30</v>
      </c>
      <c r="C148" s="110">
        <v>0.19</v>
      </c>
      <c r="D148" s="111" t="s">
        <v>865</v>
      </c>
      <c r="E148" s="119" t="s">
        <v>139</v>
      </c>
      <c r="F148" s="41"/>
    </row>
    <row r="149" spans="1:6" s="11" customFormat="1" ht="21" customHeight="1" x14ac:dyDescent="0.3">
      <c r="A149" s="104" t="s">
        <v>76</v>
      </c>
      <c r="B149" s="109">
        <v>30</v>
      </c>
      <c r="C149" s="110">
        <v>0.19</v>
      </c>
      <c r="D149" s="111" t="s">
        <v>865</v>
      </c>
      <c r="E149" s="119" t="s">
        <v>139</v>
      </c>
      <c r="F149" s="41"/>
    </row>
    <row r="150" spans="1:6" s="11" customFormat="1" ht="21" customHeight="1" x14ac:dyDescent="0.3">
      <c r="A150" s="104" t="s">
        <v>46</v>
      </c>
      <c r="B150" s="109">
        <v>30</v>
      </c>
      <c r="C150" s="110">
        <v>0.19</v>
      </c>
      <c r="D150" s="111">
        <v>0</v>
      </c>
      <c r="E150" s="119" t="s">
        <v>254</v>
      </c>
      <c r="F150" s="41"/>
    </row>
    <row r="151" spans="1:6" s="11" customFormat="1" ht="21" customHeight="1" x14ac:dyDescent="0.3">
      <c r="A151" s="104" t="s">
        <v>50</v>
      </c>
      <c r="B151" s="109">
        <v>30</v>
      </c>
      <c r="C151" s="110">
        <v>0.19</v>
      </c>
      <c r="D151" s="111" t="s">
        <v>865</v>
      </c>
      <c r="E151" s="119" t="s">
        <v>139</v>
      </c>
      <c r="F151" s="41"/>
    </row>
    <row r="152" spans="1:6" s="11" customFormat="1" ht="21" customHeight="1" x14ac:dyDescent="0.3">
      <c r="A152" s="104" t="s">
        <v>48</v>
      </c>
      <c r="B152" s="109">
        <v>30</v>
      </c>
      <c r="C152" s="110">
        <v>0.19</v>
      </c>
      <c r="D152" s="111" t="s">
        <v>865</v>
      </c>
      <c r="E152" s="119" t="s">
        <v>139</v>
      </c>
      <c r="F152" s="41"/>
    </row>
    <row r="153" spans="1:6" s="11" customFormat="1" ht="21" customHeight="1" x14ac:dyDescent="0.3">
      <c r="A153" s="104" t="s">
        <v>58</v>
      </c>
      <c r="B153" s="109">
        <v>30</v>
      </c>
      <c r="C153" s="110">
        <v>0.19</v>
      </c>
      <c r="D153" s="111" t="s">
        <v>865</v>
      </c>
      <c r="E153" s="119" t="s">
        <v>139</v>
      </c>
      <c r="F153" s="41"/>
    </row>
    <row r="154" spans="1:6" s="11" customFormat="1" ht="21" customHeight="1" x14ac:dyDescent="0.3">
      <c r="A154" s="104" t="s">
        <v>52</v>
      </c>
      <c r="B154" s="109">
        <v>30</v>
      </c>
      <c r="C154" s="110">
        <v>0.19</v>
      </c>
      <c r="D154" s="111" t="s">
        <v>865</v>
      </c>
      <c r="E154" s="119" t="s">
        <v>139</v>
      </c>
      <c r="F154" s="41"/>
    </row>
    <row r="155" spans="1:6" s="11" customFormat="1" ht="21" customHeight="1" x14ac:dyDescent="0.3">
      <c r="A155" s="104" t="s">
        <v>57</v>
      </c>
      <c r="B155" s="109">
        <v>30</v>
      </c>
      <c r="C155" s="110">
        <v>0</v>
      </c>
      <c r="D155" s="111">
        <v>0</v>
      </c>
      <c r="E155" s="119" t="s">
        <v>255</v>
      </c>
      <c r="F155" s="41"/>
    </row>
    <row r="156" spans="1:6" s="11" customFormat="1" ht="21" customHeight="1" x14ac:dyDescent="0.3">
      <c r="A156" s="104" t="s">
        <v>126</v>
      </c>
      <c r="B156" s="109">
        <v>30</v>
      </c>
      <c r="C156" s="110">
        <v>0</v>
      </c>
      <c r="D156" s="111">
        <v>0</v>
      </c>
      <c r="E156" s="119" t="s">
        <v>255</v>
      </c>
      <c r="F156" s="41"/>
    </row>
    <row r="157" spans="1:6" s="11" customFormat="1" ht="21" customHeight="1" x14ac:dyDescent="0.3">
      <c r="A157" s="104" t="s">
        <v>143</v>
      </c>
      <c r="B157" s="109">
        <v>30</v>
      </c>
      <c r="C157" s="110">
        <v>0</v>
      </c>
      <c r="D157" s="111">
        <v>0</v>
      </c>
      <c r="E157" s="119" t="s">
        <v>255</v>
      </c>
      <c r="F157" s="41"/>
    </row>
    <row r="158" spans="1:6" s="11" customFormat="1" ht="21" customHeight="1" x14ac:dyDescent="0.3">
      <c r="A158" s="104" t="s">
        <v>68</v>
      </c>
      <c r="B158" s="109">
        <v>30</v>
      </c>
      <c r="C158" s="110">
        <v>0</v>
      </c>
      <c r="D158" s="111">
        <v>0</v>
      </c>
      <c r="E158" s="119" t="s">
        <v>255</v>
      </c>
      <c r="F158" s="41"/>
    </row>
    <row r="159" spans="1:6" s="11" customFormat="1" ht="21" customHeight="1" x14ac:dyDescent="0.3">
      <c r="A159" s="104" t="s">
        <v>71</v>
      </c>
      <c r="B159" s="109">
        <v>30</v>
      </c>
      <c r="C159" s="110">
        <v>0</v>
      </c>
      <c r="D159" s="111">
        <v>0</v>
      </c>
      <c r="E159" s="119" t="s">
        <v>255</v>
      </c>
      <c r="F159" s="41"/>
    </row>
    <row r="160" spans="1:6" s="11" customFormat="1" ht="21" customHeight="1" x14ac:dyDescent="0.3">
      <c r="A160" s="104" t="s">
        <v>59</v>
      </c>
      <c r="B160" s="109">
        <v>30</v>
      </c>
      <c r="C160" s="110">
        <v>0</v>
      </c>
      <c r="D160" s="111">
        <v>0</v>
      </c>
      <c r="E160" s="119" t="s">
        <v>255</v>
      </c>
      <c r="F160" s="41"/>
    </row>
    <row r="161" spans="1:6" s="11" customFormat="1" ht="21" customHeight="1" x14ac:dyDescent="0.3">
      <c r="A161" s="104" t="s">
        <v>60</v>
      </c>
      <c r="B161" s="109">
        <v>30</v>
      </c>
      <c r="C161" s="110">
        <v>0</v>
      </c>
      <c r="D161" s="111">
        <v>0</v>
      </c>
      <c r="E161" s="119" t="s">
        <v>255</v>
      </c>
      <c r="F161" s="41"/>
    </row>
    <row r="162" spans="1:6" s="11" customFormat="1" ht="21" customHeight="1" x14ac:dyDescent="0.3">
      <c r="A162" s="104" t="s">
        <v>113</v>
      </c>
      <c r="B162" s="109">
        <v>30</v>
      </c>
      <c r="C162" s="110">
        <v>0</v>
      </c>
      <c r="D162" s="111">
        <v>0</v>
      </c>
      <c r="E162" s="119" t="s">
        <v>255</v>
      </c>
      <c r="F162" s="41"/>
    </row>
    <row r="163" spans="1:6" s="11" customFormat="1" ht="21" customHeight="1" x14ac:dyDescent="0.3">
      <c r="A163" s="104" t="s">
        <v>114</v>
      </c>
      <c r="B163" s="109">
        <v>30</v>
      </c>
      <c r="C163" s="110">
        <v>0</v>
      </c>
      <c r="D163" s="111">
        <v>0</v>
      </c>
      <c r="E163" s="119" t="s">
        <v>255</v>
      </c>
      <c r="F163" s="41"/>
    </row>
    <row r="164" spans="1:6" s="11" customFormat="1" ht="21" customHeight="1" x14ac:dyDescent="0.3">
      <c r="A164" s="104" t="s">
        <v>22</v>
      </c>
      <c r="B164" s="109">
        <v>30</v>
      </c>
      <c r="C164" s="110">
        <v>0</v>
      </c>
      <c r="D164" s="111">
        <v>0</v>
      </c>
      <c r="E164" s="119" t="s">
        <v>255</v>
      </c>
      <c r="F164" s="41"/>
    </row>
    <row r="165" spans="1:6" s="11" customFormat="1" ht="21" customHeight="1" x14ac:dyDescent="0.3">
      <c r="A165" s="104" t="s">
        <v>106</v>
      </c>
      <c r="B165" s="109">
        <v>30</v>
      </c>
      <c r="C165" s="110">
        <v>0.19</v>
      </c>
      <c r="D165" s="111" t="s">
        <v>865</v>
      </c>
      <c r="E165" s="119" t="s">
        <v>139</v>
      </c>
      <c r="F165" s="41"/>
    </row>
    <row r="166" spans="1:6" s="11" customFormat="1" ht="21" customHeight="1" x14ac:dyDescent="0.3">
      <c r="A166" s="104" t="s">
        <v>917</v>
      </c>
      <c r="B166" s="109">
        <v>10</v>
      </c>
      <c r="C166" s="110">
        <v>0.19</v>
      </c>
      <c r="D166" s="111">
        <v>0</v>
      </c>
      <c r="E166" s="119"/>
      <c r="F166" s="41"/>
    </row>
    <row r="167" spans="1:6" s="11" customFormat="1" ht="21" customHeight="1" x14ac:dyDescent="0.3">
      <c r="A167" s="104" t="s">
        <v>1641</v>
      </c>
      <c r="B167" s="109">
        <v>10</v>
      </c>
      <c r="C167" s="110">
        <v>0.19</v>
      </c>
      <c r="D167" s="111" t="s">
        <v>865</v>
      </c>
      <c r="E167" s="119" t="s">
        <v>1642</v>
      </c>
      <c r="F167" s="41"/>
    </row>
    <row r="168" spans="1:6" s="11" customFormat="1" ht="21" customHeight="1" x14ac:dyDescent="0.3">
      <c r="A168" s="104" t="s">
        <v>1429</v>
      </c>
      <c r="B168" s="109">
        <v>60</v>
      </c>
      <c r="C168" s="110">
        <v>0.19</v>
      </c>
      <c r="D168" s="111">
        <v>0</v>
      </c>
      <c r="E168" s="119"/>
      <c r="F168" s="41"/>
    </row>
    <row r="169" spans="1:6" s="11" customFormat="1" ht="21" customHeight="1" x14ac:dyDescent="0.3">
      <c r="A169" s="104" t="s">
        <v>18</v>
      </c>
      <c r="B169" s="109">
        <v>30</v>
      </c>
      <c r="C169" s="110">
        <v>0.19</v>
      </c>
      <c r="D169" s="111" t="s">
        <v>865</v>
      </c>
      <c r="E169" s="119" t="s">
        <v>256</v>
      </c>
      <c r="F169" s="41" t="s">
        <v>1780</v>
      </c>
    </row>
    <row r="170" spans="1:6" s="11" customFormat="1" ht="21" customHeight="1" x14ac:dyDescent="0.3">
      <c r="A170" s="104" t="s">
        <v>1059</v>
      </c>
      <c r="B170" s="109">
        <v>30</v>
      </c>
      <c r="C170" s="110">
        <v>0.19</v>
      </c>
      <c r="D170" s="111" t="s">
        <v>865</v>
      </c>
      <c r="E170" s="119" t="s">
        <v>1165</v>
      </c>
      <c r="F170" s="41"/>
    </row>
    <row r="171" spans="1:6" s="11" customFormat="1" ht="21" customHeight="1" x14ac:dyDescent="0.3">
      <c r="A171" s="104" t="s">
        <v>607</v>
      </c>
      <c r="B171" s="109">
        <v>10</v>
      </c>
      <c r="C171" s="110">
        <v>0.19</v>
      </c>
      <c r="D171" s="111" t="s">
        <v>868</v>
      </c>
      <c r="E171" s="119" t="s">
        <v>608</v>
      </c>
      <c r="F171" s="41"/>
    </row>
    <row r="172" spans="1:6" s="11" customFormat="1" ht="21" customHeight="1" x14ac:dyDescent="0.3">
      <c r="A172" s="104" t="s">
        <v>34</v>
      </c>
      <c r="B172" s="109">
        <v>30</v>
      </c>
      <c r="C172" s="110">
        <v>0.19</v>
      </c>
      <c r="D172" s="111" t="s">
        <v>865</v>
      </c>
      <c r="E172" s="119" t="s">
        <v>257</v>
      </c>
      <c r="F172" s="41"/>
    </row>
    <row r="173" spans="1:6" s="11" customFormat="1" ht="21" customHeight="1" x14ac:dyDescent="0.3">
      <c r="A173" s="104" t="s">
        <v>66</v>
      </c>
      <c r="B173" s="109">
        <v>30</v>
      </c>
      <c r="C173" s="110">
        <v>0</v>
      </c>
      <c r="D173" s="111">
        <v>0</v>
      </c>
      <c r="E173" s="119" t="s">
        <v>255</v>
      </c>
      <c r="F173" s="41"/>
    </row>
    <row r="174" spans="1:6" s="11" customFormat="1" ht="21" customHeight="1" x14ac:dyDescent="0.3">
      <c r="A174" s="104" t="s">
        <v>403</v>
      </c>
      <c r="B174" s="109">
        <v>30</v>
      </c>
      <c r="C174" s="110">
        <v>0</v>
      </c>
      <c r="D174" s="111">
        <v>0</v>
      </c>
      <c r="E174" s="119"/>
      <c r="F174" s="41"/>
    </row>
    <row r="175" spans="1:6" s="11" customFormat="1" ht="21" customHeight="1" x14ac:dyDescent="0.3">
      <c r="A175" s="104" t="s">
        <v>115</v>
      </c>
      <c r="B175" s="109">
        <v>30</v>
      </c>
      <c r="C175" s="110">
        <v>0</v>
      </c>
      <c r="D175" s="111">
        <v>0</v>
      </c>
      <c r="E175" s="119" t="s">
        <v>139</v>
      </c>
      <c r="F175" s="41"/>
    </row>
    <row r="176" spans="1:6" s="11" customFormat="1" ht="21" customHeight="1" x14ac:dyDescent="0.3">
      <c r="A176" s="104" t="s">
        <v>69</v>
      </c>
      <c r="B176" s="109">
        <v>30</v>
      </c>
      <c r="C176" s="110">
        <v>0</v>
      </c>
      <c r="D176" s="111">
        <v>0</v>
      </c>
      <c r="E176" s="119" t="s">
        <v>139</v>
      </c>
      <c r="F176" s="41"/>
    </row>
    <row r="177" spans="1:6" s="11" customFormat="1" ht="21" customHeight="1" x14ac:dyDescent="0.3">
      <c r="A177" s="104" t="s">
        <v>346</v>
      </c>
      <c r="B177" s="109">
        <v>10</v>
      </c>
      <c r="C177" s="110">
        <v>0</v>
      </c>
      <c r="D177" s="111">
        <v>0</v>
      </c>
      <c r="E177" s="119"/>
      <c r="F177" s="41"/>
    </row>
    <row r="178" spans="1:6" s="11" customFormat="1" ht="21" customHeight="1" x14ac:dyDescent="0.3">
      <c r="A178" s="104" t="s">
        <v>62</v>
      </c>
      <c r="B178" s="109">
        <v>30</v>
      </c>
      <c r="C178" s="110">
        <v>0</v>
      </c>
      <c r="D178" s="111">
        <v>0</v>
      </c>
      <c r="E178" s="119" t="s">
        <v>139</v>
      </c>
      <c r="F178" s="41"/>
    </row>
    <row r="179" spans="1:6" s="11" customFormat="1" ht="21" customHeight="1" x14ac:dyDescent="0.3">
      <c r="A179" s="104" t="s">
        <v>73</v>
      </c>
      <c r="B179" s="109">
        <v>30</v>
      </c>
      <c r="C179" s="110">
        <v>0</v>
      </c>
      <c r="D179" s="111">
        <v>0</v>
      </c>
      <c r="E179" s="119" t="s">
        <v>255</v>
      </c>
      <c r="F179" s="41"/>
    </row>
    <row r="180" spans="1:6" s="11" customFormat="1" ht="21" customHeight="1" x14ac:dyDescent="0.3">
      <c r="A180" s="104" t="s">
        <v>138</v>
      </c>
      <c r="B180" s="109">
        <v>30</v>
      </c>
      <c r="C180" s="110">
        <v>0</v>
      </c>
      <c r="D180" s="111">
        <v>0</v>
      </c>
      <c r="E180" s="119" t="s">
        <v>255</v>
      </c>
      <c r="F180" s="41"/>
    </row>
    <row r="181" spans="1:6" s="11" customFormat="1" ht="21" customHeight="1" x14ac:dyDescent="0.3">
      <c r="A181" s="104" t="s">
        <v>72</v>
      </c>
      <c r="B181" s="109">
        <v>30</v>
      </c>
      <c r="C181" s="110">
        <v>0</v>
      </c>
      <c r="D181" s="111">
        <v>0</v>
      </c>
      <c r="E181" s="119" t="s">
        <v>255</v>
      </c>
      <c r="F181" s="41"/>
    </row>
    <row r="182" spans="1:6" s="11" customFormat="1" ht="21" customHeight="1" x14ac:dyDescent="0.3">
      <c r="A182" s="104" t="s">
        <v>116</v>
      </c>
      <c r="B182" s="109">
        <v>30</v>
      </c>
      <c r="C182" s="110">
        <v>0</v>
      </c>
      <c r="D182" s="111">
        <v>0</v>
      </c>
      <c r="E182" s="119" t="s">
        <v>255</v>
      </c>
      <c r="F182" s="41"/>
    </row>
    <row r="183" spans="1:6" s="11" customFormat="1" ht="21" customHeight="1" x14ac:dyDescent="0.3">
      <c r="A183" s="104" t="s">
        <v>55</v>
      </c>
      <c r="B183" s="109">
        <v>30</v>
      </c>
      <c r="C183" s="110">
        <v>0</v>
      </c>
      <c r="D183" s="111">
        <v>0</v>
      </c>
      <c r="E183" s="119" t="s">
        <v>139</v>
      </c>
      <c r="F183" s="41"/>
    </row>
    <row r="184" spans="1:6" s="11" customFormat="1" ht="21" customHeight="1" x14ac:dyDescent="0.3">
      <c r="A184" s="104" t="s">
        <v>53</v>
      </c>
      <c r="B184" s="109">
        <v>30</v>
      </c>
      <c r="C184" s="110">
        <v>0</v>
      </c>
      <c r="D184" s="111">
        <v>0</v>
      </c>
      <c r="E184" s="119" t="s">
        <v>139</v>
      </c>
      <c r="F184" s="105"/>
    </row>
    <row r="185" spans="1:6" s="11" customFormat="1" ht="21" customHeight="1" x14ac:dyDescent="0.3">
      <c r="A185" s="104" t="s">
        <v>1448</v>
      </c>
      <c r="B185" s="109">
        <v>30</v>
      </c>
      <c r="C185" s="110">
        <v>0.19</v>
      </c>
      <c r="D185" s="111">
        <v>0</v>
      </c>
      <c r="E185" s="119" t="s">
        <v>264</v>
      </c>
      <c r="F185" s="41"/>
    </row>
    <row r="186" spans="1:6" s="11" customFormat="1" ht="21" customHeight="1" x14ac:dyDescent="0.3">
      <c r="A186" s="104" t="s">
        <v>65</v>
      </c>
      <c r="B186" s="109">
        <v>30</v>
      </c>
      <c r="C186" s="110">
        <v>0.19</v>
      </c>
      <c r="D186" s="111" t="s">
        <v>865</v>
      </c>
      <c r="E186" s="119" t="s">
        <v>258</v>
      </c>
      <c r="F186" s="105"/>
    </row>
    <row r="187" spans="1:6" s="11" customFormat="1" ht="21" customHeight="1" x14ac:dyDescent="0.3">
      <c r="A187" s="104" t="s">
        <v>1451</v>
      </c>
      <c r="B187" s="109">
        <v>30</v>
      </c>
      <c r="C187" s="110">
        <v>0</v>
      </c>
      <c r="D187" s="111" t="s">
        <v>864</v>
      </c>
      <c r="E187" s="119" t="s">
        <v>250</v>
      </c>
      <c r="F187" s="41"/>
    </row>
    <row r="188" spans="1:6" s="11" customFormat="1" ht="21" customHeight="1" x14ac:dyDescent="0.3">
      <c r="A188" s="104" t="s">
        <v>47</v>
      </c>
      <c r="B188" s="109">
        <v>30</v>
      </c>
      <c r="C188" s="110">
        <v>0.19</v>
      </c>
      <c r="D188" s="111" t="s">
        <v>865</v>
      </c>
      <c r="E188" s="119" t="s">
        <v>290</v>
      </c>
      <c r="F188" s="41" t="s">
        <v>1721</v>
      </c>
    </row>
    <row r="189" spans="1:6" s="11" customFormat="1" ht="21" customHeight="1" x14ac:dyDescent="0.3">
      <c r="A189" s="104" t="s">
        <v>1399</v>
      </c>
      <c r="B189" s="109">
        <v>30</v>
      </c>
      <c r="C189" s="110">
        <v>0.19</v>
      </c>
      <c r="D189" s="111" t="s">
        <v>865</v>
      </c>
      <c r="E189" s="119" t="s">
        <v>290</v>
      </c>
      <c r="F189" s="41"/>
    </row>
    <row r="190" spans="1:6" s="11" customFormat="1" ht="21" customHeight="1" x14ac:dyDescent="0.3">
      <c r="A190" s="104" t="s">
        <v>218</v>
      </c>
      <c r="B190" s="109">
        <v>30</v>
      </c>
      <c r="C190" s="110">
        <v>0.19</v>
      </c>
      <c r="D190" s="111" t="s">
        <v>865</v>
      </c>
      <c r="E190" s="119" t="s">
        <v>476</v>
      </c>
      <c r="F190" s="41" t="s">
        <v>198</v>
      </c>
    </row>
    <row r="191" spans="1:6" s="11" customFormat="1" ht="21" customHeight="1" x14ac:dyDescent="0.3">
      <c r="A191" s="104" t="s">
        <v>407</v>
      </c>
      <c r="B191" s="109">
        <v>30</v>
      </c>
      <c r="C191" s="110">
        <v>0.19</v>
      </c>
      <c r="D191" s="111" t="s">
        <v>865</v>
      </c>
      <c r="E191" s="119" t="s">
        <v>476</v>
      </c>
      <c r="F191" s="41" t="s">
        <v>198</v>
      </c>
    </row>
    <row r="192" spans="1:6" s="11" customFormat="1" ht="21" customHeight="1" x14ac:dyDescent="0.3">
      <c r="A192" s="104" t="s">
        <v>508</v>
      </c>
      <c r="B192" s="109">
        <v>30</v>
      </c>
      <c r="C192" s="110">
        <v>0.19</v>
      </c>
      <c r="D192" s="111" t="s">
        <v>865</v>
      </c>
      <c r="E192" s="119" t="s">
        <v>718</v>
      </c>
      <c r="F192" s="41"/>
    </row>
    <row r="193" spans="1:6" s="11" customFormat="1" ht="21" customHeight="1" x14ac:dyDescent="0.3">
      <c r="A193" s="104" t="s">
        <v>158</v>
      </c>
      <c r="B193" s="109">
        <v>30</v>
      </c>
      <c r="C193" s="110">
        <v>0.19</v>
      </c>
      <c r="D193" s="111" t="s">
        <v>865</v>
      </c>
      <c r="E193" s="119"/>
      <c r="F193" s="41"/>
    </row>
    <row r="194" spans="1:6" s="11" customFormat="1" ht="21" customHeight="1" x14ac:dyDescent="0.3">
      <c r="A194" s="104" t="s">
        <v>31</v>
      </c>
      <c r="B194" s="109">
        <v>90</v>
      </c>
      <c r="C194" s="110">
        <v>0</v>
      </c>
      <c r="D194" s="111">
        <v>0</v>
      </c>
      <c r="E194" s="119" t="s">
        <v>368</v>
      </c>
      <c r="F194" s="41"/>
    </row>
    <row r="195" spans="1:6" s="11" customFormat="1" ht="21" customHeight="1" x14ac:dyDescent="0.3">
      <c r="A195" s="104" t="s">
        <v>1032</v>
      </c>
      <c r="B195" s="109">
        <v>30</v>
      </c>
      <c r="C195" s="110">
        <v>0.19</v>
      </c>
      <c r="D195" s="111" t="s">
        <v>865</v>
      </c>
      <c r="E195" s="119" t="s">
        <v>1033</v>
      </c>
      <c r="F195" s="41"/>
    </row>
    <row r="196" spans="1:6" s="11" customFormat="1" ht="21" customHeight="1" x14ac:dyDescent="0.3">
      <c r="A196" s="104" t="s">
        <v>33</v>
      </c>
      <c r="B196" s="109">
        <v>30</v>
      </c>
      <c r="C196" s="110">
        <v>0.19</v>
      </c>
      <c r="D196" s="111" t="s">
        <v>865</v>
      </c>
      <c r="E196" s="119" t="s">
        <v>432</v>
      </c>
      <c r="F196" s="41"/>
    </row>
    <row r="197" spans="1:6" s="11" customFormat="1" ht="21" customHeight="1" x14ac:dyDescent="0.3">
      <c r="A197" s="104" t="s">
        <v>918</v>
      </c>
      <c r="B197" s="109">
        <v>30</v>
      </c>
      <c r="C197" s="110">
        <v>0</v>
      </c>
      <c r="D197" s="111">
        <v>0</v>
      </c>
      <c r="E197" s="119" t="s">
        <v>259</v>
      </c>
      <c r="F197" s="41"/>
    </row>
    <row r="198" spans="1:6" s="11" customFormat="1" ht="21" customHeight="1" x14ac:dyDescent="0.3">
      <c r="A198" s="104" t="s">
        <v>117</v>
      </c>
      <c r="B198" s="109">
        <v>30</v>
      </c>
      <c r="C198" s="110">
        <v>0.19</v>
      </c>
      <c r="D198" s="111">
        <v>0</v>
      </c>
      <c r="E198" s="119" t="s">
        <v>139</v>
      </c>
      <c r="F198" s="41"/>
    </row>
    <row r="199" spans="1:6" s="11" customFormat="1" ht="21" customHeight="1" x14ac:dyDescent="0.3">
      <c r="A199" s="104" t="s">
        <v>1681</v>
      </c>
      <c r="B199" s="109">
        <v>0</v>
      </c>
      <c r="C199" s="110">
        <v>0</v>
      </c>
      <c r="D199" s="111">
        <v>0</v>
      </c>
      <c r="E199" s="224" t="s">
        <v>1683</v>
      </c>
      <c r="F199" s="223" t="s">
        <v>1682</v>
      </c>
    </row>
    <row r="200" spans="1:6" s="11" customFormat="1" ht="21" customHeight="1" x14ac:dyDescent="0.3">
      <c r="A200" s="104" t="s">
        <v>919</v>
      </c>
      <c r="B200" s="109">
        <v>30</v>
      </c>
      <c r="C200" s="110">
        <v>0</v>
      </c>
      <c r="D200" s="111">
        <v>0</v>
      </c>
      <c r="E200" s="119"/>
      <c r="F200" s="41"/>
    </row>
    <row r="201" spans="1:6" s="11" customFormat="1" ht="21" customHeight="1" x14ac:dyDescent="0.3">
      <c r="A201" s="104" t="s">
        <v>118</v>
      </c>
      <c r="B201" s="109">
        <v>30</v>
      </c>
      <c r="C201" s="110">
        <v>0</v>
      </c>
      <c r="D201" s="111">
        <v>0</v>
      </c>
      <c r="E201" s="119" t="s">
        <v>949</v>
      </c>
      <c r="F201" s="41"/>
    </row>
    <row r="202" spans="1:6" s="11" customFormat="1" ht="21" customHeight="1" x14ac:dyDescent="0.3">
      <c r="A202" s="104" t="s">
        <v>404</v>
      </c>
      <c r="B202" s="109">
        <v>30</v>
      </c>
      <c r="C202" s="110">
        <v>0</v>
      </c>
      <c r="D202" s="111">
        <v>0</v>
      </c>
      <c r="E202" s="119" t="s">
        <v>949</v>
      </c>
      <c r="F202" s="41"/>
    </row>
    <row r="203" spans="1:6" s="11" customFormat="1" ht="21" customHeight="1" x14ac:dyDescent="0.3">
      <c r="A203" s="104" t="s">
        <v>615</v>
      </c>
      <c r="B203" s="109">
        <v>30</v>
      </c>
      <c r="C203" s="110">
        <v>0</v>
      </c>
      <c r="D203" s="111">
        <v>0</v>
      </c>
      <c r="E203" s="119" t="s">
        <v>949</v>
      </c>
      <c r="F203" s="41"/>
    </row>
    <row r="204" spans="1:6" s="11" customFormat="1" ht="21" customHeight="1" x14ac:dyDescent="0.3">
      <c r="A204" s="104" t="s">
        <v>345</v>
      </c>
      <c r="B204" s="109">
        <v>30</v>
      </c>
      <c r="C204" s="110">
        <v>0</v>
      </c>
      <c r="D204" s="111">
        <v>0</v>
      </c>
      <c r="E204" s="119" t="s">
        <v>949</v>
      </c>
      <c r="F204" s="41"/>
    </row>
    <row r="205" spans="1:6" s="11" customFormat="1" ht="21" customHeight="1" x14ac:dyDescent="0.3">
      <c r="A205" s="104" t="s">
        <v>77</v>
      </c>
      <c r="B205" s="109">
        <v>90</v>
      </c>
      <c r="C205" s="110">
        <v>0.19</v>
      </c>
      <c r="D205" s="111" t="s">
        <v>865</v>
      </c>
      <c r="E205" s="119" t="s">
        <v>260</v>
      </c>
      <c r="F205" s="41"/>
    </row>
    <row r="206" spans="1:6" s="11" customFormat="1" ht="21" customHeight="1" x14ac:dyDescent="0.3">
      <c r="A206" s="104" t="s">
        <v>1125</v>
      </c>
      <c r="B206" s="109">
        <v>30</v>
      </c>
      <c r="C206" s="110">
        <v>0.19</v>
      </c>
      <c r="D206" s="111"/>
      <c r="E206" s="119" t="s">
        <v>1126</v>
      </c>
      <c r="F206" s="41"/>
    </row>
    <row r="207" spans="1:6" s="11" customFormat="1" ht="21" customHeight="1" x14ac:dyDescent="0.3">
      <c r="A207" s="104" t="s">
        <v>938</v>
      </c>
      <c r="B207" s="109">
        <v>30</v>
      </c>
      <c r="C207" s="110">
        <v>0.19</v>
      </c>
      <c r="D207" s="111" t="s">
        <v>867</v>
      </c>
      <c r="E207" s="119" t="s">
        <v>721</v>
      </c>
      <c r="F207" s="41"/>
    </row>
    <row r="208" spans="1:6" s="11" customFormat="1" ht="21" customHeight="1" x14ac:dyDescent="0.3">
      <c r="A208" s="104" t="s">
        <v>32</v>
      </c>
      <c r="B208" s="109">
        <v>30</v>
      </c>
      <c r="C208" s="110">
        <v>0.19</v>
      </c>
      <c r="D208" s="111" t="s">
        <v>865</v>
      </c>
      <c r="E208" s="119" t="s">
        <v>1024</v>
      </c>
      <c r="F208" s="41"/>
    </row>
    <row r="209" spans="1:6" s="11" customFormat="1" ht="21" customHeight="1" x14ac:dyDescent="0.3">
      <c r="A209" s="104" t="s">
        <v>460</v>
      </c>
      <c r="B209" s="109">
        <v>30</v>
      </c>
      <c r="C209" s="110">
        <v>0.19</v>
      </c>
      <c r="D209" s="111" t="s">
        <v>865</v>
      </c>
      <c r="E209" s="119" t="s">
        <v>476</v>
      </c>
      <c r="F209" s="41"/>
    </row>
    <row r="210" spans="1:6" s="11" customFormat="1" ht="21" customHeight="1" x14ac:dyDescent="0.3">
      <c r="A210" s="104" t="s">
        <v>920</v>
      </c>
      <c r="B210" s="109">
        <v>60</v>
      </c>
      <c r="C210" s="110">
        <v>0</v>
      </c>
      <c r="D210" s="111">
        <v>0</v>
      </c>
      <c r="E210" s="119"/>
      <c r="F210" s="41"/>
    </row>
    <row r="211" spans="1:6" s="11" customFormat="1" ht="21" customHeight="1" x14ac:dyDescent="0.3">
      <c r="A211" s="104" t="s">
        <v>366</v>
      </c>
      <c r="B211" s="109">
        <v>30</v>
      </c>
      <c r="C211" s="110">
        <v>0.19</v>
      </c>
      <c r="D211" s="111" t="s">
        <v>865</v>
      </c>
      <c r="E211" s="119"/>
      <c r="F211" s="41"/>
    </row>
    <row r="212" spans="1:6" s="11" customFormat="1" ht="21" customHeight="1" x14ac:dyDescent="0.3">
      <c r="A212" s="104" t="s">
        <v>119</v>
      </c>
      <c r="B212" s="109">
        <v>30</v>
      </c>
      <c r="C212" s="110">
        <v>0.19</v>
      </c>
      <c r="D212" s="111" t="s">
        <v>865</v>
      </c>
      <c r="E212" s="119" t="s">
        <v>139</v>
      </c>
      <c r="F212" s="41"/>
    </row>
    <row r="213" spans="1:6" s="11" customFormat="1" ht="21" customHeight="1" x14ac:dyDescent="0.3">
      <c r="A213" s="104" t="s">
        <v>746</v>
      </c>
      <c r="B213" s="109">
        <v>30</v>
      </c>
      <c r="C213" s="110">
        <v>0.19</v>
      </c>
      <c r="D213" s="111" t="s">
        <v>865</v>
      </c>
      <c r="E213" s="119" t="s">
        <v>261</v>
      </c>
      <c r="F213" s="41"/>
    </row>
    <row r="214" spans="1:6" s="11" customFormat="1" ht="21" customHeight="1" x14ac:dyDescent="0.3">
      <c r="A214" s="104" t="s">
        <v>430</v>
      </c>
      <c r="B214" s="109">
        <v>30</v>
      </c>
      <c r="C214" s="110">
        <v>0.19</v>
      </c>
      <c r="D214" s="111" t="s">
        <v>865</v>
      </c>
      <c r="E214" s="119" t="s">
        <v>431</v>
      </c>
      <c r="F214" s="41"/>
    </row>
    <row r="215" spans="1:6" s="11" customFormat="1" ht="21" customHeight="1" x14ac:dyDescent="0.3">
      <c r="A215" s="104" t="s">
        <v>921</v>
      </c>
      <c r="B215" s="109">
        <v>30</v>
      </c>
      <c r="C215" s="110">
        <v>0</v>
      </c>
      <c r="D215" s="111">
        <v>0</v>
      </c>
      <c r="E215" s="119" t="s">
        <v>676</v>
      </c>
      <c r="F215" s="41"/>
    </row>
    <row r="216" spans="1:6" s="11" customFormat="1" ht="21" customHeight="1" x14ac:dyDescent="0.3">
      <c r="A216" s="104" t="s">
        <v>27</v>
      </c>
      <c r="B216" s="109">
        <v>30</v>
      </c>
      <c r="C216" s="110">
        <v>0</v>
      </c>
      <c r="D216" s="111">
        <v>0</v>
      </c>
      <c r="E216" s="119" t="s">
        <v>139</v>
      </c>
      <c r="F216" s="41"/>
    </row>
    <row r="217" spans="1:6" s="11" customFormat="1" ht="21" customHeight="1" x14ac:dyDescent="0.3">
      <c r="A217" s="104" t="s">
        <v>325</v>
      </c>
      <c r="B217" s="109">
        <v>30</v>
      </c>
      <c r="C217" s="110">
        <v>0.19</v>
      </c>
      <c r="D217" s="111" t="s">
        <v>874</v>
      </c>
      <c r="E217" s="119" t="s">
        <v>326</v>
      </c>
      <c r="F217" s="41"/>
    </row>
    <row r="218" spans="1:6" s="11" customFormat="1" ht="21" customHeight="1" x14ac:dyDescent="0.3">
      <c r="A218" s="104" t="s">
        <v>922</v>
      </c>
      <c r="B218" s="109">
        <v>45</v>
      </c>
      <c r="C218" s="110">
        <v>0</v>
      </c>
      <c r="D218" s="111">
        <v>0</v>
      </c>
      <c r="E218" s="119"/>
      <c r="F218" s="41"/>
    </row>
    <row r="219" spans="1:6" s="11" customFormat="1" ht="21" customHeight="1" x14ac:dyDescent="0.3">
      <c r="A219" s="104" t="s">
        <v>17</v>
      </c>
      <c r="B219" s="109">
        <v>30</v>
      </c>
      <c r="C219" s="110">
        <v>0.19</v>
      </c>
      <c r="D219" s="111">
        <v>0</v>
      </c>
      <c r="E219" s="119" t="s">
        <v>262</v>
      </c>
      <c r="F219" s="41"/>
    </row>
    <row r="220" spans="1:6" s="11" customFormat="1" ht="21" customHeight="1" x14ac:dyDescent="0.3">
      <c r="A220" s="104" t="s">
        <v>303</v>
      </c>
      <c r="B220" s="109">
        <v>10</v>
      </c>
      <c r="C220" s="110">
        <v>0</v>
      </c>
      <c r="D220" s="111">
        <v>0</v>
      </c>
      <c r="E220" s="119" t="s">
        <v>304</v>
      </c>
      <c r="F220" s="41"/>
    </row>
    <row r="221" spans="1:6" s="11" customFormat="1" ht="21" customHeight="1" x14ac:dyDescent="0.3">
      <c r="A221" s="104" t="s">
        <v>314</v>
      </c>
      <c r="B221" s="109">
        <v>10</v>
      </c>
      <c r="C221" s="110">
        <v>0.19</v>
      </c>
      <c r="D221" s="111" t="s">
        <v>865</v>
      </c>
      <c r="E221" s="119" t="s">
        <v>315</v>
      </c>
      <c r="F221" s="41"/>
    </row>
    <row r="222" spans="1:6" s="11" customFormat="1" ht="21" customHeight="1" x14ac:dyDescent="0.3">
      <c r="A222" s="104" t="s">
        <v>923</v>
      </c>
      <c r="B222" s="109">
        <v>30</v>
      </c>
      <c r="C222" s="110">
        <v>0</v>
      </c>
      <c r="D222" s="111">
        <v>0</v>
      </c>
      <c r="E222" s="119"/>
      <c r="F222" s="41"/>
    </row>
    <row r="223" spans="1:6" s="11" customFormat="1" ht="21" customHeight="1" x14ac:dyDescent="0.3">
      <c r="A223" s="104" t="s">
        <v>1637</v>
      </c>
      <c r="B223" s="109">
        <v>30</v>
      </c>
      <c r="C223" s="110">
        <v>0.19</v>
      </c>
      <c r="D223" s="111" t="s">
        <v>865</v>
      </c>
      <c r="E223" s="119" t="s">
        <v>263</v>
      </c>
      <c r="F223" s="41"/>
    </row>
    <row r="224" spans="1:6" s="11" customFormat="1" ht="21" customHeight="1" x14ac:dyDescent="0.3">
      <c r="A224" s="104" t="s">
        <v>120</v>
      </c>
      <c r="B224" s="109">
        <v>30</v>
      </c>
      <c r="C224" s="110">
        <v>0.19</v>
      </c>
      <c r="D224" s="111" t="s">
        <v>865</v>
      </c>
      <c r="E224" s="119" t="s">
        <v>277</v>
      </c>
      <c r="F224" s="41" t="s">
        <v>276</v>
      </c>
    </row>
    <row r="225" spans="1:6" s="11" customFormat="1" ht="21" customHeight="1" x14ac:dyDescent="0.3">
      <c r="A225" s="104" t="s">
        <v>19</v>
      </c>
      <c r="B225" s="109">
        <v>45</v>
      </c>
      <c r="C225" s="110">
        <v>0.19</v>
      </c>
      <c r="D225" s="111">
        <v>0</v>
      </c>
      <c r="E225" s="119" t="s">
        <v>884</v>
      </c>
      <c r="F225" s="41"/>
    </row>
    <row r="226" spans="1:6" s="11" customFormat="1" ht="21" customHeight="1" x14ac:dyDescent="0.3">
      <c r="A226" s="104" t="s">
        <v>25</v>
      </c>
      <c r="B226" s="109">
        <v>30</v>
      </c>
      <c r="C226" s="110">
        <v>0.19</v>
      </c>
      <c r="D226" s="111" t="s">
        <v>867</v>
      </c>
      <c r="E226" s="119" t="s">
        <v>139</v>
      </c>
      <c r="F226" s="41"/>
    </row>
    <row r="227" spans="1:6" s="11" customFormat="1" ht="21" customHeight="1" x14ac:dyDescent="0.3">
      <c r="A227" s="104" t="s">
        <v>121</v>
      </c>
      <c r="B227" s="109">
        <v>30</v>
      </c>
      <c r="C227" s="110">
        <v>0.19</v>
      </c>
      <c r="D227" s="111" t="s">
        <v>867</v>
      </c>
      <c r="E227" s="119" t="s">
        <v>139</v>
      </c>
      <c r="F227" s="41"/>
    </row>
    <row r="228" spans="1:6" s="11" customFormat="1" ht="21" customHeight="1" x14ac:dyDescent="0.3">
      <c r="A228" s="104" t="s">
        <v>122</v>
      </c>
      <c r="B228" s="109">
        <v>30</v>
      </c>
      <c r="C228" s="110">
        <v>0.19</v>
      </c>
      <c r="D228" s="111" t="s">
        <v>867</v>
      </c>
      <c r="E228" s="119" t="s">
        <v>139</v>
      </c>
      <c r="F228" s="41"/>
    </row>
    <row r="229" spans="1:6" s="11" customFormat="1" ht="21" customHeight="1" x14ac:dyDescent="0.3">
      <c r="A229" s="104" t="s">
        <v>70</v>
      </c>
      <c r="B229" s="109">
        <v>30</v>
      </c>
      <c r="C229" s="110">
        <v>0.19</v>
      </c>
      <c r="D229" s="111" t="s">
        <v>867</v>
      </c>
      <c r="E229" s="119" t="s">
        <v>139</v>
      </c>
      <c r="F229" s="41"/>
    </row>
    <row r="230" spans="1:6" s="11" customFormat="1" ht="21" customHeight="1" x14ac:dyDescent="0.3">
      <c r="A230" s="104" t="s">
        <v>61</v>
      </c>
      <c r="B230" s="109">
        <v>30</v>
      </c>
      <c r="C230" s="110">
        <v>0.19</v>
      </c>
      <c r="D230" s="111" t="s">
        <v>867</v>
      </c>
      <c r="E230" s="119" t="s">
        <v>139</v>
      </c>
      <c r="F230" s="41"/>
    </row>
    <row r="231" spans="1:6" s="11" customFormat="1" ht="21" customHeight="1" x14ac:dyDescent="0.3">
      <c r="A231" s="104" t="s">
        <v>44</v>
      </c>
      <c r="B231" s="109">
        <v>30</v>
      </c>
      <c r="C231" s="110">
        <v>0.19</v>
      </c>
      <c r="D231" s="111" t="s">
        <v>867</v>
      </c>
      <c r="E231" s="119" t="s">
        <v>139</v>
      </c>
      <c r="F231" s="41"/>
    </row>
    <row r="232" spans="1:6" s="11" customFormat="1" ht="21" customHeight="1" x14ac:dyDescent="0.3">
      <c r="A232" s="104" t="s">
        <v>43</v>
      </c>
      <c r="B232" s="109">
        <v>30</v>
      </c>
      <c r="C232" s="110">
        <v>0.19</v>
      </c>
      <c r="D232" s="111" t="s">
        <v>867</v>
      </c>
      <c r="E232" s="119" t="s">
        <v>139</v>
      </c>
      <c r="F232" s="41"/>
    </row>
    <row r="233" spans="1:6" s="11" customFormat="1" ht="21" customHeight="1" x14ac:dyDescent="0.3">
      <c r="A233" s="104" t="s">
        <v>54</v>
      </c>
      <c r="B233" s="109">
        <v>30</v>
      </c>
      <c r="C233" s="110">
        <v>0.19</v>
      </c>
      <c r="D233" s="111" t="s">
        <v>867</v>
      </c>
      <c r="E233" s="119" t="s">
        <v>139</v>
      </c>
      <c r="F233" s="41"/>
    </row>
    <row r="234" spans="1:6" s="11" customFormat="1" ht="21" customHeight="1" x14ac:dyDescent="0.3">
      <c r="A234" s="104" t="s">
        <v>924</v>
      </c>
      <c r="B234" s="109">
        <v>18</v>
      </c>
      <c r="C234" s="110">
        <v>0</v>
      </c>
      <c r="D234" s="111">
        <v>0</v>
      </c>
      <c r="E234" s="119" t="s">
        <v>265</v>
      </c>
      <c r="F234" s="41"/>
    </row>
    <row r="235" spans="1:6" s="11" customFormat="1" ht="21" customHeight="1" x14ac:dyDescent="0.3">
      <c r="A235" s="104" t="s">
        <v>38</v>
      </c>
      <c r="B235" s="109">
        <v>30</v>
      </c>
      <c r="C235" s="110">
        <v>0</v>
      </c>
      <c r="D235" s="111">
        <v>0</v>
      </c>
      <c r="E235" s="119" t="s">
        <v>606</v>
      </c>
      <c r="F235" s="41"/>
    </row>
    <row r="236" spans="1:6" s="11" customFormat="1" ht="21" customHeight="1" x14ac:dyDescent="0.3">
      <c r="A236" s="104" t="s">
        <v>397</v>
      </c>
      <c r="B236" s="109">
        <v>20</v>
      </c>
      <c r="C236" s="110">
        <v>0</v>
      </c>
      <c r="D236" s="111" t="s">
        <v>864</v>
      </c>
      <c r="E236" s="119" t="s">
        <v>308</v>
      </c>
      <c r="F236" s="41"/>
    </row>
    <row r="237" spans="1:6" s="11" customFormat="1" ht="21" customHeight="1" x14ac:dyDescent="0.3">
      <c r="A237" s="104" t="s">
        <v>398</v>
      </c>
      <c r="B237" s="109">
        <v>20</v>
      </c>
      <c r="C237" s="110">
        <v>0</v>
      </c>
      <c r="D237" s="111" t="s">
        <v>864</v>
      </c>
      <c r="E237" s="119" t="s">
        <v>308</v>
      </c>
      <c r="F237" s="41"/>
    </row>
    <row r="238" spans="1:6" s="11" customFormat="1" ht="21" customHeight="1" x14ac:dyDescent="0.3">
      <c r="A238" s="104" t="s">
        <v>399</v>
      </c>
      <c r="B238" s="109">
        <v>20</v>
      </c>
      <c r="C238" s="110">
        <v>0</v>
      </c>
      <c r="D238" s="111" t="s">
        <v>864</v>
      </c>
      <c r="E238" s="119" t="s">
        <v>308</v>
      </c>
      <c r="F238" s="41"/>
    </row>
    <row r="239" spans="1:6" s="11" customFormat="1" ht="21" customHeight="1" x14ac:dyDescent="0.3">
      <c r="A239" s="104" t="s">
        <v>461</v>
      </c>
      <c r="B239" s="109">
        <v>20</v>
      </c>
      <c r="C239" s="110">
        <v>0</v>
      </c>
      <c r="D239" s="111" t="s">
        <v>864</v>
      </c>
      <c r="E239" s="119" t="s">
        <v>308</v>
      </c>
      <c r="F239" s="41"/>
    </row>
    <row r="240" spans="1:6" s="11" customFormat="1" ht="21" customHeight="1" x14ac:dyDescent="0.3">
      <c r="A240" s="104" t="s">
        <v>347</v>
      </c>
      <c r="B240" s="109">
        <v>20</v>
      </c>
      <c r="C240" s="110">
        <v>0.19</v>
      </c>
      <c r="D240" s="111" t="s">
        <v>868</v>
      </c>
      <c r="E240" s="119" t="s">
        <v>308</v>
      </c>
      <c r="F240" s="41"/>
    </row>
    <row r="241" spans="1:6" s="11" customFormat="1" ht="21" customHeight="1" x14ac:dyDescent="0.3">
      <c r="A241" s="104" t="s">
        <v>351</v>
      </c>
      <c r="B241" s="109">
        <v>20</v>
      </c>
      <c r="C241" s="110">
        <v>0.19</v>
      </c>
      <c r="D241" s="111" t="s">
        <v>868</v>
      </c>
      <c r="E241" s="119" t="s">
        <v>308</v>
      </c>
      <c r="F241" s="41"/>
    </row>
    <row r="242" spans="1:6" s="11" customFormat="1" ht="21" customHeight="1" x14ac:dyDescent="0.3">
      <c r="A242" s="104" t="s">
        <v>331</v>
      </c>
      <c r="B242" s="109">
        <v>20</v>
      </c>
      <c r="C242" s="110">
        <v>0.19</v>
      </c>
      <c r="D242" s="111" t="s">
        <v>868</v>
      </c>
      <c r="E242" s="119" t="s">
        <v>308</v>
      </c>
      <c r="F242" s="41"/>
    </row>
    <row r="243" spans="1:6" s="11" customFormat="1" ht="21" customHeight="1" x14ac:dyDescent="0.3">
      <c r="A243" s="104" t="s">
        <v>925</v>
      </c>
      <c r="B243" s="109">
        <v>30</v>
      </c>
      <c r="C243" s="110">
        <v>0</v>
      </c>
      <c r="D243" s="111" t="s">
        <v>866</v>
      </c>
      <c r="E243" s="119" t="s">
        <v>433</v>
      </c>
      <c r="F243" s="41"/>
    </row>
    <row r="244" spans="1:6" s="11" customFormat="1" ht="21" customHeight="1" x14ac:dyDescent="0.3">
      <c r="A244" s="104" t="s">
        <v>408</v>
      </c>
      <c r="B244" s="109">
        <v>30</v>
      </c>
      <c r="C244" s="110">
        <v>0.19</v>
      </c>
      <c r="D244" s="111">
        <v>0</v>
      </c>
      <c r="E244" s="119" t="s">
        <v>505</v>
      </c>
      <c r="F244" s="41"/>
    </row>
    <row r="245" spans="1:6" s="11" customFormat="1" ht="21" customHeight="1" x14ac:dyDescent="0.3">
      <c r="A245" s="104" t="s">
        <v>1654</v>
      </c>
      <c r="B245" s="109">
        <v>0</v>
      </c>
      <c r="C245" s="110">
        <v>0</v>
      </c>
      <c r="D245" s="111">
        <v>0</v>
      </c>
      <c r="E245" s="168"/>
      <c r="F245" s="41" t="s">
        <v>1655</v>
      </c>
    </row>
    <row r="246" spans="1:6" s="11" customFormat="1" ht="21" customHeight="1" x14ac:dyDescent="0.3">
      <c r="A246" s="104" t="s">
        <v>26</v>
      </c>
      <c r="B246" s="109">
        <v>30</v>
      </c>
      <c r="C246" s="110">
        <v>0.19</v>
      </c>
      <c r="D246" s="111" t="s">
        <v>865</v>
      </c>
      <c r="E246" s="119" t="s">
        <v>291</v>
      </c>
      <c r="F246" s="41"/>
    </row>
    <row r="247" spans="1:6" s="11" customFormat="1" ht="21" customHeight="1" x14ac:dyDescent="0.3">
      <c r="A247" s="104" t="s">
        <v>16</v>
      </c>
      <c r="B247" s="109">
        <v>30</v>
      </c>
      <c r="C247" s="110">
        <v>0.19</v>
      </c>
      <c r="D247" s="111" t="s">
        <v>865</v>
      </c>
      <c r="E247" s="119" t="s">
        <v>266</v>
      </c>
      <c r="F247" s="41"/>
    </row>
    <row r="248" spans="1:6" s="11" customFormat="1" ht="21" customHeight="1" x14ac:dyDescent="0.3">
      <c r="A248" s="104" t="s">
        <v>926</v>
      </c>
      <c r="B248" s="109">
        <v>30</v>
      </c>
      <c r="C248" s="110">
        <v>0.19</v>
      </c>
      <c r="D248" s="111" t="s">
        <v>869</v>
      </c>
      <c r="E248" s="119" t="s">
        <v>333</v>
      </c>
      <c r="F248" s="41"/>
    </row>
    <row r="249" spans="1:6" s="11" customFormat="1" ht="21" customHeight="1" x14ac:dyDescent="0.3">
      <c r="A249" s="104" t="s">
        <v>1167</v>
      </c>
      <c r="B249" s="109">
        <v>10</v>
      </c>
      <c r="C249" s="110">
        <v>0.19</v>
      </c>
      <c r="D249" s="111" t="s">
        <v>868</v>
      </c>
      <c r="E249" s="119" t="s">
        <v>1166</v>
      </c>
      <c r="F249" s="41"/>
    </row>
    <row r="250" spans="1:6" s="11" customFormat="1" ht="21" customHeight="1" x14ac:dyDescent="0.3">
      <c r="A250" s="104" t="s">
        <v>758</v>
      </c>
      <c r="B250" s="109">
        <v>30</v>
      </c>
      <c r="C250" s="110">
        <v>0.19</v>
      </c>
      <c r="D250" s="111" t="s">
        <v>865</v>
      </c>
      <c r="E250" s="119"/>
      <c r="F250" s="41"/>
    </row>
    <row r="251" spans="1:6" s="11" customFormat="1" ht="21" customHeight="1" x14ac:dyDescent="0.3">
      <c r="A251" s="104" t="s">
        <v>63</v>
      </c>
      <c r="B251" s="109">
        <v>30</v>
      </c>
      <c r="C251" s="110">
        <v>0.19</v>
      </c>
      <c r="D251" s="111" t="s">
        <v>867</v>
      </c>
      <c r="E251" s="119" t="s">
        <v>139</v>
      </c>
      <c r="F251" s="41"/>
    </row>
    <row r="252" spans="1:6" s="11" customFormat="1" ht="21" customHeight="1" x14ac:dyDescent="0.3">
      <c r="A252" s="104" t="s">
        <v>927</v>
      </c>
      <c r="B252" s="109">
        <v>30</v>
      </c>
      <c r="C252" s="110">
        <v>0</v>
      </c>
      <c r="D252" s="111">
        <v>0</v>
      </c>
      <c r="E252" s="119" t="s">
        <v>1036</v>
      </c>
      <c r="F252" s="41"/>
    </row>
    <row r="253" spans="1:6" s="11" customFormat="1" ht="21" customHeight="1" x14ac:dyDescent="0.3">
      <c r="A253" s="104" t="s">
        <v>542</v>
      </c>
      <c r="B253" s="109">
        <v>30</v>
      </c>
      <c r="C253" s="110">
        <v>0.19</v>
      </c>
      <c r="D253" s="111" t="s">
        <v>865</v>
      </c>
      <c r="E253" s="119"/>
      <c r="F253" s="41"/>
    </row>
    <row r="254" spans="1:6" s="11" customFormat="1" ht="21" customHeight="1" x14ac:dyDescent="0.3">
      <c r="A254" s="104" t="s">
        <v>928</v>
      </c>
      <c r="B254" s="109">
        <v>30</v>
      </c>
      <c r="C254" s="110">
        <v>0</v>
      </c>
      <c r="D254" s="111" t="s">
        <v>866</v>
      </c>
      <c r="E254" s="119" t="s">
        <v>1688</v>
      </c>
      <c r="F254" s="41"/>
    </row>
    <row r="255" spans="1:6" s="11" customFormat="1" ht="21" customHeight="1" x14ac:dyDescent="0.3">
      <c r="A255" s="104" t="s">
        <v>1685</v>
      </c>
      <c r="B255" s="109">
        <v>0</v>
      </c>
      <c r="C255" s="110">
        <v>0</v>
      </c>
      <c r="D255" s="111">
        <v>0</v>
      </c>
      <c r="E255" s="119" t="s">
        <v>1687</v>
      </c>
      <c r="F255" s="41" t="s">
        <v>1686</v>
      </c>
    </row>
    <row r="256" spans="1:6" s="11" customFormat="1" ht="21" customHeight="1" x14ac:dyDescent="0.3">
      <c r="A256" s="104" t="s">
        <v>929</v>
      </c>
      <c r="B256" s="109">
        <v>30</v>
      </c>
      <c r="C256" s="110">
        <v>0.19</v>
      </c>
      <c r="D256" s="111" t="s">
        <v>866</v>
      </c>
      <c r="E256" s="119" t="s">
        <v>267</v>
      </c>
      <c r="F256" s="41"/>
    </row>
    <row r="257" spans="1:6" s="11" customFormat="1" ht="21" customHeight="1" x14ac:dyDescent="0.3">
      <c r="A257" s="104" t="s">
        <v>216</v>
      </c>
      <c r="B257" s="109">
        <v>30</v>
      </c>
      <c r="C257" s="110">
        <v>0.19</v>
      </c>
      <c r="D257" s="111" t="s">
        <v>865</v>
      </c>
      <c r="E257" s="119" t="s">
        <v>251</v>
      </c>
      <c r="F257" s="41" t="s">
        <v>239</v>
      </c>
    </row>
    <row r="258" spans="1:6" s="11" customFormat="1" ht="21" customHeight="1" x14ac:dyDescent="0.3">
      <c r="A258" s="104" t="s">
        <v>930</v>
      </c>
      <c r="B258" s="109">
        <v>30</v>
      </c>
      <c r="C258" s="110">
        <v>0</v>
      </c>
      <c r="D258" s="111" t="s">
        <v>866</v>
      </c>
      <c r="E258" s="119" t="s">
        <v>268</v>
      </c>
      <c r="F258" s="41"/>
    </row>
    <row r="259" spans="1:6" s="11" customFormat="1" ht="21" customHeight="1" x14ac:dyDescent="0.3">
      <c r="A259" s="104" t="s">
        <v>931</v>
      </c>
      <c r="B259" s="109">
        <v>30</v>
      </c>
      <c r="C259" s="110">
        <v>0.19</v>
      </c>
      <c r="D259" s="111" t="s">
        <v>866</v>
      </c>
      <c r="E259" s="119"/>
      <c r="F259" s="41"/>
    </row>
    <row r="260" spans="1:6" s="11" customFormat="1" ht="21" customHeight="1" x14ac:dyDescent="0.3">
      <c r="A260" s="104" t="s">
        <v>1136</v>
      </c>
      <c r="B260" s="109">
        <v>0</v>
      </c>
      <c r="C260" s="110">
        <v>0.19</v>
      </c>
      <c r="D260" s="111" t="s">
        <v>1404</v>
      </c>
      <c r="E260" s="119" t="s">
        <v>1135</v>
      </c>
      <c r="F260" s="41"/>
    </row>
    <row r="261" spans="1:6" s="11" customFormat="1" ht="21" customHeight="1" x14ac:dyDescent="0.3">
      <c r="A261" s="104" t="s">
        <v>286</v>
      </c>
      <c r="B261" s="109">
        <v>20</v>
      </c>
      <c r="C261" s="110">
        <v>0</v>
      </c>
      <c r="D261" s="111">
        <v>0</v>
      </c>
      <c r="E261" s="119" t="s">
        <v>288</v>
      </c>
      <c r="F261" s="41"/>
    </row>
    <row r="262" spans="1:6" s="11" customFormat="1" ht="21" customHeight="1" x14ac:dyDescent="0.3">
      <c r="A262" s="104" t="s">
        <v>156</v>
      </c>
      <c r="B262" s="109">
        <v>30</v>
      </c>
      <c r="C262" s="110">
        <v>0</v>
      </c>
      <c r="D262" s="111">
        <v>0</v>
      </c>
      <c r="E262" s="119" t="s">
        <v>157</v>
      </c>
      <c r="F262" s="41"/>
    </row>
    <row r="263" spans="1:6" s="11" customFormat="1" ht="21" customHeight="1" x14ac:dyDescent="0.3">
      <c r="A263" s="104" t="s">
        <v>30</v>
      </c>
      <c r="B263" s="109">
        <v>30</v>
      </c>
      <c r="C263" s="110">
        <v>0</v>
      </c>
      <c r="D263" s="111">
        <v>0</v>
      </c>
      <c r="E263" s="119" t="s">
        <v>269</v>
      </c>
      <c r="F263" s="41"/>
    </row>
    <row r="264" spans="1:6" s="11" customFormat="1" ht="21" customHeight="1" x14ac:dyDescent="0.3">
      <c r="A264" s="104" t="s">
        <v>39</v>
      </c>
      <c r="B264" s="109">
        <v>30</v>
      </c>
      <c r="C264" s="110">
        <v>0.19</v>
      </c>
      <c r="D264" s="111" t="s">
        <v>865</v>
      </c>
      <c r="E264" s="119" t="s">
        <v>270</v>
      </c>
      <c r="F264" s="41"/>
    </row>
    <row r="265" spans="1:6" s="11" customFormat="1" ht="21" customHeight="1" x14ac:dyDescent="0.3">
      <c r="A265" s="104" t="s">
        <v>123</v>
      </c>
      <c r="B265" s="109">
        <v>30</v>
      </c>
      <c r="C265" s="110">
        <v>0.19</v>
      </c>
      <c r="D265" s="111" t="s">
        <v>865</v>
      </c>
      <c r="E265" s="119" t="s">
        <v>139</v>
      </c>
      <c r="F265" s="41"/>
    </row>
    <row r="266" spans="1:6" s="11" customFormat="1" ht="21" customHeight="1" x14ac:dyDescent="0.3">
      <c r="A266" s="104" t="s">
        <v>15</v>
      </c>
      <c r="B266" s="109">
        <v>10</v>
      </c>
      <c r="C266" s="110">
        <v>0.19</v>
      </c>
      <c r="D266" s="111" t="s">
        <v>865</v>
      </c>
      <c r="E266" s="119" t="s">
        <v>139</v>
      </c>
      <c r="F266" s="41"/>
    </row>
    <row r="267" spans="1:6" ht="21" customHeight="1" x14ac:dyDescent="0.3">
      <c r="A267" s="104" t="s">
        <v>9</v>
      </c>
      <c r="B267" s="109">
        <v>90</v>
      </c>
      <c r="C267" s="110">
        <v>0.19</v>
      </c>
      <c r="D267" s="111" t="s">
        <v>865</v>
      </c>
      <c r="E267" s="119" t="s">
        <v>271</v>
      </c>
    </row>
    <row r="268" spans="1:6" ht="21" customHeight="1" x14ac:dyDescent="0.3">
      <c r="A268" s="104" t="s">
        <v>428</v>
      </c>
      <c r="B268" s="109">
        <v>30</v>
      </c>
      <c r="C268" s="110">
        <v>0.19</v>
      </c>
      <c r="D268" s="111" t="s">
        <v>865</v>
      </c>
      <c r="E268" s="119" t="s">
        <v>423</v>
      </c>
    </row>
    <row r="269" spans="1:6" ht="21" customHeight="1" x14ac:dyDescent="0.3">
      <c r="A269" s="104" t="s">
        <v>932</v>
      </c>
      <c r="B269" s="109">
        <v>30</v>
      </c>
      <c r="C269" s="110">
        <v>0</v>
      </c>
      <c r="D269" s="111">
        <v>0</v>
      </c>
    </row>
    <row r="270" spans="1:6" ht="21" customHeight="1" x14ac:dyDescent="0.3">
      <c r="A270" s="104" t="s">
        <v>933</v>
      </c>
      <c r="B270" s="109">
        <v>30</v>
      </c>
      <c r="C270" s="110">
        <v>0.19</v>
      </c>
      <c r="D270" s="111">
        <v>0</v>
      </c>
      <c r="E270" s="119" t="s">
        <v>141</v>
      </c>
    </row>
    <row r="271" spans="1:6" ht="21" customHeight="1" x14ac:dyDescent="0.3">
      <c r="A271" s="104" t="s">
        <v>422</v>
      </c>
      <c r="B271" s="109">
        <v>30</v>
      </c>
      <c r="C271" s="110">
        <v>0.19</v>
      </c>
      <c r="D271" s="111" t="s">
        <v>865</v>
      </c>
      <c r="E271" s="119" t="s">
        <v>554</v>
      </c>
    </row>
    <row r="272" spans="1:6" ht="21" customHeight="1" x14ac:dyDescent="0.3">
      <c r="A272" s="104" t="s">
        <v>1002</v>
      </c>
      <c r="B272" s="109">
        <v>0</v>
      </c>
      <c r="C272" s="110">
        <v>0.19</v>
      </c>
      <c r="D272" s="111">
        <v>0</v>
      </c>
    </row>
    <row r="273" spans="1:6" ht="21" customHeight="1" x14ac:dyDescent="0.3">
      <c r="A273" s="104" t="s">
        <v>28</v>
      </c>
      <c r="B273" s="109">
        <v>30</v>
      </c>
      <c r="C273" s="110">
        <v>0</v>
      </c>
      <c r="D273" s="111">
        <v>0</v>
      </c>
      <c r="E273" s="119" t="s">
        <v>139</v>
      </c>
    </row>
    <row r="274" spans="1:6" ht="21" customHeight="1" x14ac:dyDescent="0.3">
      <c r="A274" s="104" t="s">
        <v>45</v>
      </c>
      <c r="B274" s="109">
        <v>30</v>
      </c>
      <c r="C274" s="110">
        <v>0.19</v>
      </c>
      <c r="D274" s="111" t="s">
        <v>865</v>
      </c>
      <c r="E274" s="119" t="s">
        <v>139</v>
      </c>
    </row>
    <row r="275" spans="1:6" ht="21" customHeight="1" x14ac:dyDescent="0.3">
      <c r="A275" s="104" t="s">
        <v>934</v>
      </c>
      <c r="B275" s="109">
        <v>13</v>
      </c>
      <c r="C275" s="110">
        <v>0</v>
      </c>
      <c r="D275" s="111">
        <v>0</v>
      </c>
    </row>
    <row r="276" spans="1:6" ht="21" customHeight="1" x14ac:dyDescent="0.3">
      <c r="A276" s="104" t="s">
        <v>935</v>
      </c>
      <c r="B276" s="109">
        <v>30</v>
      </c>
      <c r="C276" s="110">
        <v>0</v>
      </c>
      <c r="D276" s="111">
        <v>0</v>
      </c>
      <c r="E276" s="119" t="s">
        <v>141</v>
      </c>
    </row>
    <row r="277" spans="1:6" ht="21" customHeight="1" x14ac:dyDescent="0.3">
      <c r="A277" s="104" t="s">
        <v>23</v>
      </c>
      <c r="B277" s="109">
        <v>10</v>
      </c>
      <c r="C277" s="110">
        <v>0</v>
      </c>
      <c r="D277" s="111">
        <v>0</v>
      </c>
      <c r="E277" s="119" t="s">
        <v>139</v>
      </c>
    </row>
    <row r="278" spans="1:6" ht="19.95" customHeight="1" x14ac:dyDescent="0.3">
      <c r="A278" s="104" t="s">
        <v>10</v>
      </c>
      <c r="B278" s="109">
        <v>45</v>
      </c>
      <c r="C278" s="110">
        <v>0.19</v>
      </c>
      <c r="D278" s="111">
        <v>0</v>
      </c>
      <c r="E278" s="119" t="s">
        <v>272</v>
      </c>
      <c r="F278" s="41" t="s">
        <v>1722</v>
      </c>
    </row>
    <row r="279" spans="1:6" ht="21" customHeight="1" x14ac:dyDescent="0.3">
      <c r="A279" s="104" t="s">
        <v>1638</v>
      </c>
      <c r="B279" s="109">
        <v>30</v>
      </c>
      <c r="C279" s="110">
        <v>0.19</v>
      </c>
      <c r="D279" s="111" t="s">
        <v>865</v>
      </c>
      <c r="E279" s="119" t="s">
        <v>273</v>
      </c>
    </row>
    <row r="280" spans="1:6" ht="21" customHeight="1" x14ac:dyDescent="0.3">
      <c r="A280" s="104" t="s">
        <v>14</v>
      </c>
      <c r="B280" s="109">
        <v>30</v>
      </c>
      <c r="C280" s="110">
        <v>0.19</v>
      </c>
      <c r="D280" s="111" t="s">
        <v>865</v>
      </c>
      <c r="E280" s="119" t="s">
        <v>274</v>
      </c>
    </row>
    <row r="281" spans="1:6" ht="21" customHeight="1" x14ac:dyDescent="0.3">
      <c r="A281" s="104" t="s">
        <v>74</v>
      </c>
      <c r="B281" s="109">
        <v>30</v>
      </c>
      <c r="C281" s="110">
        <v>0.19</v>
      </c>
      <c r="D281" s="111" t="s">
        <v>865</v>
      </c>
      <c r="E281" s="119" t="s">
        <v>139</v>
      </c>
    </row>
    <row r="282" spans="1:6" ht="21" customHeight="1" x14ac:dyDescent="0.3">
      <c r="A282" s="104" t="s">
        <v>1776</v>
      </c>
      <c r="B282" s="109">
        <v>10</v>
      </c>
      <c r="C282" s="110">
        <v>0</v>
      </c>
      <c r="D282" s="111">
        <v>0</v>
      </c>
      <c r="E282" s="119" t="s">
        <v>1777</v>
      </c>
      <c r="F282" s="41" t="s">
        <v>1778</v>
      </c>
    </row>
    <row r="283" spans="1:6" ht="21" customHeight="1" x14ac:dyDescent="0.3">
      <c r="A283" s="104" t="s">
        <v>936</v>
      </c>
      <c r="B283" s="109">
        <v>20</v>
      </c>
      <c r="C283" s="110">
        <v>0.19</v>
      </c>
      <c r="D283" s="111" t="s">
        <v>866</v>
      </c>
      <c r="E283" s="119" t="s">
        <v>275</v>
      </c>
    </row>
    <row r="284" spans="1:6" ht="21" customHeight="1" x14ac:dyDescent="0.3">
      <c r="A284" s="104" t="s">
        <v>11</v>
      </c>
      <c r="B284" s="109">
        <v>30</v>
      </c>
      <c r="C284" s="110">
        <v>0.19</v>
      </c>
      <c r="D284" s="111" t="s">
        <v>865</v>
      </c>
      <c r="E284" s="119" t="s">
        <v>1027</v>
      </c>
      <c r="F284" s="41" t="s">
        <v>1723</v>
      </c>
    </row>
    <row r="285" spans="1:6" ht="21" customHeight="1" x14ac:dyDescent="0.3">
      <c r="A285" s="104" t="s">
        <v>217</v>
      </c>
      <c r="B285" s="109">
        <v>30</v>
      </c>
      <c r="C285" s="110">
        <v>0.19</v>
      </c>
      <c r="D285" s="111" t="s">
        <v>865</v>
      </c>
      <c r="E285" s="119" t="s">
        <v>251</v>
      </c>
    </row>
    <row r="286" spans="1:6" ht="21" customHeight="1" x14ac:dyDescent="0.3">
      <c r="A286" s="104" t="s">
        <v>13</v>
      </c>
      <c r="B286" s="109">
        <v>30</v>
      </c>
      <c r="C286" s="110">
        <v>0.19</v>
      </c>
      <c r="D286" s="111" t="s">
        <v>865</v>
      </c>
      <c r="E286" s="119" t="s">
        <v>251</v>
      </c>
    </row>
    <row r="287" spans="1:6" ht="21" customHeight="1" x14ac:dyDescent="0.3">
      <c r="A287" s="104" t="s">
        <v>300</v>
      </c>
      <c r="B287" s="109">
        <v>30</v>
      </c>
      <c r="C287" s="110">
        <v>0.19</v>
      </c>
      <c r="D287" s="111" t="s">
        <v>865</v>
      </c>
    </row>
    <row r="288" spans="1:6" ht="21" customHeight="1" x14ac:dyDescent="0.3">
      <c r="A288" s="104" t="s">
        <v>1821</v>
      </c>
      <c r="B288" s="109">
        <v>30</v>
      </c>
      <c r="C288" s="110">
        <v>0.19</v>
      </c>
      <c r="D288" s="111" t="s">
        <v>865</v>
      </c>
      <c r="E288" s="168"/>
    </row>
  </sheetData>
  <conditionalFormatting sqref="A1:A288">
    <cfRule type="expression" dxfId="85" priority="22">
      <formula>$S1="Por pagar"</formula>
    </cfRule>
    <cfRule type="expression" dxfId="84" priority="23">
      <formula>$S1="Vencida"</formula>
    </cfRule>
    <cfRule type="expression" dxfId="83" priority="24">
      <formula>$S1="Pagada"</formula>
    </cfRule>
  </conditionalFormatting>
  <conditionalFormatting sqref="A227">
    <cfRule type="expression" dxfId="82" priority="19">
      <formula>$S227="Por pagar"</formula>
    </cfRule>
    <cfRule type="expression" dxfId="81" priority="20">
      <formula>$S227="Vencida"</formula>
    </cfRule>
    <cfRule type="expression" dxfId="80" priority="21">
      <formula>$S227="Pagada"</formula>
    </cfRule>
  </conditionalFormatting>
  <conditionalFormatting sqref="A239">
    <cfRule type="expression" dxfId="79" priority="16">
      <formula>$S239="Por pagar"</formula>
    </cfRule>
    <cfRule type="expression" dxfId="78" priority="17">
      <formula>$S239="Vencida"</formula>
    </cfRule>
    <cfRule type="expression" dxfId="77" priority="18">
      <formula>$S239="Pagada"</formula>
    </cfRule>
  </conditionalFormatting>
  <conditionalFormatting sqref="A241">
    <cfRule type="expression" dxfId="76" priority="13">
      <formula>$S241="Por pagar"</formula>
    </cfRule>
    <cfRule type="expression" dxfId="75" priority="14">
      <formula>$S241="Vencida"</formula>
    </cfRule>
    <cfRule type="expression" dxfId="74" priority="15">
      <formula>$S241="Pagada"</formula>
    </cfRule>
  </conditionalFormatting>
  <conditionalFormatting sqref="A244">
    <cfRule type="expression" dxfId="73" priority="10">
      <formula>$S244="Por pagar"</formula>
    </cfRule>
    <cfRule type="expression" dxfId="72" priority="11">
      <formula>$S244="Vencida"</formula>
    </cfRule>
    <cfRule type="expression" dxfId="71" priority="12">
      <formula>$S244="Pagada"</formula>
    </cfRule>
  </conditionalFormatting>
  <conditionalFormatting sqref="A247">
    <cfRule type="expression" dxfId="70" priority="7">
      <formula>$S247="Por pagar"</formula>
    </cfRule>
    <cfRule type="expression" dxfId="69" priority="8">
      <formula>$S247="Vencida"</formula>
    </cfRule>
    <cfRule type="expression" dxfId="68" priority="9">
      <formula>$S247="Pagada"</formula>
    </cfRule>
  </conditionalFormatting>
  <conditionalFormatting sqref="A250">
    <cfRule type="expression" dxfId="67" priority="4">
      <formula>$S250="Por pagar"</formula>
    </cfRule>
    <cfRule type="expression" dxfId="66" priority="5">
      <formula>$S250="Vencida"</formula>
    </cfRule>
    <cfRule type="expression" dxfId="65" priority="6">
      <formula>$S250="Pagada"</formula>
    </cfRule>
  </conditionalFormatting>
  <conditionalFormatting sqref="A254">
    <cfRule type="expression" dxfId="64" priority="1">
      <formula>$S254="Por pagar"</formula>
    </cfRule>
    <cfRule type="expression" dxfId="63" priority="2">
      <formula>$S254="Vencida"</formula>
    </cfRule>
    <cfRule type="expression" dxfId="62" priority="3">
      <formula>$S254="Pagada"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E284" r:id="rId1" display="carloseuristika@hotmail.com;girlesa.ruiz@servipilas.com;joriescobar64@gmail.com" xr:uid="{561982AE-06ED-4F50-A56D-EE26D2CC75EE}"/>
    <hyperlink ref="E281" r:id="rId2" display="howardlondono@impocarga.com;oswaldo.alvarez@logimexsas.com;girlesa.ruiz@servipilas.com;joriescobar64@gmail.com" xr:uid="{FAA7D466-4997-45EB-951F-8361C0637145}"/>
    <hyperlink ref="E228" r:id="rId3" display="vcortes@power-sonic.com;alexander.baur@power-sonic.com;jirias@power-sonic.com;girlesa.ruiz@servipilas.com;joriescobar64@gmail.com;info@servipilas.com" xr:uid="{4E77A19D-4B3C-488C-9FBA-1EF577DE97F9}"/>
    <hyperlink ref="E280" r:id="rId4" display="jessica.barrios@carpainternacional;girlesa.ruiz@servipilas.com;joriescobar64@gmail.com" xr:uid="{ED4B35BD-DD15-49F7-AE9E-CB75C4F21A5A}"/>
    <hyperlink ref="E263" r:id="rId5" display="lpena@tbplusenergy.com;girlesa.ruiz@servipilas.com;joriescobar64@gmail.com" xr:uid="{2E0BF1B0-F7E1-4748-9780-C1F63208C01D}"/>
    <hyperlink ref="E119" r:id="rId6" display="jessica.barrios@carpainternacional;girlesa.ruiz@servipilas.com;joriescobar64@gmail.com" xr:uid="{00D1BA77-5CD7-41B8-9B30-D0FD87A6EDB3}"/>
    <hyperlink ref="E187" r:id="rId7" display="jmacias@nanicastation.com.co;facturas@nanicastation.com.co;girlesa.ruiz@servipilas.com;joriescobar64@gmail.com" xr:uid="{A30216ED-A36B-42B0-BBB8-8CB32EA27205}"/>
    <hyperlink ref="E120" r:id="rId8" display="jessica.barrios@carpainternacional;girlesa.ruiz@servipilas.com;joriescobar64@gmail.com" xr:uid="{7249B88F-12EB-47AD-A1D5-CA4D648B62F8}"/>
    <hyperlink ref="E133" r:id="rId9" display="financiero@dmariocolombia.com;cartera@dmariocolombia.com.co;girlesa.ruiz@servipilas.com;joriescobar64@gmail.com" xr:uid="{CE62F396-7DD1-446B-834E-847DE56C5EAE}"/>
    <hyperlink ref="E114" r:id="rId10" display="jessica.barrios@carpainternacional;girlesa.ruiz@servipilas.com;joriescobar64@gmail.com" xr:uid="{1D84D8E0-3181-4565-AA6E-87BF9B04CCB7}"/>
    <hyperlink ref="E103" r:id="rId11" display="alexenriquez73.ae@gmail.com;girlesa.ruiz@servipilas.com;joriescobar64@gmail.com;info@servipilas.com" xr:uid="{DA082B31-23E6-4BC8-A2B1-606CD8D34C75}"/>
    <hyperlink ref="E186" r:id="rId12" display="jarlysas@gmail.com;o.clockinternational@gmail.com;girlesa.ruiz@servipilas.com;joriescobar64@gmail.com" xr:uid="{3F18548B-0AB9-4A3D-9F35-2549ECC305BF}"/>
    <hyperlink ref="E184" r:id="rId13" display="jarlysas@gmail.com;o.clockinternational@gmail.com;girlesa.ruiz@servipilas.com;joriescobar64@gmail.com" xr:uid="{3FB427FE-00DC-4C59-9D65-121EDF91ED6B}"/>
    <hyperlink ref="E48" r:id="rId14" display="jarlysas@gmail.com;o.clockinternational@gmail.com;girlesa.ruiz@servipilas.com;joriescobar64@gmail.com" xr:uid="{A2CA6E71-6063-46BD-933B-4C714D6DAB5A}"/>
    <hyperlink ref="E205" r:id="rId15" display="globalpowerc2018@gmail.com;girlesa.ruiz@servipilas.com;joriescobar64@gmail.com" xr:uid="{01663586-B004-457E-89DB-C9F486A2F704}"/>
    <hyperlink ref="E131" r:id="rId16" xr:uid="{4C45EAF0-13B8-4174-AAF4-89A4F2A92339}"/>
    <hyperlink ref="E14" r:id="rId17" xr:uid="{B08EE749-2121-4642-9E43-DD9DC668BA9E}"/>
    <hyperlink ref="E225" r:id="rId18" xr:uid="{83271EF2-8058-4E07-A6EC-F6CED024CC78}"/>
    <hyperlink ref="E201" r:id="rId19" xr:uid="{8C3B3A78-B040-4936-9A3E-C204B23F051F}"/>
    <hyperlink ref="E202" r:id="rId20" xr:uid="{6F05F03E-17C9-4CFC-8254-9AA96C300D6A}"/>
    <hyperlink ref="E203" r:id="rId21" xr:uid="{C23B24B4-200E-4E20-9C91-EB5A0651948C}"/>
    <hyperlink ref="E204" r:id="rId22" xr:uid="{DE9AC6FB-AF9C-49F1-86B5-12AC8FFF3497}"/>
    <hyperlink ref="E38" r:id="rId23" xr:uid="{ADC47169-530C-45C1-B633-264E44FE5354}"/>
    <hyperlink ref="E135" r:id="rId24" xr:uid="{9CDD4FC4-8A1C-49B9-AC5B-E6041A5B28F5}"/>
    <hyperlink ref="E141" r:id="rId25" xr:uid="{1A85D8CC-9E3F-41AB-92F0-450FD29F6C9E}"/>
    <hyperlink ref="E208" r:id="rId26" xr:uid="{FCCAEC71-E9AC-47BE-8E61-6A5FDEE410A3}"/>
    <hyperlink ref="E56" r:id="rId27" xr:uid="{482B179A-71A6-493A-8242-802ACBA0ACDA}"/>
    <hyperlink ref="E195" r:id="rId28" xr:uid="{892B025D-76B1-4625-9F33-C7C07F0C7974}"/>
    <hyperlink ref="E252" r:id="rId29" xr:uid="{BECB3A0A-E5B2-417B-A252-E17B96AED2CC}"/>
    <hyperlink ref="E170" r:id="rId30" xr:uid="{C3B034BC-1EE2-45FB-B930-AAD08ED4A45C}"/>
    <hyperlink ref="E146" r:id="rId31" xr:uid="{D4495511-4B1A-4CE4-83E4-90A6C47608B9}"/>
    <hyperlink ref="E127" r:id="rId32" xr:uid="{5AB5BF9C-5F01-4621-BECA-43745E906963}"/>
    <hyperlink ref="E139" r:id="rId33" xr:uid="{2478673F-B941-4863-8494-98C6008373EE}"/>
    <hyperlink ref="E206" r:id="rId34" xr:uid="{2509AEA1-249F-4F59-90A9-4BD6A04795FE}"/>
    <hyperlink ref="E136" r:id="rId35" xr:uid="{C858FF04-0DD3-4188-B427-8FCF0A6AB415}"/>
    <hyperlink ref="E185" r:id="rId36" xr:uid="{98B13428-3E35-430C-821C-D92A58607230}"/>
    <hyperlink ref="E260" r:id="rId37" xr:uid="{7BF8FC88-F0EC-4935-8F24-4C4B37502C4A}"/>
    <hyperlink ref="E249" r:id="rId38" xr:uid="{89B2FACD-60F6-4A54-A546-5FB11A9D582F}"/>
    <hyperlink ref="E112" r:id="rId39" xr:uid="{A134BC90-8D03-4867-B7DC-AE1A9E3F6D1E}"/>
    <hyperlink ref="E111" r:id="rId40" xr:uid="{21705948-D234-49D9-BF49-23B9F0C49E27}"/>
    <hyperlink ref="E167" r:id="rId41" xr:uid="{061934EE-7307-4B57-B0C7-ED8F7FBCB174}"/>
    <hyperlink ref="E144" r:id="rId42" xr:uid="{61F2F2B1-89E9-40D3-9CA1-820CB6B9601F}"/>
    <hyperlink ref="E118" r:id="rId43" xr:uid="{092582AB-2C50-4EC4-8BD7-2D5A0282CD0C}"/>
    <hyperlink ref="E199" r:id="rId44" xr:uid="{0136AA99-044C-40BD-BE85-CFB535272EBA}"/>
    <hyperlink ref="E286" r:id="rId45" xr:uid="{7992F441-764D-4CEA-8073-1C789250B204}"/>
    <hyperlink ref="E255" r:id="rId46" xr:uid="{33163C04-D759-49B5-B8DA-F7E5C0F8FA0D}"/>
    <hyperlink ref="E254" r:id="rId47" xr:uid="{BDB3EAA5-BE92-42C3-AF14-72EF78DC90C8}"/>
    <hyperlink ref="E117" r:id="rId48" xr:uid="{A80D6750-F999-4A9E-BF21-741A7356E0C1}"/>
    <hyperlink ref="E282" r:id="rId49" xr:uid="{2BD7A451-9290-4536-87BD-620F13E416AA}"/>
    <hyperlink ref="A92" r:id="rId50" display="UNIFORMES@" xr:uid="{85D855E3-E840-4304-BB1C-2A00B2BA648D}"/>
  </hyperlinks>
  <pageMargins left="0.7" right="0.7" top="0.75" bottom="0.75" header="0.3" footer="0.3"/>
  <pageSetup paperSize="9" orientation="portrait" r:id="rId51"/>
  <tableParts count="1">
    <tablePart r:id="rId5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No coincide con las lista de retenciones de la hoja oculta &quot;Retenciones&quot;" xr:uid="{7EFC60C1-3A68-4D65-BDB3-5D707C2F985A}">
          <x14:formula1>
            <xm:f>Retenciones!$A$1:$A$25</xm:f>
          </x14:formula1>
          <xm:sqref>D2:D259 D275:D278 D272 D270 D266:D267 D263:D264</xm:sqref>
        </x14:dataValidation>
        <x14:dataValidation type="list" allowBlank="1" showInputMessage="1" showErrorMessage="1" xr:uid="{0B6EC51F-C8CD-49B9-A38C-2B4CB8C3A653}">
          <x14:formula1>
            <xm:f>Retenciones!$A:$A</xm:f>
          </x14:formula1>
          <xm:sqref>D1 D265 D260:D262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A2"/>
  <sheetViews>
    <sheetView workbookViewId="0"/>
  </sheetViews>
  <sheetFormatPr defaultColWidth="11.5546875" defaultRowHeight="14.4" x14ac:dyDescent="0.3"/>
  <cols>
    <col min="1" max="1" width="22" style="109" bestFit="1" customWidth="1"/>
  </cols>
  <sheetData>
    <row r="1" spans="1:1" x14ac:dyDescent="0.3">
      <c r="A1" s="128" t="s">
        <v>903</v>
      </c>
    </row>
    <row r="2" spans="1:1" x14ac:dyDescent="0.3">
      <c r="A2" s="129" t="s">
        <v>943</v>
      </c>
    </row>
  </sheetData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E2107"/>
  <sheetViews>
    <sheetView topLeftCell="E2091" workbookViewId="0">
      <selection activeCell="I2108" sqref="I2108"/>
    </sheetView>
  </sheetViews>
  <sheetFormatPr defaultColWidth="0" defaultRowHeight="22.2" customHeight="1" x14ac:dyDescent="0.3"/>
  <cols>
    <col min="1" max="1" width="10" style="32" hidden="1" customWidth="1"/>
    <col min="2" max="2" width="15.5546875" style="38" hidden="1" customWidth="1"/>
    <col min="3" max="3" width="7.6640625" style="28" customWidth="1"/>
    <col min="4" max="4" width="15.6640625" style="29" hidden="1" customWidth="1"/>
    <col min="5" max="5" width="14.44140625" style="29" customWidth="1"/>
    <col min="6" max="6" width="9.5546875" style="29" customWidth="1"/>
    <col min="7" max="7" width="13.6640625" style="161" customWidth="1"/>
    <col min="8" max="8" width="39.109375" style="29" customWidth="1"/>
    <col min="9" max="9" width="13.6640625" style="161" customWidth="1"/>
    <col min="10" max="10" width="17.33203125" style="30" customWidth="1"/>
    <col min="11" max="11" width="17.6640625" style="30" customWidth="1"/>
    <col min="12" max="12" width="9.5546875" style="37" customWidth="1"/>
    <col min="13" max="13" width="13.6640625" style="31" bestFit="1" customWidth="1"/>
    <col min="14" max="14" width="9.6640625" style="31" customWidth="1"/>
    <col min="15" max="15" width="11.5546875" style="31" customWidth="1"/>
    <col min="16" max="16" width="10.33203125" style="84" customWidth="1"/>
    <col min="17" max="17" width="15.44140625" style="27" customWidth="1"/>
    <col min="18" max="18" width="14.33203125" style="24" customWidth="1"/>
    <col min="19" max="20" width="11.44140625" customWidth="1"/>
    <col min="21" max="23" width="11.44140625" hidden="1" customWidth="1"/>
    <col min="24" max="24" width="15" hidden="1" customWidth="1"/>
    <col min="25" max="25" width="14.33203125" style="69" hidden="1" customWidth="1"/>
    <col min="26" max="26" width="11.6640625" style="127" hidden="1" customWidth="1"/>
    <col min="27" max="27" width="14.33203125" style="100" hidden="1" customWidth="1"/>
    <col min="28" max="29" width="14.33203125" style="101" hidden="1" customWidth="1"/>
    <col min="30" max="30" width="14.33203125" style="102" hidden="1" customWidth="1"/>
    <col min="31" max="31" width="14.33203125" style="103" hidden="1" customWidth="1"/>
    <col min="32" max="16384" width="11.44140625" style="167" hidden="1"/>
  </cols>
  <sheetData>
    <row r="1" spans="1:31" s="166" customFormat="1" ht="62.25" customHeight="1" x14ac:dyDescent="0.3">
      <c r="A1" s="12" t="s">
        <v>8</v>
      </c>
      <c r="B1" s="12" t="s">
        <v>185</v>
      </c>
      <c r="C1" s="12" t="s">
        <v>4</v>
      </c>
      <c r="D1" s="13" t="s">
        <v>175</v>
      </c>
      <c r="E1" s="13" t="s">
        <v>5</v>
      </c>
      <c r="F1" s="13" t="s">
        <v>125</v>
      </c>
      <c r="G1" s="201" t="s">
        <v>6</v>
      </c>
      <c r="H1" s="265" t="s">
        <v>3</v>
      </c>
      <c r="I1" s="162" t="s">
        <v>1</v>
      </c>
      <c r="J1" s="36" t="s">
        <v>2</v>
      </c>
      <c r="K1" s="14" t="s">
        <v>107</v>
      </c>
      <c r="L1" s="15" t="s">
        <v>1139</v>
      </c>
      <c r="M1" s="16" t="s">
        <v>108</v>
      </c>
      <c r="N1" s="15" t="s">
        <v>110</v>
      </c>
      <c r="O1" s="15" t="s">
        <v>1138</v>
      </c>
      <c r="P1" s="17" t="s">
        <v>112</v>
      </c>
      <c r="Q1" s="15" t="s">
        <v>111</v>
      </c>
      <c r="R1" s="14" t="s">
        <v>109</v>
      </c>
      <c r="S1" s="18" t="s">
        <v>7</v>
      </c>
      <c r="T1" s="67" t="s">
        <v>779</v>
      </c>
      <c r="U1" s="92" t="s">
        <v>863</v>
      </c>
      <c r="V1" s="93" t="s">
        <v>870</v>
      </c>
      <c r="W1" s="93" t="s">
        <v>872</v>
      </c>
      <c r="X1" s="94" t="s">
        <v>871</v>
      </c>
      <c r="Y1" s="95" t="s">
        <v>873</v>
      </c>
      <c r="Z1" s="130" t="s">
        <v>943</v>
      </c>
      <c r="AA1" s="19"/>
      <c r="AB1" s="19"/>
      <c r="AC1" s="19"/>
      <c r="AD1" s="19"/>
      <c r="AE1" s="19"/>
    </row>
    <row r="2" spans="1:31" ht="22.2" customHeight="1" x14ac:dyDescent="0.3">
      <c r="A2" s="66" t="str">
        <f>+IF(PROVEEDORES[[#This Row],[FECHA DE PAGO]]=PROVEEDORES[[#This Row],[FECHA DE FACTURACIÓN]],"DE CONTADO","CRÉDITO")</f>
        <v>CRÉDITO</v>
      </c>
      <c r="B2" s="38" t="str">
        <f>+IF((PROVEEDORES[[#This Row],[FECHA DE PAGO]]-PROVEEDORES[[#This Row],[FECHA DE FACTURACIÓN]])&gt;PROVEEDORES[[#This Row],[PLAZO Días]],"PAGO VENCIDO")</f>
        <v>PAGO VENCIDO</v>
      </c>
      <c r="C2" s="20">
        <f>+VLOOKUP(PROVEEDORES[[#This Row],[PROVEEDOR]],TERCEROS_INFO[#All],2,FALSE)</f>
        <v>90</v>
      </c>
      <c r="D2" s="25">
        <f>+SUMIFS(PROVEEDORES[Total],PROVEEDORES[PROVEEDOR],PROVEEDORES[[#This Row],[PROVEEDOR]],PROVEEDORES[FECHA DE PAGO],"")</f>
        <v>0</v>
      </c>
      <c r="E2" s="25"/>
      <c r="F2" s="58" t="str">
        <f>+VLOOKUP(PROVEEDORES[[#This Row],[PROVEEDOR]],
                       Terceros!$A:$F,
                       5,
                       FALSE)</f>
        <v/>
      </c>
      <c r="G2" s="161">
        <v>44567</v>
      </c>
      <c r="H2" s="26" t="s">
        <v>657</v>
      </c>
      <c r="I2" s="161">
        <v>44196</v>
      </c>
      <c r="J2" s="35"/>
      <c r="K2" s="21">
        <v>-20009300</v>
      </c>
      <c r="L2" s="21"/>
      <c r="M2" s="22">
        <f>(PROVEEDORES[[#This Row],[SUBTOTAL]]-PROVEEDORES[[#This Row],[descuento sobre subtotal]])*VLOOKUP(PROVEEDORES[[#This Row],[PROVEEDOR]],TERCEROS_INFO[#All],3,FALSE)</f>
        <v>0</v>
      </c>
      <c r="N2" s="23"/>
      <c r="O2" s="22">
        <f>+PROVEEDORES[[#This Row],[Descuento sobre subtotal %]]*(PROVEEDORES[[#This Row],[SUBTOTAL]]-PROVEEDORES[[#This Row],[descuento sobre subtotal]])</f>
        <v>0</v>
      </c>
      <c r="P2" s="83">
        <f>+IF(PROVEEDORES[[#This Row],[SUBTOTAL]]&lt;PROVEEDORES[[#This Row],[base retencion]],0,PROVEEDORES[[#This Row],[retención aplicada]])</f>
        <v>0</v>
      </c>
      <c r="Q2" s="22">
        <f>+PROVEEDORES[[#This Row],[Rete Fuente %]]*(PROVEEDORES[[#This Row],[SUBTOTAL]]-PROVEEDORES[[#This Row],[descuento sobre subtotal]])</f>
        <v>0</v>
      </c>
      <c r="R2" s="21">
        <v>-20009300</v>
      </c>
      <c r="S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68">
        <f ca="1">IF(PROVEEDORES[[#This Row],[FECHA DE PAGO]]=0,TODAY()-PROVEEDORES[[#This Row],[FECHA DE FACTURACIÓN]]-PROVEEDORES[[#This Row],[PLAZO Días]],0)</f>
        <v>0</v>
      </c>
      <c r="U2" s="96">
        <f>+VLOOKUP(PROVEEDORES[[#This Row],[PROVEEDOR]],Terceros!$A:$D,4,FALSE)</f>
        <v>0</v>
      </c>
      <c r="V2" s="97">
        <f>+YEAR(PROVEEDORES[[#This Row],[FECHA DE FACTURACIÓN]])</f>
        <v>2020</v>
      </c>
      <c r="W2" s="97">
        <f>+MATCH(PROVEEDORES[[#This Row],[año facturado]],Retenciones!$1:$1,0)</f>
        <v>3</v>
      </c>
      <c r="X2" s="98">
        <f>+VLOOKUP(PROVEEDORES[[#This Row],[ID RETENCION]],Retenciones!$A$1:$O$25,PROVEEDORES[[#This Row],[indicador de columna]],FALSE)</f>
        <v>0</v>
      </c>
      <c r="Y2" s="99">
        <f>+VLOOKUP(PROVEEDORES[[#This Row],[ID RETENCION]],Retenciones!$A$1:$O$25,2,FALSE)</f>
        <v>0</v>
      </c>
      <c r="Z2" s="125" t="b">
        <f>OR(COUNTIF(PROVEEDORES[[#This Row],[PROVEEDOR]],"*"&amp;'Palabra no opera'!$A$2&amp;"*"))</f>
        <v>0</v>
      </c>
      <c r="AA2" s="24"/>
      <c r="AB2" s="24"/>
      <c r="AC2" s="24"/>
      <c r="AD2" s="24"/>
      <c r="AE2" s="24"/>
    </row>
    <row r="3" spans="1:31" ht="22.2" customHeight="1" x14ac:dyDescent="0.3">
      <c r="A3" s="66" t="str">
        <f>+IF(PROVEEDORES[[#This Row],[FECHA DE PAGO]]=PROVEEDORES[[#This Row],[FECHA DE FACTURACIÓN]],"DE CONTADO","CRÉDITO")</f>
        <v>CRÉDITO</v>
      </c>
      <c r="B3" s="38" t="b">
        <f>+IF((PROVEEDORES[[#This Row],[FECHA DE PAGO]]-PROVEEDORES[[#This Row],[FECHA DE FACTURACIÓN]])&gt;PROVEEDORES[[#This Row],[PLAZO Días]],"PAGO VENCIDO")</f>
        <v>0</v>
      </c>
      <c r="C3" s="20">
        <f>+VLOOKUP(PROVEEDORES[[#This Row],[PROVEEDOR]],TERCEROS_INFO[#All],2,FALSE)</f>
        <v>90</v>
      </c>
      <c r="D3" s="25">
        <f>+SUMIFS(PROVEEDORES[Total],PROVEEDORES[PROVEEDOR],PROVEEDORES[[#This Row],[PROVEEDOR]],PROVEEDORES[FECHA DE PAGO],"")</f>
        <v>0</v>
      </c>
      <c r="E3" s="25"/>
      <c r="F3" s="58" t="str">
        <f>+VLOOKUP(PROVEEDORES[[#This Row],[PROVEEDOR]],
                       Terceros!$A:$F,
                       5,
                       FALSE)</f>
        <v/>
      </c>
      <c r="G3" s="161">
        <v>44567</v>
      </c>
      <c r="H3" s="26" t="s">
        <v>657</v>
      </c>
      <c r="I3" s="161">
        <v>44561</v>
      </c>
      <c r="J3" s="35"/>
      <c r="K3" s="21">
        <v>-15184000</v>
      </c>
      <c r="L3" s="21"/>
      <c r="M3" s="22">
        <f>(PROVEEDORES[[#This Row],[SUBTOTAL]]-PROVEEDORES[[#This Row],[descuento sobre subtotal]])*VLOOKUP(PROVEEDORES[[#This Row],[PROVEEDOR]],TERCEROS_INFO[#All],3,FALSE)</f>
        <v>0</v>
      </c>
      <c r="N3" s="23"/>
      <c r="O3" s="22">
        <f>+PROVEEDORES[[#This Row],[Descuento sobre subtotal %]]*(PROVEEDORES[[#This Row],[SUBTOTAL]]-PROVEEDORES[[#This Row],[descuento sobre subtotal]])</f>
        <v>0</v>
      </c>
      <c r="P3" s="83">
        <f>+IF(PROVEEDORES[[#This Row],[SUBTOTAL]]&lt;PROVEEDORES[[#This Row],[base retencion]],0,PROVEEDORES[[#This Row],[retención aplicada]])</f>
        <v>0</v>
      </c>
      <c r="Q3" s="22">
        <f>+PROVEEDORES[[#This Row],[Rete Fuente %]]*(PROVEEDORES[[#This Row],[SUBTOTAL]]-PROVEEDORES[[#This Row],[descuento sobre subtotal]])</f>
        <v>0</v>
      </c>
      <c r="R3" s="21">
        <v>-15184000</v>
      </c>
      <c r="S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68">
        <f ca="1">IF(PROVEEDORES[[#This Row],[FECHA DE PAGO]]=0,TODAY()-PROVEEDORES[[#This Row],[FECHA DE FACTURACIÓN]]-PROVEEDORES[[#This Row],[PLAZO Días]],0)</f>
        <v>0</v>
      </c>
      <c r="U3" s="96">
        <f>+VLOOKUP(PROVEEDORES[[#This Row],[PROVEEDOR]],Terceros!$A:$D,4,FALSE)</f>
        <v>0</v>
      </c>
      <c r="V3" s="97">
        <f>+YEAR(PROVEEDORES[[#This Row],[FECHA DE FACTURACIÓN]])</f>
        <v>2021</v>
      </c>
      <c r="W3" s="97">
        <f>+MATCH(PROVEEDORES[[#This Row],[año facturado]],Retenciones!$1:$1,0)</f>
        <v>4</v>
      </c>
      <c r="X3" s="98">
        <f>+VLOOKUP(PROVEEDORES[[#This Row],[ID RETENCION]],Retenciones!$A$1:$O$25,PROVEEDORES[[#This Row],[indicador de columna]],FALSE)</f>
        <v>0</v>
      </c>
      <c r="Y3" s="99">
        <f>+VLOOKUP(PROVEEDORES[[#This Row],[ID RETENCION]],Retenciones!$A$1:$O$25,2,FALSE)</f>
        <v>0</v>
      </c>
      <c r="Z3" s="125" t="b">
        <f>OR(COUNTIF(PROVEEDORES[[#This Row],[PROVEEDOR]],"*"&amp;'Palabra no opera'!$A$2&amp;"*"))</f>
        <v>0</v>
      </c>
      <c r="AA3" s="24"/>
      <c r="AB3" s="24"/>
      <c r="AC3" s="24"/>
      <c r="AD3" s="24"/>
      <c r="AE3" s="24"/>
    </row>
    <row r="4" spans="1:31" ht="22.2" customHeight="1" x14ac:dyDescent="0.3">
      <c r="A4" s="66" t="str">
        <f>+IF(PROVEEDORES[[#This Row],[FECHA DE PAGO]]=PROVEEDORES[[#This Row],[FECHA DE FACTURACIÓN]],"DE CONTADO","CRÉDITO")</f>
        <v>DE CONTADO</v>
      </c>
      <c r="B4" s="38" t="b">
        <f>+IF((PROVEEDORES[[#This Row],[FECHA DE PAGO]]-PROVEEDORES[[#This Row],[FECHA DE FACTURACIÓN]])&gt;PROVEEDORES[[#This Row],[PLAZO Días]],"PAGO VENCIDO")</f>
        <v>0</v>
      </c>
      <c r="C4" s="20">
        <f>+VLOOKUP(PROVEEDORES[[#This Row],[PROVEEDOR]],TERCEROS_INFO[#All],2,FALSE)</f>
        <v>90</v>
      </c>
      <c r="D4" s="25">
        <f>+SUMIFS(PROVEEDORES[Total],PROVEEDORES[PROVEEDOR],PROVEEDORES[[#This Row],[PROVEEDOR]],PROVEEDORES[FECHA DE PAGO],"")</f>
        <v>75241004.385000005</v>
      </c>
      <c r="E4" s="25"/>
      <c r="F4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4" s="161">
        <v>44533</v>
      </c>
      <c r="H4" s="26" t="s">
        <v>77</v>
      </c>
      <c r="I4" s="161">
        <v>44533</v>
      </c>
      <c r="J4" s="35" t="s">
        <v>1520</v>
      </c>
      <c r="K4" s="21">
        <v>-11772165</v>
      </c>
      <c r="L4" s="21"/>
      <c r="M4" s="22">
        <f>(PROVEEDORES[[#This Row],[SUBTOTAL]]-PROVEEDORES[[#This Row],[descuento sobre subtotal]])*VLOOKUP(PROVEEDORES[[#This Row],[PROVEEDOR]],TERCEROS_INFO[#All],3,FALSE)</f>
        <v>-2236711.35</v>
      </c>
      <c r="N4" s="23"/>
      <c r="O4" s="22">
        <f>+PROVEEDORES[[#This Row],[Descuento sobre subtotal %]]*(PROVEEDORES[[#This Row],[SUBTOTAL]]-PROVEEDORES[[#This Row],[descuento sobre subtotal]])</f>
        <v>0</v>
      </c>
      <c r="P4" s="83">
        <f>+IF(PROVEEDORES[[#This Row],[SUBTOTAL]]&lt;PROVEEDORES[[#This Row],[base retencion]],0,PROVEEDORES[[#This Row],[retención aplicada]])</f>
        <v>0</v>
      </c>
      <c r="Q4" s="22">
        <f>+PROVEEDORES[[#This Row],[Rete Fuente %]]*(PROVEEDORES[[#This Row],[SUBTOTAL]]-PROVEEDORES[[#This Row],[descuento sobre subtotal]])</f>
        <v>0</v>
      </c>
      <c r="R4" s="21">
        <f>+PROVEEDORES[[#This Row],[SUBTOTAL]]+PROVEEDORES[[#This Row],[IVA 19%]]-PROVEEDORES[[#This Row],[descuento sobre subtotal]]-PROVEEDORES[[#This Row],[Descuento sobre subtotal $2]]-PROVEEDORES[[#This Row],[Rete Fuente $]]</f>
        <v>-14008876.35</v>
      </c>
      <c r="S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68">
        <f ca="1">IF(PROVEEDORES[[#This Row],[FECHA DE PAGO]]=0,TODAY()-PROVEEDORES[[#This Row],[FECHA DE FACTURACIÓN]]-PROVEEDORES[[#This Row],[PLAZO Días]],0)</f>
        <v>0</v>
      </c>
      <c r="U4" s="96" t="str">
        <f>+VLOOKUP(PROVEEDORES[[#This Row],[PROVEEDOR]],Terceros!$A:$D,4,FALSE)</f>
        <v>2,5% con base</v>
      </c>
      <c r="V4" s="97">
        <f>+YEAR(PROVEEDORES[[#This Row],[FECHA DE FACTURACIÓN]])</f>
        <v>2021</v>
      </c>
      <c r="W4" s="97">
        <f>+MATCH(PROVEEDORES[[#This Row],[año facturado]],Retenciones!$1:$1,0)</f>
        <v>4</v>
      </c>
      <c r="X4" s="98">
        <f>+VLOOKUP(PROVEEDORES[[#This Row],[ID RETENCION]],Retenciones!$A$1:$O$25,PROVEEDORES[[#This Row],[indicador de columna]],FALSE)</f>
        <v>980000</v>
      </c>
      <c r="Y4" s="99">
        <f>+VLOOKUP(PROVEEDORES[[#This Row],[ID RETENCION]],Retenciones!$A$1:$O$25,2,FALSE)</f>
        <v>2.5000000000000001E-2</v>
      </c>
      <c r="Z4" s="125" t="b">
        <f>OR(COUNTIF(PROVEEDORES[[#This Row],[PROVEEDOR]],"*"&amp;'Palabra no opera'!$A$2&amp;"*"))</f>
        <v>0</v>
      </c>
      <c r="AA4" s="24"/>
      <c r="AB4" s="24"/>
      <c r="AC4" s="24"/>
      <c r="AD4" s="24"/>
      <c r="AE4" s="24"/>
    </row>
    <row r="5" spans="1:31" ht="22.2" customHeight="1" x14ac:dyDescent="0.3">
      <c r="A5" s="66" t="str">
        <f>+IF(PROVEEDORES[[#This Row],[FECHA DE PAGO]]=PROVEEDORES[[#This Row],[FECHA DE FACTURACIÓN]],"DE CONTADO","CRÉDITO")</f>
        <v>CRÉDITO</v>
      </c>
      <c r="B5" s="38" t="b">
        <f>+IF((PROVEEDORES[[#This Row],[FECHA DE PAGO]]-PROVEEDORES[[#This Row],[FECHA DE FACTURACIÓN]])&gt;PROVEEDORES[[#This Row],[PLAZO Días]],"PAGO VENCIDO")</f>
        <v>0</v>
      </c>
      <c r="C5" s="20">
        <f>+VLOOKUP(PROVEEDORES[[#This Row],[PROVEEDOR]],TERCEROS_INFO[#All],2,FALSE)</f>
        <v>90</v>
      </c>
      <c r="D5" s="25">
        <f>+SUMIFS(PROVEEDORES[Total],PROVEEDORES[PROVEEDOR],PROVEEDORES[[#This Row],[PROVEEDOR]],PROVEEDORES[FECHA DE PAGO],"")</f>
        <v>26350422.770000003</v>
      </c>
      <c r="E5" s="25"/>
      <c r="F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" s="161">
        <v>44351</v>
      </c>
      <c r="H5" s="26" t="s">
        <v>12</v>
      </c>
      <c r="I5" s="161">
        <v>44338</v>
      </c>
      <c r="J5" s="35" t="s">
        <v>1457</v>
      </c>
      <c r="K5" s="21">
        <v>-8403361.3445378151</v>
      </c>
      <c r="L5" s="21"/>
      <c r="M5" s="22">
        <f>(PROVEEDORES[[#This Row],[SUBTOTAL]]-PROVEEDORES[[#This Row],[descuento sobre subtotal]])*VLOOKUP(PROVEEDORES[[#This Row],[PROVEEDOR]],TERCEROS_INFO[#All],3,FALSE)</f>
        <v>-1596638.6554621849</v>
      </c>
      <c r="N5" s="23"/>
      <c r="O5" s="22">
        <f>+PROVEEDORES[[#This Row],[Descuento sobre subtotal %]]*(PROVEEDORES[[#This Row],[SUBTOTAL]]-PROVEEDORES[[#This Row],[descuento sobre subtotal]])</f>
        <v>0</v>
      </c>
      <c r="P5" s="83">
        <f>+IF(PROVEEDORES[[#This Row],[SUBTOTAL]]&lt;PROVEEDORES[[#This Row],[base retencion]],0,PROVEEDORES[[#This Row],[retención aplicada]])</f>
        <v>0</v>
      </c>
      <c r="Q5" s="22">
        <f>+PROVEEDORES[[#This Row],[Rete Fuente %]]*(PROVEEDORES[[#This Row],[SUBTOTAL]]-PROVEEDORES[[#This Row],[descuento sobre subtotal]])</f>
        <v>0</v>
      </c>
      <c r="R5" s="21">
        <f>+PROVEEDORES[[#This Row],[SUBTOTAL]]+PROVEEDORES[[#This Row],[IVA 19%]]-PROVEEDORES[[#This Row],[descuento sobre subtotal]]-PROVEEDORES[[#This Row],[Descuento sobre subtotal $2]]-PROVEEDORES[[#This Row],[Rete Fuente $]]</f>
        <v>-10000000</v>
      </c>
      <c r="S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68">
        <f ca="1">IF(PROVEEDORES[[#This Row],[FECHA DE PAGO]]=0,TODAY()-PROVEEDORES[[#This Row],[FECHA DE FACTURACIÓN]]-PROVEEDORES[[#This Row],[PLAZO Días]],0)</f>
        <v>0</v>
      </c>
      <c r="U5" s="96" t="str">
        <f>+VLOOKUP(PROVEEDORES[[#This Row],[PROVEEDOR]],Terceros!$A:$D,4,FALSE)</f>
        <v>2,5% con base</v>
      </c>
      <c r="V5" s="97">
        <f>+YEAR(PROVEEDORES[[#This Row],[FECHA DE FACTURACIÓN]])</f>
        <v>2021</v>
      </c>
      <c r="W5" s="97">
        <f>+MATCH(PROVEEDORES[[#This Row],[año facturado]],Retenciones!$1:$1,0)</f>
        <v>4</v>
      </c>
      <c r="X5" s="98">
        <f>+VLOOKUP(PROVEEDORES[[#This Row],[ID RETENCION]],Retenciones!$A$1:$O$25,PROVEEDORES[[#This Row],[indicador de columna]],FALSE)</f>
        <v>980000</v>
      </c>
      <c r="Y5" s="99">
        <f>+VLOOKUP(PROVEEDORES[[#This Row],[ID RETENCION]],Retenciones!$A$1:$O$25,2,FALSE)</f>
        <v>2.5000000000000001E-2</v>
      </c>
      <c r="Z5" s="125" t="b">
        <f>OR(COUNTIF(PROVEEDORES[[#This Row],[PROVEEDOR]],"*"&amp;'Palabra no opera'!$A$2&amp;"*"))</f>
        <v>0</v>
      </c>
      <c r="AA5" s="24"/>
      <c r="AB5" s="24"/>
      <c r="AC5" s="24"/>
      <c r="AD5" s="24"/>
      <c r="AE5" s="24"/>
    </row>
    <row r="6" spans="1:31" ht="22.2" customHeight="1" x14ac:dyDescent="0.3">
      <c r="A6" s="66" t="str">
        <f>+IF(PROVEEDORES[[#This Row],[FECHA DE PAGO]]=PROVEEDORES[[#This Row],[FECHA DE FACTURACIÓN]],"DE CONTADO","CRÉDITO")</f>
        <v>CRÉDITO</v>
      </c>
      <c r="B6" s="38" t="str">
        <f>+IF((PROVEEDORES[[#This Row],[FECHA DE PAGO]]-PROVEEDORES[[#This Row],[FECHA DE FACTURACIÓN]])&gt;PROVEEDORES[[#This Row],[PLAZO Días]],"PAGO VENCIDO")</f>
        <v>PAGO VENCIDO</v>
      </c>
      <c r="C6" s="20">
        <f>+VLOOKUP(PROVEEDORES[[#This Row],[PROVEEDOR]],TERCEROS_INFO[#All],2,FALSE)</f>
        <v>45</v>
      </c>
      <c r="D6" s="25">
        <f>+SUMIFS(PROVEEDORES[Total],PROVEEDORES[PROVEEDOR],PROVEEDORES[[#This Row],[PROVEEDOR]],PROVEEDORES[FECHA DE PAGO],"")</f>
        <v>2604910</v>
      </c>
      <c r="E6" s="25"/>
      <c r="F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" s="161">
        <v>44552</v>
      </c>
      <c r="H6" s="26" t="s">
        <v>10</v>
      </c>
      <c r="I6" s="161">
        <v>44503</v>
      </c>
      <c r="J6" s="35" t="s">
        <v>525</v>
      </c>
      <c r="K6" s="21">
        <v>-7200000</v>
      </c>
      <c r="L6" s="21"/>
      <c r="M6" s="22">
        <f>(PROVEEDORES[[#This Row],[SUBTOTAL]]-PROVEEDORES[[#This Row],[descuento sobre subtotal]])*VLOOKUP(PROVEEDORES[[#This Row],[PROVEEDOR]],TERCEROS_INFO[#All],3,FALSE)</f>
        <v>-1368000</v>
      </c>
      <c r="N6" s="23"/>
      <c r="O6" s="22">
        <f>+PROVEEDORES[[#This Row],[Descuento sobre subtotal %]]*(PROVEEDORES[[#This Row],[SUBTOTAL]]-PROVEEDORES[[#This Row],[descuento sobre subtotal]])</f>
        <v>0</v>
      </c>
      <c r="P6" s="83">
        <f>+IF(PROVEEDORES[[#This Row],[SUBTOTAL]]&lt;PROVEEDORES[[#This Row],[base retencion]],0,PROVEEDORES[[#This Row],[retención aplicada]])</f>
        <v>0</v>
      </c>
      <c r="Q6" s="22">
        <f>+PROVEEDORES[[#This Row],[Rete Fuente %]]*(PROVEEDORES[[#This Row],[SUBTOTAL]]-PROVEEDORES[[#This Row],[descuento sobre subtotal]])</f>
        <v>0</v>
      </c>
      <c r="R6" s="21">
        <f>+PROVEEDORES[[#This Row],[SUBTOTAL]]+PROVEEDORES[[#This Row],[IVA 19%]]-PROVEEDORES[[#This Row],[descuento sobre subtotal]]-PROVEEDORES[[#This Row],[Descuento sobre subtotal $2]]-PROVEEDORES[[#This Row],[Rete Fuente $]]</f>
        <v>-8568000</v>
      </c>
      <c r="S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68">
        <f ca="1">IF(PROVEEDORES[[#This Row],[FECHA DE PAGO]]=0,TODAY()-PROVEEDORES[[#This Row],[FECHA DE FACTURACIÓN]]-PROVEEDORES[[#This Row],[PLAZO Días]],0)</f>
        <v>0</v>
      </c>
      <c r="U6" s="96">
        <f>+VLOOKUP(PROVEEDORES[[#This Row],[PROVEEDOR]],Terceros!$A:$D,4,FALSE)</f>
        <v>0</v>
      </c>
      <c r="V6" s="97">
        <f>+YEAR(PROVEEDORES[[#This Row],[FECHA DE FACTURACIÓN]])</f>
        <v>2021</v>
      </c>
      <c r="W6" s="97">
        <f>+MATCH(PROVEEDORES[[#This Row],[año facturado]],Retenciones!$1:$1,0)</f>
        <v>4</v>
      </c>
      <c r="X6" s="98">
        <f>+VLOOKUP(PROVEEDORES[[#This Row],[ID RETENCION]],Retenciones!$A$1:$O$25,PROVEEDORES[[#This Row],[indicador de columna]],FALSE)</f>
        <v>0</v>
      </c>
      <c r="Y6" s="99">
        <f>+VLOOKUP(PROVEEDORES[[#This Row],[ID RETENCION]],Retenciones!$A$1:$O$25,2,FALSE)</f>
        <v>0</v>
      </c>
      <c r="Z6" s="125" t="b">
        <f>OR(COUNTIF(PROVEEDORES[[#This Row],[PROVEEDOR]],"*"&amp;'Palabra no opera'!$A$2&amp;"*"))</f>
        <v>0</v>
      </c>
      <c r="AA6" s="24"/>
      <c r="AB6" s="24"/>
      <c r="AC6" s="24"/>
      <c r="AD6" s="24"/>
      <c r="AE6" s="24"/>
    </row>
    <row r="7" spans="1:31" ht="22.2" customHeight="1" x14ac:dyDescent="0.3">
      <c r="A7" s="66" t="str">
        <f>+IF(PROVEEDORES[[#This Row],[FECHA DE PAGO]]=PROVEEDORES[[#This Row],[FECHA DE FACTURACIÓN]],"DE CONTADO","CRÉDITO")</f>
        <v>DE CONTADO</v>
      </c>
      <c r="B7" s="38" t="b">
        <f>+IF((PROVEEDORES[[#This Row],[FECHA DE PAGO]]-PROVEEDORES[[#This Row],[FECHA DE FACTURACIÓN]])&gt;PROVEEDORES[[#This Row],[PLAZO Días]],"PAGO VENCIDO")</f>
        <v>0</v>
      </c>
      <c r="C7" s="20">
        <f>+VLOOKUP(PROVEEDORES[[#This Row],[PROVEEDOR]],TERCEROS_INFO[#All],2,FALSE)</f>
        <v>90</v>
      </c>
      <c r="D7" s="25">
        <f>+SUMIFS(PROVEEDORES[Total],PROVEEDORES[PROVEEDOR],PROVEEDORES[[#This Row],[PROVEEDOR]],PROVEEDORES[FECHA DE PAGO],"")</f>
        <v>0</v>
      </c>
      <c r="E7" s="25"/>
      <c r="F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7" s="161">
        <v>44533</v>
      </c>
      <c r="H7" s="26" t="s">
        <v>9</v>
      </c>
      <c r="I7" s="161">
        <v>44533</v>
      </c>
      <c r="J7" s="35" t="s">
        <v>1338</v>
      </c>
      <c r="K7" s="21">
        <v>-6253444</v>
      </c>
      <c r="L7" s="21"/>
      <c r="M7" s="22">
        <f>(PROVEEDORES[[#This Row],[SUBTOTAL]]-PROVEEDORES[[#This Row],[descuento sobre subtotal]])*VLOOKUP(PROVEEDORES[[#This Row],[PROVEEDOR]],TERCEROS_INFO[#All],3,FALSE)</f>
        <v>-1188154.3600000001</v>
      </c>
      <c r="N7" s="23"/>
      <c r="O7" s="22">
        <f>+PROVEEDORES[[#This Row],[Descuento sobre subtotal %]]*(PROVEEDORES[[#This Row],[SUBTOTAL]]-PROVEEDORES[[#This Row],[descuento sobre subtotal]])</f>
        <v>0</v>
      </c>
      <c r="P7" s="83">
        <f>+IF(PROVEEDORES[[#This Row],[SUBTOTAL]]&lt;PROVEEDORES[[#This Row],[base retencion]],0,PROVEEDORES[[#This Row],[retención aplicada]])</f>
        <v>0</v>
      </c>
      <c r="Q7" s="22">
        <f>+PROVEEDORES[[#This Row],[Rete Fuente %]]*(PROVEEDORES[[#This Row],[SUBTOTAL]]-PROVEEDORES[[#This Row],[descuento sobre subtotal]])</f>
        <v>0</v>
      </c>
      <c r="R7" s="21">
        <f>+PROVEEDORES[[#This Row],[SUBTOTAL]]+PROVEEDORES[[#This Row],[IVA 19%]]-PROVEEDORES[[#This Row],[descuento sobre subtotal]]-PROVEEDORES[[#This Row],[Descuento sobre subtotal $2]]-PROVEEDORES[[#This Row],[Rete Fuente $]]</f>
        <v>-7441598.3600000003</v>
      </c>
      <c r="S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68">
        <f ca="1">IF(PROVEEDORES[[#This Row],[FECHA DE PAGO]]=0,TODAY()-PROVEEDORES[[#This Row],[FECHA DE FACTURACIÓN]]-PROVEEDORES[[#This Row],[PLAZO Días]],0)</f>
        <v>0</v>
      </c>
      <c r="U7" s="96" t="str">
        <f>+VLOOKUP(PROVEEDORES[[#This Row],[PROVEEDOR]],Terceros!$A:$D,4,FALSE)</f>
        <v>2,5% con base</v>
      </c>
      <c r="V7" s="97">
        <f>+YEAR(PROVEEDORES[[#This Row],[FECHA DE FACTURACIÓN]])</f>
        <v>2021</v>
      </c>
      <c r="W7" s="97">
        <f>+MATCH(PROVEEDORES[[#This Row],[año facturado]],Retenciones!$1:$1,0)</f>
        <v>4</v>
      </c>
      <c r="X7" s="98">
        <f>+VLOOKUP(PROVEEDORES[[#This Row],[ID RETENCION]],Retenciones!$A$1:$O$25,PROVEEDORES[[#This Row],[indicador de columna]],FALSE)</f>
        <v>980000</v>
      </c>
      <c r="Y7" s="99">
        <f>+VLOOKUP(PROVEEDORES[[#This Row],[ID RETENCION]],Retenciones!$A$1:$O$25,2,FALSE)</f>
        <v>2.5000000000000001E-2</v>
      </c>
      <c r="Z7" s="125" t="b">
        <f>OR(COUNTIF(PROVEEDORES[[#This Row],[PROVEEDOR]],"*"&amp;'Palabra no opera'!$A$2&amp;"*"))</f>
        <v>0</v>
      </c>
      <c r="AA7" s="24"/>
      <c r="AB7" s="24"/>
      <c r="AC7" s="24"/>
      <c r="AD7" s="24"/>
      <c r="AE7" s="24"/>
    </row>
    <row r="8" spans="1:31" ht="22.2" customHeight="1" x14ac:dyDescent="0.3">
      <c r="A8" s="66" t="str">
        <f>+IF(PROVEEDORES[[#This Row],[FECHA DE PAGO]]=PROVEEDORES[[#This Row],[FECHA DE FACTURACIÓN]],"DE CONTADO","CRÉDITO")</f>
        <v>CRÉDITO</v>
      </c>
      <c r="B8" s="38" t="b">
        <f>+IF((PROVEEDORES[[#This Row],[FECHA DE PAGO]]-PROVEEDORES[[#This Row],[FECHA DE FACTURACIÓN]])&gt;PROVEEDORES[[#This Row],[PLAZO Días]],"PAGO VENCIDO")</f>
        <v>0</v>
      </c>
      <c r="C8" s="20">
        <f>+VLOOKUP(PROVEEDORES[[#This Row],[PROVEEDOR]],TERCEROS_INFO[#All],2,FALSE)</f>
        <v>90</v>
      </c>
      <c r="D8" s="25">
        <f>+SUMIFS(PROVEEDORES[Total],PROVEEDORES[PROVEEDOR],PROVEEDORES[[#This Row],[PROVEEDOR]],PROVEEDORES[FECHA DE PAGO],"")</f>
        <v>0</v>
      </c>
      <c r="E8" s="25"/>
      <c r="F8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8" s="161">
        <v>44533</v>
      </c>
      <c r="H8" s="26" t="s">
        <v>9</v>
      </c>
      <c r="I8" s="161">
        <v>44523</v>
      </c>
      <c r="J8" s="35" t="s">
        <v>1338</v>
      </c>
      <c r="K8" s="21">
        <v>-6000000</v>
      </c>
      <c r="L8" s="21"/>
      <c r="M8" s="22">
        <f>(PROVEEDORES[[#This Row],[SUBTOTAL]]-PROVEEDORES[[#This Row],[descuento sobre subtotal]])*VLOOKUP(PROVEEDORES[[#This Row],[PROVEEDOR]],TERCEROS_INFO[#All],3,FALSE)</f>
        <v>-1140000</v>
      </c>
      <c r="N8" s="23"/>
      <c r="O8" s="22">
        <f>+PROVEEDORES[[#This Row],[Descuento sobre subtotal %]]*(PROVEEDORES[[#This Row],[SUBTOTAL]]-PROVEEDORES[[#This Row],[descuento sobre subtotal]])</f>
        <v>0</v>
      </c>
      <c r="P8" s="83">
        <f>+IF(PROVEEDORES[[#This Row],[SUBTOTAL]]&lt;PROVEEDORES[[#This Row],[base retencion]],0,PROVEEDORES[[#This Row],[retención aplicada]])</f>
        <v>0</v>
      </c>
      <c r="Q8" s="22">
        <f>+PROVEEDORES[[#This Row],[Rete Fuente %]]*(PROVEEDORES[[#This Row],[SUBTOTAL]]-PROVEEDORES[[#This Row],[descuento sobre subtotal]])</f>
        <v>0</v>
      </c>
      <c r="R8" s="21">
        <f>+PROVEEDORES[[#This Row],[SUBTOTAL]]+PROVEEDORES[[#This Row],[IVA 19%]]-PROVEEDORES[[#This Row],[descuento sobre subtotal]]-PROVEEDORES[[#This Row],[Descuento sobre subtotal $2]]-PROVEEDORES[[#This Row],[Rete Fuente $]]</f>
        <v>-7140000</v>
      </c>
      <c r="S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68">
        <f ca="1">IF(PROVEEDORES[[#This Row],[FECHA DE PAGO]]=0,TODAY()-PROVEEDORES[[#This Row],[FECHA DE FACTURACIÓN]]-PROVEEDORES[[#This Row],[PLAZO Días]],0)</f>
        <v>0</v>
      </c>
      <c r="U8" s="96" t="str">
        <f>+VLOOKUP(PROVEEDORES[[#This Row],[PROVEEDOR]],Terceros!$A:$D,4,FALSE)</f>
        <v>2,5% con base</v>
      </c>
      <c r="V8" s="97">
        <f>+YEAR(PROVEEDORES[[#This Row],[FECHA DE FACTURACIÓN]])</f>
        <v>2021</v>
      </c>
      <c r="W8" s="97">
        <f>+MATCH(PROVEEDORES[[#This Row],[año facturado]],Retenciones!$1:$1,0)</f>
        <v>4</v>
      </c>
      <c r="X8" s="98">
        <f>+VLOOKUP(PROVEEDORES[[#This Row],[ID RETENCION]],Retenciones!$A$1:$O$25,PROVEEDORES[[#This Row],[indicador de columna]],FALSE)</f>
        <v>980000</v>
      </c>
      <c r="Y8" s="99">
        <f>+VLOOKUP(PROVEEDORES[[#This Row],[ID RETENCION]],Retenciones!$A$1:$O$25,2,FALSE)</f>
        <v>2.5000000000000001E-2</v>
      </c>
      <c r="Z8" s="125" t="b">
        <f>OR(COUNTIF(PROVEEDORES[[#This Row],[PROVEEDOR]],"*"&amp;'Palabra no opera'!$A$2&amp;"*"))</f>
        <v>0</v>
      </c>
      <c r="AA8" s="24"/>
      <c r="AB8" s="24"/>
      <c r="AC8" s="24"/>
      <c r="AD8" s="24"/>
      <c r="AE8" s="24"/>
    </row>
    <row r="9" spans="1:31" ht="22.2" customHeight="1" x14ac:dyDescent="0.3">
      <c r="A9" s="66" t="str">
        <f>+IF(PROVEEDORES[[#This Row],[FECHA DE PAGO]]=PROVEEDORES[[#This Row],[FECHA DE FACTURACIÓN]],"DE CONTADO","CRÉDITO")</f>
        <v>DE CONTADO</v>
      </c>
      <c r="B9" s="38" t="b">
        <f>+IF((PROVEEDORES[[#This Row],[FECHA DE PAGO]]-PROVEEDORES[[#This Row],[FECHA DE FACTURACIÓN]])&gt;PROVEEDORES[[#This Row],[PLAZO Días]],"PAGO VENCIDO")</f>
        <v>0</v>
      </c>
      <c r="C9" s="20">
        <f>+VLOOKUP(PROVEEDORES[[#This Row],[PROVEEDOR]],TERCEROS_INFO[#All],2,FALSE)</f>
        <v>30</v>
      </c>
      <c r="D9" s="25">
        <f>+SUMIFS(PROVEEDORES[Total],PROVEEDORES[PROVEEDOR],PROVEEDORES[[#This Row],[PROVEEDOR]],PROVEEDORES[FECHA DE PAGO],"")</f>
        <v>0</v>
      </c>
      <c r="E9" s="25"/>
      <c r="F9" s="58" t="str">
        <f>+VLOOKUP(PROVEEDORES[[#This Row],[PROVEEDOR]],
                       Terceros!$A:$F,
                       5,
                       FALSE)</f>
        <v/>
      </c>
      <c r="G9" s="161">
        <v>44567</v>
      </c>
      <c r="H9" s="26" t="s">
        <v>673</v>
      </c>
      <c r="I9" s="161">
        <v>44567</v>
      </c>
      <c r="J9" s="35"/>
      <c r="K9" s="21">
        <v>1000000</v>
      </c>
      <c r="L9" s="21"/>
      <c r="M9" s="22">
        <v>0</v>
      </c>
      <c r="N9" s="23"/>
      <c r="O9" s="22">
        <v>349718</v>
      </c>
      <c r="P9" s="83">
        <f>+IF(PROVEEDORES[[#This Row],[SUBTOTAL]]&lt;PROVEEDORES[[#This Row],[base retencion]],0,PROVEEDORES[[#This Row],[retención aplicada]])</f>
        <v>0</v>
      </c>
      <c r="Q9" s="22">
        <f>+PROVEEDORES[[#This Row],[Rete Fuente %]]*(PROVEEDORES[[#This Row],[SUBTOTAL]]-PROVEEDORES[[#This Row],[descuento sobre subtotal]])</f>
        <v>0</v>
      </c>
      <c r="R9" s="21">
        <v>-6701435</v>
      </c>
      <c r="S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68">
        <f ca="1">IF(PROVEEDORES[[#This Row],[FECHA DE PAGO]]=0,TODAY()-PROVEEDORES[[#This Row],[FECHA DE FACTURACIÓN]]-PROVEEDORES[[#This Row],[PLAZO Días]],0)</f>
        <v>0</v>
      </c>
      <c r="U9" s="96">
        <f>+VLOOKUP(PROVEEDORES[[#This Row],[PROVEEDOR]],Terceros!$A:$D,4,FALSE)</f>
        <v>0</v>
      </c>
      <c r="V9" s="97">
        <f>+YEAR(PROVEEDORES[[#This Row],[FECHA DE FACTURACIÓN]])</f>
        <v>2022</v>
      </c>
      <c r="W9" s="97">
        <f>+MATCH(PROVEEDORES[[#This Row],[año facturado]],Retenciones!$1:$1,0)</f>
        <v>5</v>
      </c>
      <c r="X9" s="98">
        <f>+VLOOKUP(PROVEEDORES[[#This Row],[ID RETENCION]],Retenciones!$A$1:$O$25,PROVEEDORES[[#This Row],[indicador de columna]],FALSE)</f>
        <v>0</v>
      </c>
      <c r="Y9" s="99">
        <f>+VLOOKUP(PROVEEDORES[[#This Row],[ID RETENCION]],Retenciones!$A$1:$O$25,2,FALSE)</f>
        <v>0</v>
      </c>
      <c r="Z9" s="125" t="b">
        <f>OR(COUNTIF(PROVEEDORES[[#This Row],[PROVEEDOR]],"*"&amp;'Palabra no opera'!$A$2&amp;"*"))</f>
        <v>0</v>
      </c>
      <c r="AA9" s="24"/>
      <c r="AB9" s="24"/>
      <c r="AC9" s="24"/>
      <c r="AD9" s="24"/>
      <c r="AE9" s="24"/>
    </row>
    <row r="10" spans="1:31" ht="22.2" customHeight="1" x14ac:dyDescent="0.3">
      <c r="A10" s="66" t="str">
        <f>+IF(PROVEEDORES[[#This Row],[FECHA DE PAGO]]=PROVEEDORES[[#This Row],[FECHA DE FACTURACIÓN]],"DE CONTADO","CRÉDITO")</f>
        <v>CRÉDITO</v>
      </c>
      <c r="B10" s="38" t="b">
        <f>+IF((PROVEEDORES[[#This Row],[FECHA DE PAGO]]-PROVEEDORES[[#This Row],[FECHA DE FACTURACIÓN]])&gt;PROVEEDORES[[#This Row],[PLAZO Días]],"PAGO VENCIDO")</f>
        <v>0</v>
      </c>
      <c r="C10" s="20">
        <f>+VLOOKUP(PROVEEDORES[[#This Row],[PROVEEDOR]],TERCEROS_INFO[#All],2,FALSE)</f>
        <v>90</v>
      </c>
      <c r="D10" s="25">
        <f>+SUMIFS(PROVEEDORES[Total],PROVEEDORES[PROVEEDOR],PROVEEDORES[[#This Row],[PROVEEDOR]],PROVEEDORES[FECHA DE PAGO],"")</f>
        <v>0</v>
      </c>
      <c r="E10" s="25"/>
      <c r="F1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0" s="161">
        <v>44533</v>
      </c>
      <c r="H10" s="26" t="s">
        <v>9</v>
      </c>
      <c r="I10" s="161">
        <v>44498</v>
      </c>
      <c r="J10" s="35" t="s">
        <v>1338</v>
      </c>
      <c r="K10" s="21">
        <v>-5000000</v>
      </c>
      <c r="L10" s="21"/>
      <c r="M10" s="22">
        <f>(PROVEEDORES[[#This Row],[SUBTOTAL]]-PROVEEDORES[[#This Row],[descuento sobre subtotal]])*VLOOKUP(PROVEEDORES[[#This Row],[PROVEEDOR]],TERCEROS_INFO[#All],3,FALSE)</f>
        <v>-950000</v>
      </c>
      <c r="N10" s="23"/>
      <c r="O10" s="22">
        <f>+PROVEEDORES[[#This Row],[Descuento sobre subtotal %]]*(PROVEEDORES[[#This Row],[SUBTOTAL]]-PROVEEDORES[[#This Row],[descuento sobre subtotal]])</f>
        <v>0</v>
      </c>
      <c r="P10" s="83">
        <f>+IF(PROVEEDORES[[#This Row],[SUBTOTAL]]&lt;PROVEEDORES[[#This Row],[base retencion]],0,PROVEEDORES[[#This Row],[retención aplicada]])</f>
        <v>0</v>
      </c>
      <c r="Q10" s="22">
        <f>+PROVEEDORES[[#This Row],[Rete Fuente %]]*(PROVEEDORES[[#This Row],[SUBTOTAL]]-PROVEEDORES[[#This Row],[descuento sobre subtotal]])</f>
        <v>0</v>
      </c>
      <c r="R10" s="21">
        <f>+PROVEEDORES[[#This Row],[SUBTOTAL]]+PROVEEDORES[[#This Row],[IVA 19%]]-PROVEEDORES[[#This Row],[descuento sobre subtotal]]-PROVEEDORES[[#This Row],[Descuento sobre subtotal $2]]-PROVEEDORES[[#This Row],[Rete Fuente $]]</f>
        <v>-5950000</v>
      </c>
      <c r="S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68">
        <f ca="1">IF(PROVEEDORES[[#This Row],[FECHA DE PAGO]]=0,TODAY()-PROVEEDORES[[#This Row],[FECHA DE FACTURACIÓN]]-PROVEEDORES[[#This Row],[PLAZO Días]],0)</f>
        <v>0</v>
      </c>
      <c r="U10" s="96" t="str">
        <f>+VLOOKUP(PROVEEDORES[[#This Row],[PROVEEDOR]],Terceros!$A:$D,4,FALSE)</f>
        <v>2,5% con base</v>
      </c>
      <c r="V10" s="97">
        <f>+YEAR(PROVEEDORES[[#This Row],[FECHA DE FACTURACIÓN]])</f>
        <v>2021</v>
      </c>
      <c r="W10" s="97">
        <f>+MATCH(PROVEEDORES[[#This Row],[año facturado]],Retenciones!$1:$1,0)</f>
        <v>4</v>
      </c>
      <c r="X10" s="98">
        <f>+VLOOKUP(PROVEEDORES[[#This Row],[ID RETENCION]],Retenciones!$A$1:$O$25,PROVEEDORES[[#This Row],[indicador de columna]],FALSE)</f>
        <v>980000</v>
      </c>
      <c r="Y10" s="99">
        <f>+VLOOKUP(PROVEEDORES[[#This Row],[ID RETENCION]],Retenciones!$A$1:$O$25,2,FALSE)</f>
        <v>2.5000000000000001E-2</v>
      </c>
      <c r="Z10" s="125" t="b">
        <f>OR(COUNTIF(PROVEEDORES[[#This Row],[PROVEEDOR]],"*"&amp;'Palabra no opera'!$A$2&amp;"*"))</f>
        <v>0</v>
      </c>
      <c r="AA10" s="24"/>
      <c r="AB10" s="24"/>
      <c r="AC10" s="24"/>
      <c r="AD10" s="24"/>
      <c r="AE10" s="24"/>
    </row>
    <row r="11" spans="1:31" ht="22.2" customHeight="1" x14ac:dyDescent="0.3">
      <c r="A11" s="135" t="str">
        <f>+IF(PROVEEDORES[[#This Row],[FECHA DE PAGO]]=PROVEEDORES[[#This Row],[FECHA DE FACTURACIÓN]],"DE CONTADO","CRÉDITO")</f>
        <v>CRÉDITO</v>
      </c>
      <c r="B11" s="38" t="b">
        <f>+IF((PROVEEDORES[[#This Row],[FECHA DE PAGO]]-PROVEEDORES[[#This Row],[FECHA DE FACTURACIÓN]])&gt;PROVEEDORES[[#This Row],[PLAZO Días]],"PAGO VENCIDO")</f>
        <v>0</v>
      </c>
      <c r="C11" s="20">
        <f>+VLOOKUP(PROVEEDORES[[#This Row],[PROVEEDOR]],TERCEROS_INFO[#All],2,FALSE)</f>
        <v>60</v>
      </c>
      <c r="D11" s="25">
        <f>+SUMIFS(PROVEEDORES[Total],PROVEEDORES[PROVEEDOR],PROVEEDORES[[#This Row],[PROVEEDOR]],PROVEEDORES[FECHA DE PAGO],"")</f>
        <v>23264500</v>
      </c>
      <c r="E11" s="25"/>
      <c r="F11" s="58">
        <f>+VLOOKUP(PROVEEDORES[[#This Row],[PROVEEDOR]],
                       Terceros!$A:$F,
                       5,
                       FALSE)</f>
        <v>0</v>
      </c>
      <c r="G11" s="161">
        <v>44689</v>
      </c>
      <c r="H11" s="26" t="s">
        <v>1429</v>
      </c>
      <c r="I11" s="161">
        <v>44688</v>
      </c>
      <c r="J11" s="35" t="s">
        <v>961</v>
      </c>
      <c r="K11" s="21">
        <v>-4374000</v>
      </c>
      <c r="L11" s="21"/>
      <c r="M11" s="22">
        <f>(PROVEEDORES[[#This Row],[SUBTOTAL]]-PROVEEDORES[[#This Row],[descuento sobre subtotal]])*VLOOKUP(PROVEEDORES[[#This Row],[PROVEEDOR]],TERCEROS_INFO[#All],3,FALSE)</f>
        <v>-831060</v>
      </c>
      <c r="N11" s="23"/>
      <c r="O11" s="22">
        <f>+PROVEEDORES[[#This Row],[Descuento sobre subtotal %]]*(PROVEEDORES[[#This Row],[SUBTOTAL]]-PROVEEDORES[[#This Row],[descuento sobre subtotal]])</f>
        <v>0</v>
      </c>
      <c r="P11" s="83">
        <f>+IF(PROVEEDORES[[#This Row],[SUBTOTAL]]&lt;PROVEEDORES[[#This Row],[base retencion]],0,PROVEEDORES[[#This Row],[retención aplicada]])</f>
        <v>0</v>
      </c>
      <c r="Q11" s="22">
        <f>+PROVEEDORES[[#This Row],[Rete Fuente %]]*(PROVEEDORES[[#This Row],[SUBTOTAL]]-PROVEEDORES[[#This Row],[descuento sobre subtotal]])</f>
        <v>0</v>
      </c>
      <c r="R11" s="21">
        <f>+PROVEEDORES[[#This Row],[SUBTOTAL]]+PROVEEDORES[[#This Row],[IVA 19%]]-PROVEEDORES[[#This Row],[descuento sobre subtotal]]-PROVEEDORES[[#This Row],[Descuento sobre subtotal $2]]-PROVEEDORES[[#This Row],[Rete Fuente $]]</f>
        <v>-5205060</v>
      </c>
      <c r="S11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68">
        <f ca="1">IF(PROVEEDORES[[#This Row],[FECHA DE PAGO]]=0,TODAY()-PROVEEDORES[[#This Row],[FECHA DE FACTURACIÓN]]-PROVEEDORES[[#This Row],[PLAZO Días]],0)</f>
        <v>0</v>
      </c>
      <c r="U11" s="113">
        <f>+VLOOKUP(PROVEEDORES[[#This Row],[PROVEEDOR]],Terceros!$A:$D,4,FALSE)</f>
        <v>0</v>
      </c>
      <c r="V11" s="114">
        <f>+YEAR(PROVEEDORES[[#This Row],[FECHA DE FACTURACIÓN]])</f>
        <v>2022</v>
      </c>
      <c r="W11" s="114">
        <f>+MATCH(PROVEEDORES[[#This Row],[año facturado]],Retenciones!$1:$1,0)</f>
        <v>5</v>
      </c>
      <c r="X11" s="115">
        <f>+VLOOKUP(PROVEEDORES[[#This Row],[ID RETENCION]],Retenciones!$A$1:$O$25,PROVEEDORES[[#This Row],[indicador de columna]],FALSE)</f>
        <v>0</v>
      </c>
      <c r="Y11" s="116">
        <f>+VLOOKUP(PROVEEDORES[[#This Row],[ID RETENCION]],Retenciones!$A$1:$O$25,2,FALSE)</f>
        <v>0</v>
      </c>
      <c r="Z11" s="125" t="b">
        <f>OR(COUNTIF(PROVEEDORES[[#This Row],[PROVEEDOR]],"*"&amp;'Palabra no opera'!$A$2&amp;"*"))</f>
        <v>1</v>
      </c>
      <c r="AA11" s="24"/>
      <c r="AB11" s="24"/>
      <c r="AC11" s="24"/>
      <c r="AD11" s="24"/>
      <c r="AE11" s="24"/>
    </row>
    <row r="12" spans="1:31" ht="22.2" customHeight="1" x14ac:dyDescent="0.3">
      <c r="A12" s="66" t="str">
        <f>+IF(PROVEEDORES[[#This Row],[FECHA DE PAGO]]=PROVEEDORES[[#This Row],[FECHA DE FACTURACIÓN]],"DE CONTADO","CRÉDITO")</f>
        <v>CRÉDITO</v>
      </c>
      <c r="B12" s="38" t="str">
        <f>+IF((PROVEEDORES[[#This Row],[FECHA DE PAGO]]-PROVEEDORES[[#This Row],[FECHA DE FACTURACIÓN]])&gt;PROVEEDORES[[#This Row],[PLAZO Días]],"PAGO VENCIDO")</f>
        <v>PAGO VENCIDO</v>
      </c>
      <c r="C12" s="20">
        <f>+VLOOKUP(PROVEEDORES[[#This Row],[PROVEEDOR]],TERCEROS_INFO[#All],2,FALSE)</f>
        <v>90</v>
      </c>
      <c r="D12" s="25">
        <f>+SUMIFS(PROVEEDORES[Total],PROVEEDORES[PROVEEDOR],PROVEEDORES[[#This Row],[PROVEEDOR]],PROVEEDORES[FECHA DE PAGO],"")</f>
        <v>0</v>
      </c>
      <c r="E12" s="25"/>
      <c r="F12" s="58" t="str">
        <f>+VLOOKUP(PROVEEDORES[[#This Row],[PROVEEDOR]],
                       Terceros!$A:$F,
                       5,
                       FALSE)</f>
        <v/>
      </c>
      <c r="G12" s="161">
        <v>44567</v>
      </c>
      <c r="H12" s="26" t="s">
        <v>657</v>
      </c>
      <c r="I12" s="161">
        <v>44203</v>
      </c>
      <c r="J12" s="35"/>
      <c r="K12" s="21">
        <v>-5180200</v>
      </c>
      <c r="L12" s="21"/>
      <c r="M12" s="22">
        <f>(PROVEEDORES[[#This Row],[SUBTOTAL]]-PROVEEDORES[[#This Row],[descuento sobre subtotal]])*VLOOKUP(PROVEEDORES[[#This Row],[PROVEEDOR]],TERCEROS_INFO[#All],3,FALSE)</f>
        <v>0</v>
      </c>
      <c r="N12" s="23"/>
      <c r="O12" s="22">
        <f>+PROVEEDORES[[#This Row],[Descuento sobre subtotal %]]*(PROVEEDORES[[#This Row],[SUBTOTAL]]-PROVEEDORES[[#This Row],[descuento sobre subtotal]])</f>
        <v>0</v>
      </c>
      <c r="P12" s="83">
        <f>+IF(PROVEEDORES[[#This Row],[SUBTOTAL]]&lt;PROVEEDORES[[#This Row],[base retencion]],0,PROVEEDORES[[#This Row],[retención aplicada]])</f>
        <v>0</v>
      </c>
      <c r="Q12" s="22">
        <f>+PROVEEDORES[[#This Row],[Rete Fuente %]]*(PROVEEDORES[[#This Row],[SUBTOTAL]]-PROVEEDORES[[#This Row],[descuento sobre subtotal]])</f>
        <v>0</v>
      </c>
      <c r="R12" s="21">
        <v>-5180200</v>
      </c>
      <c r="S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68">
        <f ca="1">IF(PROVEEDORES[[#This Row],[FECHA DE PAGO]]=0,TODAY()-PROVEEDORES[[#This Row],[FECHA DE FACTURACIÓN]]-PROVEEDORES[[#This Row],[PLAZO Días]],0)</f>
        <v>0</v>
      </c>
      <c r="U12" s="96">
        <f>+VLOOKUP(PROVEEDORES[[#This Row],[PROVEEDOR]],Terceros!$A:$D,4,FALSE)</f>
        <v>0</v>
      </c>
      <c r="V12" s="97">
        <f>+YEAR(PROVEEDORES[[#This Row],[FECHA DE FACTURACIÓN]])</f>
        <v>2021</v>
      </c>
      <c r="W12" s="97">
        <f>+MATCH(PROVEEDORES[[#This Row],[año facturado]],Retenciones!$1:$1,0)</f>
        <v>4</v>
      </c>
      <c r="X12" s="98">
        <f>+VLOOKUP(PROVEEDORES[[#This Row],[ID RETENCION]],Retenciones!$A$1:$O$25,PROVEEDORES[[#This Row],[indicador de columna]],FALSE)</f>
        <v>0</v>
      </c>
      <c r="Y12" s="99">
        <f>+VLOOKUP(PROVEEDORES[[#This Row],[ID RETENCION]],Retenciones!$A$1:$O$25,2,FALSE)</f>
        <v>0</v>
      </c>
      <c r="Z12" s="125" t="b">
        <f>OR(COUNTIF(PROVEEDORES[[#This Row],[PROVEEDOR]],"*"&amp;'Palabra no opera'!$A$2&amp;"*"))</f>
        <v>0</v>
      </c>
      <c r="AA12" s="24"/>
      <c r="AB12" s="24"/>
      <c r="AC12" s="24"/>
      <c r="AD12" s="24"/>
      <c r="AE12" s="24"/>
    </row>
    <row r="13" spans="1:31" ht="22.2" customHeight="1" x14ac:dyDescent="0.3">
      <c r="A13" s="66" t="str">
        <f>+IF(PROVEEDORES[[#This Row],[FECHA DE PAGO]]=PROVEEDORES[[#This Row],[FECHA DE FACTURACIÓN]],"DE CONTADO","CRÉDITO")</f>
        <v>CRÉDITO</v>
      </c>
      <c r="B13" s="38" t="b">
        <f>+IF((PROVEEDORES[[#This Row],[FECHA DE PAGO]]-PROVEEDORES[[#This Row],[FECHA DE FACTURACIÓN]])&gt;PROVEEDORES[[#This Row],[PLAZO Días]],"PAGO VENCIDO")</f>
        <v>0</v>
      </c>
      <c r="C13" s="20">
        <f>+VLOOKUP(PROVEEDORES[[#This Row],[PROVEEDOR]],TERCEROS_INFO[#All],2,FALSE)</f>
        <v>90</v>
      </c>
      <c r="D13" s="25">
        <f>+SUMIFS(PROVEEDORES[Total],PROVEEDORES[PROVEEDOR],PROVEEDORES[[#This Row],[PROVEEDOR]],PROVEEDORES[FECHA DE PAGO],"")</f>
        <v>0</v>
      </c>
      <c r="E13" s="25"/>
      <c r="F1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3" s="161">
        <v>44643</v>
      </c>
      <c r="H13" s="26" t="s">
        <v>9</v>
      </c>
      <c r="I13" s="161">
        <v>44609</v>
      </c>
      <c r="J13" s="35" t="s">
        <v>762</v>
      </c>
      <c r="K13" s="21">
        <v>0</v>
      </c>
      <c r="L13" s="21"/>
      <c r="M13" s="22">
        <f>(PROVEEDORES[[#This Row],[SUBTOTAL]]-PROVEEDORES[[#This Row],[descuento sobre subtotal]])*VLOOKUP(PROVEEDORES[[#This Row],[PROVEEDOR]],TERCEROS_INFO[#All],3,FALSE)</f>
        <v>0</v>
      </c>
      <c r="N13" s="23"/>
      <c r="O13" s="22">
        <f>+PROVEEDORES[[#This Row],[Descuento sobre subtotal %]]*(PROVEEDORES[[#This Row],[SUBTOTAL]]-PROVEEDORES[[#This Row],[descuento sobre subtotal]])</f>
        <v>0</v>
      </c>
      <c r="P13" s="83">
        <f>+IF(PROVEEDORES[[#This Row],[SUBTOTAL]]&lt;PROVEEDORES[[#This Row],[base retencion]],0,PROVEEDORES[[#This Row],[retención aplicada]])</f>
        <v>0</v>
      </c>
      <c r="Q13" s="22">
        <f>+PROVEEDORES[[#This Row],[Rete Fuente %]]*(PROVEEDORES[[#This Row],[SUBTOTAL]]-PROVEEDORES[[#This Row],[descuento sobre subtotal]])</f>
        <v>0</v>
      </c>
      <c r="R13" s="21">
        <v>-5000000</v>
      </c>
      <c r="S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68">
        <f ca="1">IF(PROVEEDORES[[#This Row],[FECHA DE PAGO]]=0,TODAY()-PROVEEDORES[[#This Row],[FECHA DE FACTURACIÓN]]-PROVEEDORES[[#This Row],[PLAZO Días]],0)</f>
        <v>0</v>
      </c>
      <c r="U13" s="96" t="str">
        <f>+VLOOKUP(PROVEEDORES[[#This Row],[PROVEEDOR]],Terceros!$A:$D,4,FALSE)</f>
        <v>2,5% con base</v>
      </c>
      <c r="V13" s="97">
        <f>+YEAR(PROVEEDORES[[#This Row],[FECHA DE FACTURACIÓN]])</f>
        <v>2022</v>
      </c>
      <c r="W13" s="97">
        <f>+MATCH(PROVEEDORES[[#This Row],[año facturado]],Retenciones!$1:$1,0)</f>
        <v>5</v>
      </c>
      <c r="X13" s="98">
        <f>+VLOOKUP(PROVEEDORES[[#This Row],[ID RETENCION]],Retenciones!$A$1:$O$25,PROVEEDORES[[#This Row],[indicador de columna]],FALSE)</f>
        <v>1026000</v>
      </c>
      <c r="Y13" s="99">
        <f>+VLOOKUP(PROVEEDORES[[#This Row],[ID RETENCION]],Retenciones!$A$1:$O$25,2,FALSE)</f>
        <v>2.5000000000000001E-2</v>
      </c>
      <c r="Z13" s="125" t="b">
        <f>OR(COUNTIF(PROVEEDORES[[#This Row],[PROVEEDOR]],"*"&amp;'Palabra no opera'!$A$2&amp;"*"))</f>
        <v>0</v>
      </c>
      <c r="AA13" s="24"/>
      <c r="AB13" s="24"/>
      <c r="AC13" s="24"/>
      <c r="AD13" s="24"/>
      <c r="AE13" s="24"/>
    </row>
    <row r="14" spans="1:31" ht="22.2" customHeight="1" x14ac:dyDescent="0.3">
      <c r="A14" s="66" t="str">
        <f>+IF(PROVEEDORES[[#This Row],[FECHA DE PAGO]]=PROVEEDORES[[#This Row],[FECHA DE FACTURACIÓN]],"DE CONTADO","CRÉDITO")</f>
        <v>CRÉDITO</v>
      </c>
      <c r="B14" s="38" t="str">
        <f>+IF((PROVEEDORES[[#This Row],[FECHA DE PAGO]]-PROVEEDORES[[#This Row],[FECHA DE FACTURACIÓN]])&gt;PROVEEDORES[[#This Row],[PLAZO Días]],"PAGO VENCIDO")</f>
        <v>PAGO VENCIDO</v>
      </c>
      <c r="C14" s="20">
        <f>+VLOOKUP(PROVEEDORES[[#This Row],[PROVEEDOR]],TERCEROS_INFO[#All],2,FALSE)</f>
        <v>30</v>
      </c>
      <c r="D14" s="25">
        <f>+SUMIFS(PROVEEDORES[Total],PROVEEDORES[PROVEEDOR],PROVEEDORES[[#This Row],[PROVEEDOR]],PROVEEDORES[FECHA DE PAGO],"")</f>
        <v>5430852.9800000004</v>
      </c>
      <c r="E14" s="25"/>
      <c r="F14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4" s="161">
        <v>44600</v>
      </c>
      <c r="H14" s="26" t="s">
        <v>408</v>
      </c>
      <c r="I14" s="161">
        <v>44533</v>
      </c>
      <c r="J14" s="35" t="s">
        <v>757</v>
      </c>
      <c r="K14" s="21">
        <v>-4503132.55</v>
      </c>
      <c r="L14" s="21"/>
      <c r="M14" s="22">
        <f>(PROVEEDORES[[#This Row],[SUBTOTAL]]-PROVEEDORES[[#This Row],[descuento sobre subtotal]])*VLOOKUP(PROVEEDORES[[#This Row],[PROVEEDOR]],TERCEROS_INFO[#All],3,FALSE)</f>
        <v>-855595.18449999997</v>
      </c>
      <c r="N14" s="23"/>
      <c r="O14" s="22">
        <f>+PROVEEDORES[[#This Row],[Descuento sobre subtotal %]]*(PROVEEDORES[[#This Row],[SUBTOTAL]]-PROVEEDORES[[#This Row],[descuento sobre subtotal]])</f>
        <v>0</v>
      </c>
      <c r="P14" s="83">
        <f>+IF(PROVEEDORES[[#This Row],[SUBTOTAL]]&lt;PROVEEDORES[[#This Row],[base retencion]],0,PROVEEDORES[[#This Row],[retención aplicada]])</f>
        <v>0</v>
      </c>
      <c r="Q14" s="22">
        <f>+PROVEEDORES[[#This Row],[Rete Fuente %]]*(PROVEEDORES[[#This Row],[SUBTOTAL]]-PROVEEDORES[[#This Row],[descuento sobre subtotal]])</f>
        <v>0</v>
      </c>
      <c r="R14" s="21">
        <v>-4503132.55</v>
      </c>
      <c r="S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68">
        <f ca="1">IF(PROVEEDORES[[#This Row],[FECHA DE PAGO]]=0,TODAY()-PROVEEDORES[[#This Row],[FECHA DE FACTURACIÓN]]-PROVEEDORES[[#This Row],[PLAZO Días]],0)</f>
        <v>0</v>
      </c>
      <c r="U14" s="96">
        <f>+VLOOKUP(PROVEEDORES[[#This Row],[PROVEEDOR]],Terceros!$A:$D,4,FALSE)</f>
        <v>0</v>
      </c>
      <c r="V14" s="97">
        <f>+YEAR(PROVEEDORES[[#This Row],[FECHA DE FACTURACIÓN]])</f>
        <v>2021</v>
      </c>
      <c r="W14" s="97">
        <f>+MATCH(PROVEEDORES[[#This Row],[año facturado]],Retenciones!$1:$1,0)</f>
        <v>4</v>
      </c>
      <c r="X14" s="98">
        <f>+VLOOKUP(PROVEEDORES[[#This Row],[ID RETENCION]],Retenciones!$A$1:$O$25,PROVEEDORES[[#This Row],[indicador de columna]],FALSE)</f>
        <v>0</v>
      </c>
      <c r="Y14" s="99">
        <f>+VLOOKUP(PROVEEDORES[[#This Row],[ID RETENCION]],Retenciones!$A$1:$O$25,2,FALSE)</f>
        <v>0</v>
      </c>
      <c r="Z14" s="125" t="b">
        <f>OR(COUNTIF(PROVEEDORES[[#This Row],[PROVEEDOR]],"*"&amp;'Palabra no opera'!$A$2&amp;"*"))</f>
        <v>0</v>
      </c>
      <c r="AA14" s="24"/>
      <c r="AB14" s="24"/>
      <c r="AC14" s="24"/>
      <c r="AD14" s="24"/>
      <c r="AE14" s="24"/>
    </row>
    <row r="15" spans="1:31" ht="22.2" customHeight="1" x14ac:dyDescent="0.3">
      <c r="A15" s="66" t="str">
        <f>+IF(PROVEEDORES[[#This Row],[FECHA DE PAGO]]=PROVEEDORES[[#This Row],[FECHA DE FACTURACIÓN]],"DE CONTADO","CRÉDITO")</f>
        <v>CRÉDITO</v>
      </c>
      <c r="B15" s="38" t="b">
        <f>+IF((PROVEEDORES[[#This Row],[FECHA DE PAGO]]-PROVEEDORES[[#This Row],[FECHA DE FACTURACIÓN]])&gt;PROVEEDORES[[#This Row],[PLAZO Días]],"PAGO VENCIDO")</f>
        <v>0</v>
      </c>
      <c r="C15" s="20">
        <f>+VLOOKUP(PROVEEDORES[[#This Row],[PROVEEDOR]],TERCEROS_INFO[#All],2,FALSE)</f>
        <v>90</v>
      </c>
      <c r="D15" s="25">
        <f>+SUMIFS(PROVEEDORES[Total],PROVEEDORES[PROVEEDOR],PROVEEDORES[[#This Row],[PROVEEDOR]],PROVEEDORES[FECHA DE PAGO],"")</f>
        <v>75241004.385000005</v>
      </c>
      <c r="E15" s="25"/>
      <c r="F1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5" s="161">
        <v>44533</v>
      </c>
      <c r="H15" s="26" t="s">
        <v>77</v>
      </c>
      <c r="I15" s="161">
        <v>44510</v>
      </c>
      <c r="J15" s="35" t="s">
        <v>1520</v>
      </c>
      <c r="K15" s="21">
        <v>-3000000</v>
      </c>
      <c r="L15" s="21"/>
      <c r="M15" s="22">
        <f>(PROVEEDORES[[#This Row],[SUBTOTAL]]-PROVEEDORES[[#This Row],[descuento sobre subtotal]])*VLOOKUP(PROVEEDORES[[#This Row],[PROVEEDOR]],TERCEROS_INFO[#All],3,FALSE)</f>
        <v>-570000</v>
      </c>
      <c r="N15" s="23"/>
      <c r="O15" s="22">
        <f>+PROVEEDORES[[#This Row],[Descuento sobre subtotal %]]*(PROVEEDORES[[#This Row],[SUBTOTAL]]-PROVEEDORES[[#This Row],[descuento sobre subtotal]])</f>
        <v>0</v>
      </c>
      <c r="P15" s="83">
        <f>+IF(PROVEEDORES[[#This Row],[SUBTOTAL]]&lt;PROVEEDORES[[#This Row],[base retencion]],0,PROVEEDORES[[#This Row],[retención aplicada]])</f>
        <v>0</v>
      </c>
      <c r="Q15" s="22">
        <f>+PROVEEDORES[[#This Row],[Rete Fuente %]]*(PROVEEDORES[[#This Row],[SUBTOTAL]]-PROVEEDORES[[#This Row],[descuento sobre subtotal]])</f>
        <v>0</v>
      </c>
      <c r="R15" s="21">
        <f>+PROVEEDORES[[#This Row],[SUBTOTAL]]+PROVEEDORES[[#This Row],[IVA 19%]]-PROVEEDORES[[#This Row],[descuento sobre subtotal]]-PROVEEDORES[[#This Row],[Descuento sobre subtotal $2]]-PROVEEDORES[[#This Row],[Rete Fuente $]]</f>
        <v>-3570000</v>
      </c>
      <c r="S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68">
        <f ca="1">IF(PROVEEDORES[[#This Row],[FECHA DE PAGO]]=0,TODAY()-PROVEEDORES[[#This Row],[FECHA DE FACTURACIÓN]]-PROVEEDORES[[#This Row],[PLAZO Días]],0)</f>
        <v>0</v>
      </c>
      <c r="U15" s="96" t="str">
        <f>+VLOOKUP(PROVEEDORES[[#This Row],[PROVEEDOR]],Terceros!$A:$D,4,FALSE)</f>
        <v>2,5% con base</v>
      </c>
      <c r="V15" s="97">
        <f>+YEAR(PROVEEDORES[[#This Row],[FECHA DE FACTURACIÓN]])</f>
        <v>2021</v>
      </c>
      <c r="W15" s="97">
        <f>+MATCH(PROVEEDORES[[#This Row],[año facturado]],Retenciones!$1:$1,0)</f>
        <v>4</v>
      </c>
      <c r="X15" s="98">
        <f>+VLOOKUP(PROVEEDORES[[#This Row],[ID RETENCION]],Retenciones!$A$1:$O$25,PROVEEDORES[[#This Row],[indicador de columna]],FALSE)</f>
        <v>980000</v>
      </c>
      <c r="Y15" s="99">
        <f>+VLOOKUP(PROVEEDORES[[#This Row],[ID RETENCION]],Retenciones!$A$1:$O$25,2,FALSE)</f>
        <v>2.5000000000000001E-2</v>
      </c>
      <c r="Z15" s="125" t="b">
        <f>OR(COUNTIF(PROVEEDORES[[#This Row],[PROVEEDOR]],"*"&amp;'Palabra no opera'!$A$2&amp;"*"))</f>
        <v>0</v>
      </c>
      <c r="AA15" s="24"/>
      <c r="AB15" s="24"/>
      <c r="AC15" s="24"/>
      <c r="AD15" s="24"/>
      <c r="AE15" s="24"/>
    </row>
    <row r="16" spans="1:31" ht="22.2" customHeight="1" x14ac:dyDescent="0.3">
      <c r="A16" s="66" t="str">
        <f>+IF(PROVEEDORES[[#This Row],[FECHA DE PAGO]]=PROVEEDORES[[#This Row],[FECHA DE FACTURACIÓN]],"DE CONTADO","CRÉDITO")</f>
        <v>CRÉDITO</v>
      </c>
      <c r="B16" s="38" t="b">
        <f>+IF((PROVEEDORES[[#This Row],[FECHA DE PAGO]]-PROVEEDORES[[#This Row],[FECHA DE FACTURACIÓN]])&gt;PROVEEDORES[[#This Row],[PLAZO Días]],"PAGO VENCIDO")</f>
        <v>0</v>
      </c>
      <c r="C16" s="20">
        <f>+VLOOKUP(PROVEEDORES[[#This Row],[PROVEEDOR]],TERCEROS_INFO[#All],2,FALSE)</f>
        <v>90</v>
      </c>
      <c r="D16" s="25">
        <f>+SUMIFS(PROVEEDORES[Total],PROVEEDORES[PROVEEDOR],PROVEEDORES[[#This Row],[PROVEEDOR]],PROVEEDORES[FECHA DE PAGO],"")</f>
        <v>75241004.385000005</v>
      </c>
      <c r="E16" s="25"/>
      <c r="F1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6" s="161">
        <v>44533</v>
      </c>
      <c r="H16" s="26" t="s">
        <v>77</v>
      </c>
      <c r="I16" s="161">
        <v>44512</v>
      </c>
      <c r="J16" s="35" t="s">
        <v>1520</v>
      </c>
      <c r="K16" s="21">
        <v>-2000000</v>
      </c>
      <c r="L16" s="21"/>
      <c r="M16" s="22">
        <f>(PROVEEDORES[[#This Row],[SUBTOTAL]]-PROVEEDORES[[#This Row],[descuento sobre subtotal]])*VLOOKUP(PROVEEDORES[[#This Row],[PROVEEDOR]],TERCEROS_INFO[#All],3,FALSE)</f>
        <v>-380000</v>
      </c>
      <c r="N16" s="23"/>
      <c r="O16" s="22">
        <f>+PROVEEDORES[[#This Row],[Descuento sobre subtotal %]]*(PROVEEDORES[[#This Row],[SUBTOTAL]]-PROVEEDORES[[#This Row],[descuento sobre subtotal]])</f>
        <v>0</v>
      </c>
      <c r="P16" s="83">
        <f>+IF(PROVEEDORES[[#This Row],[SUBTOTAL]]&lt;PROVEEDORES[[#This Row],[base retencion]],0,PROVEEDORES[[#This Row],[retención aplicada]])</f>
        <v>0</v>
      </c>
      <c r="Q16" s="22">
        <f>+PROVEEDORES[[#This Row],[Rete Fuente %]]*(PROVEEDORES[[#This Row],[SUBTOTAL]]-PROVEEDORES[[#This Row],[descuento sobre subtotal]])</f>
        <v>0</v>
      </c>
      <c r="R16" s="21">
        <f>+PROVEEDORES[[#This Row],[SUBTOTAL]]+PROVEEDORES[[#This Row],[IVA 19%]]-PROVEEDORES[[#This Row],[descuento sobre subtotal]]-PROVEEDORES[[#This Row],[Descuento sobre subtotal $2]]-PROVEEDORES[[#This Row],[Rete Fuente $]]</f>
        <v>-2380000</v>
      </c>
      <c r="S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68">
        <f ca="1">IF(PROVEEDORES[[#This Row],[FECHA DE PAGO]]=0,TODAY()-PROVEEDORES[[#This Row],[FECHA DE FACTURACIÓN]]-PROVEEDORES[[#This Row],[PLAZO Días]],0)</f>
        <v>0</v>
      </c>
      <c r="U16" s="96" t="str">
        <f>+VLOOKUP(PROVEEDORES[[#This Row],[PROVEEDOR]],Terceros!$A:$D,4,FALSE)</f>
        <v>2,5% con base</v>
      </c>
      <c r="V16" s="97">
        <f>+YEAR(PROVEEDORES[[#This Row],[FECHA DE FACTURACIÓN]])</f>
        <v>2021</v>
      </c>
      <c r="W16" s="97">
        <f>+MATCH(PROVEEDORES[[#This Row],[año facturado]],Retenciones!$1:$1,0)</f>
        <v>4</v>
      </c>
      <c r="X16" s="98">
        <f>+VLOOKUP(PROVEEDORES[[#This Row],[ID RETENCION]],Retenciones!$A$1:$O$25,PROVEEDORES[[#This Row],[indicador de columna]],FALSE)</f>
        <v>980000</v>
      </c>
      <c r="Y16" s="99">
        <f>+VLOOKUP(PROVEEDORES[[#This Row],[ID RETENCION]],Retenciones!$A$1:$O$25,2,FALSE)</f>
        <v>2.5000000000000001E-2</v>
      </c>
      <c r="Z16" s="125" t="b">
        <f>OR(COUNTIF(PROVEEDORES[[#This Row],[PROVEEDOR]],"*"&amp;'Palabra no opera'!$A$2&amp;"*"))</f>
        <v>0</v>
      </c>
      <c r="AA16" s="24"/>
      <c r="AB16" s="24"/>
      <c r="AC16" s="24"/>
      <c r="AD16" s="24"/>
      <c r="AE16" s="24"/>
    </row>
    <row r="17" spans="1:31" ht="22.2" customHeight="1" x14ac:dyDescent="0.3">
      <c r="A17" s="66" t="str">
        <f>+IF(PROVEEDORES[[#This Row],[FECHA DE PAGO]]=PROVEEDORES[[#This Row],[FECHA DE FACTURACIÓN]],"DE CONTADO","CRÉDITO")</f>
        <v>CRÉDITO</v>
      </c>
      <c r="B17" s="38" t="b">
        <f>+IF((PROVEEDORES[[#This Row],[FECHA DE PAGO]]-PROVEEDORES[[#This Row],[FECHA DE FACTURACIÓN]])&gt;PROVEEDORES[[#This Row],[PLAZO Días]],"PAGO VENCIDO")</f>
        <v>0</v>
      </c>
      <c r="C17" s="20">
        <f>+VLOOKUP(PROVEEDORES[[#This Row],[PROVEEDOR]],TERCEROS_INFO[#All],2,FALSE)</f>
        <v>90</v>
      </c>
      <c r="D17" s="25">
        <f>+SUMIFS(PROVEEDORES[Total],PROVEEDORES[PROVEEDOR],PROVEEDORES[[#This Row],[PROVEEDOR]],PROVEEDORES[FECHA DE PAGO],"")</f>
        <v>75241004.385000005</v>
      </c>
      <c r="E17" s="25"/>
      <c r="F1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7" s="161">
        <v>44533</v>
      </c>
      <c r="H17" s="26" t="s">
        <v>77</v>
      </c>
      <c r="I17" s="161">
        <v>44523</v>
      </c>
      <c r="J17" s="35" t="s">
        <v>1520</v>
      </c>
      <c r="K17" s="21">
        <v>-2000000</v>
      </c>
      <c r="L17" s="21"/>
      <c r="M17" s="22">
        <f>(PROVEEDORES[[#This Row],[SUBTOTAL]]-PROVEEDORES[[#This Row],[descuento sobre subtotal]])*VLOOKUP(PROVEEDORES[[#This Row],[PROVEEDOR]],TERCEROS_INFO[#All],3,FALSE)</f>
        <v>-380000</v>
      </c>
      <c r="N17" s="23"/>
      <c r="O17" s="22">
        <f>+PROVEEDORES[[#This Row],[Descuento sobre subtotal %]]*(PROVEEDORES[[#This Row],[SUBTOTAL]]-PROVEEDORES[[#This Row],[descuento sobre subtotal]])</f>
        <v>0</v>
      </c>
      <c r="P17" s="83">
        <f>+IF(PROVEEDORES[[#This Row],[SUBTOTAL]]&lt;PROVEEDORES[[#This Row],[base retencion]],0,PROVEEDORES[[#This Row],[retención aplicada]])</f>
        <v>0</v>
      </c>
      <c r="Q17" s="22">
        <f>+PROVEEDORES[[#This Row],[Rete Fuente %]]*(PROVEEDORES[[#This Row],[SUBTOTAL]]-PROVEEDORES[[#This Row],[descuento sobre subtotal]])</f>
        <v>0</v>
      </c>
      <c r="R17" s="21">
        <f>+PROVEEDORES[[#This Row],[SUBTOTAL]]+PROVEEDORES[[#This Row],[IVA 19%]]-PROVEEDORES[[#This Row],[descuento sobre subtotal]]-PROVEEDORES[[#This Row],[Descuento sobre subtotal $2]]-PROVEEDORES[[#This Row],[Rete Fuente $]]</f>
        <v>-2380000</v>
      </c>
      <c r="S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68">
        <f ca="1">IF(PROVEEDORES[[#This Row],[FECHA DE PAGO]]=0,TODAY()-PROVEEDORES[[#This Row],[FECHA DE FACTURACIÓN]]-PROVEEDORES[[#This Row],[PLAZO Días]],0)</f>
        <v>0</v>
      </c>
      <c r="U17" s="96" t="str">
        <f>+VLOOKUP(PROVEEDORES[[#This Row],[PROVEEDOR]],Terceros!$A:$D,4,FALSE)</f>
        <v>2,5% con base</v>
      </c>
      <c r="V17" s="97">
        <f>+YEAR(PROVEEDORES[[#This Row],[FECHA DE FACTURACIÓN]])</f>
        <v>2021</v>
      </c>
      <c r="W17" s="97">
        <f>+MATCH(PROVEEDORES[[#This Row],[año facturado]],Retenciones!$1:$1,0)</f>
        <v>4</v>
      </c>
      <c r="X17" s="98">
        <f>+VLOOKUP(PROVEEDORES[[#This Row],[ID RETENCION]],Retenciones!$A$1:$O$25,PROVEEDORES[[#This Row],[indicador de columna]],FALSE)</f>
        <v>980000</v>
      </c>
      <c r="Y17" s="99">
        <f>+VLOOKUP(PROVEEDORES[[#This Row],[ID RETENCION]],Retenciones!$A$1:$O$25,2,FALSE)</f>
        <v>2.5000000000000001E-2</v>
      </c>
      <c r="Z17" s="125" t="b">
        <f>OR(COUNTIF(PROVEEDORES[[#This Row],[PROVEEDOR]],"*"&amp;'Palabra no opera'!$A$2&amp;"*"))</f>
        <v>0</v>
      </c>
      <c r="AA17" s="24"/>
      <c r="AB17" s="24"/>
      <c r="AC17" s="24"/>
      <c r="AD17" s="24"/>
      <c r="AE17" s="24"/>
    </row>
    <row r="18" spans="1:31" ht="22.2" customHeight="1" x14ac:dyDescent="0.3">
      <c r="A18" s="66" t="str">
        <f>+IF(PROVEEDORES[[#This Row],[FECHA DE PAGO]]=PROVEEDORES[[#This Row],[FECHA DE FACTURACIÓN]],"DE CONTADO","CRÉDITO")</f>
        <v>CRÉDITO</v>
      </c>
      <c r="B18" s="38" t="b">
        <f>+IF((PROVEEDORES[[#This Row],[FECHA DE PAGO]]-PROVEEDORES[[#This Row],[FECHA DE FACTURACIÓN]])&gt;PROVEEDORES[[#This Row],[PLAZO Días]],"PAGO VENCIDO")</f>
        <v>0</v>
      </c>
      <c r="C18" s="20">
        <f>+VLOOKUP(PROVEEDORES[[#This Row],[PROVEEDOR]],TERCEROS_INFO[#All],2,FALSE)</f>
        <v>90</v>
      </c>
      <c r="D18" s="25">
        <f>+SUMIFS(PROVEEDORES[Total],PROVEEDORES[PROVEEDOR],PROVEEDORES[[#This Row],[PROVEEDOR]],PROVEEDORES[FECHA DE PAGO],"")</f>
        <v>75241004.385000005</v>
      </c>
      <c r="E18" s="25"/>
      <c r="F1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8" s="161">
        <v>44712</v>
      </c>
      <c r="H18" s="26" t="s">
        <v>77</v>
      </c>
      <c r="I18" s="161">
        <v>44651</v>
      </c>
      <c r="J18" s="35" t="s">
        <v>883</v>
      </c>
      <c r="K18" s="21">
        <v>-1920170</v>
      </c>
      <c r="L18" s="21"/>
      <c r="M18" s="22">
        <f>(PROVEEDORES[[#This Row],[SUBTOTAL]]-PROVEEDORES[[#This Row],[descuento sobre subtotal]])*VLOOKUP(PROVEEDORES[[#This Row],[PROVEEDOR]],TERCEROS_INFO[#All],3,FALSE)</f>
        <v>-364832.3</v>
      </c>
      <c r="N18" s="23">
        <v>0.05</v>
      </c>
      <c r="O18" s="22">
        <f>+PROVEEDORES[[#This Row],[Descuento sobre subtotal %]]*(PROVEEDORES[[#This Row],[SUBTOTAL]]-PROVEEDORES[[#This Row],[descuento sobre subtotal]])</f>
        <v>-96008.5</v>
      </c>
      <c r="P18" s="83">
        <v>2.5000000000000001E-2</v>
      </c>
      <c r="Q18" s="22">
        <f>+PROVEEDORES[[#This Row],[Rete Fuente %]]*(PROVEEDORES[[#This Row],[SUBTOTAL]]-PROVEEDORES[[#This Row],[descuento sobre subtotal]])</f>
        <v>-48004.25</v>
      </c>
      <c r="R18" s="21">
        <f>+PROVEEDORES[[#This Row],[SUBTOTAL]]+PROVEEDORES[[#This Row],[IVA 19%]]-PROVEEDORES[[#This Row],[descuento sobre subtotal]]-PROVEEDORES[[#This Row],[Descuento sobre subtotal $2]]-PROVEEDORES[[#This Row],[Rete Fuente $]]</f>
        <v>-2140989.5499999998</v>
      </c>
      <c r="S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68">
        <f ca="1">IF(PROVEEDORES[[#This Row],[FECHA DE PAGO]]=0,TODAY()-PROVEEDORES[[#This Row],[FECHA DE FACTURACIÓN]]-PROVEEDORES[[#This Row],[PLAZO Días]],0)</f>
        <v>0</v>
      </c>
      <c r="U18" s="96" t="str">
        <f>+VLOOKUP(PROVEEDORES[[#This Row],[PROVEEDOR]],Terceros!$A:$D,4,FALSE)</f>
        <v>2,5% con base</v>
      </c>
      <c r="V18" s="97">
        <f>+YEAR(PROVEEDORES[[#This Row],[FECHA DE FACTURACIÓN]])</f>
        <v>2022</v>
      </c>
      <c r="W18" s="97">
        <f>+MATCH(PROVEEDORES[[#This Row],[año facturado]],Retenciones!$1:$1,0)</f>
        <v>5</v>
      </c>
      <c r="X18" s="98">
        <f>+VLOOKUP(PROVEEDORES[[#This Row],[ID RETENCION]],Retenciones!$A$1:$O$25,PROVEEDORES[[#This Row],[indicador de columna]],FALSE)</f>
        <v>1026000</v>
      </c>
      <c r="Y18" s="99">
        <f>+VLOOKUP(PROVEEDORES[[#This Row],[ID RETENCION]],Retenciones!$A$1:$O$25,2,FALSE)</f>
        <v>2.5000000000000001E-2</v>
      </c>
      <c r="Z18" s="125" t="b">
        <f>OR(COUNTIF(PROVEEDORES[[#This Row],[PROVEEDOR]],"*"&amp;'Palabra no opera'!$A$2&amp;"*"))</f>
        <v>0</v>
      </c>
      <c r="AA18" s="24"/>
      <c r="AB18" s="24"/>
      <c r="AC18" s="24"/>
      <c r="AD18" s="24"/>
      <c r="AE18" s="24"/>
    </row>
    <row r="19" spans="1:31" ht="22.2" customHeight="1" x14ac:dyDescent="0.3">
      <c r="A19" s="66" t="str">
        <f>+IF(PROVEEDORES[[#This Row],[FECHA DE PAGO]]=PROVEEDORES[[#This Row],[FECHA DE FACTURACIÓN]],"DE CONTADO","CRÉDITO")</f>
        <v>DE CONTADO</v>
      </c>
      <c r="B19" s="38" t="b">
        <f>+IF((PROVEEDORES[[#This Row],[FECHA DE PAGO]]-PROVEEDORES[[#This Row],[FECHA DE FACTURACIÓN]])&gt;PROVEEDORES[[#This Row],[PLAZO Días]],"PAGO VENCIDO")</f>
        <v>0</v>
      </c>
      <c r="C19" s="20">
        <f>+VLOOKUP(PROVEEDORES[[#This Row],[PROVEEDOR]],TERCEROS_INFO[#All],2,FALSE)</f>
        <v>30</v>
      </c>
      <c r="D19" s="25">
        <f>+SUMIFS(PROVEEDORES[Total],PROVEEDORES[PROVEEDOR],PROVEEDORES[[#This Row],[PROVEEDOR]],PROVEEDORES[FECHA DE PAGO],"")</f>
        <v>2121000</v>
      </c>
      <c r="E19" s="25"/>
      <c r="F1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9" s="161">
        <v>44560</v>
      </c>
      <c r="H19" s="26" t="s">
        <v>685</v>
      </c>
      <c r="I19" s="161">
        <v>44560</v>
      </c>
      <c r="J19" s="35" t="s">
        <v>1551</v>
      </c>
      <c r="K19" s="21">
        <v>-1924000</v>
      </c>
      <c r="L19" s="21"/>
      <c r="M19" s="22">
        <f>(PROVEEDORES[[#This Row],[SUBTOTAL]]-PROVEEDORES[[#This Row],[descuento sobre subtotal]])*VLOOKUP(PROVEEDORES[[#This Row],[PROVEEDOR]],TERCEROS_INFO[#All],3,FALSE)</f>
        <v>0</v>
      </c>
      <c r="N19" s="23"/>
      <c r="O19" s="22">
        <f>+PROVEEDORES[[#This Row],[Descuento sobre subtotal %]]*(PROVEEDORES[[#This Row],[SUBTOTAL]]-PROVEEDORES[[#This Row],[descuento sobre subtotal]])</f>
        <v>0</v>
      </c>
      <c r="P19" s="83">
        <f>+IF(PROVEEDORES[[#This Row],[SUBTOTAL]]&lt;PROVEEDORES[[#This Row],[base retencion]],0,PROVEEDORES[[#This Row],[retención aplicada]])</f>
        <v>0</v>
      </c>
      <c r="Q19" s="22">
        <f>+PROVEEDORES[[#This Row],[Rete Fuente %]]*(PROVEEDORES[[#This Row],[SUBTOTAL]]-PROVEEDORES[[#This Row],[descuento sobre subtotal]])</f>
        <v>0</v>
      </c>
      <c r="R19" s="21">
        <f>+PROVEEDORES[[#This Row],[SUBTOTAL]]+PROVEEDORES[[#This Row],[IVA 19%]]-PROVEEDORES[[#This Row],[descuento sobre subtotal]]-PROVEEDORES[[#This Row],[Descuento sobre subtotal $2]]-PROVEEDORES[[#This Row],[Rete Fuente $]]</f>
        <v>-1924000</v>
      </c>
      <c r="S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68">
        <f ca="1">IF(PROVEEDORES[[#This Row],[FECHA DE PAGO]]=0,TODAY()-PROVEEDORES[[#This Row],[FECHA DE FACTURACIÓN]]-PROVEEDORES[[#This Row],[PLAZO Días]],0)</f>
        <v>0</v>
      </c>
      <c r="U19" s="96">
        <f>+VLOOKUP(PROVEEDORES[[#This Row],[PROVEEDOR]],Terceros!$A:$D,4,FALSE)</f>
        <v>0</v>
      </c>
      <c r="V19" s="97">
        <f>+YEAR(PROVEEDORES[[#This Row],[FECHA DE FACTURACIÓN]])</f>
        <v>2021</v>
      </c>
      <c r="W19" s="97">
        <f>+MATCH(PROVEEDORES[[#This Row],[año facturado]],Retenciones!$1:$1,0)</f>
        <v>4</v>
      </c>
      <c r="X19" s="98">
        <f>+VLOOKUP(PROVEEDORES[[#This Row],[ID RETENCION]],Retenciones!$A$1:$O$25,PROVEEDORES[[#This Row],[indicador de columna]],FALSE)</f>
        <v>0</v>
      </c>
      <c r="Y19" s="99">
        <f>+VLOOKUP(PROVEEDORES[[#This Row],[ID RETENCION]],Retenciones!$A$1:$O$25,2,FALSE)</f>
        <v>0</v>
      </c>
      <c r="Z19" s="125" t="b">
        <f>OR(COUNTIF(PROVEEDORES[[#This Row],[PROVEEDOR]],"*"&amp;'Palabra no opera'!$A$2&amp;"*"))</f>
        <v>0</v>
      </c>
      <c r="AA19" s="24"/>
      <c r="AB19" s="24"/>
      <c r="AC19" s="24"/>
      <c r="AD19" s="24"/>
      <c r="AE19" s="24"/>
    </row>
    <row r="20" spans="1:31" ht="22.2" customHeight="1" x14ac:dyDescent="0.3">
      <c r="A20" s="66" t="str">
        <f>+IF(PROVEEDORES[[#This Row],[FECHA DE PAGO]]=PROVEEDORES[[#This Row],[FECHA DE FACTURACIÓN]],"DE CONTADO","CRÉDITO")</f>
        <v>CRÉDITO</v>
      </c>
      <c r="B20" s="38" t="str">
        <f>+IF((PROVEEDORES[[#This Row],[FECHA DE PAGO]]-PROVEEDORES[[#This Row],[FECHA DE FACTURACIÓN]])&gt;PROVEEDORES[[#This Row],[PLAZO Días]],"PAGO VENCIDO")</f>
        <v>PAGO VENCIDO</v>
      </c>
      <c r="C20" s="20">
        <f>+VLOOKUP(PROVEEDORES[[#This Row],[PROVEEDOR]],TERCEROS_INFO[#All],2,FALSE)</f>
        <v>30</v>
      </c>
      <c r="D20" s="25">
        <f>+SUMIFS(PROVEEDORES[Total],PROVEEDORES[PROVEEDOR],PROVEEDORES[[#This Row],[PROVEEDOR]],PROVEEDORES[FECHA DE PAGO],"")</f>
        <v>0</v>
      </c>
      <c r="E20" s="25"/>
      <c r="F2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0" s="161">
        <v>44657</v>
      </c>
      <c r="H20" s="26" t="s">
        <v>20</v>
      </c>
      <c r="I20" s="161">
        <v>44588</v>
      </c>
      <c r="J20" s="35" t="s">
        <v>703</v>
      </c>
      <c r="K20" s="21">
        <v>-1591200</v>
      </c>
      <c r="L20" s="21"/>
      <c r="M20" s="22">
        <v>-302328</v>
      </c>
      <c r="N20" s="23"/>
      <c r="O20" s="22">
        <v>0</v>
      </c>
      <c r="P20" s="83">
        <f>+IF(PROVEEDORES[[#This Row],[SUBTOTAL]]&lt;PROVEEDORES[[#This Row],[base retencion]],0,PROVEEDORES[[#This Row],[retención aplicada]])</f>
        <v>0</v>
      </c>
      <c r="Q20" s="22">
        <f>+PROVEEDORES[[#This Row],[Rete Fuente %]]*(PROVEEDORES[[#This Row],[SUBTOTAL]]-PROVEEDORES[[#This Row],[descuento sobre subtotal]])</f>
        <v>0</v>
      </c>
      <c r="R20" s="21">
        <v>-1853748</v>
      </c>
      <c r="S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68">
        <f ca="1">IF(PROVEEDORES[[#This Row],[FECHA DE PAGO]]=0,TODAY()-PROVEEDORES[[#This Row],[FECHA DE FACTURACIÓN]]-PROVEEDORES[[#This Row],[PLAZO Días]],0)</f>
        <v>0</v>
      </c>
      <c r="U20" s="96" t="str">
        <f>+VLOOKUP(PROVEEDORES[[#This Row],[PROVEEDOR]],Terceros!$A:$D,4,FALSE)</f>
        <v>2,5% con base</v>
      </c>
      <c r="V20" s="97">
        <f>+YEAR(PROVEEDORES[[#This Row],[FECHA DE FACTURACIÓN]])</f>
        <v>2022</v>
      </c>
      <c r="W20" s="97">
        <f>+MATCH(PROVEEDORES[[#This Row],[año facturado]],Retenciones!$1:$1,0)</f>
        <v>5</v>
      </c>
      <c r="X20" s="98">
        <f>+VLOOKUP(PROVEEDORES[[#This Row],[ID RETENCION]],Retenciones!$A$1:$O$25,PROVEEDORES[[#This Row],[indicador de columna]],FALSE)</f>
        <v>1026000</v>
      </c>
      <c r="Y20" s="99">
        <f>+VLOOKUP(PROVEEDORES[[#This Row],[ID RETENCION]],Retenciones!$A$1:$O$25,2,FALSE)</f>
        <v>2.5000000000000001E-2</v>
      </c>
      <c r="Z20" s="125" t="b">
        <f>OR(COUNTIF(PROVEEDORES[[#This Row],[PROVEEDOR]],"*"&amp;'Palabra no opera'!$A$2&amp;"*"))</f>
        <v>0</v>
      </c>
      <c r="AA20" s="24"/>
      <c r="AB20" s="24"/>
      <c r="AC20" s="24"/>
      <c r="AD20" s="24"/>
      <c r="AE20" s="24"/>
    </row>
    <row r="21" spans="1:31" ht="22.2" customHeight="1" x14ac:dyDescent="0.3">
      <c r="A21" s="66" t="str">
        <f>+IF(PROVEEDORES[[#This Row],[FECHA DE PAGO]]=PROVEEDORES[[#This Row],[FECHA DE FACTURACIÓN]],"DE CONTADO","CRÉDITO")</f>
        <v>CRÉDITO</v>
      </c>
      <c r="B21" s="38" t="str">
        <f>+IF((PROVEEDORES[[#This Row],[FECHA DE PAGO]]-PROVEEDORES[[#This Row],[FECHA DE FACTURACIÓN]])&gt;PROVEEDORES[[#This Row],[PLAZO Días]],"PAGO VENCIDO")</f>
        <v>PAGO VENCIDO</v>
      </c>
      <c r="C21" s="20">
        <f>+VLOOKUP(PROVEEDORES[[#This Row],[PROVEEDOR]],TERCEROS_INFO[#All],2,FALSE)</f>
        <v>18</v>
      </c>
      <c r="D21" s="25">
        <f>+SUMIFS(PROVEEDORES[Total],PROVEEDORES[PROVEEDOR],PROVEEDORES[[#This Row],[PROVEEDOR]],PROVEEDORES[FECHA DE PAGO],"")</f>
        <v>0</v>
      </c>
      <c r="E21" s="25"/>
      <c r="F21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21" s="161">
        <v>44561</v>
      </c>
      <c r="H21" s="26" t="s">
        <v>924</v>
      </c>
      <c r="I21" s="161">
        <v>44431</v>
      </c>
      <c r="J21" s="35" t="s">
        <v>67</v>
      </c>
      <c r="K21" s="21">
        <v>-1300000</v>
      </c>
      <c r="L21" s="21"/>
      <c r="M21" s="22">
        <f>(PROVEEDORES[[#This Row],[SUBTOTAL]]-PROVEEDORES[[#This Row],[descuento sobre subtotal]])*VLOOKUP(PROVEEDORES[[#This Row],[PROVEEDOR]],TERCEROS_INFO[#All],3,FALSE)</f>
        <v>0</v>
      </c>
      <c r="N21" s="23"/>
      <c r="O21" s="22">
        <f>+PROVEEDORES[[#This Row],[Descuento sobre subtotal %]]*(PROVEEDORES[[#This Row],[SUBTOTAL]]-PROVEEDORES[[#This Row],[descuento sobre subtotal]])</f>
        <v>0</v>
      </c>
      <c r="P21" s="83">
        <f>+IF(PROVEEDORES[[#This Row],[SUBTOTAL]]&lt;PROVEEDORES[[#This Row],[base retencion]],0,PROVEEDORES[[#This Row],[retención aplicada]])</f>
        <v>0</v>
      </c>
      <c r="Q21" s="22">
        <f>+PROVEEDORES[[#This Row],[Rete Fuente %]]*(PROVEEDORES[[#This Row],[SUBTOTAL]]-PROVEEDORES[[#This Row],[descuento sobre subtotal]])</f>
        <v>0</v>
      </c>
      <c r="R21" s="21">
        <f>+PROVEEDORES[[#This Row],[SUBTOTAL]]+PROVEEDORES[[#This Row],[IVA 19%]]-PROVEEDORES[[#This Row],[descuento sobre subtotal]]-PROVEEDORES[[#This Row],[Descuento sobre subtotal $2]]-PROVEEDORES[[#This Row],[Rete Fuente $]]</f>
        <v>-1300000</v>
      </c>
      <c r="S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68">
        <f ca="1">IF(PROVEEDORES[[#This Row],[FECHA DE PAGO]]=0,TODAY()-PROVEEDORES[[#This Row],[FECHA DE FACTURACIÓN]]-PROVEEDORES[[#This Row],[PLAZO Días]],0)</f>
        <v>0</v>
      </c>
      <c r="U21" s="96">
        <f>+VLOOKUP(PROVEEDORES[[#This Row],[PROVEEDOR]],Terceros!$A:$D,4,FALSE)</f>
        <v>0</v>
      </c>
      <c r="V21" s="97">
        <f>+YEAR(PROVEEDORES[[#This Row],[FECHA DE FACTURACIÓN]])</f>
        <v>2021</v>
      </c>
      <c r="W21" s="97">
        <f>+MATCH(PROVEEDORES[[#This Row],[año facturado]],Retenciones!$1:$1,0)</f>
        <v>4</v>
      </c>
      <c r="X21" s="98">
        <f>+VLOOKUP(PROVEEDORES[[#This Row],[ID RETENCION]],Retenciones!$A$1:$O$25,PROVEEDORES[[#This Row],[indicador de columna]],FALSE)</f>
        <v>0</v>
      </c>
      <c r="Y21" s="99">
        <f>+VLOOKUP(PROVEEDORES[[#This Row],[ID RETENCION]],Retenciones!$A$1:$O$25,2,FALSE)</f>
        <v>0</v>
      </c>
      <c r="Z21" s="125" t="b">
        <f>OR(COUNTIF(PROVEEDORES[[#This Row],[PROVEEDOR]],"*"&amp;'Palabra no opera'!$A$2&amp;"*"))</f>
        <v>1</v>
      </c>
      <c r="AA21" s="24"/>
      <c r="AB21" s="24"/>
      <c r="AC21" s="24"/>
      <c r="AD21" s="24"/>
      <c r="AE21" s="24"/>
    </row>
    <row r="22" spans="1:31" ht="22.2" customHeight="1" x14ac:dyDescent="0.3">
      <c r="A22" s="66" t="str">
        <f>+IF(PROVEEDORES[[#This Row],[FECHA DE PAGO]]=PROVEEDORES[[#This Row],[FECHA DE FACTURACIÓN]],"DE CONTADO","CRÉDITO")</f>
        <v>DE CONTADO</v>
      </c>
      <c r="B22" s="38" t="b">
        <f>+IF((PROVEEDORES[[#This Row],[FECHA DE PAGO]]-PROVEEDORES[[#This Row],[FECHA DE FACTURACIÓN]])&gt;PROVEEDORES[[#This Row],[PLAZO Días]],"PAGO VENCIDO")</f>
        <v>0</v>
      </c>
      <c r="C22" s="20">
        <f>+VLOOKUP(PROVEEDORES[[#This Row],[PROVEEDOR]],TERCEROS_INFO[#All],2,FALSE)</f>
        <v>20</v>
      </c>
      <c r="D22" s="25">
        <f>+SUMIFS(PROVEEDORES[Total],PROVEEDORES[PROVEEDOR],PROVEEDORES[[#This Row],[PROVEEDOR]],PROVEEDORES[FECHA DE PAGO],"")</f>
        <v>0</v>
      </c>
      <c r="E22" s="25"/>
      <c r="F2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2" s="161">
        <v>44496</v>
      </c>
      <c r="H22" s="26" t="s">
        <v>942</v>
      </c>
      <c r="I22" s="161">
        <v>44496</v>
      </c>
      <c r="J22" s="35" t="s">
        <v>1465</v>
      </c>
      <c r="K22" s="21">
        <v>-956806</v>
      </c>
      <c r="L22" s="21"/>
      <c r="M22" s="22">
        <f>(PROVEEDORES[[#This Row],[SUBTOTAL]]-PROVEEDORES[[#This Row],[descuento sobre subtotal]])*VLOOKUP(PROVEEDORES[[#This Row],[PROVEEDOR]],TERCEROS_INFO[#All],3,FALSE)</f>
        <v>-181793.14</v>
      </c>
      <c r="N22" s="23"/>
      <c r="O22" s="22">
        <f>+PROVEEDORES[[#This Row],[Descuento sobre subtotal %]]*(PROVEEDORES[[#This Row],[SUBTOTAL]]-PROVEEDORES[[#This Row],[descuento sobre subtotal]])</f>
        <v>0</v>
      </c>
      <c r="P22" s="83">
        <f>+IF(PROVEEDORES[[#This Row],[SUBTOTAL]]&lt;PROVEEDORES[[#This Row],[base retencion]],0,PROVEEDORES[[#This Row],[retención aplicada]])</f>
        <v>0</v>
      </c>
      <c r="Q22" s="22">
        <f>+PROVEEDORES[[#This Row],[Rete Fuente %]]*(PROVEEDORES[[#This Row],[SUBTOTAL]]-PROVEEDORES[[#This Row],[descuento sobre subtotal]])</f>
        <v>0</v>
      </c>
      <c r="R22" s="21">
        <f>+PROVEEDORES[[#This Row],[SUBTOTAL]]+PROVEEDORES[[#This Row],[IVA 19%]]-PROVEEDORES[[#This Row],[descuento sobre subtotal]]-PROVEEDORES[[#This Row],[Descuento sobre subtotal $2]]-PROVEEDORES[[#This Row],[Rete Fuente $]]</f>
        <v>-1138599.1400000001</v>
      </c>
      <c r="S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68">
        <f ca="1">IF(PROVEEDORES[[#This Row],[FECHA DE PAGO]]=0,TODAY()-PROVEEDORES[[#This Row],[FECHA DE FACTURACIÓN]]-PROVEEDORES[[#This Row],[PLAZO Días]],0)</f>
        <v>0</v>
      </c>
      <c r="U22" s="96" t="str">
        <f>+VLOOKUP(PROVEEDORES[[#This Row],[PROVEEDOR]],Terceros!$A:$D,4,FALSE)</f>
        <v>3,5% sin base</v>
      </c>
      <c r="V22" s="97">
        <f>+YEAR(PROVEEDORES[[#This Row],[FECHA DE FACTURACIÓN]])</f>
        <v>2021</v>
      </c>
      <c r="W22" s="97">
        <f>+MATCH(PROVEEDORES[[#This Row],[año facturado]],Retenciones!$1:$1,0)</f>
        <v>4</v>
      </c>
      <c r="X22" s="98">
        <f>+VLOOKUP(PROVEEDORES[[#This Row],[ID RETENCION]],Retenciones!$A$1:$O$25,PROVEEDORES[[#This Row],[indicador de columna]],FALSE)</f>
        <v>0</v>
      </c>
      <c r="Y22" s="99">
        <f>+VLOOKUP(PROVEEDORES[[#This Row],[ID RETENCION]],Retenciones!$A$1:$O$25,2,FALSE)</f>
        <v>3.5000000000000003E-2</v>
      </c>
      <c r="Z22" s="127" t="b">
        <f>OR(COUNTIF(PROVEEDORES[[#This Row],[PROVEEDOR]],"*"&amp;'Palabra no opera'!$A$2&amp;"*"))</f>
        <v>1</v>
      </c>
      <c r="AA22" s="24"/>
      <c r="AB22" s="24"/>
      <c r="AC22" s="24"/>
      <c r="AD22" s="24"/>
      <c r="AE22" s="24"/>
    </row>
    <row r="23" spans="1:31" ht="22.2" customHeight="1" x14ac:dyDescent="0.3">
      <c r="A23" s="66" t="str">
        <f>+IF(PROVEEDORES[[#This Row],[FECHA DE PAGO]]=PROVEEDORES[[#This Row],[FECHA DE FACTURACIÓN]],"DE CONTADO","CRÉDITO")</f>
        <v>CRÉDITO</v>
      </c>
      <c r="B23" s="38" t="str">
        <f>+IF((PROVEEDORES[[#This Row],[FECHA DE PAGO]]-PROVEEDORES[[#This Row],[FECHA DE FACTURACIÓN]])&gt;PROVEEDORES[[#This Row],[PLAZO Días]],"PAGO VENCIDO")</f>
        <v>PAGO VENCIDO</v>
      </c>
      <c r="C23" s="20">
        <f>+VLOOKUP(PROVEEDORES[[#This Row],[PROVEEDOR]],TERCEROS_INFO[#All],2,FALSE)</f>
        <v>20</v>
      </c>
      <c r="D23" s="25">
        <f>+SUMIFS(PROVEEDORES[Total],PROVEEDORES[PROVEEDOR],PROVEEDORES[[#This Row],[PROVEEDOR]],PROVEEDORES[FECHA DE PAGO],"")</f>
        <v>0</v>
      </c>
      <c r="E23" s="25"/>
      <c r="F2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3" s="161">
        <v>44496</v>
      </c>
      <c r="H23" s="26" t="s">
        <v>942</v>
      </c>
      <c r="I23" s="161">
        <v>44369</v>
      </c>
      <c r="J23" s="35" t="s">
        <v>1465</v>
      </c>
      <c r="K23" s="21">
        <v>-956801</v>
      </c>
      <c r="L23" s="21"/>
      <c r="M23" s="22">
        <f>(PROVEEDORES[[#This Row],[SUBTOTAL]]-PROVEEDORES[[#This Row],[descuento sobre subtotal]])*VLOOKUP(PROVEEDORES[[#This Row],[PROVEEDOR]],TERCEROS_INFO[#All],3,FALSE)</f>
        <v>-181792.19</v>
      </c>
      <c r="N23" s="23"/>
      <c r="O23" s="22">
        <f>+PROVEEDORES[[#This Row],[Descuento sobre subtotal %]]*(PROVEEDORES[[#This Row],[SUBTOTAL]]-PROVEEDORES[[#This Row],[descuento sobre subtotal]])</f>
        <v>0</v>
      </c>
      <c r="P23" s="83">
        <f>+IF(PROVEEDORES[[#This Row],[SUBTOTAL]]&lt;PROVEEDORES[[#This Row],[base retencion]],0,PROVEEDORES[[#This Row],[retención aplicada]])</f>
        <v>0</v>
      </c>
      <c r="Q23" s="22">
        <f>+PROVEEDORES[[#This Row],[Rete Fuente %]]*(PROVEEDORES[[#This Row],[SUBTOTAL]]-PROVEEDORES[[#This Row],[descuento sobre subtotal]])</f>
        <v>0</v>
      </c>
      <c r="R23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68">
        <f ca="1">IF(PROVEEDORES[[#This Row],[FECHA DE PAGO]]=0,TODAY()-PROVEEDORES[[#This Row],[FECHA DE FACTURACIÓN]]-PROVEEDORES[[#This Row],[PLAZO Días]],0)</f>
        <v>0</v>
      </c>
      <c r="U23" s="96" t="str">
        <f>+VLOOKUP(PROVEEDORES[[#This Row],[PROVEEDOR]],Terceros!$A:$D,4,FALSE)</f>
        <v>3,5% sin base</v>
      </c>
      <c r="V23" s="97">
        <f>+YEAR(PROVEEDORES[[#This Row],[FECHA DE FACTURACIÓN]])</f>
        <v>2021</v>
      </c>
      <c r="W23" s="97">
        <f>+MATCH(PROVEEDORES[[#This Row],[año facturado]],Retenciones!$1:$1,0)</f>
        <v>4</v>
      </c>
      <c r="X23" s="98">
        <f>+VLOOKUP(PROVEEDORES[[#This Row],[ID RETENCION]],Retenciones!$A$1:$O$25,PROVEEDORES[[#This Row],[indicador de columna]],FALSE)</f>
        <v>0</v>
      </c>
      <c r="Y23" s="99">
        <f>+VLOOKUP(PROVEEDORES[[#This Row],[ID RETENCION]],Retenciones!$A$1:$O$25,2,FALSE)</f>
        <v>3.5000000000000003E-2</v>
      </c>
      <c r="Z23" s="127" t="b">
        <f>OR(COUNTIF(PROVEEDORES[[#This Row],[PROVEEDOR]],"*"&amp;'Palabra no opera'!$A$2&amp;"*"))</f>
        <v>1</v>
      </c>
      <c r="AA23" s="24"/>
      <c r="AB23" s="24"/>
      <c r="AC23" s="24"/>
      <c r="AD23" s="24"/>
      <c r="AE23" s="24"/>
    </row>
    <row r="24" spans="1:31" ht="22.2" customHeight="1" x14ac:dyDescent="0.3">
      <c r="A24" s="66" t="str">
        <f>+IF(PROVEEDORES[[#This Row],[FECHA DE PAGO]]=PROVEEDORES[[#This Row],[FECHA DE FACTURACIÓN]],"DE CONTADO","CRÉDITO")</f>
        <v>CRÉDITO</v>
      </c>
      <c r="B24" s="38" t="str">
        <f>+IF((PROVEEDORES[[#This Row],[FECHA DE PAGO]]-PROVEEDORES[[#This Row],[FECHA DE FACTURACIÓN]])&gt;PROVEEDORES[[#This Row],[PLAZO Días]],"PAGO VENCIDO")</f>
        <v>PAGO VENCIDO</v>
      </c>
      <c r="C24" s="20">
        <f>+VLOOKUP(PROVEEDORES[[#This Row],[PROVEEDOR]],TERCEROS_INFO[#All],2,FALSE)</f>
        <v>20</v>
      </c>
      <c r="D24" s="25">
        <f>+SUMIFS(PROVEEDORES[Total],PROVEEDORES[PROVEEDOR],PROVEEDORES[[#This Row],[PROVEEDOR]],PROVEEDORES[FECHA DE PAGO],"")</f>
        <v>0</v>
      </c>
      <c r="E24" s="25"/>
      <c r="F2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4" s="161">
        <v>44496</v>
      </c>
      <c r="H24" s="26" t="s">
        <v>942</v>
      </c>
      <c r="I24" s="161">
        <v>44396</v>
      </c>
      <c r="J24" s="35" t="s">
        <v>1465</v>
      </c>
      <c r="K24" s="21">
        <v>-956801</v>
      </c>
      <c r="L24" s="21"/>
      <c r="M24" s="22">
        <f>(PROVEEDORES[[#This Row],[SUBTOTAL]]-PROVEEDORES[[#This Row],[descuento sobre subtotal]])*VLOOKUP(PROVEEDORES[[#This Row],[PROVEEDOR]],TERCEROS_INFO[#All],3,FALSE)</f>
        <v>-181792.19</v>
      </c>
      <c r="N24" s="23"/>
      <c r="O24" s="22">
        <f>+PROVEEDORES[[#This Row],[Descuento sobre subtotal %]]*(PROVEEDORES[[#This Row],[SUBTOTAL]]-PROVEEDORES[[#This Row],[descuento sobre subtotal]])</f>
        <v>0</v>
      </c>
      <c r="P24" s="83">
        <f>+IF(PROVEEDORES[[#This Row],[SUBTOTAL]]&lt;PROVEEDORES[[#This Row],[base retencion]],0,PROVEEDORES[[#This Row],[retención aplicada]])</f>
        <v>0</v>
      </c>
      <c r="Q24" s="22">
        <f>+PROVEEDORES[[#This Row],[Rete Fuente %]]*(PROVEEDORES[[#This Row],[SUBTOTAL]]-PROVEEDORES[[#This Row],[descuento sobre subtotal]])</f>
        <v>0</v>
      </c>
      <c r="R24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68">
        <f ca="1">IF(PROVEEDORES[[#This Row],[FECHA DE PAGO]]=0,TODAY()-PROVEEDORES[[#This Row],[FECHA DE FACTURACIÓN]]-PROVEEDORES[[#This Row],[PLAZO Días]],0)</f>
        <v>0</v>
      </c>
      <c r="U24" s="96" t="str">
        <f>+VLOOKUP(PROVEEDORES[[#This Row],[PROVEEDOR]],Terceros!$A:$D,4,FALSE)</f>
        <v>3,5% sin base</v>
      </c>
      <c r="V24" s="97">
        <f>+YEAR(PROVEEDORES[[#This Row],[FECHA DE FACTURACIÓN]])</f>
        <v>2021</v>
      </c>
      <c r="W24" s="97">
        <f>+MATCH(PROVEEDORES[[#This Row],[año facturado]],Retenciones!$1:$1,0)</f>
        <v>4</v>
      </c>
      <c r="X24" s="98">
        <f>+VLOOKUP(PROVEEDORES[[#This Row],[ID RETENCION]],Retenciones!$A$1:$O$25,PROVEEDORES[[#This Row],[indicador de columna]],FALSE)</f>
        <v>0</v>
      </c>
      <c r="Y24" s="99">
        <f>+VLOOKUP(PROVEEDORES[[#This Row],[ID RETENCION]],Retenciones!$A$1:$O$25,2,FALSE)</f>
        <v>3.5000000000000003E-2</v>
      </c>
      <c r="Z24" s="127" t="b">
        <f>OR(COUNTIF(PROVEEDORES[[#This Row],[PROVEEDOR]],"*"&amp;'Palabra no opera'!$A$2&amp;"*"))</f>
        <v>1</v>
      </c>
      <c r="AA24" s="24"/>
      <c r="AB24" s="24"/>
      <c r="AC24" s="24"/>
      <c r="AD24" s="24"/>
      <c r="AE24" s="24"/>
    </row>
    <row r="25" spans="1:31" ht="22.2" customHeight="1" x14ac:dyDescent="0.3">
      <c r="A25" s="66" t="str">
        <f>+IF(PROVEEDORES[[#This Row],[FECHA DE PAGO]]=PROVEEDORES[[#This Row],[FECHA DE FACTURACIÓN]],"DE CONTADO","CRÉDITO")</f>
        <v>CRÉDITO</v>
      </c>
      <c r="B25" s="38" t="str">
        <f>+IF((PROVEEDORES[[#This Row],[FECHA DE PAGO]]-PROVEEDORES[[#This Row],[FECHA DE FACTURACIÓN]])&gt;PROVEEDORES[[#This Row],[PLAZO Días]],"PAGO VENCIDO")</f>
        <v>PAGO VENCIDO</v>
      </c>
      <c r="C25" s="20">
        <f>+VLOOKUP(PROVEEDORES[[#This Row],[PROVEEDOR]],TERCEROS_INFO[#All],2,FALSE)</f>
        <v>20</v>
      </c>
      <c r="D25" s="25">
        <f>+SUMIFS(PROVEEDORES[Total],PROVEEDORES[PROVEEDOR],PROVEEDORES[[#This Row],[PROVEEDOR]],PROVEEDORES[FECHA DE PAGO],"")</f>
        <v>0</v>
      </c>
      <c r="E25" s="25"/>
      <c r="F2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5" s="161">
        <v>44496</v>
      </c>
      <c r="H25" s="26" t="s">
        <v>942</v>
      </c>
      <c r="I25" s="161">
        <v>44432</v>
      </c>
      <c r="J25" s="35" t="s">
        <v>1465</v>
      </c>
      <c r="K25" s="21">
        <v>-956801</v>
      </c>
      <c r="L25" s="21"/>
      <c r="M25" s="22">
        <f>(PROVEEDORES[[#This Row],[SUBTOTAL]]-PROVEEDORES[[#This Row],[descuento sobre subtotal]])*VLOOKUP(PROVEEDORES[[#This Row],[PROVEEDOR]],TERCEROS_INFO[#All],3,FALSE)</f>
        <v>-181792.19</v>
      </c>
      <c r="N25" s="23"/>
      <c r="O25" s="22">
        <f>+PROVEEDORES[[#This Row],[Descuento sobre subtotal %]]*(PROVEEDORES[[#This Row],[SUBTOTAL]]-PROVEEDORES[[#This Row],[descuento sobre subtotal]])</f>
        <v>0</v>
      </c>
      <c r="P25" s="83">
        <f>+IF(PROVEEDORES[[#This Row],[SUBTOTAL]]&lt;PROVEEDORES[[#This Row],[base retencion]],0,PROVEEDORES[[#This Row],[retención aplicada]])</f>
        <v>0</v>
      </c>
      <c r="Q25" s="22">
        <f>+PROVEEDORES[[#This Row],[Rete Fuente %]]*(PROVEEDORES[[#This Row],[SUBTOTAL]]-PROVEEDORES[[#This Row],[descuento sobre subtotal]])</f>
        <v>0</v>
      </c>
      <c r="R25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68">
        <f ca="1">IF(PROVEEDORES[[#This Row],[FECHA DE PAGO]]=0,TODAY()-PROVEEDORES[[#This Row],[FECHA DE FACTURACIÓN]]-PROVEEDORES[[#This Row],[PLAZO Días]],0)</f>
        <v>0</v>
      </c>
      <c r="U25" s="96" t="str">
        <f>+VLOOKUP(PROVEEDORES[[#This Row],[PROVEEDOR]],Terceros!$A:$D,4,FALSE)</f>
        <v>3,5% sin base</v>
      </c>
      <c r="V25" s="97">
        <f>+YEAR(PROVEEDORES[[#This Row],[FECHA DE FACTURACIÓN]])</f>
        <v>2021</v>
      </c>
      <c r="W25" s="97">
        <f>+MATCH(PROVEEDORES[[#This Row],[año facturado]],Retenciones!$1:$1,0)</f>
        <v>4</v>
      </c>
      <c r="X25" s="98">
        <f>+VLOOKUP(PROVEEDORES[[#This Row],[ID RETENCION]],Retenciones!$A$1:$O$25,PROVEEDORES[[#This Row],[indicador de columna]],FALSE)</f>
        <v>0</v>
      </c>
      <c r="Y25" s="99">
        <f>+VLOOKUP(PROVEEDORES[[#This Row],[ID RETENCION]],Retenciones!$A$1:$O$25,2,FALSE)</f>
        <v>3.5000000000000003E-2</v>
      </c>
      <c r="Z25" s="127" t="b">
        <f>OR(COUNTIF(PROVEEDORES[[#This Row],[PROVEEDOR]],"*"&amp;'Palabra no opera'!$A$2&amp;"*"))</f>
        <v>1</v>
      </c>
      <c r="AA25" s="24"/>
      <c r="AB25" s="24"/>
      <c r="AC25" s="24"/>
      <c r="AD25" s="24"/>
      <c r="AE25" s="24"/>
    </row>
    <row r="26" spans="1:31" ht="22.2" customHeight="1" x14ac:dyDescent="0.3">
      <c r="A26" s="66" t="str">
        <f>+IF(PROVEEDORES[[#This Row],[FECHA DE PAGO]]=PROVEEDORES[[#This Row],[FECHA DE FACTURACIÓN]],"DE CONTADO","CRÉDITO")</f>
        <v>CRÉDITO</v>
      </c>
      <c r="B26" s="38" t="str">
        <f>+IF((PROVEEDORES[[#This Row],[FECHA DE PAGO]]-PROVEEDORES[[#This Row],[FECHA DE FACTURACIÓN]])&gt;PROVEEDORES[[#This Row],[PLAZO Días]],"PAGO VENCIDO")</f>
        <v>PAGO VENCIDO</v>
      </c>
      <c r="C26" s="20">
        <f>+VLOOKUP(PROVEEDORES[[#This Row],[PROVEEDOR]],TERCEROS_INFO[#All],2,FALSE)</f>
        <v>20</v>
      </c>
      <c r="D26" s="25">
        <f>+SUMIFS(PROVEEDORES[Total],PROVEEDORES[PROVEEDOR],PROVEEDORES[[#This Row],[PROVEEDOR]],PROVEEDORES[FECHA DE PAGO],"")</f>
        <v>0</v>
      </c>
      <c r="E26" s="25"/>
      <c r="F2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6" s="161">
        <v>44496</v>
      </c>
      <c r="H26" s="26" t="s">
        <v>942</v>
      </c>
      <c r="I26" s="161">
        <v>44461</v>
      </c>
      <c r="J26" s="35" t="s">
        <v>1465</v>
      </c>
      <c r="K26" s="21">
        <v>-956801</v>
      </c>
      <c r="L26" s="21"/>
      <c r="M26" s="22">
        <f>(PROVEEDORES[[#This Row],[SUBTOTAL]]-PROVEEDORES[[#This Row],[descuento sobre subtotal]])*VLOOKUP(PROVEEDORES[[#This Row],[PROVEEDOR]],TERCEROS_INFO[#All],3,FALSE)</f>
        <v>-181792.19</v>
      </c>
      <c r="N26" s="23"/>
      <c r="O26" s="22">
        <f>+PROVEEDORES[[#This Row],[Descuento sobre subtotal %]]*(PROVEEDORES[[#This Row],[SUBTOTAL]]-PROVEEDORES[[#This Row],[descuento sobre subtotal]])</f>
        <v>0</v>
      </c>
      <c r="P26" s="83">
        <f>+IF(PROVEEDORES[[#This Row],[SUBTOTAL]]&lt;PROVEEDORES[[#This Row],[base retencion]],0,PROVEEDORES[[#This Row],[retención aplicada]])</f>
        <v>0</v>
      </c>
      <c r="Q26" s="22">
        <f>+PROVEEDORES[[#This Row],[Rete Fuente %]]*(PROVEEDORES[[#This Row],[SUBTOTAL]]-PROVEEDORES[[#This Row],[descuento sobre subtotal]])</f>
        <v>0</v>
      </c>
      <c r="R26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68">
        <f ca="1">IF(PROVEEDORES[[#This Row],[FECHA DE PAGO]]=0,TODAY()-PROVEEDORES[[#This Row],[FECHA DE FACTURACIÓN]]-PROVEEDORES[[#This Row],[PLAZO Días]],0)</f>
        <v>0</v>
      </c>
      <c r="U26" s="96" t="str">
        <f>+VLOOKUP(PROVEEDORES[[#This Row],[PROVEEDOR]],Terceros!$A:$D,4,FALSE)</f>
        <v>3,5% sin base</v>
      </c>
      <c r="V26" s="97">
        <f>+YEAR(PROVEEDORES[[#This Row],[FECHA DE FACTURACIÓN]])</f>
        <v>2021</v>
      </c>
      <c r="W26" s="97">
        <f>+MATCH(PROVEEDORES[[#This Row],[año facturado]],Retenciones!$1:$1,0)</f>
        <v>4</v>
      </c>
      <c r="X26" s="98">
        <f>+VLOOKUP(PROVEEDORES[[#This Row],[ID RETENCION]],Retenciones!$A$1:$O$25,PROVEEDORES[[#This Row],[indicador de columna]],FALSE)</f>
        <v>0</v>
      </c>
      <c r="Y26" s="99">
        <f>+VLOOKUP(PROVEEDORES[[#This Row],[ID RETENCION]],Retenciones!$A$1:$O$25,2,FALSE)</f>
        <v>3.5000000000000003E-2</v>
      </c>
      <c r="Z26" s="127" t="b">
        <f>OR(COUNTIF(PROVEEDORES[[#This Row],[PROVEEDOR]],"*"&amp;'Palabra no opera'!$A$2&amp;"*"))</f>
        <v>1</v>
      </c>
      <c r="AA26" s="24"/>
      <c r="AB26" s="24"/>
      <c r="AC26" s="24"/>
      <c r="AD26" s="24"/>
      <c r="AE26" s="24"/>
    </row>
    <row r="27" spans="1:31" ht="22.2" customHeight="1" x14ac:dyDescent="0.3">
      <c r="A27" s="66" t="str">
        <f>+IF(PROVEEDORES[[#This Row],[FECHA DE PAGO]]=PROVEEDORES[[#This Row],[FECHA DE FACTURACIÓN]],"DE CONTADO","CRÉDITO")</f>
        <v>CRÉDITO</v>
      </c>
      <c r="B27" s="38" t="b">
        <f>+IF((PROVEEDORES[[#This Row],[FECHA DE PAGO]]-PROVEEDORES[[#This Row],[FECHA DE FACTURACIÓN]])&gt;PROVEEDORES[[#This Row],[PLAZO Días]],"PAGO VENCIDO")</f>
        <v>0</v>
      </c>
      <c r="C27" s="20">
        <f>+VLOOKUP(PROVEEDORES[[#This Row],[PROVEEDOR]],TERCEROS_INFO[#All],2,FALSE)</f>
        <v>30</v>
      </c>
      <c r="D27" s="25">
        <f>+SUMIFS(PROVEEDORES[Total],PROVEEDORES[PROVEEDOR],PROVEEDORES[[#This Row],[PROVEEDOR]],PROVEEDORES[FECHA DE PAGO],"")</f>
        <v>2121000</v>
      </c>
      <c r="E27" s="25"/>
      <c r="F2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7" s="161">
        <v>44560</v>
      </c>
      <c r="H27" s="26" t="s">
        <v>685</v>
      </c>
      <c r="I27" s="161">
        <v>44557</v>
      </c>
      <c r="J27" s="35" t="s">
        <v>1551</v>
      </c>
      <c r="K27" s="21">
        <v>-1100000</v>
      </c>
      <c r="L27" s="21"/>
      <c r="M27" s="22">
        <f>(PROVEEDORES[[#This Row],[SUBTOTAL]]-PROVEEDORES[[#This Row],[descuento sobre subtotal]])*VLOOKUP(PROVEEDORES[[#This Row],[PROVEEDOR]],TERCEROS_INFO[#All],3,FALSE)</f>
        <v>0</v>
      </c>
      <c r="N27" s="23"/>
      <c r="O27" s="22">
        <f>+PROVEEDORES[[#This Row],[Descuento sobre subtotal %]]*(PROVEEDORES[[#This Row],[SUBTOTAL]]-PROVEEDORES[[#This Row],[descuento sobre subtotal]])</f>
        <v>0</v>
      </c>
      <c r="P27" s="83">
        <f>+IF(PROVEEDORES[[#This Row],[SUBTOTAL]]&lt;PROVEEDORES[[#This Row],[base retencion]],0,PROVEEDORES[[#This Row],[retención aplicada]])</f>
        <v>0</v>
      </c>
      <c r="Q27" s="22">
        <f>+PROVEEDORES[[#This Row],[Rete Fuente %]]*(PROVEEDORES[[#This Row],[SUBTOTAL]]-PROVEEDORES[[#This Row],[descuento sobre subtotal]])</f>
        <v>0</v>
      </c>
      <c r="R27" s="21">
        <f>+PROVEEDORES[[#This Row],[SUBTOTAL]]+PROVEEDORES[[#This Row],[IVA 19%]]-PROVEEDORES[[#This Row],[descuento sobre subtotal]]-PROVEEDORES[[#This Row],[Descuento sobre subtotal $2]]-PROVEEDORES[[#This Row],[Rete Fuente $]]</f>
        <v>-1100000</v>
      </c>
      <c r="S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68">
        <f ca="1">IF(PROVEEDORES[[#This Row],[FECHA DE PAGO]]=0,TODAY()-PROVEEDORES[[#This Row],[FECHA DE FACTURACIÓN]]-PROVEEDORES[[#This Row],[PLAZO Días]],0)</f>
        <v>0</v>
      </c>
      <c r="U27" s="96">
        <f>+VLOOKUP(PROVEEDORES[[#This Row],[PROVEEDOR]],Terceros!$A:$D,4,FALSE)</f>
        <v>0</v>
      </c>
      <c r="V27" s="97">
        <f>+YEAR(PROVEEDORES[[#This Row],[FECHA DE FACTURACIÓN]])</f>
        <v>2021</v>
      </c>
      <c r="W27" s="97">
        <f>+MATCH(PROVEEDORES[[#This Row],[año facturado]],Retenciones!$1:$1,0)</f>
        <v>4</v>
      </c>
      <c r="X27" s="98">
        <f>+VLOOKUP(PROVEEDORES[[#This Row],[ID RETENCION]],Retenciones!$A$1:$O$25,PROVEEDORES[[#This Row],[indicador de columna]],FALSE)</f>
        <v>0</v>
      </c>
      <c r="Y27" s="99">
        <f>+VLOOKUP(PROVEEDORES[[#This Row],[ID RETENCION]],Retenciones!$A$1:$O$25,2,FALSE)</f>
        <v>0</v>
      </c>
      <c r="Z27" s="125" t="b">
        <f>OR(COUNTIF(PROVEEDORES[[#This Row],[PROVEEDOR]],"*"&amp;'Palabra no opera'!$A$2&amp;"*"))</f>
        <v>0</v>
      </c>
      <c r="AA27" s="24"/>
      <c r="AB27" s="24"/>
      <c r="AC27" s="24"/>
      <c r="AD27" s="24"/>
      <c r="AE27" s="24"/>
    </row>
    <row r="28" spans="1:31" ht="22.2" customHeight="1" x14ac:dyDescent="0.3">
      <c r="A28" s="66" t="str">
        <f>+IF(PROVEEDORES[[#This Row],[FECHA DE PAGO]]=PROVEEDORES[[#This Row],[FECHA DE FACTURACIÓN]],"DE CONTADO","CRÉDITO")</f>
        <v>CRÉDITO</v>
      </c>
      <c r="B28" s="38" t="str">
        <f>+IF((PROVEEDORES[[#This Row],[FECHA DE PAGO]]-PROVEEDORES[[#This Row],[FECHA DE FACTURACIÓN]])&gt;PROVEEDORES[[#This Row],[PLAZO Días]],"PAGO VENCIDO")</f>
        <v>PAGO VENCIDO</v>
      </c>
      <c r="C28" s="20">
        <f>+VLOOKUP(PROVEEDORES[[#This Row],[PROVEEDOR]],TERCEROS_INFO[#All],2,FALSE)</f>
        <v>30</v>
      </c>
      <c r="D28" s="25">
        <f>+SUMIFS(PROVEEDORES[Total],PROVEEDORES[PROVEEDOR],PROVEEDORES[[#This Row],[PROVEEDOR]],PROVEEDORES[FECHA DE PAGO],"")</f>
        <v>0</v>
      </c>
      <c r="E28" s="25"/>
      <c r="F2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8" s="161">
        <v>44341</v>
      </c>
      <c r="H28" s="26" t="s">
        <v>913</v>
      </c>
      <c r="I28" s="161">
        <v>44287</v>
      </c>
      <c r="J28" s="35" t="s">
        <v>1201</v>
      </c>
      <c r="K28" s="21">
        <v>-918350</v>
      </c>
      <c r="L28" s="21"/>
      <c r="M28" s="22">
        <f>(PROVEEDORES[[#This Row],[SUBTOTAL]]-PROVEEDORES[[#This Row],[descuento sobre subtotal]])*VLOOKUP(PROVEEDORES[[#This Row],[PROVEEDOR]],TERCEROS_INFO[#All],3,FALSE)</f>
        <v>-174486.5</v>
      </c>
      <c r="N28" s="23"/>
      <c r="O28" s="22">
        <f>+PROVEEDORES[[#This Row],[Descuento sobre subtotal %]]*(PROVEEDORES[[#This Row],[SUBTOTAL]]-PROVEEDORES[[#This Row],[descuento sobre subtotal]])</f>
        <v>0</v>
      </c>
      <c r="P28" s="83">
        <f>+IF(PROVEEDORES[[#This Row],[SUBTOTAL]]&lt;PROVEEDORES[[#This Row],[base retencion]],0,PROVEEDORES[[#This Row],[retención aplicada]])</f>
        <v>0</v>
      </c>
      <c r="Q28" s="22">
        <f>+PROVEEDORES[[#This Row],[Rete Fuente %]]*(PROVEEDORES[[#This Row],[SUBTOTAL]]-PROVEEDORES[[#This Row],[descuento sobre subtotal]])</f>
        <v>0</v>
      </c>
      <c r="R28" s="21">
        <f>+PROVEEDORES[[#This Row],[SUBTOTAL]]+PROVEEDORES[[#This Row],[IVA 19%]]-PROVEEDORES[[#This Row],[descuento sobre subtotal]]-PROVEEDORES[[#This Row],[Descuento sobre subtotal $2]]-PROVEEDORES[[#This Row],[Rete Fuente $]]</f>
        <v>-1092836.5</v>
      </c>
      <c r="S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68">
        <f ca="1">IF(PROVEEDORES[[#This Row],[FECHA DE PAGO]]=0,TODAY()-PROVEEDORES[[#This Row],[FECHA DE FACTURACIÓN]]-PROVEEDORES[[#This Row],[PLAZO Días]],0)</f>
        <v>0</v>
      </c>
      <c r="U28" s="96">
        <f>+VLOOKUP(PROVEEDORES[[#This Row],[PROVEEDOR]],Terceros!$A:$D,4,FALSE)</f>
        <v>0</v>
      </c>
      <c r="V28" s="97">
        <f>+YEAR(PROVEEDORES[[#This Row],[FECHA DE FACTURACIÓN]])</f>
        <v>2021</v>
      </c>
      <c r="W28" s="97">
        <f>+MATCH(PROVEEDORES[[#This Row],[año facturado]],Retenciones!$1:$1,0)</f>
        <v>4</v>
      </c>
      <c r="X28" s="98">
        <f>+VLOOKUP(PROVEEDORES[[#This Row],[ID RETENCION]],Retenciones!$A$1:$O$25,PROVEEDORES[[#This Row],[indicador de columna]],FALSE)</f>
        <v>0</v>
      </c>
      <c r="Y28" s="99">
        <f>+VLOOKUP(PROVEEDORES[[#This Row],[ID RETENCION]],Retenciones!$A$1:$O$25,2,FALSE)</f>
        <v>0</v>
      </c>
      <c r="Z28" s="125" t="b">
        <f>OR(COUNTIF(PROVEEDORES[[#This Row],[PROVEEDOR]],"*"&amp;'Palabra no opera'!$A$2&amp;"*"))</f>
        <v>1</v>
      </c>
      <c r="AA28" s="24"/>
      <c r="AB28" s="24"/>
      <c r="AC28" s="24"/>
      <c r="AD28" s="24"/>
      <c r="AE28" s="24"/>
    </row>
    <row r="29" spans="1:31" ht="22.2" customHeight="1" x14ac:dyDescent="0.3">
      <c r="A29" s="66" t="str">
        <f>+IF(PROVEEDORES[[#This Row],[FECHA DE PAGO]]=PROVEEDORES[[#This Row],[FECHA DE FACTURACIÓN]],"DE CONTADO","CRÉDITO")</f>
        <v>CRÉDITO</v>
      </c>
      <c r="B29" s="38" t="str">
        <f>+IF((PROVEEDORES[[#This Row],[FECHA DE PAGO]]-PROVEEDORES[[#This Row],[FECHA DE FACTURACIÓN]])&gt;PROVEEDORES[[#This Row],[PLAZO Días]],"PAGO VENCIDO")</f>
        <v>PAGO VENCIDO</v>
      </c>
      <c r="C29" s="20">
        <f>+VLOOKUP(PROVEEDORES[[#This Row],[PROVEEDOR]],TERCEROS_INFO[#All],2,FALSE)</f>
        <v>30</v>
      </c>
      <c r="D29" s="25">
        <f>+SUMIFS(PROVEEDORES[Total],PROVEEDORES[PROVEEDOR],PROVEEDORES[[#This Row],[PROVEEDOR]],PROVEEDORES[FECHA DE PAGO],"")</f>
        <v>0</v>
      </c>
      <c r="E29" s="25"/>
      <c r="F2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9" s="161">
        <v>44432</v>
      </c>
      <c r="H29" s="26" t="s">
        <v>925</v>
      </c>
      <c r="I29" s="161">
        <v>44369</v>
      </c>
      <c r="J29" s="35" t="s">
        <v>1256</v>
      </c>
      <c r="K29" s="21">
        <v>-1000000</v>
      </c>
      <c r="L29" s="21"/>
      <c r="M29" s="22">
        <f>(PROVEEDORES[[#This Row],[SUBTOTAL]]-PROVEEDORES[[#This Row],[descuento sobre subtotal]])*VLOOKUP(PROVEEDORES[[#This Row],[PROVEEDOR]],TERCEROS_INFO[#All],3,FALSE)</f>
        <v>0</v>
      </c>
      <c r="N29" s="23"/>
      <c r="O29" s="22">
        <f>+PROVEEDORES[[#This Row],[Descuento sobre subtotal %]]*(PROVEEDORES[[#This Row],[SUBTOTAL]]-PROVEEDORES[[#This Row],[descuento sobre subtotal]])</f>
        <v>0</v>
      </c>
      <c r="P29" s="83">
        <f>+IF(PROVEEDORES[[#This Row],[SUBTOTAL]]&lt;PROVEEDORES[[#This Row],[base retencion]],0,PROVEEDORES[[#This Row],[retención aplicada]])</f>
        <v>0</v>
      </c>
      <c r="Q29" s="22">
        <f>+PROVEEDORES[[#This Row],[Rete Fuente %]]*(PROVEEDORES[[#This Row],[SUBTOTAL]]-PROVEEDORES[[#This Row],[descuento sobre subtotal]])</f>
        <v>0</v>
      </c>
      <c r="R29" s="21">
        <f>+PROVEEDORES[[#This Row],[SUBTOTAL]]+PROVEEDORES[[#This Row],[IVA 19%]]-PROVEEDORES[[#This Row],[descuento sobre subtotal]]-PROVEEDORES[[#This Row],[Descuento sobre subtotal $2]]-PROVEEDORES[[#This Row],[Rete Fuente $]]</f>
        <v>-1000000</v>
      </c>
      <c r="S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68">
        <f ca="1">IF(PROVEEDORES[[#This Row],[FECHA DE PAGO]]=0,TODAY()-PROVEEDORES[[#This Row],[FECHA DE FACTURACIÓN]]-PROVEEDORES[[#This Row],[PLAZO Días]],0)</f>
        <v>0</v>
      </c>
      <c r="U29" s="96" t="str">
        <f>+VLOOKUP(PROVEEDORES[[#This Row],[PROVEEDOR]],Terceros!$A:$D,4,FALSE)</f>
        <v>3,5% sin base</v>
      </c>
      <c r="V29" s="97">
        <f>+YEAR(PROVEEDORES[[#This Row],[FECHA DE FACTURACIÓN]])</f>
        <v>2021</v>
      </c>
      <c r="W29" s="97">
        <f>+MATCH(PROVEEDORES[[#This Row],[año facturado]],Retenciones!$1:$1,0)</f>
        <v>4</v>
      </c>
      <c r="X29" s="98">
        <f>+VLOOKUP(PROVEEDORES[[#This Row],[ID RETENCION]],Retenciones!$A$1:$O$25,PROVEEDORES[[#This Row],[indicador de columna]],FALSE)</f>
        <v>0</v>
      </c>
      <c r="Y29" s="99">
        <f>+VLOOKUP(PROVEEDORES[[#This Row],[ID RETENCION]],Retenciones!$A$1:$O$25,2,FALSE)</f>
        <v>3.5000000000000003E-2</v>
      </c>
      <c r="Z29" s="125" t="b">
        <f>OR(COUNTIF(PROVEEDORES[[#This Row],[PROVEEDOR]],"*"&amp;'Palabra no opera'!$A$2&amp;"*"))</f>
        <v>1</v>
      </c>
      <c r="AA29" s="24"/>
      <c r="AB29" s="24"/>
      <c r="AC29" s="24"/>
      <c r="AD29" s="24"/>
      <c r="AE29" s="24"/>
    </row>
    <row r="30" spans="1:31" ht="22.2" customHeight="1" x14ac:dyDescent="0.3">
      <c r="A30" s="66" t="str">
        <f>+IF(PROVEEDORES[[#This Row],[FECHA DE PAGO]]=PROVEEDORES[[#This Row],[FECHA DE FACTURACIÓN]],"DE CONTADO","CRÉDITO")</f>
        <v>CRÉDITO</v>
      </c>
      <c r="B30" s="38" t="str">
        <f>+IF((PROVEEDORES[[#This Row],[FECHA DE PAGO]]-PROVEEDORES[[#This Row],[FECHA DE FACTURACIÓN]])&gt;PROVEEDORES[[#This Row],[PLAZO Días]],"PAGO VENCIDO")</f>
        <v>PAGO VENCIDO</v>
      </c>
      <c r="C30" s="20">
        <f>+VLOOKUP(PROVEEDORES[[#This Row],[PROVEEDOR]],TERCEROS_INFO[#All],2,FALSE)</f>
        <v>30</v>
      </c>
      <c r="D30" s="25">
        <f>+SUMIFS(PROVEEDORES[Total],PROVEEDORES[PROVEEDOR],PROVEEDORES[[#This Row],[PROVEEDOR]],PROVEEDORES[FECHA DE PAGO],"")</f>
        <v>0</v>
      </c>
      <c r="E30" s="25"/>
      <c r="F3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30" s="161">
        <v>44432</v>
      </c>
      <c r="H30" s="26" t="s">
        <v>925</v>
      </c>
      <c r="I30" s="161">
        <v>44396</v>
      </c>
      <c r="J30" s="35" t="s">
        <v>1256</v>
      </c>
      <c r="K30" s="21">
        <v>-1000000</v>
      </c>
      <c r="L30" s="21"/>
      <c r="M30" s="22">
        <f>(PROVEEDORES[[#This Row],[SUBTOTAL]]-PROVEEDORES[[#This Row],[descuento sobre subtotal]])*VLOOKUP(PROVEEDORES[[#This Row],[PROVEEDOR]],TERCEROS_INFO[#All],3,FALSE)</f>
        <v>0</v>
      </c>
      <c r="N30" s="23"/>
      <c r="O30" s="22">
        <f>+PROVEEDORES[[#This Row],[Descuento sobre subtotal %]]*(PROVEEDORES[[#This Row],[SUBTOTAL]]-PROVEEDORES[[#This Row],[descuento sobre subtotal]])</f>
        <v>0</v>
      </c>
      <c r="P30" s="83">
        <f>+IF(PROVEEDORES[[#This Row],[SUBTOTAL]]&lt;PROVEEDORES[[#This Row],[base retencion]],0,PROVEEDORES[[#This Row],[retención aplicada]])</f>
        <v>0</v>
      </c>
      <c r="Q30" s="22">
        <f>+PROVEEDORES[[#This Row],[Rete Fuente %]]*(PROVEEDORES[[#This Row],[SUBTOTAL]]-PROVEEDORES[[#This Row],[descuento sobre subtotal]])</f>
        <v>0</v>
      </c>
      <c r="R30" s="21">
        <f>+PROVEEDORES[[#This Row],[SUBTOTAL]]+PROVEEDORES[[#This Row],[IVA 19%]]-PROVEEDORES[[#This Row],[descuento sobre subtotal]]-PROVEEDORES[[#This Row],[Descuento sobre subtotal $2]]-PROVEEDORES[[#This Row],[Rete Fuente $]]</f>
        <v>-1000000</v>
      </c>
      <c r="S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68">
        <f ca="1">IF(PROVEEDORES[[#This Row],[FECHA DE PAGO]]=0,TODAY()-PROVEEDORES[[#This Row],[FECHA DE FACTURACIÓN]]-PROVEEDORES[[#This Row],[PLAZO Días]],0)</f>
        <v>0</v>
      </c>
      <c r="U30" s="96" t="str">
        <f>+VLOOKUP(PROVEEDORES[[#This Row],[PROVEEDOR]],Terceros!$A:$D,4,FALSE)</f>
        <v>3,5% sin base</v>
      </c>
      <c r="V30" s="97">
        <f>+YEAR(PROVEEDORES[[#This Row],[FECHA DE FACTURACIÓN]])</f>
        <v>2021</v>
      </c>
      <c r="W30" s="97">
        <f>+MATCH(PROVEEDORES[[#This Row],[año facturado]],Retenciones!$1:$1,0)</f>
        <v>4</v>
      </c>
      <c r="X30" s="98">
        <f>+VLOOKUP(PROVEEDORES[[#This Row],[ID RETENCION]],Retenciones!$A$1:$O$25,PROVEEDORES[[#This Row],[indicador de columna]],FALSE)</f>
        <v>0</v>
      </c>
      <c r="Y30" s="99">
        <f>+VLOOKUP(PROVEEDORES[[#This Row],[ID RETENCION]],Retenciones!$A$1:$O$25,2,FALSE)</f>
        <v>3.5000000000000003E-2</v>
      </c>
      <c r="Z30" s="125" t="b">
        <f>OR(COUNTIF(PROVEEDORES[[#This Row],[PROVEEDOR]],"*"&amp;'Palabra no opera'!$A$2&amp;"*"))</f>
        <v>1</v>
      </c>
      <c r="AA30" s="24"/>
      <c r="AB30" s="24"/>
      <c r="AC30" s="24"/>
      <c r="AD30" s="24"/>
      <c r="AE30" s="24"/>
    </row>
    <row r="31" spans="1:31" ht="22.2" customHeight="1" x14ac:dyDescent="0.3">
      <c r="A31" s="66" t="str">
        <f>+IF(PROVEEDORES[[#This Row],[FECHA DE PAGO]]=PROVEEDORES[[#This Row],[FECHA DE FACTURACIÓN]],"DE CONTADO","CRÉDITO")</f>
        <v>DE CONTADO</v>
      </c>
      <c r="B31" s="38" t="b">
        <f>+IF((PROVEEDORES[[#This Row],[FECHA DE PAGO]]-PROVEEDORES[[#This Row],[FECHA DE FACTURACIÓN]])&gt;PROVEEDORES[[#This Row],[PLAZO Días]],"PAGO VENCIDO")</f>
        <v>0</v>
      </c>
      <c r="C31" s="20">
        <f>+VLOOKUP(PROVEEDORES[[#This Row],[PROVEEDOR]],TERCEROS_INFO[#All],2,FALSE)</f>
        <v>18</v>
      </c>
      <c r="D31" s="25">
        <f>+SUMIFS(PROVEEDORES[Total],PROVEEDORES[PROVEEDOR],PROVEEDORES[[#This Row],[PROVEEDOR]],PROVEEDORES[FECHA DE PAGO],"")</f>
        <v>0</v>
      </c>
      <c r="E31" s="25"/>
      <c r="F31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31" s="161">
        <v>44316</v>
      </c>
      <c r="H31" s="26" t="s">
        <v>924</v>
      </c>
      <c r="I31" s="161">
        <v>44316</v>
      </c>
      <c r="J31" s="35" t="s">
        <v>309</v>
      </c>
      <c r="K31" s="21">
        <v>-972802</v>
      </c>
      <c r="L31" s="21"/>
      <c r="M31" s="22">
        <f>(PROVEEDORES[[#This Row],[SUBTOTAL]]-PROVEEDORES[[#This Row],[descuento sobre subtotal]])*VLOOKUP(PROVEEDORES[[#This Row],[PROVEEDOR]],TERCEROS_INFO[#All],3,FALSE)</f>
        <v>0</v>
      </c>
      <c r="N31" s="23"/>
      <c r="O31" s="22">
        <f>+PROVEEDORES[[#This Row],[Descuento sobre subtotal %]]*(PROVEEDORES[[#This Row],[SUBTOTAL]]-PROVEEDORES[[#This Row],[descuento sobre subtotal]])</f>
        <v>0</v>
      </c>
      <c r="P31" s="83">
        <f>+IF(PROVEEDORES[[#This Row],[SUBTOTAL]]&lt;PROVEEDORES[[#This Row],[base retencion]],0,PROVEEDORES[[#This Row],[retención aplicada]])</f>
        <v>0</v>
      </c>
      <c r="Q31" s="22">
        <f>+PROVEEDORES[[#This Row],[Rete Fuente %]]*(PROVEEDORES[[#This Row],[SUBTOTAL]]-PROVEEDORES[[#This Row],[descuento sobre subtotal]])</f>
        <v>0</v>
      </c>
      <c r="R31" s="21">
        <f>+PROVEEDORES[[#This Row],[SUBTOTAL]]+PROVEEDORES[[#This Row],[IVA 19%]]-PROVEEDORES[[#This Row],[descuento sobre subtotal]]-PROVEEDORES[[#This Row],[Descuento sobre subtotal $2]]-PROVEEDORES[[#This Row],[Rete Fuente $]]</f>
        <v>-972802</v>
      </c>
      <c r="S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68">
        <f ca="1">IF(PROVEEDORES[[#This Row],[FECHA DE PAGO]]=0,TODAY()-PROVEEDORES[[#This Row],[FECHA DE FACTURACIÓN]]-PROVEEDORES[[#This Row],[PLAZO Días]],0)</f>
        <v>0</v>
      </c>
      <c r="U31" s="96">
        <f>+VLOOKUP(PROVEEDORES[[#This Row],[PROVEEDOR]],Terceros!$A:$D,4,FALSE)</f>
        <v>0</v>
      </c>
      <c r="V31" s="97">
        <f>+YEAR(PROVEEDORES[[#This Row],[FECHA DE FACTURACIÓN]])</f>
        <v>2021</v>
      </c>
      <c r="W31" s="97">
        <f>+MATCH(PROVEEDORES[[#This Row],[año facturado]],Retenciones!$1:$1,0)</f>
        <v>4</v>
      </c>
      <c r="X31" s="98">
        <f>+VLOOKUP(PROVEEDORES[[#This Row],[ID RETENCION]],Retenciones!$A$1:$O$25,PROVEEDORES[[#This Row],[indicador de columna]],FALSE)</f>
        <v>0</v>
      </c>
      <c r="Y31" s="99">
        <f>+VLOOKUP(PROVEEDORES[[#This Row],[ID RETENCION]],Retenciones!$A$1:$O$25,2,FALSE)</f>
        <v>0</v>
      </c>
      <c r="Z31" s="125" t="b">
        <f>OR(COUNTIF(PROVEEDORES[[#This Row],[PROVEEDOR]],"*"&amp;'Palabra no opera'!$A$2&amp;"*"))</f>
        <v>1</v>
      </c>
      <c r="AA31" s="24"/>
      <c r="AB31" s="24"/>
      <c r="AC31" s="24"/>
      <c r="AD31" s="24"/>
      <c r="AE31" s="24"/>
    </row>
    <row r="32" spans="1:31" ht="22.2" customHeight="1" x14ac:dyDescent="0.3">
      <c r="A32" s="66" t="str">
        <f>+IF(PROVEEDORES[[#This Row],[FECHA DE PAGO]]=PROVEEDORES[[#This Row],[FECHA DE FACTURACIÓN]],"DE CONTADO","CRÉDITO")</f>
        <v>CRÉDITO</v>
      </c>
      <c r="B32" s="38" t="b">
        <f>+IF((PROVEEDORES[[#This Row],[FECHA DE PAGO]]-PROVEEDORES[[#This Row],[FECHA DE FACTURACIÓN]])&gt;PROVEEDORES[[#This Row],[PLAZO Días]],"PAGO VENCIDO")</f>
        <v>0</v>
      </c>
      <c r="C32" s="20">
        <f>+VLOOKUP(PROVEEDORES[[#This Row],[PROVEEDOR]],TERCEROS_INFO[#All],2,FALSE)</f>
        <v>45</v>
      </c>
      <c r="D32" s="25">
        <f>+SUMIFS(PROVEEDORES[Total],PROVEEDORES[PROVEEDOR],PROVEEDORES[[#This Row],[PROVEEDOR]],PROVEEDORES[FECHA DE PAGO],"")</f>
        <v>2604910</v>
      </c>
      <c r="E32" s="25"/>
      <c r="F3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2" s="161">
        <v>44257</v>
      </c>
      <c r="H32" s="26" t="s">
        <v>10</v>
      </c>
      <c r="I32" s="161">
        <v>44229</v>
      </c>
      <c r="J32" s="35" t="s">
        <v>1646</v>
      </c>
      <c r="K32" s="21">
        <v>-732000</v>
      </c>
      <c r="L32" s="21"/>
      <c r="M32" s="22">
        <f>(PROVEEDORES[[#This Row],[SUBTOTAL]]-PROVEEDORES[[#This Row],[descuento sobre subtotal]])*VLOOKUP(PROVEEDORES[[#This Row],[PROVEEDOR]],TERCEROS_INFO[#All],3,FALSE)</f>
        <v>-139080</v>
      </c>
      <c r="N32" s="23"/>
      <c r="O32" s="22">
        <f>+PROVEEDORES[[#This Row],[Descuento sobre subtotal %]]*(PROVEEDORES[[#This Row],[SUBTOTAL]]-PROVEEDORES[[#This Row],[descuento sobre subtotal]])</f>
        <v>0</v>
      </c>
      <c r="P32" s="83">
        <f>+IF(PROVEEDORES[[#This Row],[SUBTOTAL]]&lt;PROVEEDORES[[#This Row],[base retencion]],0,PROVEEDORES[[#This Row],[retención aplicada]])</f>
        <v>0</v>
      </c>
      <c r="Q32" s="22">
        <f>+PROVEEDORES[[#This Row],[Rete Fuente %]]*(PROVEEDORES[[#This Row],[SUBTOTAL]]-PROVEEDORES[[#This Row],[descuento sobre subtotal]])</f>
        <v>0</v>
      </c>
      <c r="R32" s="21">
        <f>+PROVEEDORES[[#This Row],[SUBTOTAL]]+PROVEEDORES[[#This Row],[IVA 19%]]-PROVEEDORES[[#This Row],[descuento sobre subtotal]]-PROVEEDORES[[#This Row],[Descuento sobre subtotal $2]]-PROVEEDORES[[#This Row],[Rete Fuente $]]</f>
        <v>-871080</v>
      </c>
      <c r="S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68">
        <f ca="1">IF(PROVEEDORES[[#This Row],[FECHA DE PAGO]]=0,TODAY()-PROVEEDORES[[#This Row],[FECHA DE FACTURACIÓN]]-PROVEEDORES[[#This Row],[PLAZO Días]],0)</f>
        <v>0</v>
      </c>
      <c r="U32" s="96">
        <f>+VLOOKUP(PROVEEDORES[[#This Row],[PROVEEDOR]],Terceros!$A:$D,4,FALSE)</f>
        <v>0</v>
      </c>
      <c r="V32" s="97">
        <f>+YEAR(PROVEEDORES[[#This Row],[FECHA DE FACTURACIÓN]])</f>
        <v>2021</v>
      </c>
      <c r="W32" s="97">
        <f>+MATCH(PROVEEDORES[[#This Row],[año facturado]],Retenciones!$1:$1,0)</f>
        <v>4</v>
      </c>
      <c r="X32" s="98">
        <f>+VLOOKUP(PROVEEDORES[[#This Row],[ID RETENCION]],Retenciones!$A$1:$O$25,PROVEEDORES[[#This Row],[indicador de columna]],FALSE)</f>
        <v>0</v>
      </c>
      <c r="Y32" s="99">
        <f>+VLOOKUP(PROVEEDORES[[#This Row],[ID RETENCION]],Retenciones!$A$1:$O$25,2,FALSE)</f>
        <v>0</v>
      </c>
      <c r="Z32" s="125" t="b">
        <f>OR(COUNTIF(PROVEEDORES[[#This Row],[PROVEEDOR]],"*"&amp;'Palabra no opera'!$A$2&amp;"*"))</f>
        <v>0</v>
      </c>
      <c r="AA32" s="24"/>
      <c r="AB32" s="24"/>
      <c r="AC32" s="24"/>
      <c r="AD32" s="24"/>
      <c r="AE32" s="24"/>
    </row>
    <row r="33" spans="1:31" ht="22.2" customHeight="1" x14ac:dyDescent="0.3">
      <c r="A33" s="66" t="str">
        <f>+IF(PROVEEDORES[[#This Row],[FECHA DE PAGO]]=PROVEEDORES[[#This Row],[FECHA DE FACTURACIÓN]],"DE CONTADO","CRÉDITO")</f>
        <v>CRÉDITO</v>
      </c>
      <c r="B33" s="38" t="str">
        <f>+IF((PROVEEDORES[[#This Row],[FECHA DE PAGO]]-PROVEEDORES[[#This Row],[FECHA DE FACTURACIÓN]])&gt;PROVEEDORES[[#This Row],[PLAZO Días]],"PAGO VENCIDO")</f>
        <v>PAGO VENCIDO</v>
      </c>
      <c r="C33" s="20">
        <f>+VLOOKUP(PROVEEDORES[[#This Row],[PROVEEDOR]],TERCEROS_INFO[#All],2,FALSE)</f>
        <v>30</v>
      </c>
      <c r="D33" s="25">
        <f>+SUMIFS(PROVEEDORES[Total],PROVEEDORES[PROVEEDOR],PROVEEDORES[[#This Row],[PROVEEDOR]],PROVEEDORES[FECHA DE PAGO],"")</f>
        <v>3236000</v>
      </c>
      <c r="E33" s="25"/>
      <c r="F33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33" s="161">
        <v>44459</v>
      </c>
      <c r="H33" s="26" t="s">
        <v>677</v>
      </c>
      <c r="I33" s="161">
        <v>44411</v>
      </c>
      <c r="J33" s="35" t="s">
        <v>396</v>
      </c>
      <c r="K33" s="21">
        <v>-773200</v>
      </c>
      <c r="L33" s="21"/>
      <c r="M33" s="22">
        <f>(PROVEEDORES[[#This Row],[SUBTOTAL]]-PROVEEDORES[[#This Row],[descuento sobre subtotal]])*VLOOKUP(PROVEEDORES[[#This Row],[PROVEEDOR]],TERCEROS_INFO[#All],3,FALSE)</f>
        <v>0</v>
      </c>
      <c r="N33" s="23"/>
      <c r="O33" s="22">
        <f>+PROVEEDORES[[#This Row],[Descuento sobre subtotal %]]*(PROVEEDORES[[#This Row],[SUBTOTAL]]-PROVEEDORES[[#This Row],[descuento sobre subtotal]])</f>
        <v>0</v>
      </c>
      <c r="P33" s="83">
        <f>+IF(PROVEEDORES[[#This Row],[SUBTOTAL]]&lt;PROVEEDORES[[#This Row],[base retencion]],0,PROVEEDORES[[#This Row],[retención aplicada]])</f>
        <v>0</v>
      </c>
      <c r="Q33" s="22">
        <f>+PROVEEDORES[[#This Row],[Rete Fuente %]]*(PROVEEDORES[[#This Row],[SUBTOTAL]]-PROVEEDORES[[#This Row],[descuento sobre subtotal]])</f>
        <v>0</v>
      </c>
      <c r="R33" s="21">
        <f>+PROVEEDORES[[#This Row],[SUBTOTAL]]+PROVEEDORES[[#This Row],[IVA 19%]]-PROVEEDORES[[#This Row],[descuento sobre subtotal]]-PROVEEDORES[[#This Row],[Descuento sobre subtotal $2]]-PROVEEDORES[[#This Row],[Rete Fuente $]]</f>
        <v>-773200</v>
      </c>
      <c r="S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68">
        <f ca="1">IF(PROVEEDORES[[#This Row],[FECHA DE PAGO]]=0,TODAY()-PROVEEDORES[[#This Row],[FECHA DE FACTURACIÓN]]-PROVEEDORES[[#This Row],[PLAZO Días]],0)</f>
        <v>0</v>
      </c>
      <c r="U33" s="96">
        <f>+VLOOKUP(PROVEEDORES[[#This Row],[PROVEEDOR]],Terceros!$A:$D,4,FALSE)</f>
        <v>0</v>
      </c>
      <c r="V33" s="97">
        <f>+YEAR(PROVEEDORES[[#This Row],[FECHA DE FACTURACIÓN]])</f>
        <v>2021</v>
      </c>
      <c r="W33" s="97">
        <f>+MATCH(PROVEEDORES[[#This Row],[año facturado]],Retenciones!$1:$1,0)</f>
        <v>4</v>
      </c>
      <c r="X33" s="98">
        <f>+VLOOKUP(PROVEEDORES[[#This Row],[ID RETENCION]],Retenciones!$A$1:$O$25,PROVEEDORES[[#This Row],[indicador de columna]],FALSE)</f>
        <v>0</v>
      </c>
      <c r="Y33" s="99">
        <f>+VLOOKUP(PROVEEDORES[[#This Row],[ID RETENCION]],Retenciones!$A$1:$O$25,2,FALSE)</f>
        <v>0</v>
      </c>
      <c r="Z33" s="125" t="b">
        <f>OR(COUNTIF(PROVEEDORES[[#This Row],[PROVEEDOR]],"*"&amp;'Palabra no opera'!$A$2&amp;"*"))</f>
        <v>0</v>
      </c>
      <c r="AA33" s="24"/>
      <c r="AB33" s="24"/>
      <c r="AC33" s="24"/>
      <c r="AD33" s="24"/>
      <c r="AE33" s="24"/>
    </row>
    <row r="34" spans="1:31" ht="22.2" customHeight="1" x14ac:dyDescent="0.3">
      <c r="A34" s="66" t="str">
        <f>+IF(PROVEEDORES[[#This Row],[FECHA DE PAGO]]=PROVEEDORES[[#This Row],[FECHA DE FACTURACIÓN]],"DE CONTADO","CRÉDITO")</f>
        <v>CRÉDITO</v>
      </c>
      <c r="B34" s="38" t="b">
        <f>+IF((PROVEEDORES[[#This Row],[FECHA DE PAGO]]-PROVEEDORES[[#This Row],[FECHA DE FACTURACIÓN]])&gt;PROVEEDORES[[#This Row],[PLAZO Días]],"PAGO VENCIDO")</f>
        <v>0</v>
      </c>
      <c r="C34" s="20">
        <f>+VLOOKUP(PROVEEDORES[[#This Row],[PROVEEDOR]],TERCEROS_INFO[#All],2,FALSE)</f>
        <v>20</v>
      </c>
      <c r="D34" s="25">
        <f>+SUMIFS(PROVEEDORES[Total],PROVEEDORES[PROVEEDOR],PROVEEDORES[[#This Row],[PROVEEDOR]],PROVEEDORES[FECHA DE PAGO],"")</f>
        <v>0</v>
      </c>
      <c r="E34" s="25"/>
      <c r="F3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34" s="161">
        <v>44380</v>
      </c>
      <c r="H34" s="26" t="s">
        <v>331</v>
      </c>
      <c r="I34" s="161">
        <v>44363</v>
      </c>
      <c r="J34" s="35" t="s">
        <v>1460</v>
      </c>
      <c r="K34" s="21">
        <v>-624994.22300000023</v>
      </c>
      <c r="L34" s="21"/>
      <c r="M34" s="22">
        <f>(PROVEEDORES[[#This Row],[SUBTOTAL]]-PROVEEDORES[[#This Row],[descuento sobre subtotal]])*VLOOKUP(PROVEEDORES[[#This Row],[PROVEEDOR]],TERCEROS_INFO[#All],3,FALSE)</f>
        <v>-118748.90237000004</v>
      </c>
      <c r="N34" s="23"/>
      <c r="O34" s="22">
        <f>+PROVEEDORES[[#This Row],[Descuento sobre subtotal %]]*(PROVEEDORES[[#This Row],[SUBTOTAL]]-PROVEEDORES[[#This Row],[descuento sobre subtotal]])</f>
        <v>0</v>
      </c>
      <c r="P34" s="83">
        <f>+IF(PROVEEDORES[[#This Row],[SUBTOTAL]]&lt;PROVEEDORES[[#This Row],[base retencion]],0,PROVEEDORES[[#This Row],[retención aplicada]])</f>
        <v>0</v>
      </c>
      <c r="Q34" s="22">
        <f>+PROVEEDORES[[#This Row],[Rete Fuente %]]*(PROVEEDORES[[#This Row],[SUBTOTAL]]-PROVEEDORES[[#This Row],[descuento sobre subtotal]])</f>
        <v>0</v>
      </c>
      <c r="R34" s="21">
        <f>+PROVEEDORES[[#This Row],[SUBTOTAL]]+PROVEEDORES[[#This Row],[IVA 19%]]-PROVEEDORES[[#This Row],[descuento sobre subtotal]]-PROVEEDORES[[#This Row],[Descuento sobre subtotal $2]]-PROVEEDORES[[#This Row],[Rete Fuente $]]</f>
        <v>-743743.12537000026</v>
      </c>
      <c r="S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68">
        <f ca="1">IF(PROVEEDORES[[#This Row],[FECHA DE PAGO]]=0,TODAY()-PROVEEDORES[[#This Row],[FECHA DE FACTURACIÓN]]-PROVEEDORES[[#This Row],[PLAZO Días]],0)</f>
        <v>0</v>
      </c>
      <c r="U34" s="96" t="str">
        <f>+VLOOKUP(PROVEEDORES[[#This Row],[PROVEEDOR]],Terceros!$A:$D,4,FALSE)</f>
        <v>4% sin base</v>
      </c>
      <c r="V34" s="97">
        <f>+YEAR(PROVEEDORES[[#This Row],[FECHA DE FACTURACIÓN]])</f>
        <v>2021</v>
      </c>
      <c r="W34" s="97">
        <f>+MATCH(PROVEEDORES[[#This Row],[año facturado]],Retenciones!$1:$1,0)</f>
        <v>4</v>
      </c>
      <c r="X34" s="98">
        <f>+VLOOKUP(PROVEEDORES[[#This Row],[ID RETENCION]],Retenciones!$A$1:$O$25,PROVEEDORES[[#This Row],[indicador de columna]],FALSE)</f>
        <v>0</v>
      </c>
      <c r="Y34" s="99">
        <f>+VLOOKUP(PROVEEDORES[[#This Row],[ID RETENCION]],Retenciones!$A$1:$O$25,2,FALSE)</f>
        <v>0.04</v>
      </c>
      <c r="Z34" s="125" t="b">
        <f>OR(COUNTIF(PROVEEDORES[[#This Row],[PROVEEDOR]],"*"&amp;'Palabra no opera'!$A$2&amp;"*"))</f>
        <v>0</v>
      </c>
      <c r="AA34" s="24"/>
      <c r="AB34" s="24"/>
      <c r="AC34" s="24"/>
      <c r="AD34" s="24"/>
      <c r="AE34" s="24"/>
    </row>
    <row r="35" spans="1:31" ht="22.2" customHeight="1" x14ac:dyDescent="0.3">
      <c r="A35" s="159" t="str">
        <f>+IF(PROVEEDORES[[#This Row],[FECHA DE PAGO]]=PROVEEDORES[[#This Row],[FECHA DE FACTURACIÓN]],"DE CONTADO","CRÉDITO")</f>
        <v>DE CONTADO</v>
      </c>
      <c r="B35" s="38" t="b">
        <f>+IF((PROVEEDORES[[#This Row],[FECHA DE PAGO]]-PROVEEDORES[[#This Row],[FECHA DE FACTURACIÓN]])&gt;PROVEEDORES[[#This Row],[PLAZO Días]],"PAGO VENCIDO")</f>
        <v>0</v>
      </c>
      <c r="C35" s="20">
        <f>+VLOOKUP(PROVEEDORES[[#This Row],[PROVEEDOR]],TERCEROS_INFO[#All],2,FALSE)</f>
        <v>60</v>
      </c>
      <c r="D35" s="25">
        <f>+SUMIFS(PROVEEDORES[Total],PROVEEDORES[PROVEEDOR],PROVEEDORES[[#This Row],[PROVEEDOR]],PROVEEDORES[FECHA DE PAGO],"")</f>
        <v>23264500</v>
      </c>
      <c r="E35" s="25"/>
      <c r="F35" s="58">
        <f>+VLOOKUP(PROVEEDORES[[#This Row],[PROVEEDOR]],
                       Terceros!$A:$F,
                       5,
                       FALSE)</f>
        <v>0</v>
      </c>
      <c r="G35" s="161">
        <v>44678</v>
      </c>
      <c r="H35" s="26" t="s">
        <v>1429</v>
      </c>
      <c r="I35" s="161">
        <v>44678</v>
      </c>
      <c r="J35" s="35" t="s">
        <v>1084</v>
      </c>
      <c r="K35" s="21">
        <v>-615900</v>
      </c>
      <c r="L35" s="21"/>
      <c r="M35" s="22">
        <f>(PROVEEDORES[[#This Row],[SUBTOTAL]]-PROVEEDORES[[#This Row],[descuento sobre subtotal]])*VLOOKUP(PROVEEDORES[[#This Row],[PROVEEDOR]],TERCEROS_INFO[#All],3,FALSE)</f>
        <v>-117021</v>
      </c>
      <c r="N35" s="23"/>
      <c r="O35" s="22">
        <f>+PROVEEDORES[[#This Row],[Descuento sobre subtotal %]]*(PROVEEDORES[[#This Row],[SUBTOTAL]]-PROVEEDORES[[#This Row],[descuento sobre subtotal]])</f>
        <v>0</v>
      </c>
      <c r="P35" s="83">
        <f>+IF(PROVEEDORES[[#This Row],[SUBTOTAL]]&lt;PROVEEDORES[[#This Row],[base retencion]],0,PROVEEDORES[[#This Row],[retención aplicada]])</f>
        <v>0</v>
      </c>
      <c r="Q35" s="22">
        <f>+PROVEEDORES[[#This Row],[Rete Fuente %]]*(PROVEEDORES[[#This Row],[SUBTOTAL]]-PROVEEDORES[[#This Row],[descuento sobre subtotal]])</f>
        <v>0</v>
      </c>
      <c r="R35" s="21">
        <f>+PROVEEDORES[[#This Row],[SUBTOTAL]]+PROVEEDORES[[#This Row],[IVA 19%]]-PROVEEDORES[[#This Row],[descuento sobre subtotal]]-PROVEEDORES[[#This Row],[Descuento sobre subtotal $2]]-PROVEEDORES[[#This Row],[Rete Fuente $]]</f>
        <v>-732921</v>
      </c>
      <c r="S3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68">
        <f ca="1">IF(PROVEEDORES[[#This Row],[FECHA DE PAGO]]=0,TODAY()-PROVEEDORES[[#This Row],[FECHA DE FACTURACIÓN]]-PROVEEDORES[[#This Row],[PLAZO Días]],0)</f>
        <v>0</v>
      </c>
      <c r="U35" s="113">
        <f>+VLOOKUP(PROVEEDORES[[#This Row],[PROVEEDOR]],Terceros!$A:$D,4,FALSE)</f>
        <v>0</v>
      </c>
      <c r="V35" s="114">
        <f>+YEAR(PROVEEDORES[[#This Row],[FECHA DE FACTURACIÓN]])</f>
        <v>2022</v>
      </c>
      <c r="W35" s="114">
        <f>+MATCH(PROVEEDORES[[#This Row],[año facturado]],Retenciones!$1:$1,0)</f>
        <v>5</v>
      </c>
      <c r="X35" s="115">
        <f>+VLOOKUP(PROVEEDORES[[#This Row],[ID RETENCION]],Retenciones!$A$1:$O$25,PROVEEDORES[[#This Row],[indicador de columna]],FALSE)</f>
        <v>0</v>
      </c>
      <c r="Y35" s="116">
        <f>+VLOOKUP(PROVEEDORES[[#This Row],[ID RETENCION]],Retenciones!$A$1:$O$25,2,FALSE)</f>
        <v>0</v>
      </c>
      <c r="Z35" s="125" t="b">
        <f>OR(COUNTIF(PROVEEDORES[[#This Row],[PROVEEDOR]],"*"&amp;'Palabra no opera'!$A$2&amp;"*"))</f>
        <v>1</v>
      </c>
      <c r="AA35" s="24"/>
      <c r="AB35" s="24"/>
      <c r="AC35" s="24"/>
      <c r="AD35" s="24"/>
      <c r="AE35" s="24"/>
    </row>
    <row r="36" spans="1:31" ht="22.2" customHeight="1" x14ac:dyDescent="0.3">
      <c r="A36" s="66" t="str">
        <f>+IF(PROVEEDORES[[#This Row],[FECHA DE PAGO]]=PROVEEDORES[[#This Row],[FECHA DE FACTURACIÓN]],"DE CONTADO","CRÉDITO")</f>
        <v>CRÉDITO</v>
      </c>
      <c r="B36" s="38" t="str">
        <f>+IF((PROVEEDORES[[#This Row],[FECHA DE PAGO]]-PROVEEDORES[[#This Row],[FECHA DE FACTURACIÓN]])&gt;PROVEEDORES[[#This Row],[PLAZO Días]],"PAGO VENCIDO")</f>
        <v>PAGO VENCIDO</v>
      </c>
      <c r="C36" s="20">
        <f>+VLOOKUP(PROVEEDORES[[#This Row],[PROVEEDOR]],TERCEROS_INFO[#All],2,FALSE)</f>
        <v>30</v>
      </c>
      <c r="D36" s="25">
        <f>+SUMIFS(PROVEEDORES[Total],PROVEEDORES[PROVEEDOR],PROVEEDORES[[#This Row],[PROVEEDOR]],PROVEEDORES[FECHA DE PAGO],"")</f>
        <v>0</v>
      </c>
      <c r="E36" s="25"/>
      <c r="F3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6" s="161">
        <v>44369</v>
      </c>
      <c r="H36" s="26" t="s">
        <v>913</v>
      </c>
      <c r="I36" s="161">
        <v>44317</v>
      </c>
      <c r="J36" s="35" t="s">
        <v>1217</v>
      </c>
      <c r="K36" s="21">
        <v>-612233</v>
      </c>
      <c r="L36" s="21"/>
      <c r="M36" s="22">
        <f>(PROVEEDORES[[#This Row],[SUBTOTAL]]-PROVEEDORES[[#This Row],[descuento sobre subtotal]])*VLOOKUP(PROVEEDORES[[#This Row],[PROVEEDOR]],TERCEROS_INFO[#All],3,FALSE)</f>
        <v>-116324.27</v>
      </c>
      <c r="N36" s="23"/>
      <c r="O36" s="22">
        <f>+PROVEEDORES[[#This Row],[Descuento sobre subtotal %]]*(PROVEEDORES[[#This Row],[SUBTOTAL]]-PROVEEDORES[[#This Row],[descuento sobre subtotal]])</f>
        <v>0</v>
      </c>
      <c r="P36" s="83">
        <f>+IF(PROVEEDORES[[#This Row],[SUBTOTAL]]&lt;PROVEEDORES[[#This Row],[base retencion]],0,PROVEEDORES[[#This Row],[retención aplicada]])</f>
        <v>0</v>
      </c>
      <c r="Q36" s="22">
        <f>+PROVEEDORES[[#This Row],[Rete Fuente %]]*(PROVEEDORES[[#This Row],[SUBTOTAL]]-PROVEEDORES[[#This Row],[descuento sobre subtotal]])</f>
        <v>0</v>
      </c>
      <c r="R36" s="21">
        <f>+PROVEEDORES[[#This Row],[SUBTOTAL]]+PROVEEDORES[[#This Row],[IVA 19%]]-PROVEEDORES[[#This Row],[descuento sobre subtotal]]-PROVEEDORES[[#This Row],[Descuento sobre subtotal $2]]-PROVEEDORES[[#This Row],[Rete Fuente $]]</f>
        <v>-728557.27</v>
      </c>
      <c r="S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68">
        <f ca="1">IF(PROVEEDORES[[#This Row],[FECHA DE PAGO]]=0,TODAY()-PROVEEDORES[[#This Row],[FECHA DE FACTURACIÓN]]-PROVEEDORES[[#This Row],[PLAZO Días]],0)</f>
        <v>0</v>
      </c>
      <c r="U36" s="96">
        <f>+VLOOKUP(PROVEEDORES[[#This Row],[PROVEEDOR]],Terceros!$A:$D,4,FALSE)</f>
        <v>0</v>
      </c>
      <c r="V36" s="97">
        <f>+YEAR(PROVEEDORES[[#This Row],[FECHA DE FACTURACIÓN]])</f>
        <v>2021</v>
      </c>
      <c r="W36" s="97">
        <f>+MATCH(PROVEEDORES[[#This Row],[año facturado]],Retenciones!$1:$1,0)</f>
        <v>4</v>
      </c>
      <c r="X36" s="98">
        <f>+VLOOKUP(PROVEEDORES[[#This Row],[ID RETENCION]],Retenciones!$A$1:$O$25,PROVEEDORES[[#This Row],[indicador de columna]],FALSE)</f>
        <v>0</v>
      </c>
      <c r="Y36" s="99">
        <f>+VLOOKUP(PROVEEDORES[[#This Row],[ID RETENCION]],Retenciones!$A$1:$O$25,2,FALSE)</f>
        <v>0</v>
      </c>
      <c r="Z36" s="125" t="b">
        <f>OR(COUNTIF(PROVEEDORES[[#This Row],[PROVEEDOR]],"*"&amp;'Palabra no opera'!$A$2&amp;"*"))</f>
        <v>1</v>
      </c>
      <c r="AA36" s="24"/>
      <c r="AB36" s="24"/>
      <c r="AC36" s="24"/>
      <c r="AD36" s="24"/>
      <c r="AE36" s="24"/>
    </row>
    <row r="37" spans="1:31" ht="22.2" customHeight="1" x14ac:dyDescent="0.3">
      <c r="A37" s="66" t="str">
        <f>+IF(PROVEEDORES[[#This Row],[FECHA DE PAGO]]=PROVEEDORES[[#This Row],[FECHA DE FACTURACIÓN]],"DE CONTADO","CRÉDITO")</f>
        <v>CRÉDITO</v>
      </c>
      <c r="B37" s="38" t="str">
        <f>+IF((PROVEEDORES[[#This Row],[FECHA DE PAGO]]-PROVEEDORES[[#This Row],[FECHA DE FACTURACIÓN]])&gt;PROVEEDORES[[#This Row],[PLAZO Días]],"PAGO VENCIDO")</f>
        <v>PAGO VENCIDO</v>
      </c>
      <c r="C37" s="20">
        <f>+VLOOKUP(PROVEEDORES[[#This Row],[PROVEEDOR]],TERCEROS_INFO[#All],2,FALSE)</f>
        <v>30</v>
      </c>
      <c r="D37" s="25">
        <f>+SUMIFS(PROVEEDORES[Total],PROVEEDORES[PROVEEDOR],PROVEEDORES[[#This Row],[PROVEEDOR]],PROVEEDORES[FECHA DE PAGO],"")</f>
        <v>0</v>
      </c>
      <c r="E37" s="25"/>
      <c r="F3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7" s="161">
        <v>44650</v>
      </c>
      <c r="H37" s="26" t="s">
        <v>913</v>
      </c>
      <c r="I37" s="161">
        <v>44617</v>
      </c>
      <c r="J37" s="35" t="s">
        <v>717</v>
      </c>
      <c r="K37" s="21">
        <v>-692129.53</v>
      </c>
      <c r="L37" s="21"/>
      <c r="M37" s="22">
        <v>0</v>
      </c>
      <c r="N37" s="23"/>
      <c r="O37" s="22">
        <v>0</v>
      </c>
      <c r="P37" s="83">
        <f>+IF(PROVEEDORES[[#This Row],[SUBTOTAL]]&lt;PROVEEDORES[[#This Row],[base retencion]],0,PROVEEDORES[[#This Row],[retención aplicada]])</f>
        <v>0</v>
      </c>
      <c r="Q37" s="22">
        <f>+PROVEEDORES[[#This Row],[Rete Fuente %]]*(PROVEEDORES[[#This Row],[SUBTOTAL]]-PROVEEDORES[[#This Row],[descuento sobre subtotal]])</f>
        <v>0</v>
      </c>
      <c r="R37" s="21">
        <v>-692129.53</v>
      </c>
      <c r="S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68">
        <f ca="1">IF(PROVEEDORES[[#This Row],[FECHA DE PAGO]]=0,TODAY()-PROVEEDORES[[#This Row],[FECHA DE FACTURACIÓN]]-PROVEEDORES[[#This Row],[PLAZO Días]],0)</f>
        <v>0</v>
      </c>
      <c r="U37" s="96">
        <f>+VLOOKUP(PROVEEDORES[[#This Row],[PROVEEDOR]],Terceros!$A:$D,4,FALSE)</f>
        <v>0</v>
      </c>
      <c r="V37" s="97">
        <f>+YEAR(PROVEEDORES[[#This Row],[FECHA DE FACTURACIÓN]])</f>
        <v>2022</v>
      </c>
      <c r="W37" s="97">
        <f>+MATCH(PROVEEDORES[[#This Row],[año facturado]],Retenciones!$1:$1,0)</f>
        <v>5</v>
      </c>
      <c r="X37" s="98">
        <f>+VLOOKUP(PROVEEDORES[[#This Row],[ID RETENCION]],Retenciones!$A$1:$O$25,PROVEEDORES[[#This Row],[indicador de columna]],FALSE)</f>
        <v>0</v>
      </c>
      <c r="Y37" s="99">
        <f>+VLOOKUP(PROVEEDORES[[#This Row],[ID RETENCION]],Retenciones!$A$1:$O$25,2,FALSE)</f>
        <v>0</v>
      </c>
      <c r="Z37" s="125" t="b">
        <f>OR(COUNTIF(PROVEEDORES[[#This Row],[PROVEEDOR]],"*"&amp;'Palabra no opera'!$A$2&amp;"*"))</f>
        <v>1</v>
      </c>
      <c r="AA37" s="24"/>
      <c r="AB37" s="24"/>
      <c r="AC37" s="24"/>
      <c r="AD37" s="24"/>
      <c r="AE37" s="24"/>
    </row>
    <row r="38" spans="1:31" ht="22.2" customHeight="1" x14ac:dyDescent="0.3">
      <c r="A38" s="66" t="str">
        <f>+IF(PROVEEDORES[[#This Row],[FECHA DE PAGO]]=PROVEEDORES[[#This Row],[FECHA DE FACTURACIÓN]],"DE CONTADO","CRÉDITO")</f>
        <v>DE CONTADO</v>
      </c>
      <c r="B38" s="38" t="b">
        <f>+IF((PROVEEDORES[[#This Row],[FECHA DE PAGO]]-PROVEEDORES[[#This Row],[FECHA DE FACTURACIÓN]])&gt;PROVEEDORES[[#This Row],[PLAZO Días]],"PAGO VENCIDO")</f>
        <v>0</v>
      </c>
      <c r="C38" s="20">
        <f>+VLOOKUP(PROVEEDORES[[#This Row],[PROVEEDOR]],TERCEROS_INFO[#All],2,FALSE)</f>
        <v>30</v>
      </c>
      <c r="D38" s="25">
        <f>+SUMIFS(PROVEEDORES[Total],PROVEEDORES[PROVEEDOR],PROVEEDORES[[#This Row],[PROVEEDOR]],PROVEEDORES[FECHA DE PAGO],"")</f>
        <v>0</v>
      </c>
      <c r="E38" s="25"/>
      <c r="F3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38" s="161">
        <v>44432</v>
      </c>
      <c r="H38" s="26" t="s">
        <v>925</v>
      </c>
      <c r="I38" s="161">
        <v>44432</v>
      </c>
      <c r="J38" s="35" t="s">
        <v>1256</v>
      </c>
      <c r="K38" s="21">
        <v>-691998.74</v>
      </c>
      <c r="L38" s="21"/>
      <c r="M38" s="22">
        <f>(PROVEEDORES[[#This Row],[SUBTOTAL]]-PROVEEDORES[[#This Row],[descuento sobre subtotal]])*VLOOKUP(PROVEEDORES[[#This Row],[PROVEEDOR]],TERCEROS_INFO[#All],3,FALSE)</f>
        <v>0</v>
      </c>
      <c r="N38" s="23"/>
      <c r="O38" s="22">
        <f>+PROVEEDORES[[#This Row],[Descuento sobre subtotal %]]*(PROVEEDORES[[#This Row],[SUBTOTAL]]-PROVEEDORES[[#This Row],[descuento sobre subtotal]])</f>
        <v>0</v>
      </c>
      <c r="P38" s="83">
        <f>+IF(PROVEEDORES[[#This Row],[SUBTOTAL]]&lt;PROVEEDORES[[#This Row],[base retencion]],0,PROVEEDORES[[#This Row],[retención aplicada]])</f>
        <v>0</v>
      </c>
      <c r="Q38" s="22">
        <f>+PROVEEDORES[[#This Row],[Rete Fuente %]]*(PROVEEDORES[[#This Row],[SUBTOTAL]]-PROVEEDORES[[#This Row],[descuento sobre subtotal]])</f>
        <v>0</v>
      </c>
      <c r="R38" s="21">
        <f>+PROVEEDORES[[#This Row],[SUBTOTAL]]+PROVEEDORES[[#This Row],[IVA 19%]]-PROVEEDORES[[#This Row],[descuento sobre subtotal]]-PROVEEDORES[[#This Row],[Descuento sobre subtotal $2]]-PROVEEDORES[[#This Row],[Rete Fuente $]]</f>
        <v>-691998.74</v>
      </c>
      <c r="S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68">
        <f ca="1">IF(PROVEEDORES[[#This Row],[FECHA DE PAGO]]=0,TODAY()-PROVEEDORES[[#This Row],[FECHA DE FACTURACIÓN]]-PROVEEDORES[[#This Row],[PLAZO Días]],0)</f>
        <v>0</v>
      </c>
      <c r="U38" s="96" t="str">
        <f>+VLOOKUP(PROVEEDORES[[#This Row],[PROVEEDOR]],Terceros!$A:$D,4,FALSE)</f>
        <v>3,5% sin base</v>
      </c>
      <c r="V38" s="97">
        <f>+YEAR(PROVEEDORES[[#This Row],[FECHA DE FACTURACIÓN]])</f>
        <v>2021</v>
      </c>
      <c r="W38" s="97">
        <f>+MATCH(PROVEEDORES[[#This Row],[año facturado]],Retenciones!$1:$1,0)</f>
        <v>4</v>
      </c>
      <c r="X38" s="98">
        <f>+VLOOKUP(PROVEEDORES[[#This Row],[ID RETENCION]],Retenciones!$A$1:$O$25,PROVEEDORES[[#This Row],[indicador de columna]],FALSE)</f>
        <v>0</v>
      </c>
      <c r="Y38" s="99">
        <f>+VLOOKUP(PROVEEDORES[[#This Row],[ID RETENCION]],Retenciones!$A$1:$O$25,2,FALSE)</f>
        <v>3.5000000000000003E-2</v>
      </c>
      <c r="Z38" s="125" t="b">
        <f>OR(COUNTIF(PROVEEDORES[[#This Row],[PROVEEDOR]],"*"&amp;'Palabra no opera'!$A$2&amp;"*"))</f>
        <v>1</v>
      </c>
      <c r="AA38" s="24"/>
      <c r="AB38" s="24"/>
      <c r="AC38" s="24"/>
      <c r="AD38" s="24"/>
      <c r="AE38" s="24"/>
    </row>
    <row r="39" spans="1:31" ht="22.2" customHeight="1" x14ac:dyDescent="0.3">
      <c r="A39" s="66" t="str">
        <f>+IF(PROVEEDORES[[#This Row],[FECHA DE PAGO]]=PROVEEDORES[[#This Row],[FECHA DE FACTURACIÓN]],"DE CONTADO","CRÉDITO")</f>
        <v>CRÉDITO</v>
      </c>
      <c r="B39" s="38" t="str">
        <f>+IF((PROVEEDORES[[#This Row],[FECHA DE PAGO]]-PROVEEDORES[[#This Row],[FECHA DE FACTURACIÓN]])&gt;PROVEEDORES[[#This Row],[PLAZO Días]],"PAGO VENCIDO")</f>
        <v>PAGO VENCIDO</v>
      </c>
      <c r="C39" s="20">
        <f>+VLOOKUP(PROVEEDORES[[#This Row],[PROVEEDOR]],TERCEROS_INFO[#All],2,FALSE)</f>
        <v>20</v>
      </c>
      <c r="D39" s="25">
        <f>+SUMIFS(PROVEEDORES[Total],PROVEEDORES[PROVEEDOR],PROVEEDORES[[#This Row],[PROVEEDOR]],PROVEEDORES[FECHA DE PAGO],"")</f>
        <v>0</v>
      </c>
      <c r="E39" s="25"/>
      <c r="F39" s="58" t="str">
        <f>+VLOOKUP(PROVEEDORES[[#This Row],[PROVEEDOR]],
                       Terceros!$A:$F,
                       5,
                       FALSE)</f>
        <v>pse</v>
      </c>
      <c r="G39" s="161">
        <v>44678</v>
      </c>
      <c r="H39" s="26" t="s">
        <v>937</v>
      </c>
      <c r="I39" s="161">
        <v>44617</v>
      </c>
      <c r="J39" s="35" t="s">
        <v>714</v>
      </c>
      <c r="K39" s="21">
        <v>-600000</v>
      </c>
      <c r="L39" s="21"/>
      <c r="M39" s="22">
        <v>0</v>
      </c>
      <c r="N39" s="23"/>
      <c r="O39" s="22">
        <v>0</v>
      </c>
      <c r="P39" s="83">
        <f>+IF(PROVEEDORES[[#This Row],[SUBTOTAL]]&lt;PROVEEDORES[[#This Row],[base retencion]],0,PROVEEDORES[[#This Row],[retención aplicada]])</f>
        <v>0</v>
      </c>
      <c r="Q39" s="22">
        <f>+PROVEEDORES[[#This Row],[Rete Fuente %]]*(PROVEEDORES[[#This Row],[SUBTOTAL]]-PROVEEDORES[[#This Row],[descuento sobre subtotal]])</f>
        <v>0</v>
      </c>
      <c r="R39" s="21">
        <v>-600000</v>
      </c>
      <c r="S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68">
        <f ca="1">IF(PROVEEDORES[[#This Row],[FECHA DE PAGO]]=0,TODAY()-PROVEEDORES[[#This Row],[FECHA DE FACTURACIÓN]]-PROVEEDORES[[#This Row],[PLAZO Días]],0)</f>
        <v>0</v>
      </c>
      <c r="U39" s="96">
        <f>+VLOOKUP(PROVEEDORES[[#This Row],[PROVEEDOR]],Terceros!$A:$D,4,FALSE)</f>
        <v>0</v>
      </c>
      <c r="V39" s="97">
        <f>+YEAR(PROVEEDORES[[#This Row],[FECHA DE FACTURACIÓN]])</f>
        <v>2022</v>
      </c>
      <c r="W39" s="97">
        <f>+MATCH(PROVEEDORES[[#This Row],[año facturado]],Retenciones!$1:$1,0)</f>
        <v>5</v>
      </c>
      <c r="X39" s="98">
        <f>+VLOOKUP(PROVEEDORES[[#This Row],[ID RETENCION]],Retenciones!$A$1:$O$25,PROVEEDORES[[#This Row],[indicador de columna]],FALSE)</f>
        <v>0</v>
      </c>
      <c r="Y39" s="99">
        <f>+VLOOKUP(PROVEEDORES[[#This Row],[ID RETENCION]],Retenciones!$A$1:$O$25,2,FALSE)</f>
        <v>0</v>
      </c>
      <c r="Z39" s="125" t="b">
        <f>OR(COUNTIF(PROVEEDORES[[#This Row],[PROVEEDOR]],"*"&amp;'Palabra no opera'!$A$2&amp;"*"))</f>
        <v>1</v>
      </c>
      <c r="AA39" s="24"/>
      <c r="AB39" s="24"/>
      <c r="AC39" s="24"/>
      <c r="AD39" s="24"/>
      <c r="AE39" s="24"/>
    </row>
    <row r="40" spans="1:31" ht="22.2" customHeight="1" x14ac:dyDescent="0.3">
      <c r="A40" s="221" t="str">
        <f>+IF(PROVEEDORES[[#This Row],[FECHA DE PAGO]]=PROVEEDORES[[#This Row],[FECHA DE FACTURACIÓN]],"DE CONTADO","CRÉDITO")</f>
        <v>DE CONTADO</v>
      </c>
      <c r="B40" s="38" t="b">
        <f>+IF((PROVEEDORES[[#This Row],[FECHA DE PAGO]]-PROVEEDORES[[#This Row],[FECHA DE FACTURACIÓN]])&gt;PROVEEDORES[[#This Row],[PLAZO Días]],"PAGO VENCIDO")</f>
        <v>0</v>
      </c>
      <c r="C40" s="20">
        <f>+VLOOKUP(PROVEEDORES[[#This Row],[PROVEEDOR]],TERCEROS_INFO[#All],2,FALSE)</f>
        <v>30</v>
      </c>
      <c r="D40" s="25">
        <f>+SUMIFS(PROVEEDORES[Total],PROVEEDORES[PROVEEDOR],PROVEEDORES[[#This Row],[PROVEEDOR]],PROVEEDORES[FECHA DE PAGO],"")</f>
        <v>23124164.219999999</v>
      </c>
      <c r="E40" s="25"/>
      <c r="F4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0" s="161">
        <v>44823</v>
      </c>
      <c r="H40" s="26" t="s">
        <v>18</v>
      </c>
      <c r="I40" s="161">
        <v>44823</v>
      </c>
      <c r="J40" s="35" t="s">
        <v>1709</v>
      </c>
      <c r="K40" s="21">
        <v>-595000</v>
      </c>
      <c r="L40" s="21"/>
      <c r="M40" s="22"/>
      <c r="N40" s="23"/>
      <c r="O40" s="22">
        <f>+PROVEEDORES[[#This Row],[Descuento sobre subtotal %]]*(PROVEEDORES[[#This Row],[SUBTOTAL]]-PROVEEDORES[[#This Row],[descuento sobre subtotal]])</f>
        <v>0</v>
      </c>
      <c r="P40" s="83">
        <f>+IF(PROVEEDORES[[#This Row],[SUBTOTAL]]&lt;PROVEEDORES[[#This Row],[base retencion]],0,PROVEEDORES[[#This Row],[retención aplicada]])</f>
        <v>0</v>
      </c>
      <c r="Q40" s="22">
        <f>+PROVEEDORES[[#This Row],[Rete Fuente %]]*(PROVEEDORES[[#This Row],[SUBTOTAL]]-PROVEEDORES[[#This Row],[descuento sobre subtotal]])</f>
        <v>0</v>
      </c>
      <c r="R40" s="21">
        <f>+PROVEEDORES[[#This Row],[SUBTOTAL]]+PROVEEDORES[[#This Row],[IVA 19%]]-PROVEEDORES[[#This Row],[descuento sobre subtotal]]-PROVEEDORES[[#This Row],[Descuento sobre subtotal $2]]-PROVEEDORES[[#This Row],[Rete Fuente $]]</f>
        <v>-595000</v>
      </c>
      <c r="S40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68">
        <f ca="1">IF(PROVEEDORES[[#This Row],[FECHA DE PAGO]]=0,TODAY()-PROVEEDORES[[#This Row],[FECHA DE FACTURACIÓN]]-PROVEEDORES[[#This Row],[PLAZO Días]],0)</f>
        <v>0</v>
      </c>
      <c r="U40" s="113" t="str">
        <f>+VLOOKUP(PROVEEDORES[[#This Row],[PROVEEDOR]],Terceros!$A:$D,4,FALSE)</f>
        <v>2,5% con base</v>
      </c>
      <c r="V40" s="114">
        <f>+YEAR(PROVEEDORES[[#This Row],[FECHA DE FACTURACIÓN]])</f>
        <v>2022</v>
      </c>
      <c r="W40" s="114">
        <f>+MATCH(PROVEEDORES[[#This Row],[año facturado]],Retenciones!$1:$1,0)</f>
        <v>5</v>
      </c>
      <c r="X40" s="115">
        <f>+VLOOKUP(PROVEEDORES[[#This Row],[ID RETENCION]],Retenciones!$A$1:$O$25,PROVEEDORES[[#This Row],[indicador de columna]],FALSE)</f>
        <v>1026000</v>
      </c>
      <c r="Y40" s="116">
        <f>+VLOOKUP(PROVEEDORES[[#This Row],[ID RETENCION]],Retenciones!$A$1:$O$25,2,FALSE)</f>
        <v>2.5000000000000001E-2</v>
      </c>
      <c r="Z40" s="125" t="b">
        <f>OR(COUNTIF(PROVEEDORES[[#This Row],[PROVEEDOR]],"*"&amp;'Palabra no opera'!$A$2&amp;"*"))</f>
        <v>0</v>
      </c>
      <c r="AA40" s="24"/>
      <c r="AB40" s="24"/>
      <c r="AC40" s="24"/>
      <c r="AD40" s="24"/>
      <c r="AE40" s="24"/>
    </row>
    <row r="41" spans="1:31" ht="22.2" customHeight="1" x14ac:dyDescent="0.3">
      <c r="A41" s="66" t="str">
        <f>+IF(PROVEEDORES[[#This Row],[FECHA DE PAGO]]=PROVEEDORES[[#This Row],[FECHA DE FACTURACIÓN]],"DE CONTADO","CRÉDITO")</f>
        <v>CRÉDITO</v>
      </c>
      <c r="B41" s="38" t="str">
        <f>+IF((PROVEEDORES[[#This Row],[FECHA DE PAGO]]-PROVEEDORES[[#This Row],[FECHA DE FACTURACIÓN]])&gt;PROVEEDORES[[#This Row],[PLAZO Días]],"PAGO VENCIDO")</f>
        <v>PAGO VENCIDO</v>
      </c>
      <c r="C41" s="20">
        <f>+VLOOKUP(PROVEEDORES[[#This Row],[PROVEEDOR]],TERCEROS_INFO[#All],2,FALSE)</f>
        <v>30</v>
      </c>
      <c r="D41" s="25">
        <f>+SUMIFS(PROVEEDORES[Total],PROVEEDORES[PROVEEDOR],PROVEEDORES[[#This Row],[PROVEEDOR]],PROVEEDORES[FECHA DE PAGO],"")</f>
        <v>0</v>
      </c>
      <c r="E41" s="25"/>
      <c r="F41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1" s="161">
        <v>44414</v>
      </c>
      <c r="H41" s="26" t="s">
        <v>670</v>
      </c>
      <c r="I41" s="161">
        <v>44196</v>
      </c>
      <c r="J41" s="35" t="s">
        <v>1452</v>
      </c>
      <c r="K41" s="21">
        <v>-510000.68</v>
      </c>
      <c r="L41" s="21"/>
      <c r="M41" s="22">
        <f>(PROVEEDORES[[#This Row],[SUBTOTAL]]-PROVEEDORES[[#This Row],[descuento sobre subtotal]])*VLOOKUP(PROVEEDORES[[#This Row],[PROVEEDOR]],TERCEROS_INFO[#All],3,FALSE)</f>
        <v>0</v>
      </c>
      <c r="N41" s="23"/>
      <c r="O41" s="22">
        <f>+PROVEEDORES[[#This Row],[Descuento sobre subtotal %]]*(PROVEEDORES[[#This Row],[SUBTOTAL]]-PROVEEDORES[[#This Row],[descuento sobre subtotal]])</f>
        <v>0</v>
      </c>
      <c r="P41" s="83">
        <f>+IF(PROVEEDORES[[#This Row],[SUBTOTAL]]&lt;PROVEEDORES[[#This Row],[base retencion]],0,PROVEEDORES[[#This Row],[retención aplicada]])</f>
        <v>0</v>
      </c>
      <c r="Q41" s="22">
        <f>+PROVEEDORES[[#This Row],[Rete Fuente %]]*(PROVEEDORES[[#This Row],[SUBTOTAL]]-PROVEEDORES[[#This Row],[descuento sobre subtotal]])</f>
        <v>0</v>
      </c>
      <c r="R41" s="21">
        <f>+PROVEEDORES[[#This Row],[SUBTOTAL]]+PROVEEDORES[[#This Row],[IVA 19%]]-PROVEEDORES[[#This Row],[descuento sobre subtotal]]-PROVEEDORES[[#This Row],[Descuento sobre subtotal $2]]-PROVEEDORES[[#This Row],[Rete Fuente $]]</f>
        <v>-510000.68</v>
      </c>
      <c r="S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68">
        <f ca="1">IF(PROVEEDORES[[#This Row],[FECHA DE PAGO]]=0,TODAY()-PROVEEDORES[[#This Row],[FECHA DE FACTURACIÓN]]-PROVEEDORES[[#This Row],[PLAZO Días]],0)</f>
        <v>0</v>
      </c>
      <c r="U41" s="96">
        <f>+VLOOKUP(PROVEEDORES[[#This Row],[PROVEEDOR]],Terceros!$A:$D,4,FALSE)</f>
        <v>0</v>
      </c>
      <c r="V41" s="97">
        <f>+YEAR(PROVEEDORES[[#This Row],[FECHA DE FACTURACIÓN]])</f>
        <v>2020</v>
      </c>
      <c r="W41" s="97">
        <f>+MATCH(PROVEEDORES[[#This Row],[año facturado]],Retenciones!$1:$1,0)</f>
        <v>3</v>
      </c>
      <c r="X41" s="98">
        <f>+VLOOKUP(PROVEEDORES[[#This Row],[ID RETENCION]],Retenciones!$A$1:$O$25,PROVEEDORES[[#This Row],[indicador de columna]],FALSE)</f>
        <v>0</v>
      </c>
      <c r="Y41" s="99">
        <f>+VLOOKUP(PROVEEDORES[[#This Row],[ID RETENCION]],Retenciones!$A$1:$O$25,2,FALSE)</f>
        <v>0</v>
      </c>
      <c r="Z41" s="125" t="b">
        <f>OR(COUNTIF(PROVEEDORES[[#This Row],[PROVEEDOR]],"*"&amp;'Palabra no opera'!$A$2&amp;"*"))</f>
        <v>0</v>
      </c>
      <c r="AA41" s="24"/>
      <c r="AB41" s="24"/>
      <c r="AC41" s="24"/>
      <c r="AD41" s="24"/>
      <c r="AE41" s="24"/>
    </row>
    <row r="42" spans="1:31" ht="22.2" customHeight="1" x14ac:dyDescent="0.3">
      <c r="A42" s="66" t="str">
        <f>+IF(PROVEEDORES[[#This Row],[FECHA DE PAGO]]=PROVEEDORES[[#This Row],[FECHA DE FACTURACIÓN]],"DE CONTADO","CRÉDITO")</f>
        <v>CRÉDITO</v>
      </c>
      <c r="B42" s="38" t="str">
        <f>+IF((PROVEEDORES[[#This Row],[FECHA DE PAGO]]-PROVEEDORES[[#This Row],[FECHA DE FACTURACIÓN]])&gt;PROVEEDORES[[#This Row],[PLAZO Días]],"PAGO VENCIDO")</f>
        <v>PAGO VENCIDO</v>
      </c>
      <c r="C42" s="20">
        <f>+VLOOKUP(PROVEEDORES[[#This Row],[PROVEEDOR]],TERCEROS_INFO[#All],2,FALSE)</f>
        <v>30</v>
      </c>
      <c r="D42" s="25">
        <f>+SUMIFS(PROVEEDORES[Total],PROVEEDORES[PROVEEDOR],PROVEEDORES[[#This Row],[PROVEEDOR]],PROVEEDORES[FECHA DE PAGO],"")</f>
        <v>0</v>
      </c>
      <c r="E42" s="25"/>
      <c r="F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2" s="161">
        <v>44348</v>
      </c>
      <c r="H42" s="26" t="s">
        <v>1637</v>
      </c>
      <c r="I42" s="161">
        <v>44280</v>
      </c>
      <c r="J42" s="35" t="s">
        <v>317</v>
      </c>
      <c r="K42" s="21">
        <v>-384000</v>
      </c>
      <c r="L42" s="21"/>
      <c r="M42" s="22">
        <f>(PROVEEDORES[[#This Row],[SUBTOTAL]]-PROVEEDORES[[#This Row],[descuento sobre subtotal]])*VLOOKUP(PROVEEDORES[[#This Row],[PROVEEDOR]],TERCEROS_INFO[#All],3,FALSE)</f>
        <v>-72960</v>
      </c>
      <c r="N42" s="23"/>
      <c r="O42" s="22">
        <f>+PROVEEDORES[[#This Row],[Descuento sobre subtotal %]]*(PROVEEDORES[[#This Row],[SUBTOTAL]]-PROVEEDORES[[#This Row],[descuento sobre subtotal]])</f>
        <v>0</v>
      </c>
      <c r="P42" s="83">
        <f>+IF(PROVEEDORES[[#This Row],[SUBTOTAL]]&lt;PROVEEDORES[[#This Row],[base retencion]],0,PROVEEDORES[[#This Row],[retención aplicada]])</f>
        <v>0</v>
      </c>
      <c r="Q42" s="22">
        <f>+PROVEEDORES[[#This Row],[Rete Fuente %]]*(PROVEEDORES[[#This Row],[SUBTOTAL]]-PROVEEDORES[[#This Row],[descuento sobre subtotal]])</f>
        <v>0</v>
      </c>
      <c r="R42" s="21">
        <f>+PROVEEDORES[[#This Row],[SUBTOTAL]]+PROVEEDORES[[#This Row],[IVA 19%]]-PROVEEDORES[[#This Row],[descuento sobre subtotal]]-PROVEEDORES[[#This Row],[Descuento sobre subtotal $2]]-PROVEEDORES[[#This Row],[Rete Fuente $]]</f>
        <v>-456960</v>
      </c>
      <c r="S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68">
        <f ca="1">IF(PROVEEDORES[[#This Row],[FECHA DE PAGO]]=0,TODAY()-PROVEEDORES[[#This Row],[FECHA DE FACTURACIÓN]]-PROVEEDORES[[#This Row],[PLAZO Días]],0)</f>
        <v>0</v>
      </c>
      <c r="U42" s="96" t="str">
        <f>+VLOOKUP(PROVEEDORES[[#This Row],[PROVEEDOR]],Terceros!$A:$D,4,FALSE)</f>
        <v>2,5% con base</v>
      </c>
      <c r="V42" s="97">
        <f>+YEAR(PROVEEDORES[[#This Row],[FECHA DE FACTURACIÓN]])</f>
        <v>2021</v>
      </c>
      <c r="W42" s="97">
        <f>+MATCH(PROVEEDORES[[#This Row],[año facturado]],Retenciones!$1:$1,0)</f>
        <v>4</v>
      </c>
      <c r="X42" s="98">
        <f>+VLOOKUP(PROVEEDORES[[#This Row],[ID RETENCION]],Retenciones!$A$1:$O$25,PROVEEDORES[[#This Row],[indicador de columna]],FALSE)</f>
        <v>980000</v>
      </c>
      <c r="Y42" s="99">
        <f>+VLOOKUP(PROVEEDORES[[#This Row],[ID RETENCION]],Retenciones!$A$1:$O$25,2,FALSE)</f>
        <v>2.5000000000000001E-2</v>
      </c>
      <c r="Z42" s="125" t="b">
        <f>OR(COUNTIF(PROVEEDORES[[#This Row],[PROVEEDOR]],"*"&amp;'Palabra no opera'!$A$2&amp;"*"))</f>
        <v>0</v>
      </c>
      <c r="AA42" s="24"/>
      <c r="AB42" s="24"/>
      <c r="AC42" s="24"/>
      <c r="AD42" s="24"/>
      <c r="AE42" s="24"/>
    </row>
    <row r="43" spans="1:31" ht="22.2" customHeight="1" x14ac:dyDescent="0.3">
      <c r="A43" s="66" t="str">
        <f>+IF(PROVEEDORES[[#This Row],[FECHA DE PAGO]]=PROVEEDORES[[#This Row],[FECHA DE FACTURACIÓN]],"DE CONTADO","CRÉDITO")</f>
        <v>CRÉDITO</v>
      </c>
      <c r="B43" s="38" t="str">
        <f>+IF((PROVEEDORES[[#This Row],[FECHA DE PAGO]]-PROVEEDORES[[#This Row],[FECHA DE FACTURACIÓN]])&gt;PROVEEDORES[[#This Row],[PLAZO Días]],"PAGO VENCIDO")</f>
        <v>PAGO VENCIDO</v>
      </c>
      <c r="C43" s="20">
        <f>+VLOOKUP(PROVEEDORES[[#This Row],[PROVEEDOR]],TERCEROS_INFO[#All],2,FALSE)</f>
        <v>20</v>
      </c>
      <c r="D43" s="25">
        <f>+SUMIFS(PROVEEDORES[Total],PROVEEDORES[PROVEEDOR],PROVEEDORES[[#This Row],[PROVEEDOR]],PROVEEDORES[FECHA DE PAGO],"")</f>
        <v>0</v>
      </c>
      <c r="E43" s="25"/>
      <c r="F4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43" s="161">
        <v>44396</v>
      </c>
      <c r="H43" s="26" t="s">
        <v>942</v>
      </c>
      <c r="I43" s="161">
        <v>44375</v>
      </c>
      <c r="J43" s="35" t="s">
        <v>593</v>
      </c>
      <c r="K43" s="21">
        <v>-376550</v>
      </c>
      <c r="L43" s="21"/>
      <c r="M43" s="22">
        <f>(PROVEEDORES[[#This Row],[SUBTOTAL]]-PROVEEDORES[[#This Row],[descuento sobre subtotal]])*VLOOKUP(PROVEEDORES[[#This Row],[PROVEEDOR]],TERCEROS_INFO[#All],3,FALSE)</f>
        <v>-71544.5</v>
      </c>
      <c r="N43" s="23"/>
      <c r="O43" s="22">
        <f>+PROVEEDORES[[#This Row],[Descuento sobre subtotal %]]*(PROVEEDORES[[#This Row],[SUBTOTAL]]-PROVEEDORES[[#This Row],[descuento sobre subtotal]])</f>
        <v>0</v>
      </c>
      <c r="P43" s="83">
        <f>+IF(PROVEEDORES[[#This Row],[SUBTOTAL]]&lt;PROVEEDORES[[#This Row],[base retencion]],0,PROVEEDORES[[#This Row],[retención aplicada]])</f>
        <v>0</v>
      </c>
      <c r="Q43" s="22">
        <f>+PROVEEDORES[[#This Row],[Rete Fuente %]]*(PROVEEDORES[[#This Row],[SUBTOTAL]]-PROVEEDORES[[#This Row],[descuento sobre subtotal]])</f>
        <v>0</v>
      </c>
      <c r="R43" s="21">
        <f>+PROVEEDORES[[#This Row],[SUBTOTAL]]+PROVEEDORES[[#This Row],[IVA 19%]]-PROVEEDORES[[#This Row],[descuento sobre subtotal]]-PROVEEDORES[[#This Row],[Descuento sobre subtotal $2]]-PROVEEDORES[[#This Row],[Rete Fuente $]]</f>
        <v>-448094.5</v>
      </c>
      <c r="S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68">
        <f ca="1">IF(PROVEEDORES[[#This Row],[FECHA DE PAGO]]=0,TODAY()-PROVEEDORES[[#This Row],[FECHA DE FACTURACIÓN]]-PROVEEDORES[[#This Row],[PLAZO Días]],0)</f>
        <v>0</v>
      </c>
      <c r="U43" s="96" t="str">
        <f>+VLOOKUP(PROVEEDORES[[#This Row],[PROVEEDOR]],Terceros!$A:$D,4,FALSE)</f>
        <v>3,5% sin base</v>
      </c>
      <c r="V43" s="97">
        <f>+YEAR(PROVEEDORES[[#This Row],[FECHA DE FACTURACIÓN]])</f>
        <v>2021</v>
      </c>
      <c r="W43" s="97">
        <f>+MATCH(PROVEEDORES[[#This Row],[año facturado]],Retenciones!$1:$1,0)</f>
        <v>4</v>
      </c>
      <c r="X43" s="98">
        <f>+VLOOKUP(PROVEEDORES[[#This Row],[ID RETENCION]],Retenciones!$A$1:$O$25,PROVEEDORES[[#This Row],[indicador de columna]],FALSE)</f>
        <v>0</v>
      </c>
      <c r="Y43" s="99">
        <f>+VLOOKUP(PROVEEDORES[[#This Row],[ID RETENCION]],Retenciones!$A$1:$O$25,2,FALSE)</f>
        <v>3.5000000000000003E-2</v>
      </c>
      <c r="Z43" s="126" t="b">
        <f>OR(COUNTIF(PROVEEDORES[[#This Row],[PROVEEDOR]],"*"&amp;'Palabra no opera'!$A$2&amp;"*"))</f>
        <v>1</v>
      </c>
      <c r="AA43" s="24"/>
      <c r="AB43" s="24"/>
      <c r="AC43" s="24"/>
      <c r="AD43" s="24"/>
      <c r="AE43" s="24"/>
    </row>
    <row r="44" spans="1:31" ht="22.2" customHeight="1" x14ac:dyDescent="0.3">
      <c r="A44" s="66" t="str">
        <f>+IF(PROVEEDORES[[#This Row],[FECHA DE PAGO]]=PROVEEDORES[[#This Row],[FECHA DE FACTURACIÓN]],"DE CONTADO","CRÉDITO")</f>
        <v>CRÉDITO</v>
      </c>
      <c r="B44" s="38" t="str">
        <f>+IF((PROVEEDORES[[#This Row],[FECHA DE PAGO]]-PROVEEDORES[[#This Row],[FECHA DE FACTURACIÓN]])&gt;PROVEEDORES[[#This Row],[PLAZO Días]],"PAGO VENCIDO")</f>
        <v>PAGO VENCIDO</v>
      </c>
      <c r="C44" s="20">
        <f>+VLOOKUP(PROVEEDORES[[#This Row],[PROVEEDOR]],TERCEROS_INFO[#All],2,FALSE)</f>
        <v>30</v>
      </c>
      <c r="D44" s="25">
        <f>+SUMIFS(PROVEEDORES[Total],PROVEEDORES[PROVEEDOR],PROVEEDORES[[#This Row],[PROVEEDOR]],PROVEEDORES[FECHA DE PAGO],"")</f>
        <v>0</v>
      </c>
      <c r="E44" s="25"/>
      <c r="F44" s="58" t="str">
        <f>+VLOOKUP(PROVEEDORES[[#This Row],[PROVEEDOR]],
                       Terceros!$A:$F,
                       5,
                       FALSE)</f>
        <v/>
      </c>
      <c r="G44" s="161">
        <v>44208</v>
      </c>
      <c r="H44" s="26" t="s">
        <v>132</v>
      </c>
      <c r="I44" s="161">
        <v>44154</v>
      </c>
      <c r="J44" s="35" t="s">
        <v>83</v>
      </c>
      <c r="K44" s="21">
        <v>-352790.75630252104</v>
      </c>
      <c r="L44" s="21"/>
      <c r="M44" s="22">
        <f>(PROVEEDORES[[#This Row],[SUBTOTAL]]-PROVEEDORES[[#This Row],[descuento sobre subtotal]])*VLOOKUP(PROVEEDORES[[#This Row],[PROVEEDOR]],TERCEROS_INFO[#All],3,FALSE)</f>
        <v>-67030.243697479003</v>
      </c>
      <c r="N44" s="23"/>
      <c r="O44" s="22">
        <f>+PROVEEDORES[[#This Row],[Descuento sobre subtotal %]]*(PROVEEDORES[[#This Row],[SUBTOTAL]]-PROVEEDORES[[#This Row],[descuento sobre subtotal]])</f>
        <v>0</v>
      </c>
      <c r="P44" s="83">
        <f>+IF(PROVEEDORES[[#This Row],[SUBTOTAL]]&lt;PROVEEDORES[[#This Row],[base retencion]],0,PROVEEDORES[[#This Row],[retención aplicada]])</f>
        <v>0</v>
      </c>
      <c r="Q44" s="22">
        <f>+PROVEEDORES[[#This Row],[Rete Fuente %]]*(PROVEEDORES[[#This Row],[SUBTOTAL]]-PROVEEDORES[[#This Row],[descuento sobre subtotal]])</f>
        <v>0</v>
      </c>
      <c r="R44" s="21">
        <f>+PROVEEDORES[[#This Row],[SUBTOTAL]]+PROVEEDORES[[#This Row],[IVA 19%]]-PROVEEDORES[[#This Row],[descuento sobre subtotal]]-PROVEEDORES[[#This Row],[Descuento sobre subtotal $2]]-PROVEEDORES[[#This Row],[Rete Fuente $]]</f>
        <v>-419821.00000000006</v>
      </c>
      <c r="S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68">
        <f ca="1">IF(PROVEEDORES[[#This Row],[FECHA DE PAGO]]=0,TODAY()-PROVEEDORES[[#This Row],[FECHA DE FACTURACIÓN]]-PROVEEDORES[[#This Row],[PLAZO Días]],0)</f>
        <v>0</v>
      </c>
      <c r="U44" s="96" t="str">
        <f>+VLOOKUP(PROVEEDORES[[#This Row],[PROVEEDOR]],Terceros!$A:$D,4,FALSE)</f>
        <v>3,5% con base</v>
      </c>
      <c r="V44" s="97">
        <f>+YEAR(PROVEEDORES[[#This Row],[FECHA DE FACTURACIÓN]])</f>
        <v>2020</v>
      </c>
      <c r="W44" s="97">
        <f>+MATCH(PROVEEDORES[[#This Row],[año facturado]],Retenciones!$1:$1,0)</f>
        <v>3</v>
      </c>
      <c r="X44" s="98">
        <f>+VLOOKUP(PROVEEDORES[[#This Row],[ID RETENCION]],Retenciones!$A$1:$O$25,PROVEEDORES[[#This Row],[indicador de columna]],FALSE)</f>
        <v>961000</v>
      </c>
      <c r="Y44" s="99">
        <f>+VLOOKUP(PROVEEDORES[[#This Row],[ID RETENCION]],Retenciones!$A$1:$O$25,2,FALSE)</f>
        <v>3.5000000000000003E-2</v>
      </c>
      <c r="Z44" s="125" t="b">
        <f>OR(COUNTIF(PROVEEDORES[[#This Row],[PROVEEDOR]],"*"&amp;'Palabra no opera'!$A$2&amp;"*"))</f>
        <v>0</v>
      </c>
      <c r="AA44" s="24"/>
      <c r="AB44" s="24"/>
      <c r="AC44" s="24"/>
      <c r="AD44" s="24"/>
      <c r="AE44" s="24"/>
    </row>
    <row r="45" spans="1:31" ht="22.2" customHeight="1" x14ac:dyDescent="0.3">
      <c r="A45" s="66" t="str">
        <f>+IF(PROVEEDORES[[#This Row],[FECHA DE PAGO]]=PROVEEDORES[[#This Row],[FECHA DE FACTURACIÓN]],"DE CONTADO","CRÉDITO")</f>
        <v>CRÉDITO</v>
      </c>
      <c r="B45" s="38" t="str">
        <f>+IF((PROVEEDORES[[#This Row],[FECHA DE PAGO]]-PROVEEDORES[[#This Row],[FECHA DE FACTURACIÓN]])&gt;PROVEEDORES[[#This Row],[PLAZO Días]],"PAGO VENCIDO")</f>
        <v>PAGO VENCIDO</v>
      </c>
      <c r="C45" s="20">
        <f>+VLOOKUP(PROVEEDORES[[#This Row],[PROVEEDOR]],TERCEROS_INFO[#All],2,FALSE)</f>
        <v>30</v>
      </c>
      <c r="D45" s="25">
        <f>+SUMIFS(PROVEEDORES[Total],PROVEEDORES[PROVEEDOR],PROVEEDORES[[#This Row],[PROVEEDOR]],PROVEEDORES[FECHA DE PAGO],"")</f>
        <v>1645455.6614999999</v>
      </c>
      <c r="E45" s="25"/>
      <c r="F45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45" s="161">
        <v>44699</v>
      </c>
      <c r="H45" s="26" t="s">
        <v>79</v>
      </c>
      <c r="I45" s="161">
        <v>44425</v>
      </c>
      <c r="J45" s="35" t="s">
        <v>452</v>
      </c>
      <c r="K45" s="21">
        <v>-358200</v>
      </c>
      <c r="L45" s="21"/>
      <c r="M45" s="22">
        <v>-68058</v>
      </c>
      <c r="N45" s="23"/>
      <c r="O45" s="22">
        <v>0</v>
      </c>
      <c r="P45" s="83">
        <f>+IF(PROVEEDORES[[#This Row],[SUBTOTAL]]&lt;PROVEEDORES[[#This Row],[base retencion]],0,PROVEEDORES[[#This Row],[retención aplicada]])</f>
        <v>0</v>
      </c>
      <c r="Q45" s="22">
        <f>+PROVEEDORES[[#This Row],[Rete Fuente %]]*(PROVEEDORES[[#This Row],[SUBTOTAL]]-PROVEEDORES[[#This Row],[descuento sobre subtotal]])</f>
        <v>0</v>
      </c>
      <c r="R45" s="21">
        <v>-417303</v>
      </c>
      <c r="S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68">
        <f ca="1">IF(PROVEEDORES[[#This Row],[FECHA DE PAGO]]=0,TODAY()-PROVEEDORES[[#This Row],[FECHA DE FACTURACIÓN]]-PROVEEDORES[[#This Row],[PLAZO Días]],0)</f>
        <v>0</v>
      </c>
      <c r="U45" s="96" t="str">
        <f>+VLOOKUP(PROVEEDORES[[#This Row],[PROVEEDOR]],Terceros!$A:$D,4,FALSE)</f>
        <v>2,5% con base</v>
      </c>
      <c r="V45" s="97">
        <f>+YEAR(PROVEEDORES[[#This Row],[FECHA DE FACTURACIÓN]])</f>
        <v>2021</v>
      </c>
      <c r="W45" s="97">
        <f>+MATCH(PROVEEDORES[[#This Row],[año facturado]],Retenciones!$1:$1,0)</f>
        <v>4</v>
      </c>
      <c r="X45" s="98">
        <f>+VLOOKUP(PROVEEDORES[[#This Row],[ID RETENCION]],Retenciones!$A$1:$O$25,PROVEEDORES[[#This Row],[indicador de columna]],FALSE)</f>
        <v>980000</v>
      </c>
      <c r="Y45" s="99">
        <f>+VLOOKUP(PROVEEDORES[[#This Row],[ID RETENCION]],Retenciones!$A$1:$O$25,2,FALSE)</f>
        <v>2.5000000000000001E-2</v>
      </c>
      <c r="Z45" s="125" t="b">
        <f>OR(COUNTIF(PROVEEDORES[[#This Row],[PROVEEDOR]],"*"&amp;'Palabra no opera'!$A$2&amp;"*"))</f>
        <v>0</v>
      </c>
      <c r="AA45" s="24"/>
      <c r="AB45" s="24"/>
      <c r="AC45" s="24"/>
      <c r="AD45" s="24"/>
      <c r="AE45" s="24"/>
    </row>
    <row r="46" spans="1:31" ht="22.2" customHeight="1" x14ac:dyDescent="0.3">
      <c r="A46" s="159" t="str">
        <f>+IF(PROVEEDORES[[#This Row],[FECHA DE PAGO]]=PROVEEDORES[[#This Row],[FECHA DE FACTURACIÓN]],"DE CONTADO","CRÉDITO")</f>
        <v>CRÉDITO</v>
      </c>
      <c r="B46" s="38" t="b">
        <f>+IF((PROVEEDORES[[#This Row],[FECHA DE PAGO]]-PROVEEDORES[[#This Row],[FECHA DE FACTURACIÓN]])&gt;PROVEEDORES[[#This Row],[PLAZO Días]],"PAGO VENCIDO")</f>
        <v>0</v>
      </c>
      <c r="C46" s="20">
        <f>+VLOOKUP(PROVEEDORES[[#This Row],[PROVEEDOR]],TERCEROS_INFO[#All],2,FALSE)</f>
        <v>30</v>
      </c>
      <c r="D46" s="25">
        <f>+SUMIFS(PROVEEDORES[Total],PROVEEDORES[PROVEEDOR],PROVEEDORES[[#This Row],[PROVEEDOR]],PROVEEDORES[FECHA DE PAGO],"")</f>
        <v>401799.93</v>
      </c>
      <c r="E46" s="25"/>
      <c r="F46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46" s="161">
        <v>44741</v>
      </c>
      <c r="H46" s="26" t="s">
        <v>508</v>
      </c>
      <c r="I46" s="161">
        <v>44733</v>
      </c>
      <c r="J46" s="35" t="s">
        <v>1083</v>
      </c>
      <c r="K46" s="21">
        <v>-317100</v>
      </c>
      <c r="L46" s="21"/>
      <c r="M46" s="22">
        <f>(PROVEEDORES[[#This Row],[SUBTOTAL]]-PROVEEDORES[[#This Row],[descuento sobre subtotal]])*VLOOKUP(PROVEEDORES[[#This Row],[PROVEEDOR]],TERCEROS_INFO[#All],3,FALSE)</f>
        <v>-60249</v>
      </c>
      <c r="N46" s="23"/>
      <c r="O46" s="22">
        <f>+PROVEEDORES[[#This Row],[Descuento sobre subtotal %]]*(PROVEEDORES[[#This Row],[SUBTOTAL]]-PROVEEDORES[[#This Row],[descuento sobre subtotal]])</f>
        <v>0</v>
      </c>
      <c r="P46" s="83">
        <f>+IF(PROVEEDORES[[#This Row],[SUBTOTAL]]&lt;PROVEEDORES[[#This Row],[base retencion]],0,PROVEEDORES[[#This Row],[retención aplicada]])</f>
        <v>0</v>
      </c>
      <c r="Q46" s="22">
        <f>+PROVEEDORES[[#This Row],[Rete Fuente %]]*(PROVEEDORES[[#This Row],[SUBTOTAL]]-PROVEEDORES[[#This Row],[descuento sobre subtotal]])</f>
        <v>0</v>
      </c>
      <c r="R46" s="21">
        <f>+PROVEEDORES[[#This Row],[SUBTOTAL]]+PROVEEDORES[[#This Row],[IVA 19%]]-PROVEEDORES[[#This Row],[descuento sobre subtotal]]-PROVEEDORES[[#This Row],[Descuento sobre subtotal $2]]-PROVEEDORES[[#This Row],[Rete Fuente $]]</f>
        <v>-377349</v>
      </c>
      <c r="S4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68">
        <f ca="1">IF(PROVEEDORES[[#This Row],[FECHA DE PAGO]]=0,TODAY()-PROVEEDORES[[#This Row],[FECHA DE FACTURACIÓN]]-PROVEEDORES[[#This Row],[PLAZO Días]],0)</f>
        <v>0</v>
      </c>
      <c r="U46" s="113" t="str">
        <f>+VLOOKUP(PROVEEDORES[[#This Row],[PROVEEDOR]],Terceros!$A:$D,4,FALSE)</f>
        <v>2,5% con base</v>
      </c>
      <c r="V46" s="114">
        <f>+YEAR(PROVEEDORES[[#This Row],[FECHA DE FACTURACIÓN]])</f>
        <v>2022</v>
      </c>
      <c r="W46" s="114">
        <f>+MATCH(PROVEEDORES[[#This Row],[año facturado]],Retenciones!$1:$1,0)</f>
        <v>5</v>
      </c>
      <c r="X46" s="115">
        <f>+VLOOKUP(PROVEEDORES[[#This Row],[ID RETENCION]],Retenciones!$A$1:$O$25,PROVEEDORES[[#This Row],[indicador de columna]],FALSE)</f>
        <v>1026000</v>
      </c>
      <c r="Y46" s="116">
        <f>+VLOOKUP(PROVEEDORES[[#This Row],[ID RETENCION]],Retenciones!$A$1:$O$25,2,FALSE)</f>
        <v>2.5000000000000001E-2</v>
      </c>
      <c r="Z46" s="125" t="b">
        <f>OR(COUNTIF(PROVEEDORES[[#This Row],[PROVEEDOR]],"*"&amp;'Palabra no opera'!$A$2&amp;"*"))</f>
        <v>0</v>
      </c>
      <c r="AA46" s="24"/>
      <c r="AB46" s="24"/>
      <c r="AC46" s="24"/>
      <c r="AD46" s="24"/>
      <c r="AE46" s="24"/>
    </row>
    <row r="47" spans="1:31" ht="22.2" customHeight="1" x14ac:dyDescent="0.3">
      <c r="A47" s="66" t="str">
        <f>+IF(PROVEEDORES[[#This Row],[FECHA DE PAGO]]=PROVEEDORES[[#This Row],[FECHA DE FACTURACIÓN]],"DE CONTADO","CRÉDITO")</f>
        <v>CRÉDITO</v>
      </c>
      <c r="B47" s="38" t="b">
        <f>+IF((PROVEEDORES[[#This Row],[FECHA DE PAGO]]-PROVEEDORES[[#This Row],[FECHA DE FACTURACIÓN]])&gt;PROVEEDORES[[#This Row],[PLAZO Días]],"PAGO VENCIDO")</f>
        <v>0</v>
      </c>
      <c r="C47" s="20">
        <f>+VLOOKUP(PROVEEDORES[[#This Row],[PROVEEDOR]],TERCEROS_INFO[#All],2,FALSE)</f>
        <v>30</v>
      </c>
      <c r="D47" s="25">
        <f>+SUMIFS(PROVEEDORES[Total],PROVEEDORES[PROVEEDOR],PROVEEDORES[[#This Row],[PROVEEDOR]],PROVEEDORES[FECHA DE PAGO],"")</f>
        <v>23124164.219999999</v>
      </c>
      <c r="E47" s="25"/>
      <c r="F4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7" s="161">
        <v>44239</v>
      </c>
      <c r="H47" s="26" t="s">
        <v>18</v>
      </c>
      <c r="I47" s="161">
        <v>44235</v>
      </c>
      <c r="J47" s="35" t="s">
        <v>180</v>
      </c>
      <c r="K47" s="21">
        <v>-279600</v>
      </c>
      <c r="L47" s="21"/>
      <c r="M47" s="22">
        <f>(PROVEEDORES[[#This Row],[SUBTOTAL]]-PROVEEDORES[[#This Row],[descuento sobre subtotal]])*VLOOKUP(PROVEEDORES[[#This Row],[PROVEEDOR]],TERCEROS_INFO[#All],3,FALSE)</f>
        <v>-53124</v>
      </c>
      <c r="N47" s="23"/>
      <c r="O47" s="22">
        <f>+PROVEEDORES[[#This Row],[Descuento sobre subtotal %]]*(PROVEEDORES[[#This Row],[SUBTOTAL]]-PROVEEDORES[[#This Row],[descuento sobre subtotal]])</f>
        <v>0</v>
      </c>
      <c r="P47" s="83">
        <f>+IF(PROVEEDORES[[#This Row],[SUBTOTAL]]&lt;PROVEEDORES[[#This Row],[base retencion]],0,PROVEEDORES[[#This Row],[retención aplicada]])</f>
        <v>0</v>
      </c>
      <c r="Q47" s="22">
        <f>+PROVEEDORES[[#This Row],[Rete Fuente %]]*(PROVEEDORES[[#This Row],[SUBTOTAL]]-PROVEEDORES[[#This Row],[descuento sobre subtotal]])</f>
        <v>0</v>
      </c>
      <c r="R47" s="21">
        <f>+PROVEEDORES[[#This Row],[SUBTOTAL]]+PROVEEDORES[[#This Row],[IVA 19%]]-PROVEEDORES[[#This Row],[descuento sobre subtotal]]-PROVEEDORES[[#This Row],[Descuento sobre subtotal $2]]-PROVEEDORES[[#This Row],[Rete Fuente $]]</f>
        <v>-332724</v>
      </c>
      <c r="S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68">
        <f ca="1">IF(PROVEEDORES[[#This Row],[FECHA DE PAGO]]=0,TODAY()-PROVEEDORES[[#This Row],[FECHA DE FACTURACIÓN]]-PROVEEDORES[[#This Row],[PLAZO Días]],0)</f>
        <v>0</v>
      </c>
      <c r="U47" s="96" t="str">
        <f>+VLOOKUP(PROVEEDORES[[#This Row],[PROVEEDOR]],Terceros!$A:$D,4,FALSE)</f>
        <v>2,5% con base</v>
      </c>
      <c r="V47" s="97">
        <f>+YEAR(PROVEEDORES[[#This Row],[FECHA DE FACTURACIÓN]])</f>
        <v>2021</v>
      </c>
      <c r="W47" s="97">
        <f>+MATCH(PROVEEDORES[[#This Row],[año facturado]],Retenciones!$1:$1,0)</f>
        <v>4</v>
      </c>
      <c r="X47" s="98">
        <f>+VLOOKUP(PROVEEDORES[[#This Row],[ID RETENCION]],Retenciones!$A$1:$O$25,PROVEEDORES[[#This Row],[indicador de columna]],FALSE)</f>
        <v>980000</v>
      </c>
      <c r="Y47" s="99">
        <f>+VLOOKUP(PROVEEDORES[[#This Row],[ID RETENCION]],Retenciones!$A$1:$O$25,2,FALSE)</f>
        <v>2.5000000000000001E-2</v>
      </c>
      <c r="Z47" s="125" t="b">
        <f>OR(COUNTIF(PROVEEDORES[[#This Row],[PROVEEDOR]],"*"&amp;'Palabra no opera'!$A$2&amp;"*"))</f>
        <v>0</v>
      </c>
      <c r="AA47" s="24"/>
      <c r="AB47" s="24"/>
      <c r="AC47" s="24"/>
      <c r="AD47" s="24"/>
      <c r="AE47" s="24"/>
    </row>
    <row r="48" spans="1:31" ht="22.2" customHeight="1" x14ac:dyDescent="0.3">
      <c r="A48" s="66" t="str">
        <f>+IF(PROVEEDORES[[#This Row],[FECHA DE PAGO]]=PROVEEDORES[[#This Row],[FECHA DE FACTURACIÓN]],"DE CONTADO","CRÉDITO")</f>
        <v>CRÉDITO</v>
      </c>
      <c r="B48" s="38" t="str">
        <f>+IF((PROVEEDORES[[#This Row],[FECHA DE PAGO]]-PROVEEDORES[[#This Row],[FECHA DE FACTURACIÓN]])&gt;PROVEEDORES[[#This Row],[PLAZO Días]],"PAGO VENCIDO")</f>
        <v>PAGO VENCIDO</v>
      </c>
      <c r="C48" s="20">
        <f>+VLOOKUP(PROVEEDORES[[#This Row],[PROVEEDOR]],TERCEROS_INFO[#All],2,FALSE)</f>
        <v>30</v>
      </c>
      <c r="D48" s="25">
        <f>+SUMIFS(PROVEEDORES[Total],PROVEEDORES[PROVEEDOR],PROVEEDORES[[#This Row],[PROVEEDOR]],PROVEEDORES[FECHA DE PAGO],"")</f>
        <v>23124164.219999999</v>
      </c>
      <c r="E48" s="25"/>
      <c r="F4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8" s="161">
        <v>44307</v>
      </c>
      <c r="H48" s="26" t="s">
        <v>18</v>
      </c>
      <c r="I48" s="161">
        <v>44246</v>
      </c>
      <c r="J48" s="35" t="s">
        <v>238</v>
      </c>
      <c r="K48" s="21">
        <v>-268907.56302521011</v>
      </c>
      <c r="L48" s="21"/>
      <c r="M48" s="22">
        <f>(PROVEEDORES[[#This Row],[SUBTOTAL]]-PROVEEDORES[[#This Row],[descuento sobre subtotal]])*VLOOKUP(PROVEEDORES[[#This Row],[PROVEEDOR]],TERCEROS_INFO[#All],3,FALSE)</f>
        <v>-51092.436974789918</v>
      </c>
      <c r="N48" s="23"/>
      <c r="O48" s="22">
        <f>+PROVEEDORES[[#This Row],[Descuento sobre subtotal %]]*(PROVEEDORES[[#This Row],[SUBTOTAL]]-PROVEEDORES[[#This Row],[descuento sobre subtotal]])</f>
        <v>0</v>
      </c>
      <c r="P48" s="83">
        <f>+IF(PROVEEDORES[[#This Row],[SUBTOTAL]]&lt;PROVEEDORES[[#This Row],[base retencion]],0,PROVEEDORES[[#This Row],[retención aplicada]])</f>
        <v>0</v>
      </c>
      <c r="Q48" s="22">
        <f>+PROVEEDORES[[#This Row],[Rete Fuente %]]*(PROVEEDORES[[#This Row],[SUBTOTAL]]-PROVEEDORES[[#This Row],[descuento sobre subtotal]])</f>
        <v>0</v>
      </c>
      <c r="R48" s="21">
        <f>+PROVEEDORES[[#This Row],[SUBTOTAL]]+PROVEEDORES[[#This Row],[IVA 19%]]-PROVEEDORES[[#This Row],[descuento sobre subtotal]]-PROVEEDORES[[#This Row],[Descuento sobre subtotal $2]]-PROVEEDORES[[#This Row],[Rete Fuente $]]</f>
        <v>-320000</v>
      </c>
      <c r="S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68">
        <f ca="1">IF(PROVEEDORES[[#This Row],[FECHA DE PAGO]]=0,TODAY()-PROVEEDORES[[#This Row],[FECHA DE FACTURACIÓN]]-PROVEEDORES[[#This Row],[PLAZO Días]],0)</f>
        <v>0</v>
      </c>
      <c r="U48" s="96" t="str">
        <f>+VLOOKUP(PROVEEDORES[[#This Row],[PROVEEDOR]],Terceros!$A:$D,4,FALSE)</f>
        <v>2,5% con base</v>
      </c>
      <c r="V48" s="97">
        <f>+YEAR(PROVEEDORES[[#This Row],[FECHA DE FACTURACIÓN]])</f>
        <v>2021</v>
      </c>
      <c r="W48" s="97">
        <f>+MATCH(PROVEEDORES[[#This Row],[año facturado]],Retenciones!$1:$1,0)</f>
        <v>4</v>
      </c>
      <c r="X48" s="98">
        <f>+VLOOKUP(PROVEEDORES[[#This Row],[ID RETENCION]],Retenciones!$A$1:$O$25,PROVEEDORES[[#This Row],[indicador de columna]],FALSE)</f>
        <v>980000</v>
      </c>
      <c r="Y48" s="99">
        <f>+VLOOKUP(PROVEEDORES[[#This Row],[ID RETENCION]],Retenciones!$A$1:$O$25,2,FALSE)</f>
        <v>2.5000000000000001E-2</v>
      </c>
      <c r="Z48" s="125" t="b">
        <f>OR(COUNTIF(PROVEEDORES[[#This Row],[PROVEEDOR]],"*"&amp;'Palabra no opera'!$A$2&amp;"*"))</f>
        <v>0</v>
      </c>
      <c r="AA48" s="24"/>
      <c r="AB48" s="24"/>
      <c r="AC48" s="24"/>
      <c r="AD48" s="24"/>
      <c r="AE48" s="24"/>
    </row>
    <row r="49" spans="1:31" ht="22.2" customHeight="1" x14ac:dyDescent="0.3">
      <c r="A49" s="66" t="str">
        <f>+IF(PROVEEDORES[[#This Row],[FECHA DE PAGO]]=PROVEEDORES[[#This Row],[FECHA DE FACTURACIÓN]],"DE CONTADO","CRÉDITO")</f>
        <v>CRÉDITO</v>
      </c>
      <c r="B49" s="38" t="str">
        <f>+IF((PROVEEDORES[[#This Row],[FECHA DE PAGO]]-PROVEEDORES[[#This Row],[FECHA DE FACTURACIÓN]])&gt;PROVEEDORES[[#This Row],[PLAZO Días]],"PAGO VENCIDO")</f>
        <v>PAGO VENCIDO</v>
      </c>
      <c r="C49" s="20">
        <f>+VLOOKUP(PROVEEDORES[[#This Row],[PROVEEDOR]],TERCEROS_INFO[#All],2,FALSE)</f>
        <v>20</v>
      </c>
      <c r="D49" s="25">
        <f>+SUMIFS(PROVEEDORES[Total],PROVEEDORES[PROVEEDOR],PROVEEDORES[[#This Row],[PROVEEDOR]],PROVEEDORES[FECHA DE PAGO],"")</f>
        <v>0</v>
      </c>
      <c r="E49" s="25"/>
      <c r="F4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49" s="161">
        <v>44650</v>
      </c>
      <c r="H49" s="26" t="s">
        <v>942</v>
      </c>
      <c r="I49" s="161">
        <v>44617</v>
      </c>
      <c r="J49" s="35" t="s">
        <v>727</v>
      </c>
      <c r="K49" s="21">
        <v>-248736</v>
      </c>
      <c r="L49" s="21"/>
      <c r="M49" s="22">
        <v>-47259.840000000004</v>
      </c>
      <c r="N49" s="23"/>
      <c r="O49" s="22">
        <f>+PROVEEDORES[[#This Row],[Descuento sobre subtotal %]]*(PROVEEDORES[[#This Row],[SUBTOTAL]]-PROVEEDORES[[#This Row],[descuento sobre subtotal]])</f>
        <v>0</v>
      </c>
      <c r="P49" s="83">
        <f>+IF(PROVEEDORES[[#This Row],[SUBTOTAL]]&lt;PROVEEDORES[[#This Row],[base retencion]],0,PROVEEDORES[[#This Row],[retención aplicada]])</f>
        <v>0</v>
      </c>
      <c r="Q49" s="22">
        <f>+PROVEEDORES[[#This Row],[Rete Fuente %]]*(PROVEEDORES[[#This Row],[SUBTOTAL]]-PROVEEDORES[[#This Row],[descuento sobre subtotal]])</f>
        <v>0</v>
      </c>
      <c r="R49" s="21">
        <v>-295995.84000000003</v>
      </c>
      <c r="S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68">
        <f ca="1">IF(PROVEEDORES[[#This Row],[FECHA DE PAGO]]=0,TODAY()-PROVEEDORES[[#This Row],[FECHA DE FACTURACIÓN]]-PROVEEDORES[[#This Row],[PLAZO Días]],0)</f>
        <v>0</v>
      </c>
      <c r="U49" s="96" t="str">
        <f>+VLOOKUP(PROVEEDORES[[#This Row],[PROVEEDOR]],Terceros!$A:$D,4,FALSE)</f>
        <v>3,5% sin base</v>
      </c>
      <c r="V49" s="97">
        <f>+YEAR(PROVEEDORES[[#This Row],[FECHA DE FACTURACIÓN]])</f>
        <v>2022</v>
      </c>
      <c r="W49" s="97">
        <f>+MATCH(PROVEEDORES[[#This Row],[año facturado]],Retenciones!$1:$1,0)</f>
        <v>5</v>
      </c>
      <c r="X49" s="98">
        <f>+VLOOKUP(PROVEEDORES[[#This Row],[ID RETENCION]],Retenciones!$A$1:$O$25,PROVEEDORES[[#This Row],[indicador de columna]],FALSE)</f>
        <v>0</v>
      </c>
      <c r="Y49" s="99">
        <f>+VLOOKUP(PROVEEDORES[[#This Row],[ID RETENCION]],Retenciones!$A$1:$O$25,2,FALSE)</f>
        <v>3.5000000000000003E-2</v>
      </c>
      <c r="Z49" s="127" t="b">
        <f>OR(COUNTIF(PROVEEDORES[[#This Row],[PROVEEDOR]],"*"&amp;'Palabra no opera'!$A$2&amp;"*"))</f>
        <v>1</v>
      </c>
      <c r="AA49" s="24"/>
      <c r="AB49" s="24"/>
      <c r="AC49" s="24"/>
      <c r="AD49" s="24"/>
      <c r="AE49" s="24"/>
    </row>
    <row r="50" spans="1:31" ht="22.2" customHeight="1" x14ac:dyDescent="0.3">
      <c r="A50" s="66" t="str">
        <f>+IF(PROVEEDORES[[#This Row],[FECHA DE PAGO]]=PROVEEDORES[[#This Row],[FECHA DE FACTURACIÓN]],"DE CONTADO","CRÉDITO")</f>
        <v>CRÉDITO</v>
      </c>
      <c r="B50" s="38" t="str">
        <f>+IF((PROVEEDORES[[#This Row],[FECHA DE PAGO]]-PROVEEDORES[[#This Row],[FECHA DE FACTURACIÓN]])&gt;PROVEEDORES[[#This Row],[PLAZO Días]],"PAGO VENCIDO")</f>
        <v>PAGO VENCIDO</v>
      </c>
      <c r="C50" s="20">
        <f>+VLOOKUP(PROVEEDORES[[#This Row],[PROVEEDOR]],TERCEROS_INFO[#All],2,FALSE)</f>
        <v>30</v>
      </c>
      <c r="D50" s="25">
        <f>+SUMIFS(PROVEEDORES[Total],PROVEEDORES[PROVEEDOR],PROVEEDORES[[#This Row],[PROVEEDOR]],PROVEEDORES[FECHA DE PAGO],"")</f>
        <v>0</v>
      </c>
      <c r="E50" s="25"/>
      <c r="F5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50" s="161">
        <v>44517</v>
      </c>
      <c r="H50" s="26" t="s">
        <v>20</v>
      </c>
      <c r="I50" s="161">
        <v>44476</v>
      </c>
      <c r="J50" s="35" t="s">
        <v>1326</v>
      </c>
      <c r="K50" s="21">
        <v>-237267</v>
      </c>
      <c r="L50" s="21"/>
      <c r="M50" s="22">
        <f>(PROVEEDORES[[#This Row],[SUBTOTAL]]-PROVEEDORES[[#This Row],[descuento sobre subtotal]])*VLOOKUP(PROVEEDORES[[#This Row],[PROVEEDOR]],TERCEROS_INFO[#All],3,FALSE)</f>
        <v>-45080.73</v>
      </c>
      <c r="N50" s="23"/>
      <c r="O50" s="22">
        <f>+PROVEEDORES[[#This Row],[Descuento sobre subtotal %]]*(PROVEEDORES[[#This Row],[SUBTOTAL]]-PROVEEDORES[[#This Row],[descuento sobre subtotal]])</f>
        <v>0</v>
      </c>
      <c r="P50" s="83">
        <f>+IF(PROVEEDORES[[#This Row],[SUBTOTAL]]&lt;PROVEEDORES[[#This Row],[base retencion]],0,PROVEEDORES[[#This Row],[retención aplicada]])</f>
        <v>0</v>
      </c>
      <c r="Q50" s="22">
        <f>+PROVEEDORES[[#This Row],[Rete Fuente %]]*(PROVEEDORES[[#This Row],[SUBTOTAL]]-PROVEEDORES[[#This Row],[descuento sobre subtotal]])</f>
        <v>0</v>
      </c>
      <c r="R50" s="21">
        <f>+PROVEEDORES[[#This Row],[SUBTOTAL]]+PROVEEDORES[[#This Row],[IVA 19%]]-PROVEEDORES[[#This Row],[descuento sobre subtotal]]-PROVEEDORES[[#This Row],[Descuento sobre subtotal $2]]-PROVEEDORES[[#This Row],[Rete Fuente $]]</f>
        <v>-282347.73</v>
      </c>
      <c r="S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68">
        <f ca="1">IF(PROVEEDORES[[#This Row],[FECHA DE PAGO]]=0,TODAY()-PROVEEDORES[[#This Row],[FECHA DE FACTURACIÓN]]-PROVEEDORES[[#This Row],[PLAZO Días]],0)</f>
        <v>0</v>
      </c>
      <c r="U50" s="96" t="str">
        <f>+VLOOKUP(PROVEEDORES[[#This Row],[PROVEEDOR]],Terceros!$A:$D,4,FALSE)</f>
        <v>2,5% con base</v>
      </c>
      <c r="V50" s="97">
        <f>+YEAR(PROVEEDORES[[#This Row],[FECHA DE FACTURACIÓN]])</f>
        <v>2021</v>
      </c>
      <c r="W50" s="97">
        <f>+MATCH(PROVEEDORES[[#This Row],[año facturado]],Retenciones!$1:$1,0)</f>
        <v>4</v>
      </c>
      <c r="X50" s="98">
        <f>+VLOOKUP(PROVEEDORES[[#This Row],[ID RETENCION]],Retenciones!$A$1:$O$25,PROVEEDORES[[#This Row],[indicador de columna]],FALSE)</f>
        <v>980000</v>
      </c>
      <c r="Y50" s="99">
        <f>+VLOOKUP(PROVEEDORES[[#This Row],[ID RETENCION]],Retenciones!$A$1:$O$25,2,FALSE)</f>
        <v>2.5000000000000001E-2</v>
      </c>
      <c r="Z50" s="125" t="b">
        <f>OR(COUNTIF(PROVEEDORES[[#This Row],[PROVEEDOR]],"*"&amp;'Palabra no opera'!$A$2&amp;"*"))</f>
        <v>0</v>
      </c>
      <c r="AA50" s="24"/>
      <c r="AB50" s="24"/>
      <c r="AC50" s="24"/>
      <c r="AD50" s="24"/>
      <c r="AE50" s="24"/>
    </row>
    <row r="51" spans="1:31" ht="22.2" customHeight="1" x14ac:dyDescent="0.3">
      <c r="A51" s="66" t="str">
        <f>+IF(PROVEEDORES[[#This Row],[FECHA DE PAGO]]=PROVEEDORES[[#This Row],[FECHA DE FACTURACIÓN]],"DE CONTADO","CRÉDITO")</f>
        <v>CRÉDITO</v>
      </c>
      <c r="B51" s="38" t="b">
        <f>+IF((PROVEEDORES[[#This Row],[FECHA DE PAGO]]-PROVEEDORES[[#This Row],[FECHA DE FACTURACIÓN]])&gt;PROVEEDORES[[#This Row],[PLAZO Días]],"PAGO VENCIDO")</f>
        <v>0</v>
      </c>
      <c r="C51" s="20">
        <f>+VLOOKUP(PROVEEDORES[[#This Row],[PROVEEDOR]],TERCEROS_INFO[#All],2,FALSE)</f>
        <v>30</v>
      </c>
      <c r="D51" s="25">
        <f>+SUMIFS(PROVEEDORES[Total],PROVEEDORES[PROVEEDOR],PROVEEDORES[[#This Row],[PROVEEDOR]],PROVEEDORES[FECHA DE PAGO],"")</f>
        <v>0</v>
      </c>
      <c r="E51" s="25"/>
      <c r="F5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51" s="161">
        <v>44678</v>
      </c>
      <c r="H51" s="26" t="s">
        <v>918</v>
      </c>
      <c r="I51" s="161">
        <v>44650</v>
      </c>
      <c r="J51" s="35" t="s">
        <v>705</v>
      </c>
      <c r="K51" s="21">
        <v>-272331</v>
      </c>
      <c r="L51" s="21"/>
      <c r="M51" s="22">
        <f>(PROVEEDORES[[#This Row],[SUBTOTAL]]-PROVEEDORES[[#This Row],[descuento sobre subtotal]])*VLOOKUP(PROVEEDORES[[#This Row],[PROVEEDOR]],TERCEROS_INFO[#All],3,FALSE)</f>
        <v>0</v>
      </c>
      <c r="N51" s="23"/>
      <c r="O51" s="22">
        <f>+PROVEEDORES[[#This Row],[Descuento sobre subtotal %]]*(PROVEEDORES[[#This Row],[SUBTOTAL]]-PROVEEDORES[[#This Row],[descuento sobre subtotal]])</f>
        <v>0</v>
      </c>
      <c r="P51" s="83">
        <f>+IF(PROVEEDORES[[#This Row],[SUBTOTAL]]&lt;PROVEEDORES[[#This Row],[base retencion]],0,PROVEEDORES[[#This Row],[retención aplicada]])</f>
        <v>0</v>
      </c>
      <c r="Q51" s="22">
        <f>+PROVEEDORES[[#This Row],[Rete Fuente %]]*(PROVEEDORES[[#This Row],[SUBTOTAL]]-PROVEEDORES[[#This Row],[descuento sobre subtotal]])</f>
        <v>0</v>
      </c>
      <c r="R51" s="21">
        <f>+PROVEEDORES[[#This Row],[SUBTOTAL]]+PROVEEDORES[[#This Row],[IVA 19%]]-PROVEEDORES[[#This Row],[descuento sobre subtotal]]-PROVEEDORES[[#This Row],[Descuento sobre subtotal $2]]-PROVEEDORES[[#This Row],[Rete Fuente $]]</f>
        <v>-272331</v>
      </c>
      <c r="S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68">
        <f ca="1">IF(PROVEEDORES[[#This Row],[FECHA DE PAGO]]=0,TODAY()-PROVEEDORES[[#This Row],[FECHA DE FACTURACIÓN]]-PROVEEDORES[[#This Row],[PLAZO Días]],0)</f>
        <v>0</v>
      </c>
      <c r="U51" s="96">
        <f>+VLOOKUP(PROVEEDORES[[#This Row],[PROVEEDOR]],Terceros!$A:$D,4,FALSE)</f>
        <v>0</v>
      </c>
      <c r="V51" s="97">
        <f>+YEAR(PROVEEDORES[[#This Row],[FECHA DE FACTURACIÓN]])</f>
        <v>2022</v>
      </c>
      <c r="W51" s="97">
        <f>+MATCH(PROVEEDORES[[#This Row],[año facturado]],Retenciones!$1:$1,0)</f>
        <v>5</v>
      </c>
      <c r="X51" s="98">
        <f>+VLOOKUP(PROVEEDORES[[#This Row],[ID RETENCION]],Retenciones!$A$1:$O$25,PROVEEDORES[[#This Row],[indicador de columna]],FALSE)</f>
        <v>0</v>
      </c>
      <c r="Y51" s="99">
        <f>+VLOOKUP(PROVEEDORES[[#This Row],[ID RETENCION]],Retenciones!$A$1:$O$25,2,FALSE)</f>
        <v>0</v>
      </c>
      <c r="Z51" s="125" t="b">
        <f>OR(COUNTIF(PROVEEDORES[[#This Row],[PROVEEDOR]],"*"&amp;'Palabra no opera'!$A$2&amp;"*"))</f>
        <v>1</v>
      </c>
      <c r="AA51" s="24"/>
      <c r="AB51" s="24"/>
      <c r="AC51" s="24"/>
      <c r="AD51" s="24"/>
      <c r="AE51" s="24"/>
    </row>
    <row r="52" spans="1:31" ht="22.2" customHeight="1" x14ac:dyDescent="0.3">
      <c r="A52" s="66" t="str">
        <f>+IF(PROVEEDORES[[#This Row],[FECHA DE PAGO]]=PROVEEDORES[[#This Row],[FECHA DE FACTURACIÓN]],"DE CONTADO","CRÉDITO")</f>
        <v>CRÉDITO</v>
      </c>
      <c r="B52" s="38" t="b">
        <f>+IF((PROVEEDORES[[#This Row],[FECHA DE PAGO]]-PROVEEDORES[[#This Row],[FECHA DE FACTURACIÓN]])&gt;PROVEEDORES[[#This Row],[PLAZO Días]],"PAGO VENCIDO")</f>
        <v>0</v>
      </c>
      <c r="C52" s="20">
        <f>+VLOOKUP(PROVEEDORES[[#This Row],[PROVEEDOR]],TERCEROS_INFO[#All],2,FALSE)</f>
        <v>30</v>
      </c>
      <c r="D52" s="25">
        <f>+SUMIFS(PROVEEDORES[Total],PROVEEDORES[PROVEEDOR],PROVEEDORES[[#This Row],[PROVEEDOR]],PROVEEDORES[FECHA DE PAGO],"")</f>
        <v>0</v>
      </c>
      <c r="E52" s="25"/>
      <c r="F5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2" s="161">
        <v>44635</v>
      </c>
      <c r="H52" s="26" t="s">
        <v>1637</v>
      </c>
      <c r="I52" s="161">
        <v>44614</v>
      </c>
      <c r="J52" s="35" t="s">
        <v>754</v>
      </c>
      <c r="K52" s="21">
        <v>-258607</v>
      </c>
      <c r="L52" s="21"/>
      <c r="M52" s="22">
        <f>(PROVEEDORES[[#This Row],[SUBTOTAL]]-PROVEEDORES[[#This Row],[descuento sobre subtotal]])*VLOOKUP(PROVEEDORES[[#This Row],[PROVEEDOR]],TERCEROS_INFO[#All],3,FALSE)</f>
        <v>-49135.33</v>
      </c>
      <c r="N52" s="23"/>
      <c r="O52" s="22">
        <f>+PROVEEDORES[[#This Row],[Descuento sobre subtotal %]]*(PROVEEDORES[[#This Row],[SUBTOTAL]]-PROVEEDORES[[#This Row],[descuento sobre subtotal]])</f>
        <v>0</v>
      </c>
      <c r="P52" s="83">
        <f>+IF(PROVEEDORES[[#This Row],[SUBTOTAL]]&lt;PROVEEDORES[[#This Row],[base retencion]],0,PROVEEDORES[[#This Row],[retención aplicada]])</f>
        <v>0</v>
      </c>
      <c r="Q52" s="22">
        <f>+PROVEEDORES[[#This Row],[Rete Fuente %]]*(PROVEEDORES[[#This Row],[SUBTOTAL]]-PROVEEDORES[[#This Row],[descuento sobre subtotal]])</f>
        <v>0</v>
      </c>
      <c r="R52" s="21">
        <v>-258607</v>
      </c>
      <c r="S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68">
        <f ca="1">IF(PROVEEDORES[[#This Row],[FECHA DE PAGO]]=0,TODAY()-PROVEEDORES[[#This Row],[FECHA DE FACTURACIÓN]]-PROVEEDORES[[#This Row],[PLAZO Días]],0)</f>
        <v>0</v>
      </c>
      <c r="U52" s="96" t="str">
        <f>+VLOOKUP(PROVEEDORES[[#This Row],[PROVEEDOR]],Terceros!$A:$D,4,FALSE)</f>
        <v>2,5% con base</v>
      </c>
      <c r="V52" s="97">
        <f>+YEAR(PROVEEDORES[[#This Row],[FECHA DE FACTURACIÓN]])</f>
        <v>2022</v>
      </c>
      <c r="W52" s="97">
        <f>+MATCH(PROVEEDORES[[#This Row],[año facturado]],Retenciones!$1:$1,0)</f>
        <v>5</v>
      </c>
      <c r="X52" s="98">
        <f>+VLOOKUP(PROVEEDORES[[#This Row],[ID RETENCION]],Retenciones!$A$1:$O$25,PROVEEDORES[[#This Row],[indicador de columna]],FALSE)</f>
        <v>1026000</v>
      </c>
      <c r="Y52" s="99">
        <f>+VLOOKUP(PROVEEDORES[[#This Row],[ID RETENCION]],Retenciones!$A$1:$O$25,2,FALSE)</f>
        <v>2.5000000000000001E-2</v>
      </c>
      <c r="Z52" s="125" t="b">
        <f>OR(COUNTIF(PROVEEDORES[[#This Row],[PROVEEDOR]],"*"&amp;'Palabra no opera'!$A$2&amp;"*"))</f>
        <v>0</v>
      </c>
      <c r="AA52" s="24"/>
      <c r="AB52" s="24"/>
      <c r="AC52" s="24"/>
      <c r="AD52" s="24"/>
      <c r="AE52" s="24"/>
    </row>
    <row r="53" spans="1:31" ht="22.2" customHeight="1" x14ac:dyDescent="0.3">
      <c r="A53" s="207" t="str">
        <f>+IF(PROVEEDORES[[#This Row],[FECHA DE PAGO]]=PROVEEDORES[[#This Row],[FECHA DE FACTURACIÓN]],"DE CONTADO","CRÉDITO")</f>
        <v>CRÉDITO</v>
      </c>
      <c r="B53" s="38" t="str">
        <f>+IF((PROVEEDORES[[#This Row],[FECHA DE PAGO]]-PROVEEDORES[[#This Row],[FECHA DE FACTURACIÓN]])&gt;PROVEEDORES[[#This Row],[PLAZO Días]],"PAGO VENCIDO")</f>
        <v>PAGO VENCIDO</v>
      </c>
      <c r="C53" s="20">
        <f>+VLOOKUP(PROVEEDORES[[#This Row],[PROVEEDOR]],TERCEROS_INFO[#All],2,FALSE)</f>
        <v>30</v>
      </c>
      <c r="D53" s="25">
        <f>+SUMIFS(PROVEEDORES[Total],PROVEEDORES[PROVEEDOR],PROVEEDORES[[#This Row],[PROVEEDOR]],PROVEEDORES[FECHA DE PAGO],"")</f>
        <v>2223034.2400000002</v>
      </c>
      <c r="E53" s="25"/>
      <c r="F5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53" s="161">
        <v>44853</v>
      </c>
      <c r="H53" s="26" t="s">
        <v>216</v>
      </c>
      <c r="I53" s="161">
        <v>44795</v>
      </c>
      <c r="J53" s="35" t="s">
        <v>1413</v>
      </c>
      <c r="K53" s="21">
        <v>-218487</v>
      </c>
      <c r="L53" s="21"/>
      <c r="M53" s="22">
        <f>(PROVEEDORES[[#This Row],[SUBTOTAL]]-PROVEEDORES[[#This Row],[descuento sobre subtotal]])*VLOOKUP(PROVEEDORES[[#This Row],[PROVEEDOR]],TERCEROS_INFO[#All],3,FALSE)</f>
        <v>-41512.53</v>
      </c>
      <c r="N53" s="23"/>
      <c r="O53" s="22">
        <f>+PROVEEDORES[[#This Row],[Descuento sobre subtotal %]]*(PROVEEDORES[[#This Row],[SUBTOTAL]]-PROVEEDORES[[#This Row],[descuento sobre subtotal]])</f>
        <v>0</v>
      </c>
      <c r="P53" s="83">
        <v>2.5000000000000001E-2</v>
      </c>
      <c r="Q53" s="22">
        <f>+PROVEEDORES[[#This Row],[Rete Fuente %]]*(PROVEEDORES[[#This Row],[SUBTOTAL]]-PROVEEDORES[[#This Row],[descuento sobre subtotal]])</f>
        <v>-5462.1750000000002</v>
      </c>
      <c r="R53" s="21">
        <f>+PROVEEDORES[[#This Row],[SUBTOTAL]]+PROVEEDORES[[#This Row],[IVA 19%]]-PROVEEDORES[[#This Row],[descuento sobre subtotal]]-PROVEEDORES[[#This Row],[Descuento sobre subtotal $2]]-PROVEEDORES[[#This Row],[Rete Fuente $]]</f>
        <v>-254537.35500000001</v>
      </c>
      <c r="S53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68">
        <f ca="1">IF(PROVEEDORES[[#This Row],[FECHA DE PAGO]]=0,TODAY()-PROVEEDORES[[#This Row],[FECHA DE FACTURACIÓN]]-PROVEEDORES[[#This Row],[PLAZO Días]],0)</f>
        <v>0</v>
      </c>
      <c r="U53" s="113" t="str">
        <f>+VLOOKUP(PROVEEDORES[[#This Row],[PROVEEDOR]],Terceros!$A:$D,4,FALSE)</f>
        <v>2,5% con base</v>
      </c>
      <c r="V53" s="114">
        <f>+YEAR(PROVEEDORES[[#This Row],[FECHA DE FACTURACIÓN]])</f>
        <v>2022</v>
      </c>
      <c r="W53" s="114">
        <f>+MATCH(PROVEEDORES[[#This Row],[año facturado]],Retenciones!$1:$1,0)</f>
        <v>5</v>
      </c>
      <c r="X53" s="115">
        <f>+VLOOKUP(PROVEEDORES[[#This Row],[ID RETENCION]],Retenciones!$A$1:$O$25,PROVEEDORES[[#This Row],[indicador de columna]],FALSE)</f>
        <v>1026000</v>
      </c>
      <c r="Y53" s="116">
        <f>+VLOOKUP(PROVEEDORES[[#This Row],[ID RETENCION]],Retenciones!$A$1:$O$25,2,FALSE)</f>
        <v>2.5000000000000001E-2</v>
      </c>
      <c r="Z53" s="125" t="b">
        <f>OR(COUNTIF(PROVEEDORES[[#This Row],[PROVEEDOR]],"*"&amp;'Palabra no opera'!$A$2&amp;"*"))</f>
        <v>0</v>
      </c>
      <c r="AA53" s="24"/>
      <c r="AB53" s="24"/>
      <c r="AC53" s="24"/>
      <c r="AD53" s="24"/>
      <c r="AE53" s="24"/>
    </row>
    <row r="54" spans="1:31" ht="22.2" customHeight="1" x14ac:dyDescent="0.3">
      <c r="A54" s="66" t="str">
        <f>+IF(PROVEEDORES[[#This Row],[FECHA DE PAGO]]=PROVEEDORES[[#This Row],[FECHA DE FACTURACIÓN]],"DE CONTADO","CRÉDITO")</f>
        <v>CRÉDITO</v>
      </c>
      <c r="B54" s="38" t="str">
        <f>+IF((PROVEEDORES[[#This Row],[FECHA DE PAGO]]-PROVEEDORES[[#This Row],[FECHA DE FACTURACIÓN]])&gt;PROVEEDORES[[#This Row],[PLAZO Días]],"PAGO VENCIDO")</f>
        <v>PAGO VENCIDO</v>
      </c>
      <c r="C54" s="20">
        <f>+VLOOKUP(PROVEEDORES[[#This Row],[PROVEEDOR]],TERCEROS_INFO[#All],2,FALSE)</f>
        <v>30</v>
      </c>
      <c r="D54" s="25">
        <f>+SUMIFS(PROVEEDORES[Total],PROVEEDORES[PROVEEDOR],PROVEEDORES[[#This Row],[PROVEEDOR]],PROVEEDORES[FECHA DE PAGO],"")</f>
        <v>4712021.58</v>
      </c>
      <c r="E54" s="25"/>
      <c r="F5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4" s="161">
        <v>44652</v>
      </c>
      <c r="H54" s="26" t="s">
        <v>17</v>
      </c>
      <c r="I54" s="161">
        <v>44621</v>
      </c>
      <c r="J54" s="35" t="s">
        <v>748</v>
      </c>
      <c r="K54" s="21">
        <v>-209000</v>
      </c>
      <c r="L54" s="21"/>
      <c r="M54" s="22">
        <f>(PROVEEDORES[[#This Row],[SUBTOTAL]]-PROVEEDORES[[#This Row],[descuento sobre subtotal]])*VLOOKUP(PROVEEDORES[[#This Row],[PROVEEDOR]],TERCEROS_INFO[#All],3,FALSE)</f>
        <v>-39710</v>
      </c>
      <c r="N54" s="23"/>
      <c r="O54" s="22">
        <f>+PROVEEDORES[[#This Row],[Descuento sobre subtotal %]]*(PROVEEDORES[[#This Row],[SUBTOTAL]]-PROVEEDORES[[#This Row],[descuento sobre subtotal]])</f>
        <v>0</v>
      </c>
      <c r="P54" s="83">
        <f>+IF(PROVEEDORES[[#This Row],[SUBTOTAL]]&lt;PROVEEDORES[[#This Row],[base retencion]],0,PROVEEDORES[[#This Row],[retención aplicada]])</f>
        <v>0</v>
      </c>
      <c r="Q54" s="22">
        <f>+PROVEEDORES[[#This Row],[Rete Fuente %]]*(PROVEEDORES[[#This Row],[SUBTOTAL]]-PROVEEDORES[[#This Row],[descuento sobre subtotal]])</f>
        <v>0</v>
      </c>
      <c r="R54" s="21">
        <v>-248710</v>
      </c>
      <c r="S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68">
        <f ca="1">IF(PROVEEDORES[[#This Row],[FECHA DE PAGO]]=0,TODAY()-PROVEEDORES[[#This Row],[FECHA DE FACTURACIÓN]]-PROVEEDORES[[#This Row],[PLAZO Días]],0)</f>
        <v>0</v>
      </c>
      <c r="U54" s="96">
        <f>+VLOOKUP(PROVEEDORES[[#This Row],[PROVEEDOR]],Terceros!$A:$D,4,FALSE)</f>
        <v>0</v>
      </c>
      <c r="V54" s="97">
        <f>+YEAR(PROVEEDORES[[#This Row],[FECHA DE FACTURACIÓN]])</f>
        <v>2022</v>
      </c>
      <c r="W54" s="97">
        <f>+MATCH(PROVEEDORES[[#This Row],[año facturado]],Retenciones!$1:$1,0)</f>
        <v>5</v>
      </c>
      <c r="X54" s="98">
        <f>+VLOOKUP(PROVEEDORES[[#This Row],[ID RETENCION]],Retenciones!$A$1:$O$25,PROVEEDORES[[#This Row],[indicador de columna]],FALSE)</f>
        <v>0</v>
      </c>
      <c r="Y54" s="99">
        <f>+VLOOKUP(PROVEEDORES[[#This Row],[ID RETENCION]],Retenciones!$A$1:$O$25,2,FALSE)</f>
        <v>0</v>
      </c>
      <c r="Z54" s="125" t="b">
        <f>OR(COUNTIF(PROVEEDORES[[#This Row],[PROVEEDOR]],"*"&amp;'Palabra no opera'!$A$2&amp;"*"))</f>
        <v>0</v>
      </c>
      <c r="AA54" s="24"/>
      <c r="AB54" s="24"/>
      <c r="AC54" s="24"/>
      <c r="AD54" s="24"/>
      <c r="AE54" s="24"/>
    </row>
    <row r="55" spans="1:31" ht="22.2" customHeight="1" x14ac:dyDescent="0.3">
      <c r="A55" s="66" t="str">
        <f>+IF(PROVEEDORES[[#This Row],[FECHA DE PAGO]]=PROVEEDORES[[#This Row],[FECHA DE FACTURACIÓN]],"DE CONTADO","CRÉDITO")</f>
        <v>CRÉDITO</v>
      </c>
      <c r="B55" s="38" t="str">
        <f>+IF((PROVEEDORES[[#This Row],[FECHA DE PAGO]]-PROVEEDORES[[#This Row],[FECHA DE FACTURACIÓN]])&gt;PROVEEDORES[[#This Row],[PLAZO Días]],"PAGO VENCIDO")</f>
        <v>PAGO VENCIDO</v>
      </c>
      <c r="C55" s="20">
        <f>+VLOOKUP(PROVEEDORES[[#This Row],[PROVEEDOR]],TERCEROS_INFO[#All],2,FALSE)</f>
        <v>20</v>
      </c>
      <c r="D55" s="25">
        <f>+SUMIFS(PROVEEDORES[Total],PROVEEDORES[PROVEEDOR],PROVEEDORES[[#This Row],[PROVEEDOR]],PROVEEDORES[FECHA DE PAGO],"")</f>
        <v>0</v>
      </c>
      <c r="E55" s="25"/>
      <c r="F5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55" s="161">
        <v>44280</v>
      </c>
      <c r="H55" s="26" t="s">
        <v>942</v>
      </c>
      <c r="I55" s="161">
        <v>44251</v>
      </c>
      <c r="J55" s="35" t="s">
        <v>224</v>
      </c>
      <c r="K55" s="21">
        <v>-174400</v>
      </c>
      <c r="L55" s="21"/>
      <c r="M55" s="22">
        <f>(PROVEEDORES[[#This Row],[SUBTOTAL]]-PROVEEDORES[[#This Row],[descuento sobre subtotal]])*VLOOKUP(PROVEEDORES[[#This Row],[PROVEEDOR]],TERCEROS_INFO[#All],3,FALSE)</f>
        <v>-33136</v>
      </c>
      <c r="N55" s="23"/>
      <c r="O55" s="22">
        <f>+PROVEEDORES[[#This Row],[Descuento sobre subtotal %]]*(PROVEEDORES[[#This Row],[SUBTOTAL]]-PROVEEDORES[[#This Row],[descuento sobre subtotal]])</f>
        <v>0</v>
      </c>
      <c r="P55" s="83">
        <f>+IF(PROVEEDORES[[#This Row],[SUBTOTAL]]&lt;PROVEEDORES[[#This Row],[base retencion]],0,PROVEEDORES[[#This Row],[retención aplicada]])</f>
        <v>0</v>
      </c>
      <c r="Q55" s="22">
        <f>+PROVEEDORES[[#This Row],[Rete Fuente %]]*(PROVEEDORES[[#This Row],[SUBTOTAL]]-PROVEEDORES[[#This Row],[descuento sobre subtotal]])</f>
        <v>0</v>
      </c>
      <c r="R55" s="21">
        <f>+PROVEEDORES[[#This Row],[SUBTOTAL]]+PROVEEDORES[[#This Row],[IVA 19%]]-PROVEEDORES[[#This Row],[descuento sobre subtotal]]-PROVEEDORES[[#This Row],[Descuento sobre subtotal $2]]-PROVEEDORES[[#This Row],[Rete Fuente $]]</f>
        <v>-207536</v>
      </c>
      <c r="S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68">
        <f ca="1">IF(PROVEEDORES[[#This Row],[FECHA DE PAGO]]=0,TODAY()-PROVEEDORES[[#This Row],[FECHA DE FACTURACIÓN]]-PROVEEDORES[[#This Row],[PLAZO Días]],0)</f>
        <v>0</v>
      </c>
      <c r="U55" s="96" t="str">
        <f>+VLOOKUP(PROVEEDORES[[#This Row],[PROVEEDOR]],Terceros!$A:$D,4,FALSE)</f>
        <v>3,5% sin base</v>
      </c>
      <c r="V55" s="97">
        <f>+YEAR(PROVEEDORES[[#This Row],[FECHA DE FACTURACIÓN]])</f>
        <v>2021</v>
      </c>
      <c r="W55" s="97">
        <f>+MATCH(PROVEEDORES[[#This Row],[año facturado]],Retenciones!$1:$1,0)</f>
        <v>4</v>
      </c>
      <c r="X55" s="98">
        <f>+VLOOKUP(PROVEEDORES[[#This Row],[ID RETENCION]],Retenciones!$A$1:$O$25,PROVEEDORES[[#This Row],[indicador de columna]],FALSE)</f>
        <v>0</v>
      </c>
      <c r="Y55" s="99">
        <f>+VLOOKUP(PROVEEDORES[[#This Row],[ID RETENCION]],Retenciones!$A$1:$O$25,2,FALSE)</f>
        <v>3.5000000000000003E-2</v>
      </c>
      <c r="Z55" s="126" t="b">
        <f>OR(COUNTIF(PROVEEDORES[[#This Row],[PROVEEDOR]],"*"&amp;'Palabra no opera'!$A$2&amp;"*"))</f>
        <v>1</v>
      </c>
      <c r="AA55" s="24"/>
      <c r="AB55" s="24"/>
      <c r="AC55" s="24"/>
      <c r="AD55" s="24"/>
      <c r="AE55" s="24"/>
    </row>
    <row r="56" spans="1:31" ht="22.2" customHeight="1" x14ac:dyDescent="0.3">
      <c r="A56" s="66" t="str">
        <f>+IF(PROVEEDORES[[#This Row],[FECHA DE PAGO]]=PROVEEDORES[[#This Row],[FECHA DE FACTURACIÓN]],"DE CONTADO","CRÉDITO")</f>
        <v>CRÉDITO</v>
      </c>
      <c r="B56" s="38" t="b">
        <f>+IF((PROVEEDORES[[#This Row],[FECHA DE PAGO]]-PROVEEDORES[[#This Row],[FECHA DE FACTURACIÓN]])&gt;PROVEEDORES[[#This Row],[PLAZO Días]],"PAGO VENCIDO")</f>
        <v>0</v>
      </c>
      <c r="C56" s="20">
        <f>+VLOOKUP(PROVEEDORES[[#This Row],[PROVEEDOR]],TERCEROS_INFO[#All],2,FALSE)</f>
        <v>90</v>
      </c>
      <c r="D56" s="25">
        <f>+SUMIFS(PROVEEDORES[Total],PROVEEDORES[PROVEEDOR],PROVEEDORES[[#This Row],[PROVEEDOR]],PROVEEDORES[FECHA DE PAGO],"")</f>
        <v>2410000</v>
      </c>
      <c r="E56" s="25"/>
      <c r="F56" s="58" t="str">
        <f>+VLOOKUP(PROVEEDORES[[#This Row],[PROVEEDOR]],
                       Terceros!$A:$F,
                       5,
                       FALSE)</f>
        <v/>
      </c>
      <c r="G56" s="161">
        <v>44567</v>
      </c>
      <c r="H56" s="26" t="s">
        <v>651</v>
      </c>
      <c r="I56" s="161">
        <v>44566</v>
      </c>
      <c r="J56" s="35" t="s">
        <v>1552</v>
      </c>
      <c r="K56" s="21">
        <v>-190000</v>
      </c>
      <c r="L56" s="21"/>
      <c r="M56" s="22">
        <f>(PROVEEDORES[[#This Row],[SUBTOTAL]]-PROVEEDORES[[#This Row],[descuento sobre subtotal]])*VLOOKUP(PROVEEDORES[[#This Row],[PROVEEDOR]],TERCEROS_INFO[#All],3,FALSE)</f>
        <v>0</v>
      </c>
      <c r="N56" s="23"/>
      <c r="O56" s="22">
        <f>+PROVEEDORES[[#This Row],[Descuento sobre subtotal %]]*(PROVEEDORES[[#This Row],[SUBTOTAL]]-PROVEEDORES[[#This Row],[descuento sobre subtotal]])</f>
        <v>0</v>
      </c>
      <c r="P56" s="83">
        <f>+IF(PROVEEDORES[[#This Row],[SUBTOTAL]]&lt;PROVEEDORES[[#This Row],[base retencion]],0,PROVEEDORES[[#This Row],[retención aplicada]])</f>
        <v>0</v>
      </c>
      <c r="Q56" s="22">
        <f>+PROVEEDORES[[#This Row],[Rete Fuente %]]*(PROVEEDORES[[#This Row],[SUBTOTAL]]-PROVEEDORES[[#This Row],[descuento sobre subtotal]])</f>
        <v>0</v>
      </c>
      <c r="R56" s="21">
        <v>-190000</v>
      </c>
      <c r="S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68">
        <f ca="1">IF(PROVEEDORES[[#This Row],[FECHA DE PAGO]]=0,TODAY()-PROVEEDORES[[#This Row],[FECHA DE FACTURACIÓN]]-PROVEEDORES[[#This Row],[PLAZO Días]],0)</f>
        <v>0</v>
      </c>
      <c r="U56" s="96">
        <f>+VLOOKUP(PROVEEDORES[[#This Row],[PROVEEDOR]],Terceros!$A:$D,4,FALSE)</f>
        <v>0</v>
      </c>
      <c r="V56" s="97">
        <f>+YEAR(PROVEEDORES[[#This Row],[FECHA DE FACTURACIÓN]])</f>
        <v>2022</v>
      </c>
      <c r="W56" s="97">
        <f>+MATCH(PROVEEDORES[[#This Row],[año facturado]],Retenciones!$1:$1,0)</f>
        <v>5</v>
      </c>
      <c r="X56" s="98">
        <f>+VLOOKUP(PROVEEDORES[[#This Row],[ID RETENCION]],Retenciones!$A$1:$O$25,PROVEEDORES[[#This Row],[indicador de columna]],FALSE)</f>
        <v>0</v>
      </c>
      <c r="Y56" s="99">
        <f>+VLOOKUP(PROVEEDORES[[#This Row],[ID RETENCION]],Retenciones!$A$1:$O$25,2,FALSE)</f>
        <v>0</v>
      </c>
      <c r="Z56" s="125" t="b">
        <f>OR(COUNTIF(PROVEEDORES[[#This Row],[PROVEEDOR]],"*"&amp;'Palabra no opera'!$A$2&amp;"*"))</f>
        <v>0</v>
      </c>
      <c r="AA56" s="24"/>
      <c r="AB56" s="24"/>
      <c r="AC56" s="24"/>
      <c r="AD56" s="24"/>
      <c r="AE56" s="24"/>
    </row>
    <row r="57" spans="1:31" ht="22.2" customHeight="1" x14ac:dyDescent="0.3">
      <c r="A57" s="66" t="str">
        <f>+IF(PROVEEDORES[[#This Row],[FECHA DE PAGO]]=PROVEEDORES[[#This Row],[FECHA DE FACTURACIÓN]],"DE CONTADO","CRÉDITO")</f>
        <v>CRÉDITO</v>
      </c>
      <c r="B57" s="38" t="str">
        <f>+IF((PROVEEDORES[[#This Row],[FECHA DE PAGO]]-PROVEEDORES[[#This Row],[FECHA DE FACTURACIÓN]])&gt;PROVEEDORES[[#This Row],[PLAZO Días]],"PAGO VENCIDO")</f>
        <v>PAGO VENCIDO</v>
      </c>
      <c r="C57" s="20">
        <f>+VLOOKUP(PROVEEDORES[[#This Row],[PROVEEDOR]],TERCEROS_INFO[#All],2,FALSE)</f>
        <v>30</v>
      </c>
      <c r="D57" s="25">
        <f>+SUMIFS(PROVEEDORES[Total],PROVEEDORES[PROVEEDOR],PROVEEDORES[[#This Row],[PROVEEDOR]],PROVEEDORES[FECHA DE PAGO],"")</f>
        <v>0</v>
      </c>
      <c r="E57" s="25"/>
      <c r="F5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" s="161">
        <v>44341</v>
      </c>
      <c r="H57" s="26" t="s">
        <v>913</v>
      </c>
      <c r="I57" s="161">
        <v>44284</v>
      </c>
      <c r="J57" s="35" t="s">
        <v>224</v>
      </c>
      <c r="K57" s="21">
        <v>-136143.00000000003</v>
      </c>
      <c r="L57" s="21"/>
      <c r="M57" s="22">
        <f>(PROVEEDORES[[#This Row],[SUBTOTAL]]-PROVEEDORES[[#This Row],[descuento sobre subtotal]])*VLOOKUP(PROVEEDORES[[#This Row],[PROVEEDOR]],TERCEROS_INFO[#All],3,FALSE)</f>
        <v>-25867.170000000006</v>
      </c>
      <c r="N57" s="23"/>
      <c r="O57" s="22">
        <f>+PROVEEDORES[[#This Row],[Descuento sobre subtotal %]]*(PROVEEDORES[[#This Row],[SUBTOTAL]]-PROVEEDORES[[#This Row],[descuento sobre subtotal]])</f>
        <v>0</v>
      </c>
      <c r="P57" s="83">
        <f>+IF(PROVEEDORES[[#This Row],[SUBTOTAL]]&lt;PROVEEDORES[[#This Row],[base retencion]],0,PROVEEDORES[[#This Row],[retención aplicada]])</f>
        <v>0</v>
      </c>
      <c r="Q57" s="22">
        <f>+PROVEEDORES[[#This Row],[Rete Fuente %]]*(PROVEEDORES[[#This Row],[SUBTOTAL]]-PROVEEDORES[[#This Row],[descuento sobre subtotal]])</f>
        <v>0</v>
      </c>
      <c r="R57" s="21">
        <f>+PROVEEDORES[[#This Row],[SUBTOTAL]]+PROVEEDORES[[#This Row],[IVA 19%]]-PROVEEDORES[[#This Row],[descuento sobre subtotal]]-PROVEEDORES[[#This Row],[Descuento sobre subtotal $2]]-PROVEEDORES[[#This Row],[Rete Fuente $]]</f>
        <v>-162010.17000000004</v>
      </c>
      <c r="S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68">
        <f ca="1">IF(PROVEEDORES[[#This Row],[FECHA DE PAGO]]=0,TODAY()-PROVEEDORES[[#This Row],[FECHA DE FACTURACIÓN]]-PROVEEDORES[[#This Row],[PLAZO Días]],0)</f>
        <v>0</v>
      </c>
      <c r="U57" s="96">
        <f>+VLOOKUP(PROVEEDORES[[#This Row],[PROVEEDOR]],Terceros!$A:$D,4,FALSE)</f>
        <v>0</v>
      </c>
      <c r="V57" s="97">
        <f>+YEAR(PROVEEDORES[[#This Row],[FECHA DE FACTURACIÓN]])</f>
        <v>2021</v>
      </c>
      <c r="W57" s="97">
        <f>+MATCH(PROVEEDORES[[#This Row],[año facturado]],Retenciones!$1:$1,0)</f>
        <v>4</v>
      </c>
      <c r="X57" s="98">
        <f>+VLOOKUP(PROVEEDORES[[#This Row],[ID RETENCION]],Retenciones!$A$1:$O$25,PROVEEDORES[[#This Row],[indicador de columna]],FALSE)</f>
        <v>0</v>
      </c>
      <c r="Y57" s="99">
        <f>+VLOOKUP(PROVEEDORES[[#This Row],[ID RETENCION]],Retenciones!$A$1:$O$25,2,FALSE)</f>
        <v>0</v>
      </c>
      <c r="Z57" s="125" t="b">
        <f>OR(COUNTIF(PROVEEDORES[[#This Row],[PROVEEDOR]],"*"&amp;'Palabra no opera'!$A$2&amp;"*"))</f>
        <v>1</v>
      </c>
      <c r="AA57" s="24"/>
      <c r="AB57" s="24"/>
      <c r="AC57" s="24"/>
      <c r="AD57" s="24"/>
      <c r="AE57" s="24"/>
    </row>
    <row r="58" spans="1:31" ht="22.2" customHeight="1" x14ac:dyDescent="0.3">
      <c r="A58" s="66" t="str">
        <f>+IF(PROVEEDORES[[#This Row],[FECHA DE PAGO]]=PROVEEDORES[[#This Row],[FECHA DE FACTURACIÓN]],"DE CONTADO","CRÉDITO")</f>
        <v>CRÉDITO</v>
      </c>
      <c r="B58" s="38" t="b">
        <f>+IF((PROVEEDORES[[#This Row],[FECHA DE PAGO]]-PROVEEDORES[[#This Row],[FECHA DE FACTURACIÓN]])&gt;PROVEEDORES[[#This Row],[PLAZO Días]],"PAGO VENCIDO")</f>
        <v>0</v>
      </c>
      <c r="C58" s="20">
        <f>+VLOOKUP(PROVEEDORES[[#This Row],[PROVEEDOR]],TERCEROS_INFO[#All],2,FALSE)</f>
        <v>90</v>
      </c>
      <c r="D58" s="25">
        <f>+SUMIFS(PROVEEDORES[Total],PROVEEDORES[PROVEEDOR],PROVEEDORES[[#This Row],[PROVEEDOR]],PROVEEDORES[FECHA DE PAGO],"")</f>
        <v>26350422.770000003</v>
      </c>
      <c r="E58" s="25"/>
      <c r="F5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8" s="161">
        <v>44351</v>
      </c>
      <c r="H58" s="26" t="s">
        <v>12</v>
      </c>
      <c r="I58" s="161">
        <v>44330</v>
      </c>
      <c r="J58" s="35" t="s">
        <v>327</v>
      </c>
      <c r="K58" s="21">
        <v>-134454</v>
      </c>
      <c r="L58" s="21"/>
      <c r="M58" s="22">
        <f>(PROVEEDORES[[#This Row],[SUBTOTAL]]-PROVEEDORES[[#This Row],[descuento sobre subtotal]])*VLOOKUP(PROVEEDORES[[#This Row],[PROVEEDOR]],TERCEROS_INFO[#All],3,FALSE)</f>
        <v>-25546.260000000002</v>
      </c>
      <c r="N58" s="23"/>
      <c r="O58" s="22">
        <f>+PROVEEDORES[[#This Row],[Descuento sobre subtotal %]]*(PROVEEDORES[[#This Row],[SUBTOTAL]]-PROVEEDORES[[#This Row],[descuento sobre subtotal]])</f>
        <v>0</v>
      </c>
      <c r="P58" s="83">
        <f>+IF(PROVEEDORES[[#This Row],[SUBTOTAL]]&lt;PROVEEDORES[[#This Row],[base retencion]],0,PROVEEDORES[[#This Row],[retención aplicada]])</f>
        <v>0</v>
      </c>
      <c r="Q58" s="22">
        <f>+PROVEEDORES[[#This Row],[Rete Fuente %]]*(PROVEEDORES[[#This Row],[SUBTOTAL]]-PROVEEDORES[[#This Row],[descuento sobre subtotal]])</f>
        <v>0</v>
      </c>
      <c r="R58" s="21">
        <f>+PROVEEDORES[[#This Row],[SUBTOTAL]]+PROVEEDORES[[#This Row],[IVA 19%]]-PROVEEDORES[[#This Row],[descuento sobre subtotal]]-PROVEEDORES[[#This Row],[Descuento sobre subtotal $2]]-PROVEEDORES[[#This Row],[Rete Fuente $]]</f>
        <v>-160000.26</v>
      </c>
      <c r="S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68">
        <f ca="1">IF(PROVEEDORES[[#This Row],[FECHA DE PAGO]]=0,TODAY()-PROVEEDORES[[#This Row],[FECHA DE FACTURACIÓN]]-PROVEEDORES[[#This Row],[PLAZO Días]],0)</f>
        <v>0</v>
      </c>
      <c r="U58" s="96" t="str">
        <f>+VLOOKUP(PROVEEDORES[[#This Row],[PROVEEDOR]],Terceros!$A:$D,4,FALSE)</f>
        <v>2,5% con base</v>
      </c>
      <c r="V58" s="97">
        <f>+YEAR(PROVEEDORES[[#This Row],[FECHA DE FACTURACIÓN]])</f>
        <v>2021</v>
      </c>
      <c r="W58" s="97">
        <f>+MATCH(PROVEEDORES[[#This Row],[año facturado]],Retenciones!$1:$1,0)</f>
        <v>4</v>
      </c>
      <c r="X58" s="98">
        <f>+VLOOKUP(PROVEEDORES[[#This Row],[ID RETENCION]],Retenciones!$A$1:$O$25,PROVEEDORES[[#This Row],[indicador de columna]],FALSE)</f>
        <v>980000</v>
      </c>
      <c r="Y58" s="99">
        <f>+VLOOKUP(PROVEEDORES[[#This Row],[ID RETENCION]],Retenciones!$A$1:$O$25,2,FALSE)</f>
        <v>2.5000000000000001E-2</v>
      </c>
      <c r="Z58" s="125" t="b">
        <f>OR(COUNTIF(PROVEEDORES[[#This Row],[PROVEEDOR]],"*"&amp;'Palabra no opera'!$A$2&amp;"*"))</f>
        <v>0</v>
      </c>
      <c r="AA58" s="24"/>
      <c r="AB58" s="24"/>
      <c r="AC58" s="24"/>
      <c r="AD58" s="24"/>
      <c r="AE58" s="24"/>
    </row>
    <row r="59" spans="1:31" ht="22.2" customHeight="1" x14ac:dyDescent="0.3">
      <c r="A59" s="66" t="str">
        <f>+IF(PROVEEDORES[[#This Row],[FECHA DE PAGO]]=PROVEEDORES[[#This Row],[FECHA DE FACTURACIÓN]],"DE CONTADO","CRÉDITO")</f>
        <v>CRÉDITO</v>
      </c>
      <c r="B59" s="38" t="str">
        <f>+IF((PROVEEDORES[[#This Row],[FECHA DE PAGO]]-PROVEEDORES[[#This Row],[FECHA DE FACTURACIÓN]])&gt;PROVEEDORES[[#This Row],[PLAZO Días]],"PAGO VENCIDO")</f>
        <v>PAGO VENCIDO</v>
      </c>
      <c r="C59" s="20">
        <f>+VLOOKUP(PROVEEDORES[[#This Row],[PROVEEDOR]],TERCEROS_INFO[#All],2,FALSE)</f>
        <v>45</v>
      </c>
      <c r="D59" s="25">
        <f>+SUMIFS(PROVEEDORES[Total],PROVEEDORES[PROVEEDOR],PROVEEDORES[[#This Row],[PROVEEDOR]],PROVEEDORES[FECHA DE PAGO],"")</f>
        <v>2604910</v>
      </c>
      <c r="E59" s="25"/>
      <c r="F5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9" s="161">
        <v>44376</v>
      </c>
      <c r="H59" s="26" t="s">
        <v>10</v>
      </c>
      <c r="I59" s="161">
        <v>44328</v>
      </c>
      <c r="J59" s="35" t="s">
        <v>332</v>
      </c>
      <c r="K59" s="21">
        <v>-126000</v>
      </c>
      <c r="L59" s="21"/>
      <c r="M59" s="22">
        <f>(PROVEEDORES[[#This Row],[SUBTOTAL]]-PROVEEDORES[[#This Row],[descuento sobre subtotal]])*VLOOKUP(PROVEEDORES[[#This Row],[PROVEEDOR]],TERCEROS_INFO[#All],3,FALSE)</f>
        <v>-23940</v>
      </c>
      <c r="N59" s="23"/>
      <c r="O59" s="22">
        <f>+PROVEEDORES[[#This Row],[Descuento sobre subtotal %]]*(PROVEEDORES[[#This Row],[SUBTOTAL]]-PROVEEDORES[[#This Row],[descuento sobre subtotal]])</f>
        <v>0</v>
      </c>
      <c r="P59" s="83">
        <f>+IF(PROVEEDORES[[#This Row],[SUBTOTAL]]&lt;PROVEEDORES[[#This Row],[base retencion]],0,PROVEEDORES[[#This Row],[retención aplicada]])</f>
        <v>0</v>
      </c>
      <c r="Q59" s="22">
        <f>+PROVEEDORES[[#This Row],[Rete Fuente %]]*(PROVEEDORES[[#This Row],[SUBTOTAL]]-PROVEEDORES[[#This Row],[descuento sobre subtotal]])</f>
        <v>0</v>
      </c>
      <c r="R59" s="21">
        <f>+PROVEEDORES[[#This Row],[SUBTOTAL]]+PROVEEDORES[[#This Row],[IVA 19%]]-PROVEEDORES[[#This Row],[descuento sobre subtotal]]-PROVEEDORES[[#This Row],[Descuento sobre subtotal $2]]-PROVEEDORES[[#This Row],[Rete Fuente $]]</f>
        <v>-149940</v>
      </c>
      <c r="S5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68">
        <f ca="1">IF(PROVEEDORES[[#This Row],[FECHA DE PAGO]]=0,TODAY()-PROVEEDORES[[#This Row],[FECHA DE FACTURACIÓN]]-PROVEEDORES[[#This Row],[PLAZO Días]],0)</f>
        <v>0</v>
      </c>
      <c r="U59" s="96">
        <f>+VLOOKUP(PROVEEDORES[[#This Row],[PROVEEDOR]],Terceros!$A:$D,4,FALSE)</f>
        <v>0</v>
      </c>
      <c r="V59" s="97">
        <f>+YEAR(PROVEEDORES[[#This Row],[FECHA DE FACTURACIÓN]])</f>
        <v>2021</v>
      </c>
      <c r="W59" s="97">
        <f>+MATCH(PROVEEDORES[[#This Row],[año facturado]],Retenciones!$1:$1,0)</f>
        <v>4</v>
      </c>
      <c r="X59" s="98">
        <f>+VLOOKUP(PROVEEDORES[[#This Row],[ID RETENCION]],Retenciones!$A$1:$O$25,PROVEEDORES[[#This Row],[indicador de columna]],FALSE)</f>
        <v>0</v>
      </c>
      <c r="Y59" s="99">
        <f>+VLOOKUP(PROVEEDORES[[#This Row],[ID RETENCION]],Retenciones!$A$1:$O$25,2,FALSE)</f>
        <v>0</v>
      </c>
      <c r="Z59" s="125" t="b">
        <f>OR(COUNTIF(PROVEEDORES[[#This Row],[PROVEEDOR]],"*"&amp;'Palabra no opera'!$A$2&amp;"*"))</f>
        <v>0</v>
      </c>
      <c r="AA59" s="24"/>
      <c r="AB59" s="24"/>
      <c r="AC59" s="24"/>
      <c r="AD59" s="24"/>
      <c r="AE59" s="24"/>
    </row>
    <row r="60" spans="1:31" ht="22.2" customHeight="1" x14ac:dyDescent="0.3">
      <c r="A60" s="66" t="str">
        <f>+IF(PROVEEDORES[[#This Row],[FECHA DE PAGO]]=PROVEEDORES[[#This Row],[FECHA DE FACTURACIÓN]],"DE CONTADO","CRÉDITO")</f>
        <v>CRÉDITO</v>
      </c>
      <c r="B60" s="38" t="b">
        <f>+IF((PROVEEDORES[[#This Row],[FECHA DE PAGO]]-PROVEEDORES[[#This Row],[FECHA DE FACTURACIÓN]])&gt;PROVEEDORES[[#This Row],[PLAZO Días]],"PAGO VENCIDO")</f>
        <v>0</v>
      </c>
      <c r="C60" s="20">
        <f>+VLOOKUP(PROVEEDORES[[#This Row],[PROVEEDOR]],TERCEROS_INFO[#All],2,FALSE)</f>
        <v>90</v>
      </c>
      <c r="D60" s="25">
        <f>+SUMIFS(PROVEEDORES[Total],PROVEEDORES[PROVEEDOR],PROVEEDORES[[#This Row],[PROVEEDOR]],PROVEEDORES[FECHA DE PAGO],"")</f>
        <v>26350422.770000003</v>
      </c>
      <c r="E60" s="25"/>
      <c r="F6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0" s="161">
        <v>44568</v>
      </c>
      <c r="H60" s="26" t="s">
        <v>12</v>
      </c>
      <c r="I60" s="161">
        <v>44495</v>
      </c>
      <c r="J60" s="35" t="s">
        <v>575</v>
      </c>
      <c r="K60" s="21">
        <v>-124370</v>
      </c>
      <c r="L60" s="21"/>
      <c r="M60" s="22">
        <v>-23630.3</v>
      </c>
      <c r="N60" s="23"/>
      <c r="O60" s="22">
        <v>0</v>
      </c>
      <c r="P60" s="83">
        <f>+IF(PROVEEDORES[[#This Row],[SUBTOTAL]]&lt;PROVEEDORES[[#This Row],[base retencion]],0,PROVEEDORES[[#This Row],[retención aplicada]])</f>
        <v>0</v>
      </c>
      <c r="Q60" s="22">
        <f>+PROVEEDORES[[#This Row],[Rete Fuente %]]*(PROVEEDORES[[#This Row],[SUBTOTAL]]-PROVEEDORES[[#This Row],[descuento sobre subtotal]])</f>
        <v>0</v>
      </c>
      <c r="R60" s="21">
        <v>-148000.29999999999</v>
      </c>
      <c r="S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68">
        <f ca="1">IF(PROVEEDORES[[#This Row],[FECHA DE PAGO]]=0,TODAY()-PROVEEDORES[[#This Row],[FECHA DE FACTURACIÓN]]-PROVEEDORES[[#This Row],[PLAZO Días]],0)</f>
        <v>0</v>
      </c>
      <c r="U60" s="96" t="str">
        <f>+VLOOKUP(PROVEEDORES[[#This Row],[PROVEEDOR]],Terceros!$A:$D,4,FALSE)</f>
        <v>2,5% con base</v>
      </c>
      <c r="V60" s="97">
        <f>+YEAR(PROVEEDORES[[#This Row],[FECHA DE FACTURACIÓN]])</f>
        <v>2021</v>
      </c>
      <c r="W60" s="97">
        <f>+MATCH(PROVEEDORES[[#This Row],[año facturado]],Retenciones!$1:$1,0)</f>
        <v>4</v>
      </c>
      <c r="X60" s="98">
        <f>+VLOOKUP(PROVEEDORES[[#This Row],[ID RETENCION]],Retenciones!$A$1:$O$25,PROVEEDORES[[#This Row],[indicador de columna]],FALSE)</f>
        <v>980000</v>
      </c>
      <c r="Y60" s="99">
        <f>+VLOOKUP(PROVEEDORES[[#This Row],[ID RETENCION]],Retenciones!$A$1:$O$25,2,FALSE)</f>
        <v>2.5000000000000001E-2</v>
      </c>
      <c r="Z60" s="125" t="b">
        <f>OR(COUNTIF(PROVEEDORES[[#This Row],[PROVEEDOR]],"*"&amp;'Palabra no opera'!$A$2&amp;"*"))</f>
        <v>0</v>
      </c>
      <c r="AA60" s="24"/>
      <c r="AB60" s="24"/>
      <c r="AC60" s="24"/>
      <c r="AD60" s="24"/>
      <c r="AE60" s="24"/>
    </row>
    <row r="61" spans="1:31" ht="22.2" customHeight="1" x14ac:dyDescent="0.3">
      <c r="A61" s="66" t="str">
        <f>+IF(PROVEEDORES[[#This Row],[FECHA DE PAGO]]=PROVEEDORES[[#This Row],[FECHA DE FACTURACIÓN]],"DE CONTADO","CRÉDITO")</f>
        <v>DE CONTADO</v>
      </c>
      <c r="B61" s="38" t="b">
        <f>+IF((PROVEEDORES[[#This Row],[FECHA DE PAGO]]-PROVEEDORES[[#This Row],[FECHA DE FACTURACIÓN]])&gt;PROVEEDORES[[#This Row],[PLAZO Días]],"PAGO VENCIDO")</f>
        <v>0</v>
      </c>
      <c r="C61" s="20">
        <f>+VLOOKUP(PROVEEDORES[[#This Row],[PROVEEDOR]],TERCEROS_INFO[#All],2,FALSE)</f>
        <v>30</v>
      </c>
      <c r="D61" s="25">
        <f>+SUMIFS(PROVEEDORES[Total],PROVEEDORES[PROVEEDOR],PROVEEDORES[[#This Row],[PROVEEDOR]],PROVEEDORES[FECHA DE PAGO],"")</f>
        <v>0</v>
      </c>
      <c r="E61" s="25"/>
      <c r="F6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1" s="161">
        <v>44567</v>
      </c>
      <c r="H61" s="26" t="s">
        <v>1451</v>
      </c>
      <c r="I61" s="161">
        <v>44567</v>
      </c>
      <c r="J61" s="35" t="s">
        <v>602</v>
      </c>
      <c r="K61" s="21">
        <v>-135000</v>
      </c>
      <c r="L61" s="21"/>
      <c r="M61" s="22">
        <f>(PROVEEDORES[[#This Row],[SUBTOTAL]]-PROVEEDORES[[#This Row],[descuento sobre subtotal]])*VLOOKUP(PROVEEDORES[[#This Row],[PROVEEDOR]],TERCEROS_INFO[#All],3,FALSE)</f>
        <v>0</v>
      </c>
      <c r="N61" s="23"/>
      <c r="O61" s="22">
        <f>+PROVEEDORES[[#This Row],[Descuento sobre subtotal %]]*(PROVEEDORES[[#This Row],[SUBTOTAL]]-PROVEEDORES[[#This Row],[descuento sobre subtotal]])</f>
        <v>0</v>
      </c>
      <c r="P61" s="83">
        <f>+IF(PROVEEDORES[[#This Row],[SUBTOTAL]]&lt;PROVEEDORES[[#This Row],[base retencion]],0,PROVEEDORES[[#This Row],[retención aplicada]])</f>
        <v>0</v>
      </c>
      <c r="Q61" s="22">
        <f>+PROVEEDORES[[#This Row],[Rete Fuente %]]*(PROVEEDORES[[#This Row],[SUBTOTAL]]-PROVEEDORES[[#This Row],[descuento sobre subtotal]])</f>
        <v>0</v>
      </c>
      <c r="R61" s="21">
        <v>-135000</v>
      </c>
      <c r="S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68">
        <f ca="1">IF(PROVEEDORES[[#This Row],[FECHA DE PAGO]]=0,TODAY()-PROVEEDORES[[#This Row],[FECHA DE FACTURACIÓN]]-PROVEEDORES[[#This Row],[PLAZO Días]],0)</f>
        <v>0</v>
      </c>
      <c r="U61" s="96" t="str">
        <f>+VLOOKUP(PROVEEDORES[[#This Row],[PROVEEDOR]],Terceros!$A:$D,4,FALSE)</f>
        <v>1% con base</v>
      </c>
      <c r="V61" s="97">
        <f>+YEAR(PROVEEDORES[[#This Row],[FECHA DE FACTURACIÓN]])</f>
        <v>2022</v>
      </c>
      <c r="W61" s="97">
        <f>+MATCH(PROVEEDORES[[#This Row],[año facturado]],Retenciones!$1:$1,0)</f>
        <v>5</v>
      </c>
      <c r="X61" s="98">
        <f>+VLOOKUP(PROVEEDORES[[#This Row],[ID RETENCION]],Retenciones!$A$1:$O$25,PROVEEDORES[[#This Row],[indicador de columna]],FALSE)</f>
        <v>152000</v>
      </c>
      <c r="Y61" s="99">
        <f>+VLOOKUP(PROVEEDORES[[#This Row],[ID RETENCION]],Retenciones!$A$1:$O$25,2,FALSE)</f>
        <v>0.01</v>
      </c>
      <c r="Z61" s="125" t="b">
        <f>OR(COUNTIF(PROVEEDORES[[#This Row],[PROVEEDOR]],"*"&amp;'Palabra no opera'!$A$2&amp;"*"))</f>
        <v>0</v>
      </c>
      <c r="AA61" s="24"/>
      <c r="AB61" s="24"/>
      <c r="AC61" s="24"/>
      <c r="AD61" s="24"/>
      <c r="AE61" s="24"/>
    </row>
    <row r="62" spans="1:31" ht="22.2" customHeight="1" x14ac:dyDescent="0.3">
      <c r="A62" s="66" t="str">
        <f>+IF(PROVEEDORES[[#This Row],[FECHA DE PAGO]]=PROVEEDORES[[#This Row],[FECHA DE FACTURACIÓN]],"DE CONTADO","CRÉDITO")</f>
        <v>CRÉDITO</v>
      </c>
      <c r="B62" s="38" t="b">
        <f>+IF((PROVEEDORES[[#This Row],[FECHA DE PAGO]]-PROVEEDORES[[#This Row],[FECHA DE FACTURACIÓN]])&gt;PROVEEDORES[[#This Row],[PLAZO Días]],"PAGO VENCIDO")</f>
        <v>0</v>
      </c>
      <c r="C62" s="20">
        <f>+VLOOKUP(PROVEEDORES[[#This Row],[PROVEEDOR]],TERCEROS_INFO[#All],2,FALSE)</f>
        <v>30</v>
      </c>
      <c r="D62" s="25">
        <f>+SUMIFS(PROVEEDORES[Total],PROVEEDORES[PROVEEDOR],PROVEEDORES[[#This Row],[PROVEEDOR]],PROVEEDORES[FECHA DE PAGO],"")</f>
        <v>0</v>
      </c>
      <c r="E62" s="25"/>
      <c r="F6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2" s="161">
        <v>44328</v>
      </c>
      <c r="H62" s="26" t="s">
        <v>746</v>
      </c>
      <c r="I62" s="161">
        <v>44344</v>
      </c>
      <c r="J62" s="35">
        <v>23</v>
      </c>
      <c r="K62" s="21">
        <v>-100842</v>
      </c>
      <c r="L62" s="21"/>
      <c r="M62" s="22">
        <f>(PROVEEDORES[[#This Row],[SUBTOTAL]]-PROVEEDORES[[#This Row],[descuento sobre subtotal]])*VLOOKUP(PROVEEDORES[[#This Row],[PROVEEDOR]],TERCEROS_INFO[#All],3,FALSE)</f>
        <v>-19159.98</v>
      </c>
      <c r="N62" s="23"/>
      <c r="O62" s="22">
        <f>+PROVEEDORES[[#This Row],[Descuento sobre subtotal %]]*(PROVEEDORES[[#This Row],[SUBTOTAL]]-PROVEEDORES[[#This Row],[descuento sobre subtotal]])</f>
        <v>0</v>
      </c>
      <c r="P62" s="83">
        <f>+IF(PROVEEDORES[[#This Row],[SUBTOTAL]]&lt;PROVEEDORES[[#This Row],[base retencion]],0,PROVEEDORES[[#This Row],[retención aplicada]])</f>
        <v>0</v>
      </c>
      <c r="Q62" s="22">
        <f>+PROVEEDORES[[#This Row],[Rete Fuente %]]*(PROVEEDORES[[#This Row],[SUBTOTAL]]-PROVEEDORES[[#This Row],[descuento sobre subtotal]])</f>
        <v>0</v>
      </c>
      <c r="R62" s="21">
        <f>+PROVEEDORES[[#This Row],[SUBTOTAL]]+PROVEEDORES[[#This Row],[IVA 19%]]-PROVEEDORES[[#This Row],[descuento sobre subtotal]]-PROVEEDORES[[#This Row],[Descuento sobre subtotal $2]]-PROVEEDORES[[#This Row],[Rete Fuente $]]</f>
        <v>-120001.98</v>
      </c>
      <c r="S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68">
        <f ca="1">IF(PROVEEDORES[[#This Row],[FECHA DE PAGO]]=0,TODAY()-PROVEEDORES[[#This Row],[FECHA DE FACTURACIÓN]]-PROVEEDORES[[#This Row],[PLAZO Días]],0)</f>
        <v>0</v>
      </c>
      <c r="U62" s="96" t="str">
        <f>+VLOOKUP(PROVEEDORES[[#This Row],[PROVEEDOR]],Terceros!$A:$D,4,FALSE)</f>
        <v>2,5% con base</v>
      </c>
      <c r="V62" s="97">
        <f>+YEAR(PROVEEDORES[[#This Row],[FECHA DE FACTURACIÓN]])</f>
        <v>2021</v>
      </c>
      <c r="W62" s="97">
        <f>+MATCH(PROVEEDORES[[#This Row],[año facturado]],Retenciones!$1:$1,0)</f>
        <v>4</v>
      </c>
      <c r="X62" s="98">
        <f>+VLOOKUP(PROVEEDORES[[#This Row],[ID RETENCION]],Retenciones!$A$1:$O$25,PROVEEDORES[[#This Row],[indicador de columna]],FALSE)</f>
        <v>980000</v>
      </c>
      <c r="Y62" s="99">
        <f>+VLOOKUP(PROVEEDORES[[#This Row],[ID RETENCION]],Retenciones!$A$1:$O$25,2,FALSE)</f>
        <v>2.5000000000000001E-2</v>
      </c>
      <c r="Z62" s="125" t="b">
        <f>OR(COUNTIF(PROVEEDORES[[#This Row],[PROVEEDOR]],"*"&amp;'Palabra no opera'!$A$2&amp;"*"))</f>
        <v>0</v>
      </c>
      <c r="AA62" s="24"/>
      <c r="AB62" s="24"/>
      <c r="AC62" s="24"/>
      <c r="AD62" s="24"/>
      <c r="AE62" s="24"/>
    </row>
    <row r="63" spans="1:31" ht="22.2" customHeight="1" x14ac:dyDescent="0.3">
      <c r="A63" s="66" t="str">
        <f>+IF(PROVEEDORES[[#This Row],[FECHA DE PAGO]]=PROVEEDORES[[#This Row],[FECHA DE FACTURACIÓN]],"DE CONTADO","CRÉDITO")</f>
        <v>CRÉDITO</v>
      </c>
      <c r="B63" s="38" t="str">
        <f>+IF((PROVEEDORES[[#This Row],[FECHA DE PAGO]]-PROVEEDORES[[#This Row],[FECHA DE FACTURACIÓN]])&gt;PROVEEDORES[[#This Row],[PLAZO Días]],"PAGO VENCIDO")</f>
        <v>PAGO VENCIDO</v>
      </c>
      <c r="C63" s="20">
        <f>+VLOOKUP(PROVEEDORES[[#This Row],[PROVEEDOR]],TERCEROS_INFO[#All],2,FALSE)</f>
        <v>30</v>
      </c>
      <c r="D63" s="25">
        <f>+SUMIFS(PROVEEDORES[Total],PROVEEDORES[PROVEEDOR],PROVEEDORES[[#This Row],[PROVEEDOR]],PROVEEDORES[FECHA DE PAGO],"")</f>
        <v>0</v>
      </c>
      <c r="E63" s="25"/>
      <c r="F63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63" s="161">
        <v>44483</v>
      </c>
      <c r="H63" s="26" t="s">
        <v>656</v>
      </c>
      <c r="I63" s="161">
        <v>44433</v>
      </c>
      <c r="J63" s="35" t="s">
        <v>1292</v>
      </c>
      <c r="K63" s="21">
        <v>-120000</v>
      </c>
      <c r="L63" s="21"/>
      <c r="M63" s="22">
        <f>(PROVEEDORES[[#This Row],[SUBTOTAL]]-PROVEEDORES[[#This Row],[descuento sobre subtotal]])*VLOOKUP(PROVEEDORES[[#This Row],[PROVEEDOR]],TERCEROS_INFO[#All],3,FALSE)</f>
        <v>0</v>
      </c>
      <c r="N63" s="23"/>
      <c r="O63" s="22">
        <f>+PROVEEDORES[[#This Row],[Descuento sobre subtotal %]]*(PROVEEDORES[[#This Row],[SUBTOTAL]]-PROVEEDORES[[#This Row],[descuento sobre subtotal]])</f>
        <v>0</v>
      </c>
      <c r="P63" s="83">
        <f>+IF(PROVEEDORES[[#This Row],[SUBTOTAL]]&lt;PROVEEDORES[[#This Row],[base retencion]],0,PROVEEDORES[[#This Row],[retención aplicada]])</f>
        <v>0</v>
      </c>
      <c r="Q63" s="22">
        <f>+PROVEEDORES[[#This Row],[Rete Fuente %]]*(PROVEEDORES[[#This Row],[SUBTOTAL]]-PROVEEDORES[[#This Row],[descuento sobre subtotal]])</f>
        <v>0</v>
      </c>
      <c r="R63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68">
        <f ca="1">IF(PROVEEDORES[[#This Row],[FECHA DE PAGO]]=0,TODAY()-PROVEEDORES[[#This Row],[FECHA DE FACTURACIÓN]]-PROVEEDORES[[#This Row],[PLAZO Días]],0)</f>
        <v>0</v>
      </c>
      <c r="U63" s="96">
        <f>+VLOOKUP(PROVEEDORES[[#This Row],[PROVEEDOR]],Terceros!$A:$D,4,FALSE)</f>
        <v>0</v>
      </c>
      <c r="V63" s="97">
        <f>+YEAR(PROVEEDORES[[#This Row],[FECHA DE FACTURACIÓN]])</f>
        <v>2021</v>
      </c>
      <c r="W63" s="97">
        <f>+MATCH(PROVEEDORES[[#This Row],[año facturado]],Retenciones!$1:$1,0)</f>
        <v>4</v>
      </c>
      <c r="X63" s="98">
        <f>+VLOOKUP(PROVEEDORES[[#This Row],[ID RETENCION]],Retenciones!$A$1:$O$25,PROVEEDORES[[#This Row],[indicador de columna]],FALSE)</f>
        <v>0</v>
      </c>
      <c r="Y63" s="99">
        <f>+VLOOKUP(PROVEEDORES[[#This Row],[ID RETENCION]],Retenciones!$A$1:$O$25,2,FALSE)</f>
        <v>0</v>
      </c>
      <c r="Z63" s="125" t="b">
        <f>OR(COUNTIF(PROVEEDORES[[#This Row],[PROVEEDOR]],"*"&amp;'Palabra no opera'!$A$2&amp;"*"))</f>
        <v>0</v>
      </c>
      <c r="AA63" s="24"/>
      <c r="AB63" s="24"/>
      <c r="AC63" s="24"/>
      <c r="AD63" s="24"/>
      <c r="AE63" s="24"/>
    </row>
    <row r="64" spans="1:31" ht="22.2" customHeight="1" x14ac:dyDescent="0.3">
      <c r="A64" s="199" t="str">
        <f>+IF(PROVEEDORES[[#This Row],[FECHA DE PAGO]]=PROVEEDORES[[#This Row],[FECHA DE FACTURACIÓN]],"DE CONTADO","CRÉDITO")</f>
        <v>CRÉDITO</v>
      </c>
      <c r="B64" s="38" t="b">
        <f>+IF((PROVEEDORES[[#This Row],[FECHA DE PAGO]]-PROVEEDORES[[#This Row],[FECHA DE FACTURACIÓN]])&gt;PROVEEDORES[[#This Row],[PLAZO Días]],"PAGO VENCIDO")</f>
        <v>0</v>
      </c>
      <c r="C64" s="20">
        <f>+VLOOKUP(PROVEEDORES[[#This Row],[PROVEEDOR]],TERCEROS_INFO[#All],2,FALSE)</f>
        <v>30</v>
      </c>
      <c r="D64" s="25">
        <f>+SUMIFS(PROVEEDORES[Total],PROVEEDORES[PROVEEDOR],PROVEEDORES[[#This Row],[PROVEEDOR]],PROVEEDORES[FECHA DE PAGO],"")</f>
        <v>0</v>
      </c>
      <c r="E64" s="25" t="s">
        <v>1396</v>
      </c>
      <c r="F64" s="58" t="str">
        <f>+VLOOKUP(PROVEEDORES[[#This Row],[PROVEEDOR]],
                       Terceros!$A:$F,
                       5,
                       FALSE)</f>
        <v/>
      </c>
      <c r="G64" s="161">
        <v>44796</v>
      </c>
      <c r="H64" s="26" t="s">
        <v>1130</v>
      </c>
      <c r="I64" s="161">
        <v>44790</v>
      </c>
      <c r="J64" s="35" t="s">
        <v>1160</v>
      </c>
      <c r="K64" s="21">
        <v>-120000</v>
      </c>
      <c r="L64" s="21"/>
      <c r="M64" s="22">
        <f>(PROVEEDORES[[#This Row],[SUBTOTAL]]-PROVEEDORES[[#This Row],[descuento sobre subtotal]])*VLOOKUP(PROVEEDORES[[#This Row],[PROVEEDOR]],TERCEROS_INFO[#All],3,FALSE)</f>
        <v>0</v>
      </c>
      <c r="N64" s="23"/>
      <c r="O64" s="22">
        <f>+PROVEEDORES[[#This Row],[Descuento sobre subtotal %]]*(PROVEEDORES[[#This Row],[SUBTOTAL]]-PROVEEDORES[[#This Row],[descuento sobre subtotal]])</f>
        <v>0</v>
      </c>
      <c r="P64" s="83">
        <f>+IF(PROVEEDORES[[#This Row],[SUBTOTAL]]&lt;PROVEEDORES[[#This Row],[base retencion]],0,PROVEEDORES[[#This Row],[retención aplicada]])</f>
        <v>0</v>
      </c>
      <c r="Q64" s="22">
        <f>+PROVEEDORES[[#This Row],[Rete Fuente %]]*(PROVEEDORES[[#This Row],[SUBTOTAL]]-PROVEEDORES[[#This Row],[descuento sobre subtotal]])</f>
        <v>0</v>
      </c>
      <c r="R64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64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68">
        <f ca="1">IF(PROVEEDORES[[#This Row],[FECHA DE PAGO]]=0,TODAY()-PROVEEDORES[[#This Row],[FECHA DE FACTURACIÓN]]-PROVEEDORES[[#This Row],[PLAZO Días]],0)</f>
        <v>0</v>
      </c>
      <c r="U64" s="113">
        <f>+VLOOKUP(PROVEEDORES[[#This Row],[PROVEEDOR]],Terceros!$A:$D,4,FALSE)</f>
        <v>0</v>
      </c>
      <c r="V64" s="114">
        <f>+YEAR(PROVEEDORES[[#This Row],[FECHA DE FACTURACIÓN]])</f>
        <v>2022</v>
      </c>
      <c r="W64" s="114">
        <f>+MATCH(PROVEEDORES[[#This Row],[año facturado]],Retenciones!$1:$1,0)</f>
        <v>5</v>
      </c>
      <c r="X64" s="115">
        <f>+VLOOKUP(PROVEEDORES[[#This Row],[ID RETENCION]],Retenciones!$A$1:$O$25,PROVEEDORES[[#This Row],[indicador de columna]],FALSE)</f>
        <v>0</v>
      </c>
      <c r="Y64" s="116">
        <f>+VLOOKUP(PROVEEDORES[[#This Row],[ID RETENCION]],Retenciones!$A$1:$O$25,2,FALSE)</f>
        <v>0</v>
      </c>
      <c r="Z64" s="125" t="b">
        <f>OR(COUNTIF(PROVEEDORES[[#This Row],[PROVEEDOR]],"*"&amp;'Palabra no opera'!$A$2&amp;"*"))</f>
        <v>1</v>
      </c>
      <c r="AA64" s="24"/>
      <c r="AB64" s="24"/>
      <c r="AC64" s="24"/>
      <c r="AD64" s="24"/>
      <c r="AE64" s="24"/>
    </row>
    <row r="65" spans="1:31" ht="22.2" customHeight="1" x14ac:dyDescent="0.3">
      <c r="A65" s="66" t="str">
        <f>+IF(PROVEEDORES[[#This Row],[FECHA DE PAGO]]=PROVEEDORES[[#This Row],[FECHA DE FACTURACIÓN]],"DE CONTADO","CRÉDITO")</f>
        <v>CRÉDITO</v>
      </c>
      <c r="B65" s="38" t="str">
        <f>+IF((PROVEEDORES[[#This Row],[FECHA DE PAGO]]-PROVEEDORES[[#This Row],[FECHA DE FACTURACIÓN]])&gt;PROVEEDORES[[#This Row],[PLAZO Días]],"PAGO VENCIDO")</f>
        <v>PAGO VENCIDO</v>
      </c>
      <c r="C65" s="20">
        <f>+VLOOKUP(PROVEEDORES[[#This Row],[PROVEEDOR]],TERCEROS_INFO[#All],2,FALSE)</f>
        <v>30</v>
      </c>
      <c r="D65" s="25">
        <f>+SUMIFS(PROVEEDORES[Total],PROVEEDORES[PROVEEDOR],PROVEEDORES[[#This Row],[PROVEEDOR]],PROVEEDORES[FECHA DE PAGO],"")</f>
        <v>0</v>
      </c>
      <c r="E65" s="25"/>
      <c r="F6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5" s="161">
        <v>44328</v>
      </c>
      <c r="H65" s="26" t="s">
        <v>746</v>
      </c>
      <c r="I65" s="161">
        <v>44243</v>
      </c>
      <c r="J65" s="35" t="s">
        <v>311</v>
      </c>
      <c r="K65" s="21">
        <v>-95798.32</v>
      </c>
      <c r="L65" s="21"/>
      <c r="M65" s="22">
        <f>(PROVEEDORES[[#This Row],[SUBTOTAL]]-PROVEEDORES[[#This Row],[descuento sobre subtotal]])*VLOOKUP(PROVEEDORES[[#This Row],[PROVEEDOR]],TERCEROS_INFO[#All],3,FALSE)</f>
        <v>-18201.680800000002</v>
      </c>
      <c r="N65" s="23"/>
      <c r="O65" s="22">
        <f>+PROVEEDORES[[#This Row],[Descuento sobre subtotal %]]*(PROVEEDORES[[#This Row],[SUBTOTAL]]-PROVEEDORES[[#This Row],[descuento sobre subtotal]])</f>
        <v>0</v>
      </c>
      <c r="P65" s="83">
        <f>+IF(PROVEEDORES[[#This Row],[SUBTOTAL]]&lt;PROVEEDORES[[#This Row],[base retencion]],0,PROVEEDORES[[#This Row],[retención aplicada]])</f>
        <v>0</v>
      </c>
      <c r="Q65" s="22">
        <f>+PROVEEDORES[[#This Row],[Rete Fuente %]]*(PROVEEDORES[[#This Row],[SUBTOTAL]]-PROVEEDORES[[#This Row],[descuento sobre subtotal]])</f>
        <v>0</v>
      </c>
      <c r="R65" s="21">
        <f>+PROVEEDORES[[#This Row],[SUBTOTAL]]+PROVEEDORES[[#This Row],[IVA 19%]]-PROVEEDORES[[#This Row],[descuento sobre subtotal]]-PROVEEDORES[[#This Row],[Descuento sobre subtotal $2]]-PROVEEDORES[[#This Row],[Rete Fuente $]]</f>
        <v>-114000.00080000001</v>
      </c>
      <c r="S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68">
        <f ca="1">IF(PROVEEDORES[[#This Row],[FECHA DE PAGO]]=0,TODAY()-PROVEEDORES[[#This Row],[FECHA DE FACTURACIÓN]]-PROVEEDORES[[#This Row],[PLAZO Días]],0)</f>
        <v>0</v>
      </c>
      <c r="U65" s="96" t="str">
        <f>+VLOOKUP(PROVEEDORES[[#This Row],[PROVEEDOR]],Terceros!$A:$D,4,FALSE)</f>
        <v>2,5% con base</v>
      </c>
      <c r="V65" s="97">
        <f>+YEAR(PROVEEDORES[[#This Row],[FECHA DE FACTURACIÓN]])</f>
        <v>2021</v>
      </c>
      <c r="W65" s="97">
        <f>+MATCH(PROVEEDORES[[#This Row],[año facturado]],Retenciones!$1:$1,0)</f>
        <v>4</v>
      </c>
      <c r="X65" s="98">
        <f>+VLOOKUP(PROVEEDORES[[#This Row],[ID RETENCION]],Retenciones!$A$1:$O$25,PROVEEDORES[[#This Row],[indicador de columna]],FALSE)</f>
        <v>980000</v>
      </c>
      <c r="Y65" s="99">
        <f>+VLOOKUP(PROVEEDORES[[#This Row],[ID RETENCION]],Retenciones!$A$1:$O$25,2,FALSE)</f>
        <v>2.5000000000000001E-2</v>
      </c>
      <c r="Z65" s="125" t="b">
        <f>OR(COUNTIF(PROVEEDORES[[#This Row],[PROVEEDOR]],"*"&amp;'Palabra no opera'!$A$2&amp;"*"))</f>
        <v>0</v>
      </c>
      <c r="AA65" s="24"/>
      <c r="AB65" s="24"/>
      <c r="AC65" s="24"/>
      <c r="AD65" s="24"/>
      <c r="AE65" s="24"/>
    </row>
    <row r="66" spans="1:31" ht="22.2" customHeight="1" x14ac:dyDescent="0.3">
      <c r="A66" s="66" t="str">
        <f>+IF(PROVEEDORES[[#This Row],[FECHA DE PAGO]]=PROVEEDORES[[#This Row],[FECHA DE FACTURACIÓN]],"DE CONTADO","CRÉDITO")</f>
        <v>CRÉDITO</v>
      </c>
      <c r="B66" s="38" t="str">
        <f>+IF((PROVEEDORES[[#This Row],[FECHA DE PAGO]]-PROVEEDORES[[#This Row],[FECHA DE FACTURACIÓN]])&gt;PROVEEDORES[[#This Row],[PLAZO Días]],"PAGO VENCIDO")</f>
        <v>PAGO VENCIDO</v>
      </c>
      <c r="C66" s="20">
        <f>+VLOOKUP(PROVEEDORES[[#This Row],[PROVEEDOR]],TERCEROS_INFO[#All],2,FALSE)</f>
        <v>30</v>
      </c>
      <c r="D66" s="25">
        <f>+SUMIFS(PROVEEDORES[Total],PROVEEDORES[PROVEEDOR],PROVEEDORES[[#This Row],[PROVEEDOR]],PROVEEDORES[FECHA DE PAGO],"")</f>
        <v>1127400.05</v>
      </c>
      <c r="E66" s="25"/>
      <c r="F6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6" s="161">
        <v>44652</v>
      </c>
      <c r="H66" s="26" t="s">
        <v>47</v>
      </c>
      <c r="I66" s="161">
        <v>44599</v>
      </c>
      <c r="J66" s="35" t="s">
        <v>736</v>
      </c>
      <c r="K66" s="21">
        <v>-97800</v>
      </c>
      <c r="L66" s="21"/>
      <c r="M66" s="22">
        <f>(PROVEEDORES[[#This Row],[SUBTOTAL]]-PROVEEDORES[[#This Row],[descuento sobre subtotal]])*VLOOKUP(PROVEEDORES[[#This Row],[PROVEEDOR]],TERCEROS_INFO[#All],3,FALSE)</f>
        <v>-18582</v>
      </c>
      <c r="N66" s="23"/>
      <c r="O66" s="22">
        <f>+PROVEEDORES[[#This Row],[Descuento sobre subtotal %]]*(PROVEEDORES[[#This Row],[SUBTOTAL]]-PROVEEDORES[[#This Row],[descuento sobre subtotal]])</f>
        <v>0</v>
      </c>
      <c r="P66" s="83">
        <f>+IF(PROVEEDORES[[#This Row],[SUBTOTAL]]&lt;PROVEEDORES[[#This Row],[base retencion]],0,PROVEEDORES[[#This Row],[retención aplicada]])</f>
        <v>0</v>
      </c>
      <c r="Q66" s="22">
        <f>+PROVEEDORES[[#This Row],[Rete Fuente %]]*(PROVEEDORES[[#This Row],[SUBTOTAL]]-PROVEEDORES[[#This Row],[descuento sobre subtotal]])</f>
        <v>0</v>
      </c>
      <c r="R66" s="21">
        <v>-113937</v>
      </c>
      <c r="S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68">
        <f ca="1">IF(PROVEEDORES[[#This Row],[FECHA DE PAGO]]=0,TODAY()-PROVEEDORES[[#This Row],[FECHA DE FACTURACIÓN]]-PROVEEDORES[[#This Row],[PLAZO Días]],0)</f>
        <v>0</v>
      </c>
      <c r="U66" s="96" t="str">
        <f>+VLOOKUP(PROVEEDORES[[#This Row],[PROVEEDOR]],Terceros!$A:$D,4,FALSE)</f>
        <v>2,5% con base</v>
      </c>
      <c r="V66" s="97">
        <f>+YEAR(PROVEEDORES[[#This Row],[FECHA DE FACTURACIÓN]])</f>
        <v>2022</v>
      </c>
      <c r="W66" s="97">
        <f>+MATCH(PROVEEDORES[[#This Row],[año facturado]],Retenciones!$1:$1,0)</f>
        <v>5</v>
      </c>
      <c r="X66" s="98">
        <f>+VLOOKUP(PROVEEDORES[[#This Row],[ID RETENCION]],Retenciones!$A$1:$O$25,PROVEEDORES[[#This Row],[indicador de columna]],FALSE)</f>
        <v>1026000</v>
      </c>
      <c r="Y66" s="99">
        <f>+VLOOKUP(PROVEEDORES[[#This Row],[ID RETENCION]],Retenciones!$A$1:$O$25,2,FALSE)</f>
        <v>2.5000000000000001E-2</v>
      </c>
      <c r="Z66" s="125" t="b">
        <f>OR(COUNTIF(PROVEEDORES[[#This Row],[PROVEEDOR]],"*"&amp;'Palabra no opera'!$A$2&amp;"*"))</f>
        <v>0</v>
      </c>
      <c r="AA66" s="24"/>
      <c r="AB66" s="24"/>
      <c r="AC66" s="24"/>
      <c r="AD66" s="24"/>
      <c r="AE66" s="24"/>
    </row>
    <row r="67" spans="1:31" ht="22.2" customHeight="1" x14ac:dyDescent="0.3">
      <c r="A67" s="66" t="str">
        <f>+IF(PROVEEDORES[[#This Row],[FECHA DE PAGO]]=PROVEEDORES[[#This Row],[FECHA DE FACTURACIÓN]],"DE CONTADO","CRÉDITO")</f>
        <v>CRÉDITO</v>
      </c>
      <c r="B67" s="38" t="b">
        <f>+IF((PROVEEDORES[[#This Row],[FECHA DE PAGO]]-PROVEEDORES[[#This Row],[FECHA DE FACTURACIÓN]])&gt;PROVEEDORES[[#This Row],[PLAZO Días]],"PAGO VENCIDO")</f>
        <v>0</v>
      </c>
      <c r="C67" s="20">
        <f>+VLOOKUP(PROVEEDORES[[#This Row],[PROVEEDOR]],TERCEROS_INFO[#All],2,FALSE)</f>
        <v>30</v>
      </c>
      <c r="D67" s="25">
        <f>+SUMIFS(PROVEEDORES[Total],PROVEEDORES[PROVEEDOR],PROVEEDORES[[#This Row],[PROVEEDOR]],PROVEEDORES[FECHA DE PAGO],"")</f>
        <v>0</v>
      </c>
      <c r="E67" s="25"/>
      <c r="F6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7" s="161">
        <v>44442</v>
      </c>
      <c r="H67" s="26" t="s">
        <v>746</v>
      </c>
      <c r="I67" s="161">
        <v>44433</v>
      </c>
      <c r="J67" s="35" t="s">
        <v>451</v>
      </c>
      <c r="K67" s="21">
        <v>-95378.15</v>
      </c>
      <c r="L67" s="21"/>
      <c r="M67" s="22">
        <f>(PROVEEDORES[[#This Row],[SUBTOTAL]]-PROVEEDORES[[#This Row],[descuento sobre subtotal]])*VLOOKUP(PROVEEDORES[[#This Row],[PROVEEDOR]],TERCEROS_INFO[#All],3,FALSE)</f>
        <v>-18121.8485</v>
      </c>
      <c r="N67" s="23"/>
      <c r="O67" s="22">
        <f>+PROVEEDORES[[#This Row],[Descuento sobre subtotal %]]*(PROVEEDORES[[#This Row],[SUBTOTAL]]-PROVEEDORES[[#This Row],[descuento sobre subtotal]])</f>
        <v>0</v>
      </c>
      <c r="P67" s="83">
        <f>+IF(PROVEEDORES[[#This Row],[SUBTOTAL]]&lt;PROVEEDORES[[#This Row],[base retencion]],0,PROVEEDORES[[#This Row],[retención aplicada]])</f>
        <v>0</v>
      </c>
      <c r="Q67" s="22">
        <f>+PROVEEDORES[[#This Row],[Rete Fuente %]]*(PROVEEDORES[[#This Row],[SUBTOTAL]]-PROVEEDORES[[#This Row],[descuento sobre subtotal]])</f>
        <v>0</v>
      </c>
      <c r="R67" s="21">
        <f>+PROVEEDORES[[#This Row],[SUBTOTAL]]+PROVEEDORES[[#This Row],[IVA 19%]]-PROVEEDORES[[#This Row],[descuento sobre subtotal]]-PROVEEDORES[[#This Row],[Descuento sobre subtotal $2]]-PROVEEDORES[[#This Row],[Rete Fuente $]]</f>
        <v>-113499.99849999999</v>
      </c>
      <c r="S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68">
        <f ca="1">IF(PROVEEDORES[[#This Row],[FECHA DE PAGO]]=0,TODAY()-PROVEEDORES[[#This Row],[FECHA DE FACTURACIÓN]]-PROVEEDORES[[#This Row],[PLAZO Días]],0)</f>
        <v>0</v>
      </c>
      <c r="U67" s="96" t="str">
        <f>+VLOOKUP(PROVEEDORES[[#This Row],[PROVEEDOR]],Terceros!$A:$D,4,FALSE)</f>
        <v>2,5% con base</v>
      </c>
      <c r="V67" s="97">
        <f>+YEAR(PROVEEDORES[[#This Row],[FECHA DE FACTURACIÓN]])</f>
        <v>2021</v>
      </c>
      <c r="W67" s="97">
        <f>+MATCH(PROVEEDORES[[#This Row],[año facturado]],Retenciones!$1:$1,0)</f>
        <v>4</v>
      </c>
      <c r="X67" s="98">
        <f>+VLOOKUP(PROVEEDORES[[#This Row],[ID RETENCION]],Retenciones!$A$1:$O$25,PROVEEDORES[[#This Row],[indicador de columna]],FALSE)</f>
        <v>980000</v>
      </c>
      <c r="Y67" s="99">
        <f>+VLOOKUP(PROVEEDORES[[#This Row],[ID RETENCION]],Retenciones!$A$1:$O$25,2,FALSE)</f>
        <v>2.5000000000000001E-2</v>
      </c>
      <c r="Z67" s="125" t="b">
        <f>OR(COUNTIF(PROVEEDORES[[#This Row],[PROVEEDOR]],"*"&amp;'Palabra no opera'!$A$2&amp;"*"))</f>
        <v>0</v>
      </c>
      <c r="AA67" s="24"/>
      <c r="AB67" s="24"/>
      <c r="AC67" s="24"/>
      <c r="AD67" s="24"/>
      <c r="AE67" s="24"/>
    </row>
    <row r="68" spans="1:31" ht="22.2" customHeight="1" x14ac:dyDescent="0.3">
      <c r="A68" s="72" t="str">
        <f>+IF(PROVEEDORES[[#This Row],[FECHA DE PAGO]]=PROVEEDORES[[#This Row],[FECHA DE FACTURACIÓN]],"DE CONTADO","CRÉDITO")</f>
        <v>CRÉDITO</v>
      </c>
      <c r="B68" s="38" t="b">
        <f>+IF((PROVEEDORES[[#This Row],[FECHA DE PAGO]]-PROVEEDORES[[#This Row],[FECHA DE FACTURACIÓN]])&gt;PROVEEDORES[[#This Row],[PLAZO Días]],"PAGO VENCIDO")</f>
        <v>0</v>
      </c>
      <c r="C68" s="20">
        <f>+VLOOKUP(PROVEEDORES[[#This Row],[PROVEEDOR]],TERCEROS_INFO[#All],2,FALSE)</f>
        <v>30</v>
      </c>
      <c r="D68" s="25">
        <f>+SUMIFS(PROVEEDORES[Total],PROVEEDORES[PROVEEDOR],PROVEEDORES[[#This Row],[PROVEEDOR]],PROVEEDORES[FECHA DE PAGO],"")</f>
        <v>-101001.25</v>
      </c>
      <c r="E68" s="25"/>
      <c r="F68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H68" s="26" t="s">
        <v>14</v>
      </c>
      <c r="I68" s="161">
        <v>44810</v>
      </c>
      <c r="J68" s="35" t="s">
        <v>1668</v>
      </c>
      <c r="K68" s="21">
        <v>-84875</v>
      </c>
      <c r="L68" s="21"/>
      <c r="M68" s="22">
        <f>(PROVEEDORES[[#This Row],[SUBTOTAL]]-PROVEEDORES[[#This Row],[descuento sobre subtotal]])*VLOOKUP(PROVEEDORES[[#This Row],[PROVEEDOR]],TERCEROS_INFO[#All],3,FALSE)</f>
        <v>-16126.25</v>
      </c>
      <c r="N68" s="23"/>
      <c r="O68" s="22">
        <f>+PROVEEDORES[[#This Row],[Descuento sobre subtotal %]]*(PROVEEDORES[[#This Row],[SUBTOTAL]]-PROVEEDORES[[#This Row],[descuento sobre subtotal]])</f>
        <v>0</v>
      </c>
      <c r="P68" s="83">
        <f>+IF(PROVEEDORES[[#This Row],[SUBTOTAL]]&lt;PROVEEDORES[[#This Row],[base retencion]],0,PROVEEDORES[[#This Row],[retención aplicada]])</f>
        <v>0</v>
      </c>
      <c r="Q68" s="22">
        <f>+PROVEEDORES[[#This Row],[Rete Fuente %]]*(PROVEEDORES[[#This Row],[SUBTOTAL]]-PROVEEDORES[[#This Row],[descuento sobre subtotal]])</f>
        <v>0</v>
      </c>
      <c r="R68" s="21">
        <f>+PROVEEDORES[[#This Row],[SUBTOTAL]]+PROVEEDORES[[#This Row],[IVA 19%]]-PROVEEDORES[[#This Row],[descuento sobre subtotal]]-PROVEEDORES[[#This Row],[Descuento sobre subtotal $2]]-PROVEEDORES[[#This Row],[Rete Fuente $]]</f>
        <v>-101001.25</v>
      </c>
      <c r="S68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68" s="68">
        <f ca="1">IF(PROVEEDORES[[#This Row],[FECHA DE PAGO]]=0,TODAY()-PROVEEDORES[[#This Row],[FECHA DE FACTURACIÓN]]-PROVEEDORES[[#This Row],[PLAZO Días]],0)</f>
        <v>35</v>
      </c>
      <c r="U68" s="113" t="str">
        <f>+VLOOKUP(PROVEEDORES[[#This Row],[PROVEEDOR]],Terceros!$A:$D,4,FALSE)</f>
        <v>2,5% con base</v>
      </c>
      <c r="V68" s="114">
        <f>+YEAR(PROVEEDORES[[#This Row],[FECHA DE FACTURACIÓN]])</f>
        <v>2022</v>
      </c>
      <c r="W68" s="114">
        <f>+MATCH(PROVEEDORES[[#This Row],[año facturado]],Retenciones!$1:$1,0)</f>
        <v>5</v>
      </c>
      <c r="X68" s="115">
        <f>+VLOOKUP(PROVEEDORES[[#This Row],[ID RETENCION]],Retenciones!$A$1:$O$25,PROVEEDORES[[#This Row],[indicador de columna]],FALSE)</f>
        <v>1026000</v>
      </c>
      <c r="Y68" s="116">
        <f>+VLOOKUP(PROVEEDORES[[#This Row],[ID RETENCION]],Retenciones!$A$1:$O$25,2,FALSE)</f>
        <v>2.5000000000000001E-2</v>
      </c>
      <c r="Z68" s="125" t="b">
        <f>OR(COUNTIF(PROVEEDORES[[#This Row],[PROVEEDOR]],"*"&amp;'Palabra no opera'!$A$2&amp;"*"))</f>
        <v>0</v>
      </c>
      <c r="AA68" s="24"/>
      <c r="AB68" s="24"/>
      <c r="AC68" s="24"/>
      <c r="AD68" s="24"/>
      <c r="AE68" s="24"/>
    </row>
    <row r="69" spans="1:31" ht="22.2" customHeight="1" x14ac:dyDescent="0.3">
      <c r="A69" s="191" t="str">
        <f>+IF(PROVEEDORES[[#This Row],[FECHA DE PAGO]]=PROVEEDORES[[#This Row],[FECHA DE FACTURACIÓN]],"DE CONTADO","CRÉDITO")</f>
        <v>CRÉDITO</v>
      </c>
      <c r="B69" s="38" t="str">
        <f>+IF((PROVEEDORES[[#This Row],[FECHA DE PAGO]]-PROVEEDORES[[#This Row],[FECHA DE FACTURACIÓN]])&gt;PROVEEDORES[[#This Row],[PLAZO Días]],"PAGO VENCIDO")</f>
        <v>PAGO VENCIDO</v>
      </c>
      <c r="C69" s="20">
        <f>+VLOOKUP(PROVEEDORES[[#This Row],[PROVEEDOR]],TERCEROS_INFO[#All],2,FALSE)</f>
        <v>30</v>
      </c>
      <c r="D69" s="25">
        <f>+SUMIFS(PROVEEDORES[Total],PROVEEDORES[PROVEEDOR],PROVEEDORES[[#This Row],[PROVEEDOR]],PROVEEDORES[FECHA DE PAGO],"")</f>
        <v>4712021.58</v>
      </c>
      <c r="E69" s="25" t="s">
        <v>1140</v>
      </c>
      <c r="F6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9" s="161">
        <v>44844</v>
      </c>
      <c r="H69" s="26" t="s">
        <v>17</v>
      </c>
      <c r="I69" s="161">
        <v>44754</v>
      </c>
      <c r="J69" s="35" t="s">
        <v>144</v>
      </c>
      <c r="K69" s="21">
        <v>-78395</v>
      </c>
      <c r="L69" s="21"/>
      <c r="M69" s="22">
        <f>(PROVEEDORES[[#This Row],[SUBTOTAL]]-PROVEEDORES[[#This Row],[descuento sobre subtotal]])*VLOOKUP(PROVEEDORES[[#This Row],[PROVEEDOR]],TERCEROS_INFO[#All],3,FALSE)</f>
        <v>-14895.05</v>
      </c>
      <c r="N69" s="23"/>
      <c r="O69" s="22">
        <f>+PROVEEDORES[[#This Row],[Descuento sobre subtotal %]]*(PROVEEDORES[[#This Row],[SUBTOTAL]]-PROVEEDORES[[#This Row],[descuento sobre subtotal]])</f>
        <v>0</v>
      </c>
      <c r="P69" s="83">
        <f>+IF(PROVEEDORES[[#This Row],[SUBTOTAL]]&lt;PROVEEDORES[[#This Row],[base retencion]],0,PROVEEDORES[[#This Row],[retención aplicada]])</f>
        <v>0</v>
      </c>
      <c r="Q69" s="22">
        <f>+PROVEEDORES[[#This Row],[Rete Fuente %]]*(PROVEEDORES[[#This Row],[SUBTOTAL]]-PROVEEDORES[[#This Row],[descuento sobre subtotal]])</f>
        <v>0</v>
      </c>
      <c r="R69" s="21">
        <f>+PROVEEDORES[[#This Row],[SUBTOTAL]]+PROVEEDORES[[#This Row],[IVA 19%]]-PROVEEDORES[[#This Row],[descuento sobre subtotal]]-PROVEEDORES[[#This Row],[Descuento sobre subtotal $2]]-PROVEEDORES[[#This Row],[Rete Fuente $]]</f>
        <v>-93290.05</v>
      </c>
      <c r="S69" s="19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68">
        <f ca="1">IF(PROVEEDORES[[#This Row],[FECHA DE PAGO]]=0,TODAY()-PROVEEDORES[[#This Row],[FECHA DE FACTURACIÓN]]-PROVEEDORES[[#This Row],[PLAZO Días]],0)</f>
        <v>0</v>
      </c>
      <c r="U69" s="113">
        <f>+VLOOKUP(PROVEEDORES[[#This Row],[PROVEEDOR]],Terceros!$A:$D,4,FALSE)</f>
        <v>0</v>
      </c>
      <c r="V69" s="114">
        <f>+YEAR(PROVEEDORES[[#This Row],[FECHA DE FACTURACIÓN]])</f>
        <v>2022</v>
      </c>
      <c r="W69" s="114">
        <f>+MATCH(PROVEEDORES[[#This Row],[año facturado]],Retenciones!$1:$1,0)</f>
        <v>5</v>
      </c>
      <c r="X69" s="115">
        <f>+VLOOKUP(PROVEEDORES[[#This Row],[ID RETENCION]],Retenciones!$A$1:$O$25,PROVEEDORES[[#This Row],[indicador de columna]],FALSE)</f>
        <v>0</v>
      </c>
      <c r="Y69" s="116">
        <f>+VLOOKUP(PROVEEDORES[[#This Row],[ID RETENCION]],Retenciones!$A$1:$O$25,2,FALSE)</f>
        <v>0</v>
      </c>
      <c r="Z69" s="125" t="b">
        <f>OR(COUNTIF(PROVEEDORES[[#This Row],[PROVEEDOR]],"*"&amp;'Palabra no opera'!$A$2&amp;"*"))</f>
        <v>0</v>
      </c>
      <c r="AA69" s="24"/>
      <c r="AB69" s="24"/>
      <c r="AC69" s="24"/>
      <c r="AD69" s="24"/>
      <c r="AE69" s="24"/>
    </row>
    <row r="70" spans="1:31" ht="22.2" customHeight="1" x14ac:dyDescent="0.3">
      <c r="A70" s="144" t="str">
        <f>+IF(PROVEEDORES[[#This Row],[FECHA DE PAGO]]=PROVEEDORES[[#This Row],[FECHA DE FACTURACIÓN]],"DE CONTADO","CRÉDITO")</f>
        <v>CRÉDITO</v>
      </c>
      <c r="B70" s="38" t="str">
        <f>+IF((PROVEEDORES[[#This Row],[FECHA DE PAGO]]-PROVEEDORES[[#This Row],[FECHA DE FACTURACIÓN]])&gt;PROVEEDORES[[#This Row],[PLAZO Días]],"PAGO VENCIDO")</f>
        <v>PAGO VENCIDO</v>
      </c>
      <c r="C70" s="20">
        <f>+VLOOKUP(PROVEEDORES[[#This Row],[PROVEEDOR]],TERCEROS_INFO[#All],2,FALSE)</f>
        <v>30</v>
      </c>
      <c r="D70" s="25">
        <f>+SUMIFS(PROVEEDORES[Total],PROVEEDORES[PROVEEDOR],PROVEEDORES[[#This Row],[PROVEEDOR]],PROVEEDORES[FECHA DE PAGO],"")</f>
        <v>-101001.25</v>
      </c>
      <c r="E70" s="25"/>
      <c r="F70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70" s="161">
        <v>44770</v>
      </c>
      <c r="H70" s="26" t="s">
        <v>14</v>
      </c>
      <c r="I70" s="161">
        <v>44706</v>
      </c>
      <c r="J70" s="35" t="s">
        <v>995</v>
      </c>
      <c r="K70" s="21">
        <v>-67900</v>
      </c>
      <c r="L70" s="21"/>
      <c r="M70" s="22">
        <f>(PROVEEDORES[[#This Row],[SUBTOTAL]]-PROVEEDORES[[#This Row],[descuento sobre subtotal]])*VLOOKUP(PROVEEDORES[[#This Row],[PROVEEDOR]],TERCEROS_INFO[#All],3,FALSE)</f>
        <v>-12901</v>
      </c>
      <c r="N70" s="23"/>
      <c r="O70" s="22">
        <f>+PROVEEDORES[[#This Row],[Descuento sobre subtotal %]]*(PROVEEDORES[[#This Row],[SUBTOTAL]]-PROVEEDORES[[#This Row],[descuento sobre subtotal]])</f>
        <v>0</v>
      </c>
      <c r="P70" s="83">
        <f>+IF(PROVEEDORES[[#This Row],[SUBTOTAL]]&lt;PROVEEDORES[[#This Row],[base retencion]],0,PROVEEDORES[[#This Row],[retención aplicada]])</f>
        <v>0</v>
      </c>
      <c r="Q70" s="22">
        <f>+PROVEEDORES[[#This Row],[Rete Fuente %]]*(PROVEEDORES[[#This Row],[SUBTOTAL]]-PROVEEDORES[[#This Row],[descuento sobre subtotal]])</f>
        <v>0</v>
      </c>
      <c r="R70" s="21">
        <f>+PROVEEDORES[[#This Row],[SUBTOTAL]]+PROVEEDORES[[#This Row],[IVA 19%]]-PROVEEDORES[[#This Row],[descuento sobre subtotal]]-PROVEEDORES[[#This Row],[Descuento sobre subtotal $2]]-PROVEEDORES[[#This Row],[Rete Fuente $]]</f>
        <v>-80801</v>
      </c>
      <c r="S70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68">
        <f ca="1">IF(PROVEEDORES[[#This Row],[FECHA DE PAGO]]=0,TODAY()-PROVEEDORES[[#This Row],[FECHA DE FACTURACIÓN]]-PROVEEDORES[[#This Row],[PLAZO Días]],0)</f>
        <v>0</v>
      </c>
      <c r="U70" s="113" t="str">
        <f>+VLOOKUP(PROVEEDORES[[#This Row],[PROVEEDOR]],Terceros!$A:$D,4,FALSE)</f>
        <v>2,5% con base</v>
      </c>
      <c r="V70" s="114">
        <f>+YEAR(PROVEEDORES[[#This Row],[FECHA DE FACTURACIÓN]])</f>
        <v>2022</v>
      </c>
      <c r="W70" s="114">
        <f>+MATCH(PROVEEDORES[[#This Row],[año facturado]],Retenciones!$1:$1,0)</f>
        <v>5</v>
      </c>
      <c r="X70" s="115">
        <f>+VLOOKUP(PROVEEDORES[[#This Row],[ID RETENCION]],Retenciones!$A$1:$O$25,PROVEEDORES[[#This Row],[indicador de columna]],FALSE)</f>
        <v>1026000</v>
      </c>
      <c r="Y70" s="116">
        <f>+VLOOKUP(PROVEEDORES[[#This Row],[ID RETENCION]],Retenciones!$A$1:$O$25,2,FALSE)</f>
        <v>2.5000000000000001E-2</v>
      </c>
      <c r="Z70" s="125" t="b">
        <f>OR(COUNTIF(PROVEEDORES[[#This Row],[PROVEEDOR]],"*"&amp;'Palabra no opera'!$A$2&amp;"*"))</f>
        <v>0</v>
      </c>
      <c r="AA70" s="24"/>
      <c r="AB70" s="24"/>
      <c r="AC70" s="24"/>
      <c r="AD70" s="24"/>
      <c r="AE70" s="24"/>
    </row>
    <row r="71" spans="1:31" ht="22.2" customHeight="1" x14ac:dyDescent="0.3">
      <c r="A71" s="72" t="str">
        <f>+IF(PROVEEDORES[[#This Row],[FECHA DE PAGO]]=PROVEEDORES[[#This Row],[FECHA DE FACTURACIÓN]],"DE CONTADO","CRÉDITO")</f>
        <v>CRÉDITO</v>
      </c>
      <c r="B71" s="38" t="str">
        <f>+IF((PROVEEDORES[[#This Row],[FECHA DE PAGO]]-PROVEEDORES[[#This Row],[FECHA DE FACTURACIÓN]])&gt;PROVEEDORES[[#This Row],[PLAZO Días]],"PAGO VENCIDO")</f>
        <v>PAGO VENCIDO</v>
      </c>
      <c r="C71" s="20">
        <f>+VLOOKUP(PROVEEDORES[[#This Row],[PROVEEDOR]],TERCEROS_INFO[#All],2,FALSE)</f>
        <v>30</v>
      </c>
      <c r="D71" s="25">
        <f>+SUMIFS(PROVEEDORES[Total],PROVEEDORES[PROVEEDOR],PROVEEDORES[[#This Row],[PROVEEDOR]],PROVEEDORES[FECHA DE PAGO],"")</f>
        <v>0</v>
      </c>
      <c r="E71" s="25"/>
      <c r="F7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1" s="161">
        <v>44764</v>
      </c>
      <c r="H71" s="26" t="s">
        <v>1451</v>
      </c>
      <c r="I71" s="161">
        <v>44729</v>
      </c>
      <c r="J71" s="35" t="s">
        <v>1055</v>
      </c>
      <c r="K71" s="21">
        <f>-75000-3000</f>
        <v>-78000</v>
      </c>
      <c r="L71" s="21"/>
      <c r="M71" s="22">
        <f>(PROVEEDORES[[#This Row],[SUBTOTAL]]-PROVEEDORES[[#This Row],[descuento sobre subtotal]])*VLOOKUP(PROVEEDORES[[#This Row],[PROVEEDOR]],TERCEROS_INFO[#All],3,FALSE)</f>
        <v>0</v>
      </c>
      <c r="N71" s="23"/>
      <c r="O71" s="22">
        <f>+PROVEEDORES[[#This Row],[Descuento sobre subtotal %]]*(PROVEEDORES[[#This Row],[SUBTOTAL]]-PROVEEDORES[[#This Row],[descuento sobre subtotal]])</f>
        <v>0</v>
      </c>
      <c r="P71" s="83">
        <f>+IF(PROVEEDORES[[#This Row],[SUBTOTAL]]&lt;PROVEEDORES[[#This Row],[base retencion]],0,PROVEEDORES[[#This Row],[retención aplicada]])</f>
        <v>0</v>
      </c>
      <c r="Q71" s="22">
        <f>+PROVEEDORES[[#This Row],[Rete Fuente %]]*(PROVEEDORES[[#This Row],[SUBTOTAL]]-PROVEEDORES[[#This Row],[descuento sobre subtotal]])</f>
        <v>0</v>
      </c>
      <c r="R71" s="21">
        <f>+PROVEEDORES[[#This Row],[SUBTOTAL]]+PROVEEDORES[[#This Row],[IVA 19%]]-PROVEEDORES[[#This Row],[descuento sobre subtotal]]-PROVEEDORES[[#This Row],[Descuento sobre subtotal $2]]-PROVEEDORES[[#This Row],[Rete Fuente $]]</f>
        <v>-78000</v>
      </c>
      <c r="S7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68">
        <f ca="1">IF(PROVEEDORES[[#This Row],[FECHA DE PAGO]]=0,TODAY()-PROVEEDORES[[#This Row],[FECHA DE FACTURACIÓN]]-PROVEEDORES[[#This Row],[PLAZO Días]],0)</f>
        <v>0</v>
      </c>
      <c r="U71" s="113" t="str">
        <f>+VLOOKUP(PROVEEDORES[[#This Row],[PROVEEDOR]],Terceros!$A:$D,4,FALSE)</f>
        <v>1% con base</v>
      </c>
      <c r="V71" s="114">
        <f>+YEAR(PROVEEDORES[[#This Row],[FECHA DE FACTURACIÓN]])</f>
        <v>2022</v>
      </c>
      <c r="W71" s="114">
        <f>+MATCH(PROVEEDORES[[#This Row],[año facturado]],Retenciones!$1:$1,0)</f>
        <v>5</v>
      </c>
      <c r="X71" s="115">
        <f>+VLOOKUP(PROVEEDORES[[#This Row],[ID RETENCION]],Retenciones!$A$1:$O$25,PROVEEDORES[[#This Row],[indicador de columna]],FALSE)</f>
        <v>152000</v>
      </c>
      <c r="Y71" s="116">
        <f>+VLOOKUP(PROVEEDORES[[#This Row],[ID RETENCION]],Retenciones!$A$1:$O$25,2,FALSE)</f>
        <v>0.01</v>
      </c>
      <c r="Z71" s="125" t="b">
        <f>OR(COUNTIF(PROVEEDORES[[#This Row],[PROVEEDOR]],"*"&amp;'Palabra no opera'!$A$2&amp;"*"))</f>
        <v>0</v>
      </c>
      <c r="AA71" s="24"/>
      <c r="AB71" s="24"/>
      <c r="AC71" s="24"/>
      <c r="AD71" s="24"/>
      <c r="AE71" s="24"/>
    </row>
    <row r="72" spans="1:31" ht="22.2" customHeight="1" x14ac:dyDescent="0.3">
      <c r="A72" s="159" t="str">
        <f>+IF(PROVEEDORES[[#This Row],[FECHA DE PAGO]]=PROVEEDORES[[#This Row],[FECHA DE FACTURACIÓN]],"DE CONTADO","CRÉDITO")</f>
        <v>CRÉDITO</v>
      </c>
      <c r="B72" s="38" t="b">
        <f>+IF((PROVEEDORES[[#This Row],[FECHA DE PAGO]]-PROVEEDORES[[#This Row],[FECHA DE FACTURACIÓN]])&gt;PROVEEDORES[[#This Row],[PLAZO Días]],"PAGO VENCIDO")</f>
        <v>0</v>
      </c>
      <c r="C72" s="20">
        <f>+VLOOKUP(PROVEEDORES[[#This Row],[PROVEEDOR]],TERCEROS_INFO[#All],2,FALSE)</f>
        <v>45</v>
      </c>
      <c r="D72" s="25">
        <f>+SUMIFS(PROVEEDORES[Total],PROVEEDORES[PROVEEDOR],PROVEEDORES[[#This Row],[PROVEEDOR]],PROVEEDORES[FECHA DE PAGO],"")</f>
        <v>2604910</v>
      </c>
      <c r="E72" s="25" t="s">
        <v>1056</v>
      </c>
      <c r="F7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2" s="161">
        <v>44754</v>
      </c>
      <c r="H72" s="26" t="s">
        <v>10</v>
      </c>
      <c r="I72" s="161">
        <v>44718</v>
      </c>
      <c r="J72" s="35" t="s">
        <v>1645</v>
      </c>
      <c r="K72" s="21">
        <v>-72804.2</v>
      </c>
      <c r="L72" s="21"/>
      <c r="M72" s="22"/>
      <c r="N72" s="23"/>
      <c r="O72" s="22">
        <f>+PROVEEDORES[[#This Row],[Descuento sobre subtotal %]]*(PROVEEDORES[[#This Row],[SUBTOTAL]]-PROVEEDORES[[#This Row],[descuento sobre subtotal]])</f>
        <v>0</v>
      </c>
      <c r="P72" s="83">
        <f>+IF(PROVEEDORES[[#This Row],[SUBTOTAL]]&lt;PROVEEDORES[[#This Row],[base retencion]],0,PROVEEDORES[[#This Row],[retención aplicada]])</f>
        <v>0</v>
      </c>
      <c r="Q72" s="22">
        <f>+PROVEEDORES[[#This Row],[Rete Fuente %]]*(PROVEEDORES[[#This Row],[SUBTOTAL]]-PROVEEDORES[[#This Row],[descuento sobre subtotal]])</f>
        <v>0</v>
      </c>
      <c r="R72" s="21">
        <f>+PROVEEDORES[[#This Row],[SUBTOTAL]]+PROVEEDORES[[#This Row],[IVA 19%]]-PROVEEDORES[[#This Row],[descuento sobre subtotal]]-PROVEEDORES[[#This Row],[Descuento sobre subtotal $2]]-PROVEEDORES[[#This Row],[Rete Fuente $]]</f>
        <v>-72804.2</v>
      </c>
      <c r="S72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68">
        <f ca="1">IF(PROVEEDORES[[#This Row],[FECHA DE PAGO]]=0,TODAY()-PROVEEDORES[[#This Row],[FECHA DE FACTURACIÓN]]-PROVEEDORES[[#This Row],[PLAZO Días]],0)</f>
        <v>0</v>
      </c>
      <c r="U72" s="113">
        <f>+VLOOKUP(PROVEEDORES[[#This Row],[PROVEEDOR]],Terceros!$A:$D,4,FALSE)</f>
        <v>0</v>
      </c>
      <c r="V72" s="114">
        <f>+YEAR(PROVEEDORES[[#This Row],[FECHA DE FACTURACIÓN]])</f>
        <v>2022</v>
      </c>
      <c r="W72" s="114">
        <f>+MATCH(PROVEEDORES[[#This Row],[año facturado]],Retenciones!$1:$1,0)</f>
        <v>5</v>
      </c>
      <c r="X72" s="115">
        <f>+VLOOKUP(PROVEEDORES[[#This Row],[ID RETENCION]],Retenciones!$A$1:$O$25,PROVEEDORES[[#This Row],[indicador de columna]],FALSE)</f>
        <v>0</v>
      </c>
      <c r="Y72" s="116">
        <f>+VLOOKUP(PROVEEDORES[[#This Row],[ID RETENCION]],Retenciones!$A$1:$O$25,2,FALSE)</f>
        <v>0</v>
      </c>
      <c r="Z72" s="125" t="b">
        <f>OR(COUNTIF(PROVEEDORES[[#This Row],[PROVEEDOR]],"*"&amp;'Palabra no opera'!$A$2&amp;"*"))</f>
        <v>0</v>
      </c>
      <c r="AA72" s="24"/>
      <c r="AB72" s="24"/>
      <c r="AC72" s="24"/>
      <c r="AD72" s="24"/>
      <c r="AE72" s="24"/>
    </row>
    <row r="73" spans="1:31" ht="22.2" customHeight="1" x14ac:dyDescent="0.3">
      <c r="A73" s="66" t="str">
        <f>+IF(PROVEEDORES[[#This Row],[FECHA DE PAGO]]=PROVEEDORES[[#This Row],[FECHA DE FACTURACIÓN]],"DE CONTADO","CRÉDITO")</f>
        <v>CRÉDITO</v>
      </c>
      <c r="B73" s="38" t="str">
        <f>+IF((PROVEEDORES[[#This Row],[FECHA DE PAGO]]-PROVEEDORES[[#This Row],[FECHA DE FACTURACIÓN]])&gt;PROVEEDORES[[#This Row],[PLAZO Días]],"PAGO VENCIDO")</f>
        <v>PAGO VENCIDO</v>
      </c>
      <c r="C73" s="20">
        <f>+VLOOKUP(PROVEEDORES[[#This Row],[PROVEEDOR]],TERCEROS_INFO[#All],2,FALSE)</f>
        <v>30</v>
      </c>
      <c r="D73" s="25">
        <f>+SUMIFS(PROVEEDORES[Total],PROVEEDORES[PROVEEDOR],PROVEEDORES[[#This Row],[PROVEEDOR]],PROVEEDORES[FECHA DE PAGO],"")</f>
        <v>1127400.05</v>
      </c>
      <c r="E73" s="25"/>
      <c r="F7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3" s="161">
        <v>44298</v>
      </c>
      <c r="H73" s="26" t="s">
        <v>47</v>
      </c>
      <c r="I73" s="161">
        <v>44267</v>
      </c>
      <c r="J73" s="35" t="s">
        <v>240</v>
      </c>
      <c r="K73" s="21">
        <v>-60000</v>
      </c>
      <c r="L73" s="21"/>
      <c r="M73" s="22">
        <f>(PROVEEDORES[[#This Row],[SUBTOTAL]]-PROVEEDORES[[#This Row],[descuento sobre subtotal]])*VLOOKUP(PROVEEDORES[[#This Row],[PROVEEDOR]],TERCEROS_INFO[#All],3,FALSE)</f>
        <v>-11400</v>
      </c>
      <c r="N73" s="23"/>
      <c r="O73" s="22">
        <f>+PROVEEDORES[[#This Row],[Descuento sobre subtotal %]]*(PROVEEDORES[[#This Row],[SUBTOTAL]]-PROVEEDORES[[#This Row],[descuento sobre subtotal]])</f>
        <v>0</v>
      </c>
      <c r="P73" s="83">
        <f>+IF(PROVEEDORES[[#This Row],[SUBTOTAL]]&lt;PROVEEDORES[[#This Row],[base retencion]],0,PROVEEDORES[[#This Row],[retención aplicada]])</f>
        <v>0</v>
      </c>
      <c r="Q73" s="22">
        <f>+PROVEEDORES[[#This Row],[Rete Fuente %]]*(PROVEEDORES[[#This Row],[SUBTOTAL]]-PROVEEDORES[[#This Row],[descuento sobre subtotal]])</f>
        <v>0</v>
      </c>
      <c r="R73" s="21">
        <f>+PROVEEDORES[[#This Row],[SUBTOTAL]]+PROVEEDORES[[#This Row],[IVA 19%]]-PROVEEDORES[[#This Row],[descuento sobre subtotal]]-PROVEEDORES[[#This Row],[Descuento sobre subtotal $2]]-PROVEEDORES[[#This Row],[Rete Fuente $]]</f>
        <v>-71400</v>
      </c>
      <c r="S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68">
        <f ca="1">IF(PROVEEDORES[[#This Row],[FECHA DE PAGO]]=0,TODAY()-PROVEEDORES[[#This Row],[FECHA DE FACTURACIÓN]]-PROVEEDORES[[#This Row],[PLAZO Días]],0)</f>
        <v>0</v>
      </c>
      <c r="U73" s="96" t="str">
        <f>+VLOOKUP(PROVEEDORES[[#This Row],[PROVEEDOR]],Terceros!$A:$D,4,FALSE)</f>
        <v>2,5% con base</v>
      </c>
      <c r="V73" s="97">
        <f>+YEAR(PROVEEDORES[[#This Row],[FECHA DE FACTURACIÓN]])</f>
        <v>2021</v>
      </c>
      <c r="W73" s="97">
        <f>+MATCH(PROVEEDORES[[#This Row],[año facturado]],Retenciones!$1:$1,0)</f>
        <v>4</v>
      </c>
      <c r="X73" s="98">
        <f>+VLOOKUP(PROVEEDORES[[#This Row],[ID RETENCION]],Retenciones!$A$1:$O$25,PROVEEDORES[[#This Row],[indicador de columna]],FALSE)</f>
        <v>980000</v>
      </c>
      <c r="Y73" s="99">
        <f>+VLOOKUP(PROVEEDORES[[#This Row],[ID RETENCION]],Retenciones!$A$1:$O$25,2,FALSE)</f>
        <v>2.5000000000000001E-2</v>
      </c>
      <c r="Z73" s="125" t="b">
        <f>OR(COUNTIF(PROVEEDORES[[#This Row],[PROVEEDOR]],"*"&amp;'Palabra no opera'!$A$2&amp;"*"))</f>
        <v>0</v>
      </c>
      <c r="AA73" s="24"/>
      <c r="AB73" s="24"/>
      <c r="AC73" s="24"/>
      <c r="AD73" s="24"/>
      <c r="AE73" s="24"/>
    </row>
    <row r="74" spans="1:31" ht="22.2" customHeight="1" x14ac:dyDescent="0.3">
      <c r="A74" s="66" t="str">
        <f>+IF(PROVEEDORES[[#This Row],[FECHA DE PAGO]]=PROVEEDORES[[#This Row],[FECHA DE FACTURACIÓN]],"DE CONTADO","CRÉDITO")</f>
        <v>CRÉDITO</v>
      </c>
      <c r="B74" s="38" t="str">
        <f>+IF((PROVEEDORES[[#This Row],[FECHA DE PAGO]]-PROVEEDORES[[#This Row],[FECHA DE FACTURACIÓN]])&gt;PROVEEDORES[[#This Row],[PLAZO Días]],"PAGO VENCIDO")</f>
        <v>PAGO VENCIDO</v>
      </c>
      <c r="C74" s="20">
        <f>+VLOOKUP(PROVEEDORES[[#This Row],[PROVEEDOR]],TERCEROS_INFO[#All],2,FALSE)</f>
        <v>30</v>
      </c>
      <c r="D74" s="25">
        <f>+SUMIFS(PROVEEDORES[Total],PROVEEDORES[PROVEEDOR],PROVEEDORES[[#This Row],[PROVEEDOR]],PROVEEDORES[FECHA DE PAGO],"")</f>
        <v>23124164.219999999</v>
      </c>
      <c r="E74" s="25"/>
      <c r="F7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" s="161">
        <v>44517</v>
      </c>
      <c r="H74" s="26" t="s">
        <v>18</v>
      </c>
      <c r="I74" s="161">
        <v>44462</v>
      </c>
      <c r="J74" s="35" t="s">
        <v>533</v>
      </c>
      <c r="K74" s="21">
        <v>-60000</v>
      </c>
      <c r="L74" s="21"/>
      <c r="M74" s="22">
        <f>(PROVEEDORES[[#This Row],[SUBTOTAL]]-PROVEEDORES[[#This Row],[descuento sobre subtotal]])*VLOOKUP(PROVEEDORES[[#This Row],[PROVEEDOR]],TERCEROS_INFO[#All],3,FALSE)</f>
        <v>-11400</v>
      </c>
      <c r="N74" s="23"/>
      <c r="O74" s="22">
        <f>+PROVEEDORES[[#This Row],[Descuento sobre subtotal %]]*(PROVEEDORES[[#This Row],[SUBTOTAL]]-PROVEEDORES[[#This Row],[descuento sobre subtotal]])</f>
        <v>0</v>
      </c>
      <c r="P74" s="83">
        <f>+IF(PROVEEDORES[[#This Row],[SUBTOTAL]]&lt;PROVEEDORES[[#This Row],[base retencion]],0,PROVEEDORES[[#This Row],[retención aplicada]])</f>
        <v>0</v>
      </c>
      <c r="Q74" s="22">
        <f>+PROVEEDORES[[#This Row],[Rete Fuente %]]*(PROVEEDORES[[#This Row],[SUBTOTAL]]-PROVEEDORES[[#This Row],[descuento sobre subtotal]])</f>
        <v>0</v>
      </c>
      <c r="R74" s="21">
        <f>+PROVEEDORES[[#This Row],[SUBTOTAL]]+PROVEEDORES[[#This Row],[IVA 19%]]-PROVEEDORES[[#This Row],[descuento sobre subtotal]]-PROVEEDORES[[#This Row],[Descuento sobre subtotal $2]]-PROVEEDORES[[#This Row],[Rete Fuente $]]</f>
        <v>-71400</v>
      </c>
      <c r="S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68">
        <f ca="1">IF(PROVEEDORES[[#This Row],[FECHA DE PAGO]]=0,TODAY()-PROVEEDORES[[#This Row],[FECHA DE FACTURACIÓN]]-PROVEEDORES[[#This Row],[PLAZO Días]],0)</f>
        <v>0</v>
      </c>
      <c r="U74" s="96" t="str">
        <f>+VLOOKUP(PROVEEDORES[[#This Row],[PROVEEDOR]],Terceros!$A:$D,4,FALSE)</f>
        <v>2,5% con base</v>
      </c>
      <c r="V74" s="97">
        <f>+YEAR(PROVEEDORES[[#This Row],[FECHA DE FACTURACIÓN]])</f>
        <v>2021</v>
      </c>
      <c r="W74" s="97">
        <f>+MATCH(PROVEEDORES[[#This Row],[año facturado]],Retenciones!$1:$1,0)</f>
        <v>4</v>
      </c>
      <c r="X74" s="98">
        <f>+VLOOKUP(PROVEEDORES[[#This Row],[ID RETENCION]],Retenciones!$A$1:$O$25,PROVEEDORES[[#This Row],[indicador de columna]],FALSE)</f>
        <v>980000</v>
      </c>
      <c r="Y74" s="99">
        <f>+VLOOKUP(PROVEEDORES[[#This Row],[ID RETENCION]],Retenciones!$A$1:$O$25,2,FALSE)</f>
        <v>2.5000000000000001E-2</v>
      </c>
      <c r="Z74" s="125" t="b">
        <f>OR(COUNTIF(PROVEEDORES[[#This Row],[PROVEEDOR]],"*"&amp;'Palabra no opera'!$A$2&amp;"*"))</f>
        <v>0</v>
      </c>
      <c r="AA74" s="24"/>
      <c r="AB74" s="24"/>
      <c r="AC74" s="24"/>
      <c r="AD74" s="24"/>
      <c r="AE74" s="24"/>
    </row>
    <row r="75" spans="1:31" ht="22.2" customHeight="1" x14ac:dyDescent="0.3">
      <c r="A75" s="66" t="str">
        <f>+IF(PROVEEDORES[[#This Row],[FECHA DE PAGO]]=PROVEEDORES[[#This Row],[FECHA DE FACTURACIÓN]],"DE CONTADO","CRÉDITO")</f>
        <v>CRÉDITO</v>
      </c>
      <c r="B75" s="38" t="str">
        <f>+IF((PROVEEDORES[[#This Row],[FECHA DE PAGO]]-PROVEEDORES[[#This Row],[FECHA DE FACTURACIÓN]])&gt;PROVEEDORES[[#This Row],[PLAZO Días]],"PAGO VENCIDO")</f>
        <v>PAGO VENCIDO</v>
      </c>
      <c r="C75" s="20">
        <f>+VLOOKUP(PROVEEDORES[[#This Row],[PROVEEDOR]],TERCEROS_INFO[#All],2,FALSE)</f>
        <v>30</v>
      </c>
      <c r="D75" s="25">
        <f>+SUMIFS(PROVEEDORES[Total],PROVEEDORES[PROVEEDOR],PROVEEDORES[[#This Row],[PROVEEDOR]],PROVEEDORES[FECHA DE PAGO],"")</f>
        <v>0</v>
      </c>
      <c r="E75" s="25"/>
      <c r="F7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75" s="161">
        <v>44264</v>
      </c>
      <c r="H75" s="26" t="s">
        <v>691</v>
      </c>
      <c r="I75" s="161">
        <v>44230</v>
      </c>
      <c r="J75" s="35" t="s">
        <v>179</v>
      </c>
      <c r="K75" s="21">
        <v>-68000</v>
      </c>
      <c r="L75" s="21"/>
      <c r="M75" s="22">
        <f>(PROVEEDORES[[#This Row],[SUBTOTAL]]-PROVEEDORES[[#This Row],[descuento sobre subtotal]])*VLOOKUP(PROVEEDORES[[#This Row],[PROVEEDOR]],TERCEROS_INFO[#All],3,FALSE)</f>
        <v>0</v>
      </c>
      <c r="N75" s="23"/>
      <c r="O75" s="22">
        <f>+PROVEEDORES[[#This Row],[Descuento sobre subtotal %]]*(PROVEEDORES[[#This Row],[SUBTOTAL]]-PROVEEDORES[[#This Row],[descuento sobre subtotal]])</f>
        <v>0</v>
      </c>
      <c r="P75" s="83">
        <f>+IF(PROVEEDORES[[#This Row],[SUBTOTAL]]&lt;PROVEEDORES[[#This Row],[base retencion]],0,PROVEEDORES[[#This Row],[retención aplicada]])</f>
        <v>0</v>
      </c>
      <c r="Q75" s="22">
        <f>+PROVEEDORES[[#This Row],[Rete Fuente %]]*(PROVEEDORES[[#This Row],[SUBTOTAL]]-PROVEEDORES[[#This Row],[descuento sobre subtotal]])</f>
        <v>0</v>
      </c>
      <c r="R75" s="21">
        <f>+PROVEEDORES[[#This Row],[SUBTOTAL]]+PROVEEDORES[[#This Row],[IVA 19%]]-PROVEEDORES[[#This Row],[descuento sobre subtotal]]-PROVEEDORES[[#This Row],[Descuento sobre subtotal $2]]-PROVEEDORES[[#This Row],[Rete Fuente $]]</f>
        <v>-68000</v>
      </c>
      <c r="S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68">
        <f ca="1">IF(PROVEEDORES[[#This Row],[FECHA DE PAGO]]=0,TODAY()-PROVEEDORES[[#This Row],[FECHA DE FACTURACIÓN]]-PROVEEDORES[[#This Row],[PLAZO Días]],0)</f>
        <v>0</v>
      </c>
      <c r="U75" s="96">
        <f>+VLOOKUP(PROVEEDORES[[#This Row],[PROVEEDOR]],Terceros!$A:$D,4,FALSE)</f>
        <v>0</v>
      </c>
      <c r="V75" s="97">
        <f>+YEAR(PROVEEDORES[[#This Row],[FECHA DE FACTURACIÓN]])</f>
        <v>2021</v>
      </c>
      <c r="W75" s="97">
        <f>+MATCH(PROVEEDORES[[#This Row],[año facturado]],Retenciones!$1:$1,0)</f>
        <v>4</v>
      </c>
      <c r="X75" s="98">
        <f>+VLOOKUP(PROVEEDORES[[#This Row],[ID RETENCION]],Retenciones!$A$1:$O$25,PROVEEDORES[[#This Row],[indicador de columna]],FALSE)</f>
        <v>0</v>
      </c>
      <c r="Y75" s="99">
        <f>+VLOOKUP(PROVEEDORES[[#This Row],[ID RETENCION]],Retenciones!$A$1:$O$25,2,FALSE)</f>
        <v>0</v>
      </c>
      <c r="Z75" s="125" t="b">
        <f>OR(COUNTIF(PROVEEDORES[[#This Row],[PROVEEDOR]],"*"&amp;'Palabra no opera'!$A$2&amp;"*"))</f>
        <v>0</v>
      </c>
      <c r="AA75" s="24"/>
      <c r="AB75" s="24"/>
      <c r="AC75" s="24"/>
      <c r="AD75" s="24"/>
      <c r="AE75" s="24"/>
    </row>
    <row r="76" spans="1:31" ht="22.2" customHeight="1" x14ac:dyDescent="0.3">
      <c r="A76" s="123" t="str">
        <f>+IF(PROVEEDORES[[#This Row],[FECHA DE PAGO]]=PROVEEDORES[[#This Row],[FECHA DE FACTURACIÓN]],"DE CONTADO","CRÉDITO")</f>
        <v>CRÉDITO</v>
      </c>
      <c r="B76" s="38" t="str">
        <f>+IF((PROVEEDORES[[#This Row],[FECHA DE PAGO]]-PROVEEDORES[[#This Row],[FECHA DE FACTURACIÓN]])&gt;PROVEEDORES[[#This Row],[PLAZO Días]],"PAGO VENCIDO")</f>
        <v>PAGO VENCIDO</v>
      </c>
      <c r="C76" s="20">
        <f>+VLOOKUP(PROVEEDORES[[#This Row],[PROVEEDOR]],TERCEROS_INFO[#All],2,FALSE)</f>
        <v>30</v>
      </c>
      <c r="D76" s="25">
        <f>+SUMIFS(PROVEEDORES[Total],PROVEEDORES[PROVEEDOR],PROVEEDORES[[#This Row],[PROVEEDOR]],PROVEEDORES[FECHA DE PAGO],"")</f>
        <v>0</v>
      </c>
      <c r="E76" s="25"/>
      <c r="F7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6" s="161">
        <v>44684</v>
      </c>
      <c r="H76" s="26" t="s">
        <v>1637</v>
      </c>
      <c r="I76" s="161">
        <v>44614</v>
      </c>
      <c r="J76" s="35">
        <v>53415</v>
      </c>
      <c r="K76" s="21">
        <v>0</v>
      </c>
      <c r="L76" s="21"/>
      <c r="M76" s="22">
        <f>(PROVEEDORES[[#This Row],[SUBTOTAL]]-PROVEEDORES[[#This Row],[descuento sobre subtotal]])*VLOOKUP(PROVEEDORES[[#This Row],[PROVEEDOR]],TERCEROS_INFO[#All],3,FALSE)</f>
        <v>0</v>
      </c>
      <c r="N76" s="23"/>
      <c r="O76" s="22">
        <f>+PROVEEDORES[[#This Row],[Descuento sobre subtotal %]]*(PROVEEDORES[[#This Row],[SUBTOTAL]]-PROVEEDORES[[#This Row],[descuento sobre subtotal]])</f>
        <v>0</v>
      </c>
      <c r="P76" s="83">
        <f>+IF(PROVEEDORES[[#This Row],[SUBTOTAL]]&lt;PROVEEDORES[[#This Row],[base retencion]],0,PROVEEDORES[[#This Row],[retención aplicada]])</f>
        <v>0</v>
      </c>
      <c r="Q76" s="22">
        <f>+PROVEEDORES[[#This Row],[Rete Fuente %]]*(PROVEEDORES[[#This Row],[SUBTOTAL]]-PROVEEDORES[[#This Row],[descuento sobre subtotal]])</f>
        <v>0</v>
      </c>
      <c r="R76" s="21">
        <v>-66594</v>
      </c>
      <c r="S7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68">
        <f ca="1">IF(PROVEEDORES[[#This Row],[FECHA DE PAGO]]=0,TODAY()-PROVEEDORES[[#This Row],[FECHA DE FACTURACIÓN]]-PROVEEDORES[[#This Row],[PLAZO Días]],0)</f>
        <v>0</v>
      </c>
      <c r="U76" s="113" t="str">
        <f>+VLOOKUP(PROVEEDORES[[#This Row],[PROVEEDOR]],Terceros!$A:$D,4,FALSE)</f>
        <v>2,5% con base</v>
      </c>
      <c r="V76" s="114">
        <f>+YEAR(PROVEEDORES[[#This Row],[FECHA DE FACTURACIÓN]])</f>
        <v>2022</v>
      </c>
      <c r="W76" s="114">
        <f>+MATCH(PROVEEDORES[[#This Row],[año facturado]],Retenciones!$1:$1,0)</f>
        <v>5</v>
      </c>
      <c r="X76" s="115">
        <f>+VLOOKUP(PROVEEDORES[[#This Row],[ID RETENCION]],Retenciones!$A$1:$O$25,PROVEEDORES[[#This Row],[indicador de columna]],FALSE)</f>
        <v>1026000</v>
      </c>
      <c r="Y76" s="116">
        <f>+VLOOKUP(PROVEEDORES[[#This Row],[ID RETENCION]],Retenciones!$A$1:$O$25,2,FALSE)</f>
        <v>2.5000000000000001E-2</v>
      </c>
      <c r="Z76" s="125" t="b">
        <f>OR(COUNTIF(PROVEEDORES[[#This Row],[PROVEEDOR]],"*"&amp;'Palabra no opera'!$A$2&amp;"*"))</f>
        <v>0</v>
      </c>
      <c r="AA76" s="24"/>
      <c r="AB76" s="24"/>
      <c r="AC76" s="24"/>
      <c r="AD76" s="24"/>
      <c r="AE76" s="24"/>
    </row>
    <row r="77" spans="1:31" ht="22.2" customHeight="1" x14ac:dyDescent="0.3">
      <c r="A77" s="66" t="str">
        <f>+IF(PROVEEDORES[[#This Row],[FECHA DE PAGO]]=PROVEEDORES[[#This Row],[FECHA DE FACTURACIÓN]],"DE CONTADO","CRÉDITO")</f>
        <v>CRÉDITO</v>
      </c>
      <c r="B77" s="38" t="b">
        <f>+IF((PROVEEDORES[[#This Row],[FECHA DE PAGO]]-PROVEEDORES[[#This Row],[FECHA DE FACTURACIÓN]])&gt;PROVEEDORES[[#This Row],[PLAZO Días]],"PAGO VENCIDO")</f>
        <v>0</v>
      </c>
      <c r="C77" s="20">
        <f>+VLOOKUP(PROVEEDORES[[#This Row],[PROVEEDOR]],TERCEROS_INFO[#All],2,FALSE)</f>
        <v>90</v>
      </c>
      <c r="D77" s="25">
        <f>+SUMIFS(PROVEEDORES[Total],PROVEEDORES[PROVEEDOR],PROVEEDORES[[#This Row],[PROVEEDOR]],PROVEEDORES[FECHA DE PAGO],"")</f>
        <v>26350422.770000003</v>
      </c>
      <c r="E77" s="25"/>
      <c r="F7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7" s="161">
        <v>44250</v>
      </c>
      <c r="H77" s="26" t="s">
        <v>12</v>
      </c>
      <c r="I77" s="161">
        <v>44195</v>
      </c>
      <c r="J77" s="35" t="s">
        <v>221</v>
      </c>
      <c r="K77" s="21">
        <v>-54622</v>
      </c>
      <c r="L77" s="21"/>
      <c r="M77" s="22">
        <f>(PROVEEDORES[[#This Row],[SUBTOTAL]]-PROVEEDORES[[#This Row],[descuento sobre subtotal]])*VLOOKUP(PROVEEDORES[[#This Row],[PROVEEDOR]],TERCEROS_INFO[#All],3,FALSE)</f>
        <v>-10378.18</v>
      </c>
      <c r="N77" s="23"/>
      <c r="O77" s="22">
        <f>+PROVEEDORES[[#This Row],[Descuento sobre subtotal %]]*(PROVEEDORES[[#This Row],[SUBTOTAL]]-PROVEEDORES[[#This Row],[descuento sobre subtotal]])</f>
        <v>0</v>
      </c>
      <c r="P77" s="83">
        <f>+IF(PROVEEDORES[[#This Row],[SUBTOTAL]]&lt;PROVEEDORES[[#This Row],[base retencion]],0,PROVEEDORES[[#This Row],[retención aplicada]])</f>
        <v>0</v>
      </c>
      <c r="Q77" s="22">
        <f>+PROVEEDORES[[#This Row],[Rete Fuente %]]*(PROVEEDORES[[#This Row],[SUBTOTAL]]-PROVEEDORES[[#This Row],[descuento sobre subtotal]])</f>
        <v>0</v>
      </c>
      <c r="R77" s="21">
        <f>+PROVEEDORES[[#This Row],[SUBTOTAL]]+PROVEEDORES[[#This Row],[IVA 19%]]-PROVEEDORES[[#This Row],[descuento sobre subtotal]]-PROVEEDORES[[#This Row],[Descuento sobre subtotal $2]]-PROVEEDORES[[#This Row],[Rete Fuente $]]</f>
        <v>-65000.18</v>
      </c>
      <c r="S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68">
        <f ca="1">IF(PROVEEDORES[[#This Row],[FECHA DE PAGO]]=0,TODAY()-PROVEEDORES[[#This Row],[FECHA DE FACTURACIÓN]]-PROVEEDORES[[#This Row],[PLAZO Días]],0)</f>
        <v>0</v>
      </c>
      <c r="U77" s="96" t="str">
        <f>+VLOOKUP(PROVEEDORES[[#This Row],[PROVEEDOR]],Terceros!$A:$D,4,FALSE)</f>
        <v>2,5% con base</v>
      </c>
      <c r="V77" s="97">
        <f>+YEAR(PROVEEDORES[[#This Row],[FECHA DE FACTURACIÓN]])</f>
        <v>2020</v>
      </c>
      <c r="W77" s="97">
        <f>+MATCH(PROVEEDORES[[#This Row],[año facturado]],Retenciones!$1:$1,0)</f>
        <v>3</v>
      </c>
      <c r="X77" s="98">
        <f>+VLOOKUP(PROVEEDORES[[#This Row],[ID RETENCION]],Retenciones!$A$1:$O$25,PROVEEDORES[[#This Row],[indicador de columna]],FALSE)</f>
        <v>961000</v>
      </c>
      <c r="Y77" s="99">
        <f>+VLOOKUP(PROVEEDORES[[#This Row],[ID RETENCION]],Retenciones!$A$1:$O$25,2,FALSE)</f>
        <v>2.5000000000000001E-2</v>
      </c>
      <c r="Z77" s="125" t="b">
        <f>OR(COUNTIF(PROVEEDORES[[#This Row],[PROVEEDOR]],"*"&amp;'Palabra no opera'!$A$2&amp;"*"))</f>
        <v>0</v>
      </c>
      <c r="AA77" s="24"/>
      <c r="AB77" s="24"/>
      <c r="AC77" s="24"/>
      <c r="AD77" s="24"/>
      <c r="AE77" s="24"/>
    </row>
    <row r="78" spans="1:31" ht="22.2" customHeight="1" x14ac:dyDescent="0.3">
      <c r="A78" s="66" t="str">
        <f>+IF(PROVEEDORES[[#This Row],[FECHA DE PAGO]]=PROVEEDORES[[#This Row],[FECHA DE FACTURACIÓN]],"DE CONTADO","CRÉDITO")</f>
        <v>CRÉDITO</v>
      </c>
      <c r="B78" s="38" t="str">
        <f>+IF((PROVEEDORES[[#This Row],[FECHA DE PAGO]]-PROVEEDORES[[#This Row],[FECHA DE FACTURACIÓN]])&gt;PROVEEDORES[[#This Row],[PLAZO Días]],"PAGO VENCIDO")</f>
        <v>PAGO VENCIDO</v>
      </c>
      <c r="C78" s="20">
        <f>+VLOOKUP(PROVEEDORES[[#This Row],[PROVEEDOR]],TERCEROS_INFO[#All],2,FALSE)</f>
        <v>30</v>
      </c>
      <c r="D78" s="25">
        <f>+SUMIFS(PROVEEDORES[Total],PROVEEDORES[PROVEEDOR],PROVEEDORES[[#This Row],[PROVEEDOR]],PROVEEDORES[FECHA DE PAGO],"")</f>
        <v>0</v>
      </c>
      <c r="E78" s="25"/>
      <c r="F78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78" s="161">
        <v>44321</v>
      </c>
      <c r="H78" s="26" t="s">
        <v>46</v>
      </c>
      <c r="I78" s="161">
        <v>44243</v>
      </c>
      <c r="J78" s="35" t="s">
        <v>212</v>
      </c>
      <c r="K78" s="21">
        <v>-54316</v>
      </c>
      <c r="L78" s="21"/>
      <c r="M78" s="22">
        <f>(PROVEEDORES[[#This Row],[SUBTOTAL]]-PROVEEDORES[[#This Row],[descuento sobre subtotal]])*VLOOKUP(PROVEEDORES[[#This Row],[PROVEEDOR]],TERCEROS_INFO[#All],3,FALSE)</f>
        <v>-10320.040000000001</v>
      </c>
      <c r="N78" s="23"/>
      <c r="O78" s="22">
        <f>+PROVEEDORES[[#This Row],[Descuento sobre subtotal %]]*(PROVEEDORES[[#This Row],[SUBTOTAL]]-PROVEEDORES[[#This Row],[descuento sobre subtotal]])</f>
        <v>0</v>
      </c>
      <c r="P78" s="83">
        <f>+IF(PROVEEDORES[[#This Row],[SUBTOTAL]]&lt;PROVEEDORES[[#This Row],[base retencion]],0,PROVEEDORES[[#This Row],[retención aplicada]])</f>
        <v>0</v>
      </c>
      <c r="Q78" s="22">
        <f>+PROVEEDORES[[#This Row],[Rete Fuente %]]*(PROVEEDORES[[#This Row],[SUBTOTAL]]-PROVEEDORES[[#This Row],[descuento sobre subtotal]])</f>
        <v>0</v>
      </c>
      <c r="R78" s="21">
        <f>+PROVEEDORES[[#This Row],[SUBTOTAL]]+PROVEEDORES[[#This Row],[IVA 19%]]-PROVEEDORES[[#This Row],[descuento sobre subtotal]]-PROVEEDORES[[#This Row],[Descuento sobre subtotal $2]]-PROVEEDORES[[#This Row],[Rete Fuente $]]</f>
        <v>-64636.04</v>
      </c>
      <c r="S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68">
        <f ca="1">IF(PROVEEDORES[[#This Row],[FECHA DE PAGO]]=0,TODAY()-PROVEEDORES[[#This Row],[FECHA DE FACTURACIÓN]]-PROVEEDORES[[#This Row],[PLAZO Días]],0)</f>
        <v>0</v>
      </c>
      <c r="U78" s="96">
        <f>+VLOOKUP(PROVEEDORES[[#This Row],[PROVEEDOR]],Terceros!$A:$D,4,FALSE)</f>
        <v>0</v>
      </c>
      <c r="V78" s="97">
        <f>+YEAR(PROVEEDORES[[#This Row],[FECHA DE FACTURACIÓN]])</f>
        <v>2021</v>
      </c>
      <c r="W78" s="97">
        <f>+MATCH(PROVEEDORES[[#This Row],[año facturado]],Retenciones!$1:$1,0)</f>
        <v>4</v>
      </c>
      <c r="X78" s="98">
        <f>+VLOOKUP(PROVEEDORES[[#This Row],[ID RETENCION]],Retenciones!$A$1:$O$25,PROVEEDORES[[#This Row],[indicador de columna]],FALSE)</f>
        <v>0</v>
      </c>
      <c r="Y78" s="99">
        <f>+VLOOKUP(PROVEEDORES[[#This Row],[ID RETENCION]],Retenciones!$A$1:$O$25,2,FALSE)</f>
        <v>0</v>
      </c>
      <c r="Z78" s="125" t="b">
        <f>OR(COUNTIF(PROVEEDORES[[#This Row],[PROVEEDOR]],"*"&amp;'Palabra no opera'!$A$2&amp;"*"))</f>
        <v>0</v>
      </c>
      <c r="AA78" s="24"/>
      <c r="AB78" s="24"/>
      <c r="AC78" s="24"/>
      <c r="AD78" s="24"/>
      <c r="AE78" s="24"/>
    </row>
    <row r="79" spans="1:31" ht="22.2" customHeight="1" x14ac:dyDescent="0.3">
      <c r="A79" s="66" t="str">
        <f>+IF(PROVEEDORES[[#This Row],[FECHA DE PAGO]]=PROVEEDORES[[#This Row],[FECHA DE FACTURACIÓN]],"DE CONTADO","CRÉDITO")</f>
        <v>CRÉDITO</v>
      </c>
      <c r="B79" s="38" t="str">
        <f>+IF((PROVEEDORES[[#This Row],[FECHA DE PAGO]]-PROVEEDORES[[#This Row],[FECHA DE FACTURACIÓN]])&gt;PROVEEDORES[[#This Row],[PLAZO Días]],"PAGO VENCIDO")</f>
        <v>PAGO VENCIDO</v>
      </c>
      <c r="C79" s="20">
        <f>+VLOOKUP(PROVEEDORES[[#This Row],[PROVEEDOR]],TERCEROS_INFO[#All],2,FALSE)</f>
        <v>30</v>
      </c>
      <c r="D79" s="25">
        <f>+SUMIFS(PROVEEDORES[Total],PROVEEDORES[PROVEEDOR],PROVEEDORES[[#This Row],[PROVEEDOR]],PROVEEDORES[FECHA DE PAGO],"")</f>
        <v>0</v>
      </c>
      <c r="E79" s="25"/>
      <c r="F79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79" s="161">
        <v>44250</v>
      </c>
      <c r="H79" s="26" t="s">
        <v>130</v>
      </c>
      <c r="I79" s="161">
        <v>44216</v>
      </c>
      <c r="J79" s="35" t="s">
        <v>1185</v>
      </c>
      <c r="K79" s="21">
        <v>-62000</v>
      </c>
      <c r="L79" s="21"/>
      <c r="M79" s="22">
        <f>(PROVEEDORES[[#This Row],[SUBTOTAL]]-PROVEEDORES[[#This Row],[descuento sobre subtotal]])*VLOOKUP(PROVEEDORES[[#This Row],[PROVEEDOR]],TERCEROS_INFO[#All],3,FALSE)</f>
        <v>0</v>
      </c>
      <c r="N79" s="23"/>
      <c r="O79" s="22">
        <f>+PROVEEDORES[[#This Row],[Descuento sobre subtotal %]]*(PROVEEDORES[[#This Row],[SUBTOTAL]]-PROVEEDORES[[#This Row],[descuento sobre subtotal]])</f>
        <v>0</v>
      </c>
      <c r="P79" s="83">
        <f>+IF(PROVEEDORES[[#This Row],[SUBTOTAL]]&lt;PROVEEDORES[[#This Row],[base retencion]],0,PROVEEDORES[[#This Row],[retención aplicada]])</f>
        <v>0</v>
      </c>
      <c r="Q79" s="22">
        <f>+PROVEEDORES[[#This Row],[Rete Fuente %]]*(PROVEEDORES[[#This Row],[SUBTOTAL]]-PROVEEDORES[[#This Row],[descuento sobre subtotal]])</f>
        <v>0</v>
      </c>
      <c r="R79" s="21">
        <f>+PROVEEDORES[[#This Row],[SUBTOTAL]]+PROVEEDORES[[#This Row],[IVA 19%]]-PROVEEDORES[[#This Row],[descuento sobre subtotal]]-PROVEEDORES[[#This Row],[Descuento sobre subtotal $2]]-PROVEEDORES[[#This Row],[Rete Fuente $]]</f>
        <v>-62000</v>
      </c>
      <c r="S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68">
        <f ca="1">IF(PROVEEDORES[[#This Row],[FECHA DE PAGO]]=0,TODAY()-PROVEEDORES[[#This Row],[FECHA DE FACTURACIÓN]]-PROVEEDORES[[#This Row],[PLAZO Días]],0)</f>
        <v>0</v>
      </c>
      <c r="U79" s="96">
        <f>+VLOOKUP(PROVEEDORES[[#This Row],[PROVEEDOR]],Terceros!$A:$D,4,FALSE)</f>
        <v>0</v>
      </c>
      <c r="V79" s="97">
        <f>+YEAR(PROVEEDORES[[#This Row],[FECHA DE FACTURACIÓN]])</f>
        <v>2021</v>
      </c>
      <c r="W79" s="97">
        <f>+MATCH(PROVEEDORES[[#This Row],[año facturado]],Retenciones!$1:$1,0)</f>
        <v>4</v>
      </c>
      <c r="X79" s="98">
        <f>+VLOOKUP(PROVEEDORES[[#This Row],[ID RETENCION]],Retenciones!$A$1:$O$25,PROVEEDORES[[#This Row],[indicador de columna]],FALSE)</f>
        <v>0</v>
      </c>
      <c r="Y79" s="99">
        <f>+VLOOKUP(PROVEEDORES[[#This Row],[ID RETENCION]],Retenciones!$A$1:$O$25,2,FALSE)</f>
        <v>0</v>
      </c>
      <c r="Z79" s="125" t="b">
        <f>OR(COUNTIF(PROVEEDORES[[#This Row],[PROVEEDOR]],"*"&amp;'Palabra no opera'!$A$2&amp;"*"))</f>
        <v>0</v>
      </c>
      <c r="AA79" s="24"/>
      <c r="AB79" s="24"/>
      <c r="AC79" s="24"/>
      <c r="AD79" s="24"/>
      <c r="AE79" s="24"/>
    </row>
    <row r="80" spans="1:31" ht="22.2" customHeight="1" x14ac:dyDescent="0.3">
      <c r="A80" s="66" t="str">
        <f>+IF(PROVEEDORES[[#This Row],[FECHA DE PAGO]]=PROVEEDORES[[#This Row],[FECHA DE FACTURACIÓN]],"DE CONTADO","CRÉDITO")</f>
        <v>CRÉDITO</v>
      </c>
      <c r="B80" s="38" t="str">
        <f>+IF((PROVEEDORES[[#This Row],[FECHA DE PAGO]]-PROVEEDORES[[#This Row],[FECHA DE FACTURACIÓN]])&gt;PROVEEDORES[[#This Row],[PLAZO Días]],"PAGO VENCIDO")</f>
        <v>PAGO VENCIDO</v>
      </c>
      <c r="C80" s="20">
        <f>+VLOOKUP(PROVEEDORES[[#This Row],[PROVEEDOR]],TERCEROS_INFO[#All],2,FALSE)</f>
        <v>30</v>
      </c>
      <c r="D80" s="25">
        <f>+SUMIFS(PROVEEDORES[Total],PROVEEDORES[PROVEEDOR],PROVEEDORES[[#This Row],[PROVEEDOR]],PROVEEDORES[FECHA DE PAGO],"")</f>
        <v>0</v>
      </c>
      <c r="E80" s="25"/>
      <c r="F80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80" s="161">
        <v>44298</v>
      </c>
      <c r="H80" s="26" t="s">
        <v>34</v>
      </c>
      <c r="I80" s="161">
        <v>44226</v>
      </c>
      <c r="J80" s="35" t="s">
        <v>279</v>
      </c>
      <c r="K80" s="21">
        <v>-52017</v>
      </c>
      <c r="L80" s="21"/>
      <c r="M80" s="22">
        <f>(PROVEEDORES[[#This Row],[SUBTOTAL]]-PROVEEDORES[[#This Row],[descuento sobre subtotal]])*VLOOKUP(PROVEEDORES[[#This Row],[PROVEEDOR]],TERCEROS_INFO[#All],3,FALSE)</f>
        <v>-9883.23</v>
      </c>
      <c r="N80" s="23"/>
      <c r="O80" s="22">
        <f>+PROVEEDORES[[#This Row],[Descuento sobre subtotal %]]*(PROVEEDORES[[#This Row],[SUBTOTAL]]-PROVEEDORES[[#This Row],[descuento sobre subtotal]])</f>
        <v>0</v>
      </c>
      <c r="P80" s="83">
        <f>+IF(PROVEEDORES[[#This Row],[SUBTOTAL]]&lt;PROVEEDORES[[#This Row],[base retencion]],0,PROVEEDORES[[#This Row],[retención aplicada]])</f>
        <v>0</v>
      </c>
      <c r="Q80" s="22">
        <f>+PROVEEDORES[[#This Row],[Rete Fuente %]]*(PROVEEDORES[[#This Row],[SUBTOTAL]]-PROVEEDORES[[#This Row],[descuento sobre subtotal]])</f>
        <v>0</v>
      </c>
      <c r="R80" s="21">
        <f>+PROVEEDORES[[#This Row],[SUBTOTAL]]+PROVEEDORES[[#This Row],[IVA 19%]]-PROVEEDORES[[#This Row],[descuento sobre subtotal]]-PROVEEDORES[[#This Row],[Descuento sobre subtotal $2]]-PROVEEDORES[[#This Row],[Rete Fuente $]]</f>
        <v>-61900.229999999996</v>
      </c>
      <c r="S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68">
        <f ca="1">IF(PROVEEDORES[[#This Row],[FECHA DE PAGO]]=0,TODAY()-PROVEEDORES[[#This Row],[FECHA DE FACTURACIÓN]]-PROVEEDORES[[#This Row],[PLAZO Días]],0)</f>
        <v>0</v>
      </c>
      <c r="U80" s="96" t="str">
        <f>+VLOOKUP(PROVEEDORES[[#This Row],[PROVEEDOR]],Terceros!$A:$D,4,FALSE)</f>
        <v>2,5% con base</v>
      </c>
      <c r="V80" s="97">
        <f>+YEAR(PROVEEDORES[[#This Row],[FECHA DE FACTURACIÓN]])</f>
        <v>2021</v>
      </c>
      <c r="W80" s="97">
        <f>+MATCH(PROVEEDORES[[#This Row],[año facturado]],Retenciones!$1:$1,0)</f>
        <v>4</v>
      </c>
      <c r="X80" s="98">
        <f>+VLOOKUP(PROVEEDORES[[#This Row],[ID RETENCION]],Retenciones!$A$1:$O$25,PROVEEDORES[[#This Row],[indicador de columna]],FALSE)</f>
        <v>980000</v>
      </c>
      <c r="Y80" s="99">
        <f>+VLOOKUP(PROVEEDORES[[#This Row],[ID RETENCION]],Retenciones!$A$1:$O$25,2,FALSE)</f>
        <v>2.5000000000000001E-2</v>
      </c>
      <c r="Z80" s="125" t="b">
        <f>OR(COUNTIF(PROVEEDORES[[#This Row],[PROVEEDOR]],"*"&amp;'Palabra no opera'!$A$2&amp;"*"))</f>
        <v>0</v>
      </c>
      <c r="AA80" s="24"/>
      <c r="AB80" s="24"/>
      <c r="AC80" s="24"/>
      <c r="AD80" s="24"/>
      <c r="AE80" s="24"/>
    </row>
    <row r="81" spans="1:31" ht="22.2" customHeight="1" x14ac:dyDescent="0.3">
      <c r="A81" s="66" t="str">
        <f>+IF(PROVEEDORES[[#This Row],[FECHA DE PAGO]]=PROVEEDORES[[#This Row],[FECHA DE FACTURACIÓN]],"DE CONTADO","CRÉDITO")</f>
        <v>CRÉDITO</v>
      </c>
      <c r="B81" s="38" t="str">
        <f>+IF((PROVEEDORES[[#This Row],[FECHA DE PAGO]]-PROVEEDORES[[#This Row],[FECHA DE FACTURACIÓN]])&gt;PROVEEDORES[[#This Row],[PLAZO Días]],"PAGO VENCIDO")</f>
        <v>PAGO VENCIDO</v>
      </c>
      <c r="C81" s="20">
        <f>+VLOOKUP(PROVEEDORES[[#This Row],[PROVEEDOR]],TERCEROS_INFO[#All],2,FALSE)</f>
        <v>30</v>
      </c>
      <c r="D81" s="25">
        <f>+SUMIFS(PROVEEDORES[Total],PROVEEDORES[PROVEEDOR],PROVEEDORES[[#This Row],[PROVEEDOR]],PROVEEDORES[FECHA DE PAGO],"")</f>
        <v>1127400.05</v>
      </c>
      <c r="E81" s="25"/>
      <c r="F8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81" s="161">
        <v>44403</v>
      </c>
      <c r="H81" s="26" t="s">
        <v>47</v>
      </c>
      <c r="I81" s="161">
        <v>44352</v>
      </c>
      <c r="J81" s="35" t="s">
        <v>363</v>
      </c>
      <c r="K81" s="21">
        <v>-42300</v>
      </c>
      <c r="L81" s="21"/>
      <c r="M81" s="22">
        <f>(PROVEEDORES[[#This Row],[SUBTOTAL]]-PROVEEDORES[[#This Row],[descuento sobre subtotal]])*VLOOKUP(PROVEEDORES[[#This Row],[PROVEEDOR]],TERCEROS_INFO[#All],3,FALSE)</f>
        <v>-8037</v>
      </c>
      <c r="N81" s="23"/>
      <c r="O81" s="22">
        <f>+PROVEEDORES[[#This Row],[Descuento sobre subtotal %]]*(PROVEEDORES[[#This Row],[SUBTOTAL]]-PROVEEDORES[[#This Row],[descuento sobre subtotal]])</f>
        <v>0</v>
      </c>
      <c r="P81" s="83">
        <f>+IF(PROVEEDORES[[#This Row],[SUBTOTAL]]&lt;PROVEEDORES[[#This Row],[base retencion]],0,PROVEEDORES[[#This Row],[retención aplicada]])</f>
        <v>0</v>
      </c>
      <c r="Q81" s="22">
        <f>+PROVEEDORES[[#This Row],[Rete Fuente %]]*(PROVEEDORES[[#This Row],[SUBTOTAL]]-PROVEEDORES[[#This Row],[descuento sobre subtotal]])</f>
        <v>0</v>
      </c>
      <c r="R81" s="21">
        <f>+PROVEEDORES[[#This Row],[SUBTOTAL]]+PROVEEDORES[[#This Row],[IVA 19%]]-PROVEEDORES[[#This Row],[descuento sobre subtotal]]-PROVEEDORES[[#This Row],[Descuento sobre subtotal $2]]-PROVEEDORES[[#This Row],[Rete Fuente $]]</f>
        <v>-50337</v>
      </c>
      <c r="S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68">
        <f ca="1">IF(PROVEEDORES[[#This Row],[FECHA DE PAGO]]=0,TODAY()-PROVEEDORES[[#This Row],[FECHA DE FACTURACIÓN]]-PROVEEDORES[[#This Row],[PLAZO Días]],0)</f>
        <v>0</v>
      </c>
      <c r="U81" s="96" t="str">
        <f>+VLOOKUP(PROVEEDORES[[#This Row],[PROVEEDOR]],Terceros!$A:$D,4,FALSE)</f>
        <v>2,5% con base</v>
      </c>
      <c r="V81" s="97">
        <f>+YEAR(PROVEEDORES[[#This Row],[FECHA DE FACTURACIÓN]])</f>
        <v>2021</v>
      </c>
      <c r="W81" s="97">
        <f>+MATCH(PROVEEDORES[[#This Row],[año facturado]],Retenciones!$1:$1,0)</f>
        <v>4</v>
      </c>
      <c r="X81" s="98">
        <f>+VLOOKUP(PROVEEDORES[[#This Row],[ID RETENCION]],Retenciones!$A$1:$O$25,PROVEEDORES[[#This Row],[indicador de columna]],FALSE)</f>
        <v>980000</v>
      </c>
      <c r="Y81" s="99">
        <f>+VLOOKUP(PROVEEDORES[[#This Row],[ID RETENCION]],Retenciones!$A$1:$O$25,2,FALSE)</f>
        <v>2.5000000000000001E-2</v>
      </c>
      <c r="Z81" s="125" t="b">
        <f>OR(COUNTIF(PROVEEDORES[[#This Row],[PROVEEDOR]],"*"&amp;'Palabra no opera'!$A$2&amp;"*"))</f>
        <v>0</v>
      </c>
      <c r="AA81" s="24"/>
      <c r="AB81" s="24"/>
      <c r="AC81" s="24"/>
      <c r="AD81" s="24"/>
      <c r="AE81" s="24"/>
    </row>
    <row r="82" spans="1:31" ht="22.2" customHeight="1" x14ac:dyDescent="0.3">
      <c r="A82" s="66" t="str">
        <f>+IF(PROVEEDORES[[#This Row],[FECHA DE PAGO]]=PROVEEDORES[[#This Row],[FECHA DE FACTURACIÓN]],"DE CONTADO","CRÉDITO")</f>
        <v>CRÉDITO</v>
      </c>
      <c r="B82" s="38" t="str">
        <f>+IF((PROVEEDORES[[#This Row],[FECHA DE PAGO]]-PROVEEDORES[[#This Row],[FECHA DE FACTURACIÓN]])&gt;PROVEEDORES[[#This Row],[PLAZO Días]],"PAGO VENCIDO")</f>
        <v>PAGO VENCIDO</v>
      </c>
      <c r="C82" s="20">
        <f>+VLOOKUP(PROVEEDORES[[#This Row],[PROVEEDOR]],TERCEROS_INFO[#All],2,FALSE)</f>
        <v>30</v>
      </c>
      <c r="D82" s="25">
        <f>+SUMIFS(PROVEEDORES[Total],PROVEEDORES[PROVEEDOR],PROVEEDORES[[#This Row],[PROVEEDOR]],PROVEEDORES[FECHA DE PAGO],"")</f>
        <v>0</v>
      </c>
      <c r="E82" s="25"/>
      <c r="F8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82" s="161">
        <v>44326</v>
      </c>
      <c r="H82" s="26" t="s">
        <v>39</v>
      </c>
      <c r="I82" s="161">
        <v>44257</v>
      </c>
      <c r="J82" s="35" t="s">
        <v>144</v>
      </c>
      <c r="K82" s="21">
        <v>-42016.806722689078</v>
      </c>
      <c r="L82" s="21"/>
      <c r="M82" s="22">
        <f>(PROVEEDORES[[#This Row],[SUBTOTAL]]-PROVEEDORES[[#This Row],[descuento sobre subtotal]])*VLOOKUP(PROVEEDORES[[#This Row],[PROVEEDOR]],TERCEROS_INFO[#All],3,FALSE)</f>
        <v>-7983.1932773109247</v>
      </c>
      <c r="N82" s="23"/>
      <c r="O82" s="22">
        <f>+PROVEEDORES[[#This Row],[Descuento sobre subtotal %]]*(PROVEEDORES[[#This Row],[SUBTOTAL]]-PROVEEDORES[[#This Row],[descuento sobre subtotal]])</f>
        <v>0</v>
      </c>
      <c r="P82" s="83">
        <f>+IF(PROVEEDORES[[#This Row],[SUBTOTAL]]&lt;PROVEEDORES[[#This Row],[base retencion]],0,PROVEEDORES[[#This Row],[retención aplicada]])</f>
        <v>0</v>
      </c>
      <c r="Q82" s="22">
        <f>+PROVEEDORES[[#This Row],[Rete Fuente %]]*(PROVEEDORES[[#This Row],[SUBTOTAL]]-PROVEEDORES[[#This Row],[descuento sobre subtotal]])</f>
        <v>0</v>
      </c>
      <c r="R82" s="21">
        <f>+PROVEEDORES[[#This Row],[SUBTOTAL]]+PROVEEDORES[[#This Row],[IVA 19%]]-PROVEEDORES[[#This Row],[descuento sobre subtotal]]-PROVEEDORES[[#This Row],[Descuento sobre subtotal $2]]-PROVEEDORES[[#This Row],[Rete Fuente $]]</f>
        <v>-50000</v>
      </c>
      <c r="S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68">
        <f ca="1">IF(PROVEEDORES[[#This Row],[FECHA DE PAGO]]=0,TODAY()-PROVEEDORES[[#This Row],[FECHA DE FACTURACIÓN]]-PROVEEDORES[[#This Row],[PLAZO Días]],0)</f>
        <v>0</v>
      </c>
      <c r="U82" s="96" t="str">
        <f>+VLOOKUP(PROVEEDORES[[#This Row],[PROVEEDOR]],Terceros!$A:$D,4,FALSE)</f>
        <v>2,5% con base</v>
      </c>
      <c r="V82" s="97">
        <f>+YEAR(PROVEEDORES[[#This Row],[FECHA DE FACTURACIÓN]])</f>
        <v>2021</v>
      </c>
      <c r="W82" s="97">
        <f>+MATCH(PROVEEDORES[[#This Row],[año facturado]],Retenciones!$1:$1,0)</f>
        <v>4</v>
      </c>
      <c r="X82" s="98">
        <f>+VLOOKUP(PROVEEDORES[[#This Row],[ID RETENCION]],Retenciones!$A$1:$O$25,PROVEEDORES[[#This Row],[indicador de columna]],FALSE)</f>
        <v>980000</v>
      </c>
      <c r="Y82" s="99">
        <f>+VLOOKUP(PROVEEDORES[[#This Row],[ID RETENCION]],Retenciones!$A$1:$O$25,2,FALSE)</f>
        <v>2.5000000000000001E-2</v>
      </c>
      <c r="Z82" s="125" t="b">
        <f>OR(COUNTIF(PROVEEDORES[[#This Row],[PROVEEDOR]],"*"&amp;'Palabra no opera'!$A$2&amp;"*"))</f>
        <v>0</v>
      </c>
      <c r="AA82" s="24"/>
      <c r="AB82" s="24"/>
      <c r="AC82" s="24"/>
      <c r="AD82" s="24"/>
      <c r="AE82" s="24"/>
    </row>
    <row r="83" spans="1:31" ht="22.2" customHeight="1" x14ac:dyDescent="0.3">
      <c r="A83" s="66" t="str">
        <f>+IF(PROVEEDORES[[#This Row],[FECHA DE PAGO]]=PROVEEDORES[[#This Row],[FECHA DE FACTURACIÓN]],"DE CONTADO","CRÉDITO")</f>
        <v>CRÉDITO</v>
      </c>
      <c r="B83" s="38" t="b">
        <f>+IF((PROVEEDORES[[#This Row],[FECHA DE PAGO]]-PROVEEDORES[[#This Row],[FECHA DE FACTURACIÓN]])&gt;PROVEEDORES[[#This Row],[PLAZO Días]],"PAGO VENCIDO")</f>
        <v>0</v>
      </c>
      <c r="C83" s="20">
        <f>+VLOOKUP(PROVEEDORES[[#This Row],[PROVEEDOR]],TERCEROS_INFO[#All],2,FALSE)</f>
        <v>30</v>
      </c>
      <c r="D83" s="25">
        <f>+SUMIFS(PROVEEDORES[Total],PROVEEDORES[PROVEEDOR],PROVEEDORES[[#This Row],[PROVEEDOR]],PROVEEDORES[FECHA DE PAGO],"")</f>
        <v>0</v>
      </c>
      <c r="E83" s="25"/>
      <c r="F83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83" s="161">
        <v>44543</v>
      </c>
      <c r="H83" s="26" t="s">
        <v>688</v>
      </c>
      <c r="I83" s="161">
        <v>44517</v>
      </c>
      <c r="J83" s="35" t="s">
        <v>1527</v>
      </c>
      <c r="K83" s="21">
        <v>-49000</v>
      </c>
      <c r="L83" s="21"/>
      <c r="M83" s="22">
        <f>(PROVEEDORES[[#This Row],[SUBTOTAL]]-PROVEEDORES[[#This Row],[descuento sobre subtotal]])*VLOOKUP(PROVEEDORES[[#This Row],[PROVEEDOR]],TERCEROS_INFO[#All],3,FALSE)</f>
        <v>0</v>
      </c>
      <c r="N83" s="23"/>
      <c r="O83" s="22">
        <f>+PROVEEDORES[[#This Row],[Descuento sobre subtotal %]]*(PROVEEDORES[[#This Row],[SUBTOTAL]]-PROVEEDORES[[#This Row],[descuento sobre subtotal]])</f>
        <v>0</v>
      </c>
      <c r="P83" s="83">
        <f>+IF(PROVEEDORES[[#This Row],[SUBTOTAL]]&lt;PROVEEDORES[[#This Row],[base retencion]],0,PROVEEDORES[[#This Row],[retención aplicada]])</f>
        <v>0</v>
      </c>
      <c r="Q83" s="22">
        <f>+PROVEEDORES[[#This Row],[Rete Fuente %]]*(PROVEEDORES[[#This Row],[SUBTOTAL]]-PROVEEDORES[[#This Row],[descuento sobre subtotal]])</f>
        <v>0</v>
      </c>
      <c r="R83" s="21">
        <f>+PROVEEDORES[[#This Row],[SUBTOTAL]]+PROVEEDORES[[#This Row],[IVA 19%]]-PROVEEDORES[[#This Row],[descuento sobre subtotal]]-PROVEEDORES[[#This Row],[Descuento sobre subtotal $2]]-PROVEEDORES[[#This Row],[Rete Fuente $]]</f>
        <v>-49000</v>
      </c>
      <c r="S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68">
        <f ca="1">IF(PROVEEDORES[[#This Row],[FECHA DE PAGO]]=0,TODAY()-PROVEEDORES[[#This Row],[FECHA DE FACTURACIÓN]]-PROVEEDORES[[#This Row],[PLAZO Días]],0)</f>
        <v>0</v>
      </c>
      <c r="U83" s="96">
        <f>+VLOOKUP(PROVEEDORES[[#This Row],[PROVEEDOR]],Terceros!$A:$D,4,FALSE)</f>
        <v>0</v>
      </c>
      <c r="V83" s="97">
        <f>+YEAR(PROVEEDORES[[#This Row],[FECHA DE FACTURACIÓN]])</f>
        <v>2021</v>
      </c>
      <c r="W83" s="97">
        <f>+MATCH(PROVEEDORES[[#This Row],[año facturado]],Retenciones!$1:$1,0)</f>
        <v>4</v>
      </c>
      <c r="X83" s="98">
        <f>+VLOOKUP(PROVEEDORES[[#This Row],[ID RETENCION]],Retenciones!$A$1:$O$25,PROVEEDORES[[#This Row],[indicador de columna]],FALSE)</f>
        <v>0</v>
      </c>
      <c r="Y83" s="99">
        <f>+VLOOKUP(PROVEEDORES[[#This Row],[ID RETENCION]],Retenciones!$A$1:$O$25,2,FALSE)</f>
        <v>0</v>
      </c>
      <c r="Z83" s="125" t="b">
        <f>OR(COUNTIF(PROVEEDORES[[#This Row],[PROVEEDOR]],"*"&amp;'Palabra no opera'!$A$2&amp;"*"))</f>
        <v>0</v>
      </c>
      <c r="AA83" s="24"/>
      <c r="AB83" s="24"/>
      <c r="AC83" s="24"/>
      <c r="AD83" s="24"/>
      <c r="AE83" s="24"/>
    </row>
    <row r="84" spans="1:31" ht="22.2" customHeight="1" x14ac:dyDescent="0.3">
      <c r="A84" s="66" t="str">
        <f>+IF(PROVEEDORES[[#This Row],[FECHA DE PAGO]]=PROVEEDORES[[#This Row],[FECHA DE FACTURACIÓN]],"DE CONTADO","CRÉDITO")</f>
        <v>CRÉDITO</v>
      </c>
      <c r="B84" s="38" t="b">
        <f>+IF((PROVEEDORES[[#This Row],[FECHA DE PAGO]]-PROVEEDORES[[#This Row],[FECHA DE FACTURACIÓN]])&gt;PROVEEDORES[[#This Row],[PLAZO Días]],"PAGO VENCIDO")</f>
        <v>0</v>
      </c>
      <c r="C84" s="20">
        <f>+VLOOKUP(PROVEEDORES[[#This Row],[PROVEEDOR]],TERCEROS_INFO[#All],2,FALSE)</f>
        <v>30</v>
      </c>
      <c r="D84" s="25">
        <f>+SUMIFS(PROVEEDORES[Total],PROVEEDORES[PROVEEDOR],PROVEEDORES[[#This Row],[PROVEEDOR]],PROVEEDORES[FECHA DE PAGO],"")</f>
        <v>1354000</v>
      </c>
      <c r="E84" s="25"/>
      <c r="F8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4" s="161">
        <v>44442</v>
      </c>
      <c r="H84" s="26" t="s">
        <v>699</v>
      </c>
      <c r="I84" s="161">
        <v>44420</v>
      </c>
      <c r="J84" s="35" t="s">
        <v>1483</v>
      </c>
      <c r="K84" s="21">
        <v>-48000</v>
      </c>
      <c r="L84" s="21"/>
      <c r="M84" s="22">
        <f>(PROVEEDORES[[#This Row],[SUBTOTAL]]-PROVEEDORES[[#This Row],[descuento sobre subtotal]])*VLOOKUP(PROVEEDORES[[#This Row],[PROVEEDOR]],TERCEROS_INFO[#All],3,FALSE)</f>
        <v>0</v>
      </c>
      <c r="N84" s="23"/>
      <c r="O84" s="22">
        <f>+PROVEEDORES[[#This Row],[Descuento sobre subtotal %]]*(PROVEEDORES[[#This Row],[SUBTOTAL]]-PROVEEDORES[[#This Row],[descuento sobre subtotal]])</f>
        <v>0</v>
      </c>
      <c r="P84" s="83">
        <f>+IF(PROVEEDORES[[#This Row],[SUBTOTAL]]&lt;PROVEEDORES[[#This Row],[base retencion]],0,PROVEEDORES[[#This Row],[retención aplicada]])</f>
        <v>0</v>
      </c>
      <c r="Q84" s="22">
        <f>+PROVEEDORES[[#This Row],[Rete Fuente %]]*(PROVEEDORES[[#This Row],[SUBTOTAL]]-PROVEEDORES[[#This Row],[descuento sobre subtotal]])</f>
        <v>0</v>
      </c>
      <c r="R84" s="21">
        <f>+PROVEEDORES[[#This Row],[SUBTOTAL]]+PROVEEDORES[[#This Row],[IVA 19%]]-PROVEEDORES[[#This Row],[descuento sobre subtotal]]-PROVEEDORES[[#This Row],[Descuento sobre subtotal $2]]-PROVEEDORES[[#This Row],[Rete Fuente $]]</f>
        <v>-48000</v>
      </c>
      <c r="S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68">
        <f ca="1">IF(PROVEEDORES[[#This Row],[FECHA DE PAGO]]=0,TODAY()-PROVEEDORES[[#This Row],[FECHA DE FACTURACIÓN]]-PROVEEDORES[[#This Row],[PLAZO Días]],0)</f>
        <v>0</v>
      </c>
      <c r="U84" s="96">
        <f>+VLOOKUP(PROVEEDORES[[#This Row],[PROVEEDOR]],Terceros!$A:$D,4,FALSE)</f>
        <v>0</v>
      </c>
      <c r="V84" s="97">
        <f>+YEAR(PROVEEDORES[[#This Row],[FECHA DE FACTURACIÓN]])</f>
        <v>2021</v>
      </c>
      <c r="W84" s="97">
        <f>+MATCH(PROVEEDORES[[#This Row],[año facturado]],Retenciones!$1:$1,0)</f>
        <v>4</v>
      </c>
      <c r="X84" s="98">
        <f>+VLOOKUP(PROVEEDORES[[#This Row],[ID RETENCION]],Retenciones!$A$1:$O$25,PROVEEDORES[[#This Row],[indicador de columna]],FALSE)</f>
        <v>0</v>
      </c>
      <c r="Y84" s="99">
        <f>+VLOOKUP(PROVEEDORES[[#This Row],[ID RETENCION]],Retenciones!$A$1:$O$25,2,FALSE)</f>
        <v>0</v>
      </c>
      <c r="Z84" s="125" t="b">
        <f>OR(COUNTIF(PROVEEDORES[[#This Row],[PROVEEDOR]],"*"&amp;'Palabra no opera'!$A$2&amp;"*"))</f>
        <v>0</v>
      </c>
      <c r="AA84" s="24"/>
      <c r="AB84" s="24"/>
      <c r="AC84" s="24"/>
      <c r="AD84" s="24"/>
      <c r="AE84" s="24"/>
    </row>
    <row r="85" spans="1:31" ht="22.2" customHeight="1" x14ac:dyDescent="0.3">
      <c r="A85" s="66" t="str">
        <f>+IF(PROVEEDORES[[#This Row],[FECHA DE PAGO]]=PROVEEDORES[[#This Row],[FECHA DE FACTURACIÓN]],"DE CONTADO","CRÉDITO")</f>
        <v>CRÉDITO</v>
      </c>
      <c r="B85" s="38" t="b">
        <f>+IF((PROVEEDORES[[#This Row],[FECHA DE PAGO]]-PROVEEDORES[[#This Row],[FECHA DE FACTURACIÓN]])&gt;PROVEEDORES[[#This Row],[PLAZO Días]],"PAGO VENCIDO")</f>
        <v>0</v>
      </c>
      <c r="C85" s="20">
        <f>+VLOOKUP(PROVEEDORES[[#This Row],[PROVEEDOR]],TERCEROS_INFO[#All],2,FALSE)</f>
        <v>30</v>
      </c>
      <c r="D85" s="25">
        <f>+SUMIFS(PROVEEDORES[Total],PROVEEDORES[PROVEEDOR],PROVEEDORES[[#This Row],[PROVEEDOR]],PROVEEDORES[FECHA DE PAGO],"")</f>
        <v>1266521.4319</v>
      </c>
      <c r="E85" s="25"/>
      <c r="F8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85" s="161">
        <v>44648</v>
      </c>
      <c r="H85" s="26" t="s">
        <v>512</v>
      </c>
      <c r="I85" s="161">
        <v>44635</v>
      </c>
      <c r="J85" s="35" t="s">
        <v>710</v>
      </c>
      <c r="K85" s="21">
        <v>-37815.129999999997</v>
      </c>
      <c r="L85" s="21"/>
      <c r="M85" s="22">
        <v>-7184.8746999999994</v>
      </c>
      <c r="N85" s="23"/>
      <c r="O85" s="22">
        <v>0</v>
      </c>
      <c r="P85" s="83">
        <f>+IF(PROVEEDORES[[#This Row],[SUBTOTAL]]&lt;PROVEEDORES[[#This Row],[base retencion]],0,PROVEEDORES[[#This Row],[retención aplicada]])</f>
        <v>0</v>
      </c>
      <c r="Q85" s="22">
        <f>+PROVEEDORES[[#This Row],[Rete Fuente %]]*(PROVEEDORES[[#This Row],[SUBTOTAL]]-PROVEEDORES[[#This Row],[descuento sobre subtotal]])</f>
        <v>0</v>
      </c>
      <c r="R85" s="21">
        <v>-44054.626449999996</v>
      </c>
      <c r="S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68">
        <f ca="1">IF(PROVEEDORES[[#This Row],[FECHA DE PAGO]]=0,TODAY()-PROVEEDORES[[#This Row],[FECHA DE FACTURACIÓN]]-PROVEEDORES[[#This Row],[PLAZO Días]],0)</f>
        <v>0</v>
      </c>
      <c r="U85" s="96" t="str">
        <f>+VLOOKUP(PROVEEDORES[[#This Row],[PROVEEDOR]],Terceros!$A:$D,4,FALSE)</f>
        <v>2,5% con base</v>
      </c>
      <c r="V85" s="97">
        <f>+YEAR(PROVEEDORES[[#This Row],[FECHA DE FACTURACIÓN]])</f>
        <v>2022</v>
      </c>
      <c r="W85" s="97">
        <f>+MATCH(PROVEEDORES[[#This Row],[año facturado]],Retenciones!$1:$1,0)</f>
        <v>5</v>
      </c>
      <c r="X85" s="98">
        <f>+VLOOKUP(PROVEEDORES[[#This Row],[ID RETENCION]],Retenciones!$A$1:$O$25,PROVEEDORES[[#This Row],[indicador de columna]],FALSE)</f>
        <v>1026000</v>
      </c>
      <c r="Y85" s="99">
        <f>+VLOOKUP(PROVEEDORES[[#This Row],[ID RETENCION]],Retenciones!$A$1:$O$25,2,FALSE)</f>
        <v>2.5000000000000001E-2</v>
      </c>
      <c r="Z85" s="125" t="b">
        <f>OR(COUNTIF(PROVEEDORES[[#This Row],[PROVEEDOR]],"*"&amp;'Palabra no opera'!$A$2&amp;"*"))</f>
        <v>0</v>
      </c>
      <c r="AA85" s="24"/>
      <c r="AB85" s="24"/>
      <c r="AC85" s="24"/>
      <c r="AD85" s="24"/>
      <c r="AE85" s="24"/>
    </row>
    <row r="86" spans="1:31" ht="22.2" customHeight="1" x14ac:dyDescent="0.3">
      <c r="A86" s="66" t="str">
        <f>+IF(PROVEEDORES[[#This Row],[FECHA DE PAGO]]=PROVEEDORES[[#This Row],[FECHA DE FACTURACIÓN]],"DE CONTADO","CRÉDITO")</f>
        <v>CRÉDITO</v>
      </c>
      <c r="B86" s="38" t="str">
        <f>+IF((PROVEEDORES[[#This Row],[FECHA DE PAGO]]-PROVEEDORES[[#This Row],[FECHA DE FACTURACIÓN]])&gt;PROVEEDORES[[#This Row],[PLAZO Días]],"PAGO VENCIDO")</f>
        <v>PAGO VENCIDO</v>
      </c>
      <c r="C86" s="20">
        <f>+VLOOKUP(PROVEEDORES[[#This Row],[PROVEEDOR]],TERCEROS_INFO[#All],2,FALSE)</f>
        <v>30</v>
      </c>
      <c r="D86" s="25">
        <f>+SUMIFS(PROVEEDORES[Total],PROVEEDORES[PROVEEDOR],PROVEEDORES[[#This Row],[PROVEEDOR]],PROVEEDORES[FECHA DE PAGO],"")</f>
        <v>0</v>
      </c>
      <c r="E86" s="25"/>
      <c r="F8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86" s="161">
        <v>44608</v>
      </c>
      <c r="H86" s="26" t="s">
        <v>1451</v>
      </c>
      <c r="I86" s="161">
        <v>44567</v>
      </c>
      <c r="J86" s="35" t="s">
        <v>601</v>
      </c>
      <c r="K86" s="21">
        <v>-37730</v>
      </c>
      <c r="L86" s="21"/>
      <c r="M86" s="22">
        <f>(PROVEEDORES[[#This Row],[SUBTOTAL]]-PROVEEDORES[[#This Row],[descuento sobre subtotal]])*VLOOKUP(PROVEEDORES[[#This Row],[PROVEEDOR]],TERCEROS_INFO[#All],3,FALSE)</f>
        <v>0</v>
      </c>
      <c r="N86" s="23"/>
      <c r="O86" s="22">
        <f>+PROVEEDORES[[#This Row],[Descuento sobre subtotal %]]*(PROVEEDORES[[#This Row],[SUBTOTAL]]-PROVEEDORES[[#This Row],[descuento sobre subtotal]])</f>
        <v>0</v>
      </c>
      <c r="P86" s="83">
        <f>+IF(PROVEEDORES[[#This Row],[SUBTOTAL]]&lt;PROVEEDORES[[#This Row],[base retencion]],0,PROVEEDORES[[#This Row],[retención aplicada]])</f>
        <v>0</v>
      </c>
      <c r="Q86" s="22">
        <f>+PROVEEDORES[[#This Row],[Rete Fuente %]]*(PROVEEDORES[[#This Row],[SUBTOTAL]]-PROVEEDORES[[#This Row],[descuento sobre subtotal]])</f>
        <v>0</v>
      </c>
      <c r="R86" s="21">
        <v>-37730</v>
      </c>
      <c r="S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68">
        <f ca="1">IF(PROVEEDORES[[#This Row],[FECHA DE PAGO]]=0,TODAY()-PROVEEDORES[[#This Row],[FECHA DE FACTURACIÓN]]-PROVEEDORES[[#This Row],[PLAZO Días]],0)</f>
        <v>0</v>
      </c>
      <c r="U86" s="96" t="str">
        <f>+VLOOKUP(PROVEEDORES[[#This Row],[PROVEEDOR]],Terceros!$A:$D,4,FALSE)</f>
        <v>1% con base</v>
      </c>
      <c r="V86" s="97">
        <f>+YEAR(PROVEEDORES[[#This Row],[FECHA DE FACTURACIÓN]])</f>
        <v>2022</v>
      </c>
      <c r="W86" s="97">
        <f>+MATCH(PROVEEDORES[[#This Row],[año facturado]],Retenciones!$1:$1,0)</f>
        <v>5</v>
      </c>
      <c r="X86" s="98">
        <f>+VLOOKUP(PROVEEDORES[[#This Row],[ID RETENCION]],Retenciones!$A$1:$O$25,PROVEEDORES[[#This Row],[indicador de columna]],FALSE)</f>
        <v>152000</v>
      </c>
      <c r="Y86" s="99">
        <f>+VLOOKUP(PROVEEDORES[[#This Row],[ID RETENCION]],Retenciones!$A$1:$O$25,2,FALSE)</f>
        <v>0.01</v>
      </c>
      <c r="Z86" s="125" t="b">
        <f>OR(COUNTIF(PROVEEDORES[[#This Row],[PROVEEDOR]],"*"&amp;'Palabra no opera'!$A$2&amp;"*"))</f>
        <v>0</v>
      </c>
      <c r="AA86" s="24"/>
      <c r="AB86" s="24"/>
      <c r="AC86" s="24"/>
      <c r="AD86" s="24"/>
      <c r="AE86" s="24"/>
    </row>
    <row r="87" spans="1:31" ht="22.2" customHeight="1" x14ac:dyDescent="0.3">
      <c r="A87" s="66" t="str">
        <f>+IF(PROVEEDORES[[#This Row],[FECHA DE PAGO]]=PROVEEDORES[[#This Row],[FECHA DE FACTURACIÓN]],"DE CONTADO","CRÉDITO")</f>
        <v>CRÉDITO</v>
      </c>
      <c r="B87" s="38" t="b">
        <f>+IF((PROVEEDORES[[#This Row],[FECHA DE PAGO]]-PROVEEDORES[[#This Row],[FECHA DE FACTURACIÓN]])&gt;PROVEEDORES[[#This Row],[PLAZO Días]],"PAGO VENCIDO")</f>
        <v>0</v>
      </c>
      <c r="C87" s="20">
        <f>+VLOOKUP(PROVEEDORES[[#This Row],[PROVEEDOR]],TERCEROS_INFO[#All],2,FALSE)</f>
        <v>30</v>
      </c>
      <c r="D87" s="25">
        <f>+SUMIFS(PROVEEDORES[Total],PROVEEDORES[PROVEEDOR],PROVEEDORES[[#This Row],[PROVEEDOR]],PROVEEDORES[FECHA DE PAGO],"")</f>
        <v>0</v>
      </c>
      <c r="E87" s="25"/>
      <c r="F8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7" s="161">
        <v>44396</v>
      </c>
      <c r="H87" s="26" t="s">
        <v>928</v>
      </c>
      <c r="I87" s="161">
        <v>44372</v>
      </c>
      <c r="J87" s="35" t="s">
        <v>586</v>
      </c>
      <c r="K87" s="21">
        <v>-36766</v>
      </c>
      <c r="L87" s="21"/>
      <c r="M87" s="22">
        <f>(PROVEEDORES[[#This Row],[SUBTOTAL]]-PROVEEDORES[[#This Row],[descuento sobre subtotal]])*VLOOKUP(PROVEEDORES[[#This Row],[PROVEEDOR]],TERCEROS_INFO[#All],3,FALSE)</f>
        <v>0</v>
      </c>
      <c r="N87" s="23"/>
      <c r="O87" s="22">
        <f>+PROVEEDORES[[#This Row],[Descuento sobre subtotal %]]*(PROVEEDORES[[#This Row],[SUBTOTAL]]-PROVEEDORES[[#This Row],[descuento sobre subtotal]])</f>
        <v>0</v>
      </c>
      <c r="P87" s="83">
        <f>+IF(PROVEEDORES[[#This Row],[SUBTOTAL]]&lt;PROVEEDORES[[#This Row],[base retencion]],0,PROVEEDORES[[#This Row],[retención aplicada]])</f>
        <v>0</v>
      </c>
      <c r="Q87" s="22">
        <f>+PROVEEDORES[[#This Row],[Rete Fuente %]]*(PROVEEDORES[[#This Row],[SUBTOTAL]]-PROVEEDORES[[#This Row],[descuento sobre subtotal]])</f>
        <v>0</v>
      </c>
      <c r="R87" s="21">
        <f>+PROVEEDORES[[#This Row],[SUBTOTAL]]+PROVEEDORES[[#This Row],[IVA 19%]]-PROVEEDORES[[#This Row],[descuento sobre subtotal]]-PROVEEDORES[[#This Row],[Descuento sobre subtotal $2]]-PROVEEDORES[[#This Row],[Rete Fuente $]]</f>
        <v>-36766</v>
      </c>
      <c r="S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68">
        <f ca="1">IF(PROVEEDORES[[#This Row],[FECHA DE PAGO]]=0,TODAY()-PROVEEDORES[[#This Row],[FECHA DE FACTURACIÓN]]-PROVEEDORES[[#This Row],[PLAZO Días]],0)</f>
        <v>0</v>
      </c>
      <c r="U87" s="96" t="str">
        <f>+VLOOKUP(PROVEEDORES[[#This Row],[PROVEEDOR]],Terceros!$A:$D,4,FALSE)</f>
        <v>3,5% sin base</v>
      </c>
      <c r="V87" s="97">
        <f>+YEAR(PROVEEDORES[[#This Row],[FECHA DE FACTURACIÓN]])</f>
        <v>2021</v>
      </c>
      <c r="W87" s="97">
        <f>+MATCH(PROVEEDORES[[#This Row],[año facturado]],Retenciones!$1:$1,0)</f>
        <v>4</v>
      </c>
      <c r="X87" s="98">
        <f>+VLOOKUP(PROVEEDORES[[#This Row],[ID RETENCION]],Retenciones!$A$1:$O$25,PROVEEDORES[[#This Row],[indicador de columna]],FALSE)</f>
        <v>0</v>
      </c>
      <c r="Y87" s="99">
        <f>+VLOOKUP(PROVEEDORES[[#This Row],[ID RETENCION]],Retenciones!$A$1:$O$25,2,FALSE)</f>
        <v>3.5000000000000003E-2</v>
      </c>
      <c r="Z87" s="125" t="b">
        <f>OR(COUNTIF(PROVEEDORES[[#This Row],[PROVEEDOR]],"*"&amp;'Palabra no opera'!$A$2&amp;"*"))</f>
        <v>1</v>
      </c>
      <c r="AA87" s="24"/>
      <c r="AB87" s="24"/>
      <c r="AC87" s="24"/>
      <c r="AD87" s="24"/>
      <c r="AE87" s="24"/>
    </row>
    <row r="88" spans="1:31" ht="22.2" customHeight="1" x14ac:dyDescent="0.3">
      <c r="A88" s="66" t="str">
        <f>+IF(PROVEEDORES[[#This Row],[FECHA DE PAGO]]=PROVEEDORES[[#This Row],[FECHA DE FACTURACIÓN]],"DE CONTADO","CRÉDITO")</f>
        <v>CRÉDITO</v>
      </c>
      <c r="B88" s="38" t="b">
        <f>+IF((PROVEEDORES[[#This Row],[FECHA DE PAGO]]-PROVEEDORES[[#This Row],[FECHA DE FACTURACIÓN]])&gt;PROVEEDORES[[#This Row],[PLAZO Días]],"PAGO VENCIDO")</f>
        <v>0</v>
      </c>
      <c r="C88" s="20">
        <f>+VLOOKUP(PROVEEDORES[[#This Row],[PROVEEDOR]],TERCEROS_INFO[#All],2,FALSE)</f>
        <v>30</v>
      </c>
      <c r="D88" s="25">
        <f>+SUMIFS(PROVEEDORES[Total],PROVEEDORES[PROVEEDOR],PROVEEDORES[[#This Row],[PROVEEDOR]],PROVEEDORES[FECHA DE PAGO],"")</f>
        <v>0</v>
      </c>
      <c r="E88" s="25"/>
      <c r="F8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8" s="161">
        <v>44341</v>
      </c>
      <c r="H88" s="26" t="s">
        <v>928</v>
      </c>
      <c r="I88" s="161">
        <v>44340</v>
      </c>
      <c r="J88" s="35" t="s">
        <v>584</v>
      </c>
      <c r="K88" s="21">
        <v>-36000</v>
      </c>
      <c r="L88" s="21"/>
      <c r="M88" s="22">
        <f>(PROVEEDORES[[#This Row],[SUBTOTAL]]-PROVEEDORES[[#This Row],[descuento sobre subtotal]])*VLOOKUP(PROVEEDORES[[#This Row],[PROVEEDOR]],TERCEROS_INFO[#All],3,FALSE)</f>
        <v>0</v>
      </c>
      <c r="N88" s="23"/>
      <c r="O88" s="22">
        <f>+PROVEEDORES[[#This Row],[Descuento sobre subtotal %]]*(PROVEEDORES[[#This Row],[SUBTOTAL]]-PROVEEDORES[[#This Row],[descuento sobre subtotal]])</f>
        <v>0</v>
      </c>
      <c r="P88" s="83">
        <f>+IF(PROVEEDORES[[#This Row],[SUBTOTAL]]&lt;PROVEEDORES[[#This Row],[base retencion]],0,PROVEEDORES[[#This Row],[retención aplicada]])</f>
        <v>0</v>
      </c>
      <c r="Q88" s="22">
        <f>+PROVEEDORES[[#This Row],[Rete Fuente %]]*(PROVEEDORES[[#This Row],[SUBTOTAL]]-PROVEEDORES[[#This Row],[descuento sobre subtotal]])</f>
        <v>0</v>
      </c>
      <c r="R88" s="21">
        <f>+PROVEEDORES[[#This Row],[SUBTOTAL]]+PROVEEDORES[[#This Row],[IVA 19%]]-PROVEEDORES[[#This Row],[descuento sobre subtotal]]-PROVEEDORES[[#This Row],[Descuento sobre subtotal $2]]-PROVEEDORES[[#This Row],[Rete Fuente $]]</f>
        <v>-36000</v>
      </c>
      <c r="S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68">
        <f ca="1">IF(PROVEEDORES[[#This Row],[FECHA DE PAGO]]=0,TODAY()-PROVEEDORES[[#This Row],[FECHA DE FACTURACIÓN]]-PROVEEDORES[[#This Row],[PLAZO Días]],0)</f>
        <v>0</v>
      </c>
      <c r="U88" s="96" t="str">
        <f>+VLOOKUP(PROVEEDORES[[#This Row],[PROVEEDOR]],Terceros!$A:$D,4,FALSE)</f>
        <v>3,5% sin base</v>
      </c>
      <c r="V88" s="97">
        <f>+YEAR(PROVEEDORES[[#This Row],[FECHA DE FACTURACIÓN]])</f>
        <v>2021</v>
      </c>
      <c r="W88" s="97">
        <f>+MATCH(PROVEEDORES[[#This Row],[año facturado]],Retenciones!$1:$1,0)</f>
        <v>4</v>
      </c>
      <c r="X88" s="98">
        <f>+VLOOKUP(PROVEEDORES[[#This Row],[ID RETENCION]],Retenciones!$A$1:$O$25,PROVEEDORES[[#This Row],[indicador de columna]],FALSE)</f>
        <v>0</v>
      </c>
      <c r="Y88" s="99">
        <f>+VLOOKUP(PROVEEDORES[[#This Row],[ID RETENCION]],Retenciones!$A$1:$O$25,2,FALSE)</f>
        <v>3.5000000000000003E-2</v>
      </c>
      <c r="Z88" s="125" t="b">
        <f>OR(COUNTIF(PROVEEDORES[[#This Row],[PROVEEDOR]],"*"&amp;'Palabra no opera'!$A$2&amp;"*"))</f>
        <v>1</v>
      </c>
      <c r="AA88" s="24"/>
      <c r="AB88" s="24"/>
      <c r="AC88" s="24"/>
      <c r="AD88" s="24"/>
      <c r="AE88" s="24"/>
    </row>
    <row r="89" spans="1:31" ht="22.2" customHeight="1" x14ac:dyDescent="0.3">
      <c r="A89" s="66" t="str">
        <f>+IF(PROVEEDORES[[#This Row],[FECHA DE PAGO]]=PROVEEDORES[[#This Row],[FECHA DE FACTURACIÓN]],"DE CONTADO","CRÉDITO")</f>
        <v>CRÉDITO</v>
      </c>
      <c r="B89" s="38" t="str">
        <f>+IF((PROVEEDORES[[#This Row],[FECHA DE PAGO]]-PROVEEDORES[[#This Row],[FECHA DE FACTURACIÓN]])&gt;PROVEEDORES[[#This Row],[PLAZO Días]],"PAGO VENCIDO")</f>
        <v>PAGO VENCIDO</v>
      </c>
      <c r="C89" s="20">
        <f>+VLOOKUP(PROVEEDORES[[#This Row],[PROVEEDOR]],TERCEROS_INFO[#All],2,FALSE)</f>
        <v>30</v>
      </c>
      <c r="D89" s="25">
        <f>+SUMIFS(PROVEEDORES[Total],PROVEEDORES[PROVEEDOR],PROVEEDORES[[#This Row],[PROVEEDOR]],PROVEEDORES[FECHA DE PAGO],"")</f>
        <v>0</v>
      </c>
      <c r="E89" s="25"/>
      <c r="F89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89" s="161">
        <v>44704</v>
      </c>
      <c r="H89" s="26" t="s">
        <v>21</v>
      </c>
      <c r="I89" s="161">
        <v>44587</v>
      </c>
      <c r="J89" s="35" t="s">
        <v>776</v>
      </c>
      <c r="K89" s="21">
        <v>0</v>
      </c>
      <c r="L89" s="21"/>
      <c r="M89" s="22">
        <v>0</v>
      </c>
      <c r="N89" s="23"/>
      <c r="O89" s="22">
        <v>0</v>
      </c>
      <c r="P89" s="83">
        <f>+IF(PROVEEDORES[[#This Row],[SUBTOTAL]]&lt;PROVEEDORES[[#This Row],[base retencion]],0,PROVEEDORES[[#This Row],[retención aplicada]])</f>
        <v>0</v>
      </c>
      <c r="Q89" s="22">
        <f>+PROVEEDORES[[#This Row],[Rete Fuente %]]*(PROVEEDORES[[#This Row],[SUBTOTAL]]-PROVEEDORES[[#This Row],[descuento sobre subtotal]])</f>
        <v>0</v>
      </c>
      <c r="R89" s="21">
        <v>-34393</v>
      </c>
      <c r="S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68">
        <f ca="1">IF(PROVEEDORES[[#This Row],[FECHA DE PAGO]]=0,TODAY()-PROVEEDORES[[#This Row],[FECHA DE FACTURACIÓN]]-PROVEEDORES[[#This Row],[PLAZO Días]],0)</f>
        <v>0</v>
      </c>
      <c r="U89" s="96" t="str">
        <f>+VLOOKUP(PROVEEDORES[[#This Row],[PROVEEDOR]],Terceros!$A:$D,4,FALSE)</f>
        <v>2,5% con base</v>
      </c>
      <c r="V89" s="97">
        <f>+YEAR(PROVEEDORES[[#This Row],[FECHA DE FACTURACIÓN]])</f>
        <v>2022</v>
      </c>
      <c r="W89" s="97">
        <f>+MATCH(PROVEEDORES[[#This Row],[año facturado]],Retenciones!$1:$1,0)</f>
        <v>5</v>
      </c>
      <c r="X89" s="98">
        <f>+VLOOKUP(PROVEEDORES[[#This Row],[ID RETENCION]],Retenciones!$A$1:$O$25,PROVEEDORES[[#This Row],[indicador de columna]],FALSE)</f>
        <v>1026000</v>
      </c>
      <c r="Y89" s="99">
        <f>+VLOOKUP(PROVEEDORES[[#This Row],[ID RETENCION]],Retenciones!$A$1:$O$25,2,FALSE)</f>
        <v>2.5000000000000001E-2</v>
      </c>
      <c r="Z89" s="125" t="b">
        <f>OR(COUNTIF(PROVEEDORES[[#This Row],[PROVEEDOR]],"*"&amp;'Palabra no opera'!$A$2&amp;"*"))</f>
        <v>0</v>
      </c>
      <c r="AA89" s="24"/>
      <c r="AB89" s="24"/>
      <c r="AC89" s="24"/>
      <c r="AD89" s="24"/>
      <c r="AE89" s="24"/>
    </row>
    <row r="90" spans="1:31" ht="22.2" customHeight="1" x14ac:dyDescent="0.3">
      <c r="A90" s="66" t="str">
        <f>+IF(PROVEEDORES[[#This Row],[FECHA DE PAGO]]=PROVEEDORES[[#This Row],[FECHA DE FACTURACIÓN]],"DE CONTADO","CRÉDITO")</f>
        <v>CRÉDITO</v>
      </c>
      <c r="B90" s="38" t="str">
        <f>+IF((PROVEEDORES[[#This Row],[FECHA DE PAGO]]-PROVEEDORES[[#This Row],[FECHA DE FACTURACIÓN]])&gt;PROVEEDORES[[#This Row],[PLAZO Días]],"PAGO VENCIDO")</f>
        <v>PAGO VENCIDO</v>
      </c>
      <c r="C90" s="20">
        <f>+VLOOKUP(PROVEEDORES[[#This Row],[PROVEEDOR]],TERCEROS_INFO[#All],2,FALSE)</f>
        <v>90</v>
      </c>
      <c r="D90" s="25">
        <f>+SUMIFS(PROVEEDORES[Total],PROVEEDORES[PROVEEDOR],PROVEEDORES[[#This Row],[PROVEEDOR]],PROVEEDORES[FECHA DE PAGO],"")</f>
        <v>26350422.770000003</v>
      </c>
      <c r="E90" s="25"/>
      <c r="F9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90" s="161">
        <v>44351</v>
      </c>
      <c r="H90" s="26" t="s">
        <v>12</v>
      </c>
      <c r="I90" s="161">
        <v>44193</v>
      </c>
      <c r="J90" s="35" t="s">
        <v>328</v>
      </c>
      <c r="K90" s="21">
        <v>-25210.084033613399</v>
      </c>
      <c r="L90" s="21"/>
      <c r="M90" s="22">
        <f>(PROVEEDORES[[#This Row],[SUBTOTAL]]-PROVEEDORES[[#This Row],[descuento sobre subtotal]])*VLOOKUP(PROVEEDORES[[#This Row],[PROVEEDOR]],TERCEROS_INFO[#All],3,FALSE)</f>
        <v>-4789.9159663865457</v>
      </c>
      <c r="N90" s="23"/>
      <c r="O90" s="22">
        <f>+PROVEEDORES[[#This Row],[Descuento sobre subtotal %]]*(PROVEEDORES[[#This Row],[SUBTOTAL]]-PROVEEDORES[[#This Row],[descuento sobre subtotal]])</f>
        <v>0</v>
      </c>
      <c r="P90" s="83">
        <f>+IF(PROVEEDORES[[#This Row],[SUBTOTAL]]&lt;PROVEEDORES[[#This Row],[base retencion]],0,PROVEEDORES[[#This Row],[retención aplicada]])</f>
        <v>0</v>
      </c>
      <c r="Q90" s="22">
        <f>+PROVEEDORES[[#This Row],[Rete Fuente %]]*(PROVEEDORES[[#This Row],[SUBTOTAL]]-PROVEEDORES[[#This Row],[descuento sobre subtotal]])</f>
        <v>0</v>
      </c>
      <c r="R90" s="21">
        <f>+PROVEEDORES[[#This Row],[SUBTOTAL]]+PROVEEDORES[[#This Row],[IVA 19%]]-PROVEEDORES[[#This Row],[descuento sobre subtotal]]-PROVEEDORES[[#This Row],[Descuento sobre subtotal $2]]-PROVEEDORES[[#This Row],[Rete Fuente $]]</f>
        <v>-29999.999999999945</v>
      </c>
      <c r="S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68">
        <f ca="1">IF(PROVEEDORES[[#This Row],[FECHA DE PAGO]]=0,TODAY()-PROVEEDORES[[#This Row],[FECHA DE FACTURACIÓN]]-PROVEEDORES[[#This Row],[PLAZO Días]],0)</f>
        <v>0</v>
      </c>
      <c r="U90" s="96" t="str">
        <f>+VLOOKUP(PROVEEDORES[[#This Row],[PROVEEDOR]],Terceros!$A:$D,4,FALSE)</f>
        <v>2,5% con base</v>
      </c>
      <c r="V90" s="97">
        <f>+YEAR(PROVEEDORES[[#This Row],[FECHA DE FACTURACIÓN]])</f>
        <v>2020</v>
      </c>
      <c r="W90" s="97">
        <f>+MATCH(PROVEEDORES[[#This Row],[año facturado]],Retenciones!$1:$1,0)</f>
        <v>3</v>
      </c>
      <c r="X90" s="98">
        <f>+VLOOKUP(PROVEEDORES[[#This Row],[ID RETENCION]],Retenciones!$A$1:$O$25,PROVEEDORES[[#This Row],[indicador de columna]],FALSE)</f>
        <v>961000</v>
      </c>
      <c r="Y90" s="99">
        <f>+VLOOKUP(PROVEEDORES[[#This Row],[ID RETENCION]],Retenciones!$A$1:$O$25,2,FALSE)</f>
        <v>2.5000000000000001E-2</v>
      </c>
      <c r="Z90" s="125" t="b">
        <f>OR(COUNTIF(PROVEEDORES[[#This Row],[PROVEEDOR]],"*"&amp;'Palabra no opera'!$A$2&amp;"*"))</f>
        <v>0</v>
      </c>
      <c r="AA90" s="24"/>
      <c r="AB90" s="24"/>
      <c r="AC90" s="24"/>
      <c r="AD90" s="24"/>
      <c r="AE90" s="24"/>
    </row>
    <row r="91" spans="1:31" ht="22.2" customHeight="1" x14ac:dyDescent="0.3">
      <c r="A91" s="66" t="str">
        <f>+IF(PROVEEDORES[[#This Row],[FECHA DE PAGO]]=PROVEEDORES[[#This Row],[FECHA DE FACTURACIÓN]],"DE CONTADO","CRÉDITO")</f>
        <v>CRÉDITO</v>
      </c>
      <c r="B91" s="38" t="str">
        <f>+IF((PROVEEDORES[[#This Row],[FECHA DE PAGO]]-PROVEEDORES[[#This Row],[FECHA DE FACTURACIÓN]])&gt;PROVEEDORES[[#This Row],[PLAZO Días]],"PAGO VENCIDO")</f>
        <v>PAGO VENCIDO</v>
      </c>
      <c r="C91" s="20">
        <f>+VLOOKUP(PROVEEDORES[[#This Row],[PROVEEDOR]],TERCEROS_INFO[#All],2,FALSE)</f>
        <v>30</v>
      </c>
      <c r="D91" s="25">
        <f>+SUMIFS(PROVEEDORES[Total],PROVEEDORES[PROVEEDOR],PROVEEDORES[[#This Row],[PROVEEDOR]],PROVEEDORES[FECHA DE PAGO],"")</f>
        <v>0</v>
      </c>
      <c r="E91" s="25"/>
      <c r="F9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1" s="161">
        <v>44718</v>
      </c>
      <c r="H91" s="26" t="s">
        <v>746</v>
      </c>
      <c r="I91" s="161">
        <v>44592</v>
      </c>
      <c r="J91" s="35" t="s">
        <v>774</v>
      </c>
      <c r="K91" s="21">
        <v>-21428.57</v>
      </c>
      <c r="L91" s="21"/>
      <c r="M91" s="22">
        <f>(PROVEEDORES[[#This Row],[SUBTOTAL]]-PROVEEDORES[[#This Row],[descuento sobre subtotal]])*VLOOKUP(PROVEEDORES[[#This Row],[PROVEEDOR]],TERCEROS_INFO[#All],3,FALSE)</f>
        <v>-4071.4283</v>
      </c>
      <c r="N91" s="23"/>
      <c r="O91" s="22">
        <f>+PROVEEDORES[[#This Row],[Descuento sobre subtotal %]]*(PROVEEDORES[[#This Row],[SUBTOTAL]]-PROVEEDORES[[#This Row],[descuento sobre subtotal]])</f>
        <v>0</v>
      </c>
      <c r="P91" s="83">
        <f>+IF(PROVEEDORES[[#This Row],[SUBTOTAL]]&lt;PROVEEDORES[[#This Row],[base retencion]],0,PROVEEDORES[[#This Row],[retención aplicada]])</f>
        <v>0</v>
      </c>
      <c r="Q91" s="22">
        <f>+PROVEEDORES[[#This Row],[Rete Fuente %]]*(PROVEEDORES[[#This Row],[SUBTOTAL]]-PROVEEDORES[[#This Row],[descuento sobre subtotal]])</f>
        <v>0</v>
      </c>
      <c r="R91" s="21">
        <f>+PROVEEDORES[[#This Row],[SUBTOTAL]]+PROVEEDORES[[#This Row],[IVA 19%]]-PROVEEDORES[[#This Row],[descuento sobre subtotal]]-PROVEEDORES[[#This Row],[Descuento sobre subtotal $2]]-PROVEEDORES[[#This Row],[Rete Fuente $]]</f>
        <v>-25499.998299999999</v>
      </c>
      <c r="S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68">
        <f ca="1">IF(PROVEEDORES[[#This Row],[FECHA DE PAGO]]=0,TODAY()-PROVEEDORES[[#This Row],[FECHA DE FACTURACIÓN]]-PROVEEDORES[[#This Row],[PLAZO Días]],0)</f>
        <v>0</v>
      </c>
      <c r="U91" s="96" t="str">
        <f>+VLOOKUP(PROVEEDORES[[#This Row],[PROVEEDOR]],Terceros!$A:$D,4,FALSE)</f>
        <v>2,5% con base</v>
      </c>
      <c r="V91" s="97">
        <f>+YEAR(PROVEEDORES[[#This Row],[FECHA DE FACTURACIÓN]])</f>
        <v>2022</v>
      </c>
      <c r="W91" s="97">
        <f>+MATCH(PROVEEDORES[[#This Row],[año facturado]],Retenciones!$1:$1,0)</f>
        <v>5</v>
      </c>
      <c r="X91" s="98">
        <f>+VLOOKUP(PROVEEDORES[[#This Row],[ID RETENCION]],Retenciones!$A$1:$O$25,PROVEEDORES[[#This Row],[indicador de columna]],FALSE)</f>
        <v>1026000</v>
      </c>
      <c r="Y91" s="99">
        <f>+VLOOKUP(PROVEEDORES[[#This Row],[ID RETENCION]],Retenciones!$A$1:$O$25,2,FALSE)</f>
        <v>2.5000000000000001E-2</v>
      </c>
      <c r="Z91" s="125" t="b">
        <f>OR(COUNTIF(PROVEEDORES[[#This Row],[PROVEEDOR]],"*"&amp;'Palabra no opera'!$A$2&amp;"*"))</f>
        <v>0</v>
      </c>
      <c r="AA91" s="24"/>
      <c r="AB91" s="24"/>
      <c r="AC91" s="24"/>
      <c r="AD91" s="24"/>
      <c r="AE91" s="24"/>
    </row>
    <row r="92" spans="1:31" ht="22.2" customHeight="1" x14ac:dyDescent="0.3">
      <c r="A92" s="66" t="str">
        <f>+IF(PROVEEDORES[[#This Row],[FECHA DE PAGO]]=PROVEEDORES[[#This Row],[FECHA DE FACTURACIÓN]],"DE CONTADO","CRÉDITO")</f>
        <v>CRÉDITO</v>
      </c>
      <c r="B92" s="38" t="str">
        <f>+IF((PROVEEDORES[[#This Row],[FECHA DE PAGO]]-PROVEEDORES[[#This Row],[FECHA DE FACTURACIÓN]])&gt;PROVEEDORES[[#This Row],[PLAZO Días]],"PAGO VENCIDO")</f>
        <v>PAGO VENCIDO</v>
      </c>
      <c r="C92" s="20">
        <f>+VLOOKUP(PROVEEDORES[[#This Row],[PROVEEDOR]],TERCEROS_INFO[#All],2,FALSE)</f>
        <v>0</v>
      </c>
      <c r="D92" s="25">
        <f>+SUMIFS(PROVEEDORES[Total],PROVEEDORES[PROVEEDOR],PROVEEDORES[[#This Row],[PROVEEDOR]],PROVEEDORES[FECHA DE PAGO],"")</f>
        <v>0</v>
      </c>
      <c r="E92" s="25"/>
      <c r="F92" s="58" t="str">
        <f>+VLOOKUP(PROVEEDORES[[#This Row],[PROVEEDOR]],
                       Terceros!$A:$F,
                       5,
                       FALSE)</f>
        <v>contabilidad@comercialweb.com.co;info@servipilas.com</v>
      </c>
      <c r="G92" s="161">
        <v>44552</v>
      </c>
      <c r="H92" s="26" t="s">
        <v>939</v>
      </c>
      <c r="I92" s="161">
        <v>44393</v>
      </c>
      <c r="J92" s="35" t="s">
        <v>559</v>
      </c>
      <c r="K92" s="21">
        <v>-21000</v>
      </c>
      <c r="L92" s="21"/>
      <c r="M92" s="22">
        <f>(PROVEEDORES[[#This Row],[SUBTOTAL]]-PROVEEDORES[[#This Row],[descuento sobre subtotal]])*VLOOKUP(PROVEEDORES[[#This Row],[PROVEEDOR]],TERCEROS_INFO[#All],3,FALSE)</f>
        <v>-3990</v>
      </c>
      <c r="N92" s="23"/>
      <c r="O92" s="22">
        <f>+PROVEEDORES[[#This Row],[Descuento sobre subtotal %]]*(PROVEEDORES[[#This Row],[SUBTOTAL]]-PROVEEDORES[[#This Row],[descuento sobre subtotal]])</f>
        <v>0</v>
      </c>
      <c r="P92" s="83">
        <f>+IF(PROVEEDORES[[#This Row],[SUBTOTAL]]&lt;PROVEEDORES[[#This Row],[base retencion]],0,PROVEEDORES[[#This Row],[retención aplicada]])</f>
        <v>0</v>
      </c>
      <c r="Q92" s="22">
        <f>+PROVEEDORES[[#This Row],[Rete Fuente %]]*(PROVEEDORES[[#This Row],[SUBTOTAL]]-PROVEEDORES[[#This Row],[descuento sobre subtotal]])</f>
        <v>0</v>
      </c>
      <c r="R92" s="21">
        <f>+PROVEEDORES[[#This Row],[SUBTOTAL]]+PROVEEDORES[[#This Row],[IVA 19%]]-PROVEEDORES[[#This Row],[descuento sobre subtotal]]-PROVEEDORES[[#This Row],[Descuento sobre subtotal $2]]-PROVEEDORES[[#This Row],[Rete Fuente $]]</f>
        <v>-24990</v>
      </c>
      <c r="S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68">
        <f ca="1">IF(PROVEEDORES[[#This Row],[FECHA DE PAGO]]=0,TODAY()-PROVEEDORES[[#This Row],[FECHA DE FACTURACIÓN]]-PROVEEDORES[[#This Row],[PLAZO Días]],0)</f>
        <v>0</v>
      </c>
      <c r="U92" s="96">
        <f>+VLOOKUP(PROVEEDORES[[#This Row],[PROVEEDOR]],Terceros!$A:$D,4,FALSE)</f>
        <v>0</v>
      </c>
      <c r="V92" s="97">
        <f>+YEAR(PROVEEDORES[[#This Row],[FECHA DE FACTURACIÓN]])</f>
        <v>2021</v>
      </c>
      <c r="W92" s="97">
        <f>+MATCH(PROVEEDORES[[#This Row],[año facturado]],Retenciones!$1:$1,0)</f>
        <v>4</v>
      </c>
      <c r="X92" s="98">
        <f>+VLOOKUP(PROVEEDORES[[#This Row],[ID RETENCION]],Retenciones!$A$1:$O$25,PROVEEDORES[[#This Row],[indicador de columna]],FALSE)</f>
        <v>0</v>
      </c>
      <c r="Y92" s="99">
        <f>+VLOOKUP(PROVEEDORES[[#This Row],[ID RETENCION]],Retenciones!$A$1:$O$25,2,FALSE)</f>
        <v>0</v>
      </c>
      <c r="Z92" s="125" t="b">
        <f>OR(COUNTIF(PROVEEDORES[[#This Row],[PROVEEDOR]],"*"&amp;'Palabra no opera'!$A$2&amp;"*"))</f>
        <v>1</v>
      </c>
      <c r="AA92" s="24"/>
      <c r="AB92" s="24"/>
      <c r="AC92" s="24"/>
      <c r="AD92" s="24"/>
      <c r="AE92" s="24"/>
    </row>
    <row r="93" spans="1:31" ht="22.2" customHeight="1" x14ac:dyDescent="0.3">
      <c r="A93" s="72" t="str">
        <f>+IF(PROVEEDORES[[#This Row],[FECHA DE PAGO]]=PROVEEDORES[[#This Row],[FECHA DE FACTURACIÓN]],"DE CONTADO","CRÉDITO")</f>
        <v>CRÉDITO</v>
      </c>
      <c r="B93" s="38" t="b">
        <f>+IF((PROVEEDORES[[#This Row],[FECHA DE PAGO]]-PROVEEDORES[[#This Row],[FECHA DE FACTURACIÓN]])&gt;PROVEEDORES[[#This Row],[PLAZO Días]],"PAGO VENCIDO")</f>
        <v>0</v>
      </c>
      <c r="C93" s="20">
        <f>+VLOOKUP(PROVEEDORES[[#This Row],[PROVEEDOR]],TERCEROS_INFO[#All],2,FALSE)</f>
        <v>30</v>
      </c>
      <c r="D93" s="25">
        <f>+SUMIFS(PROVEEDORES[Total],PROVEEDORES[PROVEEDOR],PROVEEDORES[[#This Row],[PROVEEDOR]],PROVEEDORES[FECHA DE PAGO],"")</f>
        <v>0</v>
      </c>
      <c r="E93" s="25"/>
      <c r="F9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3" s="161">
        <v>44799</v>
      </c>
      <c r="H93" s="26" t="s">
        <v>746</v>
      </c>
      <c r="I93" s="161">
        <v>44769</v>
      </c>
      <c r="J93" s="35" t="s">
        <v>1153</v>
      </c>
      <c r="K93" s="21">
        <v>-18487.39</v>
      </c>
      <c r="L93" s="21"/>
      <c r="M93" s="22">
        <f>(PROVEEDORES[[#This Row],[SUBTOTAL]]-PROVEEDORES[[#This Row],[descuento sobre subtotal]])*VLOOKUP(PROVEEDORES[[#This Row],[PROVEEDOR]],TERCEROS_INFO[#All],3,FALSE)</f>
        <v>-3512.6041</v>
      </c>
      <c r="N93" s="23"/>
      <c r="O93" s="22">
        <f>+PROVEEDORES[[#This Row],[Descuento sobre subtotal %]]*(PROVEEDORES[[#This Row],[SUBTOTAL]]-PROVEEDORES[[#This Row],[descuento sobre subtotal]])</f>
        <v>0</v>
      </c>
      <c r="P93" s="83">
        <f>+IF(PROVEEDORES[[#This Row],[SUBTOTAL]]&lt;PROVEEDORES[[#This Row],[base retencion]],0,PROVEEDORES[[#This Row],[retención aplicada]])</f>
        <v>0</v>
      </c>
      <c r="Q93" s="22">
        <f>+PROVEEDORES[[#This Row],[Rete Fuente %]]*(PROVEEDORES[[#This Row],[SUBTOTAL]]-PROVEEDORES[[#This Row],[descuento sobre subtotal]])</f>
        <v>0</v>
      </c>
      <c r="R93" s="21">
        <f>+PROVEEDORES[[#This Row],[SUBTOTAL]]+PROVEEDORES[[#This Row],[IVA 19%]]-PROVEEDORES[[#This Row],[descuento sobre subtotal]]-PROVEEDORES[[#This Row],[Descuento sobre subtotal $2]]-PROVEEDORES[[#This Row],[Rete Fuente $]]</f>
        <v>-21999.9941</v>
      </c>
      <c r="S9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68">
        <f ca="1">IF(PROVEEDORES[[#This Row],[FECHA DE PAGO]]=0,TODAY()-PROVEEDORES[[#This Row],[FECHA DE FACTURACIÓN]]-PROVEEDORES[[#This Row],[PLAZO Días]],0)</f>
        <v>0</v>
      </c>
      <c r="U93" s="113" t="str">
        <f>+VLOOKUP(PROVEEDORES[[#This Row],[PROVEEDOR]],Terceros!$A:$D,4,FALSE)</f>
        <v>2,5% con base</v>
      </c>
      <c r="V93" s="114">
        <f>+YEAR(PROVEEDORES[[#This Row],[FECHA DE FACTURACIÓN]])</f>
        <v>2022</v>
      </c>
      <c r="W93" s="114">
        <f>+MATCH(PROVEEDORES[[#This Row],[año facturado]],Retenciones!$1:$1,0)</f>
        <v>5</v>
      </c>
      <c r="X93" s="115">
        <f>+VLOOKUP(PROVEEDORES[[#This Row],[ID RETENCION]],Retenciones!$A$1:$O$25,PROVEEDORES[[#This Row],[indicador de columna]],FALSE)</f>
        <v>1026000</v>
      </c>
      <c r="Y93" s="116">
        <f>+VLOOKUP(PROVEEDORES[[#This Row],[ID RETENCION]],Retenciones!$A$1:$O$25,2,FALSE)</f>
        <v>2.5000000000000001E-2</v>
      </c>
      <c r="Z93" s="125" t="b">
        <f>OR(COUNTIF(PROVEEDORES[[#This Row],[PROVEEDOR]],"*"&amp;'Palabra no opera'!$A$2&amp;"*"))</f>
        <v>0</v>
      </c>
      <c r="AA93" s="24"/>
      <c r="AB93" s="24"/>
      <c r="AC93" s="24"/>
      <c r="AD93" s="24"/>
      <c r="AE93" s="24"/>
    </row>
    <row r="94" spans="1:31" ht="22.2" customHeight="1" x14ac:dyDescent="0.3">
      <c r="A94" s="144" t="str">
        <f>+IF(PROVEEDORES[[#This Row],[FECHA DE PAGO]]=PROVEEDORES[[#This Row],[FECHA DE FACTURACIÓN]],"DE CONTADO","CRÉDITO")</f>
        <v>CRÉDITO</v>
      </c>
      <c r="B94" s="38" t="b">
        <f>+IF((PROVEEDORES[[#This Row],[FECHA DE PAGO]]-PROVEEDORES[[#This Row],[FECHA DE FACTURACIÓN]])&gt;PROVEEDORES[[#This Row],[PLAZO Días]],"PAGO VENCIDO")</f>
        <v>0</v>
      </c>
      <c r="C94" s="20">
        <f>+VLOOKUP(PROVEEDORES[[#This Row],[PROVEEDOR]],TERCEROS_INFO[#All],2,FALSE)</f>
        <v>30</v>
      </c>
      <c r="D94" s="25">
        <f>+SUMIFS(PROVEEDORES[Total],PROVEEDORES[PROVEEDOR],PROVEEDORES[[#This Row],[PROVEEDOR]],PROVEEDORES[FECHA DE PAGO],"")</f>
        <v>0</v>
      </c>
      <c r="E94" s="25"/>
      <c r="F9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94" s="161">
        <v>44707</v>
      </c>
      <c r="H94" s="26" t="s">
        <v>928</v>
      </c>
      <c r="I94" s="161">
        <v>44682</v>
      </c>
      <c r="J94" s="35" t="s">
        <v>986</v>
      </c>
      <c r="K94" s="21">
        <v>-12815</v>
      </c>
      <c r="L94" s="21"/>
      <c r="M94" s="22">
        <f>(PROVEEDORES[[#This Row],[SUBTOTAL]]-PROVEEDORES[[#This Row],[descuento sobre subtotal]])*VLOOKUP(PROVEEDORES[[#This Row],[PROVEEDOR]],TERCEROS_INFO[#All],3,FALSE)</f>
        <v>0</v>
      </c>
      <c r="N94" s="23"/>
      <c r="O94" s="22">
        <f>+PROVEEDORES[[#This Row],[Descuento sobre subtotal %]]*(PROVEEDORES[[#This Row],[SUBTOTAL]]-PROVEEDORES[[#This Row],[descuento sobre subtotal]])</f>
        <v>0</v>
      </c>
      <c r="P94" s="83">
        <f>+IF(PROVEEDORES[[#This Row],[SUBTOTAL]]&lt;PROVEEDORES[[#This Row],[base retencion]],0,PROVEEDORES[[#This Row],[retención aplicada]])</f>
        <v>0</v>
      </c>
      <c r="Q94" s="22">
        <f>+PROVEEDORES[[#This Row],[Rete Fuente %]]*(PROVEEDORES[[#This Row],[SUBTOTAL]]-PROVEEDORES[[#This Row],[descuento sobre subtotal]])</f>
        <v>0</v>
      </c>
      <c r="R94" s="21">
        <f>+PROVEEDORES[[#This Row],[SUBTOTAL]]+PROVEEDORES[[#This Row],[IVA 19%]]-PROVEEDORES[[#This Row],[descuento sobre subtotal]]-PROVEEDORES[[#This Row],[Descuento sobre subtotal $2]]-PROVEEDORES[[#This Row],[Rete Fuente $]]</f>
        <v>-12815</v>
      </c>
      <c r="S94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68">
        <f ca="1">IF(PROVEEDORES[[#This Row],[FECHA DE PAGO]]=0,TODAY()-PROVEEDORES[[#This Row],[FECHA DE FACTURACIÓN]]-PROVEEDORES[[#This Row],[PLAZO Días]],0)</f>
        <v>0</v>
      </c>
      <c r="U94" s="113" t="str">
        <f>+VLOOKUP(PROVEEDORES[[#This Row],[PROVEEDOR]],Terceros!$A:$D,4,FALSE)</f>
        <v>3,5% sin base</v>
      </c>
      <c r="V94" s="114">
        <f>+YEAR(PROVEEDORES[[#This Row],[FECHA DE FACTURACIÓN]])</f>
        <v>2022</v>
      </c>
      <c r="W94" s="114">
        <f>+MATCH(PROVEEDORES[[#This Row],[año facturado]],Retenciones!$1:$1,0)</f>
        <v>5</v>
      </c>
      <c r="X94" s="115">
        <f>+VLOOKUP(PROVEEDORES[[#This Row],[ID RETENCION]],Retenciones!$A$1:$O$25,PROVEEDORES[[#This Row],[indicador de columna]],FALSE)</f>
        <v>0</v>
      </c>
      <c r="Y94" s="116">
        <f>+VLOOKUP(PROVEEDORES[[#This Row],[ID RETENCION]],Retenciones!$A$1:$O$25,2,FALSE)</f>
        <v>3.5000000000000003E-2</v>
      </c>
      <c r="Z94" s="125" t="b">
        <f>OR(COUNTIF(PROVEEDORES[[#This Row],[PROVEEDOR]],"*"&amp;'Palabra no opera'!$A$2&amp;"*"))</f>
        <v>1</v>
      </c>
      <c r="AA94" s="24"/>
      <c r="AB94" s="24"/>
      <c r="AC94" s="24"/>
      <c r="AD94" s="24"/>
      <c r="AE94" s="24"/>
    </row>
    <row r="95" spans="1:31" ht="22.2" customHeight="1" x14ac:dyDescent="0.3">
      <c r="A95" s="66" t="str">
        <f>+IF(PROVEEDORES[[#This Row],[FECHA DE PAGO]]=PROVEEDORES[[#This Row],[FECHA DE FACTURACIÓN]],"DE CONTADO","CRÉDITO")</f>
        <v>CRÉDITO</v>
      </c>
      <c r="B95" s="38" t="str">
        <f>+IF((PROVEEDORES[[#This Row],[FECHA DE PAGO]]-PROVEEDORES[[#This Row],[FECHA DE FACTURACIÓN]])&gt;PROVEEDORES[[#This Row],[PLAZO Días]],"PAGO VENCIDO")</f>
        <v>PAGO VENCIDO</v>
      </c>
      <c r="C95" s="20">
        <f>+VLOOKUP(PROVEEDORES[[#This Row],[PROVEEDOR]],TERCEROS_INFO[#All],2,FALSE)</f>
        <v>30</v>
      </c>
      <c r="D95" s="25">
        <f>+SUMIFS(PROVEEDORES[Total],PROVEEDORES[PROVEEDOR],PROVEEDORES[[#This Row],[PROVEEDOR]],PROVEEDORES[FECHA DE PAGO],"")</f>
        <v>0</v>
      </c>
      <c r="E95" s="25"/>
      <c r="F95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95" s="161">
        <v>44562</v>
      </c>
      <c r="H95" s="26" t="s">
        <v>34</v>
      </c>
      <c r="I95" s="161">
        <v>44433</v>
      </c>
      <c r="J95" s="35" t="s">
        <v>434</v>
      </c>
      <c r="K95" s="21">
        <v>0</v>
      </c>
      <c r="L95" s="21"/>
      <c r="M95" s="22">
        <f>(PROVEEDORES[[#This Row],[SUBTOTAL]]-PROVEEDORES[[#This Row],[descuento sobre subtotal]])*VLOOKUP(PROVEEDORES[[#This Row],[PROVEEDOR]],TERCEROS_INFO[#All],3,FALSE)</f>
        <v>0</v>
      </c>
      <c r="N95" s="23"/>
      <c r="O95" s="22">
        <f>+PROVEEDORES[[#This Row],[Descuento sobre subtotal %]]*(PROVEEDORES[[#This Row],[SUBTOTAL]]-PROVEEDORES[[#This Row],[descuento sobre subtotal]])</f>
        <v>0</v>
      </c>
      <c r="P95" s="83">
        <f>+IF(PROVEEDORES[[#This Row],[SUBTOTAL]]&lt;PROVEEDORES[[#This Row],[base retencion]],0,PROVEEDORES[[#This Row],[retención aplicada]])</f>
        <v>0</v>
      </c>
      <c r="Q95" s="22">
        <f>+PROVEEDORES[[#This Row],[Rete Fuente %]]*(PROVEEDORES[[#This Row],[SUBTOTAL]]-PROVEEDORES[[#This Row],[descuento sobre subtotal]])</f>
        <v>0</v>
      </c>
      <c r="R95" s="21">
        <v>-12185</v>
      </c>
      <c r="S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68">
        <f ca="1">IF(PROVEEDORES[[#This Row],[FECHA DE PAGO]]=0,TODAY()-PROVEEDORES[[#This Row],[FECHA DE FACTURACIÓN]]-PROVEEDORES[[#This Row],[PLAZO Días]],0)</f>
        <v>0</v>
      </c>
      <c r="U95" s="96" t="str">
        <f>+VLOOKUP(PROVEEDORES[[#This Row],[PROVEEDOR]],Terceros!$A:$D,4,FALSE)</f>
        <v>2,5% con base</v>
      </c>
      <c r="V95" s="97">
        <f>+YEAR(PROVEEDORES[[#This Row],[FECHA DE FACTURACIÓN]])</f>
        <v>2021</v>
      </c>
      <c r="W95" s="97">
        <f>+MATCH(PROVEEDORES[[#This Row],[año facturado]],Retenciones!$1:$1,0)</f>
        <v>4</v>
      </c>
      <c r="X95" s="98">
        <f>+VLOOKUP(PROVEEDORES[[#This Row],[ID RETENCION]],Retenciones!$A$1:$O$25,PROVEEDORES[[#This Row],[indicador de columna]],FALSE)</f>
        <v>980000</v>
      </c>
      <c r="Y95" s="99">
        <f>+VLOOKUP(PROVEEDORES[[#This Row],[ID RETENCION]],Retenciones!$A$1:$O$25,2,FALSE)</f>
        <v>2.5000000000000001E-2</v>
      </c>
      <c r="Z95" s="125" t="b">
        <f>OR(COUNTIF(PROVEEDORES[[#This Row],[PROVEEDOR]],"*"&amp;'Palabra no opera'!$A$2&amp;"*"))</f>
        <v>0</v>
      </c>
      <c r="AA95" s="24"/>
      <c r="AB95" s="24"/>
      <c r="AC95" s="24"/>
      <c r="AD95" s="24"/>
      <c r="AE95" s="24"/>
    </row>
    <row r="96" spans="1:31" ht="22.2" customHeight="1" x14ac:dyDescent="0.3">
      <c r="A96" s="66" t="str">
        <f>+IF(PROVEEDORES[[#This Row],[FECHA DE PAGO]]=PROVEEDORES[[#This Row],[FECHA DE FACTURACIÓN]],"DE CONTADO","CRÉDITO")</f>
        <v>CRÉDITO</v>
      </c>
      <c r="B96" s="38" t="b">
        <f>+IF((PROVEEDORES[[#This Row],[FECHA DE PAGO]]-PROVEEDORES[[#This Row],[FECHA DE FACTURACIÓN]])&gt;PROVEEDORES[[#This Row],[PLAZO Días]],"PAGO VENCIDO")</f>
        <v>0</v>
      </c>
      <c r="C96" s="20">
        <f>+VLOOKUP(PROVEEDORES[[#This Row],[PROVEEDOR]],TERCEROS_INFO[#All],2,FALSE)</f>
        <v>30</v>
      </c>
      <c r="D96" s="25">
        <f>+SUMIFS(PROVEEDORES[Total],PROVEEDORES[PROVEEDOR],PROVEEDORES[[#This Row],[PROVEEDOR]],PROVEEDORES[FECHA DE PAGO],"")</f>
        <v>0</v>
      </c>
      <c r="E96" s="25"/>
      <c r="F96" s="58" t="str">
        <f>+VLOOKUP(PROVEEDORES[[#This Row],[PROVEEDOR]],
                       Terceros!$A:$F,
                       5,
                       FALSE)</f>
        <v>facturacion@losmolinos.com.co</v>
      </c>
      <c r="G96" s="161">
        <v>44630</v>
      </c>
      <c r="H96" s="26" t="s">
        <v>940</v>
      </c>
      <c r="I96" s="161">
        <v>44607</v>
      </c>
      <c r="J96" s="35" t="s">
        <v>723</v>
      </c>
      <c r="K96" s="21">
        <v>-8522.67</v>
      </c>
      <c r="L96" s="21"/>
      <c r="M96" s="22">
        <f>(PROVEEDORES[[#This Row],[SUBTOTAL]]-PROVEEDORES[[#This Row],[descuento sobre subtotal]])*VLOOKUP(PROVEEDORES[[#This Row],[PROVEEDOR]],TERCEROS_INFO[#All],3,FALSE)</f>
        <v>0</v>
      </c>
      <c r="N96" s="23"/>
      <c r="O96" s="22">
        <f>+PROVEEDORES[[#This Row],[Descuento sobre subtotal %]]*(PROVEEDORES[[#This Row],[SUBTOTAL]]-PROVEEDORES[[#This Row],[descuento sobre subtotal]])</f>
        <v>0</v>
      </c>
      <c r="P96" s="83">
        <f>+IF(PROVEEDORES[[#This Row],[SUBTOTAL]]&lt;PROVEEDORES[[#This Row],[base retencion]],0,PROVEEDORES[[#This Row],[retención aplicada]])</f>
        <v>0</v>
      </c>
      <c r="Q96" s="22">
        <f>+PROVEEDORES[[#This Row],[Rete Fuente %]]*(PROVEEDORES[[#This Row],[SUBTOTAL]]-PROVEEDORES[[#This Row],[descuento sobre subtotal]])</f>
        <v>0</v>
      </c>
      <c r="R96" s="21">
        <v>-8522.67</v>
      </c>
      <c r="S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68">
        <f ca="1">IF(PROVEEDORES[[#This Row],[FECHA DE PAGO]]=0,TODAY()-PROVEEDORES[[#This Row],[FECHA DE FACTURACIÓN]]-PROVEEDORES[[#This Row],[PLAZO Días]],0)</f>
        <v>0</v>
      </c>
      <c r="U96" s="96">
        <f>+VLOOKUP(PROVEEDORES[[#This Row],[PROVEEDOR]],Terceros!$A:$D,4,FALSE)</f>
        <v>0</v>
      </c>
      <c r="V96" s="97">
        <f>+YEAR(PROVEEDORES[[#This Row],[FECHA DE FACTURACIÓN]])</f>
        <v>2022</v>
      </c>
      <c r="W96" s="97">
        <f>+MATCH(PROVEEDORES[[#This Row],[año facturado]],Retenciones!$1:$1,0)</f>
        <v>5</v>
      </c>
      <c r="X96" s="98">
        <f>+VLOOKUP(PROVEEDORES[[#This Row],[ID RETENCION]],Retenciones!$A$1:$O$25,PROVEEDORES[[#This Row],[indicador de columna]],FALSE)</f>
        <v>0</v>
      </c>
      <c r="Y96" s="99">
        <f>+VLOOKUP(PROVEEDORES[[#This Row],[ID RETENCION]],Retenciones!$A$1:$O$25,2,FALSE)</f>
        <v>0</v>
      </c>
      <c r="Z96" s="125" t="b">
        <f>OR(COUNTIF(PROVEEDORES[[#This Row],[PROVEEDOR]],"*"&amp;'Palabra no opera'!$A$2&amp;"*"))</f>
        <v>1</v>
      </c>
      <c r="AA96" s="24"/>
      <c r="AB96" s="24"/>
      <c r="AC96" s="24"/>
      <c r="AD96" s="24"/>
      <c r="AE96" s="24"/>
    </row>
    <row r="97" spans="1:31" ht="22.2" customHeight="1" x14ac:dyDescent="0.3">
      <c r="A97" s="66" t="str">
        <f>+IF(PROVEEDORES[[#This Row],[FECHA DE PAGO]]=PROVEEDORES[[#This Row],[FECHA DE FACTURACIÓN]],"DE CONTADO","CRÉDITO")</f>
        <v>CRÉDITO</v>
      </c>
      <c r="B97" s="38" t="str">
        <f>+IF((PROVEEDORES[[#This Row],[FECHA DE PAGO]]-PROVEEDORES[[#This Row],[FECHA DE FACTURACIÓN]])&gt;PROVEEDORES[[#This Row],[PLAZO Días]],"PAGO VENCIDO")</f>
        <v>PAGO VENCIDO</v>
      </c>
      <c r="C97" s="20">
        <f>+VLOOKUP(PROVEEDORES[[#This Row],[PROVEEDOR]],TERCEROS_INFO[#All],2,FALSE)</f>
        <v>30</v>
      </c>
      <c r="D97" s="25">
        <f>+SUMIFS(PROVEEDORES[Total],PROVEEDORES[PROVEEDOR],PROVEEDORES[[#This Row],[PROVEEDOR]],PROVEEDORES[FECHA DE PAGO],"")</f>
        <v>0</v>
      </c>
      <c r="E97" s="25"/>
      <c r="F9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97" s="161">
        <v>44341</v>
      </c>
      <c r="H97" s="26" t="s">
        <v>941</v>
      </c>
      <c r="I97" s="161">
        <v>44284</v>
      </c>
      <c r="J97" s="35" t="s">
        <v>144</v>
      </c>
      <c r="K97" s="21">
        <v>-5996.9747899159665</v>
      </c>
      <c r="L97" s="21"/>
      <c r="M97" s="22">
        <f>(PROVEEDORES[[#This Row],[SUBTOTAL]]-PROVEEDORES[[#This Row],[descuento sobre subtotal]])*VLOOKUP(PROVEEDORES[[#This Row],[PROVEEDOR]],TERCEROS_INFO[#All],3,FALSE)</f>
        <v>-1139.4252100840336</v>
      </c>
      <c r="N97" s="23"/>
      <c r="O97" s="22">
        <f>+PROVEEDORES[[#This Row],[Descuento sobre subtotal %]]*(PROVEEDORES[[#This Row],[SUBTOTAL]]-PROVEEDORES[[#This Row],[descuento sobre subtotal]])</f>
        <v>0</v>
      </c>
      <c r="P97" s="83">
        <f>+IF(PROVEEDORES[[#This Row],[SUBTOTAL]]&lt;PROVEEDORES[[#This Row],[base retencion]],0,PROVEEDORES[[#This Row],[retención aplicada]])</f>
        <v>0</v>
      </c>
      <c r="Q97" s="22">
        <f>+PROVEEDORES[[#This Row],[Rete Fuente %]]*(PROVEEDORES[[#This Row],[SUBTOTAL]]-PROVEEDORES[[#This Row],[descuento sobre subtotal]])</f>
        <v>0</v>
      </c>
      <c r="R97" s="21">
        <f>+PROVEEDORES[[#This Row],[SUBTOTAL]]+PROVEEDORES[[#This Row],[IVA 19%]]-PROVEEDORES[[#This Row],[descuento sobre subtotal]]-PROVEEDORES[[#This Row],[Descuento sobre subtotal $2]]-PROVEEDORES[[#This Row],[Rete Fuente $]]</f>
        <v>-7136.4</v>
      </c>
      <c r="S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68">
        <f ca="1">IF(PROVEEDORES[[#This Row],[FECHA DE PAGO]]=0,TODAY()-PROVEEDORES[[#This Row],[FECHA DE FACTURACIÓN]]-PROVEEDORES[[#This Row],[PLAZO Días]],0)</f>
        <v>0</v>
      </c>
      <c r="U97" s="96" t="str">
        <f>+VLOOKUP(PROVEEDORES[[#This Row],[PROVEEDOR]],Terceros!$A:$D,4,FALSE)</f>
        <v>3,5% sin base</v>
      </c>
      <c r="V97" s="97">
        <f>+YEAR(PROVEEDORES[[#This Row],[FECHA DE FACTURACIÓN]])</f>
        <v>2021</v>
      </c>
      <c r="W97" s="97">
        <f>+MATCH(PROVEEDORES[[#This Row],[año facturado]],Retenciones!$1:$1,0)</f>
        <v>4</v>
      </c>
      <c r="X97" s="98">
        <f>+VLOOKUP(PROVEEDORES[[#This Row],[ID RETENCION]],Retenciones!$A$1:$O$25,PROVEEDORES[[#This Row],[indicador de columna]],FALSE)</f>
        <v>0</v>
      </c>
      <c r="Y97" s="99">
        <f>+VLOOKUP(PROVEEDORES[[#This Row],[ID RETENCION]],Retenciones!$A$1:$O$25,2,FALSE)</f>
        <v>3.5000000000000003E-2</v>
      </c>
      <c r="Z97" s="125" t="b">
        <f>OR(COUNTIF(PROVEEDORES[[#This Row],[PROVEEDOR]],"*"&amp;'Palabra no opera'!$A$2&amp;"*"))</f>
        <v>1</v>
      </c>
      <c r="AA97" s="24"/>
      <c r="AB97" s="24"/>
      <c r="AC97" s="24"/>
      <c r="AD97" s="24"/>
      <c r="AE97" s="24"/>
    </row>
    <row r="98" spans="1:31" ht="22.2" customHeight="1" x14ac:dyDescent="0.3">
      <c r="A98" s="66" t="str">
        <f>+IF(PROVEEDORES[[#This Row],[FECHA DE PAGO]]=PROVEEDORES[[#This Row],[FECHA DE FACTURACIÓN]],"DE CONTADO","CRÉDITO")</f>
        <v>CRÉDITO</v>
      </c>
      <c r="B98" s="38" t="str">
        <f>+IF((PROVEEDORES[[#This Row],[FECHA DE PAGO]]-PROVEEDORES[[#This Row],[FECHA DE FACTURACIÓN]])&gt;PROVEEDORES[[#This Row],[PLAZO Días]],"PAGO VENCIDO")</f>
        <v>PAGO VENCIDO</v>
      </c>
      <c r="C98" s="20">
        <f>+VLOOKUP(PROVEEDORES[[#This Row],[PROVEEDOR]],TERCEROS_INFO[#All],2,FALSE)</f>
        <v>30</v>
      </c>
      <c r="D98" s="25">
        <f>+SUMIFS(PROVEEDORES[Total],PROVEEDORES[PROVEEDOR],PROVEEDORES[[#This Row],[PROVEEDOR]],PROVEEDORES[FECHA DE PAGO],"")</f>
        <v>1127400.05</v>
      </c>
      <c r="E98" s="25"/>
      <c r="F9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98" s="161">
        <v>44652</v>
      </c>
      <c r="H98" s="26" t="s">
        <v>47</v>
      </c>
      <c r="I98" s="161">
        <v>44599</v>
      </c>
      <c r="J98" s="35" t="s">
        <v>737</v>
      </c>
      <c r="K98" s="21">
        <v>-5851</v>
      </c>
      <c r="L98" s="21"/>
      <c r="M98" s="22">
        <f>(PROVEEDORES[[#This Row],[SUBTOTAL]]-PROVEEDORES[[#This Row],[descuento sobre subtotal]])*VLOOKUP(PROVEEDORES[[#This Row],[PROVEEDOR]],TERCEROS_INFO[#All],3,FALSE)</f>
        <v>-1111.69</v>
      </c>
      <c r="N98" s="23"/>
      <c r="O98" s="22">
        <f>+PROVEEDORES[[#This Row],[Descuento sobre subtotal %]]*(PROVEEDORES[[#This Row],[SUBTOTAL]]-PROVEEDORES[[#This Row],[descuento sobre subtotal]])</f>
        <v>0</v>
      </c>
      <c r="P98" s="83">
        <f>+IF(PROVEEDORES[[#This Row],[SUBTOTAL]]&lt;PROVEEDORES[[#This Row],[base retencion]],0,PROVEEDORES[[#This Row],[retención aplicada]])</f>
        <v>0</v>
      </c>
      <c r="Q98" s="22">
        <f>+PROVEEDORES[[#This Row],[Rete Fuente %]]*(PROVEEDORES[[#This Row],[SUBTOTAL]]-PROVEEDORES[[#This Row],[descuento sobre subtotal]])</f>
        <v>0</v>
      </c>
      <c r="R98" s="21">
        <v>-5851</v>
      </c>
      <c r="S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68">
        <f ca="1">IF(PROVEEDORES[[#This Row],[FECHA DE PAGO]]=0,TODAY()-PROVEEDORES[[#This Row],[FECHA DE FACTURACIÓN]]-PROVEEDORES[[#This Row],[PLAZO Días]],0)</f>
        <v>0</v>
      </c>
      <c r="U98" s="96" t="str">
        <f>+VLOOKUP(PROVEEDORES[[#This Row],[PROVEEDOR]],Terceros!$A:$D,4,FALSE)</f>
        <v>2,5% con base</v>
      </c>
      <c r="V98" s="97">
        <f>+YEAR(PROVEEDORES[[#This Row],[FECHA DE FACTURACIÓN]])</f>
        <v>2022</v>
      </c>
      <c r="W98" s="97">
        <f>+MATCH(PROVEEDORES[[#This Row],[año facturado]],Retenciones!$1:$1,0)</f>
        <v>5</v>
      </c>
      <c r="X98" s="98">
        <f>+VLOOKUP(PROVEEDORES[[#This Row],[ID RETENCION]],Retenciones!$A$1:$O$25,PROVEEDORES[[#This Row],[indicador de columna]],FALSE)</f>
        <v>1026000</v>
      </c>
      <c r="Y98" s="99">
        <f>+VLOOKUP(PROVEEDORES[[#This Row],[ID RETENCION]],Retenciones!$A$1:$O$25,2,FALSE)</f>
        <v>2.5000000000000001E-2</v>
      </c>
      <c r="Z98" s="125" t="b">
        <f>OR(COUNTIF(PROVEEDORES[[#This Row],[PROVEEDOR]],"*"&amp;'Palabra no opera'!$A$2&amp;"*"))</f>
        <v>0</v>
      </c>
      <c r="AA98" s="24"/>
      <c r="AB98" s="24"/>
      <c r="AC98" s="24"/>
      <c r="AD98" s="24"/>
      <c r="AE98" s="24"/>
    </row>
    <row r="99" spans="1:31" ht="22.2" customHeight="1" x14ac:dyDescent="0.3">
      <c r="A99" s="189" t="str">
        <f>+IF(PROVEEDORES[[#This Row],[FECHA DE PAGO]]=PROVEEDORES[[#This Row],[FECHA DE FACTURACIÓN]],"DE CONTADO","CRÉDITO")</f>
        <v>CRÉDITO</v>
      </c>
      <c r="B99" s="38" t="b">
        <f>+IF((PROVEEDORES[[#This Row],[FECHA DE PAGO]]-PROVEEDORES[[#This Row],[FECHA DE FACTURACIÓN]])&gt;PROVEEDORES[[#This Row],[PLAZO Días]],"PAGO VENCIDO")</f>
        <v>0</v>
      </c>
      <c r="C99" s="20">
        <f>+VLOOKUP(PROVEEDORES[[#This Row],[PROVEEDOR]],TERCEROS_INFO[#All],2,FALSE)</f>
        <v>30</v>
      </c>
      <c r="D99" s="25">
        <f>+SUMIFS(PROVEEDORES[Total],PROVEEDORES[PROVEEDOR],PROVEEDORES[[#This Row],[PROVEEDOR]],PROVEEDORES[FECHA DE PAGO],"")</f>
        <v>0</v>
      </c>
      <c r="E99" s="25"/>
      <c r="F9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99" s="161">
        <v>44768</v>
      </c>
      <c r="H99" s="26" t="s">
        <v>928</v>
      </c>
      <c r="I99" s="161">
        <v>44763</v>
      </c>
      <c r="J99" s="35" t="s">
        <v>1137</v>
      </c>
      <c r="K99" s="21">
        <v>-2162</v>
      </c>
      <c r="L99" s="21"/>
      <c r="M99" s="22">
        <f>(PROVEEDORES[[#This Row],[SUBTOTAL]]-PROVEEDORES[[#This Row],[descuento sobre subtotal]])*VLOOKUP(PROVEEDORES[[#This Row],[PROVEEDOR]],TERCEROS_INFO[#All],3,FALSE)</f>
        <v>0</v>
      </c>
      <c r="N99" s="23"/>
      <c r="O99" s="22">
        <f>+PROVEEDORES[[#This Row],[Descuento sobre subtotal %]]*(PROVEEDORES[[#This Row],[SUBTOTAL]]-PROVEEDORES[[#This Row],[descuento sobre subtotal]])</f>
        <v>0</v>
      </c>
      <c r="P99" s="83">
        <f>+IF(PROVEEDORES[[#This Row],[SUBTOTAL]]&lt;PROVEEDORES[[#This Row],[base retencion]],0,PROVEEDORES[[#This Row],[retención aplicada]])</f>
        <v>0</v>
      </c>
      <c r="Q99" s="22">
        <f>+PROVEEDORES[[#This Row],[Rete Fuente %]]*(PROVEEDORES[[#This Row],[SUBTOTAL]]-PROVEEDORES[[#This Row],[descuento sobre subtotal]])</f>
        <v>0</v>
      </c>
      <c r="R99" s="21">
        <f>+PROVEEDORES[[#This Row],[SUBTOTAL]]+PROVEEDORES[[#This Row],[IVA 19%]]-PROVEEDORES[[#This Row],[descuento sobre subtotal]]-PROVEEDORES[[#This Row],[Descuento sobre subtotal $2]]-PROVEEDORES[[#This Row],[Rete Fuente $]]</f>
        <v>-2162</v>
      </c>
      <c r="S99" s="1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68">
        <f ca="1">IF(PROVEEDORES[[#This Row],[FECHA DE PAGO]]=0,TODAY()-PROVEEDORES[[#This Row],[FECHA DE FACTURACIÓN]]-PROVEEDORES[[#This Row],[PLAZO Días]],0)</f>
        <v>0</v>
      </c>
      <c r="U99" s="113" t="str">
        <f>+VLOOKUP(PROVEEDORES[[#This Row],[PROVEEDOR]],Terceros!$A:$D,4,FALSE)</f>
        <v>3,5% sin base</v>
      </c>
      <c r="V99" s="114">
        <f>+YEAR(PROVEEDORES[[#This Row],[FECHA DE FACTURACIÓN]])</f>
        <v>2022</v>
      </c>
      <c r="W99" s="114">
        <f>+MATCH(PROVEEDORES[[#This Row],[año facturado]],Retenciones!$1:$1,0)</f>
        <v>5</v>
      </c>
      <c r="X99" s="115">
        <f>+VLOOKUP(PROVEEDORES[[#This Row],[ID RETENCION]],Retenciones!$A$1:$O$25,PROVEEDORES[[#This Row],[indicador de columna]],FALSE)</f>
        <v>0</v>
      </c>
      <c r="Y99" s="116">
        <f>+VLOOKUP(PROVEEDORES[[#This Row],[ID RETENCION]],Retenciones!$A$1:$O$25,2,FALSE)</f>
        <v>3.5000000000000003E-2</v>
      </c>
      <c r="Z99" s="125" t="b">
        <f>OR(COUNTIF(PROVEEDORES[[#This Row],[PROVEEDOR]],"*"&amp;'Palabra no opera'!$A$2&amp;"*"))</f>
        <v>1</v>
      </c>
      <c r="AA99" s="24"/>
      <c r="AB99" s="24"/>
      <c r="AC99" s="24"/>
      <c r="AD99" s="24"/>
      <c r="AE99" s="24"/>
    </row>
    <row r="100" spans="1:31" ht="22.2" customHeight="1" x14ac:dyDescent="0.3">
      <c r="A100" s="66" t="str">
        <f>+IF(PROVEEDORES[[#This Row],[FECHA DE PAGO]]=PROVEEDORES[[#This Row],[FECHA DE FACTURACIÓN]],"DE CONTADO","CRÉDITO")</f>
        <v>DE CONTADO</v>
      </c>
      <c r="B100" s="38" t="b">
        <f>+IF((PROVEEDORES[[#This Row],[FECHA DE PAGO]]-PROVEEDORES[[#This Row],[FECHA DE FACTURACIÓN]])&gt;PROVEEDORES[[#This Row],[PLAZO Días]],"PAGO VENCIDO")</f>
        <v>0</v>
      </c>
      <c r="C100" s="20">
        <f>+VLOOKUP(PROVEEDORES[[#This Row],[PROVEEDOR]],TERCEROS_INFO[#All],2,FALSE)</f>
        <v>30</v>
      </c>
      <c r="D100" s="25">
        <f>+SUMIFS(PROVEEDORES[Total],PROVEEDORES[PROVEEDOR],PROVEEDORES[[#This Row],[PROVEEDOR]],PROVEEDORES[FECHA DE PAGO],"")</f>
        <v>0</v>
      </c>
      <c r="E100" s="25"/>
      <c r="F100" s="58" t="str">
        <f>+VLOOKUP(PROVEEDORES[[#This Row],[PROVEEDOR]],
                       Terceros!$A:$F,
                       5,
                       FALSE)</f>
        <v/>
      </c>
      <c r="G100" s="161">
        <v>44347</v>
      </c>
      <c r="H100" s="26" t="s">
        <v>644</v>
      </c>
      <c r="I100" s="161">
        <v>44347</v>
      </c>
      <c r="J100" s="35" t="s">
        <v>596</v>
      </c>
      <c r="K100" s="21">
        <v>0</v>
      </c>
      <c r="L100" s="21"/>
      <c r="M100" s="22">
        <f>(PROVEEDORES[[#This Row],[SUBTOTAL]]-PROVEEDORES[[#This Row],[descuento sobre subtotal]])*VLOOKUP(PROVEEDORES[[#This Row],[PROVEEDOR]],TERCEROS_INFO[#All],3,FALSE)</f>
        <v>0</v>
      </c>
      <c r="N100" s="23"/>
      <c r="O100" s="22">
        <f>+PROVEEDORES[[#This Row],[Descuento sobre subtotal %]]*(PROVEEDORES[[#This Row],[SUBTOTAL]]-PROVEEDORES[[#This Row],[descuento sobre subtotal]])</f>
        <v>0</v>
      </c>
      <c r="P100" s="83">
        <f>+IF(PROVEEDORES[[#This Row],[SUBTOTAL]]&lt;PROVEEDORES[[#This Row],[base retencion]],0,PROVEEDORES[[#This Row],[retención aplicada]])</f>
        <v>0</v>
      </c>
      <c r="Q100" s="22">
        <f>+PROVEEDORES[[#This Row],[Rete Fuente %]]*(PROVEEDORES[[#This Row],[SUBTOTAL]]-PROVEEDORES[[#This Row],[descuento sobre subtotal]])</f>
        <v>0</v>
      </c>
      <c r="R100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68">
        <f ca="1">IF(PROVEEDORES[[#This Row],[FECHA DE PAGO]]=0,TODAY()-PROVEEDORES[[#This Row],[FECHA DE FACTURACIÓN]]-PROVEEDORES[[#This Row],[PLAZO Días]],0)</f>
        <v>0</v>
      </c>
      <c r="U100" s="96">
        <f>+VLOOKUP(PROVEEDORES[[#This Row],[PROVEEDOR]],Terceros!$A:$D,4,FALSE)</f>
        <v>0</v>
      </c>
      <c r="V100" s="97">
        <f>+YEAR(PROVEEDORES[[#This Row],[FECHA DE FACTURACIÓN]])</f>
        <v>2021</v>
      </c>
      <c r="W100" s="97">
        <f>+MATCH(PROVEEDORES[[#This Row],[año facturado]],Retenciones!$1:$1,0)</f>
        <v>4</v>
      </c>
      <c r="X100" s="98">
        <f>+VLOOKUP(PROVEEDORES[[#This Row],[ID RETENCION]],Retenciones!$A$1:$O$25,PROVEEDORES[[#This Row],[indicador de columna]],FALSE)</f>
        <v>0</v>
      </c>
      <c r="Y100" s="99">
        <f>+VLOOKUP(PROVEEDORES[[#This Row],[ID RETENCION]],Retenciones!$A$1:$O$25,2,FALSE)</f>
        <v>0</v>
      </c>
      <c r="Z100" s="125" t="b">
        <f>OR(COUNTIF(PROVEEDORES[[#This Row],[PROVEEDOR]],"*"&amp;'Palabra no opera'!$A$2&amp;"*"))</f>
        <v>0</v>
      </c>
      <c r="AA100" s="24"/>
      <c r="AB100" s="24"/>
      <c r="AC100" s="24"/>
      <c r="AD100" s="24"/>
      <c r="AE100" s="24"/>
    </row>
    <row r="101" spans="1:31" ht="22.2" customHeight="1" x14ac:dyDescent="0.3">
      <c r="A101" s="66" t="str">
        <f>+IF(PROVEEDORES[[#This Row],[FECHA DE PAGO]]=PROVEEDORES[[#This Row],[FECHA DE FACTURACIÓN]],"DE CONTADO","CRÉDITO")</f>
        <v>DE CONTADO</v>
      </c>
      <c r="B101" s="38" t="b">
        <f>+IF((PROVEEDORES[[#This Row],[FECHA DE PAGO]]-PROVEEDORES[[#This Row],[FECHA DE FACTURACIÓN]])&gt;PROVEEDORES[[#This Row],[PLAZO Días]],"PAGO VENCIDO")</f>
        <v>0</v>
      </c>
      <c r="C101" s="20">
        <f>+VLOOKUP(PROVEEDORES[[#This Row],[PROVEEDOR]],TERCEROS_INFO[#All],2,FALSE)</f>
        <v>30</v>
      </c>
      <c r="D101" s="25">
        <f>+SUMIFS(PROVEEDORES[Total],PROVEEDORES[PROVEEDOR],PROVEEDORES[[#This Row],[PROVEEDOR]],PROVEEDORES[FECHA DE PAGO],"")</f>
        <v>0</v>
      </c>
      <c r="E101" s="25"/>
      <c r="F101" s="58" t="str">
        <f>+VLOOKUP(PROVEEDORES[[#This Row],[PROVEEDOR]],
                       Terceros!$A:$F,
                       5,
                       FALSE)</f>
        <v/>
      </c>
      <c r="G101" s="161">
        <v>44377</v>
      </c>
      <c r="H101" s="26" t="s">
        <v>644</v>
      </c>
      <c r="I101" s="161">
        <v>44377</v>
      </c>
      <c r="J101" s="35" t="s">
        <v>596</v>
      </c>
      <c r="K101" s="21">
        <v>0</v>
      </c>
      <c r="L101" s="21"/>
      <c r="M101" s="22">
        <f>(PROVEEDORES[[#This Row],[SUBTOTAL]]-PROVEEDORES[[#This Row],[descuento sobre subtotal]])*VLOOKUP(PROVEEDORES[[#This Row],[PROVEEDOR]],TERCEROS_INFO[#All],3,FALSE)</f>
        <v>0</v>
      </c>
      <c r="N101" s="23"/>
      <c r="O101" s="22">
        <f>+PROVEEDORES[[#This Row],[Descuento sobre subtotal %]]*(PROVEEDORES[[#This Row],[SUBTOTAL]]-PROVEEDORES[[#This Row],[descuento sobre subtotal]])</f>
        <v>0</v>
      </c>
      <c r="P101" s="83">
        <f>+IF(PROVEEDORES[[#This Row],[SUBTOTAL]]&lt;PROVEEDORES[[#This Row],[base retencion]],0,PROVEEDORES[[#This Row],[retención aplicada]])</f>
        <v>0</v>
      </c>
      <c r="Q101" s="22">
        <f>+PROVEEDORES[[#This Row],[Rete Fuente %]]*(PROVEEDORES[[#This Row],[SUBTOTAL]]-PROVEEDORES[[#This Row],[descuento sobre subtotal]])</f>
        <v>0</v>
      </c>
      <c r="R101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68">
        <f ca="1">IF(PROVEEDORES[[#This Row],[FECHA DE PAGO]]=0,TODAY()-PROVEEDORES[[#This Row],[FECHA DE FACTURACIÓN]]-PROVEEDORES[[#This Row],[PLAZO Días]],0)</f>
        <v>0</v>
      </c>
      <c r="U101" s="96">
        <f>+VLOOKUP(PROVEEDORES[[#This Row],[PROVEEDOR]],Terceros!$A:$D,4,FALSE)</f>
        <v>0</v>
      </c>
      <c r="V101" s="97">
        <f>+YEAR(PROVEEDORES[[#This Row],[FECHA DE FACTURACIÓN]])</f>
        <v>2021</v>
      </c>
      <c r="W101" s="97">
        <f>+MATCH(PROVEEDORES[[#This Row],[año facturado]],Retenciones!$1:$1,0)</f>
        <v>4</v>
      </c>
      <c r="X101" s="98">
        <f>+VLOOKUP(PROVEEDORES[[#This Row],[ID RETENCION]],Retenciones!$A$1:$O$25,PROVEEDORES[[#This Row],[indicador de columna]],FALSE)</f>
        <v>0</v>
      </c>
      <c r="Y101" s="99">
        <f>+VLOOKUP(PROVEEDORES[[#This Row],[ID RETENCION]],Retenciones!$A$1:$O$25,2,FALSE)</f>
        <v>0</v>
      </c>
      <c r="Z101" s="125" t="b">
        <f>OR(COUNTIF(PROVEEDORES[[#This Row],[PROVEEDOR]],"*"&amp;'Palabra no opera'!$A$2&amp;"*"))</f>
        <v>0</v>
      </c>
      <c r="AA101" s="24"/>
      <c r="AB101" s="24"/>
      <c r="AC101" s="24"/>
      <c r="AD101" s="24"/>
      <c r="AE101" s="24"/>
    </row>
    <row r="102" spans="1:31" ht="22.2" customHeight="1" x14ac:dyDescent="0.3">
      <c r="A102" s="66" t="str">
        <f>+IF(PROVEEDORES[[#This Row],[FECHA DE PAGO]]=PROVEEDORES[[#This Row],[FECHA DE FACTURACIÓN]],"DE CONTADO","CRÉDITO")</f>
        <v>DE CONTADO</v>
      </c>
      <c r="B102" s="38" t="b">
        <f>+IF((PROVEEDORES[[#This Row],[FECHA DE PAGO]]-PROVEEDORES[[#This Row],[FECHA DE FACTURACIÓN]])&gt;PROVEEDORES[[#This Row],[PLAZO Días]],"PAGO VENCIDO")</f>
        <v>0</v>
      </c>
      <c r="C102" s="20">
        <f>+VLOOKUP(PROVEEDORES[[#This Row],[PROVEEDOR]],TERCEROS_INFO[#All],2,FALSE)</f>
        <v>30</v>
      </c>
      <c r="D102" s="25">
        <f>+SUMIFS(PROVEEDORES[Total],PROVEEDORES[PROVEEDOR],PROVEEDORES[[#This Row],[PROVEEDOR]],PROVEEDORES[FECHA DE PAGO],"")</f>
        <v>0</v>
      </c>
      <c r="E102" s="25"/>
      <c r="F102" s="58" t="str">
        <f>+VLOOKUP(PROVEEDORES[[#This Row],[PROVEEDOR]],
                       Terceros!$A:$F,
                       5,
                       FALSE)</f>
        <v/>
      </c>
      <c r="G102" s="161">
        <v>44408</v>
      </c>
      <c r="H102" s="26" t="s">
        <v>644</v>
      </c>
      <c r="I102" s="161">
        <v>44408</v>
      </c>
      <c r="J102" s="35" t="s">
        <v>596</v>
      </c>
      <c r="K102" s="21">
        <v>0</v>
      </c>
      <c r="L102" s="21"/>
      <c r="M102" s="22">
        <f>(PROVEEDORES[[#This Row],[SUBTOTAL]]-PROVEEDORES[[#This Row],[descuento sobre subtotal]])*VLOOKUP(PROVEEDORES[[#This Row],[PROVEEDOR]],TERCEROS_INFO[#All],3,FALSE)</f>
        <v>0</v>
      </c>
      <c r="N102" s="23"/>
      <c r="O102" s="22">
        <f>+PROVEEDORES[[#This Row],[Descuento sobre subtotal %]]*(PROVEEDORES[[#This Row],[SUBTOTAL]]-PROVEEDORES[[#This Row],[descuento sobre subtotal]])</f>
        <v>0</v>
      </c>
      <c r="P102" s="83">
        <f>+IF(PROVEEDORES[[#This Row],[SUBTOTAL]]&lt;PROVEEDORES[[#This Row],[base retencion]],0,PROVEEDORES[[#This Row],[retención aplicada]])</f>
        <v>0</v>
      </c>
      <c r="Q102" s="22">
        <f>+PROVEEDORES[[#This Row],[Rete Fuente %]]*(PROVEEDORES[[#This Row],[SUBTOTAL]]-PROVEEDORES[[#This Row],[descuento sobre subtotal]])</f>
        <v>0</v>
      </c>
      <c r="R102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68">
        <f ca="1">IF(PROVEEDORES[[#This Row],[FECHA DE PAGO]]=0,TODAY()-PROVEEDORES[[#This Row],[FECHA DE FACTURACIÓN]]-PROVEEDORES[[#This Row],[PLAZO Días]],0)</f>
        <v>0</v>
      </c>
      <c r="U102" s="96">
        <f>+VLOOKUP(PROVEEDORES[[#This Row],[PROVEEDOR]],Terceros!$A:$D,4,FALSE)</f>
        <v>0</v>
      </c>
      <c r="V102" s="97">
        <f>+YEAR(PROVEEDORES[[#This Row],[FECHA DE FACTURACIÓN]])</f>
        <v>2021</v>
      </c>
      <c r="W102" s="97">
        <f>+MATCH(PROVEEDORES[[#This Row],[año facturado]],Retenciones!$1:$1,0)</f>
        <v>4</v>
      </c>
      <c r="X102" s="98">
        <f>+VLOOKUP(PROVEEDORES[[#This Row],[ID RETENCION]],Retenciones!$A$1:$O$25,PROVEEDORES[[#This Row],[indicador de columna]],FALSE)</f>
        <v>0</v>
      </c>
      <c r="Y102" s="99">
        <f>+VLOOKUP(PROVEEDORES[[#This Row],[ID RETENCION]],Retenciones!$A$1:$O$25,2,FALSE)</f>
        <v>0</v>
      </c>
      <c r="Z102" s="125" t="b">
        <f>OR(COUNTIF(PROVEEDORES[[#This Row],[PROVEEDOR]],"*"&amp;'Palabra no opera'!$A$2&amp;"*"))</f>
        <v>0</v>
      </c>
      <c r="AA102" s="24"/>
      <c r="AB102" s="24"/>
      <c r="AC102" s="24"/>
      <c r="AD102" s="24"/>
      <c r="AE102" s="24"/>
    </row>
    <row r="103" spans="1:31" ht="22.2" customHeight="1" x14ac:dyDescent="0.3">
      <c r="A103" s="66" t="str">
        <f>+IF(PROVEEDORES[[#This Row],[FECHA DE PAGO]]=PROVEEDORES[[#This Row],[FECHA DE FACTURACIÓN]],"DE CONTADO","CRÉDITO")</f>
        <v>CRÉDITO</v>
      </c>
      <c r="B103" s="38" t="b">
        <f>+IF((PROVEEDORES[[#This Row],[FECHA DE PAGO]]-PROVEEDORES[[#This Row],[FECHA DE FACTURACIÓN]])&gt;PROVEEDORES[[#This Row],[PLAZO Días]],"PAGO VENCIDO")</f>
        <v>0</v>
      </c>
      <c r="C103" s="20">
        <f>+VLOOKUP(PROVEEDORES[[#This Row],[PROVEEDOR]],TERCEROS_INFO[#All],2,FALSE)</f>
        <v>30</v>
      </c>
      <c r="D103" s="25">
        <f>+SUMIFS(PROVEEDORES[Total],PROVEEDORES[PROVEEDOR],PROVEEDORES[[#This Row],[PROVEEDOR]],PROVEEDORES[FECHA DE PAGO],"")</f>
        <v>0</v>
      </c>
      <c r="E103" s="25"/>
      <c r="F103" s="58" t="str">
        <f>+VLOOKUP(PROVEEDORES[[#This Row],[PROVEEDOR]],
                       Terceros!$A:$F,
                       5,
                       FALSE)</f>
        <v>PSE</v>
      </c>
      <c r="G103" s="161">
        <v>44436</v>
      </c>
      <c r="H103" s="26" t="s">
        <v>914</v>
      </c>
      <c r="I103" s="161">
        <v>44435</v>
      </c>
      <c r="J103" s="35" t="s">
        <v>1294</v>
      </c>
      <c r="K103" s="21">
        <v>0</v>
      </c>
      <c r="L103" s="21"/>
      <c r="M103" s="22">
        <f>(PROVEEDORES[[#This Row],[SUBTOTAL]]-PROVEEDORES[[#This Row],[descuento sobre subtotal]])*VLOOKUP(PROVEEDORES[[#This Row],[PROVEEDOR]],TERCEROS_INFO[#All],3,FALSE)</f>
        <v>0</v>
      </c>
      <c r="N103" s="23"/>
      <c r="O103" s="22">
        <f>+PROVEEDORES[[#This Row],[Descuento sobre subtotal %]]*(PROVEEDORES[[#This Row],[SUBTOTAL]]-PROVEEDORES[[#This Row],[descuento sobre subtotal]])</f>
        <v>0</v>
      </c>
      <c r="P103" s="83">
        <f>+IF(PROVEEDORES[[#This Row],[SUBTOTAL]]&lt;PROVEEDORES[[#This Row],[base retencion]],0,PROVEEDORES[[#This Row],[retención aplicada]])</f>
        <v>0</v>
      </c>
      <c r="Q103" s="22">
        <f>+PROVEEDORES[[#This Row],[Rete Fuente %]]*(PROVEEDORES[[#This Row],[SUBTOTAL]]-PROVEEDORES[[#This Row],[descuento sobre subtotal]])</f>
        <v>0</v>
      </c>
      <c r="R10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68">
        <f ca="1">IF(PROVEEDORES[[#This Row],[FECHA DE PAGO]]=0,TODAY()-PROVEEDORES[[#This Row],[FECHA DE FACTURACIÓN]]-PROVEEDORES[[#This Row],[PLAZO Días]],0)</f>
        <v>0</v>
      </c>
      <c r="U103" s="96" t="str">
        <f>+VLOOKUP(PROVEEDORES[[#This Row],[PROVEEDOR]],Terceros!$A:$D,4,FALSE)</f>
        <v>2,5% con base</v>
      </c>
      <c r="V103" s="97">
        <f>+YEAR(PROVEEDORES[[#This Row],[FECHA DE FACTURACIÓN]])</f>
        <v>2021</v>
      </c>
      <c r="W103" s="97">
        <f>+MATCH(PROVEEDORES[[#This Row],[año facturado]],Retenciones!$1:$1,0)</f>
        <v>4</v>
      </c>
      <c r="X103" s="98">
        <f>+VLOOKUP(PROVEEDORES[[#This Row],[ID RETENCION]],Retenciones!$A$1:$O$25,PROVEEDORES[[#This Row],[indicador de columna]],FALSE)</f>
        <v>980000</v>
      </c>
      <c r="Y103" s="99">
        <f>+VLOOKUP(PROVEEDORES[[#This Row],[ID RETENCION]],Retenciones!$A$1:$O$25,2,FALSE)</f>
        <v>2.5000000000000001E-2</v>
      </c>
      <c r="Z103" s="125" t="b">
        <f>OR(COUNTIF(PROVEEDORES[[#This Row],[PROVEEDOR]],"*"&amp;'Palabra no opera'!$A$2&amp;"*"))</f>
        <v>1</v>
      </c>
      <c r="AA103" s="24"/>
      <c r="AB103" s="24"/>
      <c r="AC103" s="24"/>
      <c r="AD103" s="24"/>
      <c r="AE103" s="24"/>
    </row>
    <row r="104" spans="1:31" ht="22.2" customHeight="1" x14ac:dyDescent="0.3">
      <c r="A104" s="66" t="str">
        <f>+IF(PROVEEDORES[[#This Row],[FECHA DE PAGO]]=PROVEEDORES[[#This Row],[FECHA DE FACTURACIÓN]],"DE CONTADO","CRÉDITO")</f>
        <v>CRÉDITO</v>
      </c>
      <c r="B104" s="38" t="b">
        <f>+IF((PROVEEDORES[[#This Row],[FECHA DE PAGO]]-PROVEEDORES[[#This Row],[FECHA DE FACTURACIÓN]])&gt;PROVEEDORES[[#This Row],[PLAZO Días]],"PAGO VENCIDO")</f>
        <v>0</v>
      </c>
      <c r="C104" s="20">
        <f>+VLOOKUP(PROVEEDORES[[#This Row],[PROVEEDOR]],TERCEROS_INFO[#All],2,FALSE)</f>
        <v>90</v>
      </c>
      <c r="D104" s="25">
        <f>+SUMIFS(PROVEEDORES[Total],PROVEEDORES[PROVEEDOR],PROVEEDORES[[#This Row],[PROVEEDOR]],PROVEEDORES[FECHA DE PAGO],"")</f>
        <v>26350422.770000003</v>
      </c>
      <c r="E104" s="25"/>
      <c r="F10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4" s="161">
        <v>44488</v>
      </c>
      <c r="H104" s="26" t="s">
        <v>12</v>
      </c>
      <c r="I104" s="161">
        <v>44445</v>
      </c>
      <c r="J104" s="35" t="s">
        <v>493</v>
      </c>
      <c r="K104" s="21">
        <v>0</v>
      </c>
      <c r="L104" s="21"/>
      <c r="M104" s="22">
        <f>(PROVEEDORES[[#This Row],[SUBTOTAL]]-PROVEEDORES[[#This Row],[descuento sobre subtotal]])*VLOOKUP(PROVEEDORES[[#This Row],[PROVEEDOR]],TERCEROS_INFO[#All],3,FALSE)</f>
        <v>0</v>
      </c>
      <c r="N104" s="23"/>
      <c r="O104" s="22">
        <f>+PROVEEDORES[[#This Row],[Descuento sobre subtotal %]]*(PROVEEDORES[[#This Row],[SUBTOTAL]]-PROVEEDORES[[#This Row],[descuento sobre subtotal]])</f>
        <v>0</v>
      </c>
      <c r="P104" s="83">
        <f>+IF(PROVEEDORES[[#This Row],[SUBTOTAL]]&lt;PROVEEDORES[[#This Row],[base retencion]],0,PROVEEDORES[[#This Row],[retención aplicada]])</f>
        <v>0</v>
      </c>
      <c r="Q104" s="22">
        <f>+PROVEEDORES[[#This Row],[Rete Fuente %]]*(PROVEEDORES[[#This Row],[SUBTOTAL]]-PROVEEDORES[[#This Row],[descuento sobre subtotal]])</f>
        <v>0</v>
      </c>
      <c r="R10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68">
        <f ca="1">IF(PROVEEDORES[[#This Row],[FECHA DE PAGO]]=0,TODAY()-PROVEEDORES[[#This Row],[FECHA DE FACTURACIÓN]]-PROVEEDORES[[#This Row],[PLAZO Días]],0)</f>
        <v>0</v>
      </c>
      <c r="U104" s="96" t="str">
        <f>+VLOOKUP(PROVEEDORES[[#This Row],[PROVEEDOR]],Terceros!$A:$D,4,FALSE)</f>
        <v>2,5% con base</v>
      </c>
      <c r="V104" s="97">
        <f>+YEAR(PROVEEDORES[[#This Row],[FECHA DE FACTURACIÓN]])</f>
        <v>2021</v>
      </c>
      <c r="W104" s="97">
        <f>+MATCH(PROVEEDORES[[#This Row],[año facturado]],Retenciones!$1:$1,0)</f>
        <v>4</v>
      </c>
      <c r="X104" s="98">
        <f>+VLOOKUP(PROVEEDORES[[#This Row],[ID RETENCION]],Retenciones!$A$1:$O$25,PROVEEDORES[[#This Row],[indicador de columna]],FALSE)</f>
        <v>980000</v>
      </c>
      <c r="Y104" s="99">
        <f>+VLOOKUP(PROVEEDORES[[#This Row],[ID RETENCION]],Retenciones!$A$1:$O$25,2,FALSE)</f>
        <v>2.5000000000000001E-2</v>
      </c>
      <c r="Z104" s="125" t="b">
        <f>OR(COUNTIF(PROVEEDORES[[#This Row],[PROVEEDOR]],"*"&amp;'Palabra no opera'!$A$2&amp;"*"))</f>
        <v>0</v>
      </c>
      <c r="AA104" s="24"/>
      <c r="AB104" s="24"/>
      <c r="AC104" s="24"/>
      <c r="AD104" s="24"/>
      <c r="AE104" s="24"/>
    </row>
    <row r="105" spans="1:31" ht="22.2" customHeight="1" x14ac:dyDescent="0.3">
      <c r="A105" s="66" t="str">
        <f>+IF(PROVEEDORES[[#This Row],[FECHA DE PAGO]]=PROVEEDORES[[#This Row],[FECHA DE FACTURACIÓN]],"DE CONTADO","CRÉDITO")</f>
        <v>CRÉDITO</v>
      </c>
      <c r="B105" s="38" t="b">
        <f>+IF((PROVEEDORES[[#This Row],[FECHA DE PAGO]]-PROVEEDORES[[#This Row],[FECHA DE FACTURACIÓN]])&gt;PROVEEDORES[[#This Row],[PLAZO Días]],"PAGO VENCIDO")</f>
        <v>0</v>
      </c>
      <c r="C105" s="20">
        <f>+VLOOKUP(PROVEEDORES[[#This Row],[PROVEEDOR]],TERCEROS_INFO[#All],2,FALSE)</f>
        <v>90</v>
      </c>
      <c r="D105" s="25">
        <f>+SUMIFS(PROVEEDORES[Total],PROVEEDORES[PROVEEDOR],PROVEEDORES[[#This Row],[PROVEEDOR]],PROVEEDORES[FECHA DE PAGO],"")</f>
        <v>26350422.770000003</v>
      </c>
      <c r="E105" s="25"/>
      <c r="F10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" s="161">
        <v>44491</v>
      </c>
      <c r="H105" s="26" t="s">
        <v>12</v>
      </c>
      <c r="I105" s="161">
        <v>44445</v>
      </c>
      <c r="J105" s="35" t="s">
        <v>494</v>
      </c>
      <c r="K105" s="21">
        <v>0</v>
      </c>
      <c r="L105" s="21"/>
      <c r="M105" s="22">
        <f>(PROVEEDORES[[#This Row],[SUBTOTAL]]-PROVEEDORES[[#This Row],[descuento sobre subtotal]])*VLOOKUP(PROVEEDORES[[#This Row],[PROVEEDOR]],TERCEROS_INFO[#All],3,FALSE)</f>
        <v>0</v>
      </c>
      <c r="N105" s="23"/>
      <c r="O105" s="22">
        <f>+PROVEEDORES[[#This Row],[Descuento sobre subtotal %]]*(PROVEEDORES[[#This Row],[SUBTOTAL]]-PROVEEDORES[[#This Row],[descuento sobre subtotal]])</f>
        <v>0</v>
      </c>
      <c r="P105" s="83">
        <f>+IF(PROVEEDORES[[#This Row],[SUBTOTAL]]&lt;PROVEEDORES[[#This Row],[base retencion]],0,PROVEEDORES[[#This Row],[retención aplicada]])</f>
        <v>0</v>
      </c>
      <c r="Q105" s="22">
        <f>+PROVEEDORES[[#This Row],[Rete Fuente %]]*(PROVEEDORES[[#This Row],[SUBTOTAL]]-PROVEEDORES[[#This Row],[descuento sobre subtotal]])</f>
        <v>0</v>
      </c>
      <c r="R105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68">
        <f ca="1">IF(PROVEEDORES[[#This Row],[FECHA DE PAGO]]=0,TODAY()-PROVEEDORES[[#This Row],[FECHA DE FACTURACIÓN]]-PROVEEDORES[[#This Row],[PLAZO Días]],0)</f>
        <v>0</v>
      </c>
      <c r="U105" s="96" t="str">
        <f>+VLOOKUP(PROVEEDORES[[#This Row],[PROVEEDOR]],Terceros!$A:$D,4,FALSE)</f>
        <v>2,5% con base</v>
      </c>
      <c r="V105" s="97">
        <f>+YEAR(PROVEEDORES[[#This Row],[FECHA DE FACTURACIÓN]])</f>
        <v>2021</v>
      </c>
      <c r="W105" s="97">
        <f>+MATCH(PROVEEDORES[[#This Row],[año facturado]],Retenciones!$1:$1,0)</f>
        <v>4</v>
      </c>
      <c r="X105" s="98">
        <f>+VLOOKUP(PROVEEDORES[[#This Row],[ID RETENCION]],Retenciones!$A$1:$O$25,PROVEEDORES[[#This Row],[indicador de columna]],FALSE)</f>
        <v>980000</v>
      </c>
      <c r="Y105" s="99">
        <f>+VLOOKUP(PROVEEDORES[[#This Row],[ID RETENCION]],Retenciones!$A$1:$O$25,2,FALSE)</f>
        <v>2.5000000000000001E-2</v>
      </c>
      <c r="Z105" s="125" t="b">
        <f>OR(COUNTIF(PROVEEDORES[[#This Row],[PROVEEDOR]],"*"&amp;'Palabra no opera'!$A$2&amp;"*"))</f>
        <v>0</v>
      </c>
      <c r="AA105" s="24"/>
      <c r="AB105" s="24"/>
      <c r="AC105" s="24"/>
      <c r="AD105" s="24"/>
      <c r="AE105" s="24"/>
    </row>
    <row r="106" spans="1:31" ht="22.2" customHeight="1" x14ac:dyDescent="0.3">
      <c r="A106" s="66" t="str">
        <f>+IF(PROVEEDORES[[#This Row],[FECHA DE PAGO]]=PROVEEDORES[[#This Row],[FECHA DE FACTURACIÓN]],"DE CONTADO","CRÉDITO")</f>
        <v>CRÉDITO</v>
      </c>
      <c r="B106" s="38" t="b">
        <f>+IF((PROVEEDORES[[#This Row],[FECHA DE PAGO]]-PROVEEDORES[[#This Row],[FECHA DE FACTURACIÓN]])&gt;PROVEEDORES[[#This Row],[PLAZO Días]],"PAGO VENCIDO")</f>
        <v>0</v>
      </c>
      <c r="C106" s="20">
        <f>+VLOOKUP(PROVEEDORES[[#This Row],[PROVEEDOR]],TERCEROS_INFO[#All],2,FALSE)</f>
        <v>90</v>
      </c>
      <c r="D106" s="25">
        <f>+SUMIFS(PROVEEDORES[Total],PROVEEDORES[PROVEEDOR],PROVEEDORES[[#This Row],[PROVEEDOR]],PROVEEDORES[FECHA DE PAGO],"")</f>
        <v>26350422.770000003</v>
      </c>
      <c r="E106" s="25"/>
      <c r="F10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" s="161">
        <v>44517</v>
      </c>
      <c r="H106" s="26" t="s">
        <v>12</v>
      </c>
      <c r="I106" s="161">
        <v>44445</v>
      </c>
      <c r="J106" s="35" t="s">
        <v>495</v>
      </c>
      <c r="K106" s="21">
        <v>0</v>
      </c>
      <c r="L106" s="21"/>
      <c r="M106" s="22">
        <f>(PROVEEDORES[[#This Row],[SUBTOTAL]]-PROVEEDORES[[#This Row],[descuento sobre subtotal]])*VLOOKUP(PROVEEDORES[[#This Row],[PROVEEDOR]],TERCEROS_INFO[#All],3,FALSE)</f>
        <v>0</v>
      </c>
      <c r="N106" s="23"/>
      <c r="O106" s="22">
        <f>+PROVEEDORES[[#This Row],[Descuento sobre subtotal %]]*(PROVEEDORES[[#This Row],[SUBTOTAL]]-PROVEEDORES[[#This Row],[descuento sobre subtotal]])</f>
        <v>0</v>
      </c>
      <c r="P106" s="83">
        <f>+IF(PROVEEDORES[[#This Row],[SUBTOTAL]]&lt;PROVEEDORES[[#This Row],[base retencion]],0,PROVEEDORES[[#This Row],[retención aplicada]])</f>
        <v>0</v>
      </c>
      <c r="Q106" s="22">
        <f>+PROVEEDORES[[#This Row],[Rete Fuente %]]*(PROVEEDORES[[#This Row],[SUBTOTAL]]-PROVEEDORES[[#This Row],[descuento sobre subtotal]])</f>
        <v>0</v>
      </c>
      <c r="R106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68">
        <f ca="1">IF(PROVEEDORES[[#This Row],[FECHA DE PAGO]]=0,TODAY()-PROVEEDORES[[#This Row],[FECHA DE FACTURACIÓN]]-PROVEEDORES[[#This Row],[PLAZO Días]],0)</f>
        <v>0</v>
      </c>
      <c r="U106" s="96" t="str">
        <f>+VLOOKUP(PROVEEDORES[[#This Row],[PROVEEDOR]],Terceros!$A:$D,4,FALSE)</f>
        <v>2,5% con base</v>
      </c>
      <c r="V106" s="97">
        <f>+YEAR(PROVEEDORES[[#This Row],[FECHA DE FACTURACIÓN]])</f>
        <v>2021</v>
      </c>
      <c r="W106" s="97">
        <f>+MATCH(PROVEEDORES[[#This Row],[año facturado]],Retenciones!$1:$1,0)</f>
        <v>4</v>
      </c>
      <c r="X106" s="98">
        <f>+VLOOKUP(PROVEEDORES[[#This Row],[ID RETENCION]],Retenciones!$A$1:$O$25,PROVEEDORES[[#This Row],[indicador de columna]],FALSE)</f>
        <v>980000</v>
      </c>
      <c r="Y106" s="99">
        <f>+VLOOKUP(PROVEEDORES[[#This Row],[ID RETENCION]],Retenciones!$A$1:$O$25,2,FALSE)</f>
        <v>2.5000000000000001E-2</v>
      </c>
      <c r="Z106" s="125" t="b">
        <f>OR(COUNTIF(PROVEEDORES[[#This Row],[PROVEEDOR]],"*"&amp;'Palabra no opera'!$A$2&amp;"*"))</f>
        <v>0</v>
      </c>
      <c r="AA106" s="24"/>
      <c r="AB106" s="24"/>
      <c r="AC106" s="24"/>
      <c r="AD106" s="24"/>
      <c r="AE106" s="24"/>
    </row>
    <row r="107" spans="1:31" ht="22.2" customHeight="1" x14ac:dyDescent="0.3">
      <c r="A107" s="66" t="str">
        <f>+IF(PROVEEDORES[[#This Row],[FECHA DE PAGO]]=PROVEEDORES[[#This Row],[FECHA DE FACTURACIÓN]],"DE CONTADO","CRÉDITO")</f>
        <v>DE CONTADO</v>
      </c>
      <c r="B107" s="38" t="b">
        <f>+IF((PROVEEDORES[[#This Row],[FECHA DE PAGO]]-PROVEEDORES[[#This Row],[FECHA DE FACTURACIÓN]])&gt;PROVEEDORES[[#This Row],[PLAZO Días]],"PAGO VENCIDO")</f>
        <v>0</v>
      </c>
      <c r="C107" s="20">
        <f>+VLOOKUP(PROVEEDORES[[#This Row],[PROVEEDOR]],TERCEROS_INFO[#All],2,FALSE)</f>
        <v>30</v>
      </c>
      <c r="D107" s="25">
        <f>+SUMIFS(PROVEEDORES[Total],PROVEEDORES[PROVEEDOR],PROVEEDORES[[#This Row],[PROVEEDOR]],PROVEEDORES[FECHA DE PAGO],"")</f>
        <v>0</v>
      </c>
      <c r="E107" s="25"/>
      <c r="F107" s="58" t="str">
        <f>+VLOOKUP(PROVEEDORES[[#This Row],[PROVEEDOR]],
                       Terceros!$A:$F,
                       5,
                       FALSE)</f>
        <v/>
      </c>
      <c r="G107" s="161">
        <v>44581</v>
      </c>
      <c r="H107" s="26" t="s">
        <v>638</v>
      </c>
      <c r="I107" s="161">
        <v>44581</v>
      </c>
      <c r="J107" s="35" t="s">
        <v>1376</v>
      </c>
      <c r="K107" s="21">
        <v>1920000</v>
      </c>
      <c r="L107" s="21"/>
      <c r="M107" s="22">
        <f>(PROVEEDORES[[#This Row],[SUBTOTAL]]-PROVEEDORES[[#This Row],[descuento sobre subtotal]])*VLOOKUP(PROVEEDORES[[#This Row],[PROVEEDOR]],TERCEROS_INFO[#All],3,FALSE)</f>
        <v>0</v>
      </c>
      <c r="N107" s="23"/>
      <c r="O107" s="22">
        <f>+PROVEEDORES[[#This Row],[Descuento sobre subtotal %]]*(PROVEEDORES[[#This Row],[SUBTOTAL]]-PROVEEDORES[[#This Row],[descuento sobre subtotal]])</f>
        <v>0</v>
      </c>
      <c r="P107" s="83">
        <f>+IF(PROVEEDORES[[#This Row],[SUBTOTAL]]&lt;PROVEEDORES[[#This Row],[base retencion]],0,PROVEEDORES[[#This Row],[retención aplicada]])</f>
        <v>0</v>
      </c>
      <c r="Q107" s="22">
        <f>+PROVEEDORES[[#This Row],[Rete Fuente %]]*(PROVEEDORES[[#This Row],[SUBTOTAL]]-PROVEEDORES[[#This Row],[descuento sobre subtotal]])</f>
        <v>0</v>
      </c>
      <c r="R107" s="21">
        <v>0</v>
      </c>
      <c r="S1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68">
        <f ca="1">IF(PROVEEDORES[[#This Row],[FECHA DE PAGO]]=0,TODAY()-PROVEEDORES[[#This Row],[FECHA DE FACTURACIÓN]]-PROVEEDORES[[#This Row],[PLAZO Días]],0)</f>
        <v>0</v>
      </c>
      <c r="U107" s="96">
        <f>+VLOOKUP(PROVEEDORES[[#This Row],[PROVEEDOR]],Terceros!$A:$D,4,FALSE)</f>
        <v>0</v>
      </c>
      <c r="V107" s="97">
        <f>+YEAR(PROVEEDORES[[#This Row],[FECHA DE FACTURACIÓN]])</f>
        <v>2022</v>
      </c>
      <c r="W107" s="97">
        <f>+MATCH(PROVEEDORES[[#This Row],[año facturado]],Retenciones!$1:$1,0)</f>
        <v>5</v>
      </c>
      <c r="X107" s="98">
        <f>+VLOOKUP(PROVEEDORES[[#This Row],[ID RETENCION]],Retenciones!$A$1:$O$25,PROVEEDORES[[#This Row],[indicador de columna]],FALSE)</f>
        <v>0</v>
      </c>
      <c r="Y107" s="99">
        <f>+VLOOKUP(PROVEEDORES[[#This Row],[ID RETENCION]],Retenciones!$A$1:$O$25,2,FALSE)</f>
        <v>0</v>
      </c>
      <c r="Z107" s="125" t="b">
        <f>OR(COUNTIF(PROVEEDORES[[#This Row],[PROVEEDOR]],"*"&amp;'Palabra no opera'!$A$2&amp;"*"))</f>
        <v>0</v>
      </c>
      <c r="AA107" s="24"/>
      <c r="AB107" s="24"/>
      <c r="AC107" s="24"/>
      <c r="AD107" s="24"/>
      <c r="AE107" s="24"/>
    </row>
    <row r="108" spans="1:31" ht="22.2" customHeight="1" x14ac:dyDescent="0.3">
      <c r="A108" s="66" t="str">
        <f>+IF(PROVEEDORES[[#This Row],[FECHA DE PAGO]]=PROVEEDORES[[#This Row],[FECHA DE FACTURACIÓN]],"DE CONTADO","CRÉDITO")</f>
        <v>CRÉDITO</v>
      </c>
      <c r="B108" s="38" t="str">
        <f>+IF((PROVEEDORES[[#This Row],[FECHA DE PAGO]]-PROVEEDORES[[#This Row],[FECHA DE FACTURACIÓN]])&gt;PROVEEDORES[[#This Row],[PLAZO Días]],"PAGO VENCIDO")</f>
        <v>PAGO VENCIDO</v>
      </c>
      <c r="C108" s="20">
        <f>+VLOOKUP(PROVEEDORES[[#This Row],[PROVEEDOR]],TERCEROS_INFO[#All],2,FALSE)</f>
        <v>60</v>
      </c>
      <c r="D108" s="25">
        <f>+SUMIFS(PROVEEDORES[Total],PROVEEDORES[PROVEEDOR],PROVEEDORES[[#This Row],[PROVEEDOR]],PROVEEDORES[FECHA DE PAGO],"")</f>
        <v>1520362</v>
      </c>
      <c r="E108" s="25"/>
      <c r="F10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08" s="161">
        <v>44586</v>
      </c>
      <c r="H108" s="26" t="s">
        <v>528</v>
      </c>
      <c r="I108" s="161">
        <v>44510</v>
      </c>
      <c r="J108" s="35" t="s">
        <v>1519</v>
      </c>
      <c r="K108" s="21">
        <v>285600</v>
      </c>
      <c r="L108" s="21"/>
      <c r="M108" s="22">
        <v>0</v>
      </c>
      <c r="N108" s="23"/>
      <c r="O108" s="22">
        <v>0</v>
      </c>
      <c r="P108" s="83">
        <f>+IF(PROVEEDORES[[#This Row],[SUBTOTAL]]&lt;PROVEEDORES[[#This Row],[base retencion]],0,PROVEEDORES[[#This Row],[retención aplicada]])</f>
        <v>0</v>
      </c>
      <c r="Q108" s="22">
        <f>+PROVEEDORES[[#This Row],[Rete Fuente %]]*(PROVEEDORES[[#This Row],[SUBTOTAL]]-PROVEEDORES[[#This Row],[descuento sobre subtotal]])</f>
        <v>0</v>
      </c>
      <c r="R108" s="21">
        <v>0</v>
      </c>
      <c r="S1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68">
        <f ca="1">IF(PROVEEDORES[[#This Row],[FECHA DE PAGO]]=0,TODAY()-PROVEEDORES[[#This Row],[FECHA DE FACTURACIÓN]]-PROVEEDORES[[#This Row],[PLAZO Días]],0)</f>
        <v>0</v>
      </c>
      <c r="U108" s="96">
        <f>+VLOOKUP(PROVEEDORES[[#This Row],[PROVEEDOR]],Terceros!$A:$D,4,FALSE)</f>
        <v>0</v>
      </c>
      <c r="V108" s="97">
        <f>+YEAR(PROVEEDORES[[#This Row],[FECHA DE FACTURACIÓN]])</f>
        <v>2021</v>
      </c>
      <c r="W108" s="97">
        <f>+MATCH(PROVEEDORES[[#This Row],[año facturado]],Retenciones!$1:$1,0)</f>
        <v>4</v>
      </c>
      <c r="X108" s="98">
        <f>+VLOOKUP(PROVEEDORES[[#This Row],[ID RETENCION]],Retenciones!$A$1:$O$25,PROVEEDORES[[#This Row],[indicador de columna]],FALSE)</f>
        <v>0</v>
      </c>
      <c r="Y108" s="99">
        <f>+VLOOKUP(PROVEEDORES[[#This Row],[ID RETENCION]],Retenciones!$A$1:$O$25,2,FALSE)</f>
        <v>0</v>
      </c>
      <c r="Z108" s="125" t="b">
        <f>OR(COUNTIF(PROVEEDORES[[#This Row],[PROVEEDOR]],"*"&amp;'Palabra no opera'!$A$2&amp;"*"))</f>
        <v>0</v>
      </c>
      <c r="AA108" s="24"/>
      <c r="AB108" s="24"/>
      <c r="AC108" s="24"/>
      <c r="AD108" s="24"/>
      <c r="AE108" s="24"/>
    </row>
    <row r="109" spans="1:31" ht="22.2" customHeight="1" x14ac:dyDescent="0.3">
      <c r="A109" s="66" t="str">
        <f>+IF(PROVEEDORES[[#This Row],[FECHA DE PAGO]]=PROVEEDORES[[#This Row],[FECHA DE FACTURACIÓN]],"DE CONTADO","CRÉDITO")</f>
        <v>DE CONTADO</v>
      </c>
      <c r="B109" s="38" t="b">
        <f>+IF((PROVEEDORES[[#This Row],[FECHA DE PAGO]]-PROVEEDORES[[#This Row],[FECHA DE FACTURACIÓN]])&gt;PROVEEDORES[[#This Row],[PLAZO Días]],"PAGO VENCIDO")</f>
        <v>0</v>
      </c>
      <c r="C109" s="20">
        <f>+VLOOKUP(PROVEEDORES[[#This Row],[PROVEEDOR]],TERCEROS_INFO[#All],2,FALSE)</f>
        <v>30</v>
      </c>
      <c r="D109" s="25">
        <f>+SUMIFS(PROVEEDORES[Total],PROVEEDORES[PROVEEDOR],PROVEEDORES[[#This Row],[PROVEEDOR]],PROVEEDORES[FECHA DE PAGO],"")</f>
        <v>0</v>
      </c>
      <c r="E109" s="25"/>
      <c r="F109" s="58" t="str">
        <f>+VLOOKUP(PROVEEDORES[[#This Row],[PROVEEDOR]],
                       Terceros!$A:$F,
                       5,
                       FALSE)</f>
        <v/>
      </c>
      <c r="G109" s="161">
        <v>44593</v>
      </c>
      <c r="H109" s="26" t="s">
        <v>673</v>
      </c>
      <c r="I109" s="161">
        <v>44593</v>
      </c>
      <c r="J109" s="35"/>
      <c r="K109" s="21">
        <v>1000000</v>
      </c>
      <c r="L109" s="21"/>
      <c r="M109" s="22">
        <v>0</v>
      </c>
      <c r="N109" s="23"/>
      <c r="O109" s="22">
        <v>0</v>
      </c>
      <c r="P109" s="83">
        <f>+IF(PROVEEDORES[[#This Row],[SUBTOTAL]]&lt;PROVEEDORES[[#This Row],[base retencion]],0,PROVEEDORES[[#This Row],[retención aplicada]])</f>
        <v>0</v>
      </c>
      <c r="Q109" s="22">
        <f>+PROVEEDORES[[#This Row],[Rete Fuente %]]*(PROVEEDORES[[#This Row],[SUBTOTAL]]-PROVEEDORES[[#This Row],[descuento sobre subtotal]])</f>
        <v>0</v>
      </c>
      <c r="R109" s="21">
        <v>0</v>
      </c>
      <c r="S1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68">
        <f ca="1">IF(PROVEEDORES[[#This Row],[FECHA DE PAGO]]=0,TODAY()-PROVEEDORES[[#This Row],[FECHA DE FACTURACIÓN]]-PROVEEDORES[[#This Row],[PLAZO Días]],0)</f>
        <v>0</v>
      </c>
      <c r="U109" s="96">
        <f>+VLOOKUP(PROVEEDORES[[#This Row],[PROVEEDOR]],Terceros!$A:$D,4,FALSE)</f>
        <v>0</v>
      </c>
      <c r="V109" s="97">
        <f>+YEAR(PROVEEDORES[[#This Row],[FECHA DE FACTURACIÓN]])</f>
        <v>2022</v>
      </c>
      <c r="W109" s="97">
        <f>+MATCH(PROVEEDORES[[#This Row],[año facturado]],Retenciones!$1:$1,0)</f>
        <v>5</v>
      </c>
      <c r="X109" s="98">
        <f>+VLOOKUP(PROVEEDORES[[#This Row],[ID RETENCION]],Retenciones!$A$1:$O$25,PROVEEDORES[[#This Row],[indicador de columna]],FALSE)</f>
        <v>0</v>
      </c>
      <c r="Y109" s="99">
        <f>+VLOOKUP(PROVEEDORES[[#This Row],[ID RETENCION]],Retenciones!$A$1:$O$25,2,FALSE)</f>
        <v>0</v>
      </c>
      <c r="Z109" s="125" t="b">
        <f>OR(COUNTIF(PROVEEDORES[[#This Row],[PROVEEDOR]],"*"&amp;'Palabra no opera'!$A$2&amp;"*"))</f>
        <v>0</v>
      </c>
      <c r="AA109" s="24"/>
      <c r="AB109" s="24"/>
      <c r="AC109" s="24"/>
      <c r="AD109" s="24"/>
      <c r="AE109" s="24"/>
    </row>
    <row r="110" spans="1:31" ht="22.2" customHeight="1" x14ac:dyDescent="0.3">
      <c r="A110" s="66" t="str">
        <f>+IF(PROVEEDORES[[#This Row],[FECHA DE PAGO]]=PROVEEDORES[[#This Row],[FECHA DE FACTURACIÓN]],"DE CONTADO","CRÉDITO")</f>
        <v>CRÉDITO</v>
      </c>
      <c r="B110" s="38" t="b">
        <f>+IF((PROVEEDORES[[#This Row],[FECHA DE PAGO]]-PROVEEDORES[[#This Row],[FECHA DE FACTURACIÓN]])&gt;PROVEEDORES[[#This Row],[PLAZO Días]],"PAGO VENCIDO")</f>
        <v>0</v>
      </c>
      <c r="C110" s="20">
        <f>+VLOOKUP(PROVEEDORES[[#This Row],[PROVEEDOR]],TERCEROS_INFO[#All],2,FALSE)</f>
        <v>30</v>
      </c>
      <c r="D110" s="25">
        <f>+SUMIFS(PROVEEDORES[Total],PROVEEDORES[PROVEEDOR],PROVEEDORES[[#This Row],[PROVEEDOR]],PROVEEDORES[FECHA DE PAGO],"")</f>
        <v>0</v>
      </c>
      <c r="E110" s="25"/>
      <c r="F110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10" s="161">
        <v>44595</v>
      </c>
      <c r="H110" s="26" t="s">
        <v>930</v>
      </c>
      <c r="I110" s="161">
        <v>44593</v>
      </c>
      <c r="J110" s="35">
        <v>805</v>
      </c>
      <c r="K110" s="21">
        <v>239200</v>
      </c>
      <c r="L110" s="21"/>
      <c r="M110" s="22">
        <f>(PROVEEDORES[[#This Row],[SUBTOTAL]]-PROVEEDORES[[#This Row],[descuento sobre subtotal]])*VLOOKUP(PROVEEDORES[[#This Row],[PROVEEDOR]],TERCEROS_INFO[#All],3,FALSE)</f>
        <v>0</v>
      </c>
      <c r="N110" s="23"/>
      <c r="O110" s="22">
        <f>+PROVEEDORES[[#This Row],[Descuento sobre subtotal %]]*(PROVEEDORES[[#This Row],[SUBTOTAL]]-PROVEEDORES[[#This Row],[descuento sobre subtotal]])</f>
        <v>0</v>
      </c>
      <c r="P110" s="83">
        <f>+IF(PROVEEDORES[[#This Row],[SUBTOTAL]]&lt;PROVEEDORES[[#This Row],[base retencion]],0,PROVEEDORES[[#This Row],[retención aplicada]])</f>
        <v>3.5000000000000003E-2</v>
      </c>
      <c r="Q110" s="22">
        <f>+PROVEEDORES[[#This Row],[Rete Fuente %]]*(PROVEEDORES[[#This Row],[SUBTOTAL]]-PROVEEDORES[[#This Row],[descuento sobre subtotal]])</f>
        <v>8372</v>
      </c>
      <c r="R110" s="21">
        <v>0</v>
      </c>
      <c r="S1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68">
        <f ca="1">IF(PROVEEDORES[[#This Row],[FECHA DE PAGO]]=0,TODAY()-PROVEEDORES[[#This Row],[FECHA DE FACTURACIÓN]]-PROVEEDORES[[#This Row],[PLAZO Días]],0)</f>
        <v>0</v>
      </c>
      <c r="U110" s="96" t="str">
        <f>+VLOOKUP(PROVEEDORES[[#This Row],[PROVEEDOR]],Terceros!$A:$D,4,FALSE)</f>
        <v>3,5% sin base</v>
      </c>
      <c r="V110" s="97">
        <f>+YEAR(PROVEEDORES[[#This Row],[FECHA DE FACTURACIÓN]])</f>
        <v>2022</v>
      </c>
      <c r="W110" s="97">
        <f>+MATCH(PROVEEDORES[[#This Row],[año facturado]],Retenciones!$1:$1,0)</f>
        <v>5</v>
      </c>
      <c r="X110" s="98">
        <f>+VLOOKUP(PROVEEDORES[[#This Row],[ID RETENCION]],Retenciones!$A$1:$O$25,PROVEEDORES[[#This Row],[indicador de columna]],FALSE)</f>
        <v>0</v>
      </c>
      <c r="Y110" s="99">
        <f>+VLOOKUP(PROVEEDORES[[#This Row],[ID RETENCION]],Retenciones!$A$1:$O$25,2,FALSE)</f>
        <v>3.5000000000000003E-2</v>
      </c>
      <c r="Z110" s="125" t="b">
        <f>OR(COUNTIF(PROVEEDORES[[#This Row],[PROVEEDOR]],"*"&amp;'Palabra no opera'!$A$2&amp;"*"))</f>
        <v>1</v>
      </c>
      <c r="AA110" s="24"/>
      <c r="AB110" s="24"/>
      <c r="AC110" s="24"/>
      <c r="AD110" s="24"/>
      <c r="AE110" s="24"/>
    </row>
    <row r="111" spans="1:31" ht="22.2" customHeight="1" x14ac:dyDescent="0.3">
      <c r="A111" s="66" t="str">
        <f>+IF(PROVEEDORES[[#This Row],[FECHA DE PAGO]]=PROVEEDORES[[#This Row],[FECHA DE FACTURACIÓN]],"DE CONTADO","CRÉDITO")</f>
        <v>CRÉDITO</v>
      </c>
      <c r="B111" s="38" t="b">
        <f>+IF((PROVEEDORES[[#This Row],[FECHA DE PAGO]]-PROVEEDORES[[#This Row],[FECHA DE FACTURACIÓN]])&gt;PROVEEDORES[[#This Row],[PLAZO Días]],"PAGO VENCIDO")</f>
        <v>0</v>
      </c>
      <c r="C111" s="20">
        <f>+VLOOKUP(PROVEEDORES[[#This Row],[PROVEEDOR]],TERCEROS_INFO[#All],2,FALSE)</f>
        <v>30</v>
      </c>
      <c r="D111" s="25">
        <f>+SUMIFS(PROVEEDORES[Total],PROVEEDORES[PROVEEDOR],PROVEEDORES[[#This Row],[PROVEEDOR]],PROVEEDORES[FECHA DE PAGO],"")</f>
        <v>0</v>
      </c>
      <c r="E111" s="25"/>
      <c r="F111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11" s="161">
        <v>44656</v>
      </c>
      <c r="H111" s="26" t="s">
        <v>688</v>
      </c>
      <c r="I111" s="161">
        <v>44649</v>
      </c>
      <c r="J111" s="35" t="s">
        <v>1581</v>
      </c>
      <c r="K111" s="21">
        <v>-1200000</v>
      </c>
      <c r="L111" s="21"/>
      <c r="M111" s="22">
        <v>0</v>
      </c>
      <c r="N111" s="23"/>
      <c r="O111" s="22">
        <v>0</v>
      </c>
      <c r="P111" s="83">
        <f>+IF(PROVEEDORES[[#This Row],[SUBTOTAL]]&lt;PROVEEDORES[[#This Row],[base retencion]],0,PROVEEDORES[[#This Row],[retención aplicada]])</f>
        <v>0</v>
      </c>
      <c r="Q111" s="22">
        <f>+PROVEEDORES[[#This Row],[Rete Fuente %]]*(PROVEEDORES[[#This Row],[SUBTOTAL]]-PROVEEDORES[[#This Row],[descuento sobre subtotal]])</f>
        <v>0</v>
      </c>
      <c r="R111" s="21">
        <v>0</v>
      </c>
      <c r="S1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68">
        <f ca="1">IF(PROVEEDORES[[#This Row],[FECHA DE PAGO]]=0,TODAY()-PROVEEDORES[[#This Row],[FECHA DE FACTURACIÓN]]-PROVEEDORES[[#This Row],[PLAZO Días]],0)</f>
        <v>0</v>
      </c>
      <c r="U111" s="96">
        <f>+VLOOKUP(PROVEEDORES[[#This Row],[PROVEEDOR]],Terceros!$A:$D,4,FALSE)</f>
        <v>0</v>
      </c>
      <c r="V111" s="97">
        <f>+YEAR(PROVEEDORES[[#This Row],[FECHA DE FACTURACIÓN]])</f>
        <v>2022</v>
      </c>
      <c r="W111" s="97">
        <f>+MATCH(PROVEEDORES[[#This Row],[año facturado]],Retenciones!$1:$1,0)</f>
        <v>5</v>
      </c>
      <c r="X111" s="98">
        <f>+VLOOKUP(PROVEEDORES[[#This Row],[ID RETENCION]],Retenciones!$A$1:$O$25,PROVEEDORES[[#This Row],[indicador de columna]],FALSE)</f>
        <v>0</v>
      </c>
      <c r="Y111" s="99">
        <f>+VLOOKUP(PROVEEDORES[[#This Row],[ID RETENCION]],Retenciones!$A$1:$O$25,2,FALSE)</f>
        <v>0</v>
      </c>
      <c r="Z111" s="125" t="b">
        <f>OR(COUNTIF(PROVEEDORES[[#This Row],[PROVEEDOR]],"*"&amp;'Palabra no opera'!$A$2&amp;"*"))</f>
        <v>0</v>
      </c>
      <c r="AA111" s="24"/>
      <c r="AB111" s="24"/>
      <c r="AC111" s="24"/>
      <c r="AD111" s="24"/>
      <c r="AE111" s="24"/>
    </row>
    <row r="112" spans="1:31" ht="22.2" customHeight="1" x14ac:dyDescent="0.3">
      <c r="A112" s="66" t="str">
        <f>+IF(PROVEEDORES[[#This Row],[FECHA DE PAGO]]=PROVEEDORES[[#This Row],[FECHA DE FACTURACIÓN]],"DE CONTADO","CRÉDITO")</f>
        <v>CRÉDITO</v>
      </c>
      <c r="B112" s="38" t="b">
        <f>+IF((PROVEEDORES[[#This Row],[FECHA DE PAGO]]-PROVEEDORES[[#This Row],[FECHA DE FACTURACIÓN]])&gt;PROVEEDORES[[#This Row],[PLAZO Días]],"PAGO VENCIDO")</f>
        <v>0</v>
      </c>
      <c r="C112" s="20">
        <f>+VLOOKUP(PROVEEDORES[[#This Row],[PROVEEDOR]],TERCEROS_INFO[#All],2,FALSE)</f>
        <v>90</v>
      </c>
      <c r="D112" s="25">
        <f>+SUMIFS(PROVEEDORES[Total],PROVEEDORES[PROVEEDOR],PROVEEDORES[[#This Row],[PROVEEDOR]],PROVEEDORES[FECHA DE PAGO],"")</f>
        <v>0</v>
      </c>
      <c r="E112" s="25"/>
      <c r="F11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2" s="161">
        <v>44718</v>
      </c>
      <c r="H112" s="26" t="s">
        <v>9</v>
      </c>
      <c r="I112" s="161">
        <v>44649</v>
      </c>
      <c r="J112" s="35" t="s">
        <v>855</v>
      </c>
      <c r="K112" s="21">
        <v>-344533</v>
      </c>
      <c r="L112" s="21"/>
      <c r="M112" s="22">
        <f>(PROVEEDORES[[#This Row],[SUBTOTAL]]-PROVEEDORES[[#This Row],[descuento sobre subtotal]])*VLOOKUP(PROVEEDORES[[#This Row],[PROVEEDOR]],TERCEROS_INFO[#All],3,FALSE)</f>
        <v>-65461.270000000004</v>
      </c>
      <c r="N112" s="23"/>
      <c r="O112" s="22">
        <f>+PROVEEDORES[[#This Row],[Descuento sobre subtotal %]]*(PROVEEDORES[[#This Row],[SUBTOTAL]]-PROVEEDORES[[#This Row],[descuento sobre subtotal]])</f>
        <v>0</v>
      </c>
      <c r="P112" s="83">
        <f>+IF(PROVEEDORES[[#This Row],[SUBTOTAL]]&lt;PROVEEDORES[[#This Row],[base retencion]],0,PROVEEDORES[[#This Row],[retención aplicada]])</f>
        <v>0</v>
      </c>
      <c r="Q112" s="22">
        <f>+PROVEEDORES[[#This Row],[Rete Fuente %]]*(PROVEEDORES[[#This Row],[SUBTOTAL]]-PROVEEDORES[[#This Row],[descuento sobre subtotal]])</f>
        <v>0</v>
      </c>
      <c r="R112" s="21">
        <v>0</v>
      </c>
      <c r="S1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68">
        <f ca="1">IF(PROVEEDORES[[#This Row],[FECHA DE PAGO]]=0,TODAY()-PROVEEDORES[[#This Row],[FECHA DE FACTURACIÓN]]-PROVEEDORES[[#This Row],[PLAZO Días]],0)</f>
        <v>0</v>
      </c>
      <c r="U112" s="96" t="str">
        <f>+VLOOKUP(PROVEEDORES[[#This Row],[PROVEEDOR]],Terceros!$A:$D,4,FALSE)</f>
        <v>2,5% con base</v>
      </c>
      <c r="V112" s="97">
        <f>+YEAR(PROVEEDORES[[#This Row],[FECHA DE FACTURACIÓN]])</f>
        <v>2022</v>
      </c>
      <c r="W112" s="97">
        <f>+MATCH(PROVEEDORES[[#This Row],[año facturado]],Retenciones!$1:$1,0)</f>
        <v>5</v>
      </c>
      <c r="X112" s="98">
        <f>+VLOOKUP(PROVEEDORES[[#This Row],[ID RETENCION]],Retenciones!$A$1:$O$25,PROVEEDORES[[#This Row],[indicador de columna]],FALSE)</f>
        <v>1026000</v>
      </c>
      <c r="Y112" s="99">
        <f>+VLOOKUP(PROVEEDORES[[#This Row],[ID RETENCION]],Retenciones!$A$1:$O$25,2,FALSE)</f>
        <v>2.5000000000000001E-2</v>
      </c>
      <c r="Z112" s="125" t="b">
        <f>OR(COUNTIF(PROVEEDORES[[#This Row],[PROVEEDOR]],"*"&amp;'Palabra no opera'!$A$2&amp;"*"))</f>
        <v>0</v>
      </c>
      <c r="AA112" s="24"/>
      <c r="AB112" s="24"/>
      <c r="AC112" s="24"/>
      <c r="AD112" s="24"/>
      <c r="AE112" s="24"/>
    </row>
    <row r="113" spans="1:31" ht="22.2" customHeight="1" x14ac:dyDescent="0.3">
      <c r="A113" s="72" t="str">
        <f>+IF(PROVEEDORES[[#This Row],[FECHA DE PAGO]]=PROVEEDORES[[#This Row],[FECHA DE FACTURACIÓN]],"DE CONTADO","CRÉDITO")</f>
        <v>CRÉDITO</v>
      </c>
      <c r="B113" s="38" t="b">
        <f>+IF((PROVEEDORES[[#This Row],[FECHA DE PAGO]]-PROVEEDORES[[#This Row],[FECHA DE FACTURACIÓN]])&gt;PROVEEDORES[[#This Row],[PLAZO Días]],"PAGO VENCIDO")</f>
        <v>0</v>
      </c>
      <c r="C113" s="20">
        <f>+VLOOKUP(PROVEEDORES[[#This Row],[PROVEEDOR]],TERCEROS_INFO[#All],2,FALSE)</f>
        <v>90</v>
      </c>
      <c r="D113" s="25">
        <f>+SUMIFS(PROVEEDORES[Total],PROVEEDORES[PROVEEDOR],PROVEEDORES[[#This Row],[PROVEEDOR]],PROVEEDORES[FECHA DE PAGO],"")</f>
        <v>0</v>
      </c>
      <c r="E113" s="25"/>
      <c r="F11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" s="161">
        <v>44718</v>
      </c>
      <c r="H113" s="26" t="s">
        <v>9</v>
      </c>
      <c r="I113" s="161">
        <v>44704</v>
      </c>
      <c r="J113" s="35" t="s">
        <v>1601</v>
      </c>
      <c r="K113" s="21">
        <v>-7000000</v>
      </c>
      <c r="L113" s="21"/>
      <c r="M113" s="22">
        <f>(PROVEEDORES[[#This Row],[SUBTOTAL]]-PROVEEDORES[[#This Row],[descuento sobre subtotal]])*VLOOKUP(PROVEEDORES[[#This Row],[PROVEEDOR]],TERCEROS_INFO[#All],3,FALSE)</f>
        <v>-1330000</v>
      </c>
      <c r="N113" s="23"/>
      <c r="O113" s="22">
        <f>+PROVEEDORES[[#This Row],[Descuento sobre subtotal %]]*(PROVEEDORES[[#This Row],[SUBTOTAL]]-PROVEEDORES[[#This Row],[descuento sobre subtotal]])</f>
        <v>0</v>
      </c>
      <c r="P113" s="83">
        <f>+IF(PROVEEDORES[[#This Row],[SUBTOTAL]]&lt;PROVEEDORES[[#This Row],[base retencion]],0,PROVEEDORES[[#This Row],[retención aplicada]])</f>
        <v>0</v>
      </c>
      <c r="Q113" s="22">
        <f>+PROVEEDORES[[#This Row],[Rete Fuente %]]*(PROVEEDORES[[#This Row],[SUBTOTAL]]-PROVEEDORES[[#This Row],[descuento sobre subtotal]])</f>
        <v>0</v>
      </c>
      <c r="R113" s="21">
        <v>0</v>
      </c>
      <c r="S11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68">
        <f ca="1">IF(PROVEEDORES[[#This Row],[FECHA DE PAGO]]=0,TODAY()-PROVEEDORES[[#This Row],[FECHA DE FACTURACIÓN]]-PROVEEDORES[[#This Row],[PLAZO Días]],0)</f>
        <v>0</v>
      </c>
      <c r="U113" s="113" t="str">
        <f>+VLOOKUP(PROVEEDORES[[#This Row],[PROVEEDOR]],Terceros!$A:$D,4,FALSE)</f>
        <v>2,5% con base</v>
      </c>
      <c r="V113" s="114">
        <f>+YEAR(PROVEEDORES[[#This Row],[FECHA DE FACTURACIÓN]])</f>
        <v>2022</v>
      </c>
      <c r="W113" s="114">
        <f>+MATCH(PROVEEDORES[[#This Row],[año facturado]],Retenciones!$1:$1,0)</f>
        <v>5</v>
      </c>
      <c r="X113" s="115">
        <f>+VLOOKUP(PROVEEDORES[[#This Row],[ID RETENCION]],Retenciones!$A$1:$O$25,PROVEEDORES[[#This Row],[indicador de columna]],FALSE)</f>
        <v>1026000</v>
      </c>
      <c r="Y113" s="116">
        <f>+VLOOKUP(PROVEEDORES[[#This Row],[ID RETENCION]],Retenciones!$A$1:$O$25,2,FALSE)</f>
        <v>2.5000000000000001E-2</v>
      </c>
      <c r="Z113" s="125" t="b">
        <f>OR(COUNTIF(PROVEEDORES[[#This Row],[PROVEEDOR]],"*"&amp;'Palabra no opera'!$A$2&amp;"*"))</f>
        <v>0</v>
      </c>
      <c r="AA113" s="24"/>
      <c r="AB113" s="24"/>
      <c r="AC113" s="24"/>
      <c r="AD113" s="24"/>
      <c r="AE113" s="24"/>
    </row>
    <row r="114" spans="1:31" ht="22.2" customHeight="1" x14ac:dyDescent="0.3">
      <c r="A114" s="72" t="str">
        <f>+IF(PROVEEDORES[[#This Row],[FECHA DE PAGO]]=PROVEEDORES[[#This Row],[FECHA DE FACTURACIÓN]],"DE CONTADO","CRÉDITO")</f>
        <v>DE CONTADO</v>
      </c>
      <c r="B114" s="38" t="b">
        <f>+IF((PROVEEDORES[[#This Row],[FECHA DE PAGO]]-PROVEEDORES[[#This Row],[FECHA DE FACTURACIÓN]])&gt;PROVEEDORES[[#This Row],[PLAZO Días]],"PAGO VENCIDO")</f>
        <v>0</v>
      </c>
      <c r="C114" s="20">
        <f>+VLOOKUP(PROVEEDORES[[#This Row],[PROVEEDOR]],TERCEROS_INFO[#All],2,FALSE)</f>
        <v>90</v>
      </c>
      <c r="D114" s="25">
        <f>+SUMIFS(PROVEEDORES[Total],PROVEEDORES[PROVEEDOR],PROVEEDORES[[#This Row],[PROVEEDOR]],PROVEEDORES[FECHA DE PAGO],"")</f>
        <v>0</v>
      </c>
      <c r="E114" s="25"/>
      <c r="F11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4" s="161">
        <v>44718</v>
      </c>
      <c r="H114" s="26" t="s">
        <v>9</v>
      </c>
      <c r="I114" s="161">
        <v>44718</v>
      </c>
      <c r="J114" s="35" t="s">
        <v>1601</v>
      </c>
      <c r="K114" s="21">
        <v>-14832130</v>
      </c>
      <c r="L114" s="21"/>
      <c r="M114" s="22">
        <f>(PROVEEDORES[[#This Row],[SUBTOTAL]]-PROVEEDORES[[#This Row],[descuento sobre subtotal]])*VLOOKUP(PROVEEDORES[[#This Row],[PROVEEDOR]],TERCEROS_INFO[#All],3,FALSE)</f>
        <v>-2818104.7</v>
      </c>
      <c r="N114" s="23"/>
      <c r="O114" s="22">
        <f>+PROVEEDORES[[#This Row],[Descuento sobre subtotal %]]*(PROVEEDORES[[#This Row],[SUBTOTAL]]-PROVEEDORES[[#This Row],[descuento sobre subtotal]])</f>
        <v>0</v>
      </c>
      <c r="P114" s="83">
        <f>+IF(PROVEEDORES[[#This Row],[SUBTOTAL]]&lt;PROVEEDORES[[#This Row],[base retencion]],0,PROVEEDORES[[#This Row],[retención aplicada]])</f>
        <v>0</v>
      </c>
      <c r="Q114" s="22">
        <f>+PROVEEDORES[[#This Row],[Rete Fuente %]]*(PROVEEDORES[[#This Row],[SUBTOTAL]]-PROVEEDORES[[#This Row],[descuento sobre subtotal]])</f>
        <v>0</v>
      </c>
      <c r="R114" s="21">
        <v>0</v>
      </c>
      <c r="S11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68">
        <f ca="1">IF(PROVEEDORES[[#This Row],[FECHA DE PAGO]]=0,TODAY()-PROVEEDORES[[#This Row],[FECHA DE FACTURACIÓN]]-PROVEEDORES[[#This Row],[PLAZO Días]],0)</f>
        <v>0</v>
      </c>
      <c r="U114" s="113" t="str">
        <f>+VLOOKUP(PROVEEDORES[[#This Row],[PROVEEDOR]],Terceros!$A:$D,4,FALSE)</f>
        <v>2,5% con base</v>
      </c>
      <c r="V114" s="114">
        <f>+YEAR(PROVEEDORES[[#This Row],[FECHA DE FACTURACIÓN]])</f>
        <v>2022</v>
      </c>
      <c r="W114" s="114">
        <f>+MATCH(PROVEEDORES[[#This Row],[año facturado]],Retenciones!$1:$1,0)</f>
        <v>5</v>
      </c>
      <c r="X114" s="115">
        <f>+VLOOKUP(PROVEEDORES[[#This Row],[ID RETENCION]],Retenciones!$A$1:$O$25,PROVEEDORES[[#This Row],[indicador de columna]],FALSE)</f>
        <v>1026000</v>
      </c>
      <c r="Y114" s="116">
        <f>+VLOOKUP(PROVEEDORES[[#This Row],[ID RETENCION]],Retenciones!$A$1:$O$25,2,FALSE)</f>
        <v>2.5000000000000001E-2</v>
      </c>
      <c r="Z114" s="125" t="b">
        <f>OR(COUNTIF(PROVEEDORES[[#This Row],[PROVEEDOR]],"*"&amp;'Palabra no opera'!$A$2&amp;"*"))</f>
        <v>0</v>
      </c>
      <c r="AA114" s="24"/>
      <c r="AB114" s="24"/>
      <c r="AC114" s="24"/>
      <c r="AD114" s="24"/>
      <c r="AE114" s="24"/>
    </row>
    <row r="115" spans="1:31" ht="22.2" customHeight="1" x14ac:dyDescent="0.3">
      <c r="A115" s="72" t="str">
        <f>+IF(PROVEEDORES[[#This Row],[FECHA DE PAGO]]=PROVEEDORES[[#This Row],[FECHA DE FACTURACIÓN]],"DE CONTADO","CRÉDITO")</f>
        <v>CRÉDITO</v>
      </c>
      <c r="B115" s="38" t="str">
        <f>+IF((PROVEEDORES[[#This Row],[FECHA DE PAGO]]-PROVEEDORES[[#This Row],[FECHA DE FACTURACIÓN]])&gt;PROVEEDORES[[#This Row],[PLAZO Días]],"PAGO VENCIDO")</f>
        <v>PAGO VENCIDO</v>
      </c>
      <c r="C115" s="20">
        <v>-1</v>
      </c>
      <c r="D115" s="25">
        <f>+SUMIFS(PROVEEDORES[Total],PROVEEDORES[PROVEEDOR],PROVEEDORES[[#This Row],[PROVEEDOR]],PROVEEDORES[FECHA DE PAGO],"")</f>
        <v>26350422.770000003</v>
      </c>
      <c r="E115" s="25"/>
      <c r="F11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5" s="161">
        <v>44764</v>
      </c>
      <c r="H115" s="26" t="s">
        <v>12</v>
      </c>
      <c r="I115" s="161">
        <v>44758</v>
      </c>
      <c r="J115" s="35" t="s">
        <v>1121</v>
      </c>
      <c r="K115" s="21">
        <v>-9000000</v>
      </c>
      <c r="L115" s="21"/>
      <c r="M115" s="22">
        <v>0</v>
      </c>
      <c r="N115" s="23"/>
      <c r="O115" s="22">
        <f>+PROVEEDORES[[#This Row],[Descuento sobre subtotal %]]*(PROVEEDORES[[#This Row],[SUBTOTAL]]-PROVEEDORES[[#This Row],[descuento sobre subtotal]])</f>
        <v>0</v>
      </c>
      <c r="P115" s="83">
        <f>+IF(PROVEEDORES[[#This Row],[SUBTOTAL]]&lt;PROVEEDORES[[#This Row],[base retencion]],0,PROVEEDORES[[#This Row],[retención aplicada]])</f>
        <v>0</v>
      </c>
      <c r="Q115" s="22">
        <f>+PROVEEDORES[[#This Row],[Rete Fuente %]]*(PROVEEDORES[[#This Row],[SUBTOTAL]]-PROVEEDORES[[#This Row],[descuento sobre subtotal]])</f>
        <v>0</v>
      </c>
      <c r="R115" s="21">
        <v>0</v>
      </c>
      <c r="S11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68">
        <f ca="1">IF(PROVEEDORES[[#This Row],[FECHA DE PAGO]]=0,TODAY()-PROVEEDORES[[#This Row],[FECHA DE FACTURACIÓN]]-PROVEEDORES[[#This Row],[PLAZO Días]],0)</f>
        <v>0</v>
      </c>
      <c r="U115" s="113" t="str">
        <f>+VLOOKUP(PROVEEDORES[[#This Row],[PROVEEDOR]],Terceros!$A:$D,4,FALSE)</f>
        <v>2,5% con base</v>
      </c>
      <c r="V115" s="114">
        <f>+YEAR(PROVEEDORES[[#This Row],[FECHA DE FACTURACIÓN]])</f>
        <v>2022</v>
      </c>
      <c r="W115" s="114">
        <f>+MATCH(PROVEEDORES[[#This Row],[año facturado]],Retenciones!$1:$1,0)</f>
        <v>5</v>
      </c>
      <c r="X115" s="115">
        <f>+VLOOKUP(PROVEEDORES[[#This Row],[ID RETENCION]],Retenciones!$A$1:$O$25,PROVEEDORES[[#This Row],[indicador de columna]],FALSE)</f>
        <v>1026000</v>
      </c>
      <c r="Y115" s="116">
        <f>+VLOOKUP(PROVEEDORES[[#This Row],[ID RETENCION]],Retenciones!$A$1:$O$25,2,FALSE)</f>
        <v>2.5000000000000001E-2</v>
      </c>
      <c r="Z115" s="125" t="b">
        <f>OR(COUNTIF(PROVEEDORES[[#This Row],[PROVEEDOR]],"*"&amp;'Palabra no opera'!$A$2&amp;"*"))</f>
        <v>0</v>
      </c>
      <c r="AA115" s="24"/>
      <c r="AB115" s="24"/>
      <c r="AC115" s="24"/>
      <c r="AD115" s="24"/>
      <c r="AE115" s="24"/>
    </row>
    <row r="116" spans="1:31" ht="22.2" customHeight="1" x14ac:dyDescent="0.3">
      <c r="A116" s="72" t="str">
        <f>+IF(PROVEEDORES[[#This Row],[FECHA DE PAGO]]=PROVEEDORES[[#This Row],[FECHA DE FACTURACIÓN]],"DE CONTADO","CRÉDITO")</f>
        <v>DE CONTADO</v>
      </c>
      <c r="B116" s="38" t="b">
        <f>+IF((PROVEEDORES[[#This Row],[FECHA DE PAGO]]-PROVEEDORES[[#This Row],[FECHA DE FACTURACIÓN]])&gt;PROVEEDORES[[#This Row],[PLAZO Días]],"PAGO VENCIDO")</f>
        <v>0</v>
      </c>
      <c r="C116" s="20">
        <f>+VLOOKUP(PROVEEDORES[[#This Row],[PROVEEDOR]],TERCEROS_INFO[#All],2,FALSE)</f>
        <v>90</v>
      </c>
      <c r="D116" s="25">
        <f>+SUMIFS(PROVEEDORES[Total],PROVEEDORES[PROVEEDOR],PROVEEDORES[[#This Row],[PROVEEDOR]],PROVEEDORES[FECHA DE PAGO],"")</f>
        <v>26350422.770000003</v>
      </c>
      <c r="E116" s="25"/>
      <c r="F11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6" s="161">
        <v>44764</v>
      </c>
      <c r="H116" s="26" t="s">
        <v>12</v>
      </c>
      <c r="I116" s="161">
        <v>44764</v>
      </c>
      <c r="J116" s="35" t="s">
        <v>1121</v>
      </c>
      <c r="K116" s="21">
        <v>-17364244</v>
      </c>
      <c r="L116" s="21"/>
      <c r="M116" s="22">
        <v>0</v>
      </c>
      <c r="N116" s="23"/>
      <c r="O116" s="22">
        <f>+PROVEEDORES[[#This Row],[Descuento sobre subtotal %]]*(PROVEEDORES[[#This Row],[SUBTOTAL]]-PROVEEDORES[[#This Row],[descuento sobre subtotal]])</f>
        <v>0</v>
      </c>
      <c r="P116" s="83">
        <f>+IF(PROVEEDORES[[#This Row],[SUBTOTAL]]&lt;PROVEEDORES[[#This Row],[base retencion]],0,PROVEEDORES[[#This Row],[retención aplicada]])</f>
        <v>0</v>
      </c>
      <c r="Q116" s="22">
        <f>+PROVEEDORES[[#This Row],[Rete Fuente %]]*(PROVEEDORES[[#This Row],[SUBTOTAL]]-PROVEEDORES[[#This Row],[descuento sobre subtotal]])</f>
        <v>0</v>
      </c>
      <c r="R116" s="21">
        <v>0</v>
      </c>
      <c r="S11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68">
        <f ca="1">IF(PROVEEDORES[[#This Row],[FECHA DE PAGO]]=0,TODAY()-PROVEEDORES[[#This Row],[FECHA DE FACTURACIÓN]]-PROVEEDORES[[#This Row],[PLAZO Días]],0)</f>
        <v>0</v>
      </c>
      <c r="U116" s="113" t="str">
        <f>+VLOOKUP(PROVEEDORES[[#This Row],[PROVEEDOR]],Terceros!$A:$D,4,FALSE)</f>
        <v>2,5% con base</v>
      </c>
      <c r="V116" s="114">
        <f>+YEAR(PROVEEDORES[[#This Row],[FECHA DE FACTURACIÓN]])</f>
        <v>2022</v>
      </c>
      <c r="W116" s="114">
        <f>+MATCH(PROVEEDORES[[#This Row],[año facturado]],Retenciones!$1:$1,0)</f>
        <v>5</v>
      </c>
      <c r="X116" s="115">
        <f>+VLOOKUP(PROVEEDORES[[#This Row],[ID RETENCION]],Retenciones!$A$1:$O$25,PROVEEDORES[[#This Row],[indicador de columna]],FALSE)</f>
        <v>1026000</v>
      </c>
      <c r="Y116" s="116">
        <f>+VLOOKUP(PROVEEDORES[[#This Row],[ID RETENCION]],Retenciones!$A$1:$O$25,2,FALSE)</f>
        <v>2.5000000000000001E-2</v>
      </c>
      <c r="Z116" s="125" t="b">
        <f>OR(COUNTIF(PROVEEDORES[[#This Row],[PROVEEDOR]],"*"&amp;'Palabra no opera'!$A$2&amp;"*"))</f>
        <v>0</v>
      </c>
      <c r="AA116" s="24"/>
      <c r="AB116" s="24"/>
      <c r="AC116" s="24"/>
      <c r="AD116" s="24"/>
      <c r="AE116" s="24"/>
    </row>
    <row r="117" spans="1:31" ht="22.2" customHeight="1" x14ac:dyDescent="0.3">
      <c r="A117" s="183" t="str">
        <f>+IF(PROVEEDORES[[#This Row],[FECHA DE PAGO]]=PROVEEDORES[[#This Row],[FECHA DE FACTURACIÓN]],"DE CONTADO","CRÉDITO")</f>
        <v>CRÉDITO</v>
      </c>
      <c r="B117" s="38" t="str">
        <f>+IF((PROVEEDORES[[#This Row],[FECHA DE PAGO]]-PROVEEDORES[[#This Row],[FECHA DE FACTURACIÓN]])&gt;PROVEEDORES[[#This Row],[PLAZO Días]],"PAGO VENCIDO")</f>
        <v>PAGO VENCIDO</v>
      </c>
      <c r="C117" s="20">
        <v>-1</v>
      </c>
      <c r="D117" s="25">
        <f>+SUMIFS(PROVEEDORES[Total],PROVEEDORES[PROVEEDOR],PROVEEDORES[[#This Row],[PROVEEDOR]],PROVEEDORES[FECHA DE PAGO],"")</f>
        <v>0</v>
      </c>
      <c r="E117" s="25"/>
      <c r="F117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17" s="161">
        <v>44767</v>
      </c>
      <c r="H117" s="26" t="s">
        <v>688</v>
      </c>
      <c r="I117" s="161">
        <v>44754</v>
      </c>
      <c r="J117" s="35" t="s">
        <v>1617</v>
      </c>
      <c r="K117" s="21">
        <v>-1300000</v>
      </c>
      <c r="L117" s="21"/>
      <c r="M117" s="22">
        <f>(PROVEEDORES[[#This Row],[SUBTOTAL]]-PROVEEDORES[[#This Row],[descuento sobre subtotal]])*VLOOKUP(PROVEEDORES[[#This Row],[PROVEEDOR]],TERCEROS_INFO[#All],3,FALSE)</f>
        <v>0</v>
      </c>
      <c r="N117" s="23"/>
      <c r="O117" s="22">
        <f>+PROVEEDORES[[#This Row],[Descuento sobre subtotal %]]*(PROVEEDORES[[#This Row],[SUBTOTAL]]-PROVEEDORES[[#This Row],[descuento sobre subtotal]])</f>
        <v>0</v>
      </c>
      <c r="P117" s="83">
        <f>+IF(PROVEEDORES[[#This Row],[SUBTOTAL]]&lt;PROVEEDORES[[#This Row],[base retencion]],0,PROVEEDORES[[#This Row],[retención aplicada]])</f>
        <v>0</v>
      </c>
      <c r="Q117" s="22">
        <f>+PROVEEDORES[[#This Row],[Rete Fuente %]]*(PROVEEDORES[[#This Row],[SUBTOTAL]]-PROVEEDORES[[#This Row],[descuento sobre subtotal]])</f>
        <v>0</v>
      </c>
      <c r="R117" s="21">
        <v>0</v>
      </c>
      <c r="S117" s="1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68">
        <f ca="1">IF(PROVEEDORES[[#This Row],[FECHA DE PAGO]]=0,TODAY()-PROVEEDORES[[#This Row],[FECHA DE FACTURACIÓN]]-PROVEEDORES[[#This Row],[PLAZO Días]],0)</f>
        <v>0</v>
      </c>
      <c r="U117" s="113">
        <f>+VLOOKUP(PROVEEDORES[[#This Row],[PROVEEDOR]],Terceros!$A:$D,4,FALSE)</f>
        <v>0</v>
      </c>
      <c r="V117" s="114">
        <f>+YEAR(PROVEEDORES[[#This Row],[FECHA DE FACTURACIÓN]])</f>
        <v>2022</v>
      </c>
      <c r="W117" s="114">
        <f>+MATCH(PROVEEDORES[[#This Row],[año facturado]],Retenciones!$1:$1,0)</f>
        <v>5</v>
      </c>
      <c r="X117" s="115">
        <f>+VLOOKUP(PROVEEDORES[[#This Row],[ID RETENCION]],Retenciones!$A$1:$O$25,PROVEEDORES[[#This Row],[indicador de columna]],FALSE)</f>
        <v>0</v>
      </c>
      <c r="Y117" s="116">
        <f>+VLOOKUP(PROVEEDORES[[#This Row],[ID RETENCION]],Retenciones!$A$1:$O$25,2,FALSE)</f>
        <v>0</v>
      </c>
      <c r="Z117" s="125" t="b">
        <f>OR(COUNTIF(PROVEEDORES[[#This Row],[PROVEEDOR]],"*"&amp;'Palabra no opera'!$A$2&amp;"*"))</f>
        <v>0</v>
      </c>
      <c r="AA117" s="24"/>
      <c r="AB117" s="24"/>
      <c r="AC117" s="24"/>
      <c r="AD117" s="24"/>
      <c r="AE117" s="24"/>
    </row>
    <row r="118" spans="1:31" ht="22.2" customHeight="1" x14ac:dyDescent="0.3">
      <c r="A118" s="189" t="str">
        <f>+IF(PROVEEDORES[[#This Row],[FECHA DE PAGO]]=PROVEEDORES[[#This Row],[FECHA DE FACTURACIÓN]],"DE CONTADO","CRÉDITO")</f>
        <v>DE CONTADO</v>
      </c>
      <c r="B118" s="38" t="b">
        <f>+IF((PROVEEDORES[[#This Row],[FECHA DE PAGO]]-PROVEEDORES[[#This Row],[FECHA DE FACTURACIÓN]])&gt;PROVEEDORES[[#This Row],[PLAZO Días]],"PAGO VENCIDO")</f>
        <v>0</v>
      </c>
      <c r="C118" s="20">
        <f>+VLOOKUP(PROVEEDORES[[#This Row],[PROVEEDOR]],TERCEROS_INFO[#All],2,FALSE)</f>
        <v>30</v>
      </c>
      <c r="D118" s="25">
        <f>+SUMIFS(PROVEEDORES[Total],PROVEEDORES[PROVEEDOR],PROVEEDORES[[#This Row],[PROVEEDOR]],PROVEEDORES[FECHA DE PAGO],"")</f>
        <v>0</v>
      </c>
      <c r="E118" s="25"/>
      <c r="F118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18" s="161">
        <v>44767</v>
      </c>
      <c r="H118" s="26" t="s">
        <v>688</v>
      </c>
      <c r="I118" s="161">
        <v>44767</v>
      </c>
      <c r="J118" s="35" t="s">
        <v>1617</v>
      </c>
      <c r="K118" s="21">
        <v>-1403000</v>
      </c>
      <c r="L118" s="21"/>
      <c r="M118" s="22">
        <f>(PROVEEDORES[[#This Row],[SUBTOTAL]]-PROVEEDORES[[#This Row],[descuento sobre subtotal]])*VLOOKUP(PROVEEDORES[[#This Row],[PROVEEDOR]],TERCEROS_INFO[#All],3,FALSE)</f>
        <v>0</v>
      </c>
      <c r="N118" s="23"/>
      <c r="O118" s="22">
        <f>+PROVEEDORES[[#This Row],[Descuento sobre subtotal %]]*(PROVEEDORES[[#This Row],[SUBTOTAL]]-PROVEEDORES[[#This Row],[descuento sobre subtotal]])</f>
        <v>0</v>
      </c>
      <c r="P118" s="83">
        <f>+IF(PROVEEDORES[[#This Row],[SUBTOTAL]]&lt;PROVEEDORES[[#This Row],[base retencion]],0,PROVEEDORES[[#This Row],[retención aplicada]])</f>
        <v>0</v>
      </c>
      <c r="Q118" s="22">
        <f>+PROVEEDORES[[#This Row],[Rete Fuente %]]*(PROVEEDORES[[#This Row],[SUBTOTAL]]-PROVEEDORES[[#This Row],[descuento sobre subtotal]])</f>
        <v>0</v>
      </c>
      <c r="R118" s="21">
        <v>0</v>
      </c>
      <c r="S118" s="1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68">
        <f ca="1">IF(PROVEEDORES[[#This Row],[FECHA DE PAGO]]=0,TODAY()-PROVEEDORES[[#This Row],[FECHA DE FACTURACIÓN]]-PROVEEDORES[[#This Row],[PLAZO Días]],0)</f>
        <v>0</v>
      </c>
      <c r="U118" s="113">
        <f>+VLOOKUP(PROVEEDORES[[#This Row],[PROVEEDOR]],Terceros!$A:$D,4,FALSE)</f>
        <v>0</v>
      </c>
      <c r="V118" s="114">
        <f>+YEAR(PROVEEDORES[[#This Row],[FECHA DE FACTURACIÓN]])</f>
        <v>2022</v>
      </c>
      <c r="W118" s="114">
        <f>+MATCH(PROVEEDORES[[#This Row],[año facturado]],Retenciones!$1:$1,0)</f>
        <v>5</v>
      </c>
      <c r="X118" s="115">
        <f>+VLOOKUP(PROVEEDORES[[#This Row],[ID RETENCION]],Retenciones!$A$1:$O$25,PROVEEDORES[[#This Row],[indicador de columna]],FALSE)</f>
        <v>0</v>
      </c>
      <c r="Y118" s="116">
        <f>+VLOOKUP(PROVEEDORES[[#This Row],[ID RETENCION]],Retenciones!$A$1:$O$25,2,FALSE)</f>
        <v>0</v>
      </c>
      <c r="Z118" s="125" t="b">
        <f>OR(COUNTIF(PROVEEDORES[[#This Row],[PROVEEDOR]],"*"&amp;'Palabra no opera'!$A$2&amp;"*"))</f>
        <v>0</v>
      </c>
      <c r="AA118" s="24"/>
      <c r="AB118" s="24"/>
      <c r="AC118" s="24"/>
      <c r="AD118" s="24"/>
      <c r="AE118" s="24"/>
    </row>
    <row r="119" spans="1:31" ht="22.2" customHeight="1" x14ac:dyDescent="0.3">
      <c r="A119" s="185" t="str">
        <f>+IF(PROVEEDORES[[#This Row],[FECHA DE PAGO]]=PROVEEDORES[[#This Row],[FECHA DE FACTURACIÓN]],"DE CONTADO","CRÉDITO")</f>
        <v>CRÉDITO</v>
      </c>
      <c r="B119" s="38" t="str">
        <f>+IF((PROVEEDORES[[#This Row],[FECHA DE PAGO]]-PROVEEDORES[[#This Row],[FECHA DE FACTURACIÓN]])&gt;PROVEEDORES[[#This Row],[PLAZO Días]],"PAGO VENCIDO")</f>
        <v>PAGO VENCIDO</v>
      </c>
      <c r="C119" s="20">
        <v>2</v>
      </c>
      <c r="D119" s="25">
        <f>+SUMIFS(PROVEEDORES[Total],PROVEEDORES[PROVEEDOR],PROVEEDORES[[#This Row],[PROVEEDOR]],PROVEEDORES[FECHA DE PAGO],"")</f>
        <v>0</v>
      </c>
      <c r="E119" s="25"/>
      <c r="F119" s="58">
        <f>+VLOOKUP(PROVEEDORES[[#This Row],[PROVEEDOR]],
                       Terceros!$A:$F,
                       5,
                       FALSE)</f>
        <v>0</v>
      </c>
      <c r="G119" s="161">
        <v>44792</v>
      </c>
      <c r="H119" s="26" t="s">
        <v>1073</v>
      </c>
      <c r="I119" s="161">
        <v>44760</v>
      </c>
      <c r="J119" s="35" t="s">
        <v>1391</v>
      </c>
      <c r="K119" s="21">
        <v>-3000000</v>
      </c>
      <c r="L119" s="21"/>
      <c r="M119" s="22">
        <f>(PROVEEDORES[[#This Row],[SUBTOTAL]]-PROVEEDORES[[#This Row],[descuento sobre subtotal]])*VLOOKUP(PROVEEDORES[[#This Row],[PROVEEDOR]],TERCEROS_INFO[#All],3,FALSE)</f>
        <v>0</v>
      </c>
      <c r="N119" s="23"/>
      <c r="O119" s="22">
        <f>+PROVEEDORES[[#This Row],[Descuento sobre subtotal %]]*(PROVEEDORES[[#This Row],[SUBTOTAL]]-PROVEEDORES[[#This Row],[descuento sobre subtotal]])</f>
        <v>0</v>
      </c>
      <c r="P119" s="83">
        <f>+IF(PROVEEDORES[[#This Row],[SUBTOTAL]]&lt;PROVEEDORES[[#This Row],[base retencion]],0,PROVEEDORES[[#This Row],[retención aplicada]])</f>
        <v>0</v>
      </c>
      <c r="Q119" s="22">
        <f>+PROVEEDORES[[#This Row],[Rete Fuente %]]*(PROVEEDORES[[#This Row],[SUBTOTAL]]-PROVEEDORES[[#This Row],[descuento sobre subtotal]])</f>
        <v>0</v>
      </c>
      <c r="R119" s="21">
        <v>0</v>
      </c>
      <c r="S119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68">
        <f ca="1">IF(PROVEEDORES[[#This Row],[FECHA DE PAGO]]=0,TODAY()-PROVEEDORES[[#This Row],[FECHA DE FACTURACIÓN]]-PROVEEDORES[[#This Row],[PLAZO Días]],0)</f>
        <v>0</v>
      </c>
      <c r="U119" s="113">
        <f>+VLOOKUP(PROVEEDORES[[#This Row],[PROVEEDOR]],Terceros!$A:$D,4,FALSE)</f>
        <v>0</v>
      </c>
      <c r="V119" s="114">
        <f>+YEAR(PROVEEDORES[[#This Row],[FECHA DE FACTURACIÓN]])</f>
        <v>2022</v>
      </c>
      <c r="W119" s="114">
        <f>+MATCH(PROVEEDORES[[#This Row],[año facturado]],Retenciones!$1:$1,0)</f>
        <v>5</v>
      </c>
      <c r="X119" s="115">
        <f>+VLOOKUP(PROVEEDORES[[#This Row],[ID RETENCION]],Retenciones!$A$1:$O$25,PROVEEDORES[[#This Row],[indicador de columna]],FALSE)</f>
        <v>0</v>
      </c>
      <c r="Y119" s="116">
        <f>+VLOOKUP(PROVEEDORES[[#This Row],[ID RETENCION]],Retenciones!$A$1:$O$25,2,FALSE)</f>
        <v>0</v>
      </c>
      <c r="Z119" s="125" t="b">
        <f>OR(COUNTIF(PROVEEDORES[[#This Row],[PROVEEDOR]],"*"&amp;'Palabra no opera'!$A$2&amp;"*"))</f>
        <v>0</v>
      </c>
      <c r="AA119" s="24"/>
      <c r="AB119" s="24"/>
      <c r="AC119" s="24"/>
      <c r="AD119" s="24"/>
      <c r="AE119" s="24"/>
    </row>
    <row r="120" spans="1:31" ht="22.2" customHeight="1" x14ac:dyDescent="0.3">
      <c r="A120" s="199" t="str">
        <f>+IF(PROVEEDORES[[#This Row],[FECHA DE PAGO]]=PROVEEDORES[[#This Row],[FECHA DE FACTURACIÓN]],"DE CONTADO","CRÉDITO")</f>
        <v>CRÉDITO</v>
      </c>
      <c r="B120" s="38" t="str">
        <f>+IF((PROVEEDORES[[#This Row],[FECHA DE PAGO]]-PROVEEDORES[[#This Row],[FECHA DE FACTURACIÓN]])&gt;PROVEEDORES[[#This Row],[PLAZO Días]],"PAGO VENCIDO")</f>
        <v>PAGO VENCIDO</v>
      </c>
      <c r="C120" s="20">
        <f>+VLOOKUP(PROVEEDORES[[#This Row],[PROVEEDOR]],TERCEROS_INFO[#All],2,FALSE)</f>
        <v>0</v>
      </c>
      <c r="D120" s="25">
        <f>+SUMIFS(PROVEEDORES[Total],PROVEEDORES[PROVEEDOR],PROVEEDORES[[#This Row],[PROVEEDOR]],PROVEEDORES[FECHA DE PAGO],"")</f>
        <v>0</v>
      </c>
      <c r="E120" s="25"/>
      <c r="F120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20" s="161">
        <v>44792</v>
      </c>
      <c r="H120" s="26" t="s">
        <v>1136</v>
      </c>
      <c r="I120" s="161">
        <v>44764</v>
      </c>
      <c r="J120" s="35" t="s">
        <v>1403</v>
      </c>
      <c r="K120" s="21">
        <v>-279650</v>
      </c>
      <c r="L120" s="21"/>
      <c r="M120" s="22">
        <f>(PROVEEDORES[[#This Row],[SUBTOTAL]]-PROVEEDORES[[#This Row],[descuento sobre subtotal]])*VLOOKUP(PROVEEDORES[[#This Row],[PROVEEDOR]],TERCEROS_INFO[#All],3,FALSE)</f>
        <v>-53133.5</v>
      </c>
      <c r="N120" s="23"/>
      <c r="O120" s="22">
        <f>+PROVEEDORES[[#This Row],[Descuento sobre subtotal %]]*(PROVEEDORES[[#This Row],[SUBTOTAL]]-PROVEEDORES[[#This Row],[descuento sobre subtotal]])</f>
        <v>0</v>
      </c>
      <c r="P120" s="83">
        <f>+IF(PROVEEDORES[[#This Row],[SUBTOTAL]]&lt;PROVEEDORES[[#This Row],[base retencion]],0,PROVEEDORES[[#This Row],[retención aplicada]])</f>
        <v>0</v>
      </c>
      <c r="Q120" s="22">
        <f>+PROVEEDORES[[#This Row],[Rete Fuente %]]*(PROVEEDORES[[#This Row],[SUBTOTAL]]-PROVEEDORES[[#This Row],[descuento sobre subtotal]])</f>
        <v>0</v>
      </c>
      <c r="R120" s="21">
        <v>0</v>
      </c>
      <c r="S120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68">
        <f ca="1">IF(PROVEEDORES[[#This Row],[FECHA DE PAGO]]=0,TODAY()-PROVEEDORES[[#This Row],[FECHA DE FACTURACIÓN]]-PROVEEDORES[[#This Row],[PLAZO Días]],0)</f>
        <v>0</v>
      </c>
      <c r="U120" s="113" t="str">
        <f>+VLOOKUP(PROVEEDORES[[#This Row],[PROVEEDOR]],Terceros!$A:$D,4,FALSE)</f>
        <v>4% con base</v>
      </c>
      <c r="V120" s="114">
        <f>+YEAR(PROVEEDORES[[#This Row],[FECHA DE FACTURACIÓN]])</f>
        <v>2022</v>
      </c>
      <c r="W120" s="114">
        <f>+MATCH(PROVEEDORES[[#This Row],[año facturado]],Retenciones!$1:$1,0)</f>
        <v>5</v>
      </c>
      <c r="X120" s="115">
        <f>+VLOOKUP(PROVEEDORES[[#This Row],[ID RETENCION]],Retenciones!$A$1:$O$25,PROVEEDORES[[#This Row],[indicador de columna]],FALSE)</f>
        <v>150000</v>
      </c>
      <c r="Y120" s="116">
        <f>+VLOOKUP(PROVEEDORES[[#This Row],[ID RETENCION]],Retenciones!$A$1:$O$25,2,FALSE)</f>
        <v>0.04</v>
      </c>
      <c r="Z120" s="125" t="b">
        <f>OR(COUNTIF(PROVEEDORES[[#This Row],[PROVEEDOR]],"*"&amp;'Palabra no opera'!$A$2&amp;"*"))</f>
        <v>1</v>
      </c>
      <c r="AA120" s="24"/>
      <c r="AB120" s="24"/>
      <c r="AC120" s="24"/>
      <c r="AD120" s="24"/>
      <c r="AE120" s="24"/>
    </row>
    <row r="121" spans="1:31" ht="22.2" customHeight="1" x14ac:dyDescent="0.3">
      <c r="A121" s="72" t="str">
        <f>+IF(PROVEEDORES[[#This Row],[FECHA DE PAGO]]=PROVEEDORES[[#This Row],[FECHA DE FACTURACIÓN]],"DE CONTADO","CRÉDITO")</f>
        <v>CRÉDITO</v>
      </c>
      <c r="B121" s="38" t="str">
        <f>+IF((PROVEEDORES[[#This Row],[FECHA DE PAGO]]-PROVEEDORES[[#This Row],[FECHA DE FACTURACIÓN]])&gt;PROVEEDORES[[#This Row],[PLAZO Días]],"PAGO VENCIDO")</f>
        <v>PAGO VENCIDO</v>
      </c>
      <c r="C121" s="20">
        <f>+VLOOKUP(PROVEEDORES[[#This Row],[PROVEEDOR]],TERCEROS_INFO[#All],2,FALSE)</f>
        <v>0</v>
      </c>
      <c r="D121" s="25">
        <f>+SUMIFS(PROVEEDORES[Total],PROVEEDORES[PROVEEDOR],PROVEEDORES[[#This Row],[PROVEEDOR]],PROVEEDORES[FECHA DE PAGO],"")</f>
        <v>0</v>
      </c>
      <c r="E121" s="25"/>
      <c r="F121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21" s="161">
        <v>44792</v>
      </c>
      <c r="H121" s="26" t="s">
        <v>1136</v>
      </c>
      <c r="I121" s="161">
        <v>44764</v>
      </c>
      <c r="J121" s="35" t="s">
        <v>1403</v>
      </c>
      <c r="K121" s="21">
        <f>-279650+18800</f>
        <v>-260850</v>
      </c>
      <c r="L121" s="21"/>
      <c r="M121" s="22">
        <f>(PROVEEDORES[[#This Row],[SUBTOTAL]]-PROVEEDORES[[#This Row],[descuento sobre subtotal]])*VLOOKUP(PROVEEDORES[[#This Row],[PROVEEDOR]],TERCEROS_INFO[#All],3,FALSE)</f>
        <v>-49561.5</v>
      </c>
      <c r="N121" s="23"/>
      <c r="O121" s="22">
        <f>+PROVEEDORES[[#This Row],[Descuento sobre subtotal %]]*(PROVEEDORES[[#This Row],[SUBTOTAL]]-PROVEEDORES[[#This Row],[descuento sobre subtotal]])</f>
        <v>0</v>
      </c>
      <c r="P121" s="83">
        <f>+IF(PROVEEDORES[[#This Row],[SUBTOTAL]]&lt;PROVEEDORES[[#This Row],[base retencion]],0,PROVEEDORES[[#This Row],[retención aplicada]])</f>
        <v>0</v>
      </c>
      <c r="Q121" s="22">
        <f>+PROVEEDORES[[#This Row],[Rete Fuente %]]*(PROVEEDORES[[#This Row],[SUBTOTAL]]-PROVEEDORES[[#This Row],[descuento sobre subtotal]])</f>
        <v>0</v>
      </c>
      <c r="R121" s="21">
        <v>0</v>
      </c>
      <c r="S12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68">
        <f ca="1">IF(PROVEEDORES[[#This Row],[FECHA DE PAGO]]=0,TODAY()-PROVEEDORES[[#This Row],[FECHA DE FACTURACIÓN]]-PROVEEDORES[[#This Row],[PLAZO Días]],0)</f>
        <v>0</v>
      </c>
      <c r="U121" s="113" t="str">
        <f>+VLOOKUP(PROVEEDORES[[#This Row],[PROVEEDOR]],Terceros!$A:$D,4,FALSE)</f>
        <v>4% con base</v>
      </c>
      <c r="V121" s="114">
        <f>+YEAR(PROVEEDORES[[#This Row],[FECHA DE FACTURACIÓN]])</f>
        <v>2022</v>
      </c>
      <c r="W121" s="114">
        <f>+MATCH(PROVEEDORES[[#This Row],[año facturado]],Retenciones!$1:$1,0)</f>
        <v>5</v>
      </c>
      <c r="X121" s="115">
        <f>+VLOOKUP(PROVEEDORES[[#This Row],[ID RETENCION]],Retenciones!$A$1:$O$25,PROVEEDORES[[#This Row],[indicador de columna]],FALSE)</f>
        <v>150000</v>
      </c>
      <c r="Y121" s="116">
        <f>+VLOOKUP(PROVEEDORES[[#This Row],[ID RETENCION]],Retenciones!$A$1:$O$25,2,FALSE)</f>
        <v>0.04</v>
      </c>
      <c r="Z121" s="125" t="b">
        <f>OR(COUNTIF(PROVEEDORES[[#This Row],[PROVEEDOR]],"*"&amp;'Palabra no opera'!$A$2&amp;"*"))</f>
        <v>1</v>
      </c>
      <c r="AA121" s="24"/>
      <c r="AB121" s="24"/>
      <c r="AC121" s="24"/>
      <c r="AD121" s="24"/>
      <c r="AE121" s="24"/>
    </row>
    <row r="122" spans="1:31" ht="22.2" customHeight="1" x14ac:dyDescent="0.3">
      <c r="A122" s="199" t="str">
        <f>+IF(PROVEEDORES[[#This Row],[FECHA DE PAGO]]=PROVEEDORES[[#This Row],[FECHA DE FACTURACIÓN]],"DE CONTADO","CRÉDITO")</f>
        <v>DE CONTADO</v>
      </c>
      <c r="B122" s="38" t="b">
        <f>+IF((PROVEEDORES[[#This Row],[FECHA DE PAGO]]-PROVEEDORES[[#This Row],[FECHA DE FACTURACIÓN]])&gt;PROVEEDORES[[#This Row],[PLAZO Días]],"PAGO VENCIDO")</f>
        <v>0</v>
      </c>
      <c r="C122" s="20">
        <f>+VLOOKUP(PROVEEDORES[[#This Row],[PROVEEDOR]],TERCEROS_INFO[#All],2,FALSE)</f>
        <v>30</v>
      </c>
      <c r="D122" s="25">
        <f>+SUMIFS(PROVEEDORES[Total],PROVEEDORES[PROVEEDOR],PROVEEDORES[[#This Row],[PROVEEDOR]],PROVEEDORES[FECHA DE PAGO],"")</f>
        <v>0</v>
      </c>
      <c r="E122" s="25"/>
      <c r="F122" s="58">
        <f>+VLOOKUP(PROVEEDORES[[#This Row],[PROVEEDOR]],
                       Terceros!$A:$F,
                       5,
                       FALSE)</f>
        <v>0</v>
      </c>
      <c r="G122" s="161">
        <v>44792</v>
      </c>
      <c r="H122" s="26" t="s">
        <v>1073</v>
      </c>
      <c r="I122" s="161">
        <v>44792</v>
      </c>
      <c r="J122" s="35" t="s">
        <v>1391</v>
      </c>
      <c r="K122" s="21">
        <v>-5070000</v>
      </c>
      <c r="L122" s="21"/>
      <c r="M122" s="22">
        <f>(PROVEEDORES[[#This Row],[SUBTOTAL]]-PROVEEDORES[[#This Row],[descuento sobre subtotal]])*VLOOKUP(PROVEEDORES[[#This Row],[PROVEEDOR]],TERCEROS_INFO[#All],3,FALSE)</f>
        <v>0</v>
      </c>
      <c r="N122" s="23"/>
      <c r="O122" s="22">
        <f>+PROVEEDORES[[#This Row],[Descuento sobre subtotal %]]*(PROVEEDORES[[#This Row],[SUBTOTAL]]-PROVEEDORES[[#This Row],[descuento sobre subtotal]])</f>
        <v>0</v>
      </c>
      <c r="P122" s="83">
        <f>+IF(PROVEEDORES[[#This Row],[SUBTOTAL]]&lt;PROVEEDORES[[#This Row],[base retencion]],0,PROVEEDORES[[#This Row],[retención aplicada]])</f>
        <v>0</v>
      </c>
      <c r="Q122" s="22">
        <f>+PROVEEDORES[[#This Row],[Rete Fuente %]]*(PROVEEDORES[[#This Row],[SUBTOTAL]]-PROVEEDORES[[#This Row],[descuento sobre subtotal]])</f>
        <v>0</v>
      </c>
      <c r="R122" s="21">
        <v>0</v>
      </c>
      <c r="S122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68">
        <f ca="1">IF(PROVEEDORES[[#This Row],[FECHA DE PAGO]]=0,TODAY()-PROVEEDORES[[#This Row],[FECHA DE FACTURACIÓN]]-PROVEEDORES[[#This Row],[PLAZO Días]],0)</f>
        <v>0</v>
      </c>
      <c r="U122" s="113">
        <f>+VLOOKUP(PROVEEDORES[[#This Row],[PROVEEDOR]],Terceros!$A:$D,4,FALSE)</f>
        <v>0</v>
      </c>
      <c r="V122" s="114">
        <f>+YEAR(PROVEEDORES[[#This Row],[FECHA DE FACTURACIÓN]])</f>
        <v>2022</v>
      </c>
      <c r="W122" s="114">
        <f>+MATCH(PROVEEDORES[[#This Row],[año facturado]],Retenciones!$1:$1,0)</f>
        <v>5</v>
      </c>
      <c r="X122" s="115">
        <f>+VLOOKUP(PROVEEDORES[[#This Row],[ID RETENCION]],Retenciones!$A$1:$O$25,PROVEEDORES[[#This Row],[indicador de columna]],FALSE)</f>
        <v>0</v>
      </c>
      <c r="Y122" s="116">
        <f>+VLOOKUP(PROVEEDORES[[#This Row],[ID RETENCION]],Retenciones!$A$1:$O$25,2,FALSE)</f>
        <v>0</v>
      </c>
      <c r="Z122" s="125" t="b">
        <f>OR(COUNTIF(PROVEEDORES[[#This Row],[PROVEEDOR]],"*"&amp;'Palabra no opera'!$A$2&amp;"*"))</f>
        <v>0</v>
      </c>
      <c r="AA122" s="24"/>
      <c r="AB122" s="24"/>
      <c r="AC122" s="24"/>
      <c r="AD122" s="24"/>
      <c r="AE122" s="24"/>
    </row>
    <row r="123" spans="1:31" ht="22.2" customHeight="1" x14ac:dyDescent="0.3">
      <c r="A123" s="213" t="str">
        <f>+IF(PROVEEDORES[[#This Row],[FECHA DE PAGO]]=PROVEEDORES[[#This Row],[FECHA DE FACTURACIÓN]],"DE CONTADO","CRÉDITO")</f>
        <v>DE CONTADO</v>
      </c>
      <c r="B123" s="38" t="b">
        <f>+IF((PROVEEDORES[[#This Row],[FECHA DE PAGO]]-PROVEEDORES[[#This Row],[FECHA DE FACTURACIÓN]])&gt;PROVEEDORES[[#This Row],[PLAZO Días]],"PAGO VENCIDO")</f>
        <v>0</v>
      </c>
      <c r="C123" s="20">
        <f>+VLOOKUP(PROVEEDORES[[#This Row],[PROVEEDOR]],TERCEROS_INFO[#All],2,FALSE)</f>
        <v>30</v>
      </c>
      <c r="D123" s="25">
        <f>+SUMIFS(PROVEEDORES[Total],PROVEEDORES[PROVEEDOR],PROVEEDORES[[#This Row],[PROVEEDOR]],PROVEEDORES[FECHA DE PAGO],"")</f>
        <v>0</v>
      </c>
      <c r="E123" s="25"/>
      <c r="F123" s="58" t="str">
        <f>+VLOOKUP(PROVEEDORES[[#This Row],[PROVEEDOR]],
                       Terceros!$A:$F,
                       5,
                       FALSE)</f>
        <v/>
      </c>
      <c r="G123" s="161">
        <v>44804</v>
      </c>
      <c r="H123" s="26" t="s">
        <v>644</v>
      </c>
      <c r="I123" s="161">
        <v>44804</v>
      </c>
      <c r="J123" s="35" t="s">
        <v>1652</v>
      </c>
      <c r="K123" s="21">
        <v>0</v>
      </c>
      <c r="L123" s="21"/>
      <c r="M123" s="22">
        <f>(PROVEEDORES[[#This Row],[SUBTOTAL]]-PROVEEDORES[[#This Row],[descuento sobre subtotal]])*VLOOKUP(PROVEEDORES[[#This Row],[PROVEEDOR]],TERCEROS_INFO[#All],3,FALSE)</f>
        <v>0</v>
      </c>
      <c r="N123" s="23"/>
      <c r="O123" s="22">
        <f>+PROVEEDORES[[#This Row],[Descuento sobre subtotal %]]*(PROVEEDORES[[#This Row],[SUBTOTAL]]-PROVEEDORES[[#This Row],[descuento sobre subtotal]])</f>
        <v>0</v>
      </c>
      <c r="P123" s="83">
        <f>+IF(PROVEEDORES[[#This Row],[SUBTOTAL]]&lt;PROVEEDORES[[#This Row],[base retencion]],0,PROVEEDORES[[#This Row],[retención aplicada]])</f>
        <v>0</v>
      </c>
      <c r="Q123" s="22">
        <f>+PROVEEDORES[[#This Row],[Rete Fuente %]]*(PROVEEDORES[[#This Row],[SUBTOTAL]]-PROVEEDORES[[#This Row],[descuento sobre subtotal]])</f>
        <v>0</v>
      </c>
      <c r="R12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23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68">
        <f ca="1">IF(PROVEEDORES[[#This Row],[FECHA DE PAGO]]=0,TODAY()-PROVEEDORES[[#This Row],[FECHA DE FACTURACIÓN]]-PROVEEDORES[[#This Row],[PLAZO Días]],0)</f>
        <v>0</v>
      </c>
      <c r="U123" s="113">
        <f>+VLOOKUP(PROVEEDORES[[#This Row],[PROVEEDOR]],Terceros!$A:$D,4,FALSE)</f>
        <v>0</v>
      </c>
      <c r="V123" s="114">
        <f>+YEAR(PROVEEDORES[[#This Row],[FECHA DE FACTURACIÓN]])</f>
        <v>2022</v>
      </c>
      <c r="W123" s="114">
        <f>+MATCH(PROVEEDORES[[#This Row],[año facturado]],Retenciones!$1:$1,0)</f>
        <v>5</v>
      </c>
      <c r="X123" s="115">
        <f>+VLOOKUP(PROVEEDORES[[#This Row],[ID RETENCION]],Retenciones!$A$1:$O$25,PROVEEDORES[[#This Row],[indicador de columna]],FALSE)</f>
        <v>0</v>
      </c>
      <c r="Y123" s="116">
        <f>+VLOOKUP(PROVEEDORES[[#This Row],[ID RETENCION]],Retenciones!$A$1:$O$25,2,FALSE)</f>
        <v>0</v>
      </c>
      <c r="Z123" s="125" t="b">
        <f>OR(COUNTIF(PROVEEDORES[[#This Row],[PROVEEDOR]],"*"&amp;'Palabra no opera'!$A$2&amp;"*"))</f>
        <v>0</v>
      </c>
      <c r="AA123" s="24"/>
      <c r="AB123" s="24"/>
      <c r="AC123" s="24"/>
      <c r="AD123" s="24"/>
      <c r="AE123" s="24"/>
    </row>
    <row r="124" spans="1:31" ht="22.2" customHeight="1" x14ac:dyDescent="0.3">
      <c r="A124" s="207" t="str">
        <f>+IF(PROVEEDORES[[#This Row],[FECHA DE PAGO]]=PROVEEDORES[[#This Row],[FECHA DE FACTURACIÓN]],"DE CONTADO","CRÉDITO")</f>
        <v>CRÉDITO</v>
      </c>
      <c r="B124" s="38" t="str">
        <f>+IF((PROVEEDORES[[#This Row],[FECHA DE PAGO]]-PROVEEDORES[[#This Row],[FECHA DE FACTURACIÓN]])&gt;PROVEEDORES[[#This Row],[PLAZO Días]],"PAGO VENCIDO")</f>
        <v>PAGO VENCIDO</v>
      </c>
      <c r="C124" s="20">
        <f>+VLOOKUP(PROVEEDORES[[#This Row],[PROVEEDOR]],TERCEROS_INFO[#All],2,FALSE)</f>
        <v>30</v>
      </c>
      <c r="D124" s="25">
        <f>+SUMIFS(PROVEEDORES[Total],PROVEEDORES[PROVEEDOR],PROVEEDORES[[#This Row],[PROVEEDOR]],PROVEEDORES[FECHA DE PAGO],"")</f>
        <v>1468491.82</v>
      </c>
      <c r="E124" s="25"/>
      <c r="F124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24" s="161">
        <v>44845</v>
      </c>
      <c r="H124" s="26" t="s">
        <v>1638</v>
      </c>
      <c r="I124" s="161">
        <v>44802</v>
      </c>
      <c r="J124" s="35" t="s">
        <v>1649</v>
      </c>
      <c r="K124" s="21">
        <v>1882354.8</v>
      </c>
      <c r="L124" s="21"/>
      <c r="M124" s="22">
        <f>(PROVEEDORES[[#This Row],[SUBTOTAL]]-PROVEEDORES[[#This Row],[descuento sobre subtotal]])*VLOOKUP(PROVEEDORES[[#This Row],[PROVEEDOR]],TERCEROS_INFO[#All],3,FALSE)</f>
        <v>357647.41200000001</v>
      </c>
      <c r="N124" s="23"/>
      <c r="O124" s="22">
        <f>+PROVEEDORES[[#This Row],[Descuento sobre subtotal %]]*(PROVEEDORES[[#This Row],[SUBTOTAL]]-PROVEEDORES[[#This Row],[descuento sobre subtotal]])</f>
        <v>0</v>
      </c>
      <c r="P124" s="83">
        <f>+IF(PROVEEDORES[[#This Row],[SUBTOTAL]]&lt;PROVEEDORES[[#This Row],[base retencion]],0,PROVEEDORES[[#This Row],[retención aplicada]])</f>
        <v>2.5000000000000001E-2</v>
      </c>
      <c r="Q124" s="22">
        <f>+PROVEEDORES[[#This Row],[Rete Fuente %]]*(PROVEEDORES[[#This Row],[SUBTOTAL]]-PROVEEDORES[[#This Row],[descuento sobre subtotal]])</f>
        <v>47058.87</v>
      </c>
      <c r="R124" s="21">
        <v>0</v>
      </c>
      <c r="S124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68">
        <f ca="1">IF(PROVEEDORES[[#This Row],[FECHA DE PAGO]]=0,TODAY()-PROVEEDORES[[#This Row],[FECHA DE FACTURACIÓN]]-PROVEEDORES[[#This Row],[PLAZO Días]],0)</f>
        <v>0</v>
      </c>
      <c r="U124" s="113" t="str">
        <f>+VLOOKUP(PROVEEDORES[[#This Row],[PROVEEDOR]],Terceros!$A:$D,4,FALSE)</f>
        <v>2,5% con base</v>
      </c>
      <c r="V124" s="114">
        <f>+YEAR(PROVEEDORES[[#This Row],[FECHA DE FACTURACIÓN]])</f>
        <v>2022</v>
      </c>
      <c r="W124" s="114">
        <f>+MATCH(PROVEEDORES[[#This Row],[año facturado]],Retenciones!$1:$1,0)</f>
        <v>5</v>
      </c>
      <c r="X124" s="115">
        <f>+VLOOKUP(PROVEEDORES[[#This Row],[ID RETENCION]],Retenciones!$A$1:$O$25,PROVEEDORES[[#This Row],[indicador de columna]],FALSE)</f>
        <v>1026000</v>
      </c>
      <c r="Y124" s="116">
        <f>+VLOOKUP(PROVEEDORES[[#This Row],[ID RETENCION]],Retenciones!$A$1:$O$25,2,FALSE)</f>
        <v>2.5000000000000001E-2</v>
      </c>
      <c r="Z124" s="125" t="b">
        <f>OR(COUNTIF(PROVEEDORES[[#This Row],[PROVEEDOR]],"*"&amp;'Palabra no opera'!$A$2&amp;"*"))</f>
        <v>0</v>
      </c>
      <c r="AA124" s="24"/>
      <c r="AB124" s="24"/>
      <c r="AC124" s="24"/>
      <c r="AD124" s="24"/>
      <c r="AE124" s="24"/>
    </row>
    <row r="125" spans="1:31" ht="22.2" customHeight="1" x14ac:dyDescent="0.3">
      <c r="A125" s="159" t="str">
        <f>+IF(PROVEEDORES[[#This Row],[FECHA DE PAGO]]=PROVEEDORES[[#This Row],[FECHA DE FACTURACIÓN]],"DE CONTADO","CRÉDITO")</f>
        <v>CRÉDITO</v>
      </c>
      <c r="B125" s="38" t="str">
        <f>+IF((PROVEEDORES[[#This Row],[FECHA DE PAGO]]-PROVEEDORES[[#This Row],[FECHA DE FACTURACIÓN]])&gt;PROVEEDORES[[#This Row],[PLAZO Días]],"PAGO VENCIDO")</f>
        <v>PAGO VENCIDO</v>
      </c>
      <c r="C125" s="20">
        <f>+VLOOKUP(PROVEEDORES[[#This Row],[PROVEEDOR]],TERCEROS_INFO[#All],2,FALSE)</f>
        <v>30</v>
      </c>
      <c r="D125" s="25">
        <f>+SUMIFS(PROVEEDORES[Total],PROVEEDORES[PROVEEDOR],PROVEEDORES[[#This Row],[PROVEEDOR]],PROVEEDORES[FECHA DE PAGO],"")</f>
        <v>4024829</v>
      </c>
      <c r="E125" s="25"/>
      <c r="F12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5" s="161">
        <v>44845</v>
      </c>
      <c r="H125" s="26" t="s">
        <v>345</v>
      </c>
      <c r="I125" s="161">
        <v>44749</v>
      </c>
      <c r="J125" s="35" t="s">
        <v>1102</v>
      </c>
      <c r="K125" s="21">
        <v>0.88</v>
      </c>
      <c r="L125" s="21"/>
      <c r="M125" s="22">
        <f>(PROVEEDORES[[#This Row],[SUBTOTAL]]-PROVEEDORES[[#This Row],[descuento sobre subtotal]])*VLOOKUP(PROVEEDORES[[#This Row],[PROVEEDOR]],TERCEROS_INFO[#All],3,FALSE)</f>
        <v>0</v>
      </c>
      <c r="N125" s="23"/>
      <c r="O125" s="22">
        <f>+PROVEEDORES[[#This Row],[Descuento sobre subtotal %]]*(PROVEEDORES[[#This Row],[SUBTOTAL]]-PROVEEDORES[[#This Row],[descuento sobre subtotal]])</f>
        <v>0</v>
      </c>
      <c r="P125" s="83">
        <f>+IF(PROVEEDORES[[#This Row],[SUBTOTAL]]&lt;PROVEEDORES[[#This Row],[base retencion]],0,PROVEEDORES[[#This Row],[retención aplicada]])</f>
        <v>0</v>
      </c>
      <c r="Q125" s="22">
        <f>+PROVEEDORES[[#This Row],[Rete Fuente %]]*(PROVEEDORES[[#This Row],[SUBTOTAL]]-PROVEEDORES[[#This Row],[descuento sobre subtotal]])</f>
        <v>0</v>
      </c>
      <c r="R125" s="21">
        <f>+PROVEEDORES[[#This Row],[SUBTOTAL]]+PROVEEDORES[[#This Row],[IVA 19%]]-PROVEEDORES[[#This Row],[descuento sobre subtotal]]-PROVEEDORES[[#This Row],[Descuento sobre subtotal $2]]-PROVEEDORES[[#This Row],[Rete Fuente $]]</f>
        <v>0.88</v>
      </c>
      <c r="S12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68">
        <f ca="1">IF(PROVEEDORES[[#This Row],[FECHA DE PAGO]]=0,TODAY()-PROVEEDORES[[#This Row],[FECHA DE FACTURACIÓN]]-PROVEEDORES[[#This Row],[PLAZO Días]],0)</f>
        <v>0</v>
      </c>
      <c r="U125" s="113">
        <f>+VLOOKUP(PROVEEDORES[[#This Row],[PROVEEDOR]],Terceros!$A:$D,4,FALSE)</f>
        <v>0</v>
      </c>
      <c r="V125" s="114">
        <f>+YEAR(PROVEEDORES[[#This Row],[FECHA DE FACTURACIÓN]])</f>
        <v>2022</v>
      </c>
      <c r="W125" s="114">
        <f>+MATCH(PROVEEDORES[[#This Row],[año facturado]],Retenciones!$1:$1,0)</f>
        <v>5</v>
      </c>
      <c r="X125" s="115">
        <f>+VLOOKUP(PROVEEDORES[[#This Row],[ID RETENCION]],Retenciones!$A$1:$O$25,PROVEEDORES[[#This Row],[indicador de columna]],FALSE)</f>
        <v>0</v>
      </c>
      <c r="Y125" s="116">
        <f>+VLOOKUP(PROVEEDORES[[#This Row],[ID RETENCION]],Retenciones!$A$1:$O$25,2,FALSE)</f>
        <v>0</v>
      </c>
      <c r="Z125" s="125" t="b">
        <f>OR(COUNTIF(PROVEEDORES[[#This Row],[PROVEEDOR]],"*"&amp;'Palabra no opera'!$A$2&amp;"*"))</f>
        <v>0</v>
      </c>
      <c r="AA125" s="24"/>
      <c r="AB125" s="24"/>
      <c r="AC125" s="24"/>
      <c r="AD125" s="24"/>
      <c r="AE125" s="24"/>
    </row>
    <row r="126" spans="1:31" ht="22.2" customHeight="1" x14ac:dyDescent="0.3">
      <c r="A126" s="66" t="str">
        <f>+IF(PROVEEDORES[[#This Row],[FECHA DE PAGO]]=PROVEEDORES[[#This Row],[FECHA DE FACTURACIÓN]],"DE CONTADO","CRÉDITO")</f>
        <v>CRÉDITO</v>
      </c>
      <c r="B126" s="38" t="b">
        <f>+IF((PROVEEDORES[[#This Row],[FECHA DE PAGO]]-PROVEEDORES[[#This Row],[FECHA DE FACTURACIÓN]])&gt;PROVEEDORES[[#This Row],[PLAZO Días]],"PAGO VENCIDO")</f>
        <v>0</v>
      </c>
      <c r="C126" s="20">
        <f>+VLOOKUP(PROVEEDORES[[#This Row],[PROVEEDOR]],TERCEROS_INFO[#All],2,FALSE)</f>
        <v>10</v>
      </c>
      <c r="D126" s="25">
        <f>+SUMIFS(PROVEEDORES[Total],PROVEEDORES[PROVEEDOR],PROVEEDORES[[#This Row],[PROVEEDOR]],PROVEEDORES[FECHA DE PAGO],"")</f>
        <v>0</v>
      </c>
      <c r="E126" s="25"/>
      <c r="F126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126" s="161">
        <v>44579</v>
      </c>
      <c r="H126" s="26" t="s">
        <v>904</v>
      </c>
      <c r="I126" s="161">
        <v>44574</v>
      </c>
      <c r="J126" s="35" t="s">
        <v>613</v>
      </c>
      <c r="K126" s="21">
        <v>372000</v>
      </c>
      <c r="L126" s="21"/>
      <c r="M126" s="22">
        <f>(PROVEEDORES[[#This Row],[SUBTOTAL]]-PROVEEDORES[[#This Row],[descuento sobre subtotal]])*VLOOKUP(PROVEEDORES[[#This Row],[PROVEEDOR]],TERCEROS_INFO[#All],3,FALSE)</f>
        <v>0</v>
      </c>
      <c r="N126" s="23"/>
      <c r="O126" s="22">
        <f>+PROVEEDORES[[#This Row],[Descuento sobre subtotal %]]*(PROVEEDORES[[#This Row],[SUBTOTAL]]-PROVEEDORES[[#This Row],[descuento sobre subtotal]])</f>
        <v>0</v>
      </c>
      <c r="P126" s="83">
        <f>+IF(PROVEEDORES[[#This Row],[SUBTOTAL]]&lt;PROVEEDORES[[#This Row],[base retencion]],0,PROVEEDORES[[#This Row],[retención aplicada]])</f>
        <v>0</v>
      </c>
      <c r="Q126" s="22">
        <f>+PROVEEDORES[[#This Row],[Rete Fuente %]]*(PROVEEDORES[[#This Row],[SUBTOTAL]]-PROVEEDORES[[#This Row],[descuento sobre subtotal]])</f>
        <v>0</v>
      </c>
      <c r="R126" s="21">
        <v>372</v>
      </c>
      <c r="S1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68">
        <f ca="1">IF(PROVEEDORES[[#This Row],[FECHA DE PAGO]]=0,TODAY()-PROVEEDORES[[#This Row],[FECHA DE FACTURACIÓN]]-PROVEEDORES[[#This Row],[PLAZO Días]],0)</f>
        <v>0</v>
      </c>
      <c r="U126" s="96">
        <f>+VLOOKUP(PROVEEDORES[[#This Row],[PROVEEDOR]],Terceros!$A:$D,4,FALSE)</f>
        <v>0</v>
      </c>
      <c r="V126" s="97">
        <f>+YEAR(PROVEEDORES[[#This Row],[FECHA DE FACTURACIÓN]])</f>
        <v>2022</v>
      </c>
      <c r="W126" s="97">
        <f>+MATCH(PROVEEDORES[[#This Row],[año facturado]],Retenciones!$1:$1,0)</f>
        <v>5</v>
      </c>
      <c r="X126" s="98">
        <f>+VLOOKUP(PROVEEDORES[[#This Row],[ID RETENCION]],Retenciones!$A$1:$O$25,PROVEEDORES[[#This Row],[indicador de columna]],FALSE)</f>
        <v>0</v>
      </c>
      <c r="Y126" s="99">
        <f>+VLOOKUP(PROVEEDORES[[#This Row],[ID RETENCION]],Retenciones!$A$1:$O$25,2,FALSE)</f>
        <v>0</v>
      </c>
      <c r="Z126" s="125" t="b">
        <f>OR(COUNTIF(PROVEEDORES[[#This Row],[PROVEEDOR]],"*"&amp;'Palabra no opera'!$A$2&amp;"*"))</f>
        <v>1</v>
      </c>
      <c r="AA126" s="24"/>
      <c r="AB126" s="24"/>
      <c r="AC126" s="24"/>
      <c r="AD126" s="24"/>
      <c r="AE126" s="24"/>
    </row>
    <row r="127" spans="1:31" ht="22.2" customHeight="1" x14ac:dyDescent="0.3">
      <c r="A127" s="66" t="str">
        <f>+IF(PROVEEDORES[[#This Row],[FECHA DE PAGO]]=PROVEEDORES[[#This Row],[FECHA DE FACTURACIÓN]],"DE CONTADO","CRÉDITO")</f>
        <v>DE CONTADO</v>
      </c>
      <c r="B127" s="38" t="b">
        <f>+IF((PROVEEDORES[[#This Row],[FECHA DE PAGO]]-PROVEEDORES[[#This Row],[FECHA DE FACTURACIÓN]])&gt;PROVEEDORES[[#This Row],[PLAZO Días]],"PAGO VENCIDO")</f>
        <v>0</v>
      </c>
      <c r="C127" s="20">
        <f>+VLOOKUP(PROVEEDORES[[#This Row],[PROVEEDOR]],TERCEROS_INFO[#All],2,FALSE)</f>
        <v>30</v>
      </c>
      <c r="D127" s="25">
        <f>+SUMIFS(PROVEEDORES[Total],PROVEEDORES[PROVEEDOR],PROVEEDORES[[#This Row],[PROVEEDOR]],PROVEEDORES[FECHA DE PAGO],"")</f>
        <v>0</v>
      </c>
      <c r="E127" s="25"/>
      <c r="F127" s="58" t="str">
        <f>+VLOOKUP(PROVEEDORES[[#This Row],[PROVEEDOR]],
                       Terceros!$A:$F,
                       5,
                       FALSE)</f>
        <v/>
      </c>
      <c r="G127" s="161">
        <v>44620</v>
      </c>
      <c r="H127" s="26" t="s">
        <v>644</v>
      </c>
      <c r="I127" s="161">
        <v>44620</v>
      </c>
      <c r="J127" s="35" t="s">
        <v>597</v>
      </c>
      <c r="K127" s="21">
        <v>442</v>
      </c>
      <c r="L127" s="21"/>
      <c r="M127" s="22">
        <f>(PROVEEDORES[[#This Row],[SUBTOTAL]]-PROVEEDORES[[#This Row],[descuento sobre subtotal]])*VLOOKUP(PROVEEDORES[[#This Row],[PROVEEDOR]],TERCEROS_INFO[#All],3,FALSE)</f>
        <v>0</v>
      </c>
      <c r="N127" s="23"/>
      <c r="O127" s="22">
        <f>+PROVEEDORES[[#This Row],[Descuento sobre subtotal %]]*(PROVEEDORES[[#This Row],[SUBTOTAL]]-PROVEEDORES[[#This Row],[descuento sobre subtotal]])</f>
        <v>0</v>
      </c>
      <c r="P127" s="83">
        <f>+IF(PROVEEDORES[[#This Row],[SUBTOTAL]]&lt;PROVEEDORES[[#This Row],[base retencion]],0,PROVEEDORES[[#This Row],[retención aplicada]])</f>
        <v>0</v>
      </c>
      <c r="Q127" s="22">
        <f>+PROVEEDORES[[#This Row],[Rete Fuente %]]*(PROVEEDORES[[#This Row],[SUBTOTAL]]-PROVEEDORES[[#This Row],[descuento sobre subtotal]])</f>
        <v>0</v>
      </c>
      <c r="R127" s="21">
        <v>442</v>
      </c>
      <c r="S1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68">
        <f ca="1">IF(PROVEEDORES[[#This Row],[FECHA DE PAGO]]=0,TODAY()-PROVEEDORES[[#This Row],[FECHA DE FACTURACIÓN]]-PROVEEDORES[[#This Row],[PLAZO Días]],0)</f>
        <v>0</v>
      </c>
      <c r="U127" s="96">
        <f>+VLOOKUP(PROVEEDORES[[#This Row],[PROVEEDOR]],Terceros!$A:$D,4,FALSE)</f>
        <v>0</v>
      </c>
      <c r="V127" s="97">
        <f>+YEAR(PROVEEDORES[[#This Row],[FECHA DE FACTURACIÓN]])</f>
        <v>2022</v>
      </c>
      <c r="W127" s="97">
        <f>+MATCH(PROVEEDORES[[#This Row],[año facturado]],Retenciones!$1:$1,0)</f>
        <v>5</v>
      </c>
      <c r="X127" s="98">
        <f>+VLOOKUP(PROVEEDORES[[#This Row],[ID RETENCION]],Retenciones!$A$1:$O$25,PROVEEDORES[[#This Row],[indicador de columna]],FALSE)</f>
        <v>0</v>
      </c>
      <c r="Y127" s="99">
        <f>+VLOOKUP(PROVEEDORES[[#This Row],[ID RETENCION]],Retenciones!$A$1:$O$25,2,FALSE)</f>
        <v>0</v>
      </c>
      <c r="Z127" s="125" t="b">
        <f>OR(COUNTIF(PROVEEDORES[[#This Row],[PROVEEDOR]],"*"&amp;'Palabra no opera'!$A$2&amp;"*"))</f>
        <v>0</v>
      </c>
      <c r="AA127" s="24"/>
      <c r="AB127" s="24"/>
      <c r="AC127" s="24"/>
      <c r="AD127" s="24"/>
      <c r="AE127" s="24"/>
    </row>
    <row r="128" spans="1:31" ht="22.2" customHeight="1" x14ac:dyDescent="0.3">
      <c r="A128" s="66" t="str">
        <f>+IF(PROVEEDORES[[#This Row],[FECHA DE PAGO]]=PROVEEDORES[[#This Row],[FECHA DE FACTURACIÓN]],"DE CONTADO","CRÉDITO")</f>
        <v>CRÉDITO</v>
      </c>
      <c r="B128" s="38" t="b">
        <f>+IF((PROVEEDORES[[#This Row],[FECHA DE PAGO]]-PROVEEDORES[[#This Row],[FECHA DE FACTURACIÓN]])&gt;PROVEEDORES[[#This Row],[PLAZO Días]],"PAGO VENCIDO")</f>
        <v>0</v>
      </c>
      <c r="C128" s="20">
        <f>+VLOOKUP(PROVEEDORES[[#This Row],[PROVEEDOR]],TERCEROS_INFO[#All],2,FALSE)</f>
        <v>30</v>
      </c>
      <c r="D128" s="25">
        <f>+SUMIFS(PROVEEDORES[Total],PROVEEDORES[PROVEEDOR],PROVEEDORES[[#This Row],[PROVEEDOR]],PROVEEDORES[FECHA DE PAGO],"")</f>
        <v>4024829</v>
      </c>
      <c r="E128" s="25"/>
      <c r="F12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8" s="161">
        <v>44476</v>
      </c>
      <c r="H128" s="26" t="s">
        <v>345</v>
      </c>
      <c r="I128" s="161">
        <v>44468</v>
      </c>
      <c r="J128" s="35" t="s">
        <v>482</v>
      </c>
      <c r="K128" s="21">
        <v>1628.52</v>
      </c>
      <c r="L128" s="21"/>
      <c r="M128" s="22">
        <f>(PROVEEDORES[[#This Row],[SUBTOTAL]]-PROVEEDORES[[#This Row],[descuento sobre subtotal]])*VLOOKUP(PROVEEDORES[[#This Row],[PROVEEDOR]],TERCEROS_INFO[#All],3,FALSE)</f>
        <v>0</v>
      </c>
      <c r="N128" s="23"/>
      <c r="O128" s="22">
        <f>+PROVEEDORES[[#This Row],[Descuento sobre subtotal %]]*(PROVEEDORES[[#This Row],[SUBTOTAL]]-PROVEEDORES[[#This Row],[descuento sobre subtotal]])</f>
        <v>0</v>
      </c>
      <c r="P128" s="83">
        <f>+IF(PROVEEDORES[[#This Row],[SUBTOTAL]]&lt;PROVEEDORES[[#This Row],[base retencion]],0,PROVEEDORES[[#This Row],[retención aplicada]])</f>
        <v>0</v>
      </c>
      <c r="Q128" s="22">
        <f>+PROVEEDORES[[#This Row],[Rete Fuente %]]*(PROVEEDORES[[#This Row],[SUBTOTAL]]-PROVEEDORES[[#This Row],[descuento sobre subtotal]])</f>
        <v>0</v>
      </c>
      <c r="R128" s="21">
        <f>+PROVEEDORES[[#This Row],[SUBTOTAL]]+PROVEEDORES[[#This Row],[IVA 19%]]-PROVEEDORES[[#This Row],[descuento sobre subtotal]]-PROVEEDORES[[#This Row],[Descuento sobre subtotal $2]]-PROVEEDORES[[#This Row],[Rete Fuente $]]</f>
        <v>1628.52</v>
      </c>
      <c r="S1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68">
        <f ca="1">IF(PROVEEDORES[[#This Row],[FECHA DE PAGO]]=0,TODAY()-PROVEEDORES[[#This Row],[FECHA DE FACTURACIÓN]]-PROVEEDORES[[#This Row],[PLAZO Días]],0)</f>
        <v>0</v>
      </c>
      <c r="U128" s="96">
        <f>+VLOOKUP(PROVEEDORES[[#This Row],[PROVEEDOR]],Terceros!$A:$D,4,FALSE)</f>
        <v>0</v>
      </c>
      <c r="V128" s="97">
        <f>+YEAR(PROVEEDORES[[#This Row],[FECHA DE FACTURACIÓN]])</f>
        <v>2021</v>
      </c>
      <c r="W128" s="97">
        <f>+MATCH(PROVEEDORES[[#This Row],[año facturado]],Retenciones!$1:$1,0)</f>
        <v>4</v>
      </c>
      <c r="X128" s="98">
        <f>+VLOOKUP(PROVEEDORES[[#This Row],[ID RETENCION]],Retenciones!$A$1:$O$25,PROVEEDORES[[#This Row],[indicador de columna]],FALSE)</f>
        <v>0</v>
      </c>
      <c r="Y128" s="99">
        <f>+VLOOKUP(PROVEEDORES[[#This Row],[ID RETENCION]],Retenciones!$A$1:$O$25,2,FALSE)</f>
        <v>0</v>
      </c>
      <c r="Z128" s="125" t="b">
        <f>OR(COUNTIF(PROVEEDORES[[#This Row],[PROVEEDOR]],"*"&amp;'Palabra no opera'!$A$2&amp;"*"))</f>
        <v>0</v>
      </c>
      <c r="AA128" s="24"/>
      <c r="AB128" s="24"/>
      <c r="AC128" s="24"/>
      <c r="AD128" s="24"/>
      <c r="AE128" s="24"/>
    </row>
    <row r="129" spans="1:31" ht="22.2" customHeight="1" x14ac:dyDescent="0.3">
      <c r="A129" s="72" t="str">
        <f>+IF(PROVEEDORES[[#This Row],[FECHA DE PAGO]]=PROVEEDORES[[#This Row],[FECHA DE FACTURACIÓN]],"DE CONTADO","CRÉDITO")</f>
        <v>CRÉDITO</v>
      </c>
      <c r="B129" s="38" t="b">
        <f>+IF((PROVEEDORES[[#This Row],[FECHA DE PAGO]]-PROVEEDORES[[#This Row],[FECHA DE FACTURACIÓN]])&gt;PROVEEDORES[[#This Row],[PLAZO Días]],"PAGO VENCIDO")</f>
        <v>0</v>
      </c>
      <c r="C129" s="20">
        <f>+VLOOKUP(PROVEEDORES[[#This Row],[PROVEEDOR]],TERCEROS_INFO[#All],2,FALSE)</f>
        <v>30</v>
      </c>
      <c r="D129" s="25">
        <f>+SUMIFS(PROVEEDORES[Total],PROVEEDORES[PROVEEDOR],PROVEEDORES[[#This Row],[PROVEEDOR]],PROVEEDORES[FECHA DE PAGO],"")</f>
        <v>4024829</v>
      </c>
      <c r="E129" s="25"/>
      <c r="F12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9" s="161">
        <v>44845</v>
      </c>
      <c r="H129" s="26" t="s">
        <v>345</v>
      </c>
      <c r="I129" s="161">
        <v>44823</v>
      </c>
      <c r="J129" s="35" t="s">
        <v>1669</v>
      </c>
      <c r="K129" s="21">
        <v>1900</v>
      </c>
      <c r="L129" s="21"/>
      <c r="M129" s="22">
        <f>(PROVEEDORES[[#This Row],[SUBTOTAL]]-PROVEEDORES[[#This Row],[descuento sobre subtotal]])*VLOOKUP(PROVEEDORES[[#This Row],[PROVEEDOR]],TERCEROS_INFO[#All],3,FALSE)</f>
        <v>0</v>
      </c>
      <c r="N129" s="23"/>
      <c r="O129" s="22">
        <f>+PROVEEDORES[[#This Row],[Descuento sobre subtotal %]]*(PROVEEDORES[[#This Row],[SUBTOTAL]]-PROVEEDORES[[#This Row],[descuento sobre subtotal]])</f>
        <v>0</v>
      </c>
      <c r="P129" s="83">
        <f>+IF(PROVEEDORES[[#This Row],[SUBTOTAL]]&lt;PROVEEDORES[[#This Row],[base retencion]],0,PROVEEDORES[[#This Row],[retención aplicada]])</f>
        <v>0</v>
      </c>
      <c r="Q129" s="22">
        <f>+PROVEEDORES[[#This Row],[Rete Fuente %]]*(PROVEEDORES[[#This Row],[SUBTOTAL]]-PROVEEDORES[[#This Row],[descuento sobre subtotal]])</f>
        <v>0</v>
      </c>
      <c r="R129" s="21">
        <f>+PROVEEDORES[[#This Row],[SUBTOTAL]]+PROVEEDORES[[#This Row],[IVA 19%]]-PROVEEDORES[[#This Row],[descuento sobre subtotal]]-PROVEEDORES[[#This Row],[Descuento sobre subtotal $2]]-PROVEEDORES[[#This Row],[Rete Fuente $]]</f>
        <v>1900</v>
      </c>
      <c r="S12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68">
        <f ca="1">IF(PROVEEDORES[[#This Row],[FECHA DE PAGO]]=0,TODAY()-PROVEEDORES[[#This Row],[FECHA DE FACTURACIÓN]]-PROVEEDORES[[#This Row],[PLAZO Días]],0)</f>
        <v>0</v>
      </c>
      <c r="U129" s="113">
        <f>+VLOOKUP(PROVEEDORES[[#This Row],[PROVEEDOR]],Terceros!$A:$D,4,FALSE)</f>
        <v>0</v>
      </c>
      <c r="V129" s="114">
        <f>+YEAR(PROVEEDORES[[#This Row],[FECHA DE FACTURACIÓN]])</f>
        <v>2022</v>
      </c>
      <c r="W129" s="114">
        <f>+MATCH(PROVEEDORES[[#This Row],[año facturado]],Retenciones!$1:$1,0)</f>
        <v>5</v>
      </c>
      <c r="X129" s="115">
        <f>+VLOOKUP(PROVEEDORES[[#This Row],[ID RETENCION]],Retenciones!$A$1:$O$25,PROVEEDORES[[#This Row],[indicador de columna]],FALSE)</f>
        <v>0</v>
      </c>
      <c r="Y129" s="116">
        <f>+VLOOKUP(PROVEEDORES[[#This Row],[ID RETENCION]],Retenciones!$A$1:$O$25,2,FALSE)</f>
        <v>0</v>
      </c>
      <c r="Z129" s="125" t="b">
        <f>OR(COUNTIF(PROVEEDORES[[#This Row],[PROVEEDOR]],"*"&amp;'Palabra no opera'!$A$2&amp;"*"))</f>
        <v>0</v>
      </c>
      <c r="AA129" s="24"/>
      <c r="AB129" s="24"/>
      <c r="AC129" s="24"/>
      <c r="AD129" s="24"/>
      <c r="AE129" s="24"/>
    </row>
    <row r="130" spans="1:31" ht="22.2" customHeight="1" x14ac:dyDescent="0.3">
      <c r="A130" s="66" t="str">
        <f>+IF(PROVEEDORES[[#This Row],[FECHA DE PAGO]]=PROVEEDORES[[#This Row],[FECHA DE FACTURACIÓN]],"DE CONTADO","CRÉDITO")</f>
        <v>CRÉDITO</v>
      </c>
      <c r="B130" s="38" t="b">
        <f>+IF((PROVEEDORES[[#This Row],[FECHA DE PAGO]]-PROVEEDORES[[#This Row],[FECHA DE FACTURACIÓN]])&gt;PROVEEDORES[[#This Row],[PLAZO Días]],"PAGO VENCIDO")</f>
        <v>0</v>
      </c>
      <c r="C130" s="20">
        <f>+VLOOKUP(PROVEEDORES[[#This Row],[PROVEEDOR]],TERCEROS_INFO[#All],2,FALSE)</f>
        <v>30</v>
      </c>
      <c r="D130" s="25">
        <f>+SUMIFS(PROVEEDORES[Total],PROVEEDORES[PROVEEDOR],PROVEEDORES[[#This Row],[PROVEEDOR]],PROVEEDORES[FECHA DE PAGO],"")</f>
        <v>0</v>
      </c>
      <c r="E130" s="25"/>
      <c r="F1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0" s="161">
        <v>44602</v>
      </c>
      <c r="H130" s="26" t="s">
        <v>404</v>
      </c>
      <c r="I130" s="161">
        <v>44596</v>
      </c>
      <c r="J130" s="35" t="s">
        <v>742</v>
      </c>
      <c r="K130" s="21">
        <v>3400</v>
      </c>
      <c r="L130" s="21"/>
      <c r="M130" s="22">
        <f>(PROVEEDORES[[#This Row],[SUBTOTAL]]-PROVEEDORES[[#This Row],[descuento sobre subtotal]])*VLOOKUP(PROVEEDORES[[#This Row],[PROVEEDOR]],TERCEROS_INFO[#All],3,FALSE)</f>
        <v>0</v>
      </c>
      <c r="N130" s="23"/>
      <c r="O130" s="22">
        <f>+PROVEEDORES[[#This Row],[Descuento sobre subtotal %]]*(PROVEEDORES[[#This Row],[SUBTOTAL]]-PROVEEDORES[[#This Row],[descuento sobre subtotal]])</f>
        <v>0</v>
      </c>
      <c r="P130" s="83">
        <f>+IF(PROVEEDORES[[#This Row],[SUBTOTAL]]&lt;PROVEEDORES[[#This Row],[base retencion]],0,PROVEEDORES[[#This Row],[retención aplicada]])</f>
        <v>0</v>
      </c>
      <c r="Q130" s="22">
        <f>+PROVEEDORES[[#This Row],[Rete Fuente %]]*(PROVEEDORES[[#This Row],[SUBTOTAL]]-PROVEEDORES[[#This Row],[descuento sobre subtotal]])</f>
        <v>0</v>
      </c>
      <c r="R130" s="21">
        <f>+PROVEEDORES[[#This Row],[SUBTOTAL]]+PROVEEDORES[[#This Row],[IVA 19%]]-PROVEEDORES[[#This Row],[descuento sobre subtotal]]-PROVEEDORES[[#This Row],[Descuento sobre subtotal $2]]-PROVEEDORES[[#This Row],[Rete Fuente $]]</f>
        <v>3400</v>
      </c>
      <c r="S1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68">
        <f ca="1">IF(PROVEEDORES[[#This Row],[FECHA DE PAGO]]=0,TODAY()-PROVEEDORES[[#This Row],[FECHA DE FACTURACIÓN]]-PROVEEDORES[[#This Row],[PLAZO Días]],0)</f>
        <v>0</v>
      </c>
      <c r="U130" s="96">
        <f>+VLOOKUP(PROVEEDORES[[#This Row],[PROVEEDOR]],Terceros!$A:$D,4,FALSE)</f>
        <v>0</v>
      </c>
      <c r="V130" s="97">
        <f>+YEAR(PROVEEDORES[[#This Row],[FECHA DE FACTURACIÓN]])</f>
        <v>2022</v>
      </c>
      <c r="W130" s="97">
        <f>+MATCH(PROVEEDORES[[#This Row],[año facturado]],Retenciones!$1:$1,0)</f>
        <v>5</v>
      </c>
      <c r="X130" s="98">
        <f>+VLOOKUP(PROVEEDORES[[#This Row],[ID RETENCION]],Retenciones!$A$1:$O$25,PROVEEDORES[[#This Row],[indicador de columna]],FALSE)</f>
        <v>0</v>
      </c>
      <c r="Y130" s="99">
        <f>+VLOOKUP(PROVEEDORES[[#This Row],[ID RETENCION]],Retenciones!$A$1:$O$25,2,FALSE)</f>
        <v>0</v>
      </c>
      <c r="Z130" s="125" t="b">
        <f>OR(COUNTIF(PROVEEDORES[[#This Row],[PROVEEDOR]],"*"&amp;'Palabra no opera'!$A$2&amp;"*"))</f>
        <v>0</v>
      </c>
      <c r="AA130" s="24"/>
      <c r="AB130" s="24"/>
      <c r="AC130" s="24"/>
      <c r="AD130" s="24"/>
      <c r="AE130" s="24"/>
    </row>
    <row r="131" spans="1:31" ht="22.2" customHeight="1" x14ac:dyDescent="0.3">
      <c r="A131" s="66" t="str">
        <f>+IF(PROVEEDORES[[#This Row],[FECHA DE PAGO]]=PROVEEDORES[[#This Row],[FECHA DE FACTURACIÓN]],"DE CONTADO","CRÉDITO")</f>
        <v>CRÉDITO</v>
      </c>
      <c r="B131" s="38" t="b">
        <f>+IF((PROVEEDORES[[#This Row],[FECHA DE PAGO]]-PROVEEDORES[[#This Row],[FECHA DE FACTURACIÓN]])&gt;PROVEEDORES[[#This Row],[PLAZO Días]],"PAGO VENCIDO")</f>
        <v>0</v>
      </c>
      <c r="C131" s="20">
        <f>+VLOOKUP(PROVEEDORES[[#This Row],[PROVEEDOR]],TERCEROS_INFO[#All],2,FALSE)</f>
        <v>30</v>
      </c>
      <c r="D131" s="25">
        <f>+SUMIFS(PROVEEDORES[Total],PROVEEDORES[PROVEEDOR],PROVEEDORES[[#This Row],[PROVEEDOR]],PROVEEDORES[FECHA DE PAGO],"")</f>
        <v>4024829</v>
      </c>
      <c r="E131" s="25"/>
      <c r="F13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1" s="161">
        <v>44533</v>
      </c>
      <c r="H131" s="26" t="s">
        <v>345</v>
      </c>
      <c r="I131" s="161">
        <v>44523</v>
      </c>
      <c r="J131" s="35" t="s">
        <v>544</v>
      </c>
      <c r="K131" s="21">
        <v>3402</v>
      </c>
      <c r="L131" s="21"/>
      <c r="M131" s="22">
        <f>(PROVEEDORES[[#This Row],[SUBTOTAL]]-PROVEEDORES[[#This Row],[descuento sobre subtotal]])*VLOOKUP(PROVEEDORES[[#This Row],[PROVEEDOR]],TERCEROS_INFO[#All],3,FALSE)</f>
        <v>0</v>
      </c>
      <c r="N131" s="23"/>
      <c r="O131" s="22">
        <f>+PROVEEDORES[[#This Row],[Descuento sobre subtotal %]]*(PROVEEDORES[[#This Row],[SUBTOTAL]]-PROVEEDORES[[#This Row],[descuento sobre subtotal]])</f>
        <v>0</v>
      </c>
      <c r="P131" s="83">
        <f>+IF(PROVEEDORES[[#This Row],[SUBTOTAL]]&lt;PROVEEDORES[[#This Row],[base retencion]],0,PROVEEDORES[[#This Row],[retención aplicada]])</f>
        <v>0</v>
      </c>
      <c r="Q131" s="22">
        <f>+PROVEEDORES[[#This Row],[Rete Fuente %]]*(PROVEEDORES[[#This Row],[SUBTOTAL]]-PROVEEDORES[[#This Row],[descuento sobre subtotal]])</f>
        <v>0</v>
      </c>
      <c r="R131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1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68">
        <f ca="1">IF(PROVEEDORES[[#This Row],[FECHA DE PAGO]]=0,TODAY()-PROVEEDORES[[#This Row],[FECHA DE FACTURACIÓN]]-PROVEEDORES[[#This Row],[PLAZO Días]],0)</f>
        <v>0</v>
      </c>
      <c r="U131" s="96">
        <f>+VLOOKUP(PROVEEDORES[[#This Row],[PROVEEDOR]],Terceros!$A:$D,4,FALSE)</f>
        <v>0</v>
      </c>
      <c r="V131" s="97">
        <f>+YEAR(PROVEEDORES[[#This Row],[FECHA DE FACTURACIÓN]])</f>
        <v>2021</v>
      </c>
      <c r="W131" s="97">
        <f>+MATCH(PROVEEDORES[[#This Row],[año facturado]],Retenciones!$1:$1,0)</f>
        <v>4</v>
      </c>
      <c r="X131" s="98">
        <f>+VLOOKUP(PROVEEDORES[[#This Row],[ID RETENCION]],Retenciones!$A$1:$O$25,PROVEEDORES[[#This Row],[indicador de columna]],FALSE)</f>
        <v>0</v>
      </c>
      <c r="Y131" s="99">
        <f>+VLOOKUP(PROVEEDORES[[#This Row],[ID RETENCION]],Retenciones!$A$1:$O$25,2,FALSE)</f>
        <v>0</v>
      </c>
      <c r="Z131" s="125" t="b">
        <f>OR(COUNTIF(PROVEEDORES[[#This Row],[PROVEEDOR]],"*"&amp;'Palabra no opera'!$A$2&amp;"*"))</f>
        <v>0</v>
      </c>
      <c r="AA131" s="24"/>
      <c r="AB131" s="24"/>
      <c r="AC131" s="24"/>
      <c r="AD131" s="24"/>
      <c r="AE131" s="24"/>
    </row>
    <row r="132" spans="1:31" ht="22.2" customHeight="1" x14ac:dyDescent="0.3">
      <c r="A132" s="66" t="str">
        <f>+IF(PROVEEDORES[[#This Row],[FECHA DE PAGO]]=PROVEEDORES[[#This Row],[FECHA DE FACTURACIÓN]],"DE CONTADO","CRÉDITO")</f>
        <v>CRÉDITO</v>
      </c>
      <c r="B132" s="38" t="b">
        <f>+IF((PROVEEDORES[[#This Row],[FECHA DE PAGO]]-PROVEEDORES[[#This Row],[FECHA DE FACTURACIÓN]])&gt;PROVEEDORES[[#This Row],[PLAZO Días]],"PAGO VENCIDO")</f>
        <v>0</v>
      </c>
      <c r="C132" s="20">
        <f>+VLOOKUP(PROVEEDORES[[#This Row],[PROVEEDOR]],TERCEROS_INFO[#All],2,FALSE)</f>
        <v>30</v>
      </c>
      <c r="D132" s="25">
        <f>+SUMIFS(PROVEEDORES[Total],PROVEEDORES[PROVEEDOR],PROVEEDORES[[#This Row],[PROVEEDOR]],PROVEEDORES[FECHA DE PAGO],"")</f>
        <v>4024829</v>
      </c>
      <c r="E132" s="25"/>
      <c r="F13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2" s="161">
        <v>44602</v>
      </c>
      <c r="H132" s="26" t="s">
        <v>345</v>
      </c>
      <c r="I132" s="161">
        <v>44593</v>
      </c>
      <c r="J132" s="35" t="s">
        <v>745</v>
      </c>
      <c r="K132" s="21">
        <v>3402</v>
      </c>
      <c r="L132" s="21"/>
      <c r="M132" s="22">
        <f>(PROVEEDORES[[#This Row],[SUBTOTAL]]-PROVEEDORES[[#This Row],[descuento sobre subtotal]])*VLOOKUP(PROVEEDORES[[#This Row],[PROVEEDOR]],TERCEROS_INFO[#All],3,FALSE)</f>
        <v>0</v>
      </c>
      <c r="N132" s="23"/>
      <c r="O132" s="22">
        <f>+PROVEEDORES[[#This Row],[Descuento sobre subtotal %]]*(PROVEEDORES[[#This Row],[SUBTOTAL]]-PROVEEDORES[[#This Row],[descuento sobre subtotal]])</f>
        <v>0</v>
      </c>
      <c r="P132" s="83">
        <f>+IF(PROVEEDORES[[#This Row],[SUBTOTAL]]&lt;PROVEEDORES[[#This Row],[base retencion]],0,PROVEEDORES[[#This Row],[retención aplicada]])</f>
        <v>0</v>
      </c>
      <c r="Q132" s="22">
        <f>+PROVEEDORES[[#This Row],[Rete Fuente %]]*(PROVEEDORES[[#This Row],[SUBTOTAL]]-PROVEEDORES[[#This Row],[descuento sobre subtotal]])</f>
        <v>0</v>
      </c>
      <c r="R132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1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68">
        <f ca="1">IF(PROVEEDORES[[#This Row],[FECHA DE PAGO]]=0,TODAY()-PROVEEDORES[[#This Row],[FECHA DE FACTURACIÓN]]-PROVEEDORES[[#This Row],[PLAZO Días]],0)</f>
        <v>0</v>
      </c>
      <c r="U132" s="96">
        <f>+VLOOKUP(PROVEEDORES[[#This Row],[PROVEEDOR]],Terceros!$A:$D,4,FALSE)</f>
        <v>0</v>
      </c>
      <c r="V132" s="97">
        <f>+YEAR(PROVEEDORES[[#This Row],[FECHA DE FACTURACIÓN]])</f>
        <v>2022</v>
      </c>
      <c r="W132" s="97">
        <f>+MATCH(PROVEEDORES[[#This Row],[año facturado]],Retenciones!$1:$1,0)</f>
        <v>5</v>
      </c>
      <c r="X132" s="98">
        <f>+VLOOKUP(PROVEEDORES[[#This Row],[ID RETENCION]],Retenciones!$A$1:$O$25,PROVEEDORES[[#This Row],[indicador de columna]],FALSE)</f>
        <v>0</v>
      </c>
      <c r="Y132" s="99">
        <f>+VLOOKUP(PROVEEDORES[[#This Row],[ID RETENCION]],Retenciones!$A$1:$O$25,2,FALSE)</f>
        <v>0</v>
      </c>
      <c r="Z132" s="125" t="b">
        <f>OR(COUNTIF(PROVEEDORES[[#This Row],[PROVEEDOR]],"*"&amp;'Palabra no opera'!$A$2&amp;"*"))</f>
        <v>0</v>
      </c>
      <c r="AA132" s="24"/>
      <c r="AB132" s="24"/>
      <c r="AC132" s="24"/>
      <c r="AD132" s="24"/>
      <c r="AE132" s="24"/>
    </row>
    <row r="133" spans="1:31" ht="22.2" customHeight="1" x14ac:dyDescent="0.3">
      <c r="A133" s="66" t="str">
        <f>+IF(PROVEEDORES[[#This Row],[FECHA DE PAGO]]=PROVEEDORES[[#This Row],[FECHA DE FACTURACIÓN]],"DE CONTADO","CRÉDITO")</f>
        <v>CRÉDITO</v>
      </c>
      <c r="B133" s="38" t="str">
        <f>+IF((PROVEEDORES[[#This Row],[FECHA DE PAGO]]-PROVEEDORES[[#This Row],[FECHA DE FACTURACIÓN]])&gt;PROVEEDORES[[#This Row],[PLAZO Días]],"PAGO VENCIDO")</f>
        <v>PAGO VENCIDO</v>
      </c>
      <c r="C133" s="20">
        <f>+VLOOKUP(PROVEEDORES[[#This Row],[PROVEEDOR]],TERCEROS_INFO[#All],2,FALSE)</f>
        <v>30</v>
      </c>
      <c r="D133" s="25">
        <f>+SUMIFS(PROVEEDORES[Total],PROVEEDORES[PROVEEDOR],PROVEEDORES[[#This Row],[PROVEEDOR]],PROVEEDORES[FECHA DE PAGO],"")</f>
        <v>0</v>
      </c>
      <c r="E133" s="25"/>
      <c r="F133" s="58" t="str">
        <f>+VLOOKUP(PROVEEDORES[[#This Row],[PROVEEDOR]],
                       Terceros!$A:$F,
                       5,
                       FALSE)</f>
        <v>??;girlesa.ruiz@servipilas.com;joriescobar64@gmail.com</v>
      </c>
      <c r="G133" s="161">
        <v>44484</v>
      </c>
      <c r="H133" s="26" t="s">
        <v>698</v>
      </c>
      <c r="I133" s="161">
        <v>44428</v>
      </c>
      <c r="J133" s="35" t="s">
        <v>1486</v>
      </c>
      <c r="K133" s="21">
        <v>4000</v>
      </c>
      <c r="L133" s="21"/>
      <c r="M133" s="22">
        <f>(PROVEEDORES[[#This Row],[SUBTOTAL]]-PROVEEDORES[[#This Row],[descuento sobre subtotal]])*VLOOKUP(PROVEEDORES[[#This Row],[PROVEEDOR]],TERCEROS_INFO[#All],3,FALSE)</f>
        <v>0</v>
      </c>
      <c r="N133" s="23"/>
      <c r="O133" s="22">
        <f>+PROVEEDORES[[#This Row],[Descuento sobre subtotal %]]*(PROVEEDORES[[#This Row],[SUBTOTAL]]-PROVEEDORES[[#This Row],[descuento sobre subtotal]])</f>
        <v>0</v>
      </c>
      <c r="P133" s="83">
        <f>+IF(PROVEEDORES[[#This Row],[SUBTOTAL]]&lt;PROVEEDORES[[#This Row],[base retencion]],0,PROVEEDORES[[#This Row],[retención aplicada]])</f>
        <v>0</v>
      </c>
      <c r="Q133" s="22">
        <f>+PROVEEDORES[[#This Row],[Rete Fuente %]]*(PROVEEDORES[[#This Row],[SUBTOTAL]]-PROVEEDORES[[#This Row],[descuento sobre subtotal]])</f>
        <v>0</v>
      </c>
      <c r="R133" s="21">
        <f>+PROVEEDORES[[#This Row],[SUBTOTAL]]+PROVEEDORES[[#This Row],[IVA 19%]]-PROVEEDORES[[#This Row],[descuento sobre subtotal]]-PROVEEDORES[[#This Row],[Descuento sobre subtotal $2]]-PROVEEDORES[[#This Row],[Rete Fuente $]]</f>
        <v>4000</v>
      </c>
      <c r="S1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68">
        <f ca="1">IF(PROVEEDORES[[#This Row],[FECHA DE PAGO]]=0,TODAY()-PROVEEDORES[[#This Row],[FECHA DE FACTURACIÓN]]-PROVEEDORES[[#This Row],[PLAZO Días]],0)</f>
        <v>0</v>
      </c>
      <c r="U133" s="96">
        <f>+VLOOKUP(PROVEEDORES[[#This Row],[PROVEEDOR]],Terceros!$A:$D,4,FALSE)</f>
        <v>0</v>
      </c>
      <c r="V133" s="97">
        <f>+YEAR(PROVEEDORES[[#This Row],[FECHA DE FACTURACIÓN]])</f>
        <v>2021</v>
      </c>
      <c r="W133" s="97">
        <f>+MATCH(PROVEEDORES[[#This Row],[año facturado]],Retenciones!$1:$1,0)</f>
        <v>4</v>
      </c>
      <c r="X133" s="98">
        <f>+VLOOKUP(PROVEEDORES[[#This Row],[ID RETENCION]],Retenciones!$A$1:$O$25,PROVEEDORES[[#This Row],[indicador de columna]],FALSE)</f>
        <v>0</v>
      </c>
      <c r="Y133" s="99">
        <f>+VLOOKUP(PROVEEDORES[[#This Row],[ID RETENCION]],Retenciones!$A$1:$O$25,2,FALSE)</f>
        <v>0</v>
      </c>
      <c r="Z133" s="125" t="b">
        <f>OR(COUNTIF(PROVEEDORES[[#This Row],[PROVEEDOR]],"*"&amp;'Palabra no opera'!$A$2&amp;"*"))</f>
        <v>0</v>
      </c>
      <c r="AA133" s="24"/>
      <c r="AB133" s="24"/>
      <c r="AC133" s="24"/>
      <c r="AD133" s="24"/>
      <c r="AE133" s="24"/>
    </row>
    <row r="134" spans="1:31" ht="22.2" customHeight="1" x14ac:dyDescent="0.3">
      <c r="A134" s="66" t="str">
        <f>+IF(PROVEEDORES[[#This Row],[FECHA DE PAGO]]=PROVEEDORES[[#This Row],[FECHA DE FACTURACIÓN]],"DE CONTADO","CRÉDITO")</f>
        <v>CRÉDITO</v>
      </c>
      <c r="B134" s="38" t="str">
        <f>+IF((PROVEEDORES[[#This Row],[FECHA DE PAGO]]-PROVEEDORES[[#This Row],[FECHA DE FACTURACIÓN]])&gt;PROVEEDORES[[#This Row],[PLAZO Días]],"PAGO VENCIDO")</f>
        <v>PAGO VENCIDO</v>
      </c>
      <c r="C134" s="20">
        <f>+VLOOKUP(PROVEEDORES[[#This Row],[PROVEEDOR]],TERCEROS_INFO[#All],2,FALSE)</f>
        <v>30</v>
      </c>
      <c r="D134" s="25">
        <f>+SUMIFS(PROVEEDORES[Total],PROVEEDORES[PROVEEDOR],PROVEEDORES[[#This Row],[PROVEEDOR]],PROVEEDORES[FECHA DE PAGO],"")</f>
        <v>1127400.05</v>
      </c>
      <c r="E134" s="25"/>
      <c r="F13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4" s="161">
        <v>44718</v>
      </c>
      <c r="H134" s="26" t="s">
        <v>47</v>
      </c>
      <c r="I134" s="161">
        <v>44655</v>
      </c>
      <c r="J134" s="35" t="s">
        <v>642</v>
      </c>
      <c r="K134" s="21">
        <v>3406</v>
      </c>
      <c r="L134" s="21"/>
      <c r="M134" s="22">
        <f>(PROVEEDORES[[#This Row],[SUBTOTAL]]-PROVEEDORES[[#This Row],[descuento sobre subtotal]])*VLOOKUP(PROVEEDORES[[#This Row],[PROVEEDOR]],TERCEROS_INFO[#All],3,FALSE)</f>
        <v>647.14</v>
      </c>
      <c r="N134" s="23"/>
      <c r="O134" s="22">
        <f>+PROVEEDORES[[#This Row],[Descuento sobre subtotal %]]*(PROVEEDORES[[#This Row],[SUBTOTAL]]-PROVEEDORES[[#This Row],[descuento sobre subtotal]])</f>
        <v>0</v>
      </c>
      <c r="P134" s="83">
        <f>+IF(PROVEEDORES[[#This Row],[SUBTOTAL]]&lt;PROVEEDORES[[#This Row],[base retencion]],0,PROVEEDORES[[#This Row],[retención aplicada]])</f>
        <v>0</v>
      </c>
      <c r="Q134" s="22">
        <f>+PROVEEDORES[[#This Row],[Rete Fuente %]]*(PROVEEDORES[[#This Row],[SUBTOTAL]]-PROVEEDORES[[#This Row],[descuento sobre subtotal]])</f>
        <v>0</v>
      </c>
      <c r="R134" s="21">
        <f>+PROVEEDORES[[#This Row],[SUBTOTAL]]+PROVEEDORES[[#This Row],[IVA 19%]]-PROVEEDORES[[#This Row],[descuento sobre subtotal]]-PROVEEDORES[[#This Row],[Descuento sobre subtotal $2]]-PROVEEDORES[[#This Row],[Rete Fuente $]]</f>
        <v>4053.14</v>
      </c>
      <c r="S1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68">
        <f ca="1">IF(PROVEEDORES[[#This Row],[FECHA DE PAGO]]=0,TODAY()-PROVEEDORES[[#This Row],[FECHA DE FACTURACIÓN]]-PROVEEDORES[[#This Row],[PLAZO Días]],0)</f>
        <v>0</v>
      </c>
      <c r="U134" s="96" t="str">
        <f>+VLOOKUP(PROVEEDORES[[#This Row],[PROVEEDOR]],Terceros!$A:$D,4,FALSE)</f>
        <v>2,5% con base</v>
      </c>
      <c r="V134" s="97">
        <f>+YEAR(PROVEEDORES[[#This Row],[FECHA DE FACTURACIÓN]])</f>
        <v>2022</v>
      </c>
      <c r="W134" s="97">
        <f>+MATCH(PROVEEDORES[[#This Row],[año facturado]],Retenciones!$1:$1,0)</f>
        <v>5</v>
      </c>
      <c r="X134" s="98">
        <f>+VLOOKUP(PROVEEDORES[[#This Row],[ID RETENCION]],Retenciones!$A$1:$O$25,PROVEEDORES[[#This Row],[indicador de columna]],FALSE)</f>
        <v>1026000</v>
      </c>
      <c r="Y134" s="99">
        <f>+VLOOKUP(PROVEEDORES[[#This Row],[ID RETENCION]],Retenciones!$A$1:$O$25,2,FALSE)</f>
        <v>2.5000000000000001E-2</v>
      </c>
      <c r="Z134" s="125" t="b">
        <f>OR(COUNTIF(PROVEEDORES[[#This Row],[PROVEEDOR]],"*"&amp;'Palabra no opera'!$A$2&amp;"*"))</f>
        <v>0</v>
      </c>
      <c r="AA134" s="24"/>
      <c r="AB134" s="24"/>
      <c r="AC134" s="24"/>
      <c r="AD134" s="24"/>
      <c r="AE134" s="24"/>
    </row>
    <row r="135" spans="1:31" ht="22.2" customHeight="1" x14ac:dyDescent="0.3">
      <c r="A135" s="66" t="str">
        <f>+IF(PROVEEDORES[[#This Row],[FECHA DE PAGO]]=PROVEEDORES[[#This Row],[FECHA DE FACTURACIÓN]],"DE CONTADO","CRÉDITO")</f>
        <v>CRÉDITO</v>
      </c>
      <c r="B135" s="38" t="b">
        <f>+IF((PROVEEDORES[[#This Row],[FECHA DE PAGO]]-PROVEEDORES[[#This Row],[FECHA DE FACTURACIÓN]])&gt;PROVEEDORES[[#This Row],[PLAZO Días]],"PAGO VENCIDO")</f>
        <v>0</v>
      </c>
      <c r="C135" s="20">
        <f>+VLOOKUP(PROVEEDORES[[#This Row],[PROVEEDOR]],TERCEROS_INFO[#All],2,FALSE)</f>
        <v>30</v>
      </c>
      <c r="D135" s="25">
        <f>+SUMIFS(PROVEEDORES[Total],PROVEEDORES[PROVEEDOR],PROVEEDORES[[#This Row],[PROVEEDOR]],PROVEEDORES[FECHA DE PAGO],"")</f>
        <v>0</v>
      </c>
      <c r="E135" s="25"/>
      <c r="F13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5" s="161">
        <v>44442</v>
      </c>
      <c r="H135" s="26" t="s">
        <v>404</v>
      </c>
      <c r="I135" s="161">
        <v>44432</v>
      </c>
      <c r="J135" s="35" t="s">
        <v>442</v>
      </c>
      <c r="K135" s="21">
        <v>4158.2</v>
      </c>
      <c r="L135" s="21"/>
      <c r="M135" s="22">
        <f>(PROVEEDORES[[#This Row],[SUBTOTAL]]-PROVEEDORES[[#This Row],[descuento sobre subtotal]])*VLOOKUP(PROVEEDORES[[#This Row],[PROVEEDOR]],TERCEROS_INFO[#All],3,FALSE)</f>
        <v>0</v>
      </c>
      <c r="N135" s="23"/>
      <c r="O135" s="22">
        <f>+PROVEEDORES[[#This Row],[Descuento sobre subtotal %]]*(PROVEEDORES[[#This Row],[SUBTOTAL]]-PROVEEDORES[[#This Row],[descuento sobre subtotal]])</f>
        <v>0</v>
      </c>
      <c r="P135" s="83">
        <f>+IF(PROVEEDORES[[#This Row],[SUBTOTAL]]&lt;PROVEEDORES[[#This Row],[base retencion]],0,PROVEEDORES[[#This Row],[retención aplicada]])</f>
        <v>0</v>
      </c>
      <c r="Q135" s="22">
        <f>+PROVEEDORES[[#This Row],[Rete Fuente %]]*(PROVEEDORES[[#This Row],[SUBTOTAL]]-PROVEEDORES[[#This Row],[descuento sobre subtotal]])</f>
        <v>0</v>
      </c>
      <c r="R135" s="21">
        <f>+PROVEEDORES[[#This Row],[SUBTOTAL]]+PROVEEDORES[[#This Row],[IVA 19%]]-PROVEEDORES[[#This Row],[descuento sobre subtotal]]-PROVEEDORES[[#This Row],[Descuento sobre subtotal $2]]-PROVEEDORES[[#This Row],[Rete Fuente $]]</f>
        <v>4158.2</v>
      </c>
      <c r="S1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68">
        <f ca="1">IF(PROVEEDORES[[#This Row],[FECHA DE PAGO]]=0,TODAY()-PROVEEDORES[[#This Row],[FECHA DE FACTURACIÓN]]-PROVEEDORES[[#This Row],[PLAZO Días]],0)</f>
        <v>0</v>
      </c>
      <c r="U135" s="96">
        <f>+VLOOKUP(PROVEEDORES[[#This Row],[PROVEEDOR]],Terceros!$A:$D,4,FALSE)</f>
        <v>0</v>
      </c>
      <c r="V135" s="97">
        <f>+YEAR(PROVEEDORES[[#This Row],[FECHA DE FACTURACIÓN]])</f>
        <v>2021</v>
      </c>
      <c r="W135" s="97">
        <f>+MATCH(PROVEEDORES[[#This Row],[año facturado]],Retenciones!$1:$1,0)</f>
        <v>4</v>
      </c>
      <c r="X135" s="98">
        <f>+VLOOKUP(PROVEEDORES[[#This Row],[ID RETENCION]],Retenciones!$A$1:$O$25,PROVEEDORES[[#This Row],[indicador de columna]],FALSE)</f>
        <v>0</v>
      </c>
      <c r="Y135" s="99">
        <f>+VLOOKUP(PROVEEDORES[[#This Row],[ID RETENCION]],Retenciones!$A$1:$O$25,2,FALSE)</f>
        <v>0</v>
      </c>
      <c r="Z135" s="125" t="b">
        <f>OR(COUNTIF(PROVEEDORES[[#This Row],[PROVEEDOR]],"*"&amp;'Palabra no opera'!$A$2&amp;"*"))</f>
        <v>0</v>
      </c>
      <c r="AA135" s="24"/>
      <c r="AB135" s="24"/>
      <c r="AC135" s="24"/>
      <c r="AD135" s="24"/>
      <c r="AE135" s="24"/>
    </row>
    <row r="136" spans="1:31" ht="22.2" customHeight="1" x14ac:dyDescent="0.3">
      <c r="A136" s="66" t="str">
        <f>+IF(PROVEEDORES[[#This Row],[FECHA DE PAGO]]=PROVEEDORES[[#This Row],[FECHA DE FACTURACIÓN]],"DE CONTADO","CRÉDITO")</f>
        <v>CRÉDITO</v>
      </c>
      <c r="B136" s="38" t="b">
        <f>+IF((PROVEEDORES[[#This Row],[FECHA DE PAGO]]-PROVEEDORES[[#This Row],[FECHA DE FACTURACIÓN]])&gt;PROVEEDORES[[#This Row],[PLAZO Días]],"PAGO VENCIDO")</f>
        <v>0</v>
      </c>
      <c r="C136" s="20">
        <f>+VLOOKUP(PROVEEDORES[[#This Row],[PROVEEDOR]],TERCEROS_INFO[#All],2,FALSE)</f>
        <v>30</v>
      </c>
      <c r="D136" s="25">
        <f>+SUMIFS(PROVEEDORES[Total],PROVEEDORES[PROVEEDOR],PROVEEDORES[[#This Row],[PROVEEDOR]],PROVEEDORES[FECHA DE PAGO],"")</f>
        <v>4024829</v>
      </c>
      <c r="E136" s="25"/>
      <c r="F13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6" s="161">
        <v>44476</v>
      </c>
      <c r="H136" s="26" t="s">
        <v>345</v>
      </c>
      <c r="I136" s="161">
        <v>44468</v>
      </c>
      <c r="J136" s="35" t="s">
        <v>481</v>
      </c>
      <c r="K136" s="21">
        <v>4297</v>
      </c>
      <c r="L136" s="21"/>
      <c r="M136" s="22">
        <f>(PROVEEDORES[[#This Row],[SUBTOTAL]]-PROVEEDORES[[#This Row],[descuento sobre subtotal]])*VLOOKUP(PROVEEDORES[[#This Row],[PROVEEDOR]],TERCEROS_INFO[#All],3,FALSE)</f>
        <v>0</v>
      </c>
      <c r="N136" s="23"/>
      <c r="O136" s="22">
        <f>+PROVEEDORES[[#This Row],[Descuento sobre subtotal %]]*(PROVEEDORES[[#This Row],[SUBTOTAL]]-PROVEEDORES[[#This Row],[descuento sobre subtotal]])</f>
        <v>0</v>
      </c>
      <c r="P136" s="83">
        <f>+IF(PROVEEDORES[[#This Row],[SUBTOTAL]]&lt;PROVEEDORES[[#This Row],[base retencion]],0,PROVEEDORES[[#This Row],[retención aplicada]])</f>
        <v>0</v>
      </c>
      <c r="Q136" s="22">
        <f>+PROVEEDORES[[#This Row],[Rete Fuente %]]*(PROVEEDORES[[#This Row],[SUBTOTAL]]-PROVEEDORES[[#This Row],[descuento sobre subtotal]])</f>
        <v>0</v>
      </c>
      <c r="R136" s="21">
        <f>+PROVEEDORES[[#This Row],[SUBTOTAL]]+PROVEEDORES[[#This Row],[IVA 19%]]-PROVEEDORES[[#This Row],[descuento sobre subtotal]]-PROVEEDORES[[#This Row],[Descuento sobre subtotal $2]]-PROVEEDORES[[#This Row],[Rete Fuente $]]</f>
        <v>4297</v>
      </c>
      <c r="S1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68">
        <f ca="1">IF(PROVEEDORES[[#This Row],[FECHA DE PAGO]]=0,TODAY()-PROVEEDORES[[#This Row],[FECHA DE FACTURACIÓN]]-PROVEEDORES[[#This Row],[PLAZO Días]],0)</f>
        <v>0</v>
      </c>
      <c r="U136" s="96">
        <f>+VLOOKUP(PROVEEDORES[[#This Row],[PROVEEDOR]],Terceros!$A:$D,4,FALSE)</f>
        <v>0</v>
      </c>
      <c r="V136" s="97">
        <f>+YEAR(PROVEEDORES[[#This Row],[FECHA DE FACTURACIÓN]])</f>
        <v>2021</v>
      </c>
      <c r="W136" s="97">
        <f>+MATCH(PROVEEDORES[[#This Row],[año facturado]],Retenciones!$1:$1,0)</f>
        <v>4</v>
      </c>
      <c r="X136" s="98">
        <f>+VLOOKUP(PROVEEDORES[[#This Row],[ID RETENCION]],Retenciones!$A$1:$O$25,PROVEEDORES[[#This Row],[indicador de columna]],FALSE)</f>
        <v>0</v>
      </c>
      <c r="Y136" s="99">
        <f>+VLOOKUP(PROVEEDORES[[#This Row],[ID RETENCION]],Retenciones!$A$1:$O$25,2,FALSE)</f>
        <v>0</v>
      </c>
      <c r="Z136" s="125" t="b">
        <f>OR(COUNTIF(PROVEEDORES[[#This Row],[PROVEEDOR]],"*"&amp;'Palabra no opera'!$A$2&amp;"*"))</f>
        <v>0</v>
      </c>
      <c r="AA136" s="24"/>
      <c r="AB136" s="24"/>
      <c r="AC136" s="24"/>
      <c r="AD136" s="24"/>
      <c r="AE136" s="24"/>
    </row>
    <row r="137" spans="1:31" ht="22.2" customHeight="1" x14ac:dyDescent="0.3">
      <c r="A137" s="159" t="str">
        <f>+IF(PROVEEDORES[[#This Row],[FECHA DE PAGO]]=PROVEEDORES[[#This Row],[FECHA DE FACTURACIÓN]],"DE CONTADO","CRÉDITO")</f>
        <v>CRÉDITO</v>
      </c>
      <c r="B137" s="38" t="b">
        <f>+IF((PROVEEDORES[[#This Row],[FECHA DE PAGO]]-PROVEEDORES[[#This Row],[FECHA DE FACTURACIÓN]])&gt;PROVEEDORES[[#This Row],[PLAZO Días]],"PAGO VENCIDO")</f>
        <v>0</v>
      </c>
      <c r="C137" s="20">
        <f>+VLOOKUP(PROVEEDORES[[#This Row],[PROVEEDOR]],TERCEROS_INFO[#All],2,FALSE)</f>
        <v>30</v>
      </c>
      <c r="D137" s="25">
        <f>+SUMIFS(PROVEEDORES[Total],PROVEEDORES[PROVEEDOR],PROVEEDORES[[#This Row],[PROVEEDOR]],PROVEEDORES[FECHA DE PAGO],"")</f>
        <v>0</v>
      </c>
      <c r="E137" s="25"/>
      <c r="F13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7" s="161">
        <v>44750</v>
      </c>
      <c r="H137" s="26" t="s">
        <v>913</v>
      </c>
      <c r="I137" s="161">
        <v>44743</v>
      </c>
      <c r="J137" s="35" t="s">
        <v>1087</v>
      </c>
      <c r="K137" s="21">
        <v>3694</v>
      </c>
      <c r="L137" s="21"/>
      <c r="M137" s="22">
        <f>(PROVEEDORES[[#This Row],[SUBTOTAL]]-PROVEEDORES[[#This Row],[descuento sobre subtotal]])*VLOOKUP(PROVEEDORES[[#This Row],[PROVEEDOR]],TERCEROS_INFO[#All],3,FALSE)</f>
        <v>701.86</v>
      </c>
      <c r="N137" s="23"/>
      <c r="O137" s="22">
        <f>+PROVEEDORES[[#This Row],[Descuento sobre subtotal %]]*(PROVEEDORES[[#This Row],[SUBTOTAL]]-PROVEEDORES[[#This Row],[descuento sobre subtotal]])</f>
        <v>0</v>
      </c>
      <c r="P137" s="83">
        <f>+IF(PROVEEDORES[[#This Row],[SUBTOTAL]]&lt;PROVEEDORES[[#This Row],[base retencion]],0,PROVEEDORES[[#This Row],[retención aplicada]])</f>
        <v>0</v>
      </c>
      <c r="Q137" s="22">
        <f>+PROVEEDORES[[#This Row],[Rete Fuente %]]*(PROVEEDORES[[#This Row],[SUBTOTAL]]-PROVEEDORES[[#This Row],[descuento sobre subtotal]])</f>
        <v>0</v>
      </c>
      <c r="R137" s="21">
        <f>+PROVEEDORES[[#This Row],[SUBTOTAL]]+PROVEEDORES[[#This Row],[IVA 19%]]-PROVEEDORES[[#This Row],[descuento sobre subtotal]]-PROVEEDORES[[#This Row],[Descuento sobre subtotal $2]]-PROVEEDORES[[#This Row],[Rete Fuente $]]</f>
        <v>4395.8599999999997</v>
      </c>
      <c r="S13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68">
        <f ca="1">IF(PROVEEDORES[[#This Row],[FECHA DE PAGO]]=0,TODAY()-PROVEEDORES[[#This Row],[FECHA DE FACTURACIÓN]]-PROVEEDORES[[#This Row],[PLAZO Días]],0)</f>
        <v>0</v>
      </c>
      <c r="U137" s="113">
        <f>+VLOOKUP(PROVEEDORES[[#This Row],[PROVEEDOR]],Terceros!$A:$D,4,FALSE)</f>
        <v>0</v>
      </c>
      <c r="V137" s="114">
        <f>+YEAR(PROVEEDORES[[#This Row],[FECHA DE FACTURACIÓN]])</f>
        <v>2022</v>
      </c>
      <c r="W137" s="114">
        <f>+MATCH(PROVEEDORES[[#This Row],[año facturado]],Retenciones!$1:$1,0)</f>
        <v>5</v>
      </c>
      <c r="X137" s="115">
        <f>+VLOOKUP(PROVEEDORES[[#This Row],[ID RETENCION]],Retenciones!$A$1:$O$25,PROVEEDORES[[#This Row],[indicador de columna]],FALSE)</f>
        <v>0</v>
      </c>
      <c r="Y137" s="116">
        <f>+VLOOKUP(PROVEEDORES[[#This Row],[ID RETENCION]],Retenciones!$A$1:$O$25,2,FALSE)</f>
        <v>0</v>
      </c>
      <c r="Z137" s="125" t="b">
        <f>OR(COUNTIF(PROVEEDORES[[#This Row],[PROVEEDOR]],"*"&amp;'Palabra no opera'!$A$2&amp;"*"))</f>
        <v>1</v>
      </c>
      <c r="AA137" s="24"/>
      <c r="AB137" s="24"/>
      <c r="AC137" s="24"/>
      <c r="AD137" s="24"/>
      <c r="AE137" s="24"/>
    </row>
    <row r="138" spans="1:31" ht="22.2" customHeight="1" x14ac:dyDescent="0.3">
      <c r="A138" s="144" t="str">
        <f>+IF(PROVEEDORES[[#This Row],[FECHA DE PAGO]]=PROVEEDORES[[#This Row],[FECHA DE FACTURACIÓN]],"DE CONTADO","CRÉDITO")</f>
        <v>CRÉDITO</v>
      </c>
      <c r="B138" s="38" t="b">
        <f>+IF((PROVEEDORES[[#This Row],[FECHA DE PAGO]]-PROVEEDORES[[#This Row],[FECHA DE FACTURACIÓN]])&gt;PROVEEDORES[[#This Row],[PLAZO Días]],"PAGO VENCIDO")</f>
        <v>0</v>
      </c>
      <c r="C138" s="20">
        <f>+VLOOKUP(PROVEEDORES[[#This Row],[PROVEEDOR]],TERCEROS_INFO[#All],2,FALSE)</f>
        <v>30</v>
      </c>
      <c r="D138" s="25">
        <f>+SUMIFS(PROVEEDORES[Total],PROVEEDORES[PROVEEDOR],PROVEEDORES[[#This Row],[PROVEEDOR]],PROVEEDORES[FECHA DE PAGO],"")</f>
        <v>0</v>
      </c>
      <c r="E138" s="25"/>
      <c r="F13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38" s="161">
        <v>44707</v>
      </c>
      <c r="H138" s="26" t="s">
        <v>928</v>
      </c>
      <c r="I138" s="161">
        <v>44682</v>
      </c>
      <c r="J138" s="35" t="s">
        <v>991</v>
      </c>
      <c r="K138" s="21">
        <v>5105</v>
      </c>
      <c r="L138" s="21"/>
      <c r="M138" s="22">
        <f>(PROVEEDORES[[#This Row],[SUBTOTAL]]-PROVEEDORES[[#This Row],[descuento sobre subtotal]])*VLOOKUP(PROVEEDORES[[#This Row],[PROVEEDOR]],TERCEROS_INFO[#All],3,FALSE)</f>
        <v>0</v>
      </c>
      <c r="N138" s="23"/>
      <c r="O138" s="22">
        <f>+PROVEEDORES[[#This Row],[Descuento sobre subtotal %]]*(PROVEEDORES[[#This Row],[SUBTOTAL]]-PROVEEDORES[[#This Row],[descuento sobre subtotal]])</f>
        <v>0</v>
      </c>
      <c r="P138" s="83">
        <f>+IF(PROVEEDORES[[#This Row],[SUBTOTAL]]&lt;PROVEEDORES[[#This Row],[base retencion]],0,PROVEEDORES[[#This Row],[retención aplicada]])</f>
        <v>3.5000000000000003E-2</v>
      </c>
      <c r="Q138" s="22">
        <f>+PROVEEDORES[[#This Row],[Rete Fuente %]]*(PROVEEDORES[[#This Row],[SUBTOTAL]]-PROVEEDORES[[#This Row],[descuento sobre subtotal]])</f>
        <v>178.67500000000001</v>
      </c>
      <c r="R138" s="21">
        <f>+PROVEEDORES[[#This Row],[SUBTOTAL]]+PROVEEDORES[[#This Row],[IVA 19%]]-PROVEEDORES[[#This Row],[descuento sobre subtotal]]-PROVEEDORES[[#This Row],[Descuento sobre subtotal $2]]-PROVEEDORES[[#This Row],[Rete Fuente $]]</f>
        <v>4926.3249999999998</v>
      </c>
      <c r="S138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68">
        <f ca="1">IF(PROVEEDORES[[#This Row],[FECHA DE PAGO]]=0,TODAY()-PROVEEDORES[[#This Row],[FECHA DE FACTURACIÓN]]-PROVEEDORES[[#This Row],[PLAZO Días]],0)</f>
        <v>0</v>
      </c>
      <c r="U138" s="113" t="str">
        <f>+VLOOKUP(PROVEEDORES[[#This Row],[PROVEEDOR]],Terceros!$A:$D,4,FALSE)</f>
        <v>3,5% sin base</v>
      </c>
      <c r="V138" s="114">
        <f>+YEAR(PROVEEDORES[[#This Row],[FECHA DE FACTURACIÓN]])</f>
        <v>2022</v>
      </c>
      <c r="W138" s="114">
        <f>+MATCH(PROVEEDORES[[#This Row],[año facturado]],Retenciones!$1:$1,0)</f>
        <v>5</v>
      </c>
      <c r="X138" s="115">
        <f>+VLOOKUP(PROVEEDORES[[#This Row],[ID RETENCION]],Retenciones!$A$1:$O$25,PROVEEDORES[[#This Row],[indicador de columna]],FALSE)</f>
        <v>0</v>
      </c>
      <c r="Y138" s="116">
        <f>+VLOOKUP(PROVEEDORES[[#This Row],[ID RETENCION]],Retenciones!$A$1:$O$25,2,FALSE)</f>
        <v>3.5000000000000003E-2</v>
      </c>
      <c r="Z138" s="125" t="b">
        <f>OR(COUNTIF(PROVEEDORES[[#This Row],[PROVEEDOR]],"*"&amp;'Palabra no opera'!$A$2&amp;"*"))</f>
        <v>1</v>
      </c>
      <c r="AA138" s="24"/>
      <c r="AB138" s="24"/>
      <c r="AC138" s="24"/>
      <c r="AD138" s="24"/>
      <c r="AE138" s="24"/>
    </row>
    <row r="139" spans="1:31" ht="22.2" customHeight="1" x14ac:dyDescent="0.3">
      <c r="A139" s="159" t="str">
        <f>+IF(PROVEEDORES[[#This Row],[FECHA DE PAGO]]=PROVEEDORES[[#This Row],[FECHA DE FACTURACIÓN]],"DE CONTADO","CRÉDITO")</f>
        <v>CRÉDITO</v>
      </c>
      <c r="B139" s="38" t="str">
        <f>+IF((PROVEEDORES[[#This Row],[FECHA DE PAGO]]-PROVEEDORES[[#This Row],[FECHA DE FACTURACIÓN]])&gt;PROVEEDORES[[#This Row],[PLAZO Días]],"PAGO VENCIDO")</f>
        <v>PAGO VENCIDO</v>
      </c>
      <c r="C139" s="20">
        <f>+VLOOKUP(PROVEEDORES[[#This Row],[PROVEEDOR]],TERCEROS_INFO[#All],2,FALSE)</f>
        <v>30</v>
      </c>
      <c r="D139" s="25">
        <f>+SUMIFS(PROVEEDORES[Total],PROVEEDORES[PROVEEDOR],PROVEEDORES[[#This Row],[PROVEEDOR]],PROVEEDORES[FECHA DE PAGO],"")</f>
        <v>0</v>
      </c>
      <c r="E139" s="25"/>
      <c r="F13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9" s="161">
        <v>44764</v>
      </c>
      <c r="H139" s="26" t="s">
        <v>1450</v>
      </c>
      <c r="I139" s="161">
        <v>44727</v>
      </c>
      <c r="J139" s="35" t="s">
        <v>1052</v>
      </c>
      <c r="K139" s="21">
        <v>5000</v>
      </c>
      <c r="L139" s="21"/>
      <c r="M139" s="22">
        <f>(PROVEEDORES[[#This Row],[SUBTOTAL]]-PROVEEDORES[[#This Row],[descuento sobre subtotal]])*VLOOKUP(PROVEEDORES[[#This Row],[PROVEEDOR]],TERCEROS_INFO[#All],3,FALSE)</f>
        <v>0</v>
      </c>
      <c r="N139" s="23"/>
      <c r="O139" s="22">
        <f>+PROVEEDORES[[#This Row],[Descuento sobre subtotal %]]*(PROVEEDORES[[#This Row],[SUBTOTAL]]-PROVEEDORES[[#This Row],[descuento sobre subtotal]])</f>
        <v>0</v>
      </c>
      <c r="P139" s="83">
        <f>+IF(PROVEEDORES[[#This Row],[SUBTOTAL]]&lt;PROVEEDORES[[#This Row],[base retencion]],0,PROVEEDORES[[#This Row],[retención aplicada]])</f>
        <v>0</v>
      </c>
      <c r="Q139" s="22">
        <f>+PROVEEDORES[[#This Row],[Rete Fuente %]]*(PROVEEDORES[[#This Row],[SUBTOTAL]]-PROVEEDORES[[#This Row],[descuento sobre subtotal]])</f>
        <v>0</v>
      </c>
      <c r="R139" s="21">
        <f>+PROVEEDORES[[#This Row],[SUBTOTAL]]+PROVEEDORES[[#This Row],[IVA 19%]]-PROVEEDORES[[#This Row],[descuento sobre subtotal]]-PROVEEDORES[[#This Row],[Descuento sobre subtotal $2]]-PROVEEDORES[[#This Row],[Rete Fuente $]]</f>
        <v>5000</v>
      </c>
      <c r="S13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68">
        <f ca="1">IF(PROVEEDORES[[#This Row],[FECHA DE PAGO]]=0,TODAY()-PROVEEDORES[[#This Row],[FECHA DE FACTURACIÓN]]-PROVEEDORES[[#This Row],[PLAZO Días]],0)</f>
        <v>0</v>
      </c>
      <c r="U139" s="113">
        <f>+VLOOKUP(PROVEEDORES[[#This Row],[PROVEEDOR]],Terceros!$A:$D,4,FALSE)</f>
        <v>0</v>
      </c>
      <c r="V139" s="114">
        <f>+YEAR(PROVEEDORES[[#This Row],[FECHA DE FACTURACIÓN]])</f>
        <v>2022</v>
      </c>
      <c r="W139" s="114">
        <f>+MATCH(PROVEEDORES[[#This Row],[año facturado]],Retenciones!$1:$1,0)</f>
        <v>5</v>
      </c>
      <c r="X139" s="115">
        <f>+VLOOKUP(PROVEEDORES[[#This Row],[ID RETENCION]],Retenciones!$A$1:$O$25,PROVEEDORES[[#This Row],[indicador de columna]],FALSE)</f>
        <v>0</v>
      </c>
      <c r="Y139" s="116">
        <f>+VLOOKUP(PROVEEDORES[[#This Row],[ID RETENCION]],Retenciones!$A$1:$O$25,2,FALSE)</f>
        <v>0</v>
      </c>
      <c r="Z139" s="125" t="b">
        <f>OR(COUNTIF(PROVEEDORES[[#This Row],[PROVEEDOR]],"*"&amp;'Palabra no opera'!$A$2&amp;"*"))</f>
        <v>0</v>
      </c>
      <c r="AA139" s="24"/>
      <c r="AB139" s="24"/>
      <c r="AC139" s="24"/>
      <c r="AD139" s="24"/>
      <c r="AE139" s="24"/>
    </row>
    <row r="140" spans="1:31" ht="22.2" customHeight="1" x14ac:dyDescent="0.3">
      <c r="A140" s="146" t="str">
        <f>+IF(PROVEEDORES[[#This Row],[FECHA DE PAGO]]=PROVEEDORES[[#This Row],[FECHA DE FACTURACIÓN]],"DE CONTADO","CRÉDITO")</f>
        <v>CRÉDITO</v>
      </c>
      <c r="B140" s="38" t="b">
        <f>+IF((PROVEEDORES[[#This Row],[FECHA DE PAGO]]-PROVEEDORES[[#This Row],[FECHA DE FACTURACIÓN]])&gt;PROVEEDORES[[#This Row],[PLAZO Días]],"PAGO VENCIDO")</f>
        <v>0</v>
      </c>
      <c r="C140" s="20">
        <f>+VLOOKUP(PROVEEDORES[[#This Row],[PROVEEDOR]],TERCEROS_INFO[#All],2,FALSE)</f>
        <v>30</v>
      </c>
      <c r="D140" s="25">
        <f>+SUMIFS(PROVEEDORES[Total],PROVEEDORES[PROVEEDOR],PROVEEDORES[[#This Row],[PROVEEDOR]],PROVEEDORES[FECHA DE PAGO],"")</f>
        <v>0</v>
      </c>
      <c r="E140" s="25"/>
      <c r="F14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0" s="161">
        <v>44729</v>
      </c>
      <c r="H140" s="26" t="s">
        <v>913</v>
      </c>
      <c r="I140" s="161">
        <v>44713</v>
      </c>
      <c r="J140" s="35" t="s">
        <v>1003</v>
      </c>
      <c r="K140" s="21">
        <v>4222</v>
      </c>
      <c r="L140" s="21"/>
      <c r="M140" s="22">
        <f>(PROVEEDORES[[#This Row],[SUBTOTAL]]-PROVEEDORES[[#This Row],[descuento sobre subtotal]])*VLOOKUP(PROVEEDORES[[#This Row],[PROVEEDOR]],TERCEROS_INFO[#All],3,FALSE)</f>
        <v>802.18000000000006</v>
      </c>
      <c r="N140" s="23"/>
      <c r="O140" s="22">
        <f>+PROVEEDORES[[#This Row],[Descuento sobre subtotal %]]*(PROVEEDORES[[#This Row],[SUBTOTAL]]-PROVEEDORES[[#This Row],[descuento sobre subtotal]])</f>
        <v>0</v>
      </c>
      <c r="P140" s="83">
        <f>+IF(PROVEEDORES[[#This Row],[SUBTOTAL]]&lt;PROVEEDORES[[#This Row],[base retencion]],0,PROVEEDORES[[#This Row],[retención aplicada]])</f>
        <v>0</v>
      </c>
      <c r="Q140" s="22">
        <f>+PROVEEDORES[[#This Row],[Rete Fuente %]]*(PROVEEDORES[[#This Row],[SUBTOTAL]]-PROVEEDORES[[#This Row],[descuento sobre subtotal]])</f>
        <v>0</v>
      </c>
      <c r="R140" s="21">
        <f>+PROVEEDORES[[#This Row],[SUBTOTAL]]+PROVEEDORES[[#This Row],[IVA 19%]]-PROVEEDORES[[#This Row],[descuento sobre subtotal]]-PROVEEDORES[[#This Row],[Descuento sobre subtotal $2]]-PROVEEDORES[[#This Row],[Rete Fuente $]]</f>
        <v>5024.18</v>
      </c>
      <c r="S140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68">
        <f ca="1">IF(PROVEEDORES[[#This Row],[FECHA DE PAGO]]=0,TODAY()-PROVEEDORES[[#This Row],[FECHA DE FACTURACIÓN]]-PROVEEDORES[[#This Row],[PLAZO Días]],0)</f>
        <v>0</v>
      </c>
      <c r="U140" s="113">
        <f>+VLOOKUP(PROVEEDORES[[#This Row],[PROVEEDOR]],Terceros!$A:$D,4,FALSE)</f>
        <v>0</v>
      </c>
      <c r="V140" s="114">
        <f>+YEAR(PROVEEDORES[[#This Row],[FECHA DE FACTURACIÓN]])</f>
        <v>2022</v>
      </c>
      <c r="W140" s="114">
        <f>+MATCH(PROVEEDORES[[#This Row],[año facturado]],Retenciones!$1:$1,0)</f>
        <v>5</v>
      </c>
      <c r="X140" s="115">
        <f>+VLOOKUP(PROVEEDORES[[#This Row],[ID RETENCION]],Retenciones!$A$1:$O$25,PROVEEDORES[[#This Row],[indicador de columna]],FALSE)</f>
        <v>0</v>
      </c>
      <c r="Y140" s="116">
        <f>+VLOOKUP(PROVEEDORES[[#This Row],[ID RETENCION]],Retenciones!$A$1:$O$25,2,FALSE)</f>
        <v>0</v>
      </c>
      <c r="Z140" s="125" t="b">
        <f>OR(COUNTIF(PROVEEDORES[[#This Row],[PROVEEDOR]],"*"&amp;'Palabra no opera'!$A$2&amp;"*"))</f>
        <v>1</v>
      </c>
      <c r="AA140" s="24"/>
      <c r="AB140" s="24"/>
      <c r="AC140" s="24"/>
      <c r="AD140" s="24"/>
      <c r="AE140" s="24"/>
    </row>
    <row r="141" spans="1:31" ht="22.2" customHeight="1" x14ac:dyDescent="0.3">
      <c r="A141" s="66" t="str">
        <f>+IF(PROVEEDORES[[#This Row],[FECHA DE PAGO]]=PROVEEDORES[[#This Row],[FECHA DE FACTURACIÓN]],"DE CONTADO","CRÉDITO")</f>
        <v>CRÉDITO</v>
      </c>
      <c r="B141" s="38" t="b">
        <f>+IF((PROVEEDORES[[#This Row],[FECHA DE PAGO]]-PROVEEDORES[[#This Row],[FECHA DE FACTURACIÓN]])&gt;PROVEEDORES[[#This Row],[PLAZO Días]],"PAGO VENCIDO")</f>
        <v>0</v>
      </c>
      <c r="C141" s="20">
        <f>+VLOOKUP(PROVEEDORES[[#This Row],[PROVEEDOR]],TERCEROS_INFO[#All],2,FALSE)</f>
        <v>30</v>
      </c>
      <c r="D141" s="25">
        <f>+SUMIFS(PROVEEDORES[Total],PROVEEDORES[PROVEEDOR],PROVEEDORES[[#This Row],[PROVEEDOR]],PROVEEDORES[FECHA DE PAGO],"")</f>
        <v>4024829</v>
      </c>
      <c r="E141" s="25"/>
      <c r="F14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" s="161">
        <v>44376</v>
      </c>
      <c r="H141" s="26" t="s">
        <v>345</v>
      </c>
      <c r="I141" s="161">
        <v>44371</v>
      </c>
      <c r="J141" s="35" t="s">
        <v>364</v>
      </c>
      <c r="K141" s="21">
        <v>5288</v>
      </c>
      <c r="L141" s="21"/>
      <c r="M141" s="22">
        <f>(PROVEEDORES[[#This Row],[SUBTOTAL]]-PROVEEDORES[[#This Row],[descuento sobre subtotal]])*VLOOKUP(PROVEEDORES[[#This Row],[PROVEEDOR]],TERCEROS_INFO[#All],3,FALSE)</f>
        <v>0</v>
      </c>
      <c r="N141" s="23"/>
      <c r="O141" s="22">
        <f>+PROVEEDORES[[#This Row],[Descuento sobre subtotal %]]*(PROVEEDORES[[#This Row],[SUBTOTAL]]-PROVEEDORES[[#This Row],[descuento sobre subtotal]])</f>
        <v>0</v>
      </c>
      <c r="P141" s="83">
        <f>+IF(PROVEEDORES[[#This Row],[SUBTOTAL]]&lt;PROVEEDORES[[#This Row],[base retencion]],0,PROVEEDORES[[#This Row],[retención aplicada]])</f>
        <v>0</v>
      </c>
      <c r="Q141" s="22">
        <f>+PROVEEDORES[[#This Row],[Rete Fuente %]]*(PROVEEDORES[[#This Row],[SUBTOTAL]]-PROVEEDORES[[#This Row],[descuento sobre subtotal]])</f>
        <v>0</v>
      </c>
      <c r="R141" s="21">
        <f>+PROVEEDORES[[#This Row],[SUBTOTAL]]+PROVEEDORES[[#This Row],[IVA 19%]]-PROVEEDORES[[#This Row],[descuento sobre subtotal]]-PROVEEDORES[[#This Row],[Descuento sobre subtotal $2]]-PROVEEDORES[[#This Row],[Rete Fuente $]]</f>
        <v>5288</v>
      </c>
      <c r="S1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68">
        <f ca="1">IF(PROVEEDORES[[#This Row],[FECHA DE PAGO]]=0,TODAY()-PROVEEDORES[[#This Row],[FECHA DE FACTURACIÓN]]-PROVEEDORES[[#This Row],[PLAZO Días]],0)</f>
        <v>0</v>
      </c>
      <c r="U141" s="96">
        <f>+VLOOKUP(PROVEEDORES[[#This Row],[PROVEEDOR]],Terceros!$A:$D,4,FALSE)</f>
        <v>0</v>
      </c>
      <c r="V141" s="97">
        <f>+YEAR(PROVEEDORES[[#This Row],[FECHA DE FACTURACIÓN]])</f>
        <v>2021</v>
      </c>
      <c r="W141" s="97">
        <f>+MATCH(PROVEEDORES[[#This Row],[año facturado]],Retenciones!$1:$1,0)</f>
        <v>4</v>
      </c>
      <c r="X141" s="98">
        <f>+VLOOKUP(PROVEEDORES[[#This Row],[ID RETENCION]],Retenciones!$A$1:$O$25,PROVEEDORES[[#This Row],[indicador de columna]],FALSE)</f>
        <v>0</v>
      </c>
      <c r="Y141" s="99">
        <f>+VLOOKUP(PROVEEDORES[[#This Row],[ID RETENCION]],Retenciones!$A$1:$O$25,2,FALSE)</f>
        <v>0</v>
      </c>
      <c r="Z141" s="125" t="b">
        <f>OR(COUNTIF(PROVEEDORES[[#This Row],[PROVEEDOR]],"*"&amp;'Palabra no opera'!$A$2&amp;"*"))</f>
        <v>0</v>
      </c>
      <c r="AA141" s="24"/>
      <c r="AB141" s="24"/>
      <c r="AC141" s="24"/>
      <c r="AD141" s="24"/>
      <c r="AE141" s="24"/>
    </row>
    <row r="142" spans="1:31" ht="22.2" customHeight="1" x14ac:dyDescent="0.3">
      <c r="A142" s="257" t="str">
        <f>+IF(PROVEEDORES[[#This Row],[FECHA DE PAGO]]=PROVEEDORES[[#This Row],[FECHA DE FACTURACIÓN]],"DE CONTADO","CRÉDITO")</f>
        <v>CRÉDITO</v>
      </c>
      <c r="B142" s="38" t="b">
        <f>+IF((PROVEEDORES[[#This Row],[FECHA DE PAGO]]-PROVEEDORES[[#This Row],[FECHA DE FACTURACIÓN]])&gt;PROVEEDORES[[#This Row],[PLAZO Días]],"PAGO VENCIDO")</f>
        <v>0</v>
      </c>
      <c r="C142" s="20">
        <f>+VLOOKUP(PROVEEDORES[[#This Row],[PROVEEDOR]],TERCEROS_INFO[#All],2,FALSE)</f>
        <v>30</v>
      </c>
      <c r="D142" s="25">
        <f>+SUMIFS(PROVEEDORES[Total],PROVEEDORES[PROVEEDOR],PROVEEDORES[[#This Row],[PROVEEDOR]],PROVEEDORES[FECHA DE PAGO],"")</f>
        <v>0</v>
      </c>
      <c r="E142" s="25"/>
      <c r="F14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2" s="161">
        <v>44844</v>
      </c>
      <c r="H142" s="26" t="s">
        <v>913</v>
      </c>
      <c r="I142" s="161">
        <v>44835</v>
      </c>
      <c r="J142" s="35" t="s">
        <v>1757</v>
      </c>
      <c r="K142" s="21">
        <v>4750</v>
      </c>
      <c r="L142" s="21"/>
      <c r="M142" s="22">
        <f>(PROVEEDORES[[#This Row],[SUBTOTAL]]-PROVEEDORES[[#This Row],[descuento sobre subtotal]])*VLOOKUP(PROVEEDORES[[#This Row],[PROVEEDOR]],TERCEROS_INFO[#All],3,FALSE)</f>
        <v>902.5</v>
      </c>
      <c r="N142" s="23"/>
      <c r="O142" s="22">
        <f>+PROVEEDORES[[#This Row],[Descuento sobre subtotal %]]*(PROVEEDORES[[#This Row],[SUBTOTAL]]-PROVEEDORES[[#This Row],[descuento sobre subtotal]])</f>
        <v>0</v>
      </c>
      <c r="P142" s="83">
        <f>+IF(PROVEEDORES[[#This Row],[SUBTOTAL]]&lt;PROVEEDORES[[#This Row],[base retencion]],0,PROVEEDORES[[#This Row],[retención aplicada]])</f>
        <v>0</v>
      </c>
      <c r="Q142" s="22">
        <f>+PROVEEDORES[[#This Row],[Rete Fuente %]]*(PROVEEDORES[[#This Row],[SUBTOTAL]]-PROVEEDORES[[#This Row],[descuento sobre subtotal]])</f>
        <v>0</v>
      </c>
      <c r="R142" s="21">
        <f>+PROVEEDORES[[#This Row],[SUBTOTAL]]+PROVEEDORES[[#This Row],[IVA 19%]]-PROVEEDORES[[#This Row],[descuento sobre subtotal]]-PROVEEDORES[[#This Row],[Descuento sobre subtotal $2]]-PROVEEDORES[[#This Row],[Rete Fuente $]]</f>
        <v>5652.5</v>
      </c>
      <c r="S142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68">
        <f ca="1">IF(PROVEEDORES[[#This Row],[FECHA DE PAGO]]=0,TODAY()-PROVEEDORES[[#This Row],[FECHA DE FACTURACIÓN]]-PROVEEDORES[[#This Row],[PLAZO Días]],0)</f>
        <v>0</v>
      </c>
      <c r="U142" s="113">
        <f>+VLOOKUP(PROVEEDORES[[#This Row],[PROVEEDOR]],Terceros!$A:$D,4,FALSE)</f>
        <v>0</v>
      </c>
      <c r="V142" s="114">
        <f>+YEAR(PROVEEDORES[[#This Row],[FECHA DE FACTURACIÓN]])</f>
        <v>2022</v>
      </c>
      <c r="W142" s="114">
        <f>+MATCH(PROVEEDORES[[#This Row],[año facturado]],Retenciones!$1:$1,0)</f>
        <v>5</v>
      </c>
      <c r="X142" s="115">
        <f>+VLOOKUP(PROVEEDORES[[#This Row],[ID RETENCION]],Retenciones!$A$1:$O$25,PROVEEDORES[[#This Row],[indicador de columna]],FALSE)</f>
        <v>0</v>
      </c>
      <c r="Y142" s="116">
        <f>+VLOOKUP(PROVEEDORES[[#This Row],[ID RETENCION]],Retenciones!$A$1:$O$25,2,FALSE)</f>
        <v>0</v>
      </c>
      <c r="Z142" s="125" t="b">
        <f>OR(COUNTIF(PROVEEDORES[[#This Row],[PROVEEDOR]],"*"&amp;'Palabra no opera'!$A$2&amp;"*"))</f>
        <v>1</v>
      </c>
      <c r="AA142" s="24"/>
      <c r="AB142" s="24"/>
      <c r="AC142" s="24"/>
      <c r="AD142" s="24"/>
      <c r="AE142" s="24"/>
    </row>
    <row r="143" spans="1:31" ht="22.2" customHeight="1" x14ac:dyDescent="0.3">
      <c r="A143" s="159" t="str">
        <f>+IF(PROVEEDORES[[#This Row],[FECHA DE PAGO]]=PROVEEDORES[[#This Row],[FECHA DE FACTURACIÓN]],"DE CONTADO","CRÉDITO")</f>
        <v>CRÉDITO</v>
      </c>
      <c r="B143" s="38" t="str">
        <f>+IF((PROVEEDORES[[#This Row],[FECHA DE PAGO]]-PROVEEDORES[[#This Row],[FECHA DE FACTURACIÓN]])&gt;PROVEEDORES[[#This Row],[PLAZO Días]],"PAGO VENCIDO")</f>
        <v>PAGO VENCIDO</v>
      </c>
      <c r="C143" s="20">
        <f>+VLOOKUP(PROVEEDORES[[#This Row],[PROVEEDOR]],TERCEROS_INFO[#All],2,FALSE)</f>
        <v>30</v>
      </c>
      <c r="D143" s="25">
        <f>+SUMIFS(PROVEEDORES[Total],PROVEEDORES[PROVEEDOR],PROVEEDORES[[#This Row],[PROVEEDOR]],PROVEEDORES[FECHA DE PAGO],"")</f>
        <v>0</v>
      </c>
      <c r="E143" s="25" t="s">
        <v>1058</v>
      </c>
      <c r="F14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43" s="161">
        <v>44799</v>
      </c>
      <c r="H143" s="26" t="s">
        <v>746</v>
      </c>
      <c r="I143" s="161">
        <v>44718</v>
      </c>
      <c r="J143" s="35" t="s">
        <v>1057</v>
      </c>
      <c r="K143" s="21">
        <v>4845</v>
      </c>
      <c r="L143" s="21"/>
      <c r="M143" s="22">
        <f>(PROVEEDORES[[#This Row],[SUBTOTAL]]-PROVEEDORES[[#This Row],[descuento sobre subtotal]])*VLOOKUP(PROVEEDORES[[#This Row],[PROVEEDOR]],TERCEROS_INFO[#All],3,FALSE)</f>
        <v>920.55</v>
      </c>
      <c r="N143" s="23"/>
      <c r="O143" s="22">
        <f>+PROVEEDORES[[#This Row],[Descuento sobre subtotal %]]*(PROVEEDORES[[#This Row],[SUBTOTAL]]-PROVEEDORES[[#This Row],[descuento sobre subtotal]])</f>
        <v>0</v>
      </c>
      <c r="P143" s="83">
        <f>+IF(PROVEEDORES[[#This Row],[SUBTOTAL]]&lt;PROVEEDORES[[#This Row],[base retencion]],0,PROVEEDORES[[#This Row],[retención aplicada]])</f>
        <v>0</v>
      </c>
      <c r="Q143" s="22">
        <f>+PROVEEDORES[[#This Row],[Rete Fuente %]]*(PROVEEDORES[[#This Row],[SUBTOTAL]]-PROVEEDORES[[#This Row],[descuento sobre subtotal]])</f>
        <v>0</v>
      </c>
      <c r="R143" s="21">
        <f>+PROVEEDORES[[#This Row],[SUBTOTAL]]+PROVEEDORES[[#This Row],[IVA 19%]]-PROVEEDORES[[#This Row],[descuento sobre subtotal]]-PROVEEDORES[[#This Row],[Descuento sobre subtotal $2]]-PROVEEDORES[[#This Row],[Rete Fuente $]]</f>
        <v>5765.55</v>
      </c>
      <c r="S14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68">
        <f ca="1">IF(PROVEEDORES[[#This Row],[FECHA DE PAGO]]=0,TODAY()-PROVEEDORES[[#This Row],[FECHA DE FACTURACIÓN]]-PROVEEDORES[[#This Row],[PLAZO Días]],0)</f>
        <v>0</v>
      </c>
      <c r="U143" s="113" t="str">
        <f>+VLOOKUP(PROVEEDORES[[#This Row],[PROVEEDOR]],Terceros!$A:$D,4,FALSE)</f>
        <v>2,5% con base</v>
      </c>
      <c r="V143" s="114">
        <f>+YEAR(PROVEEDORES[[#This Row],[FECHA DE FACTURACIÓN]])</f>
        <v>2022</v>
      </c>
      <c r="W143" s="114">
        <f>+MATCH(PROVEEDORES[[#This Row],[año facturado]],Retenciones!$1:$1,0)</f>
        <v>5</v>
      </c>
      <c r="X143" s="115">
        <f>+VLOOKUP(PROVEEDORES[[#This Row],[ID RETENCION]],Retenciones!$A$1:$O$25,PROVEEDORES[[#This Row],[indicador de columna]],FALSE)</f>
        <v>1026000</v>
      </c>
      <c r="Y143" s="116">
        <f>+VLOOKUP(PROVEEDORES[[#This Row],[ID RETENCION]],Retenciones!$A$1:$O$25,2,FALSE)</f>
        <v>2.5000000000000001E-2</v>
      </c>
      <c r="Z143" s="125" t="b">
        <f>OR(COUNTIF(PROVEEDORES[[#This Row],[PROVEEDOR]],"*"&amp;'Palabra no opera'!$A$2&amp;"*"))</f>
        <v>0</v>
      </c>
      <c r="AA143" s="24"/>
      <c r="AB143" s="24"/>
      <c r="AC143" s="24"/>
      <c r="AD143" s="24"/>
      <c r="AE143" s="24"/>
    </row>
    <row r="144" spans="1:31" ht="22.2" customHeight="1" x14ac:dyDescent="0.3">
      <c r="A144" s="72" t="str">
        <f>+IF(PROVEEDORES[[#This Row],[FECHA DE PAGO]]=PROVEEDORES[[#This Row],[FECHA DE FACTURACIÓN]],"DE CONTADO","CRÉDITO")</f>
        <v>CRÉDITO</v>
      </c>
      <c r="B144" s="38" t="b">
        <f>+IF((PROVEEDORES[[#This Row],[FECHA DE PAGO]]-PROVEEDORES[[#This Row],[FECHA DE FACTURACIÓN]])&gt;PROVEEDORES[[#This Row],[PLAZO Días]],"PAGO VENCIDO")</f>
        <v>0</v>
      </c>
      <c r="C144" s="20">
        <f>+VLOOKUP(PROVEEDORES[[#This Row],[PROVEEDOR]],TERCEROS_INFO[#All],2,FALSE)</f>
        <v>30</v>
      </c>
      <c r="D144" s="25">
        <f>+SUMIFS(PROVEEDORES[Total],PROVEEDORES[PROVEEDOR],PROVEEDORES[[#This Row],[PROVEEDOR]],PROVEEDORES[FECHA DE PAGO],"")</f>
        <v>0</v>
      </c>
      <c r="E144" s="25"/>
      <c r="F144" s="58" t="str">
        <f>+VLOOKUP(PROVEEDORES[[#This Row],[PROVEEDOR]],
                       Terceros!$A:$F,
                       5,
                       FALSE)</f>
        <v/>
      </c>
      <c r="G144" s="161">
        <v>44769</v>
      </c>
      <c r="H144" s="26" t="s">
        <v>55</v>
      </c>
      <c r="I144" s="161">
        <v>44768</v>
      </c>
      <c r="J144" s="35">
        <v>57126</v>
      </c>
      <c r="K144" s="21">
        <v>9000</v>
      </c>
      <c r="L144" s="21"/>
      <c r="M144" s="22">
        <f>(PROVEEDORES[[#This Row],[SUBTOTAL]]-PROVEEDORES[[#This Row],[descuento sobre subtotal]])*VLOOKUP(PROVEEDORES[[#This Row],[PROVEEDOR]],TERCEROS_INFO[#All],3,FALSE)</f>
        <v>0</v>
      </c>
      <c r="N144" s="23"/>
      <c r="O144" s="22">
        <f>+PROVEEDORES[[#This Row],[Descuento sobre subtotal %]]*(PROVEEDORES[[#This Row],[SUBTOTAL]]-PROVEEDORES[[#This Row],[descuento sobre subtotal]])</f>
        <v>0</v>
      </c>
      <c r="P144" s="83">
        <f>+IF(PROVEEDORES[[#This Row],[SUBTOTAL]]&lt;PROVEEDORES[[#This Row],[base retencion]],0,PROVEEDORES[[#This Row],[retención aplicada]])</f>
        <v>0</v>
      </c>
      <c r="Q144" s="22">
        <f>+PROVEEDORES[[#This Row],[Rete Fuente %]]*(PROVEEDORES[[#This Row],[SUBTOTAL]]-PROVEEDORES[[#This Row],[descuento sobre subtotal]])</f>
        <v>0</v>
      </c>
      <c r="R144" s="21">
        <f>+PROVEEDORES[[#This Row],[SUBTOTAL]]+PROVEEDORES[[#This Row],[IVA 19%]]-PROVEEDORES[[#This Row],[descuento sobre subtotal]]-PROVEEDORES[[#This Row],[Descuento sobre subtotal $2]]-PROVEEDORES[[#This Row],[Rete Fuente $]]</f>
        <v>9000</v>
      </c>
      <c r="S14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68">
        <f ca="1">IF(PROVEEDORES[[#This Row],[FECHA DE PAGO]]=0,TODAY()-PROVEEDORES[[#This Row],[FECHA DE FACTURACIÓN]]-PROVEEDORES[[#This Row],[PLAZO Días]],0)</f>
        <v>0</v>
      </c>
      <c r="U144" s="113">
        <f>+VLOOKUP(PROVEEDORES[[#This Row],[PROVEEDOR]],Terceros!$A:$D,4,FALSE)</f>
        <v>0</v>
      </c>
      <c r="V144" s="114">
        <f>+YEAR(PROVEEDORES[[#This Row],[FECHA DE FACTURACIÓN]])</f>
        <v>2022</v>
      </c>
      <c r="W144" s="114">
        <f>+MATCH(PROVEEDORES[[#This Row],[año facturado]],Retenciones!$1:$1,0)</f>
        <v>5</v>
      </c>
      <c r="X144" s="115">
        <f>+VLOOKUP(PROVEEDORES[[#This Row],[ID RETENCION]],Retenciones!$A$1:$O$25,PROVEEDORES[[#This Row],[indicador de columna]],FALSE)</f>
        <v>0</v>
      </c>
      <c r="Y144" s="116">
        <f>+VLOOKUP(PROVEEDORES[[#This Row],[ID RETENCION]],Retenciones!$A$1:$O$25,2,FALSE)</f>
        <v>0</v>
      </c>
      <c r="Z144" s="125" t="b">
        <f>OR(COUNTIF(PROVEEDORES[[#This Row],[PROVEEDOR]],"*"&amp;'Palabra no opera'!$A$2&amp;"*"))</f>
        <v>0</v>
      </c>
      <c r="AA144" s="24"/>
      <c r="AB144" s="24"/>
      <c r="AC144" s="24"/>
      <c r="AD144" s="24"/>
      <c r="AE144" s="24"/>
    </row>
    <row r="145" spans="1:31" ht="22.2" customHeight="1" x14ac:dyDescent="0.3">
      <c r="A145" s="135" t="str">
        <f>+IF(PROVEEDORES[[#This Row],[FECHA DE PAGO]]=PROVEEDORES[[#This Row],[FECHA DE FACTURACIÓN]],"DE CONTADO","CRÉDITO")</f>
        <v>CRÉDITO</v>
      </c>
      <c r="B145" s="38" t="b">
        <f>+IF((PROVEEDORES[[#This Row],[FECHA DE PAGO]]-PROVEEDORES[[#This Row],[FECHA DE FACTURACIÓN]])&gt;PROVEEDORES[[#This Row],[PLAZO Días]],"PAGO VENCIDO")</f>
        <v>0</v>
      </c>
      <c r="C145" s="20">
        <f>+VLOOKUP(PROVEEDORES[[#This Row],[PROVEEDOR]],TERCEROS_INFO[#All],2,FALSE)</f>
        <v>30</v>
      </c>
      <c r="D145" s="25">
        <f>+SUMIFS(PROVEEDORES[Total],PROVEEDORES[PROVEEDOR],PROVEEDORES[[#This Row],[PROVEEDOR]],PROVEEDORES[FECHA DE PAGO],"")</f>
        <v>0</v>
      </c>
      <c r="E145" s="25"/>
      <c r="F14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5" s="161">
        <v>44699</v>
      </c>
      <c r="H145" s="26" t="s">
        <v>913</v>
      </c>
      <c r="I145" s="161">
        <v>44682</v>
      </c>
      <c r="J145" s="35" t="s">
        <v>956</v>
      </c>
      <c r="K145" s="21">
        <v>9501</v>
      </c>
      <c r="L145" s="21"/>
      <c r="M145" s="22">
        <f>(PROVEEDORES[[#This Row],[SUBTOTAL]]-PROVEEDORES[[#This Row],[descuento sobre subtotal]])*VLOOKUP(PROVEEDORES[[#This Row],[PROVEEDOR]],TERCEROS_INFO[#All],3,FALSE)</f>
        <v>1805.19</v>
      </c>
      <c r="N145" s="23"/>
      <c r="O145" s="22">
        <f>+PROVEEDORES[[#This Row],[Descuento sobre subtotal %]]*(PROVEEDORES[[#This Row],[SUBTOTAL]]-PROVEEDORES[[#This Row],[descuento sobre subtotal]])</f>
        <v>0</v>
      </c>
      <c r="P145" s="83">
        <f>+IF(PROVEEDORES[[#This Row],[SUBTOTAL]]&lt;PROVEEDORES[[#This Row],[base retencion]],0,PROVEEDORES[[#This Row],[retención aplicada]])</f>
        <v>0</v>
      </c>
      <c r="Q145" s="22">
        <f>+PROVEEDORES[[#This Row],[Rete Fuente %]]*(PROVEEDORES[[#This Row],[SUBTOTAL]]-PROVEEDORES[[#This Row],[descuento sobre subtotal]])</f>
        <v>0</v>
      </c>
      <c r="R145" s="21">
        <f>+PROVEEDORES[[#This Row],[SUBTOTAL]]+PROVEEDORES[[#This Row],[IVA 19%]]-PROVEEDORES[[#This Row],[descuento sobre subtotal]]-PROVEEDORES[[#This Row],[Descuento sobre subtotal $2]]-PROVEEDORES[[#This Row],[Rete Fuente $]]</f>
        <v>11306.19</v>
      </c>
      <c r="S145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68">
        <f ca="1">IF(PROVEEDORES[[#This Row],[FECHA DE PAGO]]=0,TODAY()-PROVEEDORES[[#This Row],[FECHA DE FACTURACIÓN]]-PROVEEDORES[[#This Row],[PLAZO Días]],0)</f>
        <v>0</v>
      </c>
      <c r="U145" s="113">
        <f>+VLOOKUP(PROVEEDORES[[#This Row],[PROVEEDOR]],Terceros!$A:$D,4,FALSE)</f>
        <v>0</v>
      </c>
      <c r="V145" s="114">
        <f>+YEAR(PROVEEDORES[[#This Row],[FECHA DE FACTURACIÓN]])</f>
        <v>2022</v>
      </c>
      <c r="W145" s="114">
        <f>+MATCH(PROVEEDORES[[#This Row],[año facturado]],Retenciones!$1:$1,0)</f>
        <v>5</v>
      </c>
      <c r="X145" s="115">
        <f>+VLOOKUP(PROVEEDORES[[#This Row],[ID RETENCION]],Retenciones!$A$1:$O$25,PROVEEDORES[[#This Row],[indicador de columna]],FALSE)</f>
        <v>0</v>
      </c>
      <c r="Y145" s="116">
        <f>+VLOOKUP(PROVEEDORES[[#This Row],[ID RETENCION]],Retenciones!$A$1:$O$25,2,FALSE)</f>
        <v>0</v>
      </c>
      <c r="Z145" s="125" t="b">
        <f>OR(COUNTIF(PROVEEDORES[[#This Row],[PROVEEDOR]],"*"&amp;'Palabra no opera'!$A$2&amp;"*"))</f>
        <v>1</v>
      </c>
      <c r="AA145" s="24"/>
      <c r="AB145" s="24"/>
      <c r="AC145" s="24"/>
      <c r="AD145" s="24"/>
      <c r="AE145" s="24"/>
    </row>
    <row r="146" spans="1:31" ht="22.2" customHeight="1" x14ac:dyDescent="0.3">
      <c r="A146" s="66" t="str">
        <f>+IF(PROVEEDORES[[#This Row],[FECHA DE PAGO]]=PROVEEDORES[[#This Row],[FECHA DE FACTURACIÓN]],"DE CONTADO","CRÉDITO")</f>
        <v>DE CONTADO</v>
      </c>
      <c r="B146" s="38" t="b">
        <f>+IF((PROVEEDORES[[#This Row],[FECHA DE PAGO]]-PROVEEDORES[[#This Row],[FECHA DE FACTURACIÓN]])&gt;PROVEEDORES[[#This Row],[PLAZO Días]],"PAGO VENCIDO")</f>
        <v>0</v>
      </c>
      <c r="C146" s="20">
        <f>+VLOOKUP(PROVEEDORES[[#This Row],[PROVEEDOR]],TERCEROS_INFO[#All],2,FALSE)</f>
        <v>30</v>
      </c>
      <c r="D146" s="25">
        <f>+SUMIFS(PROVEEDORES[Total],PROVEEDORES[PROVEEDOR],PROVEEDORES[[#This Row],[PROVEEDOR]],PROVEEDORES[FECHA DE PAGO],"")</f>
        <v>0</v>
      </c>
      <c r="E146" s="25"/>
      <c r="F146" s="58" t="str">
        <f>+VLOOKUP(PROVEEDORES[[#This Row],[PROVEEDOR]],
                       Terceros!$A:$F,
                       5,
                       FALSE)</f>
        <v/>
      </c>
      <c r="G146" s="161">
        <v>44438</v>
      </c>
      <c r="H146" s="26" t="s">
        <v>644</v>
      </c>
      <c r="I146" s="161">
        <v>44438</v>
      </c>
      <c r="J146" s="35" t="s">
        <v>1186</v>
      </c>
      <c r="K146" s="21">
        <v>12000</v>
      </c>
      <c r="L146" s="21"/>
      <c r="M146" s="22">
        <f>(PROVEEDORES[[#This Row],[SUBTOTAL]]-PROVEEDORES[[#This Row],[descuento sobre subtotal]])*VLOOKUP(PROVEEDORES[[#This Row],[PROVEEDOR]],TERCEROS_INFO[#All],3,FALSE)</f>
        <v>0</v>
      </c>
      <c r="N146" s="23"/>
      <c r="O146" s="22">
        <f>+PROVEEDORES[[#This Row],[Descuento sobre subtotal %]]*(PROVEEDORES[[#This Row],[SUBTOTAL]]-PROVEEDORES[[#This Row],[descuento sobre subtotal]])</f>
        <v>0</v>
      </c>
      <c r="P146" s="83">
        <f>+IF(PROVEEDORES[[#This Row],[SUBTOTAL]]&lt;PROVEEDORES[[#This Row],[base retencion]],0,PROVEEDORES[[#This Row],[retención aplicada]])</f>
        <v>0</v>
      </c>
      <c r="Q146" s="22">
        <f>+PROVEEDORES[[#This Row],[Rete Fuente %]]*(PROVEEDORES[[#This Row],[SUBTOTAL]]-PROVEEDORES[[#This Row],[descuento sobre subtotal]])</f>
        <v>0</v>
      </c>
      <c r="R146" s="21">
        <f>+PROVEEDORES[[#This Row],[SUBTOTAL]]+PROVEEDORES[[#This Row],[IVA 19%]]-PROVEEDORES[[#This Row],[descuento sobre subtotal]]-PROVEEDORES[[#This Row],[Descuento sobre subtotal $2]]-PROVEEDORES[[#This Row],[Rete Fuente $]]</f>
        <v>12000</v>
      </c>
      <c r="S1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68">
        <f ca="1">IF(PROVEEDORES[[#This Row],[FECHA DE PAGO]]=0,TODAY()-PROVEEDORES[[#This Row],[FECHA DE FACTURACIÓN]]-PROVEEDORES[[#This Row],[PLAZO Días]],0)</f>
        <v>0</v>
      </c>
      <c r="U146" s="96">
        <f>+VLOOKUP(PROVEEDORES[[#This Row],[PROVEEDOR]],Terceros!$A:$D,4,FALSE)</f>
        <v>0</v>
      </c>
      <c r="V146" s="97">
        <f>+YEAR(PROVEEDORES[[#This Row],[FECHA DE FACTURACIÓN]])</f>
        <v>2021</v>
      </c>
      <c r="W146" s="97">
        <f>+MATCH(PROVEEDORES[[#This Row],[año facturado]],Retenciones!$1:$1,0)</f>
        <v>4</v>
      </c>
      <c r="X146" s="98">
        <f>+VLOOKUP(PROVEEDORES[[#This Row],[ID RETENCION]],Retenciones!$A$1:$O$25,PROVEEDORES[[#This Row],[indicador de columna]],FALSE)</f>
        <v>0</v>
      </c>
      <c r="Y146" s="99">
        <f>+VLOOKUP(PROVEEDORES[[#This Row],[ID RETENCION]],Retenciones!$A$1:$O$25,2,FALSE)</f>
        <v>0</v>
      </c>
      <c r="Z146" s="125" t="b">
        <f>OR(COUNTIF(PROVEEDORES[[#This Row],[PROVEEDOR]],"*"&amp;'Palabra no opera'!$A$2&amp;"*"))</f>
        <v>0</v>
      </c>
      <c r="AA146" s="24"/>
      <c r="AB146" s="24"/>
      <c r="AC146" s="24"/>
      <c r="AD146" s="24"/>
      <c r="AE146" s="24"/>
    </row>
    <row r="147" spans="1:31" ht="22.2" customHeight="1" x14ac:dyDescent="0.3">
      <c r="A147" s="66" t="str">
        <f>+IF(PROVEEDORES[[#This Row],[FECHA DE PAGO]]=PROVEEDORES[[#This Row],[FECHA DE FACTURACIÓN]],"DE CONTADO","CRÉDITO")</f>
        <v>CRÉDITO</v>
      </c>
      <c r="B147" s="38" t="str">
        <f>+IF((PROVEEDORES[[#This Row],[FECHA DE PAGO]]-PROVEEDORES[[#This Row],[FECHA DE FACTURACIÓN]])&gt;PROVEEDORES[[#This Row],[PLAZO Días]],"PAGO VENCIDO")</f>
        <v>PAGO VENCIDO</v>
      </c>
      <c r="C147" s="20">
        <f>+VLOOKUP(PROVEEDORES[[#This Row],[PROVEEDOR]],TERCEROS_INFO[#All],2,FALSE)</f>
        <v>20</v>
      </c>
      <c r="D147" s="25">
        <f>+SUMIFS(PROVEEDORES[Total],PROVEEDORES[PROVEEDOR],PROVEEDORES[[#This Row],[PROVEEDOR]],PROVEEDORES[FECHA DE PAGO],"")</f>
        <v>0</v>
      </c>
      <c r="E147" s="25"/>
      <c r="F14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47" s="161">
        <v>44432</v>
      </c>
      <c r="H147" s="26" t="s">
        <v>942</v>
      </c>
      <c r="I147" s="161">
        <v>44396</v>
      </c>
      <c r="J147" s="35" t="s">
        <v>594</v>
      </c>
      <c r="K147" s="21">
        <v>13179.25</v>
      </c>
      <c r="L147" s="21"/>
      <c r="M147" s="22">
        <f>(PROVEEDORES[[#This Row],[SUBTOTAL]]-PROVEEDORES[[#This Row],[descuento sobre subtotal]])*VLOOKUP(PROVEEDORES[[#This Row],[PROVEEDOR]],TERCEROS_INFO[#All],3,FALSE)</f>
        <v>2504.0574999999999</v>
      </c>
      <c r="N147" s="23"/>
      <c r="O147" s="22">
        <f>+PROVEEDORES[[#This Row],[Descuento sobre subtotal %]]*(PROVEEDORES[[#This Row],[SUBTOTAL]]-PROVEEDORES[[#This Row],[descuento sobre subtotal]])</f>
        <v>0</v>
      </c>
      <c r="P147" s="83">
        <f>+IF(PROVEEDORES[[#This Row],[SUBTOTAL]]&lt;PROVEEDORES[[#This Row],[base retencion]],0,PROVEEDORES[[#This Row],[retención aplicada]])</f>
        <v>3.5000000000000003E-2</v>
      </c>
      <c r="Q147" s="22">
        <f>+PROVEEDORES[[#This Row],[Rete Fuente %]]*(PROVEEDORES[[#This Row],[SUBTOTAL]]-PROVEEDORES[[#This Row],[descuento sobre subtotal]])</f>
        <v>461.27375000000006</v>
      </c>
      <c r="R147" s="21">
        <f>+PROVEEDORES[[#This Row],[SUBTOTAL]]+PROVEEDORES[[#This Row],[IVA 19%]]-PROVEEDORES[[#This Row],[descuento sobre subtotal]]-PROVEEDORES[[#This Row],[Descuento sobre subtotal $2]]-PROVEEDORES[[#This Row],[Rete Fuente $]]</f>
        <v>15222.033749999999</v>
      </c>
      <c r="S1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68">
        <f ca="1">IF(PROVEEDORES[[#This Row],[FECHA DE PAGO]]=0,TODAY()-PROVEEDORES[[#This Row],[FECHA DE FACTURACIÓN]]-PROVEEDORES[[#This Row],[PLAZO Días]],0)</f>
        <v>0</v>
      </c>
      <c r="U147" s="96" t="str">
        <f>+VLOOKUP(PROVEEDORES[[#This Row],[PROVEEDOR]],Terceros!$A:$D,4,FALSE)</f>
        <v>3,5% sin base</v>
      </c>
      <c r="V147" s="97">
        <f>+YEAR(PROVEEDORES[[#This Row],[FECHA DE FACTURACIÓN]])</f>
        <v>2021</v>
      </c>
      <c r="W147" s="97">
        <f>+MATCH(PROVEEDORES[[#This Row],[año facturado]],Retenciones!$1:$1,0)</f>
        <v>4</v>
      </c>
      <c r="X147" s="98">
        <f>+VLOOKUP(PROVEEDORES[[#This Row],[ID RETENCION]],Retenciones!$A$1:$O$25,PROVEEDORES[[#This Row],[indicador de columna]],FALSE)</f>
        <v>0</v>
      </c>
      <c r="Y147" s="99">
        <f>+VLOOKUP(PROVEEDORES[[#This Row],[ID RETENCION]],Retenciones!$A$1:$O$25,2,FALSE)</f>
        <v>3.5000000000000003E-2</v>
      </c>
      <c r="Z147" s="127" t="b">
        <f>OR(COUNTIF(PROVEEDORES[[#This Row],[PROVEEDOR]],"*"&amp;'Palabra no opera'!$A$2&amp;"*"))</f>
        <v>1</v>
      </c>
      <c r="AA147" s="24"/>
      <c r="AB147" s="24"/>
      <c r="AC147" s="24"/>
      <c r="AD147" s="24"/>
      <c r="AE147" s="24"/>
    </row>
    <row r="148" spans="1:31" ht="22.2" customHeight="1" x14ac:dyDescent="0.3">
      <c r="A148" s="66" t="str">
        <f>+IF(PROVEEDORES[[#This Row],[FECHA DE PAGO]]=PROVEEDORES[[#This Row],[FECHA DE FACTURACIÓN]],"DE CONTADO","CRÉDITO")</f>
        <v>DE CONTADO</v>
      </c>
      <c r="B148" s="38" t="b">
        <f>+IF((PROVEEDORES[[#This Row],[FECHA DE PAGO]]-PROVEEDORES[[#This Row],[FECHA DE FACTURACIÓN]])&gt;PROVEEDORES[[#This Row],[PLAZO Días]],"PAGO VENCIDO")</f>
        <v>0</v>
      </c>
      <c r="C148" s="20">
        <f>+VLOOKUP(PROVEEDORES[[#This Row],[PROVEEDOR]],TERCEROS_INFO[#All],2,FALSE)</f>
        <v>30</v>
      </c>
      <c r="D148" s="25">
        <f>+SUMIFS(PROVEEDORES[Total],PROVEEDORES[PROVEEDOR],PROVEEDORES[[#This Row],[PROVEEDOR]],PROVEEDORES[FECHA DE PAGO],"")</f>
        <v>0</v>
      </c>
      <c r="E148" s="25"/>
      <c r="F148" s="58" t="str">
        <f>+VLOOKUP(PROVEEDORES[[#This Row],[PROVEEDOR]],
                       Terceros!$A:$F,
                       5,
                       FALSE)</f>
        <v/>
      </c>
      <c r="G148" s="161">
        <v>44496</v>
      </c>
      <c r="H148" s="26" t="s">
        <v>644</v>
      </c>
      <c r="I148" s="161">
        <v>44496</v>
      </c>
      <c r="J148" s="35" t="s">
        <v>1335</v>
      </c>
      <c r="K148" s="21">
        <v>18000</v>
      </c>
      <c r="L148" s="21"/>
      <c r="M148" s="22">
        <f>(PROVEEDORES[[#This Row],[SUBTOTAL]]-PROVEEDORES[[#This Row],[descuento sobre subtotal]])*VLOOKUP(PROVEEDORES[[#This Row],[PROVEEDOR]],TERCEROS_INFO[#All],3,FALSE)</f>
        <v>0</v>
      </c>
      <c r="N148" s="23"/>
      <c r="O148" s="22">
        <f>+PROVEEDORES[[#This Row],[Descuento sobre subtotal %]]*(PROVEEDORES[[#This Row],[SUBTOTAL]]-PROVEEDORES[[#This Row],[descuento sobre subtotal]])</f>
        <v>0</v>
      </c>
      <c r="P148" s="83">
        <f>+IF(PROVEEDORES[[#This Row],[SUBTOTAL]]&lt;PROVEEDORES[[#This Row],[base retencion]],0,PROVEEDORES[[#This Row],[retención aplicada]])</f>
        <v>0</v>
      </c>
      <c r="Q148" s="22">
        <f>+PROVEEDORES[[#This Row],[Rete Fuente %]]*(PROVEEDORES[[#This Row],[SUBTOTAL]]-PROVEEDORES[[#This Row],[descuento sobre subtotal]])</f>
        <v>0</v>
      </c>
      <c r="R148" s="21">
        <f>+PROVEEDORES[[#This Row],[SUBTOTAL]]+PROVEEDORES[[#This Row],[IVA 19%]]-PROVEEDORES[[#This Row],[descuento sobre subtotal]]-PROVEEDORES[[#This Row],[Descuento sobre subtotal $2]]-PROVEEDORES[[#This Row],[Rete Fuente $]]</f>
        <v>18000</v>
      </c>
      <c r="S1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68">
        <f ca="1">IF(PROVEEDORES[[#This Row],[FECHA DE PAGO]]=0,TODAY()-PROVEEDORES[[#This Row],[FECHA DE FACTURACIÓN]]-PROVEEDORES[[#This Row],[PLAZO Días]],0)</f>
        <v>0</v>
      </c>
      <c r="U148" s="96">
        <f>+VLOOKUP(PROVEEDORES[[#This Row],[PROVEEDOR]],Terceros!$A:$D,4,FALSE)</f>
        <v>0</v>
      </c>
      <c r="V148" s="97">
        <f>+YEAR(PROVEEDORES[[#This Row],[FECHA DE FACTURACIÓN]])</f>
        <v>2021</v>
      </c>
      <c r="W148" s="97">
        <f>+MATCH(PROVEEDORES[[#This Row],[año facturado]],Retenciones!$1:$1,0)</f>
        <v>4</v>
      </c>
      <c r="X148" s="98">
        <f>+VLOOKUP(PROVEEDORES[[#This Row],[ID RETENCION]],Retenciones!$A$1:$O$25,PROVEEDORES[[#This Row],[indicador de columna]],FALSE)</f>
        <v>0</v>
      </c>
      <c r="Y148" s="99">
        <f>+VLOOKUP(PROVEEDORES[[#This Row],[ID RETENCION]],Retenciones!$A$1:$O$25,2,FALSE)</f>
        <v>0</v>
      </c>
      <c r="Z148" s="125" t="b">
        <f>OR(COUNTIF(PROVEEDORES[[#This Row],[PROVEEDOR]],"*"&amp;'Palabra no opera'!$A$2&amp;"*"))</f>
        <v>0</v>
      </c>
      <c r="AA148" s="24"/>
      <c r="AB148" s="24"/>
      <c r="AC148" s="24"/>
      <c r="AD148" s="24"/>
      <c r="AE148" s="24"/>
    </row>
    <row r="149" spans="1:31" ht="22.2" customHeight="1" x14ac:dyDescent="0.3">
      <c r="A149" s="159" t="str">
        <f>+IF(PROVEEDORES[[#This Row],[FECHA DE PAGO]]=PROVEEDORES[[#This Row],[FECHA DE FACTURACIÓN]],"DE CONTADO","CRÉDITO")</f>
        <v>CRÉDITO</v>
      </c>
      <c r="B149" s="38" t="b">
        <f>+IF((PROVEEDORES[[#This Row],[FECHA DE PAGO]]-PROVEEDORES[[#This Row],[FECHA DE FACTURACIÓN]])&gt;PROVEEDORES[[#This Row],[PLAZO Días]],"PAGO VENCIDO")</f>
        <v>0</v>
      </c>
      <c r="C149" s="20">
        <f>+VLOOKUP(PROVEEDORES[[#This Row],[PROVEEDOR]],TERCEROS_INFO[#All],2,FALSE)</f>
        <v>30</v>
      </c>
      <c r="D149" s="25">
        <f>+SUMIFS(PROVEEDORES[Total],PROVEEDORES[PROVEEDOR],PROVEEDORES[[#This Row],[PROVEEDOR]],PROVEEDORES[FECHA DE PAGO],"")</f>
        <v>0</v>
      </c>
      <c r="E149" s="25"/>
      <c r="F14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9" s="161">
        <v>44750</v>
      </c>
      <c r="H149" s="26" t="s">
        <v>913</v>
      </c>
      <c r="I149" s="161">
        <v>44743</v>
      </c>
      <c r="J149" s="35" t="s">
        <v>1086</v>
      </c>
      <c r="K149" s="21">
        <v>15373</v>
      </c>
      <c r="L149" s="21"/>
      <c r="M149" s="22">
        <f>(PROVEEDORES[[#This Row],[SUBTOTAL]]-PROVEEDORES[[#This Row],[descuento sobre subtotal]])*VLOOKUP(PROVEEDORES[[#This Row],[PROVEEDOR]],TERCEROS_INFO[#All],3,FALSE)</f>
        <v>2920.87</v>
      </c>
      <c r="N149" s="23"/>
      <c r="O149" s="22">
        <f>+PROVEEDORES[[#This Row],[Descuento sobre subtotal %]]*(PROVEEDORES[[#This Row],[SUBTOTAL]]-PROVEEDORES[[#This Row],[descuento sobre subtotal]])</f>
        <v>0</v>
      </c>
      <c r="P149" s="83">
        <f>+IF(PROVEEDORES[[#This Row],[SUBTOTAL]]&lt;PROVEEDORES[[#This Row],[base retencion]],0,PROVEEDORES[[#This Row],[retención aplicada]])</f>
        <v>0</v>
      </c>
      <c r="Q149" s="22">
        <f>+PROVEEDORES[[#This Row],[Rete Fuente %]]*(PROVEEDORES[[#This Row],[SUBTOTAL]]-PROVEEDORES[[#This Row],[descuento sobre subtotal]])</f>
        <v>0</v>
      </c>
      <c r="R149" s="21">
        <f>+PROVEEDORES[[#This Row],[SUBTOTAL]]+PROVEEDORES[[#This Row],[IVA 19%]]-PROVEEDORES[[#This Row],[descuento sobre subtotal]]-PROVEEDORES[[#This Row],[Descuento sobre subtotal $2]]-PROVEEDORES[[#This Row],[Rete Fuente $]]</f>
        <v>18293.87</v>
      </c>
      <c r="S14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68">
        <f ca="1">IF(PROVEEDORES[[#This Row],[FECHA DE PAGO]]=0,TODAY()-PROVEEDORES[[#This Row],[FECHA DE FACTURACIÓN]]-PROVEEDORES[[#This Row],[PLAZO Días]],0)</f>
        <v>0</v>
      </c>
      <c r="U149" s="113">
        <f>+VLOOKUP(PROVEEDORES[[#This Row],[PROVEEDOR]],Terceros!$A:$D,4,FALSE)</f>
        <v>0</v>
      </c>
      <c r="V149" s="114">
        <f>+YEAR(PROVEEDORES[[#This Row],[FECHA DE FACTURACIÓN]])</f>
        <v>2022</v>
      </c>
      <c r="W149" s="114">
        <f>+MATCH(PROVEEDORES[[#This Row],[año facturado]],Retenciones!$1:$1,0)</f>
        <v>5</v>
      </c>
      <c r="X149" s="115">
        <f>+VLOOKUP(PROVEEDORES[[#This Row],[ID RETENCION]],Retenciones!$A$1:$O$25,PROVEEDORES[[#This Row],[indicador de columna]],FALSE)</f>
        <v>0</v>
      </c>
      <c r="Y149" s="116">
        <f>+VLOOKUP(PROVEEDORES[[#This Row],[ID RETENCION]],Retenciones!$A$1:$O$25,2,FALSE)</f>
        <v>0</v>
      </c>
      <c r="Z149" s="125" t="b">
        <f>OR(COUNTIF(PROVEEDORES[[#This Row],[PROVEEDOR]],"*"&amp;'Palabra no opera'!$A$2&amp;"*"))</f>
        <v>1</v>
      </c>
      <c r="AA149" s="24"/>
      <c r="AB149" s="24"/>
      <c r="AC149" s="24"/>
      <c r="AD149" s="24"/>
      <c r="AE149" s="24"/>
    </row>
    <row r="150" spans="1:31" ht="22.2" customHeight="1" x14ac:dyDescent="0.3">
      <c r="A150" s="66" t="str">
        <f>+IF(PROVEEDORES[[#This Row],[FECHA DE PAGO]]=PROVEEDORES[[#This Row],[FECHA DE FACTURACIÓN]],"DE CONTADO","CRÉDITO")</f>
        <v>DE CONTADO</v>
      </c>
      <c r="B150" s="38" t="b">
        <f>+IF((PROVEEDORES[[#This Row],[FECHA DE PAGO]]-PROVEEDORES[[#This Row],[FECHA DE FACTURACIÓN]])&gt;PROVEEDORES[[#This Row],[PLAZO Días]],"PAGO VENCIDO")</f>
        <v>0</v>
      </c>
      <c r="C150" s="20">
        <f>+VLOOKUP(PROVEEDORES[[#This Row],[PROVEEDOR]],TERCEROS_INFO[#All],2,FALSE)</f>
        <v>30</v>
      </c>
      <c r="D150" s="25">
        <f>+SUMIFS(PROVEEDORES[Total],PROVEEDORES[PROVEEDOR],PROVEEDORES[[#This Row],[PROVEEDOR]],PROVEEDORES[FECHA DE PAGO],"")</f>
        <v>0</v>
      </c>
      <c r="E150" s="25"/>
      <c r="F150" s="58" t="str">
        <f>+VLOOKUP(PROVEEDORES[[#This Row],[PROVEEDOR]],
                       Terceros!$A:$F,
                       5,
                       FALSE)</f>
        <v/>
      </c>
      <c r="G150" s="161">
        <v>44246</v>
      </c>
      <c r="H150" s="26" t="s">
        <v>682</v>
      </c>
      <c r="I150" s="161">
        <v>44246</v>
      </c>
      <c r="J150" s="35"/>
      <c r="K150" s="21">
        <v>20000</v>
      </c>
      <c r="L150" s="21"/>
      <c r="M150" s="22">
        <f>(PROVEEDORES[[#This Row],[SUBTOTAL]]-PROVEEDORES[[#This Row],[descuento sobre subtotal]])*VLOOKUP(PROVEEDORES[[#This Row],[PROVEEDOR]],TERCEROS_INFO[#All],3,FALSE)</f>
        <v>0</v>
      </c>
      <c r="N150" s="23"/>
      <c r="O150" s="22">
        <f>+PROVEEDORES[[#This Row],[Descuento sobre subtotal %]]*(PROVEEDORES[[#This Row],[SUBTOTAL]]-PROVEEDORES[[#This Row],[descuento sobre subtotal]])</f>
        <v>0</v>
      </c>
      <c r="P150" s="83">
        <f>+IF(PROVEEDORES[[#This Row],[SUBTOTAL]]&lt;PROVEEDORES[[#This Row],[base retencion]],0,PROVEEDORES[[#This Row],[retención aplicada]])</f>
        <v>0</v>
      </c>
      <c r="Q150" s="22">
        <f>+PROVEEDORES[[#This Row],[Rete Fuente %]]*(PROVEEDORES[[#This Row],[SUBTOTAL]]-PROVEEDORES[[#This Row],[descuento sobre subtotal]])</f>
        <v>0</v>
      </c>
      <c r="R150" s="21">
        <f>+PROVEEDORES[[#This Row],[SUBTOTAL]]+PROVEEDORES[[#This Row],[IVA 19%]]-PROVEEDORES[[#This Row],[descuento sobre subtotal]]-PROVEEDORES[[#This Row],[Descuento sobre subtotal $2]]-PROVEEDORES[[#This Row],[Rete Fuente $]]</f>
        <v>20000</v>
      </c>
      <c r="S1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68">
        <f ca="1">IF(PROVEEDORES[[#This Row],[FECHA DE PAGO]]=0,TODAY()-PROVEEDORES[[#This Row],[FECHA DE FACTURACIÓN]]-PROVEEDORES[[#This Row],[PLAZO Días]],0)</f>
        <v>0</v>
      </c>
      <c r="U150" s="96">
        <f>+VLOOKUP(PROVEEDORES[[#This Row],[PROVEEDOR]],Terceros!$A:$D,4,FALSE)</f>
        <v>0</v>
      </c>
      <c r="V150" s="97">
        <f>+YEAR(PROVEEDORES[[#This Row],[FECHA DE FACTURACIÓN]])</f>
        <v>2021</v>
      </c>
      <c r="W150" s="97">
        <f>+MATCH(PROVEEDORES[[#This Row],[año facturado]],Retenciones!$1:$1,0)</f>
        <v>4</v>
      </c>
      <c r="X150" s="98">
        <f>+VLOOKUP(PROVEEDORES[[#This Row],[ID RETENCION]],Retenciones!$A$1:$O$25,PROVEEDORES[[#This Row],[indicador de columna]],FALSE)</f>
        <v>0</v>
      </c>
      <c r="Y150" s="99">
        <f>+VLOOKUP(PROVEEDORES[[#This Row],[ID RETENCION]],Retenciones!$A$1:$O$25,2,FALSE)</f>
        <v>0</v>
      </c>
      <c r="Z150" s="125" t="b">
        <f>OR(COUNTIF(PROVEEDORES[[#This Row],[PROVEEDOR]],"*"&amp;'Palabra no opera'!$A$2&amp;"*"))</f>
        <v>0</v>
      </c>
      <c r="AA150" s="24"/>
      <c r="AB150" s="24"/>
      <c r="AC150" s="24"/>
      <c r="AD150" s="24"/>
      <c r="AE150" s="24"/>
    </row>
    <row r="151" spans="1:31" ht="22.2" customHeight="1" x14ac:dyDescent="0.3">
      <c r="A151" s="66" t="str">
        <f>+IF(PROVEEDORES[[#This Row],[FECHA DE PAGO]]=PROVEEDORES[[#This Row],[FECHA DE FACTURACIÓN]],"DE CONTADO","CRÉDITO")</f>
        <v>DE CONTADO</v>
      </c>
      <c r="B151" s="38" t="b">
        <f>+IF((PROVEEDORES[[#This Row],[FECHA DE PAGO]]-PROVEEDORES[[#This Row],[FECHA DE FACTURACIÓN]])&gt;PROVEEDORES[[#This Row],[PLAZO Días]],"PAGO VENCIDO")</f>
        <v>0</v>
      </c>
      <c r="C151" s="20">
        <f>+VLOOKUP(PROVEEDORES[[#This Row],[PROVEEDOR]],TERCEROS_INFO[#All],2,FALSE)</f>
        <v>30</v>
      </c>
      <c r="D151" s="25">
        <f>+SUMIFS(PROVEEDORES[Total],PROVEEDORES[PROVEEDOR],PROVEEDORES[[#This Row],[PROVEEDOR]],PROVEEDORES[FECHA DE PAGO],"")</f>
        <v>0</v>
      </c>
      <c r="E151" s="25"/>
      <c r="F151" s="58" t="str">
        <f>+VLOOKUP(PROVEEDORES[[#This Row],[PROVEEDOR]],
                       Terceros!$A:$F,
                       5,
                       FALSE)</f>
        <v/>
      </c>
      <c r="G151" s="161">
        <v>44224</v>
      </c>
      <c r="H151" s="26" t="s">
        <v>37</v>
      </c>
      <c r="I151" s="161">
        <v>44224</v>
      </c>
      <c r="J151" s="35">
        <v>9630</v>
      </c>
      <c r="K151" s="21">
        <v>17000</v>
      </c>
      <c r="L151" s="21"/>
      <c r="M151" s="22">
        <f>(PROVEEDORES[[#This Row],[SUBTOTAL]]-PROVEEDORES[[#This Row],[descuento sobre subtotal]])*VLOOKUP(PROVEEDORES[[#This Row],[PROVEEDOR]],TERCEROS_INFO[#All],3,FALSE)</f>
        <v>3230</v>
      </c>
      <c r="N151" s="23"/>
      <c r="O151" s="22">
        <f>+PROVEEDORES[[#This Row],[Descuento sobre subtotal %]]*(PROVEEDORES[[#This Row],[SUBTOTAL]]-PROVEEDORES[[#This Row],[descuento sobre subtotal]])</f>
        <v>0</v>
      </c>
      <c r="P151" s="83">
        <f>+IF(PROVEEDORES[[#This Row],[SUBTOTAL]]&lt;PROVEEDORES[[#This Row],[base retencion]],0,PROVEEDORES[[#This Row],[retención aplicada]])</f>
        <v>0</v>
      </c>
      <c r="Q151" s="22">
        <f>+PROVEEDORES[[#This Row],[Rete Fuente %]]*(PROVEEDORES[[#This Row],[SUBTOTAL]]-PROVEEDORES[[#This Row],[descuento sobre subtotal]])</f>
        <v>0</v>
      </c>
      <c r="R151" s="21">
        <f>+PROVEEDORES[[#This Row],[SUBTOTAL]]+PROVEEDORES[[#This Row],[IVA 19%]]-PROVEEDORES[[#This Row],[descuento sobre subtotal]]-PROVEEDORES[[#This Row],[Descuento sobre subtotal $2]]-PROVEEDORES[[#This Row],[Rete Fuente $]]</f>
        <v>20230</v>
      </c>
      <c r="S1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68">
        <f ca="1">IF(PROVEEDORES[[#This Row],[FECHA DE PAGO]]=0,TODAY()-PROVEEDORES[[#This Row],[FECHA DE FACTURACIÓN]]-PROVEEDORES[[#This Row],[PLAZO Días]],0)</f>
        <v>0</v>
      </c>
      <c r="U151" s="96" t="str">
        <f>+VLOOKUP(PROVEEDORES[[#This Row],[PROVEEDOR]],Terceros!$A:$D,4,FALSE)</f>
        <v>2,5% con base</v>
      </c>
      <c r="V151" s="97">
        <f>+YEAR(PROVEEDORES[[#This Row],[FECHA DE FACTURACIÓN]])</f>
        <v>2021</v>
      </c>
      <c r="W151" s="97">
        <f>+MATCH(PROVEEDORES[[#This Row],[año facturado]],Retenciones!$1:$1,0)</f>
        <v>4</v>
      </c>
      <c r="X151" s="98">
        <f>+VLOOKUP(PROVEEDORES[[#This Row],[ID RETENCION]],Retenciones!$A$1:$O$25,PROVEEDORES[[#This Row],[indicador de columna]],FALSE)</f>
        <v>980000</v>
      </c>
      <c r="Y151" s="99">
        <f>+VLOOKUP(PROVEEDORES[[#This Row],[ID RETENCION]],Retenciones!$A$1:$O$25,2,FALSE)</f>
        <v>2.5000000000000001E-2</v>
      </c>
      <c r="Z151" s="125" t="b">
        <f>OR(COUNTIF(PROVEEDORES[[#This Row],[PROVEEDOR]],"*"&amp;'Palabra no opera'!$A$2&amp;"*"))</f>
        <v>0</v>
      </c>
      <c r="AA151" s="24"/>
      <c r="AB151" s="24"/>
      <c r="AC151" s="24"/>
      <c r="AD151" s="24"/>
      <c r="AE151" s="24"/>
    </row>
    <row r="152" spans="1:31" ht="22.2" customHeight="1" x14ac:dyDescent="0.3">
      <c r="A152" s="66" t="str">
        <f>+IF(PROVEEDORES[[#This Row],[FECHA DE PAGO]]=PROVEEDORES[[#This Row],[FECHA DE FACTURACIÓN]],"DE CONTADO","CRÉDITO")</f>
        <v>CRÉDITO</v>
      </c>
      <c r="B152" s="38" t="b">
        <f>+IF((PROVEEDORES[[#This Row],[FECHA DE PAGO]]-PROVEEDORES[[#This Row],[FECHA DE FACTURACIÓN]])&gt;PROVEEDORES[[#This Row],[PLAZO Días]],"PAGO VENCIDO")</f>
        <v>0</v>
      </c>
      <c r="C152" s="20">
        <f>+VLOOKUP(PROVEEDORES[[#This Row],[PROVEEDOR]],TERCEROS_INFO[#All],2,FALSE)</f>
        <v>30</v>
      </c>
      <c r="D152" s="25">
        <f>+SUMIFS(PROVEEDORES[Total],PROVEEDORES[PROVEEDOR],PROVEEDORES[[#This Row],[PROVEEDOR]],PROVEEDORES[FECHA DE PAGO],"")</f>
        <v>0</v>
      </c>
      <c r="E152" s="25"/>
      <c r="F15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52" s="161">
        <v>44588</v>
      </c>
      <c r="H152" s="26" t="s">
        <v>928</v>
      </c>
      <c r="I152" s="161">
        <v>44562</v>
      </c>
      <c r="J152" s="35" t="s">
        <v>620</v>
      </c>
      <c r="K152" s="21">
        <v>20664</v>
      </c>
      <c r="L152" s="21"/>
      <c r="M152" s="22">
        <f>(PROVEEDORES[[#This Row],[SUBTOTAL]]-PROVEEDORES[[#This Row],[descuento sobre subtotal]])*VLOOKUP(PROVEEDORES[[#This Row],[PROVEEDOR]],TERCEROS_INFO[#All],3,FALSE)</f>
        <v>0</v>
      </c>
      <c r="N152" s="23"/>
      <c r="O152" s="22">
        <f>+PROVEEDORES[[#This Row],[Descuento sobre subtotal %]]*(PROVEEDORES[[#This Row],[SUBTOTAL]]-PROVEEDORES[[#This Row],[descuento sobre subtotal]])</f>
        <v>0</v>
      </c>
      <c r="P152" s="83">
        <f>+IF(PROVEEDORES[[#This Row],[SUBTOTAL]]&lt;PROVEEDORES[[#This Row],[base retencion]],0,PROVEEDORES[[#This Row],[retención aplicada]])</f>
        <v>3.5000000000000003E-2</v>
      </c>
      <c r="Q152" s="22">
        <f>+PROVEEDORES[[#This Row],[Rete Fuente %]]*(PROVEEDORES[[#This Row],[SUBTOTAL]]-PROVEEDORES[[#This Row],[descuento sobre subtotal]])</f>
        <v>723.24000000000012</v>
      </c>
      <c r="R152" s="21">
        <v>20664</v>
      </c>
      <c r="S1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68">
        <f ca="1">IF(PROVEEDORES[[#This Row],[FECHA DE PAGO]]=0,TODAY()-PROVEEDORES[[#This Row],[FECHA DE FACTURACIÓN]]-PROVEEDORES[[#This Row],[PLAZO Días]],0)</f>
        <v>0</v>
      </c>
      <c r="U152" s="96" t="str">
        <f>+VLOOKUP(PROVEEDORES[[#This Row],[PROVEEDOR]],Terceros!$A:$D,4,FALSE)</f>
        <v>3,5% sin base</v>
      </c>
      <c r="V152" s="97">
        <f>+YEAR(PROVEEDORES[[#This Row],[FECHA DE FACTURACIÓN]])</f>
        <v>2022</v>
      </c>
      <c r="W152" s="97">
        <f>+MATCH(PROVEEDORES[[#This Row],[año facturado]],Retenciones!$1:$1,0)</f>
        <v>5</v>
      </c>
      <c r="X152" s="98">
        <f>+VLOOKUP(PROVEEDORES[[#This Row],[ID RETENCION]],Retenciones!$A$1:$O$25,PROVEEDORES[[#This Row],[indicador de columna]],FALSE)</f>
        <v>0</v>
      </c>
      <c r="Y152" s="99">
        <f>+VLOOKUP(PROVEEDORES[[#This Row],[ID RETENCION]],Retenciones!$A$1:$O$25,2,FALSE)</f>
        <v>3.5000000000000003E-2</v>
      </c>
      <c r="Z152" s="125" t="b">
        <f>OR(COUNTIF(PROVEEDORES[[#This Row],[PROVEEDOR]],"*"&amp;'Palabra no opera'!$A$2&amp;"*"))</f>
        <v>1</v>
      </c>
      <c r="AA152" s="24"/>
      <c r="AB152" s="24"/>
      <c r="AC152" s="24"/>
      <c r="AD152" s="24"/>
      <c r="AE152" s="24"/>
    </row>
    <row r="153" spans="1:31" ht="22.2" customHeight="1" x14ac:dyDescent="0.3">
      <c r="A153" s="146" t="str">
        <f>+IF(PROVEEDORES[[#This Row],[FECHA DE PAGO]]=PROVEEDORES[[#This Row],[FECHA DE FACTURACIÓN]],"DE CONTADO","CRÉDITO")</f>
        <v>CRÉDITO</v>
      </c>
      <c r="B153" s="38" t="b">
        <f>+IF((PROVEEDORES[[#This Row],[FECHA DE PAGO]]-PROVEEDORES[[#This Row],[FECHA DE FACTURACIÓN]])&gt;PROVEEDORES[[#This Row],[PLAZO Días]],"PAGO VENCIDO")</f>
        <v>0</v>
      </c>
      <c r="C153" s="20">
        <f>+VLOOKUP(PROVEEDORES[[#This Row],[PROVEEDOR]],TERCEROS_INFO[#All],2,FALSE)</f>
        <v>30</v>
      </c>
      <c r="D153" s="25">
        <f>+SUMIFS(PROVEEDORES[Total],PROVEEDORES[PROVEEDOR],PROVEEDORES[[#This Row],[PROVEEDOR]],PROVEEDORES[FECHA DE PAGO],"")</f>
        <v>0</v>
      </c>
      <c r="E153" s="25"/>
      <c r="F15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3" s="161">
        <v>44729</v>
      </c>
      <c r="H153" s="26" t="s">
        <v>913</v>
      </c>
      <c r="I153" s="161">
        <v>44713</v>
      </c>
      <c r="J153" s="35" t="s">
        <v>1006</v>
      </c>
      <c r="K153" s="21">
        <v>17570</v>
      </c>
      <c r="L153" s="21"/>
      <c r="M153" s="22">
        <f>(PROVEEDORES[[#This Row],[SUBTOTAL]]-PROVEEDORES[[#This Row],[descuento sobre subtotal]])*VLOOKUP(PROVEEDORES[[#This Row],[PROVEEDOR]],TERCEROS_INFO[#All],3,FALSE)</f>
        <v>3338.3</v>
      </c>
      <c r="N153" s="23"/>
      <c r="O153" s="22">
        <f>+PROVEEDORES[[#This Row],[Descuento sobre subtotal %]]*(PROVEEDORES[[#This Row],[SUBTOTAL]]-PROVEEDORES[[#This Row],[descuento sobre subtotal]])</f>
        <v>0</v>
      </c>
      <c r="P153" s="83">
        <f>+IF(PROVEEDORES[[#This Row],[SUBTOTAL]]&lt;PROVEEDORES[[#This Row],[base retencion]],0,PROVEEDORES[[#This Row],[retención aplicada]])</f>
        <v>0</v>
      </c>
      <c r="Q153" s="22">
        <f>+PROVEEDORES[[#This Row],[Rete Fuente %]]*(PROVEEDORES[[#This Row],[SUBTOTAL]]-PROVEEDORES[[#This Row],[descuento sobre subtotal]])</f>
        <v>0</v>
      </c>
      <c r="R153" s="21">
        <f>+PROVEEDORES[[#This Row],[SUBTOTAL]]+PROVEEDORES[[#This Row],[IVA 19%]]-PROVEEDORES[[#This Row],[descuento sobre subtotal]]-PROVEEDORES[[#This Row],[Descuento sobre subtotal $2]]-PROVEEDORES[[#This Row],[Rete Fuente $]]</f>
        <v>20908.3</v>
      </c>
      <c r="S153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68">
        <f ca="1">IF(PROVEEDORES[[#This Row],[FECHA DE PAGO]]=0,TODAY()-PROVEEDORES[[#This Row],[FECHA DE FACTURACIÓN]]-PROVEEDORES[[#This Row],[PLAZO Días]],0)</f>
        <v>0</v>
      </c>
      <c r="U153" s="113">
        <f>+VLOOKUP(PROVEEDORES[[#This Row],[PROVEEDOR]],Terceros!$A:$D,4,FALSE)</f>
        <v>0</v>
      </c>
      <c r="V153" s="114">
        <f>+YEAR(PROVEEDORES[[#This Row],[FECHA DE FACTURACIÓN]])</f>
        <v>2022</v>
      </c>
      <c r="W153" s="114">
        <f>+MATCH(PROVEEDORES[[#This Row],[año facturado]],Retenciones!$1:$1,0)</f>
        <v>5</v>
      </c>
      <c r="X153" s="115">
        <f>+VLOOKUP(PROVEEDORES[[#This Row],[ID RETENCION]],Retenciones!$A$1:$O$25,PROVEEDORES[[#This Row],[indicador de columna]],FALSE)</f>
        <v>0</v>
      </c>
      <c r="Y153" s="116">
        <f>+VLOOKUP(PROVEEDORES[[#This Row],[ID RETENCION]],Retenciones!$A$1:$O$25,2,FALSE)</f>
        <v>0</v>
      </c>
      <c r="Z153" s="125" t="b">
        <f>OR(COUNTIF(PROVEEDORES[[#This Row],[PROVEEDOR]],"*"&amp;'Palabra no opera'!$A$2&amp;"*"))</f>
        <v>1</v>
      </c>
      <c r="AA153" s="24"/>
      <c r="AB153" s="24"/>
      <c r="AC153" s="24"/>
      <c r="AD153" s="24"/>
      <c r="AE153" s="24"/>
    </row>
    <row r="154" spans="1:31" ht="22.2" customHeight="1" x14ac:dyDescent="0.3">
      <c r="A154" s="257" t="str">
        <f>+IF(PROVEEDORES[[#This Row],[FECHA DE PAGO]]=PROVEEDORES[[#This Row],[FECHA DE FACTURACIÓN]],"DE CONTADO","CRÉDITO")</f>
        <v>CRÉDITO</v>
      </c>
      <c r="B154" s="38" t="b">
        <f>+IF((PROVEEDORES[[#This Row],[FECHA DE PAGO]]-PROVEEDORES[[#This Row],[FECHA DE FACTURACIÓN]])&gt;PROVEEDORES[[#This Row],[PLAZO Días]],"PAGO VENCIDO")</f>
        <v>0</v>
      </c>
      <c r="C154" s="20">
        <f>+VLOOKUP(PROVEEDORES[[#This Row],[PROVEEDOR]],TERCEROS_INFO[#All],2,FALSE)</f>
        <v>30</v>
      </c>
      <c r="D154" s="25">
        <f>+SUMIFS(PROVEEDORES[Total],PROVEEDORES[PROVEEDOR],PROVEEDORES[[#This Row],[PROVEEDOR]],PROVEEDORES[FECHA DE PAGO],"")</f>
        <v>0</v>
      </c>
      <c r="E154" s="25"/>
      <c r="F15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4" s="161">
        <v>44844</v>
      </c>
      <c r="H154" s="26" t="s">
        <v>913</v>
      </c>
      <c r="I154" s="161">
        <v>44835</v>
      </c>
      <c r="J154" s="35" t="s">
        <v>1754</v>
      </c>
      <c r="K154" s="21">
        <v>19766</v>
      </c>
      <c r="L154" s="21"/>
      <c r="M154" s="22">
        <f>(PROVEEDORES[[#This Row],[SUBTOTAL]]-PROVEEDORES[[#This Row],[descuento sobre subtotal]])*VLOOKUP(PROVEEDORES[[#This Row],[PROVEEDOR]],TERCEROS_INFO[#All],3,FALSE)</f>
        <v>3755.54</v>
      </c>
      <c r="N154" s="23"/>
      <c r="O154" s="22">
        <f>+PROVEEDORES[[#This Row],[Descuento sobre subtotal %]]*(PROVEEDORES[[#This Row],[SUBTOTAL]]-PROVEEDORES[[#This Row],[descuento sobre subtotal]])</f>
        <v>0</v>
      </c>
      <c r="P154" s="83">
        <f>+IF(PROVEEDORES[[#This Row],[SUBTOTAL]]&lt;PROVEEDORES[[#This Row],[base retencion]],0,PROVEEDORES[[#This Row],[retención aplicada]])</f>
        <v>0</v>
      </c>
      <c r="Q154" s="22">
        <f>+PROVEEDORES[[#This Row],[Rete Fuente %]]*(PROVEEDORES[[#This Row],[SUBTOTAL]]-PROVEEDORES[[#This Row],[descuento sobre subtotal]])</f>
        <v>0</v>
      </c>
      <c r="R154" s="21">
        <f>+PROVEEDORES[[#This Row],[SUBTOTAL]]+PROVEEDORES[[#This Row],[IVA 19%]]-PROVEEDORES[[#This Row],[descuento sobre subtotal]]-PROVEEDORES[[#This Row],[Descuento sobre subtotal $2]]-PROVEEDORES[[#This Row],[Rete Fuente $]]</f>
        <v>23521.54</v>
      </c>
      <c r="S154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68">
        <f ca="1">IF(PROVEEDORES[[#This Row],[FECHA DE PAGO]]=0,TODAY()-PROVEEDORES[[#This Row],[FECHA DE FACTURACIÓN]]-PROVEEDORES[[#This Row],[PLAZO Días]],0)</f>
        <v>0</v>
      </c>
      <c r="U154" s="113">
        <f>+VLOOKUP(PROVEEDORES[[#This Row],[PROVEEDOR]],Terceros!$A:$D,4,FALSE)</f>
        <v>0</v>
      </c>
      <c r="V154" s="114">
        <f>+YEAR(PROVEEDORES[[#This Row],[FECHA DE FACTURACIÓN]])</f>
        <v>2022</v>
      </c>
      <c r="W154" s="114">
        <f>+MATCH(PROVEEDORES[[#This Row],[año facturado]],Retenciones!$1:$1,0)</f>
        <v>5</v>
      </c>
      <c r="X154" s="115">
        <f>+VLOOKUP(PROVEEDORES[[#This Row],[ID RETENCION]],Retenciones!$A$1:$O$25,PROVEEDORES[[#This Row],[indicador de columna]],FALSE)</f>
        <v>0</v>
      </c>
      <c r="Y154" s="116">
        <f>+VLOOKUP(PROVEEDORES[[#This Row],[ID RETENCION]],Retenciones!$A$1:$O$25,2,FALSE)</f>
        <v>0</v>
      </c>
      <c r="Z154" s="125" t="b">
        <f>OR(COUNTIF(PROVEEDORES[[#This Row],[PROVEEDOR]],"*"&amp;'Palabra no opera'!$A$2&amp;"*"))</f>
        <v>1</v>
      </c>
      <c r="AA154" s="24"/>
      <c r="AB154" s="24"/>
      <c r="AC154" s="24"/>
      <c r="AD154" s="24"/>
      <c r="AE154" s="24"/>
    </row>
    <row r="155" spans="1:31" ht="22.2" customHeight="1" x14ac:dyDescent="0.3">
      <c r="A155" s="66" t="str">
        <f>+IF(PROVEEDORES[[#This Row],[FECHA DE PAGO]]=PROVEEDORES[[#This Row],[FECHA DE FACTURACIÓN]],"DE CONTADO","CRÉDITO")</f>
        <v>CRÉDITO</v>
      </c>
      <c r="B155" s="38" t="str">
        <f>+IF((PROVEEDORES[[#This Row],[FECHA DE PAGO]]-PROVEEDORES[[#This Row],[FECHA DE FACTURACIÓN]])&gt;PROVEEDORES[[#This Row],[PLAZO Días]],"PAGO VENCIDO")</f>
        <v>PAGO VENCIDO</v>
      </c>
      <c r="C155" s="20">
        <f>+VLOOKUP(PROVEEDORES[[#This Row],[PROVEEDOR]],TERCEROS_INFO[#All],2,FALSE)</f>
        <v>45</v>
      </c>
      <c r="D155" s="25">
        <f>+SUMIFS(PROVEEDORES[Total],PROVEEDORES[PROVEEDOR],PROVEEDORES[[#This Row],[PROVEEDOR]],PROVEEDORES[FECHA DE PAGO],"")</f>
        <v>31891814.359999999</v>
      </c>
      <c r="E155" s="25"/>
      <c r="F15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5" s="161">
        <v>44264</v>
      </c>
      <c r="H155" s="26" t="s">
        <v>19</v>
      </c>
      <c r="I155" s="161">
        <v>44211</v>
      </c>
      <c r="J155" s="35" t="s">
        <v>232</v>
      </c>
      <c r="K155" s="21">
        <v>23000</v>
      </c>
      <c r="L155" s="21"/>
      <c r="M155" s="22">
        <f>(PROVEEDORES[[#This Row],[SUBTOTAL]]-PROVEEDORES[[#This Row],[descuento sobre subtotal]])*VLOOKUP(PROVEEDORES[[#This Row],[PROVEEDOR]],TERCEROS_INFO[#All],3,FALSE)</f>
        <v>4370</v>
      </c>
      <c r="N155" s="23"/>
      <c r="O155" s="22">
        <f>+PROVEEDORES[[#This Row],[Descuento sobre subtotal %]]*(PROVEEDORES[[#This Row],[SUBTOTAL]]-PROVEEDORES[[#This Row],[descuento sobre subtotal]])</f>
        <v>0</v>
      </c>
      <c r="P155" s="83">
        <f>+IF(PROVEEDORES[[#This Row],[SUBTOTAL]]&lt;PROVEEDORES[[#This Row],[base retencion]],0,PROVEEDORES[[#This Row],[retención aplicada]])</f>
        <v>0</v>
      </c>
      <c r="Q155" s="22">
        <f>+PROVEEDORES[[#This Row],[Rete Fuente %]]*(PROVEEDORES[[#This Row],[SUBTOTAL]]-PROVEEDORES[[#This Row],[descuento sobre subtotal]])</f>
        <v>0</v>
      </c>
      <c r="R155" s="21">
        <f>+PROVEEDORES[[#This Row],[SUBTOTAL]]+PROVEEDORES[[#This Row],[IVA 19%]]-PROVEEDORES[[#This Row],[descuento sobre subtotal]]-PROVEEDORES[[#This Row],[Descuento sobre subtotal $2]]-PROVEEDORES[[#This Row],[Rete Fuente $]]</f>
        <v>27370</v>
      </c>
      <c r="S1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68">
        <f ca="1">IF(PROVEEDORES[[#This Row],[FECHA DE PAGO]]=0,TODAY()-PROVEEDORES[[#This Row],[FECHA DE FACTURACIÓN]]-PROVEEDORES[[#This Row],[PLAZO Días]],0)</f>
        <v>0</v>
      </c>
      <c r="U155" s="96">
        <f>+VLOOKUP(PROVEEDORES[[#This Row],[PROVEEDOR]],Terceros!$A:$D,4,FALSE)</f>
        <v>0</v>
      </c>
      <c r="V155" s="97">
        <f>+YEAR(PROVEEDORES[[#This Row],[FECHA DE FACTURACIÓN]])</f>
        <v>2021</v>
      </c>
      <c r="W155" s="97">
        <f>+MATCH(PROVEEDORES[[#This Row],[año facturado]],Retenciones!$1:$1,0)</f>
        <v>4</v>
      </c>
      <c r="X155" s="98">
        <f>+VLOOKUP(PROVEEDORES[[#This Row],[ID RETENCION]],Retenciones!$A$1:$O$25,PROVEEDORES[[#This Row],[indicador de columna]],FALSE)</f>
        <v>0</v>
      </c>
      <c r="Y155" s="99">
        <f>+VLOOKUP(PROVEEDORES[[#This Row],[ID RETENCION]],Retenciones!$A$1:$O$25,2,FALSE)</f>
        <v>0</v>
      </c>
      <c r="Z155" s="125" t="b">
        <f>OR(COUNTIF(PROVEEDORES[[#This Row],[PROVEEDOR]],"*"&amp;'Palabra no opera'!$A$2&amp;"*"))</f>
        <v>0</v>
      </c>
      <c r="AA155" s="24"/>
      <c r="AB155" s="24"/>
      <c r="AC155" s="24"/>
      <c r="AD155" s="24"/>
      <c r="AE155" s="24"/>
    </row>
    <row r="156" spans="1:31" ht="22.2" customHeight="1" x14ac:dyDescent="0.3">
      <c r="A156" s="72" t="str">
        <f>+IF(PROVEEDORES[[#This Row],[FECHA DE PAGO]]=PROVEEDORES[[#This Row],[FECHA DE FACTURACIÓN]],"DE CONTADO","CRÉDITO")</f>
        <v>CRÉDITO</v>
      </c>
      <c r="B156" s="38" t="str">
        <f>+IF((PROVEEDORES[[#This Row],[FECHA DE PAGO]]-PROVEEDORES[[#This Row],[FECHA DE FACTURACIÓN]])&gt;PROVEEDORES[[#This Row],[PLAZO Días]],"PAGO VENCIDO")</f>
        <v>PAGO VENCIDO</v>
      </c>
      <c r="C156" s="20">
        <f>+VLOOKUP(PROVEEDORES[[#This Row],[PROVEEDOR]],TERCEROS_INFO[#All],2,FALSE)</f>
        <v>30</v>
      </c>
      <c r="D156" s="25">
        <f>+SUMIFS(PROVEEDORES[Total],PROVEEDORES[PROVEEDOR],PROVEEDORES[[#This Row],[PROVEEDOR]],PROVEEDORES[FECHA DE PAGO],"")</f>
        <v>0</v>
      </c>
      <c r="E156" s="25"/>
      <c r="F15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56" s="161">
        <v>44845</v>
      </c>
      <c r="H156" s="26" t="s">
        <v>118</v>
      </c>
      <c r="I156" s="161">
        <v>44778</v>
      </c>
      <c r="J156" s="35" t="s">
        <v>1163</v>
      </c>
      <c r="K156" s="21">
        <v>27452.91</v>
      </c>
      <c r="L156" s="21"/>
      <c r="M156" s="22">
        <f>(PROVEEDORES[[#This Row],[SUBTOTAL]]-PROVEEDORES[[#This Row],[descuento sobre subtotal]])*VLOOKUP(PROVEEDORES[[#This Row],[PROVEEDOR]],TERCEROS_INFO[#All],3,FALSE)</f>
        <v>0</v>
      </c>
      <c r="N156" s="23"/>
      <c r="O156" s="22">
        <f>+PROVEEDORES[[#This Row],[Descuento sobre subtotal %]]*(PROVEEDORES[[#This Row],[SUBTOTAL]]-PROVEEDORES[[#This Row],[descuento sobre subtotal]])</f>
        <v>0</v>
      </c>
      <c r="P156" s="83">
        <f>+IF(PROVEEDORES[[#This Row],[SUBTOTAL]]&lt;PROVEEDORES[[#This Row],[base retencion]],0,PROVEEDORES[[#This Row],[retención aplicada]])</f>
        <v>0</v>
      </c>
      <c r="Q156" s="22">
        <f>+PROVEEDORES[[#This Row],[Rete Fuente %]]*(PROVEEDORES[[#This Row],[SUBTOTAL]]-PROVEEDORES[[#This Row],[descuento sobre subtotal]])</f>
        <v>0</v>
      </c>
      <c r="R156" s="21">
        <f>+PROVEEDORES[[#This Row],[SUBTOTAL]]+PROVEEDORES[[#This Row],[IVA 19%]]-PROVEEDORES[[#This Row],[descuento sobre subtotal]]-PROVEEDORES[[#This Row],[Descuento sobre subtotal $2]]-PROVEEDORES[[#This Row],[Rete Fuente $]]</f>
        <v>27452.91</v>
      </c>
      <c r="S15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68">
        <f ca="1">IF(PROVEEDORES[[#This Row],[FECHA DE PAGO]]=0,TODAY()-PROVEEDORES[[#This Row],[FECHA DE FACTURACIÓN]]-PROVEEDORES[[#This Row],[PLAZO Días]],0)</f>
        <v>0</v>
      </c>
      <c r="U156" s="113">
        <f>+VLOOKUP(PROVEEDORES[[#This Row],[PROVEEDOR]],Terceros!$A:$D,4,FALSE)</f>
        <v>0</v>
      </c>
      <c r="V156" s="114">
        <f>+YEAR(PROVEEDORES[[#This Row],[FECHA DE FACTURACIÓN]])</f>
        <v>2022</v>
      </c>
      <c r="W156" s="114">
        <f>+MATCH(PROVEEDORES[[#This Row],[año facturado]],Retenciones!$1:$1,0)</f>
        <v>5</v>
      </c>
      <c r="X156" s="115">
        <f>+VLOOKUP(PROVEEDORES[[#This Row],[ID RETENCION]],Retenciones!$A$1:$O$25,PROVEEDORES[[#This Row],[indicador de columna]],FALSE)</f>
        <v>0</v>
      </c>
      <c r="Y156" s="116">
        <f>+VLOOKUP(PROVEEDORES[[#This Row],[ID RETENCION]],Retenciones!$A$1:$O$25,2,FALSE)</f>
        <v>0</v>
      </c>
      <c r="Z156" s="125" t="b">
        <f>OR(COUNTIF(PROVEEDORES[[#This Row],[PROVEEDOR]],"*"&amp;'Palabra no opera'!$A$2&amp;"*"))</f>
        <v>0</v>
      </c>
      <c r="AA156" s="24"/>
      <c r="AB156" s="24"/>
      <c r="AC156" s="24"/>
      <c r="AD156" s="24"/>
      <c r="AE156" s="24"/>
    </row>
    <row r="157" spans="1:31" ht="22.2" customHeight="1" x14ac:dyDescent="0.3">
      <c r="A157" s="66" t="str">
        <f>+IF(PROVEEDORES[[#This Row],[FECHA DE PAGO]]=PROVEEDORES[[#This Row],[FECHA DE FACTURACIÓN]],"DE CONTADO","CRÉDITO")</f>
        <v>DE CONTADO</v>
      </c>
      <c r="B157" s="38" t="b">
        <f>+IF((PROVEEDORES[[#This Row],[FECHA DE PAGO]]-PROVEEDORES[[#This Row],[FECHA DE FACTURACIÓN]])&gt;PROVEEDORES[[#This Row],[PLAZO Días]],"PAGO VENCIDO")</f>
        <v>0</v>
      </c>
      <c r="C157" s="20">
        <f>+VLOOKUP(PROVEEDORES[[#This Row],[PROVEEDOR]],TERCEROS_INFO[#All],2,FALSE)</f>
        <v>30</v>
      </c>
      <c r="D157" s="25">
        <f>+SUMIFS(PROVEEDORES[Total],PROVEEDORES[PROVEEDOR],PROVEEDORES[[#This Row],[PROVEEDOR]],PROVEEDORES[FECHA DE PAGO],"")</f>
        <v>0</v>
      </c>
      <c r="E157" s="25"/>
      <c r="F157" s="58" t="str">
        <f>+VLOOKUP(PROVEEDORES[[#This Row],[PROVEEDOR]],
                       Terceros!$A:$F,
                       5,
                       FALSE)</f>
        <v/>
      </c>
      <c r="G157" s="161">
        <v>44651</v>
      </c>
      <c r="H157" s="26" t="s">
        <v>644</v>
      </c>
      <c r="I157" s="161">
        <v>44651</v>
      </c>
      <c r="J157" s="35" t="s">
        <v>596</v>
      </c>
      <c r="K157" s="21">
        <v>29400</v>
      </c>
      <c r="L157" s="21"/>
      <c r="M157" s="22">
        <f>(PROVEEDORES[[#This Row],[SUBTOTAL]]-PROVEEDORES[[#This Row],[descuento sobre subtotal]])*VLOOKUP(PROVEEDORES[[#This Row],[PROVEEDOR]],TERCEROS_INFO[#All],3,FALSE)</f>
        <v>0</v>
      </c>
      <c r="N157" s="23"/>
      <c r="O157" s="22">
        <f>+PROVEEDORES[[#This Row],[Descuento sobre subtotal %]]*(PROVEEDORES[[#This Row],[SUBTOTAL]]-PROVEEDORES[[#This Row],[descuento sobre subtotal]])</f>
        <v>0</v>
      </c>
      <c r="P157" s="83">
        <f>+IF(PROVEEDORES[[#This Row],[SUBTOTAL]]&lt;PROVEEDORES[[#This Row],[base retencion]],0,PROVEEDORES[[#This Row],[retención aplicada]])</f>
        <v>0</v>
      </c>
      <c r="Q157" s="22">
        <f>+PROVEEDORES[[#This Row],[Rete Fuente %]]*(PROVEEDORES[[#This Row],[SUBTOTAL]]-PROVEEDORES[[#This Row],[descuento sobre subtotal]])</f>
        <v>0</v>
      </c>
      <c r="R157" s="21">
        <v>29400</v>
      </c>
      <c r="S1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68">
        <f ca="1">IF(PROVEEDORES[[#This Row],[FECHA DE PAGO]]=0,TODAY()-PROVEEDORES[[#This Row],[FECHA DE FACTURACIÓN]]-PROVEEDORES[[#This Row],[PLAZO Días]],0)</f>
        <v>0</v>
      </c>
      <c r="U157" s="96">
        <f>+VLOOKUP(PROVEEDORES[[#This Row],[PROVEEDOR]],Terceros!$A:$D,4,FALSE)</f>
        <v>0</v>
      </c>
      <c r="V157" s="97">
        <f>+YEAR(PROVEEDORES[[#This Row],[FECHA DE FACTURACIÓN]])</f>
        <v>2022</v>
      </c>
      <c r="W157" s="97">
        <f>+MATCH(PROVEEDORES[[#This Row],[año facturado]],Retenciones!$1:$1,0)</f>
        <v>5</v>
      </c>
      <c r="X157" s="98">
        <f>+VLOOKUP(PROVEEDORES[[#This Row],[ID RETENCION]],Retenciones!$A$1:$O$25,PROVEEDORES[[#This Row],[indicador de columna]],FALSE)</f>
        <v>0</v>
      </c>
      <c r="Y157" s="99">
        <f>+VLOOKUP(PROVEEDORES[[#This Row],[ID RETENCION]],Retenciones!$A$1:$O$25,2,FALSE)</f>
        <v>0</v>
      </c>
      <c r="Z157" s="125" t="b">
        <f>OR(COUNTIF(PROVEEDORES[[#This Row],[PROVEEDOR]],"*"&amp;'Palabra no opera'!$A$2&amp;"*"))</f>
        <v>0</v>
      </c>
      <c r="AA157" s="24"/>
      <c r="AB157" s="24"/>
      <c r="AC157" s="24"/>
      <c r="AD157" s="24"/>
      <c r="AE157" s="24"/>
    </row>
    <row r="158" spans="1:31" ht="22.2" customHeight="1" x14ac:dyDescent="0.3">
      <c r="A158" s="66" t="str">
        <f>+IF(PROVEEDORES[[#This Row],[FECHA DE PAGO]]=PROVEEDORES[[#This Row],[FECHA DE FACTURACIÓN]],"DE CONTADO","CRÉDITO")</f>
        <v>DE CONTADO</v>
      </c>
      <c r="B158" s="38" t="b">
        <f>+IF((PROVEEDORES[[#This Row],[FECHA DE PAGO]]-PROVEEDORES[[#This Row],[FECHA DE FACTURACIÓN]])&gt;PROVEEDORES[[#This Row],[PLAZO Días]],"PAGO VENCIDO")</f>
        <v>0</v>
      </c>
      <c r="C158" s="20">
        <f>+VLOOKUP(PROVEEDORES[[#This Row],[PROVEEDOR]],TERCEROS_INFO[#All],2,FALSE)</f>
        <v>30</v>
      </c>
      <c r="D158" s="25">
        <f>+SUMIFS(PROVEEDORES[Total],PROVEEDORES[PROVEEDOR],PROVEEDORES[[#This Row],[PROVEEDOR]],PROVEEDORES[FECHA DE PAGO],"")</f>
        <v>0</v>
      </c>
      <c r="E158" s="25"/>
      <c r="F158" s="58" t="str">
        <f>+VLOOKUP(PROVEEDORES[[#This Row],[PROVEEDOR]],
                       Terceros!$A:$F,
                       5,
                       FALSE)</f>
        <v/>
      </c>
      <c r="G158" s="161">
        <v>44561</v>
      </c>
      <c r="H158" s="26" t="s">
        <v>644</v>
      </c>
      <c r="I158" s="161">
        <v>44561</v>
      </c>
      <c r="J158" s="35" t="s">
        <v>596</v>
      </c>
      <c r="K158" s="21">
        <v>30000</v>
      </c>
      <c r="L158" s="21"/>
      <c r="M158" s="22">
        <f>(PROVEEDORES[[#This Row],[SUBTOTAL]]-PROVEEDORES[[#This Row],[descuento sobre subtotal]])*VLOOKUP(PROVEEDORES[[#This Row],[PROVEEDOR]],TERCEROS_INFO[#All],3,FALSE)</f>
        <v>0</v>
      </c>
      <c r="N158" s="23"/>
      <c r="O158" s="22">
        <f>+PROVEEDORES[[#This Row],[Descuento sobre subtotal %]]*(PROVEEDORES[[#This Row],[SUBTOTAL]]-PROVEEDORES[[#This Row],[descuento sobre subtotal]])</f>
        <v>0</v>
      </c>
      <c r="P158" s="83">
        <f>+IF(PROVEEDORES[[#This Row],[SUBTOTAL]]&lt;PROVEEDORES[[#This Row],[base retencion]],0,PROVEEDORES[[#This Row],[retención aplicada]])</f>
        <v>0</v>
      </c>
      <c r="Q158" s="22">
        <f>+PROVEEDORES[[#This Row],[Rete Fuente %]]*(PROVEEDORES[[#This Row],[SUBTOTAL]]-PROVEEDORES[[#This Row],[descuento sobre subtotal]])</f>
        <v>0</v>
      </c>
      <c r="R158" s="21">
        <f>+PROVEEDORES[[#This Row],[SUBTOTAL]]+PROVEEDORES[[#This Row],[IVA 19%]]-PROVEEDORES[[#This Row],[descuento sobre subtotal]]-PROVEEDORES[[#This Row],[Descuento sobre subtotal $2]]-PROVEEDORES[[#This Row],[Rete Fuente $]]</f>
        <v>30000</v>
      </c>
      <c r="S1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68">
        <f ca="1">IF(PROVEEDORES[[#This Row],[FECHA DE PAGO]]=0,TODAY()-PROVEEDORES[[#This Row],[FECHA DE FACTURACIÓN]]-PROVEEDORES[[#This Row],[PLAZO Días]],0)</f>
        <v>0</v>
      </c>
      <c r="U158" s="96">
        <f>+VLOOKUP(PROVEEDORES[[#This Row],[PROVEEDOR]],Terceros!$A:$D,4,FALSE)</f>
        <v>0</v>
      </c>
      <c r="V158" s="97">
        <f>+YEAR(PROVEEDORES[[#This Row],[FECHA DE FACTURACIÓN]])</f>
        <v>2021</v>
      </c>
      <c r="W158" s="97">
        <f>+MATCH(PROVEEDORES[[#This Row],[año facturado]],Retenciones!$1:$1,0)</f>
        <v>4</v>
      </c>
      <c r="X158" s="98">
        <f>+VLOOKUP(PROVEEDORES[[#This Row],[ID RETENCION]],Retenciones!$A$1:$O$25,PROVEEDORES[[#This Row],[indicador de columna]],FALSE)</f>
        <v>0</v>
      </c>
      <c r="Y158" s="99">
        <f>+VLOOKUP(PROVEEDORES[[#This Row],[ID RETENCION]],Retenciones!$A$1:$O$25,2,FALSE)</f>
        <v>0</v>
      </c>
      <c r="Z158" s="125" t="b">
        <f>OR(COUNTIF(PROVEEDORES[[#This Row],[PROVEEDOR]],"*"&amp;'Palabra no opera'!$A$2&amp;"*"))</f>
        <v>0</v>
      </c>
      <c r="AA158" s="24"/>
      <c r="AB158" s="24"/>
      <c r="AC158" s="24"/>
      <c r="AD158" s="24"/>
      <c r="AE158" s="24"/>
    </row>
    <row r="159" spans="1:31" ht="22.2" customHeight="1" x14ac:dyDescent="0.3">
      <c r="A159" s="66" t="str">
        <f>+IF(PROVEEDORES[[#This Row],[FECHA DE PAGO]]=PROVEEDORES[[#This Row],[FECHA DE FACTURACIÓN]],"DE CONTADO","CRÉDITO")</f>
        <v>DE CONTADO</v>
      </c>
      <c r="B159" s="38" t="b">
        <f>+IF((PROVEEDORES[[#This Row],[FECHA DE PAGO]]-PROVEEDORES[[#This Row],[FECHA DE FACTURACIÓN]])&gt;PROVEEDORES[[#This Row],[PLAZO Días]],"PAGO VENCIDO")</f>
        <v>0</v>
      </c>
      <c r="C159" s="20">
        <f>+VLOOKUP(PROVEEDORES[[#This Row],[PROVEEDOR]],TERCEROS_INFO[#All],2,FALSE)</f>
        <v>30</v>
      </c>
      <c r="D159" s="25">
        <f>+SUMIFS(PROVEEDORES[Total],PROVEEDORES[PROVEEDOR],PROVEEDORES[[#This Row],[PROVEEDOR]],PROVEEDORES[FECHA DE PAGO],"")</f>
        <v>0</v>
      </c>
      <c r="E159" s="25"/>
      <c r="F159" s="58" t="str">
        <f>+VLOOKUP(PROVEEDORES[[#This Row],[PROVEEDOR]],
                       Terceros!$A:$F,
                       5,
                       FALSE)</f>
        <v/>
      </c>
      <c r="G159" s="161">
        <v>44498</v>
      </c>
      <c r="H159" s="26" t="s">
        <v>644</v>
      </c>
      <c r="I159" s="161">
        <v>44498</v>
      </c>
      <c r="J159" s="35" t="s">
        <v>1337</v>
      </c>
      <c r="K159" s="21">
        <v>35000</v>
      </c>
      <c r="L159" s="21"/>
      <c r="M159" s="22">
        <f>(PROVEEDORES[[#This Row],[SUBTOTAL]]-PROVEEDORES[[#This Row],[descuento sobre subtotal]])*VLOOKUP(PROVEEDORES[[#This Row],[PROVEEDOR]],TERCEROS_INFO[#All],3,FALSE)</f>
        <v>0</v>
      </c>
      <c r="N159" s="23"/>
      <c r="O159" s="22">
        <f>+PROVEEDORES[[#This Row],[Descuento sobre subtotal %]]*(PROVEEDORES[[#This Row],[SUBTOTAL]]-PROVEEDORES[[#This Row],[descuento sobre subtotal]])</f>
        <v>0</v>
      </c>
      <c r="P159" s="83">
        <f>+IF(PROVEEDORES[[#This Row],[SUBTOTAL]]&lt;PROVEEDORES[[#This Row],[base retencion]],0,PROVEEDORES[[#This Row],[retención aplicada]])</f>
        <v>0</v>
      </c>
      <c r="Q159" s="22">
        <f>+PROVEEDORES[[#This Row],[Rete Fuente %]]*(PROVEEDORES[[#This Row],[SUBTOTAL]]-PROVEEDORES[[#This Row],[descuento sobre subtotal]])</f>
        <v>0</v>
      </c>
      <c r="R159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15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68">
        <f ca="1">IF(PROVEEDORES[[#This Row],[FECHA DE PAGO]]=0,TODAY()-PROVEEDORES[[#This Row],[FECHA DE FACTURACIÓN]]-PROVEEDORES[[#This Row],[PLAZO Días]],0)</f>
        <v>0</v>
      </c>
      <c r="U159" s="96">
        <f>+VLOOKUP(PROVEEDORES[[#This Row],[PROVEEDOR]],Terceros!$A:$D,4,FALSE)</f>
        <v>0</v>
      </c>
      <c r="V159" s="97">
        <f>+YEAR(PROVEEDORES[[#This Row],[FECHA DE FACTURACIÓN]])</f>
        <v>2021</v>
      </c>
      <c r="W159" s="97">
        <f>+MATCH(PROVEEDORES[[#This Row],[año facturado]],Retenciones!$1:$1,0)</f>
        <v>4</v>
      </c>
      <c r="X159" s="98">
        <f>+VLOOKUP(PROVEEDORES[[#This Row],[ID RETENCION]],Retenciones!$A$1:$O$25,PROVEEDORES[[#This Row],[indicador de columna]],FALSE)</f>
        <v>0</v>
      </c>
      <c r="Y159" s="99">
        <f>+VLOOKUP(PROVEEDORES[[#This Row],[ID RETENCION]],Retenciones!$A$1:$O$25,2,FALSE)</f>
        <v>0</v>
      </c>
      <c r="Z159" s="125" t="b">
        <f>OR(COUNTIF(PROVEEDORES[[#This Row],[PROVEEDOR]],"*"&amp;'Palabra no opera'!$A$2&amp;"*"))</f>
        <v>0</v>
      </c>
      <c r="AA159" s="24"/>
      <c r="AB159" s="24"/>
      <c r="AC159" s="24"/>
      <c r="AD159" s="24"/>
      <c r="AE159" s="24"/>
    </row>
    <row r="160" spans="1:31" ht="22.2" customHeight="1" x14ac:dyDescent="0.3">
      <c r="A160" s="66" t="str">
        <f>+IF(PROVEEDORES[[#This Row],[FECHA DE PAGO]]=PROVEEDORES[[#This Row],[FECHA DE FACTURACIÓN]],"DE CONTADO","CRÉDITO")</f>
        <v>DE CONTADO</v>
      </c>
      <c r="B160" s="38" t="b">
        <f>+IF((PROVEEDORES[[#This Row],[FECHA DE PAGO]]-PROVEEDORES[[#This Row],[FECHA DE FACTURACIÓN]])&gt;PROVEEDORES[[#This Row],[PLAZO Días]],"PAGO VENCIDO")</f>
        <v>0</v>
      </c>
      <c r="C160" s="20">
        <f>+VLOOKUP(PROVEEDORES[[#This Row],[PROVEEDOR]],TERCEROS_INFO[#All],2,FALSE)</f>
        <v>30</v>
      </c>
      <c r="D160" s="25">
        <f>+SUMIFS(PROVEEDORES[Total],PROVEEDORES[PROVEEDOR],PROVEEDORES[[#This Row],[PROVEEDOR]],PROVEEDORES[FECHA DE PAGO],"")</f>
        <v>0</v>
      </c>
      <c r="E160" s="25"/>
      <c r="F160" s="58" t="str">
        <f>+VLOOKUP(PROVEEDORES[[#This Row],[PROVEEDOR]],
                       Terceros!$A:$F,
                       5,
                       FALSE)</f>
        <v/>
      </c>
      <c r="G160" s="161">
        <v>44523</v>
      </c>
      <c r="H160" s="26" t="s">
        <v>644</v>
      </c>
      <c r="I160" s="161">
        <v>44523</v>
      </c>
      <c r="J160" s="35" t="s">
        <v>1530</v>
      </c>
      <c r="K160" s="21">
        <v>35000</v>
      </c>
      <c r="L160" s="21"/>
      <c r="M160" s="22">
        <f>(PROVEEDORES[[#This Row],[SUBTOTAL]]-PROVEEDORES[[#This Row],[descuento sobre subtotal]])*VLOOKUP(PROVEEDORES[[#This Row],[PROVEEDOR]],TERCEROS_INFO[#All],3,FALSE)</f>
        <v>0</v>
      </c>
      <c r="N160" s="23"/>
      <c r="O160" s="22">
        <f>+PROVEEDORES[[#This Row],[Descuento sobre subtotal %]]*(PROVEEDORES[[#This Row],[SUBTOTAL]]-PROVEEDORES[[#This Row],[descuento sobre subtotal]])</f>
        <v>0</v>
      </c>
      <c r="P160" s="83">
        <f>+IF(PROVEEDORES[[#This Row],[SUBTOTAL]]&lt;PROVEEDORES[[#This Row],[base retencion]],0,PROVEEDORES[[#This Row],[retención aplicada]])</f>
        <v>0</v>
      </c>
      <c r="Q160" s="22">
        <f>+PROVEEDORES[[#This Row],[Rete Fuente %]]*(PROVEEDORES[[#This Row],[SUBTOTAL]]-PROVEEDORES[[#This Row],[descuento sobre subtotal]])</f>
        <v>0</v>
      </c>
      <c r="R160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1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68">
        <f ca="1">IF(PROVEEDORES[[#This Row],[FECHA DE PAGO]]=0,TODAY()-PROVEEDORES[[#This Row],[FECHA DE FACTURACIÓN]]-PROVEEDORES[[#This Row],[PLAZO Días]],0)</f>
        <v>0</v>
      </c>
      <c r="U160" s="96">
        <f>+VLOOKUP(PROVEEDORES[[#This Row],[PROVEEDOR]],Terceros!$A:$D,4,FALSE)</f>
        <v>0</v>
      </c>
      <c r="V160" s="97">
        <f>+YEAR(PROVEEDORES[[#This Row],[FECHA DE FACTURACIÓN]])</f>
        <v>2021</v>
      </c>
      <c r="W160" s="97">
        <f>+MATCH(PROVEEDORES[[#This Row],[año facturado]],Retenciones!$1:$1,0)</f>
        <v>4</v>
      </c>
      <c r="X160" s="98">
        <f>+VLOOKUP(PROVEEDORES[[#This Row],[ID RETENCION]],Retenciones!$A$1:$O$25,PROVEEDORES[[#This Row],[indicador de columna]],FALSE)</f>
        <v>0</v>
      </c>
      <c r="Y160" s="99">
        <f>+VLOOKUP(PROVEEDORES[[#This Row],[ID RETENCION]],Retenciones!$A$1:$O$25,2,FALSE)</f>
        <v>0</v>
      </c>
      <c r="Z160" s="125" t="b">
        <f>OR(COUNTIF(PROVEEDORES[[#This Row],[PROVEEDOR]],"*"&amp;'Palabra no opera'!$A$2&amp;"*"))</f>
        <v>0</v>
      </c>
      <c r="AA160" s="24"/>
      <c r="AB160" s="24"/>
      <c r="AC160" s="24"/>
      <c r="AD160" s="24"/>
      <c r="AE160" s="24"/>
    </row>
    <row r="161" spans="1:31" ht="22.2" customHeight="1" x14ac:dyDescent="0.3">
      <c r="A161" s="269" t="str">
        <f>+IF(PROVEEDORES[[#This Row],[FECHA DE PAGO]]=PROVEEDORES[[#This Row],[FECHA DE FACTURACIÓN]],"DE CONTADO","CRÉDITO")</f>
        <v>DE CONTADO</v>
      </c>
      <c r="B161" s="38" t="b">
        <f>+IF((PROVEEDORES[[#This Row],[FECHA DE PAGO]]-PROVEEDORES[[#This Row],[FECHA DE FACTURACIÓN]])&gt;PROVEEDORES[[#This Row],[PLAZO Días]],"PAGO VENCIDO")</f>
        <v>0</v>
      </c>
      <c r="C161" s="20">
        <f>+VLOOKUP(PROVEEDORES[[#This Row],[PROVEEDOR]],TERCEROS_INFO[#All],2,FALSE)</f>
        <v>30</v>
      </c>
      <c r="D161" s="25">
        <f>+SUMIFS(PROVEEDORES[Total],PROVEEDORES[PROVEEDOR],PROVEEDORES[[#This Row],[PROVEEDOR]],PROVEEDORES[FECHA DE PAGO],"")</f>
        <v>0</v>
      </c>
      <c r="E161" s="25"/>
      <c r="F161" s="58" t="str">
        <f>+VLOOKUP(PROVEEDORES[[#This Row],[PROVEEDOR]],
                       Terceros!$A:$F,
                       5,
                       FALSE)</f>
        <v/>
      </c>
      <c r="G161" s="161">
        <v>44852</v>
      </c>
      <c r="H161" s="26" t="s">
        <v>644</v>
      </c>
      <c r="I161" s="161">
        <v>44852</v>
      </c>
      <c r="J161" s="35" t="s">
        <v>1799</v>
      </c>
      <c r="K161" s="21">
        <v>35000</v>
      </c>
      <c r="L161" s="21"/>
      <c r="M161" s="22">
        <f>(PROVEEDORES[[#This Row],[SUBTOTAL]]-PROVEEDORES[[#This Row],[descuento sobre subtotal]])*VLOOKUP(PROVEEDORES[[#This Row],[PROVEEDOR]],TERCEROS_INFO[#All],3,FALSE)</f>
        <v>0</v>
      </c>
      <c r="N161" s="23"/>
      <c r="O161" s="22">
        <f>+PROVEEDORES[[#This Row],[Descuento sobre subtotal %]]*(PROVEEDORES[[#This Row],[SUBTOTAL]]-PROVEEDORES[[#This Row],[descuento sobre subtotal]])</f>
        <v>0</v>
      </c>
      <c r="P161" s="83">
        <f>+IF(PROVEEDORES[[#This Row],[SUBTOTAL]]&lt;PROVEEDORES[[#This Row],[base retencion]],0,PROVEEDORES[[#This Row],[retención aplicada]])</f>
        <v>0</v>
      </c>
      <c r="Q161" s="22">
        <f>+PROVEEDORES[[#This Row],[Rete Fuente %]]*(PROVEEDORES[[#This Row],[SUBTOTAL]]-PROVEEDORES[[#This Row],[descuento sobre subtotal]])</f>
        <v>0</v>
      </c>
      <c r="R161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161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68">
        <f ca="1">IF(PROVEEDORES[[#This Row],[FECHA DE PAGO]]=0,TODAY()-PROVEEDORES[[#This Row],[FECHA DE FACTURACIÓN]]-PROVEEDORES[[#This Row],[PLAZO Días]],0)</f>
        <v>0</v>
      </c>
      <c r="U161" s="113">
        <f>+VLOOKUP(PROVEEDORES[[#This Row],[PROVEEDOR]],Terceros!$A:$D,4,FALSE)</f>
        <v>0</v>
      </c>
      <c r="V161" s="114">
        <f>+YEAR(PROVEEDORES[[#This Row],[FECHA DE FACTURACIÓN]])</f>
        <v>2022</v>
      </c>
      <c r="W161" s="114">
        <f>+MATCH(PROVEEDORES[[#This Row],[año facturado]],Retenciones!$1:$1,0)</f>
        <v>5</v>
      </c>
      <c r="X161" s="115">
        <f>+VLOOKUP(PROVEEDORES[[#This Row],[ID RETENCION]],Retenciones!$A$1:$O$25,PROVEEDORES[[#This Row],[indicador de columna]],FALSE)</f>
        <v>0</v>
      </c>
      <c r="Y161" s="116">
        <f>+VLOOKUP(PROVEEDORES[[#This Row],[ID RETENCION]],Retenciones!$A$1:$O$25,2,FALSE)</f>
        <v>0</v>
      </c>
      <c r="Z161" s="125" t="b">
        <f>OR(COUNTIF(PROVEEDORES[[#This Row],[PROVEEDOR]],"*"&amp;'Palabra no opera'!$A$2&amp;"*"))</f>
        <v>0</v>
      </c>
      <c r="AA161" s="24"/>
      <c r="AB161" s="24"/>
      <c r="AC161" s="24"/>
      <c r="AD161" s="24"/>
      <c r="AE161" s="24"/>
    </row>
    <row r="162" spans="1:31" ht="22.2" customHeight="1" x14ac:dyDescent="0.3">
      <c r="A162" s="257" t="str">
        <f>+IF(PROVEEDORES[[#This Row],[FECHA DE PAGO]]=PROVEEDORES[[#This Row],[FECHA DE FACTURACIÓN]],"DE CONTADO","CRÉDITO")</f>
        <v>DE CONTADO</v>
      </c>
      <c r="B162" s="38" t="b">
        <f>+IF((PROVEEDORES[[#This Row],[FECHA DE PAGO]]-PROVEEDORES[[#This Row],[FECHA DE FACTURACIÓN]])&gt;PROVEEDORES[[#This Row],[PLAZO Días]],"PAGO VENCIDO")</f>
        <v>0</v>
      </c>
      <c r="C162" s="20">
        <f>+VLOOKUP(PROVEEDORES[[#This Row],[PROVEEDOR]],TERCEROS_INFO[#All],2,FALSE)</f>
        <v>30</v>
      </c>
      <c r="D162" s="25">
        <f>+SUMIFS(PROVEEDORES[Total],PROVEEDORES[PROVEEDOR],PROVEEDORES[[#This Row],[PROVEEDOR]],PROVEEDORES[FECHA DE PAGO],"")</f>
        <v>0</v>
      </c>
      <c r="E162" s="25"/>
      <c r="F162" s="58" t="str">
        <f>+VLOOKUP(PROVEEDORES[[#This Row],[PROVEEDOR]],
                       Terceros!$A:$F,
                       5,
                       FALSE)</f>
        <v/>
      </c>
      <c r="G162" s="161">
        <v>44834</v>
      </c>
      <c r="H162" s="26" t="s">
        <v>644</v>
      </c>
      <c r="I162" s="161">
        <v>44834</v>
      </c>
      <c r="J162" s="35" t="s">
        <v>1751</v>
      </c>
      <c r="K162" s="21">
        <v>38000</v>
      </c>
      <c r="L162" s="21"/>
      <c r="M162" s="22">
        <f>(PROVEEDORES[[#This Row],[SUBTOTAL]]-PROVEEDORES[[#This Row],[descuento sobre subtotal]])*VLOOKUP(PROVEEDORES[[#This Row],[PROVEEDOR]],TERCEROS_INFO[#All],3,FALSE)</f>
        <v>0</v>
      </c>
      <c r="N162" s="23"/>
      <c r="O162" s="22">
        <f>+PROVEEDORES[[#This Row],[Descuento sobre subtotal %]]*(PROVEEDORES[[#This Row],[SUBTOTAL]]-PROVEEDORES[[#This Row],[descuento sobre subtotal]])</f>
        <v>0</v>
      </c>
      <c r="P162" s="83">
        <f>+IF(PROVEEDORES[[#This Row],[SUBTOTAL]]&lt;PROVEEDORES[[#This Row],[base retencion]],0,PROVEEDORES[[#This Row],[retención aplicada]])</f>
        <v>0</v>
      </c>
      <c r="Q162" s="22">
        <f>+PROVEEDORES[[#This Row],[Rete Fuente %]]*(PROVEEDORES[[#This Row],[SUBTOTAL]]-PROVEEDORES[[#This Row],[descuento sobre subtotal]])</f>
        <v>0</v>
      </c>
      <c r="R162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162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68">
        <f ca="1">IF(PROVEEDORES[[#This Row],[FECHA DE PAGO]]=0,TODAY()-PROVEEDORES[[#This Row],[FECHA DE FACTURACIÓN]]-PROVEEDORES[[#This Row],[PLAZO Días]],0)</f>
        <v>0</v>
      </c>
      <c r="U162" s="113">
        <f>+VLOOKUP(PROVEEDORES[[#This Row],[PROVEEDOR]],Terceros!$A:$D,4,FALSE)</f>
        <v>0</v>
      </c>
      <c r="V162" s="114">
        <f>+YEAR(PROVEEDORES[[#This Row],[FECHA DE FACTURACIÓN]])</f>
        <v>2022</v>
      </c>
      <c r="W162" s="114">
        <f>+MATCH(PROVEEDORES[[#This Row],[año facturado]],Retenciones!$1:$1,0)</f>
        <v>5</v>
      </c>
      <c r="X162" s="115">
        <f>+VLOOKUP(PROVEEDORES[[#This Row],[ID RETENCION]],Retenciones!$A$1:$O$25,PROVEEDORES[[#This Row],[indicador de columna]],FALSE)</f>
        <v>0</v>
      </c>
      <c r="Y162" s="116">
        <f>+VLOOKUP(PROVEEDORES[[#This Row],[ID RETENCION]],Retenciones!$A$1:$O$25,2,FALSE)</f>
        <v>0</v>
      </c>
      <c r="Z162" s="125" t="b">
        <f>OR(COUNTIF(PROVEEDORES[[#This Row],[PROVEEDOR]],"*"&amp;'Palabra no opera'!$A$2&amp;"*"))</f>
        <v>0</v>
      </c>
      <c r="AA162" s="24"/>
      <c r="AB162" s="24"/>
      <c r="AC162" s="24"/>
      <c r="AD162" s="24"/>
      <c r="AE162" s="24"/>
    </row>
    <row r="163" spans="1:31" ht="22.2" customHeight="1" x14ac:dyDescent="0.3">
      <c r="A163" s="72" t="str">
        <f>+IF(PROVEEDORES[[#This Row],[FECHA DE PAGO]]=PROVEEDORES[[#This Row],[FECHA DE FACTURACIÓN]],"DE CONTADO","CRÉDITO")</f>
        <v>CRÉDITO</v>
      </c>
      <c r="B163" s="38" t="b">
        <f>+IF((PROVEEDORES[[#This Row],[FECHA DE PAGO]]-PROVEEDORES[[#This Row],[FECHA DE FACTURACIÓN]])&gt;PROVEEDORES[[#This Row],[PLAZO Días]],"PAGO VENCIDO")</f>
        <v>0</v>
      </c>
      <c r="C163" s="20">
        <f>+VLOOKUP(PROVEEDORES[[#This Row],[PROVEEDOR]],TERCEROS_INFO[#All],2,FALSE)</f>
        <v>30</v>
      </c>
      <c r="D163" s="25">
        <f>+SUMIFS(PROVEEDORES[Total],PROVEEDORES[PROVEEDOR],PROVEEDORES[[#This Row],[PROVEEDOR]],PROVEEDORES[FECHA DE PAGO],"")</f>
        <v>430000</v>
      </c>
      <c r="E163" s="25"/>
      <c r="F163" s="58" t="str">
        <f>+VLOOKUP(PROVEEDORES[[#This Row],[PROVEEDOR]],
                       Terceros!$A:$F,
                       5,
                       FALSE)</f>
        <v/>
      </c>
      <c r="H163" s="26" t="s">
        <v>695</v>
      </c>
      <c r="I163" s="161">
        <v>44804</v>
      </c>
      <c r="J163" s="35">
        <v>16</v>
      </c>
      <c r="K163" s="21">
        <v>38000</v>
      </c>
      <c r="L163" s="21"/>
      <c r="M163" s="22">
        <f>(PROVEEDORES[[#This Row],[SUBTOTAL]]-PROVEEDORES[[#This Row],[descuento sobre subtotal]])*VLOOKUP(PROVEEDORES[[#This Row],[PROVEEDOR]],TERCEROS_INFO[#All],3,FALSE)</f>
        <v>0</v>
      </c>
      <c r="N163" s="23"/>
      <c r="O163" s="22">
        <f>+PROVEEDORES[[#This Row],[Descuento sobre subtotal %]]*(PROVEEDORES[[#This Row],[SUBTOTAL]]-PROVEEDORES[[#This Row],[descuento sobre subtotal]])</f>
        <v>0</v>
      </c>
      <c r="P163" s="83">
        <f>+IF(PROVEEDORES[[#This Row],[SUBTOTAL]]&lt;PROVEEDORES[[#This Row],[base retencion]],0,PROVEEDORES[[#This Row],[retención aplicada]])</f>
        <v>0</v>
      </c>
      <c r="Q163" s="22">
        <f>+PROVEEDORES[[#This Row],[Rete Fuente %]]*(PROVEEDORES[[#This Row],[SUBTOTAL]]-PROVEEDORES[[#This Row],[descuento sobre subtotal]])</f>
        <v>0</v>
      </c>
      <c r="R163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163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3" s="68">
        <f ca="1">IF(PROVEEDORES[[#This Row],[FECHA DE PAGO]]=0,TODAY()-PROVEEDORES[[#This Row],[FECHA DE FACTURACIÓN]]-PROVEEDORES[[#This Row],[PLAZO Días]],0)</f>
        <v>41</v>
      </c>
      <c r="U163" s="113">
        <f>+VLOOKUP(PROVEEDORES[[#This Row],[PROVEEDOR]],Terceros!$A:$D,4,FALSE)</f>
        <v>0</v>
      </c>
      <c r="V163" s="114">
        <f>+YEAR(PROVEEDORES[[#This Row],[FECHA DE FACTURACIÓN]])</f>
        <v>2022</v>
      </c>
      <c r="W163" s="114">
        <f>+MATCH(PROVEEDORES[[#This Row],[año facturado]],Retenciones!$1:$1,0)</f>
        <v>5</v>
      </c>
      <c r="X163" s="115">
        <f>+VLOOKUP(PROVEEDORES[[#This Row],[ID RETENCION]],Retenciones!$A$1:$O$25,PROVEEDORES[[#This Row],[indicador de columna]],FALSE)</f>
        <v>0</v>
      </c>
      <c r="Y163" s="116">
        <f>+VLOOKUP(PROVEEDORES[[#This Row],[ID RETENCION]],Retenciones!$A$1:$O$25,2,FALSE)</f>
        <v>0</v>
      </c>
      <c r="Z163" s="125" t="b">
        <f>OR(COUNTIF(PROVEEDORES[[#This Row],[PROVEEDOR]],"*"&amp;'Palabra no opera'!$A$2&amp;"*"))</f>
        <v>0</v>
      </c>
      <c r="AA163" s="24"/>
      <c r="AB163" s="24"/>
      <c r="AC163" s="24"/>
      <c r="AD163" s="24"/>
      <c r="AE163" s="24"/>
    </row>
    <row r="164" spans="1:31" ht="22.2" customHeight="1" x14ac:dyDescent="0.3">
      <c r="A164" s="66" t="str">
        <f>+IF(PROVEEDORES[[#This Row],[FECHA DE PAGO]]=PROVEEDORES[[#This Row],[FECHA DE FACTURACIÓN]],"DE CONTADO","CRÉDITO")</f>
        <v>DE CONTADO</v>
      </c>
      <c r="B164" s="38" t="b">
        <f>+IF((PROVEEDORES[[#This Row],[FECHA DE PAGO]]-PROVEEDORES[[#This Row],[FECHA DE FACTURACIÓN]])&gt;PROVEEDORES[[#This Row],[PLAZO Días]],"PAGO VENCIDO")</f>
        <v>0</v>
      </c>
      <c r="C164" s="20">
        <f>+VLOOKUP(PROVEEDORES[[#This Row],[PROVEEDOR]],TERCEROS_INFO[#All],2,FALSE)</f>
        <v>30</v>
      </c>
      <c r="D164" s="25">
        <f>+SUMIFS(PROVEEDORES[Total],PROVEEDORES[PROVEEDOR],PROVEEDORES[[#This Row],[PROVEEDOR]],PROVEEDORES[FECHA DE PAGO],"")</f>
        <v>0</v>
      </c>
      <c r="E164" s="25"/>
      <c r="F164" s="58" t="str">
        <f>+VLOOKUP(PROVEEDORES[[#This Row],[PROVEEDOR]],
                       Terceros!$A:$F,
                       5,
                       FALSE)</f>
        <v/>
      </c>
      <c r="G164" s="161">
        <v>44651</v>
      </c>
      <c r="H164" s="26" t="s">
        <v>644</v>
      </c>
      <c r="I164" s="161">
        <v>44651</v>
      </c>
      <c r="J164" s="35" t="s">
        <v>645</v>
      </c>
      <c r="K164" s="21">
        <v>38200</v>
      </c>
      <c r="L164" s="21"/>
      <c r="M164" s="22">
        <f>(PROVEEDORES[[#This Row],[SUBTOTAL]]-PROVEEDORES[[#This Row],[descuento sobre subtotal]])*VLOOKUP(PROVEEDORES[[#This Row],[PROVEEDOR]],TERCEROS_INFO[#All],3,FALSE)</f>
        <v>0</v>
      </c>
      <c r="N164" s="23"/>
      <c r="O164" s="22">
        <f>+PROVEEDORES[[#This Row],[Descuento sobre subtotal %]]*(PROVEEDORES[[#This Row],[SUBTOTAL]]-PROVEEDORES[[#This Row],[descuento sobre subtotal]])</f>
        <v>0</v>
      </c>
      <c r="P164" s="83">
        <f>+IF(PROVEEDORES[[#This Row],[SUBTOTAL]]&lt;PROVEEDORES[[#This Row],[base retencion]],0,PROVEEDORES[[#This Row],[retención aplicada]])</f>
        <v>0</v>
      </c>
      <c r="Q164" s="22">
        <f>+PROVEEDORES[[#This Row],[Rete Fuente %]]*(PROVEEDORES[[#This Row],[SUBTOTAL]]-PROVEEDORES[[#This Row],[descuento sobre subtotal]])</f>
        <v>0</v>
      </c>
      <c r="R164" s="21">
        <v>38200</v>
      </c>
      <c r="S1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68">
        <f ca="1">IF(PROVEEDORES[[#This Row],[FECHA DE PAGO]]=0,TODAY()-PROVEEDORES[[#This Row],[FECHA DE FACTURACIÓN]]-PROVEEDORES[[#This Row],[PLAZO Días]],0)</f>
        <v>0</v>
      </c>
      <c r="U164" s="96">
        <f>+VLOOKUP(PROVEEDORES[[#This Row],[PROVEEDOR]],Terceros!$A:$D,4,FALSE)</f>
        <v>0</v>
      </c>
      <c r="V164" s="97">
        <f>+YEAR(PROVEEDORES[[#This Row],[FECHA DE FACTURACIÓN]])</f>
        <v>2022</v>
      </c>
      <c r="W164" s="97">
        <f>+MATCH(PROVEEDORES[[#This Row],[año facturado]],Retenciones!$1:$1,0)</f>
        <v>5</v>
      </c>
      <c r="X164" s="98">
        <f>+VLOOKUP(PROVEEDORES[[#This Row],[ID RETENCION]],Retenciones!$A$1:$O$25,PROVEEDORES[[#This Row],[indicador de columna]],FALSE)</f>
        <v>0</v>
      </c>
      <c r="Y164" s="99">
        <f>+VLOOKUP(PROVEEDORES[[#This Row],[ID RETENCION]],Retenciones!$A$1:$O$25,2,FALSE)</f>
        <v>0</v>
      </c>
      <c r="Z164" s="125" t="b">
        <f>OR(COUNTIF(PROVEEDORES[[#This Row],[PROVEEDOR]],"*"&amp;'Palabra no opera'!$A$2&amp;"*"))</f>
        <v>0</v>
      </c>
      <c r="AA164" s="24"/>
      <c r="AB164" s="24"/>
      <c r="AC164" s="24"/>
      <c r="AD164" s="24"/>
      <c r="AE164" s="24"/>
    </row>
    <row r="165" spans="1:31" ht="22.2" customHeight="1" x14ac:dyDescent="0.3">
      <c r="A165" s="66" t="str">
        <f>+IF(PROVEEDORES[[#This Row],[FECHA DE PAGO]]=PROVEEDORES[[#This Row],[FECHA DE FACTURACIÓN]],"DE CONTADO","CRÉDITO")</f>
        <v>DE CONTADO</v>
      </c>
      <c r="B165" s="38" t="b">
        <f>+IF((PROVEEDORES[[#This Row],[FECHA DE PAGO]]-PROVEEDORES[[#This Row],[FECHA DE FACTURACIÓN]])&gt;PROVEEDORES[[#This Row],[PLAZO Días]],"PAGO VENCIDO")</f>
        <v>0</v>
      </c>
      <c r="C165" s="20">
        <f>+VLOOKUP(PROVEEDORES[[#This Row],[PROVEEDOR]],TERCEROS_INFO[#All],2,FALSE)</f>
        <v>30</v>
      </c>
      <c r="D165" s="25">
        <f>+SUMIFS(PROVEEDORES[Total],PROVEEDORES[PROVEEDOR],PROVEEDORES[[#This Row],[PROVEEDOR]],PROVEEDORES[FECHA DE PAGO],"")</f>
        <v>0</v>
      </c>
      <c r="E165" s="25"/>
      <c r="F165" s="58" t="str">
        <f>+VLOOKUP(PROVEEDORES[[#This Row],[PROVEEDOR]],
                       Terceros!$A:$F,
                       5,
                       FALSE)</f>
        <v/>
      </c>
      <c r="G165" s="161">
        <v>44392</v>
      </c>
      <c r="H165" s="26" t="s">
        <v>644</v>
      </c>
      <c r="I165" s="161">
        <v>44392</v>
      </c>
      <c r="J165" s="35" t="s">
        <v>1270</v>
      </c>
      <c r="K165" s="21">
        <v>39000</v>
      </c>
      <c r="L165" s="21"/>
      <c r="M165" s="22">
        <f>(PROVEEDORES[[#This Row],[SUBTOTAL]]-PROVEEDORES[[#This Row],[descuento sobre subtotal]])*VLOOKUP(PROVEEDORES[[#This Row],[PROVEEDOR]],TERCEROS_INFO[#All],3,FALSE)</f>
        <v>0</v>
      </c>
      <c r="N165" s="23"/>
      <c r="O165" s="22">
        <f>+PROVEEDORES[[#This Row],[Descuento sobre subtotal %]]*(PROVEEDORES[[#This Row],[SUBTOTAL]]-PROVEEDORES[[#This Row],[descuento sobre subtotal]])</f>
        <v>0</v>
      </c>
      <c r="P165" s="83">
        <f>+IF(PROVEEDORES[[#This Row],[SUBTOTAL]]&lt;PROVEEDORES[[#This Row],[base retencion]],0,PROVEEDORES[[#This Row],[retención aplicada]])</f>
        <v>0</v>
      </c>
      <c r="Q165" s="22">
        <f>+PROVEEDORES[[#This Row],[Rete Fuente %]]*(PROVEEDORES[[#This Row],[SUBTOTAL]]-PROVEEDORES[[#This Row],[descuento sobre subtotal]])</f>
        <v>0</v>
      </c>
      <c r="R165" s="21">
        <f>+PROVEEDORES[[#This Row],[SUBTOTAL]]+PROVEEDORES[[#This Row],[IVA 19%]]-PROVEEDORES[[#This Row],[descuento sobre subtotal]]-PROVEEDORES[[#This Row],[Descuento sobre subtotal $2]]-PROVEEDORES[[#This Row],[Rete Fuente $]]</f>
        <v>39000</v>
      </c>
      <c r="S1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68">
        <f ca="1">IF(PROVEEDORES[[#This Row],[FECHA DE PAGO]]=0,TODAY()-PROVEEDORES[[#This Row],[FECHA DE FACTURACIÓN]]-PROVEEDORES[[#This Row],[PLAZO Días]],0)</f>
        <v>0</v>
      </c>
      <c r="U165" s="96">
        <f>+VLOOKUP(PROVEEDORES[[#This Row],[PROVEEDOR]],Terceros!$A:$D,4,FALSE)</f>
        <v>0</v>
      </c>
      <c r="V165" s="97">
        <f>+YEAR(PROVEEDORES[[#This Row],[FECHA DE FACTURACIÓN]])</f>
        <v>2021</v>
      </c>
      <c r="W165" s="97">
        <f>+MATCH(PROVEEDORES[[#This Row],[año facturado]],Retenciones!$1:$1,0)</f>
        <v>4</v>
      </c>
      <c r="X165" s="98">
        <f>+VLOOKUP(PROVEEDORES[[#This Row],[ID RETENCION]],Retenciones!$A$1:$O$25,PROVEEDORES[[#This Row],[indicador de columna]],FALSE)</f>
        <v>0</v>
      </c>
      <c r="Y165" s="99">
        <f>+VLOOKUP(PROVEEDORES[[#This Row],[ID RETENCION]],Retenciones!$A$1:$O$25,2,FALSE)</f>
        <v>0</v>
      </c>
      <c r="Z165" s="125" t="b">
        <f>OR(COUNTIF(PROVEEDORES[[#This Row],[PROVEEDOR]],"*"&amp;'Palabra no opera'!$A$2&amp;"*"))</f>
        <v>0</v>
      </c>
      <c r="AA165" s="24"/>
      <c r="AB165" s="24"/>
      <c r="AC165" s="24"/>
      <c r="AD165" s="24"/>
      <c r="AE165" s="24"/>
    </row>
    <row r="166" spans="1:31" ht="22.2" customHeight="1" x14ac:dyDescent="0.3">
      <c r="A166" s="66" t="str">
        <f>+IF(PROVEEDORES[[#This Row],[FECHA DE PAGO]]=PROVEEDORES[[#This Row],[FECHA DE FACTURACIÓN]],"DE CONTADO","CRÉDITO")</f>
        <v>DE CONTADO</v>
      </c>
      <c r="B166" s="38" t="b">
        <f>+IF((PROVEEDORES[[#This Row],[FECHA DE PAGO]]-PROVEEDORES[[#This Row],[FECHA DE FACTURACIÓN]])&gt;PROVEEDORES[[#This Row],[PLAZO Días]],"PAGO VENCIDO")</f>
        <v>0</v>
      </c>
      <c r="C166" s="20">
        <f>+VLOOKUP(PROVEEDORES[[#This Row],[PROVEEDOR]],TERCEROS_INFO[#All],2,FALSE)</f>
        <v>30</v>
      </c>
      <c r="D166" s="25">
        <f>+SUMIFS(PROVEEDORES[Total],PROVEEDORES[PROVEEDOR],PROVEEDORES[[#This Row],[PROVEEDOR]],PROVEEDORES[FECHA DE PAGO],"")</f>
        <v>0</v>
      </c>
      <c r="E166" s="25"/>
      <c r="F166" s="58" t="str">
        <f>+VLOOKUP(PROVEEDORES[[#This Row],[PROVEEDOR]],
                       Terceros!$A:$F,
                       5,
                       FALSE)</f>
        <v/>
      </c>
      <c r="G166" s="161">
        <v>44509</v>
      </c>
      <c r="H166" s="26" t="s">
        <v>644</v>
      </c>
      <c r="I166" s="161">
        <v>44509</v>
      </c>
      <c r="J166" s="35" t="s">
        <v>1344</v>
      </c>
      <c r="K166" s="21">
        <v>40000</v>
      </c>
      <c r="L166" s="21"/>
      <c r="M166" s="22">
        <f>(PROVEEDORES[[#This Row],[SUBTOTAL]]-PROVEEDORES[[#This Row],[descuento sobre subtotal]])*VLOOKUP(PROVEEDORES[[#This Row],[PROVEEDOR]],TERCEROS_INFO[#All],3,FALSE)</f>
        <v>0</v>
      </c>
      <c r="N166" s="23"/>
      <c r="O166" s="22">
        <f>+PROVEEDORES[[#This Row],[Descuento sobre subtotal %]]*(PROVEEDORES[[#This Row],[SUBTOTAL]]-PROVEEDORES[[#This Row],[descuento sobre subtotal]])</f>
        <v>0</v>
      </c>
      <c r="P166" s="83">
        <f>+IF(PROVEEDORES[[#This Row],[SUBTOTAL]]&lt;PROVEEDORES[[#This Row],[base retencion]],0,PROVEEDORES[[#This Row],[retención aplicada]])</f>
        <v>0</v>
      </c>
      <c r="Q166" s="22">
        <f>+PROVEEDORES[[#This Row],[Rete Fuente %]]*(PROVEEDORES[[#This Row],[SUBTOTAL]]-PROVEEDORES[[#This Row],[descuento sobre subtotal]])</f>
        <v>0</v>
      </c>
      <c r="R166" s="21">
        <f>+PROVEEDORES[[#This Row],[SUBTOTAL]]+PROVEEDORES[[#This Row],[IVA 19%]]-PROVEEDORES[[#This Row],[descuento sobre subtotal]]-PROVEEDORES[[#This Row],[Descuento sobre subtotal $2]]-PROVEEDORES[[#This Row],[Rete Fuente $]]</f>
        <v>40000</v>
      </c>
      <c r="S1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68">
        <f ca="1">IF(PROVEEDORES[[#This Row],[FECHA DE PAGO]]=0,TODAY()-PROVEEDORES[[#This Row],[FECHA DE FACTURACIÓN]]-PROVEEDORES[[#This Row],[PLAZO Días]],0)</f>
        <v>0</v>
      </c>
      <c r="U166" s="96">
        <f>+VLOOKUP(PROVEEDORES[[#This Row],[PROVEEDOR]],Terceros!$A:$D,4,FALSE)</f>
        <v>0</v>
      </c>
      <c r="V166" s="97">
        <f>+YEAR(PROVEEDORES[[#This Row],[FECHA DE FACTURACIÓN]])</f>
        <v>2021</v>
      </c>
      <c r="W166" s="97">
        <f>+MATCH(PROVEEDORES[[#This Row],[año facturado]],Retenciones!$1:$1,0)</f>
        <v>4</v>
      </c>
      <c r="X166" s="98">
        <f>+VLOOKUP(PROVEEDORES[[#This Row],[ID RETENCION]],Retenciones!$A$1:$O$25,PROVEEDORES[[#This Row],[indicador de columna]],FALSE)</f>
        <v>0</v>
      </c>
      <c r="Y166" s="99">
        <f>+VLOOKUP(PROVEEDORES[[#This Row],[ID RETENCION]],Retenciones!$A$1:$O$25,2,FALSE)</f>
        <v>0</v>
      </c>
      <c r="Z166" s="125" t="b">
        <f>OR(COUNTIF(PROVEEDORES[[#This Row],[PROVEEDOR]],"*"&amp;'Palabra no opera'!$A$2&amp;"*"))</f>
        <v>0</v>
      </c>
      <c r="AA166" s="24"/>
      <c r="AB166" s="24"/>
      <c r="AC166" s="24"/>
      <c r="AD166" s="24"/>
      <c r="AE166" s="24"/>
    </row>
    <row r="167" spans="1:31" ht="22.2" customHeight="1" x14ac:dyDescent="0.3">
      <c r="A167" s="72" t="str">
        <f>+IF(PROVEEDORES[[#This Row],[FECHA DE PAGO]]=PROVEEDORES[[#This Row],[FECHA DE FACTURACIÓN]],"DE CONTADO","CRÉDITO")</f>
        <v>DE CONTADO</v>
      </c>
      <c r="B167" s="38" t="b">
        <f>+IF((PROVEEDORES[[#This Row],[FECHA DE PAGO]]-PROVEEDORES[[#This Row],[FECHA DE FACTURACIÓN]])&gt;PROVEEDORES[[#This Row],[PLAZO Días]],"PAGO VENCIDO")</f>
        <v>0</v>
      </c>
      <c r="C167" s="20">
        <f>+VLOOKUP(PROVEEDORES[[#This Row],[PROVEEDOR]],TERCEROS_INFO[#All],2,FALSE)</f>
        <v>30</v>
      </c>
      <c r="D167" s="25">
        <f>+SUMIFS(PROVEEDORES[Total],PROVEEDORES[PROVEEDOR],PROVEEDORES[[#This Row],[PROVEEDOR]],PROVEEDORES[FECHA DE PAGO],"")</f>
        <v>0</v>
      </c>
      <c r="E167" s="25"/>
      <c r="F167" s="58" t="str">
        <f>+VLOOKUP(PROVEEDORES[[#This Row],[PROVEEDOR]],
                       Terceros!$A:$F,
                       5,
                       FALSE)</f>
        <v/>
      </c>
      <c r="G167" s="161">
        <v>44742</v>
      </c>
      <c r="H167" s="26" t="s">
        <v>644</v>
      </c>
      <c r="I167" s="161">
        <v>44742</v>
      </c>
      <c r="J167" s="35" t="s">
        <v>945</v>
      </c>
      <c r="K167" s="21">
        <v>40460</v>
      </c>
      <c r="L167" s="21"/>
      <c r="M167" s="22">
        <f>(PROVEEDORES[[#This Row],[SUBTOTAL]]-PROVEEDORES[[#This Row],[descuento sobre subtotal]])*VLOOKUP(PROVEEDORES[[#This Row],[PROVEEDOR]],TERCEROS_INFO[#All],3,FALSE)</f>
        <v>0</v>
      </c>
      <c r="N167" s="23"/>
      <c r="O167" s="22">
        <f>+PROVEEDORES[[#This Row],[Descuento sobre subtotal %]]*(PROVEEDORES[[#This Row],[SUBTOTAL]]-PROVEEDORES[[#This Row],[descuento sobre subtotal]])</f>
        <v>0</v>
      </c>
      <c r="P167" s="83">
        <f>+IF(PROVEEDORES[[#This Row],[SUBTOTAL]]&lt;PROVEEDORES[[#This Row],[base retencion]],0,PROVEEDORES[[#This Row],[retención aplicada]])</f>
        <v>0</v>
      </c>
      <c r="Q167" s="22">
        <f>+PROVEEDORES[[#This Row],[Rete Fuente %]]*(PROVEEDORES[[#This Row],[SUBTOTAL]]-PROVEEDORES[[#This Row],[descuento sobre subtotal]])</f>
        <v>0</v>
      </c>
      <c r="R167" s="21">
        <f>+PROVEEDORES[[#This Row],[SUBTOTAL]]+PROVEEDORES[[#This Row],[IVA 19%]]-PROVEEDORES[[#This Row],[descuento sobre subtotal]]-PROVEEDORES[[#This Row],[Descuento sobre subtotal $2]]-PROVEEDORES[[#This Row],[Rete Fuente $]]</f>
        <v>40460</v>
      </c>
      <c r="S16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68">
        <f ca="1">IF(PROVEEDORES[[#This Row],[FECHA DE PAGO]]=0,TODAY()-PROVEEDORES[[#This Row],[FECHA DE FACTURACIÓN]]-PROVEEDORES[[#This Row],[PLAZO Días]],0)</f>
        <v>0</v>
      </c>
      <c r="U167" s="113">
        <f>+VLOOKUP(PROVEEDORES[[#This Row],[PROVEEDOR]],Terceros!$A:$D,4,FALSE)</f>
        <v>0</v>
      </c>
      <c r="V167" s="114">
        <f>+YEAR(PROVEEDORES[[#This Row],[FECHA DE FACTURACIÓN]])</f>
        <v>2022</v>
      </c>
      <c r="W167" s="114">
        <f>+MATCH(PROVEEDORES[[#This Row],[año facturado]],Retenciones!$1:$1,0)</f>
        <v>5</v>
      </c>
      <c r="X167" s="115">
        <f>+VLOOKUP(PROVEEDORES[[#This Row],[ID RETENCION]],Retenciones!$A$1:$O$25,PROVEEDORES[[#This Row],[indicador de columna]],FALSE)</f>
        <v>0</v>
      </c>
      <c r="Y167" s="116">
        <f>+VLOOKUP(PROVEEDORES[[#This Row],[ID RETENCION]],Retenciones!$A$1:$O$25,2,FALSE)</f>
        <v>0</v>
      </c>
      <c r="Z167" s="125" t="b">
        <f>OR(COUNTIF(PROVEEDORES[[#This Row],[PROVEEDOR]],"*"&amp;'Palabra no opera'!$A$2&amp;"*"))</f>
        <v>0</v>
      </c>
      <c r="AA167" s="24"/>
      <c r="AB167" s="24"/>
      <c r="AC167" s="24"/>
      <c r="AD167" s="24"/>
      <c r="AE167" s="24"/>
    </row>
    <row r="168" spans="1:31" ht="22.2" customHeight="1" x14ac:dyDescent="0.3">
      <c r="A168" s="72" t="str">
        <f>+IF(PROVEEDORES[[#This Row],[FECHA DE PAGO]]=PROVEEDORES[[#This Row],[FECHA DE FACTURACIÓN]],"DE CONTADO","CRÉDITO")</f>
        <v>CRÉDITO</v>
      </c>
      <c r="B168" s="38" t="b">
        <f>+IF((PROVEEDORES[[#This Row],[FECHA DE PAGO]]-PROVEEDORES[[#This Row],[FECHA DE FACTURACIÓN]])&gt;PROVEEDORES[[#This Row],[PLAZO Días]],"PAGO VENCIDO")</f>
        <v>0</v>
      </c>
      <c r="C168" s="20">
        <f>+VLOOKUP(PROVEEDORES[[#This Row],[PROVEEDOR]],TERCEROS_INFO[#All],2,FALSE)</f>
        <v>30</v>
      </c>
      <c r="D168" s="25">
        <f>+SUMIFS(PROVEEDORES[Total],PROVEEDORES[PROVEEDOR],PROVEEDORES[[#This Row],[PROVEEDOR]],PROVEEDORES[FECHA DE PAGO],"")</f>
        <v>430000</v>
      </c>
      <c r="E168" s="25"/>
      <c r="F168" s="58" t="str">
        <f>+VLOOKUP(PROVEEDORES[[#This Row],[PROVEEDOR]],
                       Terceros!$A:$F,
                       5,
                       FALSE)</f>
        <v/>
      </c>
      <c r="H168" s="267" t="s">
        <v>695</v>
      </c>
      <c r="I168" s="161">
        <v>44813</v>
      </c>
      <c r="J168" s="35">
        <v>17</v>
      </c>
      <c r="K168" s="21">
        <v>42000</v>
      </c>
      <c r="L168" s="21"/>
      <c r="M168" s="22">
        <f>(PROVEEDORES[[#This Row],[SUBTOTAL]]-PROVEEDORES[[#This Row],[descuento sobre subtotal]])*VLOOKUP(PROVEEDORES[[#This Row],[PROVEEDOR]],TERCEROS_INFO[#All],3,FALSE)</f>
        <v>0</v>
      </c>
      <c r="N168" s="23"/>
      <c r="O168" s="22">
        <f>+PROVEEDORES[[#This Row],[Descuento sobre subtotal %]]*(PROVEEDORES[[#This Row],[SUBTOTAL]]-PROVEEDORES[[#This Row],[descuento sobre subtotal]])</f>
        <v>0</v>
      </c>
      <c r="P168" s="83">
        <f>+IF(PROVEEDORES[[#This Row],[SUBTOTAL]]&lt;PROVEEDORES[[#This Row],[base retencion]],0,PROVEEDORES[[#This Row],[retención aplicada]])</f>
        <v>0</v>
      </c>
      <c r="Q168" s="22">
        <f>+PROVEEDORES[[#This Row],[Rete Fuente %]]*(PROVEEDORES[[#This Row],[SUBTOTAL]]-PROVEEDORES[[#This Row],[descuento sobre subtotal]])</f>
        <v>0</v>
      </c>
      <c r="R168" s="21">
        <f>+PROVEEDORES[[#This Row],[SUBTOTAL]]+PROVEEDORES[[#This Row],[IVA 19%]]-PROVEEDORES[[#This Row],[descuento sobre subtotal]]-PROVEEDORES[[#This Row],[Descuento sobre subtotal $2]]-PROVEEDORES[[#This Row],[Rete Fuente $]]</f>
        <v>42000</v>
      </c>
      <c r="S168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8" s="68">
        <f ca="1">IF(PROVEEDORES[[#This Row],[FECHA DE PAGO]]=0,TODAY()-PROVEEDORES[[#This Row],[FECHA DE FACTURACIÓN]]-PROVEEDORES[[#This Row],[PLAZO Días]],0)</f>
        <v>32</v>
      </c>
      <c r="U168" s="113">
        <f>+VLOOKUP(PROVEEDORES[[#This Row],[PROVEEDOR]],Terceros!$A:$D,4,FALSE)</f>
        <v>0</v>
      </c>
      <c r="V168" s="114">
        <f>+YEAR(PROVEEDORES[[#This Row],[FECHA DE FACTURACIÓN]])</f>
        <v>2022</v>
      </c>
      <c r="W168" s="114">
        <f>+MATCH(PROVEEDORES[[#This Row],[año facturado]],Retenciones!$1:$1,0)</f>
        <v>5</v>
      </c>
      <c r="X168" s="115">
        <f>+VLOOKUP(PROVEEDORES[[#This Row],[ID RETENCION]],Retenciones!$A$1:$O$25,PROVEEDORES[[#This Row],[indicador de columna]],FALSE)</f>
        <v>0</v>
      </c>
      <c r="Y168" s="116">
        <f>+VLOOKUP(PROVEEDORES[[#This Row],[ID RETENCION]],Retenciones!$A$1:$O$25,2,FALSE)</f>
        <v>0</v>
      </c>
      <c r="Z168" s="125" t="b">
        <f>OR(COUNTIF(PROVEEDORES[[#This Row],[PROVEEDOR]],"*"&amp;'Palabra no opera'!$A$2&amp;"*"))</f>
        <v>0</v>
      </c>
      <c r="AA168" s="24"/>
      <c r="AB168" s="24"/>
      <c r="AC168" s="24"/>
      <c r="AD168" s="24"/>
      <c r="AE168" s="24"/>
    </row>
    <row r="169" spans="1:31" ht="22.2" customHeight="1" x14ac:dyDescent="0.3">
      <c r="A169" s="72" t="str">
        <f>+IF(PROVEEDORES[[#This Row],[FECHA DE PAGO]]=PROVEEDORES[[#This Row],[FECHA DE FACTURACIÓN]],"DE CONTADO","CRÉDITO")</f>
        <v>CRÉDITO</v>
      </c>
      <c r="B169" s="38" t="b">
        <f>+IF((PROVEEDORES[[#This Row],[FECHA DE PAGO]]-PROVEEDORES[[#This Row],[FECHA DE FACTURACIÓN]])&gt;PROVEEDORES[[#This Row],[PLAZO Días]],"PAGO VENCIDO")</f>
        <v>0</v>
      </c>
      <c r="C169" s="20">
        <f>+VLOOKUP(PROVEEDORES[[#This Row],[PROVEEDOR]],TERCEROS_INFO[#All],2,FALSE)</f>
        <v>30</v>
      </c>
      <c r="D169" s="25">
        <f>+SUMIFS(PROVEEDORES[Total],PROVEEDORES[PROVEEDOR],PROVEEDORES[[#This Row],[PROVEEDOR]],PROVEEDORES[FECHA DE PAGO],"")</f>
        <v>2223034.2400000002</v>
      </c>
      <c r="E169" s="25"/>
      <c r="F16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169" s="26" t="s">
        <v>216</v>
      </c>
      <c r="I169" s="161">
        <v>44862</v>
      </c>
      <c r="J169" s="35">
        <v>546708</v>
      </c>
      <c r="K169" s="21">
        <v>37500</v>
      </c>
      <c r="L169" s="21"/>
      <c r="M169" s="22">
        <f>(PROVEEDORES[[#This Row],[SUBTOTAL]]-PROVEEDORES[[#This Row],[descuento sobre subtotal]])*VLOOKUP(PROVEEDORES[[#This Row],[PROVEEDOR]],TERCEROS_INFO[#All],3,FALSE)</f>
        <v>7125</v>
      </c>
      <c r="N169" s="23"/>
      <c r="O169" s="22">
        <f>+PROVEEDORES[[#This Row],[Descuento sobre subtotal %]]*(PROVEEDORES[[#This Row],[SUBTOTAL]]-PROVEEDORES[[#This Row],[descuento sobre subtotal]])</f>
        <v>0</v>
      </c>
      <c r="P169" s="83">
        <f>+IF(PROVEEDORES[[#This Row],[SUBTOTAL]]&lt;PROVEEDORES[[#This Row],[base retencion]],0,PROVEEDORES[[#This Row],[retención aplicada]])</f>
        <v>0</v>
      </c>
      <c r="Q169" s="22">
        <f>+PROVEEDORES[[#This Row],[Rete Fuente %]]*(PROVEEDORES[[#This Row],[SUBTOTAL]]-PROVEEDORES[[#This Row],[descuento sobre subtotal]])</f>
        <v>0</v>
      </c>
      <c r="R169" s="21">
        <f>+PROVEEDORES[[#This Row],[SUBTOTAL]]+PROVEEDORES[[#This Row],[IVA 19%]]-PROVEEDORES[[#This Row],[descuento sobre subtotal]]-PROVEEDORES[[#This Row],[Descuento sobre subtotal $2]]-PROVEEDORES[[#This Row],[Rete Fuente $]]</f>
        <v>44625</v>
      </c>
      <c r="S169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9" s="68">
        <f ca="1">IF(PROVEEDORES[[#This Row],[FECHA DE PAGO]]=0,TODAY()-PROVEEDORES[[#This Row],[FECHA DE FACTURACIÓN]]-PROVEEDORES[[#This Row],[PLAZO Días]],0)</f>
        <v>-17</v>
      </c>
      <c r="U169" s="113" t="str">
        <f>+VLOOKUP(PROVEEDORES[[#This Row],[PROVEEDOR]],Terceros!$A:$D,4,FALSE)</f>
        <v>2,5% con base</v>
      </c>
      <c r="V169" s="114">
        <f>+YEAR(PROVEEDORES[[#This Row],[FECHA DE FACTURACIÓN]])</f>
        <v>2022</v>
      </c>
      <c r="W169" s="114">
        <f>+MATCH(PROVEEDORES[[#This Row],[año facturado]],Retenciones!$1:$1,0)</f>
        <v>5</v>
      </c>
      <c r="X169" s="115">
        <f>+VLOOKUP(PROVEEDORES[[#This Row],[ID RETENCION]],Retenciones!$A$1:$O$25,PROVEEDORES[[#This Row],[indicador de columna]],FALSE)</f>
        <v>1026000</v>
      </c>
      <c r="Y169" s="116">
        <f>+VLOOKUP(PROVEEDORES[[#This Row],[ID RETENCION]],Retenciones!$A$1:$O$25,2,FALSE)</f>
        <v>2.5000000000000001E-2</v>
      </c>
      <c r="Z169" s="125" t="b">
        <f>OR(COUNTIF(PROVEEDORES[[#This Row],[PROVEEDOR]],"*"&amp;'Palabra no opera'!$A$2&amp;"*"))</f>
        <v>0</v>
      </c>
      <c r="AA169" s="24"/>
      <c r="AB169" s="24"/>
      <c r="AC169" s="24"/>
      <c r="AD169" s="24"/>
      <c r="AE169" s="24"/>
    </row>
    <row r="170" spans="1:31" ht="22.2" customHeight="1" x14ac:dyDescent="0.3">
      <c r="A170" s="66" t="str">
        <f>+IF(PROVEEDORES[[#This Row],[FECHA DE PAGO]]=PROVEEDORES[[#This Row],[FECHA DE FACTURACIÓN]],"DE CONTADO","CRÉDITO")</f>
        <v>DE CONTADO</v>
      </c>
      <c r="B170" s="38" t="b">
        <f>+IF((PROVEEDORES[[#This Row],[FECHA DE PAGO]]-PROVEEDORES[[#This Row],[FECHA DE FACTURACIÓN]])&gt;PROVEEDORES[[#This Row],[PLAZO Días]],"PAGO VENCIDO")</f>
        <v>0</v>
      </c>
      <c r="C170" s="20">
        <f>+VLOOKUP(PROVEEDORES[[#This Row],[PROVEEDOR]],TERCEROS_INFO[#All],2,FALSE)</f>
        <v>30</v>
      </c>
      <c r="D170" s="25">
        <f>+SUMIFS(PROVEEDORES[Total],PROVEEDORES[PROVEEDOR],PROVEEDORES[[#This Row],[PROVEEDOR]],PROVEEDORES[FECHA DE PAGO],"")</f>
        <v>0</v>
      </c>
      <c r="E170" s="25"/>
      <c r="F170" s="58" t="str">
        <f>+VLOOKUP(PROVEEDORES[[#This Row],[PROVEEDOR]],
                       Terceros!$A:$F,
                       5,
                       FALSE)</f>
        <v/>
      </c>
      <c r="G170" s="161">
        <v>44620</v>
      </c>
      <c r="H170" s="26" t="s">
        <v>644</v>
      </c>
      <c r="I170" s="161">
        <v>44620</v>
      </c>
      <c r="J170" s="35" t="s">
        <v>596</v>
      </c>
      <c r="K170" s="21">
        <v>45000</v>
      </c>
      <c r="L170" s="21"/>
      <c r="M170" s="22">
        <f>(PROVEEDORES[[#This Row],[SUBTOTAL]]-PROVEEDORES[[#This Row],[descuento sobre subtotal]])*VLOOKUP(PROVEEDORES[[#This Row],[PROVEEDOR]],TERCEROS_INFO[#All],3,FALSE)</f>
        <v>0</v>
      </c>
      <c r="N170" s="23"/>
      <c r="O170" s="22">
        <f>+PROVEEDORES[[#This Row],[Descuento sobre subtotal %]]*(PROVEEDORES[[#This Row],[SUBTOTAL]]-PROVEEDORES[[#This Row],[descuento sobre subtotal]])</f>
        <v>0</v>
      </c>
      <c r="P170" s="83">
        <f>+IF(PROVEEDORES[[#This Row],[SUBTOTAL]]&lt;PROVEEDORES[[#This Row],[base retencion]],0,PROVEEDORES[[#This Row],[retención aplicada]])</f>
        <v>0</v>
      </c>
      <c r="Q170" s="22">
        <f>+PROVEEDORES[[#This Row],[Rete Fuente %]]*(PROVEEDORES[[#This Row],[SUBTOTAL]]-PROVEEDORES[[#This Row],[descuento sobre subtotal]])</f>
        <v>0</v>
      </c>
      <c r="R170" s="21">
        <v>45000</v>
      </c>
      <c r="S1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68">
        <f ca="1">IF(PROVEEDORES[[#This Row],[FECHA DE PAGO]]=0,TODAY()-PROVEEDORES[[#This Row],[FECHA DE FACTURACIÓN]]-PROVEEDORES[[#This Row],[PLAZO Días]],0)</f>
        <v>0</v>
      </c>
      <c r="U170" s="96">
        <f>+VLOOKUP(PROVEEDORES[[#This Row],[PROVEEDOR]],Terceros!$A:$D,4,FALSE)</f>
        <v>0</v>
      </c>
      <c r="V170" s="97">
        <f>+YEAR(PROVEEDORES[[#This Row],[FECHA DE FACTURACIÓN]])</f>
        <v>2022</v>
      </c>
      <c r="W170" s="97">
        <f>+MATCH(PROVEEDORES[[#This Row],[año facturado]],Retenciones!$1:$1,0)</f>
        <v>5</v>
      </c>
      <c r="X170" s="98">
        <f>+VLOOKUP(PROVEEDORES[[#This Row],[ID RETENCION]],Retenciones!$A$1:$O$25,PROVEEDORES[[#This Row],[indicador de columna]],FALSE)</f>
        <v>0</v>
      </c>
      <c r="Y170" s="99">
        <f>+VLOOKUP(PROVEEDORES[[#This Row],[ID RETENCION]],Retenciones!$A$1:$O$25,2,FALSE)</f>
        <v>0</v>
      </c>
      <c r="Z170" s="125" t="b">
        <f>OR(COUNTIF(PROVEEDORES[[#This Row],[PROVEEDOR]],"*"&amp;'Palabra no opera'!$A$2&amp;"*"))</f>
        <v>0</v>
      </c>
      <c r="AA170" s="24"/>
      <c r="AB170" s="24"/>
      <c r="AC170" s="24"/>
      <c r="AD170" s="24"/>
      <c r="AE170" s="24"/>
    </row>
    <row r="171" spans="1:31" ht="22.2" customHeight="1" x14ac:dyDescent="0.3">
      <c r="A171" s="72" t="str">
        <f>+IF(PROVEEDORES[[#This Row],[FECHA DE PAGO]]=PROVEEDORES[[#This Row],[FECHA DE FACTURACIÓN]],"DE CONTADO","CRÉDITO")</f>
        <v>DE CONTADO</v>
      </c>
      <c r="B171" s="38" t="b">
        <f>+IF((PROVEEDORES[[#This Row],[FECHA DE PAGO]]-PROVEEDORES[[#This Row],[FECHA DE FACTURACIÓN]])&gt;PROVEEDORES[[#This Row],[PLAZO Días]],"PAGO VENCIDO")</f>
        <v>0</v>
      </c>
      <c r="C171" s="20">
        <f>+VLOOKUP(PROVEEDORES[[#This Row],[PROVEEDOR]],TERCEROS_INFO[#All],2,FALSE)</f>
        <v>30</v>
      </c>
      <c r="D171" s="25">
        <f>+SUMIFS(PROVEEDORES[Total],PROVEEDORES[PROVEEDOR],PROVEEDORES[[#This Row],[PROVEEDOR]],PROVEEDORES[FECHA DE PAGO],"")</f>
        <v>0</v>
      </c>
      <c r="E171" s="25"/>
      <c r="F171" s="58" t="str">
        <f>+VLOOKUP(PROVEEDORES[[#This Row],[PROVEEDOR]],
                       Terceros!$A:$F,
                       5,
                       FALSE)</f>
        <v/>
      </c>
      <c r="G171" s="161">
        <v>44712</v>
      </c>
      <c r="H171" s="26" t="s">
        <v>644</v>
      </c>
      <c r="I171" s="161">
        <v>44712</v>
      </c>
      <c r="J171" s="35" t="s">
        <v>598</v>
      </c>
      <c r="K171" s="21">
        <v>45000</v>
      </c>
      <c r="L171" s="21"/>
      <c r="M171" s="22">
        <f>(PROVEEDORES[[#This Row],[SUBTOTAL]]-PROVEEDORES[[#This Row],[descuento sobre subtotal]])*VLOOKUP(PROVEEDORES[[#This Row],[PROVEEDOR]],TERCEROS_INFO[#All],3,FALSE)</f>
        <v>0</v>
      </c>
      <c r="N171" s="23"/>
      <c r="O171" s="22">
        <f>+PROVEEDORES[[#This Row],[Descuento sobre subtotal %]]*(PROVEEDORES[[#This Row],[SUBTOTAL]]-PROVEEDORES[[#This Row],[descuento sobre subtotal]])</f>
        <v>0</v>
      </c>
      <c r="P171" s="83">
        <f>+IF(PROVEEDORES[[#This Row],[SUBTOTAL]]&lt;PROVEEDORES[[#This Row],[base retencion]],0,PROVEEDORES[[#This Row],[retención aplicada]])</f>
        <v>0</v>
      </c>
      <c r="Q171" s="22">
        <f>+PROVEEDORES[[#This Row],[Rete Fuente %]]*(PROVEEDORES[[#This Row],[SUBTOTAL]]-PROVEEDORES[[#This Row],[descuento sobre subtotal]])</f>
        <v>0</v>
      </c>
      <c r="R171" s="21">
        <f>+PROVEEDORES[[#This Row],[SUBTOTAL]]+PROVEEDORES[[#This Row],[IVA 19%]]-PROVEEDORES[[#This Row],[descuento sobre subtotal]]-PROVEEDORES[[#This Row],[Descuento sobre subtotal $2]]-PROVEEDORES[[#This Row],[Rete Fuente $]]</f>
        <v>45000</v>
      </c>
      <c r="S17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68">
        <f ca="1">IF(PROVEEDORES[[#This Row],[FECHA DE PAGO]]=0,TODAY()-PROVEEDORES[[#This Row],[FECHA DE FACTURACIÓN]]-PROVEEDORES[[#This Row],[PLAZO Días]],0)</f>
        <v>0</v>
      </c>
      <c r="U171" s="113">
        <f>+VLOOKUP(PROVEEDORES[[#This Row],[PROVEEDOR]],Terceros!$A:$D,4,FALSE)</f>
        <v>0</v>
      </c>
      <c r="V171" s="114">
        <f>+YEAR(PROVEEDORES[[#This Row],[FECHA DE FACTURACIÓN]])</f>
        <v>2022</v>
      </c>
      <c r="W171" s="114">
        <f>+MATCH(PROVEEDORES[[#This Row],[año facturado]],Retenciones!$1:$1,0)</f>
        <v>5</v>
      </c>
      <c r="X171" s="115">
        <f>+VLOOKUP(PROVEEDORES[[#This Row],[ID RETENCION]],Retenciones!$A$1:$O$25,PROVEEDORES[[#This Row],[indicador de columna]],FALSE)</f>
        <v>0</v>
      </c>
      <c r="Y171" s="116">
        <f>+VLOOKUP(PROVEEDORES[[#This Row],[ID RETENCION]],Retenciones!$A$1:$O$25,2,FALSE)</f>
        <v>0</v>
      </c>
      <c r="Z171" s="125" t="b">
        <f>OR(COUNTIF(PROVEEDORES[[#This Row],[PROVEEDOR]],"*"&amp;'Palabra no opera'!$A$2&amp;"*"))</f>
        <v>0</v>
      </c>
      <c r="AA171" s="24"/>
      <c r="AB171" s="24"/>
      <c r="AC171" s="24"/>
      <c r="AD171" s="24"/>
      <c r="AE171" s="24"/>
    </row>
    <row r="172" spans="1:31" ht="22.2" customHeight="1" x14ac:dyDescent="0.3">
      <c r="A172" s="135" t="str">
        <f>+IF(PROVEEDORES[[#This Row],[FECHA DE PAGO]]=PROVEEDORES[[#This Row],[FECHA DE FACTURACIÓN]],"DE CONTADO","CRÉDITO")</f>
        <v>CRÉDITO</v>
      </c>
      <c r="B172" s="38" t="b">
        <f>+IF((PROVEEDORES[[#This Row],[FECHA DE PAGO]]-PROVEEDORES[[#This Row],[FECHA DE FACTURACIÓN]])&gt;PROVEEDORES[[#This Row],[PLAZO Días]],"PAGO VENCIDO")</f>
        <v>0</v>
      </c>
      <c r="C172" s="20">
        <f>+VLOOKUP(PROVEEDORES[[#This Row],[PROVEEDOR]],TERCEROS_INFO[#All],2,FALSE)</f>
        <v>30</v>
      </c>
      <c r="D172" s="25">
        <f>+SUMIFS(PROVEEDORES[Total],PROVEEDORES[PROVEEDOR],PROVEEDORES[[#This Row],[PROVEEDOR]],PROVEEDORES[FECHA DE PAGO],"")</f>
        <v>0</v>
      </c>
      <c r="E172" s="25"/>
      <c r="F17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2" s="161">
        <v>44699</v>
      </c>
      <c r="H172" s="26" t="s">
        <v>913</v>
      </c>
      <c r="I172" s="161">
        <v>44682</v>
      </c>
      <c r="J172" s="35" t="s">
        <v>955</v>
      </c>
      <c r="K172" s="21">
        <v>39533</v>
      </c>
      <c r="L172" s="21"/>
      <c r="M172" s="22">
        <f>(PROVEEDORES[[#This Row],[SUBTOTAL]]-PROVEEDORES[[#This Row],[descuento sobre subtotal]])*VLOOKUP(PROVEEDORES[[#This Row],[PROVEEDOR]],TERCEROS_INFO[#All],3,FALSE)</f>
        <v>7511.27</v>
      </c>
      <c r="N172" s="23"/>
      <c r="O172" s="22">
        <f>+PROVEEDORES[[#This Row],[Descuento sobre subtotal %]]*(PROVEEDORES[[#This Row],[SUBTOTAL]]-PROVEEDORES[[#This Row],[descuento sobre subtotal]])</f>
        <v>0</v>
      </c>
      <c r="P172" s="83">
        <f>+IF(PROVEEDORES[[#This Row],[SUBTOTAL]]&lt;PROVEEDORES[[#This Row],[base retencion]],0,PROVEEDORES[[#This Row],[retención aplicada]])</f>
        <v>0</v>
      </c>
      <c r="Q172" s="22">
        <f>+PROVEEDORES[[#This Row],[Rete Fuente %]]*(PROVEEDORES[[#This Row],[SUBTOTAL]]-PROVEEDORES[[#This Row],[descuento sobre subtotal]])</f>
        <v>0</v>
      </c>
      <c r="R172" s="21">
        <f>+PROVEEDORES[[#This Row],[SUBTOTAL]]+PROVEEDORES[[#This Row],[IVA 19%]]-PROVEEDORES[[#This Row],[descuento sobre subtotal]]-PROVEEDORES[[#This Row],[Descuento sobre subtotal $2]]-PROVEEDORES[[#This Row],[Rete Fuente $]]</f>
        <v>47044.270000000004</v>
      </c>
      <c r="S17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68">
        <f ca="1">IF(PROVEEDORES[[#This Row],[FECHA DE PAGO]]=0,TODAY()-PROVEEDORES[[#This Row],[FECHA DE FACTURACIÓN]]-PROVEEDORES[[#This Row],[PLAZO Días]],0)</f>
        <v>0</v>
      </c>
      <c r="U172" s="113">
        <f>+VLOOKUP(PROVEEDORES[[#This Row],[PROVEEDOR]],Terceros!$A:$D,4,FALSE)</f>
        <v>0</v>
      </c>
      <c r="V172" s="114">
        <f>+YEAR(PROVEEDORES[[#This Row],[FECHA DE FACTURACIÓN]])</f>
        <v>2022</v>
      </c>
      <c r="W172" s="114">
        <f>+MATCH(PROVEEDORES[[#This Row],[año facturado]],Retenciones!$1:$1,0)</f>
        <v>5</v>
      </c>
      <c r="X172" s="115">
        <f>+VLOOKUP(PROVEEDORES[[#This Row],[ID RETENCION]],Retenciones!$A$1:$O$25,PROVEEDORES[[#This Row],[indicador de columna]],FALSE)</f>
        <v>0</v>
      </c>
      <c r="Y172" s="116">
        <f>+VLOOKUP(PROVEEDORES[[#This Row],[ID RETENCION]],Retenciones!$A$1:$O$25,2,FALSE)</f>
        <v>0</v>
      </c>
      <c r="Z172" s="125" t="b">
        <f>OR(COUNTIF(PROVEEDORES[[#This Row],[PROVEEDOR]],"*"&amp;'Palabra no opera'!$A$2&amp;"*"))</f>
        <v>1</v>
      </c>
      <c r="AA172" s="24"/>
      <c r="AB172" s="24"/>
      <c r="AC172" s="24"/>
      <c r="AD172" s="24"/>
      <c r="AE172" s="24"/>
    </row>
    <row r="173" spans="1:31" ht="22.2" customHeight="1" x14ac:dyDescent="0.3">
      <c r="A173" s="66" t="str">
        <f>+IF(PROVEEDORES[[#This Row],[FECHA DE PAGO]]=PROVEEDORES[[#This Row],[FECHA DE FACTURACIÓN]],"DE CONTADO","CRÉDITO")</f>
        <v>CRÉDITO</v>
      </c>
      <c r="B173" s="38" t="str">
        <f>+IF((PROVEEDORES[[#This Row],[FECHA DE PAGO]]-PROVEEDORES[[#This Row],[FECHA DE FACTURACIÓN]])&gt;PROVEEDORES[[#This Row],[PLAZO Días]],"PAGO VENCIDO")</f>
        <v>PAGO VENCIDO</v>
      </c>
      <c r="C173" s="20">
        <f>+VLOOKUP(PROVEEDORES[[#This Row],[PROVEEDOR]],TERCEROS_INFO[#All],2,FALSE)</f>
        <v>20</v>
      </c>
      <c r="D173" s="25">
        <f>+SUMIFS(PROVEEDORES[Total],PROVEEDORES[PROVEEDOR],PROVEEDORES[[#This Row],[PROVEEDOR]],PROVEEDORES[FECHA DE PAGO],"")</f>
        <v>0</v>
      </c>
      <c r="E173" s="25"/>
      <c r="F17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73" s="161">
        <v>44678</v>
      </c>
      <c r="H173" s="26" t="s">
        <v>942</v>
      </c>
      <c r="I173" s="161">
        <v>44652</v>
      </c>
      <c r="J173" s="35" t="s">
        <v>894</v>
      </c>
      <c r="K173" s="21">
        <v>0</v>
      </c>
      <c r="L173" s="21"/>
      <c r="M173" s="22">
        <f>(PROVEEDORES[[#This Row],[SUBTOTAL]]-PROVEEDORES[[#This Row],[descuento sobre subtotal]])*VLOOKUP(PROVEEDORES[[#This Row],[PROVEEDOR]],TERCEROS_INFO[#All],3,FALSE)</f>
        <v>0</v>
      </c>
      <c r="N173" s="23"/>
      <c r="O173" s="22">
        <f>+PROVEEDORES[[#This Row],[Descuento sobre subtotal %]]*(PROVEEDORES[[#This Row],[SUBTOTAL]]-PROVEEDORES[[#This Row],[descuento sobre subtotal]])</f>
        <v>0</v>
      </c>
      <c r="P173" s="83">
        <f>+IF(PROVEEDORES[[#This Row],[SUBTOTAL]]&lt;PROVEEDORES[[#This Row],[base retencion]],0,PROVEEDORES[[#This Row],[retención aplicada]])</f>
        <v>3.5000000000000003E-2</v>
      </c>
      <c r="Q173" s="22">
        <f>+PROVEEDORES[[#This Row],[Rete Fuente %]]*(PROVEEDORES[[#This Row],[SUBTOTAL]]-PROVEEDORES[[#This Row],[descuento sobre subtotal]])</f>
        <v>0</v>
      </c>
      <c r="R173" s="21">
        <v>47260</v>
      </c>
      <c r="S1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68">
        <f ca="1">IF(PROVEEDORES[[#This Row],[FECHA DE PAGO]]=0,TODAY()-PROVEEDORES[[#This Row],[FECHA DE FACTURACIÓN]]-PROVEEDORES[[#This Row],[PLAZO Días]],0)</f>
        <v>0</v>
      </c>
      <c r="U173" s="96" t="str">
        <f>+VLOOKUP(PROVEEDORES[[#This Row],[PROVEEDOR]],Terceros!$A:$D,4,FALSE)</f>
        <v>3,5% sin base</v>
      </c>
      <c r="V173" s="97">
        <f>+YEAR(PROVEEDORES[[#This Row],[FECHA DE FACTURACIÓN]])</f>
        <v>2022</v>
      </c>
      <c r="W173" s="97">
        <f>+MATCH(PROVEEDORES[[#This Row],[año facturado]],Retenciones!$1:$1,0)</f>
        <v>5</v>
      </c>
      <c r="X173" s="98">
        <f>+VLOOKUP(PROVEEDORES[[#This Row],[ID RETENCION]],Retenciones!$A$1:$O$25,PROVEEDORES[[#This Row],[indicador de columna]],FALSE)</f>
        <v>0</v>
      </c>
      <c r="Y173" s="99">
        <f>+VLOOKUP(PROVEEDORES[[#This Row],[ID RETENCION]],Retenciones!$A$1:$O$25,2,FALSE)</f>
        <v>3.5000000000000003E-2</v>
      </c>
      <c r="Z173" s="127" t="b">
        <f>OR(COUNTIF(PROVEEDORES[[#This Row],[PROVEEDOR]],"*"&amp;'Palabra no opera'!$A$2&amp;"*"))</f>
        <v>1</v>
      </c>
      <c r="AA173" s="24"/>
      <c r="AB173" s="24"/>
      <c r="AC173" s="24"/>
      <c r="AD173" s="24"/>
      <c r="AE173" s="24"/>
    </row>
    <row r="174" spans="1:31" ht="22.2" customHeight="1" x14ac:dyDescent="0.3">
      <c r="A174" s="207" t="str">
        <f>+IF(PROVEEDORES[[#This Row],[FECHA DE PAGO]]=PROVEEDORES[[#This Row],[FECHA DE FACTURACIÓN]],"DE CONTADO","CRÉDITO")</f>
        <v>CRÉDITO</v>
      </c>
      <c r="B174" s="38" t="str">
        <f>+IF((PROVEEDORES[[#This Row],[FECHA DE PAGO]]-PROVEEDORES[[#This Row],[FECHA DE FACTURACIÓN]])&gt;PROVEEDORES[[#This Row],[PLAZO Días]],"PAGO VENCIDO")</f>
        <v>PAGO VENCIDO</v>
      </c>
      <c r="C174" s="20">
        <f>+VLOOKUP(PROVEEDORES[[#This Row],[PROVEEDOR]],TERCEROS_INFO[#All],2,FALSE)</f>
        <v>30</v>
      </c>
      <c r="D174" s="25">
        <f>+SUMIFS(PROVEEDORES[Total],PROVEEDORES[PROVEEDOR],PROVEEDORES[[#This Row],[PROVEEDOR]],PROVEEDORES[FECHA DE PAGO],"")</f>
        <v>0</v>
      </c>
      <c r="E174" s="25"/>
      <c r="F17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74" s="161">
        <v>44867</v>
      </c>
      <c r="H174" s="267" t="s">
        <v>691</v>
      </c>
      <c r="I174" s="161">
        <v>44781</v>
      </c>
      <c r="J174" s="35" t="s">
        <v>1431</v>
      </c>
      <c r="K174" s="21">
        <v>49400</v>
      </c>
      <c r="L174" s="21"/>
      <c r="M174" s="22">
        <f>(PROVEEDORES[[#This Row],[SUBTOTAL]]-PROVEEDORES[[#This Row],[descuento sobre subtotal]])*VLOOKUP(PROVEEDORES[[#This Row],[PROVEEDOR]],TERCEROS_INFO[#All],3,FALSE)</f>
        <v>0</v>
      </c>
      <c r="N174" s="23"/>
      <c r="O174" s="22">
        <f>+PROVEEDORES[[#This Row],[Descuento sobre subtotal %]]*(PROVEEDORES[[#This Row],[SUBTOTAL]]-PROVEEDORES[[#This Row],[descuento sobre subtotal]])</f>
        <v>0</v>
      </c>
      <c r="P174" s="83">
        <f>+IF(PROVEEDORES[[#This Row],[SUBTOTAL]]&lt;PROVEEDORES[[#This Row],[base retencion]],0,PROVEEDORES[[#This Row],[retención aplicada]])</f>
        <v>0</v>
      </c>
      <c r="Q174" s="22">
        <f>+PROVEEDORES[[#This Row],[Rete Fuente %]]*(PROVEEDORES[[#This Row],[SUBTOTAL]]-PROVEEDORES[[#This Row],[descuento sobre subtotal]])</f>
        <v>0</v>
      </c>
      <c r="R174" s="21">
        <f>+PROVEEDORES[[#This Row],[SUBTOTAL]]+PROVEEDORES[[#This Row],[IVA 19%]]-PROVEEDORES[[#This Row],[descuento sobre subtotal]]-PROVEEDORES[[#This Row],[Descuento sobre subtotal $2]]-PROVEEDORES[[#This Row],[Rete Fuente $]]</f>
        <v>49400</v>
      </c>
      <c r="S174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68">
        <f ca="1">IF(PROVEEDORES[[#This Row],[FECHA DE PAGO]]=0,TODAY()-PROVEEDORES[[#This Row],[FECHA DE FACTURACIÓN]]-PROVEEDORES[[#This Row],[PLAZO Días]],0)</f>
        <v>0</v>
      </c>
      <c r="U174" s="113">
        <f>+VLOOKUP(PROVEEDORES[[#This Row],[PROVEEDOR]],Terceros!$A:$D,4,FALSE)</f>
        <v>0</v>
      </c>
      <c r="V174" s="114">
        <f>+YEAR(PROVEEDORES[[#This Row],[FECHA DE FACTURACIÓN]])</f>
        <v>2022</v>
      </c>
      <c r="W174" s="114">
        <f>+MATCH(PROVEEDORES[[#This Row],[año facturado]],Retenciones!$1:$1,0)</f>
        <v>5</v>
      </c>
      <c r="X174" s="115">
        <f>+VLOOKUP(PROVEEDORES[[#This Row],[ID RETENCION]],Retenciones!$A$1:$O$25,PROVEEDORES[[#This Row],[indicador de columna]],FALSE)</f>
        <v>0</v>
      </c>
      <c r="Y174" s="116">
        <f>+VLOOKUP(PROVEEDORES[[#This Row],[ID RETENCION]],Retenciones!$A$1:$O$25,2,FALSE)</f>
        <v>0</v>
      </c>
      <c r="Z174" s="125" t="b">
        <f>OR(COUNTIF(PROVEEDORES[[#This Row],[PROVEEDOR]],"*"&amp;'Palabra no opera'!$A$2&amp;"*"))</f>
        <v>0</v>
      </c>
      <c r="AA174" s="24"/>
      <c r="AB174" s="24"/>
      <c r="AC174" s="24"/>
      <c r="AD174" s="24"/>
      <c r="AE174" s="24"/>
    </row>
    <row r="175" spans="1:31" ht="22.2" customHeight="1" x14ac:dyDescent="0.3">
      <c r="A175" s="66" t="str">
        <f>+IF(PROVEEDORES[[#This Row],[FECHA DE PAGO]]=PROVEEDORES[[#This Row],[FECHA DE FACTURACIÓN]],"DE CONTADO","CRÉDITO")</f>
        <v>DE CONTADO</v>
      </c>
      <c r="B175" s="38" t="b">
        <f>+IF((PROVEEDORES[[#This Row],[FECHA DE PAGO]]-PROVEEDORES[[#This Row],[FECHA DE FACTURACIÓN]])&gt;PROVEEDORES[[#This Row],[PLAZO Días]],"PAGO VENCIDO")</f>
        <v>0</v>
      </c>
      <c r="C175" s="20">
        <f>+VLOOKUP(PROVEEDORES[[#This Row],[PROVEEDOR]],TERCEROS_INFO[#All],2,FALSE)</f>
        <v>30</v>
      </c>
      <c r="D175" s="25">
        <f>+SUMIFS(PROVEEDORES[Total],PROVEEDORES[PROVEEDOR],PROVEEDORES[[#This Row],[PROVEEDOR]],PROVEEDORES[FECHA DE PAGO],"")</f>
        <v>0</v>
      </c>
      <c r="E175" s="25"/>
      <c r="F175" s="58" t="str">
        <f>+VLOOKUP(PROVEEDORES[[#This Row],[PROVEEDOR]],
                       Terceros!$A:$F,
                       5,
                       FALSE)</f>
        <v/>
      </c>
      <c r="G175" s="161">
        <v>44440</v>
      </c>
      <c r="H175" s="26" t="s">
        <v>644</v>
      </c>
      <c r="I175" s="161">
        <v>44440</v>
      </c>
      <c r="J175" s="35" t="s">
        <v>1296</v>
      </c>
      <c r="K175" s="21">
        <v>50000</v>
      </c>
      <c r="L175" s="21"/>
      <c r="M175" s="22">
        <f>(PROVEEDORES[[#This Row],[SUBTOTAL]]-PROVEEDORES[[#This Row],[descuento sobre subtotal]])*VLOOKUP(PROVEEDORES[[#This Row],[PROVEEDOR]],TERCEROS_INFO[#All],3,FALSE)</f>
        <v>0</v>
      </c>
      <c r="N175" s="23"/>
      <c r="O175" s="22">
        <f>+PROVEEDORES[[#This Row],[Descuento sobre subtotal %]]*(PROVEEDORES[[#This Row],[SUBTOTAL]]-PROVEEDORES[[#This Row],[descuento sobre subtotal]])</f>
        <v>0</v>
      </c>
      <c r="P175" s="83">
        <f>+IF(PROVEEDORES[[#This Row],[SUBTOTAL]]&lt;PROVEEDORES[[#This Row],[base retencion]],0,PROVEEDORES[[#This Row],[retención aplicada]])</f>
        <v>0</v>
      </c>
      <c r="Q175" s="22">
        <f>+PROVEEDORES[[#This Row],[Rete Fuente %]]*(PROVEEDORES[[#This Row],[SUBTOTAL]]-PROVEEDORES[[#This Row],[descuento sobre subtotal]])</f>
        <v>0</v>
      </c>
      <c r="R175" s="21">
        <f>+PROVEEDORES[[#This Row],[SUBTOTAL]]+PROVEEDORES[[#This Row],[IVA 19%]]-PROVEEDORES[[#This Row],[descuento sobre subtotal]]-PROVEEDORES[[#This Row],[Descuento sobre subtotal $2]]-PROVEEDORES[[#This Row],[Rete Fuente $]]</f>
        <v>50000</v>
      </c>
      <c r="S1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68">
        <f ca="1">IF(PROVEEDORES[[#This Row],[FECHA DE PAGO]]=0,TODAY()-PROVEEDORES[[#This Row],[FECHA DE FACTURACIÓN]]-PROVEEDORES[[#This Row],[PLAZO Días]],0)</f>
        <v>0</v>
      </c>
      <c r="U175" s="96">
        <f>+VLOOKUP(PROVEEDORES[[#This Row],[PROVEEDOR]],Terceros!$A:$D,4,FALSE)</f>
        <v>0</v>
      </c>
      <c r="V175" s="97">
        <f>+YEAR(PROVEEDORES[[#This Row],[FECHA DE FACTURACIÓN]])</f>
        <v>2021</v>
      </c>
      <c r="W175" s="97">
        <f>+MATCH(PROVEEDORES[[#This Row],[año facturado]],Retenciones!$1:$1,0)</f>
        <v>4</v>
      </c>
      <c r="X175" s="98">
        <f>+VLOOKUP(PROVEEDORES[[#This Row],[ID RETENCION]],Retenciones!$A$1:$O$25,PROVEEDORES[[#This Row],[indicador de columna]],FALSE)</f>
        <v>0</v>
      </c>
      <c r="Y175" s="99">
        <f>+VLOOKUP(PROVEEDORES[[#This Row],[ID RETENCION]],Retenciones!$A$1:$O$25,2,FALSE)</f>
        <v>0</v>
      </c>
      <c r="Z175" s="125" t="b">
        <f>OR(COUNTIF(PROVEEDORES[[#This Row],[PROVEEDOR]],"*"&amp;'Palabra no opera'!$A$2&amp;"*"))</f>
        <v>0</v>
      </c>
      <c r="AA175" s="24"/>
      <c r="AB175" s="24"/>
      <c r="AC175" s="24"/>
      <c r="AD175" s="24"/>
      <c r="AE175" s="24"/>
    </row>
    <row r="176" spans="1:31" ht="22.2" customHeight="1" x14ac:dyDescent="0.3">
      <c r="A176" s="66" t="str">
        <f>+IF(PROVEEDORES[[#This Row],[FECHA DE PAGO]]=PROVEEDORES[[#This Row],[FECHA DE FACTURACIÓN]],"DE CONTADO","CRÉDITO")</f>
        <v>DE CONTADO</v>
      </c>
      <c r="B176" s="38" t="b">
        <f>+IF((PROVEEDORES[[#This Row],[FECHA DE PAGO]]-PROVEEDORES[[#This Row],[FECHA DE FACTURACIÓN]])&gt;PROVEEDORES[[#This Row],[PLAZO Días]],"PAGO VENCIDO")</f>
        <v>0</v>
      </c>
      <c r="C176" s="20">
        <f>+VLOOKUP(PROVEEDORES[[#This Row],[PROVEEDOR]],TERCEROS_INFO[#All],2,FALSE)</f>
        <v>30</v>
      </c>
      <c r="D176" s="25">
        <f>+SUMIFS(PROVEEDORES[Total],PROVEEDORES[PROVEEDOR],PROVEEDORES[[#This Row],[PROVEEDOR]],PROVEEDORES[FECHA DE PAGO],"")</f>
        <v>0</v>
      </c>
      <c r="E176" s="25"/>
      <c r="F176" s="58" t="str">
        <f>+VLOOKUP(PROVEEDORES[[#This Row],[PROVEEDOR]],
                       Terceros!$A:$F,
                       5,
                       FALSE)</f>
        <v/>
      </c>
      <c r="G176" s="161">
        <v>44565</v>
      </c>
      <c r="H176" s="26" t="s">
        <v>37</v>
      </c>
      <c r="I176" s="161">
        <v>44565</v>
      </c>
      <c r="J176" s="35">
        <v>13042</v>
      </c>
      <c r="K176" s="21">
        <v>42840</v>
      </c>
      <c r="L176" s="21"/>
      <c r="M176" s="22">
        <v>8139.6</v>
      </c>
      <c r="N176" s="23"/>
      <c r="O176" s="22">
        <v>0</v>
      </c>
      <c r="P176" s="83">
        <f>+IF(PROVEEDORES[[#This Row],[SUBTOTAL]]&lt;PROVEEDORES[[#This Row],[base retencion]],0,PROVEEDORES[[#This Row],[retención aplicada]])</f>
        <v>0</v>
      </c>
      <c r="Q176" s="22">
        <f>+PROVEEDORES[[#This Row],[Rete Fuente %]]*(PROVEEDORES[[#This Row],[SUBTOTAL]]-PROVEEDORES[[#This Row],[descuento sobre subtotal]])</f>
        <v>0</v>
      </c>
      <c r="R176" s="21">
        <v>50979.6</v>
      </c>
      <c r="S1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68">
        <f ca="1">IF(PROVEEDORES[[#This Row],[FECHA DE PAGO]]=0,TODAY()-PROVEEDORES[[#This Row],[FECHA DE FACTURACIÓN]]-PROVEEDORES[[#This Row],[PLAZO Días]],0)</f>
        <v>0</v>
      </c>
      <c r="U176" s="96" t="str">
        <f>+VLOOKUP(PROVEEDORES[[#This Row],[PROVEEDOR]],Terceros!$A:$D,4,FALSE)</f>
        <v>2,5% con base</v>
      </c>
      <c r="V176" s="97">
        <f>+YEAR(PROVEEDORES[[#This Row],[FECHA DE FACTURACIÓN]])</f>
        <v>2022</v>
      </c>
      <c r="W176" s="97">
        <f>+MATCH(PROVEEDORES[[#This Row],[año facturado]],Retenciones!$1:$1,0)</f>
        <v>5</v>
      </c>
      <c r="X176" s="98">
        <f>+VLOOKUP(PROVEEDORES[[#This Row],[ID RETENCION]],Retenciones!$A$1:$O$25,PROVEEDORES[[#This Row],[indicador de columna]],FALSE)</f>
        <v>1026000</v>
      </c>
      <c r="Y176" s="99">
        <f>+VLOOKUP(PROVEEDORES[[#This Row],[ID RETENCION]],Retenciones!$A$1:$O$25,2,FALSE)</f>
        <v>2.5000000000000001E-2</v>
      </c>
      <c r="Z176" s="125" t="b">
        <f>OR(COUNTIF(PROVEEDORES[[#This Row],[PROVEEDOR]],"*"&amp;'Palabra no opera'!$A$2&amp;"*"))</f>
        <v>0</v>
      </c>
      <c r="AA176" s="24"/>
      <c r="AB176" s="24"/>
      <c r="AC176" s="24"/>
      <c r="AD176" s="24"/>
      <c r="AE176" s="24"/>
    </row>
    <row r="177" spans="1:31" ht="22.2" customHeight="1" x14ac:dyDescent="0.3">
      <c r="A177" s="123" t="str">
        <f>+IF(PROVEEDORES[[#This Row],[FECHA DE PAGO]]=PROVEEDORES[[#This Row],[FECHA DE FACTURACIÓN]],"DE CONTADO","CRÉDITO")</f>
        <v>CRÉDITO</v>
      </c>
      <c r="B177" s="38" t="str">
        <f>+IF((PROVEEDORES[[#This Row],[FECHA DE PAGO]]-PROVEEDORES[[#This Row],[FECHA DE FACTURACIÓN]])&gt;PROVEEDORES[[#This Row],[PLAZO Días]],"PAGO VENCIDO")</f>
        <v>PAGO VENCIDO</v>
      </c>
      <c r="C177" s="20">
        <f>+VLOOKUP(PROVEEDORES[[#This Row],[PROVEEDOR]],TERCEROS_INFO[#All],2,FALSE)</f>
        <v>30</v>
      </c>
      <c r="D177" s="25">
        <f>+SUMIFS(PROVEEDORES[Total],PROVEEDORES[PROVEEDOR],PROVEEDORES[[#This Row],[PROVEEDOR]],PROVEEDORES[FECHA DE PAGO],"")</f>
        <v>0</v>
      </c>
      <c r="E177" s="25"/>
      <c r="F17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7" s="161">
        <v>44690</v>
      </c>
      <c r="H177" s="26" t="s">
        <v>118</v>
      </c>
      <c r="I177" s="161">
        <v>44645</v>
      </c>
      <c r="J177" s="35" t="s">
        <v>944</v>
      </c>
      <c r="K177" s="21">
        <v>51495</v>
      </c>
      <c r="L177" s="21"/>
      <c r="M177" s="22">
        <f>(PROVEEDORES[[#This Row],[SUBTOTAL]]-PROVEEDORES[[#This Row],[descuento sobre subtotal]])*VLOOKUP(PROVEEDORES[[#This Row],[PROVEEDOR]],TERCEROS_INFO[#All],3,FALSE)</f>
        <v>0</v>
      </c>
      <c r="N177" s="23"/>
      <c r="O177" s="22">
        <f>+PROVEEDORES[[#This Row],[Descuento sobre subtotal %]]*(PROVEEDORES[[#This Row],[SUBTOTAL]]-PROVEEDORES[[#This Row],[descuento sobre subtotal]])</f>
        <v>0</v>
      </c>
      <c r="P177" s="83">
        <f>+IF(PROVEEDORES[[#This Row],[SUBTOTAL]]&lt;PROVEEDORES[[#This Row],[base retencion]],0,PROVEEDORES[[#This Row],[retención aplicada]])</f>
        <v>0</v>
      </c>
      <c r="Q177" s="22">
        <f>+PROVEEDORES[[#This Row],[Rete Fuente %]]*(PROVEEDORES[[#This Row],[SUBTOTAL]]-PROVEEDORES[[#This Row],[descuento sobre subtotal]])</f>
        <v>0</v>
      </c>
      <c r="R177" s="21">
        <f>+PROVEEDORES[[#This Row],[SUBTOTAL]]+PROVEEDORES[[#This Row],[IVA 19%]]-PROVEEDORES[[#This Row],[descuento sobre subtotal]]-PROVEEDORES[[#This Row],[Descuento sobre subtotal $2]]-PROVEEDORES[[#This Row],[Rete Fuente $]]</f>
        <v>51495</v>
      </c>
      <c r="S177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68">
        <f ca="1">IF(PROVEEDORES[[#This Row],[FECHA DE PAGO]]=0,TODAY()-PROVEEDORES[[#This Row],[FECHA DE FACTURACIÓN]]-PROVEEDORES[[#This Row],[PLAZO Días]],0)</f>
        <v>0</v>
      </c>
      <c r="U177" s="113">
        <f>+VLOOKUP(PROVEEDORES[[#This Row],[PROVEEDOR]],Terceros!$A:$D,4,FALSE)</f>
        <v>0</v>
      </c>
      <c r="V177" s="114">
        <f>+YEAR(PROVEEDORES[[#This Row],[FECHA DE FACTURACIÓN]])</f>
        <v>2022</v>
      </c>
      <c r="W177" s="114">
        <f>+MATCH(PROVEEDORES[[#This Row],[año facturado]],Retenciones!$1:$1,0)</f>
        <v>5</v>
      </c>
      <c r="X177" s="115">
        <f>+VLOOKUP(PROVEEDORES[[#This Row],[ID RETENCION]],Retenciones!$A$1:$O$25,PROVEEDORES[[#This Row],[indicador de columna]],FALSE)</f>
        <v>0</v>
      </c>
      <c r="Y177" s="116">
        <f>+VLOOKUP(PROVEEDORES[[#This Row],[ID RETENCION]],Retenciones!$A$1:$O$25,2,FALSE)</f>
        <v>0</v>
      </c>
      <c r="Z177" s="125" t="b">
        <f>OR(COUNTIF(PROVEEDORES[[#This Row],[PROVEEDOR]],"*"&amp;'Palabra no opera'!$A$2&amp;"*"))</f>
        <v>0</v>
      </c>
      <c r="AA177" s="24"/>
      <c r="AB177" s="24"/>
      <c r="AC177" s="24"/>
      <c r="AD177" s="24"/>
      <c r="AE177" s="24"/>
    </row>
    <row r="178" spans="1:31" ht="22.2" customHeight="1" x14ac:dyDescent="0.3">
      <c r="A178" s="66" t="str">
        <f>+IF(PROVEEDORES[[#This Row],[FECHA DE PAGO]]=PROVEEDORES[[#This Row],[FECHA DE FACTURACIÓN]],"DE CONTADO","CRÉDITO")</f>
        <v>CRÉDITO</v>
      </c>
      <c r="B178" s="38" t="str">
        <f>+IF((PROVEEDORES[[#This Row],[FECHA DE PAGO]]-PROVEEDORES[[#This Row],[FECHA DE FACTURACIÓN]])&gt;PROVEEDORES[[#This Row],[PLAZO Días]],"PAGO VENCIDO")</f>
        <v>PAGO VENCIDO</v>
      </c>
      <c r="C178" s="20">
        <f>+VLOOKUP(PROVEEDORES[[#This Row],[PROVEEDOR]],TERCEROS_INFO[#All],2,FALSE)</f>
        <v>30</v>
      </c>
      <c r="D178" s="25">
        <f>+SUMIFS(PROVEEDORES[Total],PROVEEDORES[PROVEEDOR],PROVEEDORES[[#This Row],[PROVEEDOR]],PROVEEDORES[FECHA DE PAGO],"")</f>
        <v>0</v>
      </c>
      <c r="E178" s="25"/>
      <c r="F17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8" s="161">
        <v>44264</v>
      </c>
      <c r="H178" s="26" t="s">
        <v>20</v>
      </c>
      <c r="I178" s="161">
        <v>44229</v>
      </c>
      <c r="J178" s="35">
        <v>3224</v>
      </c>
      <c r="K178" s="21">
        <v>43740</v>
      </c>
      <c r="L178" s="21"/>
      <c r="M178" s="22">
        <f>(PROVEEDORES[[#This Row],[SUBTOTAL]]-PROVEEDORES[[#This Row],[descuento sobre subtotal]])*VLOOKUP(PROVEEDORES[[#This Row],[PROVEEDOR]],TERCEROS_INFO[#All],3,FALSE)</f>
        <v>8310.6</v>
      </c>
      <c r="N178" s="23"/>
      <c r="O178" s="22">
        <f>+PROVEEDORES[[#This Row],[Descuento sobre subtotal %]]*(PROVEEDORES[[#This Row],[SUBTOTAL]]-PROVEEDORES[[#This Row],[descuento sobre subtotal]])</f>
        <v>0</v>
      </c>
      <c r="P178" s="83">
        <f>+IF(PROVEEDORES[[#This Row],[SUBTOTAL]]&lt;PROVEEDORES[[#This Row],[base retencion]],0,PROVEEDORES[[#This Row],[retención aplicada]])</f>
        <v>0</v>
      </c>
      <c r="Q178" s="22">
        <f>+PROVEEDORES[[#This Row],[Rete Fuente %]]*(PROVEEDORES[[#This Row],[SUBTOTAL]]-PROVEEDORES[[#This Row],[descuento sobre subtotal]])</f>
        <v>0</v>
      </c>
      <c r="R178" s="21">
        <f>+PROVEEDORES[[#This Row],[SUBTOTAL]]+PROVEEDORES[[#This Row],[IVA 19%]]-PROVEEDORES[[#This Row],[descuento sobre subtotal]]-PROVEEDORES[[#This Row],[Descuento sobre subtotal $2]]-PROVEEDORES[[#This Row],[Rete Fuente $]]</f>
        <v>52050.6</v>
      </c>
      <c r="S1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68">
        <f ca="1">IF(PROVEEDORES[[#This Row],[FECHA DE PAGO]]=0,TODAY()-PROVEEDORES[[#This Row],[FECHA DE FACTURACIÓN]]-PROVEEDORES[[#This Row],[PLAZO Días]],0)</f>
        <v>0</v>
      </c>
      <c r="U178" s="96" t="str">
        <f>+VLOOKUP(PROVEEDORES[[#This Row],[PROVEEDOR]],Terceros!$A:$D,4,FALSE)</f>
        <v>2,5% con base</v>
      </c>
      <c r="V178" s="97">
        <f>+YEAR(PROVEEDORES[[#This Row],[FECHA DE FACTURACIÓN]])</f>
        <v>2021</v>
      </c>
      <c r="W178" s="97">
        <f>+MATCH(PROVEEDORES[[#This Row],[año facturado]],Retenciones!$1:$1,0)</f>
        <v>4</v>
      </c>
      <c r="X178" s="98">
        <f>+VLOOKUP(PROVEEDORES[[#This Row],[ID RETENCION]],Retenciones!$A$1:$O$25,PROVEEDORES[[#This Row],[indicador de columna]],FALSE)</f>
        <v>980000</v>
      </c>
      <c r="Y178" s="99">
        <f>+VLOOKUP(PROVEEDORES[[#This Row],[ID RETENCION]],Retenciones!$A$1:$O$25,2,FALSE)</f>
        <v>2.5000000000000001E-2</v>
      </c>
      <c r="Z178" s="125" t="b">
        <f>OR(COUNTIF(PROVEEDORES[[#This Row],[PROVEEDOR]],"*"&amp;'Palabra no opera'!$A$2&amp;"*"))</f>
        <v>0</v>
      </c>
      <c r="AA178" s="24"/>
      <c r="AB178" s="24"/>
      <c r="AC178" s="24"/>
      <c r="AD178" s="24"/>
      <c r="AE178" s="24"/>
    </row>
    <row r="179" spans="1:31" ht="22.2" customHeight="1" x14ac:dyDescent="0.3">
      <c r="A179" s="66" t="str">
        <f>+IF(PROVEEDORES[[#This Row],[FECHA DE PAGO]]=PROVEEDORES[[#This Row],[FECHA DE FACTURACIÓN]],"DE CONTADO","CRÉDITO")</f>
        <v>CRÉDITO</v>
      </c>
      <c r="B179" s="38" t="b">
        <f>+IF((PROVEEDORES[[#This Row],[FECHA DE PAGO]]-PROVEEDORES[[#This Row],[FECHA DE FACTURACIÓN]])&gt;PROVEEDORES[[#This Row],[PLAZO Días]],"PAGO VENCIDO")</f>
        <v>0</v>
      </c>
      <c r="C179" s="20">
        <f>+VLOOKUP(PROVEEDORES[[#This Row],[PROVEEDOR]],TERCEROS_INFO[#All],2,FALSE)</f>
        <v>30</v>
      </c>
      <c r="D179" s="25">
        <f>+SUMIFS(PROVEEDORES[Total],PROVEEDORES[PROVEEDOR],PROVEEDORES[[#This Row],[PROVEEDOR]],PROVEEDORES[FECHA DE PAGO],"")</f>
        <v>0</v>
      </c>
      <c r="E179" s="25"/>
      <c r="F179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79" s="161">
        <v>44198</v>
      </c>
      <c r="H179" s="26" t="s">
        <v>930</v>
      </c>
      <c r="I179" s="161">
        <v>44197</v>
      </c>
      <c r="J179" s="35">
        <v>422</v>
      </c>
      <c r="K179" s="21">
        <v>54000</v>
      </c>
      <c r="L179" s="21"/>
      <c r="M179" s="22">
        <f>(PROVEEDORES[[#This Row],[SUBTOTAL]]-PROVEEDORES[[#This Row],[descuento sobre subtotal]])*VLOOKUP(PROVEEDORES[[#This Row],[PROVEEDOR]],TERCEROS_INFO[#All],3,FALSE)</f>
        <v>0</v>
      </c>
      <c r="N179" s="23"/>
      <c r="O179" s="22">
        <f>+PROVEEDORES[[#This Row],[Descuento sobre subtotal %]]*(PROVEEDORES[[#This Row],[SUBTOTAL]]-PROVEEDORES[[#This Row],[descuento sobre subtotal]])</f>
        <v>0</v>
      </c>
      <c r="P179" s="83">
        <f>+IF(PROVEEDORES[[#This Row],[SUBTOTAL]]&lt;PROVEEDORES[[#This Row],[base retencion]],0,PROVEEDORES[[#This Row],[retención aplicada]])</f>
        <v>3.5000000000000003E-2</v>
      </c>
      <c r="Q179" s="22">
        <f>+PROVEEDORES[[#This Row],[Rete Fuente %]]*(PROVEEDORES[[#This Row],[SUBTOTAL]]-PROVEEDORES[[#This Row],[descuento sobre subtotal]])</f>
        <v>1890.0000000000002</v>
      </c>
      <c r="R179" s="21">
        <f>+PROVEEDORES[[#This Row],[SUBTOTAL]]+PROVEEDORES[[#This Row],[IVA 19%]]-PROVEEDORES[[#This Row],[descuento sobre subtotal]]-PROVEEDORES[[#This Row],[Descuento sobre subtotal $2]]-PROVEEDORES[[#This Row],[Rete Fuente $]]</f>
        <v>52110</v>
      </c>
      <c r="S1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68">
        <f ca="1">IF(PROVEEDORES[[#This Row],[FECHA DE PAGO]]=0,TODAY()-PROVEEDORES[[#This Row],[FECHA DE FACTURACIÓN]]-PROVEEDORES[[#This Row],[PLAZO Días]],0)</f>
        <v>0</v>
      </c>
      <c r="U179" s="96" t="str">
        <f>+VLOOKUP(PROVEEDORES[[#This Row],[PROVEEDOR]],Terceros!$A:$D,4,FALSE)</f>
        <v>3,5% sin base</v>
      </c>
      <c r="V179" s="97">
        <f>+YEAR(PROVEEDORES[[#This Row],[FECHA DE FACTURACIÓN]])</f>
        <v>2021</v>
      </c>
      <c r="W179" s="97">
        <f>+MATCH(PROVEEDORES[[#This Row],[año facturado]],Retenciones!$1:$1,0)</f>
        <v>4</v>
      </c>
      <c r="X179" s="98">
        <f>+VLOOKUP(PROVEEDORES[[#This Row],[ID RETENCION]],Retenciones!$A$1:$O$25,PROVEEDORES[[#This Row],[indicador de columna]],FALSE)</f>
        <v>0</v>
      </c>
      <c r="Y179" s="99">
        <f>+VLOOKUP(PROVEEDORES[[#This Row],[ID RETENCION]],Retenciones!$A$1:$O$25,2,FALSE)</f>
        <v>3.5000000000000003E-2</v>
      </c>
      <c r="Z179" s="125" t="b">
        <f>OR(COUNTIF(PROVEEDORES[[#This Row],[PROVEEDOR]],"*"&amp;'Palabra no opera'!$A$2&amp;"*"))</f>
        <v>1</v>
      </c>
      <c r="AA179" s="24"/>
      <c r="AB179" s="24"/>
      <c r="AC179" s="24"/>
      <c r="AD179" s="24"/>
      <c r="AE179" s="24"/>
    </row>
    <row r="180" spans="1:31" ht="22.2" customHeight="1" x14ac:dyDescent="0.3">
      <c r="A180" s="66" t="str">
        <f>+IF(PROVEEDORES[[#This Row],[FECHA DE PAGO]]=PROVEEDORES[[#This Row],[FECHA DE FACTURACIÓN]],"DE CONTADO","CRÉDITO")</f>
        <v>CRÉDITO</v>
      </c>
      <c r="B180" s="38" t="b">
        <f>+IF((PROVEEDORES[[#This Row],[FECHA DE PAGO]]-PROVEEDORES[[#This Row],[FECHA DE FACTURACIÓN]])&gt;PROVEEDORES[[#This Row],[PLAZO Días]],"PAGO VENCIDO")</f>
        <v>0</v>
      </c>
      <c r="C180" s="20">
        <f>+VLOOKUP(PROVEEDORES[[#This Row],[PROVEEDOR]],TERCEROS_INFO[#All],2,FALSE)</f>
        <v>30</v>
      </c>
      <c r="D180" s="25">
        <f>+SUMIFS(PROVEEDORES[Total],PROVEEDORES[PROVEEDOR],PROVEEDORES[[#This Row],[PROVEEDOR]],PROVEEDORES[FECHA DE PAGO],"")</f>
        <v>0</v>
      </c>
      <c r="E180" s="25"/>
      <c r="F18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80" s="161">
        <v>44426</v>
      </c>
      <c r="H180" s="26" t="s">
        <v>118</v>
      </c>
      <c r="I180" s="161">
        <v>44405</v>
      </c>
      <c r="J180" s="35" t="s">
        <v>415</v>
      </c>
      <c r="K180" s="21">
        <v>54742.78</v>
      </c>
      <c r="L180" s="21"/>
      <c r="M180" s="22">
        <f>(PROVEEDORES[[#This Row],[SUBTOTAL]]-PROVEEDORES[[#This Row],[descuento sobre subtotal]])*VLOOKUP(PROVEEDORES[[#This Row],[PROVEEDOR]],TERCEROS_INFO[#All],3,FALSE)</f>
        <v>0</v>
      </c>
      <c r="N180" s="23"/>
      <c r="O180" s="22">
        <f>+PROVEEDORES[[#This Row],[Descuento sobre subtotal %]]*(PROVEEDORES[[#This Row],[SUBTOTAL]]-PROVEEDORES[[#This Row],[descuento sobre subtotal]])</f>
        <v>0</v>
      </c>
      <c r="P180" s="83">
        <f>+IF(PROVEEDORES[[#This Row],[SUBTOTAL]]&lt;PROVEEDORES[[#This Row],[base retencion]],0,PROVEEDORES[[#This Row],[retención aplicada]])</f>
        <v>0</v>
      </c>
      <c r="Q180" s="22">
        <f>+PROVEEDORES[[#This Row],[Rete Fuente %]]*(PROVEEDORES[[#This Row],[SUBTOTAL]]-PROVEEDORES[[#This Row],[descuento sobre subtotal]])</f>
        <v>0</v>
      </c>
      <c r="R180" s="21">
        <f>+PROVEEDORES[[#This Row],[SUBTOTAL]]+PROVEEDORES[[#This Row],[IVA 19%]]-PROVEEDORES[[#This Row],[descuento sobre subtotal]]-PROVEEDORES[[#This Row],[Descuento sobre subtotal $2]]-PROVEEDORES[[#This Row],[Rete Fuente $]]</f>
        <v>54742.78</v>
      </c>
      <c r="S1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68">
        <f ca="1">IF(PROVEEDORES[[#This Row],[FECHA DE PAGO]]=0,TODAY()-PROVEEDORES[[#This Row],[FECHA DE FACTURACIÓN]]-PROVEEDORES[[#This Row],[PLAZO Días]],0)</f>
        <v>0</v>
      </c>
      <c r="U180" s="96">
        <f>+VLOOKUP(PROVEEDORES[[#This Row],[PROVEEDOR]],Terceros!$A:$D,4,FALSE)</f>
        <v>0</v>
      </c>
      <c r="V180" s="97">
        <f>+YEAR(PROVEEDORES[[#This Row],[FECHA DE FACTURACIÓN]])</f>
        <v>2021</v>
      </c>
      <c r="W180" s="97">
        <f>+MATCH(PROVEEDORES[[#This Row],[año facturado]],Retenciones!$1:$1,0)</f>
        <v>4</v>
      </c>
      <c r="X180" s="98">
        <f>+VLOOKUP(PROVEEDORES[[#This Row],[ID RETENCION]],Retenciones!$A$1:$O$25,PROVEEDORES[[#This Row],[indicador de columna]],FALSE)</f>
        <v>0</v>
      </c>
      <c r="Y180" s="99">
        <f>+VLOOKUP(PROVEEDORES[[#This Row],[ID RETENCION]],Retenciones!$A$1:$O$25,2,FALSE)</f>
        <v>0</v>
      </c>
      <c r="Z180" s="125" t="b">
        <f>OR(COUNTIF(PROVEEDORES[[#This Row],[PROVEEDOR]],"*"&amp;'Palabra no opera'!$A$2&amp;"*"))</f>
        <v>0</v>
      </c>
      <c r="AA180" s="24"/>
      <c r="AB180" s="24"/>
      <c r="AC180" s="24"/>
      <c r="AD180" s="24"/>
      <c r="AE180" s="24"/>
    </row>
    <row r="181" spans="1:31" ht="22.2" customHeight="1" x14ac:dyDescent="0.3">
      <c r="A181" s="66" t="str">
        <f>+IF(PROVEEDORES[[#This Row],[FECHA DE PAGO]]=PROVEEDORES[[#This Row],[FECHA DE FACTURACIÓN]],"DE CONTADO","CRÉDITO")</f>
        <v>DE CONTADO</v>
      </c>
      <c r="B181" s="38" t="b">
        <f>+IF((PROVEEDORES[[#This Row],[FECHA DE PAGO]]-PROVEEDORES[[#This Row],[FECHA DE FACTURACIÓN]])&gt;PROVEEDORES[[#This Row],[PLAZO Días]],"PAGO VENCIDO")</f>
        <v>0</v>
      </c>
      <c r="C181" s="20">
        <f>+VLOOKUP(PROVEEDORES[[#This Row],[PROVEEDOR]],TERCEROS_INFO[#All],2,FALSE)</f>
        <v>30</v>
      </c>
      <c r="D181" s="25">
        <f>+SUMIFS(PROVEEDORES[Total],PROVEEDORES[PROVEEDOR],PROVEEDORES[[#This Row],[PROVEEDOR]],PROVEEDORES[FECHA DE PAGO],"")</f>
        <v>0</v>
      </c>
      <c r="E181" s="25"/>
      <c r="F181" s="58" t="str">
        <f>+VLOOKUP(PROVEEDORES[[#This Row],[PROVEEDOR]],
                       Terceros!$A:$F,
                       5,
                       FALSE)</f>
        <v/>
      </c>
      <c r="G181" s="161">
        <v>44209</v>
      </c>
      <c r="H181" s="26" t="s">
        <v>106</v>
      </c>
      <c r="I181" s="161">
        <v>44209</v>
      </c>
      <c r="J181" s="35">
        <v>245</v>
      </c>
      <c r="K181" s="21">
        <v>46386.478991596647</v>
      </c>
      <c r="L181" s="21"/>
      <c r="M181" s="22">
        <f>(PROVEEDORES[[#This Row],[SUBTOTAL]]-PROVEEDORES[[#This Row],[descuento sobre subtotal]])*VLOOKUP(PROVEEDORES[[#This Row],[PROVEEDOR]],TERCEROS_INFO[#All],3,FALSE)</f>
        <v>8813.4310084033623</v>
      </c>
      <c r="N181" s="23"/>
      <c r="O181" s="22">
        <f>+PROVEEDORES[[#This Row],[Descuento sobre subtotal %]]*(PROVEEDORES[[#This Row],[SUBTOTAL]]-PROVEEDORES[[#This Row],[descuento sobre subtotal]])</f>
        <v>0</v>
      </c>
      <c r="P181" s="83">
        <f>+IF(PROVEEDORES[[#This Row],[SUBTOTAL]]&lt;PROVEEDORES[[#This Row],[base retencion]],0,PROVEEDORES[[#This Row],[retención aplicada]])</f>
        <v>0</v>
      </c>
      <c r="Q181" s="22">
        <f>+PROVEEDORES[[#This Row],[Rete Fuente %]]*(PROVEEDORES[[#This Row],[SUBTOTAL]]-PROVEEDORES[[#This Row],[descuento sobre subtotal]])</f>
        <v>0</v>
      </c>
      <c r="R181" s="21">
        <f>+PROVEEDORES[[#This Row],[SUBTOTAL]]+PROVEEDORES[[#This Row],[IVA 19%]]-PROVEEDORES[[#This Row],[descuento sobre subtotal]]-PROVEEDORES[[#This Row],[Descuento sobre subtotal $2]]-PROVEEDORES[[#This Row],[Rete Fuente $]]</f>
        <v>55199.910000000011</v>
      </c>
      <c r="S1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68">
        <f ca="1">IF(PROVEEDORES[[#This Row],[FECHA DE PAGO]]=0,TODAY()-PROVEEDORES[[#This Row],[FECHA DE FACTURACIÓN]]-PROVEEDORES[[#This Row],[PLAZO Días]],0)</f>
        <v>0</v>
      </c>
      <c r="U181" s="96" t="str">
        <f>+VLOOKUP(PROVEEDORES[[#This Row],[PROVEEDOR]],Terceros!$A:$D,4,FALSE)</f>
        <v>2,5% con base</v>
      </c>
      <c r="V181" s="97">
        <f>+YEAR(PROVEEDORES[[#This Row],[FECHA DE FACTURACIÓN]])</f>
        <v>2021</v>
      </c>
      <c r="W181" s="97">
        <f>+MATCH(PROVEEDORES[[#This Row],[año facturado]],Retenciones!$1:$1,0)</f>
        <v>4</v>
      </c>
      <c r="X181" s="98">
        <f>+VLOOKUP(PROVEEDORES[[#This Row],[ID RETENCION]],Retenciones!$A$1:$O$25,PROVEEDORES[[#This Row],[indicador de columna]],FALSE)</f>
        <v>980000</v>
      </c>
      <c r="Y181" s="99">
        <f>+VLOOKUP(PROVEEDORES[[#This Row],[ID RETENCION]],Retenciones!$A$1:$O$25,2,FALSE)</f>
        <v>2.5000000000000001E-2</v>
      </c>
      <c r="Z181" s="125" t="b">
        <f>OR(COUNTIF(PROVEEDORES[[#This Row],[PROVEEDOR]],"*"&amp;'Palabra no opera'!$A$2&amp;"*"))</f>
        <v>0</v>
      </c>
      <c r="AA181" s="24"/>
      <c r="AB181" s="24"/>
      <c r="AC181" s="24"/>
      <c r="AD181" s="24"/>
      <c r="AE181" s="24"/>
    </row>
    <row r="182" spans="1:31" ht="22.2" customHeight="1" x14ac:dyDescent="0.3">
      <c r="A182" s="66" t="str">
        <f>+IF(PROVEEDORES[[#This Row],[FECHA DE PAGO]]=PROVEEDORES[[#This Row],[FECHA DE FACTURACIÓN]],"DE CONTADO","CRÉDITO")</f>
        <v>CRÉDITO</v>
      </c>
      <c r="B182" s="38" t="str">
        <f>+IF((PROVEEDORES[[#This Row],[FECHA DE PAGO]]-PROVEEDORES[[#This Row],[FECHA DE FACTURACIÓN]])&gt;PROVEEDORES[[#This Row],[PLAZO Días]],"PAGO VENCIDO")</f>
        <v>PAGO VENCIDO</v>
      </c>
      <c r="C182" s="20">
        <f>+VLOOKUP(PROVEEDORES[[#This Row],[PROVEEDOR]],TERCEROS_INFO[#All],2,FALSE)</f>
        <v>30</v>
      </c>
      <c r="D182" s="25">
        <f>+SUMIFS(PROVEEDORES[Total],PROVEEDORES[PROVEEDOR],PROVEEDORES[[#This Row],[PROVEEDOR]],PROVEEDORES[FECHA DE PAGO],"")</f>
        <v>1354000</v>
      </c>
      <c r="E182" s="25"/>
      <c r="F18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82" s="161">
        <v>44568</v>
      </c>
      <c r="H182" s="26" t="s">
        <v>699</v>
      </c>
      <c r="I182" s="161">
        <v>44529</v>
      </c>
      <c r="J182" s="35" t="s">
        <v>1534</v>
      </c>
      <c r="K182" s="21">
        <v>56250</v>
      </c>
      <c r="L182" s="21"/>
      <c r="M182" s="22">
        <v>0</v>
      </c>
      <c r="N182" s="23"/>
      <c r="O182" s="22">
        <v>0</v>
      </c>
      <c r="P182" s="83">
        <f>+IF(PROVEEDORES[[#This Row],[SUBTOTAL]]&lt;PROVEEDORES[[#This Row],[base retencion]],0,PROVEEDORES[[#This Row],[retención aplicada]])</f>
        <v>0</v>
      </c>
      <c r="Q182" s="22">
        <f>+PROVEEDORES[[#This Row],[Rete Fuente %]]*(PROVEEDORES[[#This Row],[SUBTOTAL]]-PROVEEDORES[[#This Row],[descuento sobre subtotal]])</f>
        <v>0</v>
      </c>
      <c r="R182" s="21">
        <v>56250</v>
      </c>
      <c r="S1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68">
        <f ca="1">IF(PROVEEDORES[[#This Row],[FECHA DE PAGO]]=0,TODAY()-PROVEEDORES[[#This Row],[FECHA DE FACTURACIÓN]]-PROVEEDORES[[#This Row],[PLAZO Días]],0)</f>
        <v>0</v>
      </c>
      <c r="U182" s="96">
        <f>+VLOOKUP(PROVEEDORES[[#This Row],[PROVEEDOR]],Terceros!$A:$D,4,FALSE)</f>
        <v>0</v>
      </c>
      <c r="V182" s="97">
        <f>+YEAR(PROVEEDORES[[#This Row],[FECHA DE FACTURACIÓN]])</f>
        <v>2021</v>
      </c>
      <c r="W182" s="97">
        <f>+MATCH(PROVEEDORES[[#This Row],[año facturado]],Retenciones!$1:$1,0)</f>
        <v>4</v>
      </c>
      <c r="X182" s="98">
        <f>+VLOOKUP(PROVEEDORES[[#This Row],[ID RETENCION]],Retenciones!$A$1:$O$25,PROVEEDORES[[#This Row],[indicador de columna]],FALSE)</f>
        <v>0</v>
      </c>
      <c r="Y182" s="99">
        <f>+VLOOKUP(PROVEEDORES[[#This Row],[ID RETENCION]],Retenciones!$A$1:$O$25,2,FALSE)</f>
        <v>0</v>
      </c>
      <c r="Z182" s="125" t="b">
        <f>OR(COUNTIF(PROVEEDORES[[#This Row],[PROVEEDOR]],"*"&amp;'Palabra no opera'!$A$2&amp;"*"))</f>
        <v>0</v>
      </c>
      <c r="AA182" s="24"/>
      <c r="AB182" s="24"/>
      <c r="AC182" s="24"/>
      <c r="AD182" s="24"/>
      <c r="AE182" s="24"/>
    </row>
    <row r="183" spans="1:31" ht="22.2" customHeight="1" x14ac:dyDescent="0.3">
      <c r="A183" s="257" t="str">
        <f>+IF(PROVEEDORES[[#This Row],[FECHA DE PAGO]]=PROVEEDORES[[#This Row],[FECHA DE FACTURACIÓN]],"DE CONTADO","CRÉDITO")</f>
        <v>DE CONTADO</v>
      </c>
      <c r="B183" s="38" t="b">
        <f>+IF((PROVEEDORES[[#This Row],[FECHA DE PAGO]]-PROVEEDORES[[#This Row],[FECHA DE FACTURACIÓN]])&gt;PROVEEDORES[[#This Row],[PLAZO Días]],"PAGO VENCIDO")</f>
        <v>0</v>
      </c>
      <c r="C183" s="20">
        <f>+VLOOKUP(PROVEEDORES[[#This Row],[PROVEEDOR]],TERCEROS_INFO[#All],2,FALSE)</f>
        <v>30</v>
      </c>
      <c r="D183" s="25">
        <f>+SUMIFS(PROVEEDORES[Total],PROVEEDORES[PROVEEDOR],PROVEEDORES[[#This Row],[PROVEEDOR]],PROVEEDORES[FECHA DE PAGO],"")</f>
        <v>0</v>
      </c>
      <c r="E183" s="25"/>
      <c r="F183" s="58" t="str">
        <f>+VLOOKUP(PROVEEDORES[[#This Row],[PROVEEDOR]],
                       Terceros!$A:$F,
                       5,
                       FALSE)</f>
        <v/>
      </c>
      <c r="G183" s="161">
        <v>44834</v>
      </c>
      <c r="H183" s="26" t="s">
        <v>644</v>
      </c>
      <c r="I183" s="161">
        <v>44834</v>
      </c>
      <c r="J183" s="35" t="s">
        <v>1752</v>
      </c>
      <c r="K183" s="21">
        <v>58000</v>
      </c>
      <c r="L183" s="21"/>
      <c r="M183" s="22">
        <f>(PROVEEDORES[[#This Row],[SUBTOTAL]]-PROVEEDORES[[#This Row],[descuento sobre subtotal]])*VLOOKUP(PROVEEDORES[[#This Row],[PROVEEDOR]],TERCEROS_INFO[#All],3,FALSE)</f>
        <v>0</v>
      </c>
      <c r="N183" s="23"/>
      <c r="O183" s="22">
        <f>+PROVEEDORES[[#This Row],[Descuento sobre subtotal %]]*(PROVEEDORES[[#This Row],[SUBTOTAL]]-PROVEEDORES[[#This Row],[descuento sobre subtotal]])</f>
        <v>0</v>
      </c>
      <c r="P183" s="83">
        <f>+IF(PROVEEDORES[[#This Row],[SUBTOTAL]]&lt;PROVEEDORES[[#This Row],[base retencion]],0,PROVEEDORES[[#This Row],[retención aplicada]])</f>
        <v>0</v>
      </c>
      <c r="Q183" s="22">
        <f>+PROVEEDORES[[#This Row],[Rete Fuente %]]*(PROVEEDORES[[#This Row],[SUBTOTAL]]-PROVEEDORES[[#This Row],[descuento sobre subtotal]])</f>
        <v>0</v>
      </c>
      <c r="R183" s="21">
        <f>+PROVEEDORES[[#This Row],[SUBTOTAL]]+PROVEEDORES[[#This Row],[IVA 19%]]-PROVEEDORES[[#This Row],[descuento sobre subtotal]]-PROVEEDORES[[#This Row],[Descuento sobre subtotal $2]]-PROVEEDORES[[#This Row],[Rete Fuente $]]</f>
        <v>58000</v>
      </c>
      <c r="S183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68">
        <f ca="1">IF(PROVEEDORES[[#This Row],[FECHA DE PAGO]]=0,TODAY()-PROVEEDORES[[#This Row],[FECHA DE FACTURACIÓN]]-PROVEEDORES[[#This Row],[PLAZO Días]],0)</f>
        <v>0</v>
      </c>
      <c r="U183" s="113">
        <f>+VLOOKUP(PROVEEDORES[[#This Row],[PROVEEDOR]],Terceros!$A:$D,4,FALSE)</f>
        <v>0</v>
      </c>
      <c r="V183" s="114">
        <f>+YEAR(PROVEEDORES[[#This Row],[FECHA DE FACTURACIÓN]])</f>
        <v>2022</v>
      </c>
      <c r="W183" s="114">
        <f>+MATCH(PROVEEDORES[[#This Row],[año facturado]],Retenciones!$1:$1,0)</f>
        <v>5</v>
      </c>
      <c r="X183" s="115">
        <f>+VLOOKUP(PROVEEDORES[[#This Row],[ID RETENCION]],Retenciones!$A$1:$O$25,PROVEEDORES[[#This Row],[indicador de columna]],FALSE)</f>
        <v>0</v>
      </c>
      <c r="Y183" s="116">
        <f>+VLOOKUP(PROVEEDORES[[#This Row],[ID RETENCION]],Retenciones!$A$1:$O$25,2,FALSE)</f>
        <v>0</v>
      </c>
      <c r="Z183" s="125" t="b">
        <f>OR(COUNTIF(PROVEEDORES[[#This Row],[PROVEEDOR]],"*"&amp;'Palabra no opera'!$A$2&amp;"*"))</f>
        <v>0</v>
      </c>
      <c r="AA183" s="24"/>
      <c r="AB183" s="24"/>
      <c r="AC183" s="24"/>
      <c r="AD183" s="24"/>
      <c r="AE183" s="24"/>
    </row>
    <row r="184" spans="1:31" ht="22.2" customHeight="1" x14ac:dyDescent="0.3">
      <c r="A184" s="133" t="str">
        <f>+IF(PROVEEDORES[[#This Row],[FECHA DE PAGO]]=PROVEEDORES[[#This Row],[FECHA DE FACTURACIÓN]],"DE CONTADO","CRÉDITO")</f>
        <v>CRÉDITO</v>
      </c>
      <c r="B184" s="38" t="b">
        <f>+IF((PROVEEDORES[[#This Row],[FECHA DE PAGO]]-PROVEEDORES[[#This Row],[FECHA DE FACTURACIÓN]])&gt;PROVEEDORES[[#This Row],[PLAZO Días]],"PAGO VENCIDO")</f>
        <v>0</v>
      </c>
      <c r="C184" s="20">
        <f>+VLOOKUP(PROVEEDORES[[#This Row],[PROVEEDOR]],TERCEROS_INFO[#All],2,FALSE)</f>
        <v>30</v>
      </c>
      <c r="D184" s="25">
        <f>+SUMIFS(PROVEEDORES[Total],PROVEEDORES[PROVEEDOR],PROVEEDORES[[#This Row],[PROVEEDOR]],PROVEEDORES[FECHA DE PAGO],"")</f>
        <v>0</v>
      </c>
      <c r="E184" s="25"/>
      <c r="F18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" s="161">
        <v>44691</v>
      </c>
      <c r="H184" s="26" t="s">
        <v>927</v>
      </c>
      <c r="I184" s="161">
        <v>44682</v>
      </c>
      <c r="J184" s="35" t="s">
        <v>312</v>
      </c>
      <c r="K184" s="21">
        <v>59583</v>
      </c>
      <c r="L184" s="21"/>
      <c r="M184" s="22">
        <f>(PROVEEDORES[[#This Row],[SUBTOTAL]]-PROVEEDORES[[#This Row],[descuento sobre subtotal]])*VLOOKUP(PROVEEDORES[[#This Row],[PROVEEDOR]],TERCEROS_INFO[#All],3,FALSE)</f>
        <v>0</v>
      </c>
      <c r="N184" s="23"/>
      <c r="O184" s="22">
        <f>+PROVEEDORES[[#This Row],[Descuento sobre subtotal %]]*(PROVEEDORES[[#This Row],[SUBTOTAL]]-PROVEEDORES[[#This Row],[descuento sobre subtotal]])</f>
        <v>0</v>
      </c>
      <c r="P184" s="83">
        <f>+IF(PROVEEDORES[[#This Row],[SUBTOTAL]]&lt;PROVEEDORES[[#This Row],[base retencion]],0,PROVEEDORES[[#This Row],[retención aplicada]])</f>
        <v>0</v>
      </c>
      <c r="Q184" s="22">
        <f>+PROVEEDORES[[#This Row],[Rete Fuente %]]*(PROVEEDORES[[#This Row],[SUBTOTAL]]-PROVEEDORES[[#This Row],[descuento sobre subtotal]])</f>
        <v>0</v>
      </c>
      <c r="R184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4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68">
        <f ca="1">IF(PROVEEDORES[[#This Row],[FECHA DE PAGO]]=0,TODAY()-PROVEEDORES[[#This Row],[FECHA DE FACTURACIÓN]]-PROVEEDORES[[#This Row],[PLAZO Días]],0)</f>
        <v>0</v>
      </c>
      <c r="U184" s="113">
        <f>+VLOOKUP(PROVEEDORES[[#This Row],[PROVEEDOR]],Terceros!$A:$D,4,FALSE)</f>
        <v>0</v>
      </c>
      <c r="V184" s="114">
        <f>+YEAR(PROVEEDORES[[#This Row],[FECHA DE FACTURACIÓN]])</f>
        <v>2022</v>
      </c>
      <c r="W184" s="114">
        <f>+MATCH(PROVEEDORES[[#This Row],[año facturado]],Retenciones!$1:$1,0)</f>
        <v>5</v>
      </c>
      <c r="X184" s="115">
        <f>+VLOOKUP(PROVEEDORES[[#This Row],[ID RETENCION]],Retenciones!$A$1:$O$25,PROVEEDORES[[#This Row],[indicador de columna]],FALSE)</f>
        <v>0</v>
      </c>
      <c r="Y184" s="116">
        <f>+VLOOKUP(PROVEEDORES[[#This Row],[ID RETENCION]],Retenciones!$A$1:$O$25,2,FALSE)</f>
        <v>0</v>
      </c>
      <c r="Z184" s="125" t="b">
        <f>OR(COUNTIF(PROVEEDORES[[#This Row],[PROVEEDOR]],"*"&amp;'Palabra no opera'!$A$2&amp;"*"))</f>
        <v>1</v>
      </c>
      <c r="AA184" s="24"/>
      <c r="AB184" s="24"/>
      <c r="AC184" s="24"/>
      <c r="AD184" s="24"/>
      <c r="AE184" s="24"/>
    </row>
    <row r="185" spans="1:31" ht="22.2" customHeight="1" x14ac:dyDescent="0.3">
      <c r="A185" s="157" t="str">
        <f>+IF(PROVEEDORES[[#This Row],[FECHA DE PAGO]]=PROVEEDORES[[#This Row],[FECHA DE FACTURACIÓN]],"DE CONTADO","CRÉDITO")</f>
        <v>CRÉDITO</v>
      </c>
      <c r="B185" s="38" t="b">
        <f>+IF((PROVEEDORES[[#This Row],[FECHA DE PAGO]]-PROVEEDORES[[#This Row],[FECHA DE FACTURACIÓN]])&gt;PROVEEDORES[[#This Row],[PLAZO Días]],"PAGO VENCIDO")</f>
        <v>0</v>
      </c>
      <c r="C185" s="20">
        <f>+VLOOKUP(PROVEEDORES[[#This Row],[PROVEEDOR]],TERCEROS_INFO[#All],2,FALSE)</f>
        <v>30</v>
      </c>
      <c r="D185" s="25">
        <f>+SUMIFS(PROVEEDORES[Total],PROVEEDORES[PROVEEDOR],PROVEEDORES[[#This Row],[PROVEEDOR]],PROVEEDORES[FECHA DE PAGO],"")</f>
        <v>0</v>
      </c>
      <c r="E185" s="25"/>
      <c r="F18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" s="161">
        <v>44729</v>
      </c>
      <c r="H185" s="26" t="s">
        <v>927</v>
      </c>
      <c r="I185" s="161">
        <v>44713</v>
      </c>
      <c r="J185" s="35" t="s">
        <v>312</v>
      </c>
      <c r="K185" s="21">
        <v>59583</v>
      </c>
      <c r="L185" s="21"/>
      <c r="M185" s="22">
        <f>(PROVEEDORES[[#This Row],[SUBTOTAL]]-PROVEEDORES[[#This Row],[descuento sobre subtotal]])*VLOOKUP(PROVEEDORES[[#This Row],[PROVEEDOR]],TERCEROS_INFO[#All],3,FALSE)</f>
        <v>0</v>
      </c>
      <c r="N185" s="23"/>
      <c r="O185" s="22">
        <f>+PROVEEDORES[[#This Row],[Descuento sobre subtotal %]]*(PROVEEDORES[[#This Row],[SUBTOTAL]]-PROVEEDORES[[#This Row],[descuento sobre subtotal]])</f>
        <v>0</v>
      </c>
      <c r="P185" s="83">
        <f>+IF(PROVEEDORES[[#This Row],[SUBTOTAL]]&lt;PROVEEDORES[[#This Row],[base retencion]],0,PROVEEDORES[[#This Row],[retención aplicada]])</f>
        <v>0</v>
      </c>
      <c r="Q185" s="22">
        <f>+PROVEEDORES[[#This Row],[Rete Fuente %]]*(PROVEEDORES[[#This Row],[SUBTOTAL]]-PROVEEDORES[[#This Row],[descuento sobre subtotal]])</f>
        <v>0</v>
      </c>
      <c r="R185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5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68">
        <f ca="1">IF(PROVEEDORES[[#This Row],[FECHA DE PAGO]]=0,TODAY()-PROVEEDORES[[#This Row],[FECHA DE FACTURACIÓN]]-PROVEEDORES[[#This Row],[PLAZO Días]],0)</f>
        <v>0</v>
      </c>
      <c r="U185" s="113">
        <f>+VLOOKUP(PROVEEDORES[[#This Row],[PROVEEDOR]],Terceros!$A:$D,4,FALSE)</f>
        <v>0</v>
      </c>
      <c r="V185" s="114">
        <f>+YEAR(PROVEEDORES[[#This Row],[FECHA DE FACTURACIÓN]])</f>
        <v>2022</v>
      </c>
      <c r="W185" s="114">
        <f>+MATCH(PROVEEDORES[[#This Row],[año facturado]],Retenciones!$1:$1,0)</f>
        <v>5</v>
      </c>
      <c r="X185" s="115">
        <f>+VLOOKUP(PROVEEDORES[[#This Row],[ID RETENCION]],Retenciones!$A$1:$O$25,PROVEEDORES[[#This Row],[indicador de columna]],FALSE)</f>
        <v>0</v>
      </c>
      <c r="Y185" s="116">
        <f>+VLOOKUP(PROVEEDORES[[#This Row],[ID RETENCION]],Retenciones!$A$1:$O$25,2,FALSE)</f>
        <v>0</v>
      </c>
      <c r="Z185" s="125" t="b">
        <f>OR(COUNTIF(PROVEEDORES[[#This Row],[PROVEEDOR]],"*"&amp;'Palabra no opera'!$A$2&amp;"*"))</f>
        <v>1</v>
      </c>
      <c r="AA185" s="24"/>
      <c r="AB185" s="24"/>
      <c r="AC185" s="24"/>
      <c r="AD185" s="24"/>
      <c r="AE185" s="24"/>
    </row>
    <row r="186" spans="1:31" ht="22.2" customHeight="1" x14ac:dyDescent="0.3">
      <c r="A186" s="72" t="str">
        <f>+IF(PROVEEDORES[[#This Row],[FECHA DE PAGO]]=PROVEEDORES[[#This Row],[FECHA DE FACTURACIÓN]],"DE CONTADO","CRÉDITO")</f>
        <v>CRÉDITO</v>
      </c>
      <c r="B186" s="38" t="b">
        <f>+IF((PROVEEDORES[[#This Row],[FECHA DE PAGO]]-PROVEEDORES[[#This Row],[FECHA DE FACTURACIÓN]])&gt;PROVEEDORES[[#This Row],[PLAZO Días]],"PAGO VENCIDO")</f>
        <v>0</v>
      </c>
      <c r="C186" s="20">
        <f>+VLOOKUP(PROVEEDORES[[#This Row],[PROVEEDOR]],TERCEROS_INFO[#All],2,FALSE)</f>
        <v>30</v>
      </c>
      <c r="D186" s="25">
        <f>+SUMIFS(PROVEEDORES[Total],PROVEEDORES[PROVEEDOR],PROVEEDORES[[#This Row],[PROVEEDOR]],PROVEEDORES[FECHA DE PAGO],"")</f>
        <v>0</v>
      </c>
      <c r="E186" s="25"/>
      <c r="F18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6" s="161">
        <v>44761</v>
      </c>
      <c r="H186" s="26" t="s">
        <v>927</v>
      </c>
      <c r="I186" s="161">
        <v>44743</v>
      </c>
      <c r="J186" s="35" t="s">
        <v>312</v>
      </c>
      <c r="K186" s="21">
        <v>59583</v>
      </c>
      <c r="L186" s="21"/>
      <c r="M186" s="22">
        <f>(PROVEEDORES[[#This Row],[SUBTOTAL]]-PROVEEDORES[[#This Row],[descuento sobre subtotal]])*VLOOKUP(PROVEEDORES[[#This Row],[PROVEEDOR]],TERCEROS_INFO[#All],3,FALSE)</f>
        <v>0</v>
      </c>
      <c r="N186" s="23"/>
      <c r="O186" s="22">
        <f>+PROVEEDORES[[#This Row],[Descuento sobre subtotal %]]*(PROVEEDORES[[#This Row],[SUBTOTAL]]-PROVEEDORES[[#This Row],[descuento sobre subtotal]])</f>
        <v>0</v>
      </c>
      <c r="P186" s="83">
        <f>+IF(PROVEEDORES[[#This Row],[SUBTOTAL]]&lt;PROVEEDORES[[#This Row],[base retencion]],0,PROVEEDORES[[#This Row],[retención aplicada]])</f>
        <v>0</v>
      </c>
      <c r="Q186" s="22">
        <f>+PROVEEDORES[[#This Row],[Rete Fuente %]]*(PROVEEDORES[[#This Row],[SUBTOTAL]]-PROVEEDORES[[#This Row],[descuento sobre subtotal]])</f>
        <v>0</v>
      </c>
      <c r="R186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68">
        <f ca="1">IF(PROVEEDORES[[#This Row],[FECHA DE PAGO]]=0,TODAY()-PROVEEDORES[[#This Row],[FECHA DE FACTURACIÓN]]-PROVEEDORES[[#This Row],[PLAZO Días]],0)</f>
        <v>0</v>
      </c>
      <c r="U186" s="113">
        <f>+VLOOKUP(PROVEEDORES[[#This Row],[PROVEEDOR]],Terceros!$A:$D,4,FALSE)</f>
        <v>0</v>
      </c>
      <c r="V186" s="114">
        <f>+YEAR(PROVEEDORES[[#This Row],[FECHA DE FACTURACIÓN]])</f>
        <v>2022</v>
      </c>
      <c r="W186" s="114">
        <f>+MATCH(PROVEEDORES[[#This Row],[año facturado]],Retenciones!$1:$1,0)</f>
        <v>5</v>
      </c>
      <c r="X186" s="115">
        <f>+VLOOKUP(PROVEEDORES[[#This Row],[ID RETENCION]],Retenciones!$A$1:$O$25,PROVEEDORES[[#This Row],[indicador de columna]],FALSE)</f>
        <v>0</v>
      </c>
      <c r="Y186" s="116">
        <f>+VLOOKUP(PROVEEDORES[[#This Row],[ID RETENCION]],Retenciones!$A$1:$O$25,2,FALSE)</f>
        <v>0</v>
      </c>
      <c r="Z186" s="125" t="b">
        <f>OR(COUNTIF(PROVEEDORES[[#This Row],[PROVEEDOR]],"*"&amp;'Palabra no opera'!$A$2&amp;"*"))</f>
        <v>1</v>
      </c>
      <c r="AA186" s="24"/>
      <c r="AB186" s="24"/>
      <c r="AC186" s="24"/>
      <c r="AD186" s="24"/>
      <c r="AE186" s="24"/>
    </row>
    <row r="187" spans="1:31" ht="22.2" customHeight="1" x14ac:dyDescent="0.3">
      <c r="A187" s="72" t="str">
        <f>+IF(PROVEEDORES[[#This Row],[FECHA DE PAGO]]=PROVEEDORES[[#This Row],[FECHA DE FACTURACIÓN]],"DE CONTADO","CRÉDITO")</f>
        <v>CRÉDITO</v>
      </c>
      <c r="B187" s="38" t="b">
        <f>+IF((PROVEEDORES[[#This Row],[FECHA DE PAGO]]-PROVEEDORES[[#This Row],[FECHA DE FACTURACIÓN]])&gt;PROVEEDORES[[#This Row],[PLAZO Días]],"PAGO VENCIDO")</f>
        <v>0</v>
      </c>
      <c r="C187" s="20">
        <f>+VLOOKUP(PROVEEDORES[[#This Row],[PROVEEDOR]],TERCEROS_INFO[#All],2,FALSE)</f>
        <v>30</v>
      </c>
      <c r="D187" s="25">
        <f>+SUMIFS(PROVEEDORES[Total],PROVEEDORES[PROVEEDOR],PROVEEDORES[[#This Row],[PROVEEDOR]],PROVEEDORES[FECHA DE PAGO],"")</f>
        <v>0</v>
      </c>
      <c r="E187" s="25"/>
      <c r="F18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7" s="161">
        <v>44802</v>
      </c>
      <c r="H187" s="26" t="s">
        <v>927</v>
      </c>
      <c r="I187" s="161">
        <v>44774</v>
      </c>
      <c r="J187" s="35" t="s">
        <v>312</v>
      </c>
      <c r="K187" s="21">
        <v>59583</v>
      </c>
      <c r="L187" s="21"/>
      <c r="M187" s="22">
        <f>(PROVEEDORES[[#This Row],[SUBTOTAL]]-PROVEEDORES[[#This Row],[descuento sobre subtotal]])*VLOOKUP(PROVEEDORES[[#This Row],[PROVEEDOR]],TERCEROS_INFO[#All],3,FALSE)</f>
        <v>0</v>
      </c>
      <c r="N187" s="23"/>
      <c r="O187" s="22">
        <f>+PROVEEDORES[[#This Row],[Descuento sobre subtotal %]]*(PROVEEDORES[[#This Row],[SUBTOTAL]]-PROVEEDORES[[#This Row],[descuento sobre subtotal]])</f>
        <v>0</v>
      </c>
      <c r="P187" s="83">
        <f>+IF(PROVEEDORES[[#This Row],[SUBTOTAL]]&lt;PROVEEDORES[[#This Row],[base retencion]],0,PROVEEDORES[[#This Row],[retención aplicada]])</f>
        <v>0</v>
      </c>
      <c r="Q187" s="22">
        <f>+PROVEEDORES[[#This Row],[Rete Fuente %]]*(PROVEEDORES[[#This Row],[SUBTOTAL]]-PROVEEDORES[[#This Row],[descuento sobre subtotal]])</f>
        <v>0</v>
      </c>
      <c r="R187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68">
        <f ca="1">IF(PROVEEDORES[[#This Row],[FECHA DE PAGO]]=0,TODAY()-PROVEEDORES[[#This Row],[FECHA DE FACTURACIÓN]]-PROVEEDORES[[#This Row],[PLAZO Días]],0)</f>
        <v>0</v>
      </c>
      <c r="U187" s="113">
        <f>+VLOOKUP(PROVEEDORES[[#This Row],[PROVEEDOR]],Terceros!$A:$D,4,FALSE)</f>
        <v>0</v>
      </c>
      <c r="V187" s="114">
        <f>+YEAR(PROVEEDORES[[#This Row],[FECHA DE FACTURACIÓN]])</f>
        <v>2022</v>
      </c>
      <c r="W187" s="114">
        <f>+MATCH(PROVEEDORES[[#This Row],[año facturado]],Retenciones!$1:$1,0)</f>
        <v>5</v>
      </c>
      <c r="X187" s="115">
        <f>+VLOOKUP(PROVEEDORES[[#This Row],[ID RETENCION]],Retenciones!$A$1:$O$25,PROVEEDORES[[#This Row],[indicador de columna]],FALSE)</f>
        <v>0</v>
      </c>
      <c r="Y187" s="116">
        <f>+VLOOKUP(PROVEEDORES[[#This Row],[ID RETENCION]],Retenciones!$A$1:$O$25,2,FALSE)</f>
        <v>0</v>
      </c>
      <c r="Z187" s="125" t="b">
        <f>OR(COUNTIF(PROVEEDORES[[#This Row],[PROVEEDOR]],"*"&amp;'Palabra no opera'!$A$2&amp;"*"))</f>
        <v>1</v>
      </c>
      <c r="AA187" s="24"/>
      <c r="AB187" s="24"/>
      <c r="AC187" s="24"/>
      <c r="AD187" s="24"/>
      <c r="AE187" s="24"/>
    </row>
    <row r="188" spans="1:31" ht="22.2" customHeight="1" x14ac:dyDescent="0.3">
      <c r="A188" s="221" t="str">
        <f>+IF(PROVEEDORES[[#This Row],[FECHA DE PAGO]]=PROVEEDORES[[#This Row],[FECHA DE FACTURACIÓN]],"DE CONTADO","CRÉDITO")</f>
        <v>CRÉDITO</v>
      </c>
      <c r="B188" s="38" t="b">
        <f>+IF((PROVEEDORES[[#This Row],[FECHA DE PAGO]]-PROVEEDORES[[#This Row],[FECHA DE FACTURACIÓN]])&gt;PROVEEDORES[[#This Row],[PLAZO Días]],"PAGO VENCIDO")</f>
        <v>0</v>
      </c>
      <c r="C188" s="20">
        <f>+VLOOKUP(PROVEEDORES[[#This Row],[PROVEEDOR]],TERCEROS_INFO[#All],2,FALSE)</f>
        <v>30</v>
      </c>
      <c r="D188" s="25">
        <f>+SUMIFS(PROVEEDORES[Total],PROVEEDORES[PROVEEDOR],PROVEEDORES[[#This Row],[PROVEEDOR]],PROVEEDORES[FECHA DE PAGO],"")</f>
        <v>0</v>
      </c>
      <c r="E188" s="25"/>
      <c r="F18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8" s="161">
        <v>44827</v>
      </c>
      <c r="H188" s="26" t="s">
        <v>927</v>
      </c>
      <c r="I188" s="161">
        <v>44809</v>
      </c>
      <c r="J188" s="35" t="s">
        <v>1692</v>
      </c>
      <c r="K188" s="21">
        <v>59583</v>
      </c>
      <c r="L188" s="21"/>
      <c r="M188" s="22">
        <f>(PROVEEDORES[[#This Row],[SUBTOTAL]]-PROVEEDORES[[#This Row],[descuento sobre subtotal]])*VLOOKUP(PROVEEDORES[[#This Row],[PROVEEDOR]],TERCEROS_INFO[#All],3,FALSE)</f>
        <v>0</v>
      </c>
      <c r="N188" s="23"/>
      <c r="O188" s="22">
        <f>+PROVEEDORES[[#This Row],[Descuento sobre subtotal %]]*(PROVEEDORES[[#This Row],[SUBTOTAL]]-PROVEEDORES[[#This Row],[descuento sobre subtotal]])</f>
        <v>0</v>
      </c>
      <c r="P188" s="83">
        <f>+IF(PROVEEDORES[[#This Row],[SUBTOTAL]]&lt;PROVEEDORES[[#This Row],[base retencion]],0,PROVEEDORES[[#This Row],[retención aplicada]])</f>
        <v>0</v>
      </c>
      <c r="Q188" s="22">
        <f>+PROVEEDORES[[#This Row],[Rete Fuente %]]*(PROVEEDORES[[#This Row],[SUBTOTAL]]-PROVEEDORES[[#This Row],[descuento sobre subtotal]])</f>
        <v>0</v>
      </c>
      <c r="R188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8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68">
        <f ca="1">IF(PROVEEDORES[[#This Row],[FECHA DE PAGO]]=0,TODAY()-PROVEEDORES[[#This Row],[FECHA DE FACTURACIÓN]]-PROVEEDORES[[#This Row],[PLAZO Días]],0)</f>
        <v>0</v>
      </c>
      <c r="U188" s="113">
        <f>+VLOOKUP(PROVEEDORES[[#This Row],[PROVEEDOR]],Terceros!$A:$D,4,FALSE)</f>
        <v>0</v>
      </c>
      <c r="V188" s="114">
        <f>+YEAR(PROVEEDORES[[#This Row],[FECHA DE FACTURACIÓN]])</f>
        <v>2022</v>
      </c>
      <c r="W188" s="114">
        <f>+MATCH(PROVEEDORES[[#This Row],[año facturado]],Retenciones!$1:$1,0)</f>
        <v>5</v>
      </c>
      <c r="X188" s="115">
        <f>+VLOOKUP(PROVEEDORES[[#This Row],[ID RETENCION]],Retenciones!$A$1:$O$25,PROVEEDORES[[#This Row],[indicador de columna]],FALSE)</f>
        <v>0</v>
      </c>
      <c r="Y188" s="116">
        <f>+VLOOKUP(PROVEEDORES[[#This Row],[ID RETENCION]],Retenciones!$A$1:$O$25,2,FALSE)</f>
        <v>0</v>
      </c>
      <c r="Z188" s="125" t="b">
        <f>OR(COUNTIF(PROVEEDORES[[#This Row],[PROVEEDOR]],"*"&amp;'Palabra no opera'!$A$2&amp;"*"))</f>
        <v>1</v>
      </c>
      <c r="AA188" s="24"/>
      <c r="AB188" s="24"/>
      <c r="AC188" s="24"/>
      <c r="AD188" s="24"/>
      <c r="AE188" s="24"/>
    </row>
    <row r="189" spans="1:31" ht="22.2" customHeight="1" x14ac:dyDescent="0.3">
      <c r="A189" s="269" t="str">
        <f>+IF(PROVEEDORES[[#This Row],[FECHA DE PAGO]]=PROVEEDORES[[#This Row],[FECHA DE FACTURACIÓN]],"DE CONTADO","CRÉDITO")</f>
        <v>CRÉDITO</v>
      </c>
      <c r="B189" s="38" t="b">
        <f>+IF((PROVEEDORES[[#This Row],[FECHA DE PAGO]]-PROVEEDORES[[#This Row],[FECHA DE FACTURACIÓN]])&gt;PROVEEDORES[[#This Row],[PLAZO Días]],"PAGO VENCIDO")</f>
        <v>0</v>
      </c>
      <c r="C189" s="20">
        <f>+VLOOKUP(PROVEEDORES[[#This Row],[PROVEEDOR]],TERCEROS_INFO[#All],2,FALSE)</f>
        <v>30</v>
      </c>
      <c r="D189" s="25">
        <f>+SUMIFS(PROVEEDORES[Total],PROVEEDORES[PROVEEDOR],PROVEEDORES[[#This Row],[PROVEEDOR]],PROVEEDORES[FECHA DE PAGO],"")</f>
        <v>0</v>
      </c>
      <c r="E189" s="25"/>
      <c r="F18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9" s="161">
        <v>44858</v>
      </c>
      <c r="H189" s="26" t="s">
        <v>927</v>
      </c>
      <c r="I189" s="161">
        <v>44838</v>
      </c>
      <c r="J189" s="35" t="s">
        <v>1784</v>
      </c>
      <c r="K189" s="21">
        <v>59583</v>
      </c>
      <c r="L189" s="21"/>
      <c r="M189" s="22">
        <f>(PROVEEDORES[[#This Row],[SUBTOTAL]]-PROVEEDORES[[#This Row],[descuento sobre subtotal]])*VLOOKUP(PROVEEDORES[[#This Row],[PROVEEDOR]],TERCEROS_INFO[#All],3,FALSE)</f>
        <v>0</v>
      </c>
      <c r="N189" s="23"/>
      <c r="O189" s="22">
        <f>+PROVEEDORES[[#This Row],[Descuento sobre subtotal %]]*(PROVEEDORES[[#This Row],[SUBTOTAL]]-PROVEEDORES[[#This Row],[descuento sobre subtotal]])</f>
        <v>0</v>
      </c>
      <c r="P189" s="83">
        <f>+IF(PROVEEDORES[[#This Row],[SUBTOTAL]]&lt;PROVEEDORES[[#This Row],[base retencion]],0,PROVEEDORES[[#This Row],[retención aplicada]])</f>
        <v>0</v>
      </c>
      <c r="Q189" s="22">
        <f>+PROVEEDORES[[#This Row],[Rete Fuente %]]*(PROVEEDORES[[#This Row],[SUBTOTAL]]-PROVEEDORES[[#This Row],[descuento sobre subtotal]])</f>
        <v>0</v>
      </c>
      <c r="R189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9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68">
        <f ca="1">IF(PROVEEDORES[[#This Row],[FECHA DE PAGO]]=0,TODAY()-PROVEEDORES[[#This Row],[FECHA DE FACTURACIÓN]]-PROVEEDORES[[#This Row],[PLAZO Días]],0)</f>
        <v>0</v>
      </c>
      <c r="U189" s="113">
        <f>+VLOOKUP(PROVEEDORES[[#This Row],[PROVEEDOR]],Terceros!$A:$D,4,FALSE)</f>
        <v>0</v>
      </c>
      <c r="V189" s="114">
        <f>+YEAR(PROVEEDORES[[#This Row],[FECHA DE FACTURACIÓN]])</f>
        <v>2022</v>
      </c>
      <c r="W189" s="114">
        <f>+MATCH(PROVEEDORES[[#This Row],[año facturado]],Retenciones!$1:$1,0)</f>
        <v>5</v>
      </c>
      <c r="X189" s="115">
        <f>+VLOOKUP(PROVEEDORES[[#This Row],[ID RETENCION]],Retenciones!$A$1:$O$25,PROVEEDORES[[#This Row],[indicador de columna]],FALSE)</f>
        <v>0</v>
      </c>
      <c r="Y189" s="116">
        <f>+VLOOKUP(PROVEEDORES[[#This Row],[ID RETENCION]],Retenciones!$A$1:$O$25,2,FALSE)</f>
        <v>0</v>
      </c>
      <c r="Z189" s="125" t="b">
        <f>OR(COUNTIF(PROVEEDORES[[#This Row],[PROVEEDOR]],"*"&amp;'Palabra no opera'!$A$2&amp;"*"))</f>
        <v>1</v>
      </c>
      <c r="AA189" s="24"/>
      <c r="AB189" s="24"/>
      <c r="AC189" s="24"/>
      <c r="AD189" s="24"/>
      <c r="AE189" s="24"/>
    </row>
    <row r="190" spans="1:31" ht="22.2" customHeight="1" x14ac:dyDescent="0.3">
      <c r="A190" s="66" t="str">
        <f>+IF(PROVEEDORES[[#This Row],[FECHA DE PAGO]]=PROVEEDORES[[#This Row],[FECHA DE FACTURACIÓN]],"DE CONTADO","CRÉDITO")</f>
        <v>DE CONTADO</v>
      </c>
      <c r="B190" s="38" t="b">
        <f>+IF((PROVEEDORES[[#This Row],[FECHA DE PAGO]]-PROVEEDORES[[#This Row],[FECHA DE FACTURACIÓN]])&gt;PROVEEDORES[[#This Row],[PLAZO Días]],"PAGO VENCIDO")</f>
        <v>0</v>
      </c>
      <c r="C190" s="20">
        <f>+VLOOKUP(PROVEEDORES[[#This Row],[PROVEEDOR]],TERCEROS_INFO[#All],2,FALSE)</f>
        <v>30</v>
      </c>
      <c r="D190" s="25">
        <f>+SUMIFS(PROVEEDORES[Total],PROVEEDORES[PROVEEDOR],PROVEEDORES[[#This Row],[PROVEEDOR]],PROVEEDORES[FECHA DE PAGO],"")</f>
        <v>0</v>
      </c>
      <c r="E190" s="25"/>
      <c r="F190" s="58" t="str">
        <f>+VLOOKUP(PROVEEDORES[[#This Row],[PROVEEDOR]],
                       Terceros!$A:$F,
                       5,
                       FALSE)</f>
        <v/>
      </c>
      <c r="G190" s="161">
        <v>44216</v>
      </c>
      <c r="H190" s="26" t="s">
        <v>681</v>
      </c>
      <c r="I190" s="161">
        <v>44216</v>
      </c>
      <c r="J190" s="35">
        <v>1411</v>
      </c>
      <c r="K190" s="21">
        <v>60000</v>
      </c>
      <c r="L190" s="21"/>
      <c r="M190" s="22">
        <f>(PROVEEDORES[[#This Row],[SUBTOTAL]]-PROVEEDORES[[#This Row],[descuento sobre subtotal]])*VLOOKUP(PROVEEDORES[[#This Row],[PROVEEDOR]],TERCEROS_INFO[#All],3,FALSE)</f>
        <v>0</v>
      </c>
      <c r="N190" s="23"/>
      <c r="O190" s="22">
        <f>+PROVEEDORES[[#This Row],[Descuento sobre subtotal %]]*(PROVEEDORES[[#This Row],[SUBTOTAL]]-PROVEEDORES[[#This Row],[descuento sobre subtotal]])</f>
        <v>0</v>
      </c>
      <c r="P190" s="83">
        <f>+IF(PROVEEDORES[[#This Row],[SUBTOTAL]]&lt;PROVEEDORES[[#This Row],[base retencion]],0,PROVEEDORES[[#This Row],[retención aplicada]])</f>
        <v>0</v>
      </c>
      <c r="Q190" s="22">
        <f>+PROVEEDORES[[#This Row],[Rete Fuente %]]*(PROVEEDORES[[#This Row],[SUBTOTAL]]-PROVEEDORES[[#This Row],[descuento sobre subtotal]])</f>
        <v>0</v>
      </c>
      <c r="R190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1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68">
        <f ca="1">IF(PROVEEDORES[[#This Row],[FECHA DE PAGO]]=0,TODAY()-PROVEEDORES[[#This Row],[FECHA DE FACTURACIÓN]]-PROVEEDORES[[#This Row],[PLAZO Días]],0)</f>
        <v>0</v>
      </c>
      <c r="U190" s="96">
        <f>+VLOOKUP(PROVEEDORES[[#This Row],[PROVEEDOR]],Terceros!$A:$D,4,FALSE)</f>
        <v>0</v>
      </c>
      <c r="V190" s="97">
        <f>+YEAR(PROVEEDORES[[#This Row],[FECHA DE FACTURACIÓN]])</f>
        <v>2021</v>
      </c>
      <c r="W190" s="97">
        <f>+MATCH(PROVEEDORES[[#This Row],[año facturado]],Retenciones!$1:$1,0)</f>
        <v>4</v>
      </c>
      <c r="X190" s="98">
        <f>+VLOOKUP(PROVEEDORES[[#This Row],[ID RETENCION]],Retenciones!$A$1:$O$25,PROVEEDORES[[#This Row],[indicador de columna]],FALSE)</f>
        <v>0</v>
      </c>
      <c r="Y190" s="99">
        <f>+VLOOKUP(PROVEEDORES[[#This Row],[ID RETENCION]],Retenciones!$A$1:$O$25,2,FALSE)</f>
        <v>0</v>
      </c>
      <c r="Z190" s="125" t="b">
        <f>OR(COUNTIF(PROVEEDORES[[#This Row],[PROVEEDOR]],"*"&amp;'Palabra no opera'!$A$2&amp;"*"))</f>
        <v>0</v>
      </c>
      <c r="AA190" s="24"/>
      <c r="AB190" s="24"/>
      <c r="AC190" s="24"/>
      <c r="AD190" s="24"/>
      <c r="AE190" s="24"/>
    </row>
    <row r="191" spans="1:31" ht="22.2" customHeight="1" x14ac:dyDescent="0.3">
      <c r="A191" s="72" t="str">
        <f>+IF(PROVEEDORES[[#This Row],[FECHA DE PAGO]]=PROVEEDORES[[#This Row],[FECHA DE FACTURACIÓN]],"DE CONTADO","CRÉDITO")</f>
        <v>DE CONTADO</v>
      </c>
      <c r="B191" s="38" t="b">
        <f>+IF((PROVEEDORES[[#This Row],[FECHA DE PAGO]]-PROVEEDORES[[#This Row],[FECHA DE FACTURACIÓN]])&gt;PROVEEDORES[[#This Row],[PLAZO Días]],"PAGO VENCIDO")</f>
        <v>0</v>
      </c>
      <c r="C191" s="20">
        <f>+VLOOKUP(PROVEEDORES[[#This Row],[PROVEEDOR]],TERCEROS_INFO[#All],2,FALSE)</f>
        <v>30</v>
      </c>
      <c r="D191" s="25">
        <f>+SUMIFS(PROVEEDORES[Total],PROVEEDORES[PROVEEDOR],PROVEEDORES[[#This Row],[PROVEEDOR]],PROVEEDORES[FECHA DE PAGO],"")</f>
        <v>0</v>
      </c>
      <c r="E191" s="25"/>
      <c r="F191" s="58" t="str">
        <f>+VLOOKUP(PROVEEDORES[[#This Row],[PROVEEDOR]],
                       Terceros!$A:$F,
                       5,
                       FALSE)</f>
        <v/>
      </c>
      <c r="G191" s="161">
        <v>44712</v>
      </c>
      <c r="H191" s="26" t="s">
        <v>644</v>
      </c>
      <c r="I191" s="161">
        <v>44712</v>
      </c>
      <c r="J191" s="35" t="s">
        <v>945</v>
      </c>
      <c r="K191" s="21">
        <v>60000</v>
      </c>
      <c r="L191" s="21"/>
      <c r="M191" s="22">
        <f>(PROVEEDORES[[#This Row],[SUBTOTAL]]-PROVEEDORES[[#This Row],[descuento sobre subtotal]])*VLOOKUP(PROVEEDORES[[#This Row],[PROVEEDOR]],TERCEROS_INFO[#All],3,FALSE)</f>
        <v>0</v>
      </c>
      <c r="N191" s="23"/>
      <c r="O191" s="22">
        <f>+PROVEEDORES[[#This Row],[Descuento sobre subtotal %]]*(PROVEEDORES[[#This Row],[SUBTOTAL]]-PROVEEDORES[[#This Row],[descuento sobre subtotal]])</f>
        <v>0</v>
      </c>
      <c r="P191" s="83">
        <f>+IF(PROVEEDORES[[#This Row],[SUBTOTAL]]&lt;PROVEEDORES[[#This Row],[base retencion]],0,PROVEEDORES[[#This Row],[retención aplicada]])</f>
        <v>0</v>
      </c>
      <c r="Q191" s="22">
        <f>+PROVEEDORES[[#This Row],[Rete Fuente %]]*(PROVEEDORES[[#This Row],[SUBTOTAL]]-PROVEEDORES[[#This Row],[descuento sobre subtotal]])</f>
        <v>0</v>
      </c>
      <c r="R191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19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68">
        <f ca="1">IF(PROVEEDORES[[#This Row],[FECHA DE PAGO]]=0,TODAY()-PROVEEDORES[[#This Row],[FECHA DE FACTURACIÓN]]-PROVEEDORES[[#This Row],[PLAZO Días]],0)</f>
        <v>0</v>
      </c>
      <c r="U191" s="113">
        <f>+VLOOKUP(PROVEEDORES[[#This Row],[PROVEEDOR]],Terceros!$A:$D,4,FALSE)</f>
        <v>0</v>
      </c>
      <c r="V191" s="114">
        <f>+YEAR(PROVEEDORES[[#This Row],[FECHA DE FACTURACIÓN]])</f>
        <v>2022</v>
      </c>
      <c r="W191" s="114">
        <f>+MATCH(PROVEEDORES[[#This Row],[año facturado]],Retenciones!$1:$1,0)</f>
        <v>5</v>
      </c>
      <c r="X191" s="115">
        <f>+VLOOKUP(PROVEEDORES[[#This Row],[ID RETENCION]],Retenciones!$A$1:$O$25,PROVEEDORES[[#This Row],[indicador de columna]],FALSE)</f>
        <v>0</v>
      </c>
      <c r="Y191" s="116">
        <f>+VLOOKUP(PROVEEDORES[[#This Row],[ID RETENCION]],Retenciones!$A$1:$O$25,2,FALSE)</f>
        <v>0</v>
      </c>
      <c r="Z191" s="125" t="b">
        <f>OR(COUNTIF(PROVEEDORES[[#This Row],[PROVEEDOR]],"*"&amp;'Palabra no opera'!$A$2&amp;"*"))</f>
        <v>0</v>
      </c>
      <c r="AA191" s="24"/>
      <c r="AB191" s="24"/>
      <c r="AC191" s="24"/>
      <c r="AD191" s="24"/>
      <c r="AE191" s="24"/>
    </row>
    <row r="192" spans="1:31" ht="22.2" customHeight="1" x14ac:dyDescent="0.3">
      <c r="A192" s="72" t="str">
        <f>+IF(PROVEEDORES[[#This Row],[FECHA DE PAGO]]=PROVEEDORES[[#This Row],[FECHA DE FACTURACIÓN]],"DE CONTADO","CRÉDITO")</f>
        <v>DE CONTADO</v>
      </c>
      <c r="B192" s="38" t="b">
        <f>+IF((PROVEEDORES[[#This Row],[FECHA DE PAGO]]-PROVEEDORES[[#This Row],[FECHA DE FACTURACIÓN]])&gt;PROVEEDORES[[#This Row],[PLAZO Días]],"PAGO VENCIDO")</f>
        <v>0</v>
      </c>
      <c r="C192" s="20">
        <f>+VLOOKUP(PROVEEDORES[[#This Row],[PROVEEDOR]],TERCEROS_INFO[#All],2,FALSE)</f>
        <v>30</v>
      </c>
      <c r="D192" s="25">
        <f>+SUMIFS(PROVEEDORES[Total],PROVEEDORES[PROVEEDOR],PROVEEDORES[[#This Row],[PROVEEDOR]],PROVEEDORES[FECHA DE PAGO],"")</f>
        <v>0</v>
      </c>
      <c r="E192" s="25"/>
      <c r="F192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92" s="161">
        <v>44704</v>
      </c>
      <c r="H192" s="26" t="s">
        <v>1127</v>
      </c>
      <c r="I192" s="161">
        <v>44704</v>
      </c>
      <c r="J192" s="35" t="s">
        <v>977</v>
      </c>
      <c r="K192" s="21">
        <f>2*26050</f>
        <v>52100</v>
      </c>
      <c r="L192" s="21"/>
      <c r="M192" s="22">
        <f>(PROVEEDORES[[#This Row],[SUBTOTAL]]-PROVEEDORES[[#This Row],[descuento sobre subtotal]])*VLOOKUP(PROVEEDORES[[#This Row],[PROVEEDOR]],TERCEROS_INFO[#All],3,FALSE)</f>
        <v>9899</v>
      </c>
      <c r="N192" s="23"/>
      <c r="O192" s="22">
        <f>+PROVEEDORES[[#This Row],[Descuento sobre subtotal %]]*(PROVEEDORES[[#This Row],[SUBTOTAL]]-PROVEEDORES[[#This Row],[descuento sobre subtotal]])</f>
        <v>0</v>
      </c>
      <c r="P192" s="83">
        <f>+IF(PROVEEDORES[[#This Row],[SUBTOTAL]]&lt;PROVEEDORES[[#This Row],[base retencion]],0,PROVEEDORES[[#This Row],[retención aplicada]])</f>
        <v>0</v>
      </c>
      <c r="Q192" s="22">
        <f>+PROVEEDORES[[#This Row],[Rete Fuente %]]*(PROVEEDORES[[#This Row],[SUBTOTAL]]-PROVEEDORES[[#This Row],[descuento sobre subtotal]])</f>
        <v>0</v>
      </c>
      <c r="R192" s="21">
        <f>+PROVEEDORES[[#This Row],[SUBTOTAL]]+PROVEEDORES[[#This Row],[IVA 19%]]-PROVEEDORES[[#This Row],[descuento sobre subtotal]]-PROVEEDORES[[#This Row],[Descuento sobre subtotal $2]]-PROVEEDORES[[#This Row],[Rete Fuente $]]</f>
        <v>61999</v>
      </c>
      <c r="S19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68">
        <f ca="1">IF(PROVEEDORES[[#This Row],[FECHA DE PAGO]]=0,TODAY()-PROVEEDORES[[#This Row],[FECHA DE FACTURACIÓN]]-PROVEEDORES[[#This Row],[PLAZO Días]],0)</f>
        <v>0</v>
      </c>
      <c r="U192" s="113" t="str">
        <f>+VLOOKUP(PROVEEDORES[[#This Row],[PROVEEDOR]],Terceros!$A:$D,4,FALSE)</f>
        <v>2,5% con base</v>
      </c>
      <c r="V192" s="114">
        <f>+YEAR(PROVEEDORES[[#This Row],[FECHA DE FACTURACIÓN]])</f>
        <v>2022</v>
      </c>
      <c r="W192" s="114">
        <f>+MATCH(PROVEEDORES[[#This Row],[año facturado]],Retenciones!$1:$1,0)</f>
        <v>5</v>
      </c>
      <c r="X192" s="115">
        <f>+VLOOKUP(PROVEEDORES[[#This Row],[ID RETENCION]],Retenciones!$A$1:$O$25,PROVEEDORES[[#This Row],[indicador de columna]],FALSE)</f>
        <v>1026000</v>
      </c>
      <c r="Y192" s="116">
        <f>+VLOOKUP(PROVEEDORES[[#This Row],[ID RETENCION]],Retenciones!$A$1:$O$25,2,FALSE)</f>
        <v>2.5000000000000001E-2</v>
      </c>
      <c r="Z192" s="125" t="b">
        <f>OR(COUNTIF(PROVEEDORES[[#This Row],[PROVEEDOR]],"*"&amp;'Palabra no opera'!$A$2&amp;"*"))</f>
        <v>1</v>
      </c>
      <c r="AA192" s="24"/>
      <c r="AB192" s="24"/>
      <c r="AC192" s="24"/>
      <c r="AD192" s="24"/>
      <c r="AE192" s="24"/>
    </row>
    <row r="193" spans="1:31" ht="22.2" customHeight="1" x14ac:dyDescent="0.3">
      <c r="A193" s="185" t="str">
        <f>+IF(PROVEEDORES[[#This Row],[FECHA DE PAGO]]=PROVEEDORES[[#This Row],[FECHA DE FACTURACIÓN]],"DE CONTADO","CRÉDITO")</f>
        <v>DE CONTADO</v>
      </c>
      <c r="B193" s="38" t="b">
        <f>+IF((PROVEEDORES[[#This Row],[FECHA DE PAGO]]-PROVEEDORES[[#This Row],[FECHA DE FACTURACIÓN]])&gt;PROVEEDORES[[#This Row],[PLAZO Días]],"PAGO VENCIDO")</f>
        <v>0</v>
      </c>
      <c r="C193" s="20">
        <f>+VLOOKUP(PROVEEDORES[[#This Row],[PROVEEDOR]],TERCEROS_INFO[#All],2,FALSE)</f>
        <v>30</v>
      </c>
      <c r="D193" s="25">
        <f>+SUMIFS(PROVEEDORES[Total],PROVEEDORES[PROVEEDOR],PROVEEDORES[[#This Row],[PROVEEDOR]],PROVEEDORES[FECHA DE PAGO],"")</f>
        <v>0</v>
      </c>
      <c r="E193" s="25"/>
      <c r="F193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93" s="161">
        <v>44756</v>
      </c>
      <c r="H193" s="26" t="s">
        <v>1127</v>
      </c>
      <c r="I193" s="161">
        <v>44756</v>
      </c>
      <c r="J193" s="35" t="s">
        <v>1128</v>
      </c>
      <c r="K193" s="21">
        <v>53782</v>
      </c>
      <c r="L193" s="21"/>
      <c r="M193" s="22">
        <f>(PROVEEDORES[[#This Row],[SUBTOTAL]]-PROVEEDORES[[#This Row],[descuento sobre subtotal]])*VLOOKUP(PROVEEDORES[[#This Row],[PROVEEDOR]],TERCEROS_INFO[#All],3,FALSE)</f>
        <v>10218.58</v>
      </c>
      <c r="N193" s="23"/>
      <c r="O193" s="22">
        <f>+PROVEEDORES[[#This Row],[Descuento sobre subtotal %]]*(PROVEEDORES[[#This Row],[SUBTOTAL]]-PROVEEDORES[[#This Row],[descuento sobre subtotal]])</f>
        <v>0</v>
      </c>
      <c r="P193" s="83">
        <f>+IF(PROVEEDORES[[#This Row],[SUBTOTAL]]&lt;PROVEEDORES[[#This Row],[base retencion]],0,PROVEEDORES[[#This Row],[retención aplicada]])</f>
        <v>0</v>
      </c>
      <c r="Q193" s="22">
        <f>+PROVEEDORES[[#This Row],[Rete Fuente %]]*(PROVEEDORES[[#This Row],[SUBTOTAL]]-PROVEEDORES[[#This Row],[descuento sobre subtotal]])</f>
        <v>0</v>
      </c>
      <c r="R193" s="21">
        <f>+PROVEEDORES[[#This Row],[SUBTOTAL]]+PROVEEDORES[[#This Row],[IVA 19%]]-PROVEEDORES[[#This Row],[descuento sobre subtotal]]-PROVEEDORES[[#This Row],[Descuento sobre subtotal $2]]-PROVEEDORES[[#This Row],[Rete Fuente $]]</f>
        <v>64000.58</v>
      </c>
      <c r="S193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68">
        <f ca="1">IF(PROVEEDORES[[#This Row],[FECHA DE PAGO]]=0,TODAY()-PROVEEDORES[[#This Row],[FECHA DE FACTURACIÓN]]-PROVEEDORES[[#This Row],[PLAZO Días]],0)</f>
        <v>0</v>
      </c>
      <c r="U193" s="113" t="str">
        <f>+VLOOKUP(PROVEEDORES[[#This Row],[PROVEEDOR]],Terceros!$A:$D,4,FALSE)</f>
        <v>2,5% con base</v>
      </c>
      <c r="V193" s="114">
        <f>+YEAR(PROVEEDORES[[#This Row],[FECHA DE FACTURACIÓN]])</f>
        <v>2022</v>
      </c>
      <c r="W193" s="114">
        <f>+MATCH(PROVEEDORES[[#This Row],[año facturado]],Retenciones!$1:$1,0)</f>
        <v>5</v>
      </c>
      <c r="X193" s="115">
        <f>+VLOOKUP(PROVEEDORES[[#This Row],[ID RETENCION]],Retenciones!$A$1:$O$25,PROVEEDORES[[#This Row],[indicador de columna]],FALSE)</f>
        <v>1026000</v>
      </c>
      <c r="Y193" s="116">
        <f>+VLOOKUP(PROVEEDORES[[#This Row],[ID RETENCION]],Retenciones!$A$1:$O$25,2,FALSE)</f>
        <v>2.5000000000000001E-2</v>
      </c>
      <c r="Z193" s="125" t="b">
        <f>OR(COUNTIF(PROVEEDORES[[#This Row],[PROVEEDOR]],"*"&amp;'Palabra no opera'!$A$2&amp;"*"))</f>
        <v>1</v>
      </c>
      <c r="AA193" s="24"/>
      <c r="AB193" s="24"/>
      <c r="AC193" s="24"/>
      <c r="AD193" s="24"/>
      <c r="AE193" s="24"/>
    </row>
    <row r="194" spans="1:31" ht="22.2" customHeight="1" x14ac:dyDescent="0.3">
      <c r="A194" s="66" t="str">
        <f>+IF(PROVEEDORES[[#This Row],[FECHA DE PAGO]]=PROVEEDORES[[#This Row],[FECHA DE FACTURACIÓN]],"DE CONTADO","CRÉDITO")</f>
        <v>DE CONTADO</v>
      </c>
      <c r="B194" s="38" t="b">
        <f>+IF((PROVEEDORES[[#This Row],[FECHA DE PAGO]]-PROVEEDORES[[#This Row],[FECHA DE FACTURACIÓN]])&gt;PROVEEDORES[[#This Row],[PLAZO Días]],"PAGO VENCIDO")</f>
        <v>0</v>
      </c>
      <c r="C194" s="20">
        <f>+VLOOKUP(PROVEEDORES[[#This Row],[PROVEEDOR]],TERCEROS_INFO[#All],2,FALSE)</f>
        <v>30</v>
      </c>
      <c r="D194" s="25">
        <f>+SUMIFS(PROVEEDORES[Total],PROVEEDORES[PROVEEDOR],PROVEEDORES[[#This Row],[PROVEEDOR]],PROVEEDORES[FECHA DE PAGO],"")</f>
        <v>0</v>
      </c>
      <c r="E194" s="25"/>
      <c r="F194" s="58" t="str">
        <f>+VLOOKUP(PROVEEDORES[[#This Row],[PROVEEDOR]],
                       Terceros!$A:$F,
                       5,
                       FALSE)</f>
        <v/>
      </c>
      <c r="G194" s="161">
        <v>44209</v>
      </c>
      <c r="H194" s="26" t="s">
        <v>693</v>
      </c>
      <c r="I194" s="161">
        <v>44209</v>
      </c>
      <c r="J194" s="35">
        <v>2365</v>
      </c>
      <c r="K194" s="21">
        <v>65000</v>
      </c>
      <c r="L194" s="21"/>
      <c r="M194" s="22">
        <f>(PROVEEDORES[[#This Row],[SUBTOTAL]]-PROVEEDORES[[#This Row],[descuento sobre subtotal]])*VLOOKUP(PROVEEDORES[[#This Row],[PROVEEDOR]],TERCEROS_INFO[#All],3,FALSE)</f>
        <v>0</v>
      </c>
      <c r="N194" s="23"/>
      <c r="O194" s="22">
        <f>+PROVEEDORES[[#This Row],[Descuento sobre subtotal %]]*(PROVEEDORES[[#This Row],[SUBTOTAL]]-PROVEEDORES[[#This Row],[descuento sobre subtotal]])</f>
        <v>0</v>
      </c>
      <c r="P194" s="83">
        <f>+IF(PROVEEDORES[[#This Row],[SUBTOTAL]]&lt;PROVEEDORES[[#This Row],[base retencion]],0,PROVEEDORES[[#This Row],[retención aplicada]])</f>
        <v>0</v>
      </c>
      <c r="Q194" s="22">
        <f>+PROVEEDORES[[#This Row],[Rete Fuente %]]*(PROVEEDORES[[#This Row],[SUBTOTAL]]-PROVEEDORES[[#This Row],[descuento sobre subtotal]])</f>
        <v>0</v>
      </c>
      <c r="R194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1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68">
        <f ca="1">IF(PROVEEDORES[[#This Row],[FECHA DE PAGO]]=0,TODAY()-PROVEEDORES[[#This Row],[FECHA DE FACTURACIÓN]]-PROVEEDORES[[#This Row],[PLAZO Días]],0)</f>
        <v>0</v>
      </c>
      <c r="U194" s="96">
        <f>+VLOOKUP(PROVEEDORES[[#This Row],[PROVEEDOR]],Terceros!$A:$D,4,FALSE)</f>
        <v>0</v>
      </c>
      <c r="V194" s="97">
        <f>+YEAR(PROVEEDORES[[#This Row],[FECHA DE FACTURACIÓN]])</f>
        <v>2021</v>
      </c>
      <c r="W194" s="97">
        <f>+MATCH(PROVEEDORES[[#This Row],[año facturado]],Retenciones!$1:$1,0)</f>
        <v>4</v>
      </c>
      <c r="X194" s="98">
        <f>+VLOOKUP(PROVEEDORES[[#This Row],[ID RETENCION]],Retenciones!$A$1:$O$25,PROVEEDORES[[#This Row],[indicador de columna]],FALSE)</f>
        <v>0</v>
      </c>
      <c r="Y194" s="99">
        <f>+VLOOKUP(PROVEEDORES[[#This Row],[ID RETENCION]],Retenciones!$A$1:$O$25,2,FALSE)</f>
        <v>0</v>
      </c>
      <c r="Z194" s="125" t="b">
        <f>OR(COUNTIF(PROVEEDORES[[#This Row],[PROVEEDOR]],"*"&amp;'Palabra no opera'!$A$2&amp;"*"))</f>
        <v>0</v>
      </c>
      <c r="AA194" s="24"/>
      <c r="AB194" s="24"/>
      <c r="AC194" s="24"/>
      <c r="AD194" s="24"/>
      <c r="AE194" s="24"/>
    </row>
    <row r="195" spans="1:31" ht="22.2" customHeight="1" x14ac:dyDescent="0.3">
      <c r="A195" s="72" t="str">
        <f>+IF(PROVEEDORES[[#This Row],[FECHA DE PAGO]]=PROVEEDORES[[#This Row],[FECHA DE FACTURACIÓN]],"DE CONTADO","CRÉDITO")</f>
        <v>DE CONTADO</v>
      </c>
      <c r="B195" s="38" t="b">
        <f>+IF((PROVEEDORES[[#This Row],[FECHA DE PAGO]]-PROVEEDORES[[#This Row],[FECHA DE FACTURACIÓN]])&gt;PROVEEDORES[[#This Row],[PLAZO Días]],"PAGO VENCIDO")</f>
        <v>0</v>
      </c>
      <c r="C195" s="20">
        <f>+VLOOKUP(PROVEEDORES[[#This Row],[PROVEEDOR]],TERCEROS_INFO[#All],2,FALSE)</f>
        <v>30</v>
      </c>
      <c r="D195" s="25">
        <f>+SUMIFS(PROVEEDORES[Total],PROVEEDORES[PROVEEDOR],PROVEEDORES[[#This Row],[PROVEEDOR]],PROVEEDORES[FECHA DE PAGO],"")</f>
        <v>0</v>
      </c>
      <c r="E195" s="25"/>
      <c r="F195" s="58" t="str">
        <f>+VLOOKUP(PROVEEDORES[[#This Row],[PROVEEDOR]],
                       Terceros!$A:$F,
                       5,
                       FALSE)</f>
        <v/>
      </c>
      <c r="G195" s="161">
        <v>44742</v>
      </c>
      <c r="H195" s="26" t="s">
        <v>644</v>
      </c>
      <c r="I195" s="161">
        <v>44742</v>
      </c>
      <c r="J195" s="35" t="s">
        <v>596</v>
      </c>
      <c r="K195" s="21">
        <v>65000</v>
      </c>
      <c r="L195" s="21"/>
      <c r="M195" s="22">
        <f>(PROVEEDORES[[#This Row],[SUBTOTAL]]-PROVEEDORES[[#This Row],[descuento sobre subtotal]])*VLOOKUP(PROVEEDORES[[#This Row],[PROVEEDOR]],TERCEROS_INFO[#All],3,FALSE)</f>
        <v>0</v>
      </c>
      <c r="N195" s="23"/>
      <c r="O195" s="22">
        <f>+PROVEEDORES[[#This Row],[Descuento sobre subtotal %]]*(PROVEEDORES[[#This Row],[SUBTOTAL]]-PROVEEDORES[[#This Row],[descuento sobre subtotal]])</f>
        <v>0</v>
      </c>
      <c r="P195" s="83">
        <f>+IF(PROVEEDORES[[#This Row],[SUBTOTAL]]&lt;PROVEEDORES[[#This Row],[base retencion]],0,PROVEEDORES[[#This Row],[retención aplicada]])</f>
        <v>0</v>
      </c>
      <c r="Q195" s="22">
        <f>+PROVEEDORES[[#This Row],[Rete Fuente %]]*(PROVEEDORES[[#This Row],[SUBTOTAL]]-PROVEEDORES[[#This Row],[descuento sobre subtotal]])</f>
        <v>0</v>
      </c>
      <c r="R195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19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68">
        <f ca="1">IF(PROVEEDORES[[#This Row],[FECHA DE PAGO]]=0,TODAY()-PROVEEDORES[[#This Row],[FECHA DE FACTURACIÓN]]-PROVEEDORES[[#This Row],[PLAZO Días]],0)</f>
        <v>0</v>
      </c>
      <c r="U195" s="113">
        <f>+VLOOKUP(PROVEEDORES[[#This Row],[PROVEEDOR]],Terceros!$A:$D,4,FALSE)</f>
        <v>0</v>
      </c>
      <c r="V195" s="114">
        <f>+YEAR(PROVEEDORES[[#This Row],[FECHA DE FACTURACIÓN]])</f>
        <v>2022</v>
      </c>
      <c r="W195" s="114">
        <f>+MATCH(PROVEEDORES[[#This Row],[año facturado]],Retenciones!$1:$1,0)</f>
        <v>5</v>
      </c>
      <c r="X195" s="115">
        <f>+VLOOKUP(PROVEEDORES[[#This Row],[ID RETENCION]],Retenciones!$A$1:$O$25,PROVEEDORES[[#This Row],[indicador de columna]],FALSE)</f>
        <v>0</v>
      </c>
      <c r="Y195" s="116">
        <f>+VLOOKUP(PROVEEDORES[[#This Row],[ID RETENCION]],Retenciones!$A$1:$O$25,2,FALSE)</f>
        <v>0</v>
      </c>
      <c r="Z195" s="125" t="b">
        <f>OR(COUNTIF(PROVEEDORES[[#This Row],[PROVEEDOR]],"*"&amp;'Palabra no opera'!$A$2&amp;"*"))</f>
        <v>0</v>
      </c>
      <c r="AA195" s="24"/>
      <c r="AB195" s="24"/>
      <c r="AC195" s="24"/>
      <c r="AD195" s="24"/>
      <c r="AE195" s="24"/>
    </row>
    <row r="196" spans="1:31" ht="22.2" customHeight="1" x14ac:dyDescent="0.3">
      <c r="A196" s="195" t="str">
        <f>+IF(PROVEEDORES[[#This Row],[FECHA DE PAGO]]=PROVEEDORES[[#This Row],[FECHA DE FACTURACIÓN]],"DE CONTADO","CRÉDITO")</f>
        <v>DE CONTADO</v>
      </c>
      <c r="B196" s="38" t="b">
        <f>+IF((PROVEEDORES[[#This Row],[FECHA DE PAGO]]-PROVEEDORES[[#This Row],[FECHA DE FACTURACIÓN]])&gt;PROVEEDORES[[#This Row],[PLAZO Días]],"PAGO VENCIDO")</f>
        <v>0</v>
      </c>
      <c r="C196" s="20">
        <f>+VLOOKUP(PROVEEDORES[[#This Row],[PROVEEDOR]],TERCEROS_INFO[#All],2,FALSE)</f>
        <v>30</v>
      </c>
      <c r="D196" s="25">
        <f>+SUMIFS(PROVEEDORES[Total],PROVEEDORES[PROVEEDOR],PROVEEDORES[[#This Row],[PROVEEDOR]],PROVEEDORES[FECHA DE PAGO],"")</f>
        <v>0</v>
      </c>
      <c r="E196" s="25"/>
      <c r="F196" s="58" t="str">
        <f>+VLOOKUP(PROVEEDORES[[#This Row],[PROVEEDOR]],
                       Terceros!$A:$F,
                       5,
                       FALSE)</f>
        <v/>
      </c>
      <c r="G196" s="161">
        <v>44773</v>
      </c>
      <c r="H196" s="26" t="s">
        <v>644</v>
      </c>
      <c r="I196" s="161">
        <v>44773</v>
      </c>
      <c r="J196" s="35" t="s">
        <v>596</v>
      </c>
      <c r="K196" s="21">
        <v>65800</v>
      </c>
      <c r="L196" s="21"/>
      <c r="M196" s="22">
        <f>(PROVEEDORES[[#This Row],[SUBTOTAL]]-PROVEEDORES[[#This Row],[descuento sobre subtotal]])*VLOOKUP(PROVEEDORES[[#This Row],[PROVEEDOR]],TERCEROS_INFO[#All],3,FALSE)</f>
        <v>0</v>
      </c>
      <c r="N196" s="23"/>
      <c r="O196" s="22">
        <f>+PROVEEDORES[[#This Row],[Descuento sobre subtotal %]]*(PROVEEDORES[[#This Row],[SUBTOTAL]]-PROVEEDORES[[#This Row],[descuento sobre subtotal]])</f>
        <v>0</v>
      </c>
      <c r="P196" s="83">
        <f>+IF(PROVEEDORES[[#This Row],[SUBTOTAL]]&lt;PROVEEDORES[[#This Row],[base retencion]],0,PROVEEDORES[[#This Row],[retención aplicada]])</f>
        <v>0</v>
      </c>
      <c r="Q196" s="22">
        <f>+PROVEEDORES[[#This Row],[Rete Fuente %]]*(PROVEEDORES[[#This Row],[SUBTOTAL]]-PROVEEDORES[[#This Row],[descuento sobre subtotal]])</f>
        <v>0</v>
      </c>
      <c r="R196" s="21">
        <f>+PROVEEDORES[[#This Row],[SUBTOTAL]]+PROVEEDORES[[#This Row],[IVA 19%]]-PROVEEDORES[[#This Row],[descuento sobre subtotal]]-PROVEEDORES[[#This Row],[Descuento sobre subtotal $2]]-PROVEEDORES[[#This Row],[Rete Fuente $]]</f>
        <v>65800</v>
      </c>
      <c r="S196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68">
        <f ca="1">IF(PROVEEDORES[[#This Row],[FECHA DE PAGO]]=0,TODAY()-PROVEEDORES[[#This Row],[FECHA DE FACTURACIÓN]]-PROVEEDORES[[#This Row],[PLAZO Días]],0)</f>
        <v>0</v>
      </c>
      <c r="U196" s="113">
        <f>+VLOOKUP(PROVEEDORES[[#This Row],[PROVEEDOR]],Terceros!$A:$D,4,FALSE)</f>
        <v>0</v>
      </c>
      <c r="V196" s="114">
        <f>+YEAR(PROVEEDORES[[#This Row],[FECHA DE FACTURACIÓN]])</f>
        <v>2022</v>
      </c>
      <c r="W196" s="114">
        <f>+MATCH(PROVEEDORES[[#This Row],[año facturado]],Retenciones!$1:$1,0)</f>
        <v>5</v>
      </c>
      <c r="X196" s="115">
        <f>+VLOOKUP(PROVEEDORES[[#This Row],[ID RETENCION]],Retenciones!$A$1:$O$25,PROVEEDORES[[#This Row],[indicador de columna]],FALSE)</f>
        <v>0</v>
      </c>
      <c r="Y196" s="116">
        <f>+VLOOKUP(PROVEEDORES[[#This Row],[ID RETENCION]],Retenciones!$A$1:$O$25,2,FALSE)</f>
        <v>0</v>
      </c>
      <c r="Z196" s="125" t="b">
        <f>OR(COUNTIF(PROVEEDORES[[#This Row],[PROVEEDOR]],"*"&amp;'Palabra no opera'!$A$2&amp;"*"))</f>
        <v>0</v>
      </c>
      <c r="AA196" s="24"/>
      <c r="AB196" s="24"/>
      <c r="AC196" s="24"/>
      <c r="AD196" s="24"/>
      <c r="AE196" s="24"/>
    </row>
    <row r="197" spans="1:31" ht="22.2" customHeight="1" x14ac:dyDescent="0.3">
      <c r="A197" s="66" t="str">
        <f>+IF(PROVEEDORES[[#This Row],[FECHA DE PAGO]]=PROVEEDORES[[#This Row],[FECHA DE FACTURACIÓN]],"DE CONTADO","CRÉDITO")</f>
        <v>CRÉDITO</v>
      </c>
      <c r="B197" s="38" t="str">
        <f>+IF((PROVEEDORES[[#This Row],[FECHA DE PAGO]]-PROVEEDORES[[#This Row],[FECHA DE FACTURACIÓN]])&gt;PROVEEDORES[[#This Row],[PLAZO Días]],"PAGO VENCIDO")</f>
        <v>PAGO VENCIDO</v>
      </c>
      <c r="C197" s="20">
        <f>+VLOOKUP(PROVEEDORES[[#This Row],[PROVEEDOR]],TERCEROS_INFO[#All],2,FALSE)</f>
        <v>30</v>
      </c>
      <c r="D197" s="25">
        <f>+SUMIFS(PROVEEDORES[Total],PROVEEDORES[PROVEEDOR],PROVEEDORES[[#This Row],[PROVEEDOR]],PROVEEDORES[FECHA DE PAGO],"")</f>
        <v>3236000</v>
      </c>
      <c r="E197" s="25"/>
      <c r="F19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97" s="161">
        <v>44459</v>
      </c>
      <c r="H197" s="26" t="s">
        <v>677</v>
      </c>
      <c r="I197" s="161">
        <v>44407</v>
      </c>
      <c r="J197" s="35" t="s">
        <v>1474</v>
      </c>
      <c r="K197" s="21">
        <v>66000</v>
      </c>
      <c r="L197" s="21"/>
      <c r="M197" s="22">
        <f>(PROVEEDORES[[#This Row],[SUBTOTAL]]-PROVEEDORES[[#This Row],[descuento sobre subtotal]])*VLOOKUP(PROVEEDORES[[#This Row],[PROVEEDOR]],TERCEROS_INFO[#All],3,FALSE)</f>
        <v>0</v>
      </c>
      <c r="N197" s="23"/>
      <c r="O197" s="22">
        <f>+PROVEEDORES[[#This Row],[Descuento sobre subtotal %]]*(PROVEEDORES[[#This Row],[SUBTOTAL]]-PROVEEDORES[[#This Row],[descuento sobre subtotal]])</f>
        <v>0</v>
      </c>
      <c r="P197" s="83">
        <f>+IF(PROVEEDORES[[#This Row],[SUBTOTAL]]&lt;PROVEEDORES[[#This Row],[base retencion]],0,PROVEEDORES[[#This Row],[retención aplicada]])</f>
        <v>0</v>
      </c>
      <c r="Q197" s="22">
        <f>+PROVEEDORES[[#This Row],[Rete Fuente %]]*(PROVEEDORES[[#This Row],[SUBTOTAL]]-PROVEEDORES[[#This Row],[descuento sobre subtotal]])</f>
        <v>0</v>
      </c>
      <c r="R197" s="21">
        <f>+PROVEEDORES[[#This Row],[SUBTOTAL]]+PROVEEDORES[[#This Row],[IVA 19%]]-PROVEEDORES[[#This Row],[descuento sobre subtotal]]-PROVEEDORES[[#This Row],[Descuento sobre subtotal $2]]-PROVEEDORES[[#This Row],[Rete Fuente $]]</f>
        <v>66000</v>
      </c>
      <c r="S1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68">
        <f ca="1">IF(PROVEEDORES[[#This Row],[FECHA DE PAGO]]=0,TODAY()-PROVEEDORES[[#This Row],[FECHA DE FACTURACIÓN]]-PROVEEDORES[[#This Row],[PLAZO Días]],0)</f>
        <v>0</v>
      </c>
      <c r="U197" s="96">
        <f>+VLOOKUP(PROVEEDORES[[#This Row],[PROVEEDOR]],Terceros!$A:$D,4,FALSE)</f>
        <v>0</v>
      </c>
      <c r="V197" s="97">
        <f>+YEAR(PROVEEDORES[[#This Row],[FECHA DE FACTURACIÓN]])</f>
        <v>2021</v>
      </c>
      <c r="W197" s="97">
        <f>+MATCH(PROVEEDORES[[#This Row],[año facturado]],Retenciones!$1:$1,0)</f>
        <v>4</v>
      </c>
      <c r="X197" s="98">
        <f>+VLOOKUP(PROVEEDORES[[#This Row],[ID RETENCION]],Retenciones!$A$1:$O$25,PROVEEDORES[[#This Row],[indicador de columna]],FALSE)</f>
        <v>0</v>
      </c>
      <c r="Y197" s="99">
        <f>+VLOOKUP(PROVEEDORES[[#This Row],[ID RETENCION]],Retenciones!$A$1:$O$25,2,FALSE)</f>
        <v>0</v>
      </c>
      <c r="Z197" s="125" t="b">
        <f>OR(COUNTIF(PROVEEDORES[[#This Row],[PROVEEDOR]],"*"&amp;'Palabra no opera'!$A$2&amp;"*"))</f>
        <v>0</v>
      </c>
      <c r="AA197" s="24"/>
      <c r="AB197" s="24"/>
      <c r="AC197" s="24"/>
      <c r="AD197" s="24"/>
      <c r="AE197" s="24"/>
    </row>
    <row r="198" spans="1:31" ht="22.2" customHeight="1" x14ac:dyDescent="0.3">
      <c r="A198" s="66" t="str">
        <f>+IF(PROVEEDORES[[#This Row],[FECHA DE PAGO]]=PROVEEDORES[[#This Row],[FECHA DE FACTURACIÓN]],"DE CONTADO","CRÉDITO")</f>
        <v>CRÉDITO</v>
      </c>
      <c r="B198" s="38" t="str">
        <f>+IF((PROVEEDORES[[#This Row],[FECHA DE PAGO]]-PROVEEDORES[[#This Row],[FECHA DE FACTURACIÓN]])&gt;PROVEEDORES[[#This Row],[PLAZO Días]],"PAGO VENCIDO")</f>
        <v>PAGO VENCIDO</v>
      </c>
      <c r="C198" s="20">
        <f>+VLOOKUP(PROVEEDORES[[#This Row],[PROVEEDOR]],TERCEROS_INFO[#All],2,FALSE)</f>
        <v>30</v>
      </c>
      <c r="D198" s="25">
        <f>+SUMIFS(PROVEEDORES[Total],PROVEEDORES[PROVEEDOR],PROVEEDORES[[#This Row],[PROVEEDOR]],PROVEEDORES[FECHA DE PAGO],"")</f>
        <v>0</v>
      </c>
      <c r="E198" s="25"/>
      <c r="F19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98" s="161">
        <v>44523</v>
      </c>
      <c r="H198" s="26" t="s">
        <v>746</v>
      </c>
      <c r="I198" s="161">
        <v>44471</v>
      </c>
      <c r="J198" s="35" t="s">
        <v>484</v>
      </c>
      <c r="K198" s="21">
        <v>56302.52</v>
      </c>
      <c r="L198" s="21"/>
      <c r="M198" s="22">
        <f>(PROVEEDORES[[#This Row],[SUBTOTAL]]-PROVEEDORES[[#This Row],[descuento sobre subtotal]])*VLOOKUP(PROVEEDORES[[#This Row],[PROVEEDOR]],TERCEROS_INFO[#All],3,FALSE)</f>
        <v>10697.478799999999</v>
      </c>
      <c r="N198" s="23"/>
      <c r="O198" s="22">
        <f>+PROVEEDORES[[#This Row],[Descuento sobre subtotal %]]*(PROVEEDORES[[#This Row],[SUBTOTAL]]-PROVEEDORES[[#This Row],[descuento sobre subtotal]])</f>
        <v>0</v>
      </c>
      <c r="P198" s="83">
        <f>+IF(PROVEEDORES[[#This Row],[SUBTOTAL]]&lt;PROVEEDORES[[#This Row],[base retencion]],0,PROVEEDORES[[#This Row],[retención aplicada]])</f>
        <v>0</v>
      </c>
      <c r="Q198" s="22">
        <f>+PROVEEDORES[[#This Row],[Rete Fuente %]]*(PROVEEDORES[[#This Row],[SUBTOTAL]]-PROVEEDORES[[#This Row],[descuento sobre subtotal]])</f>
        <v>0</v>
      </c>
      <c r="R198" s="21">
        <f>+PROVEEDORES[[#This Row],[SUBTOTAL]]+PROVEEDORES[[#This Row],[IVA 19%]]-PROVEEDORES[[#This Row],[descuento sobre subtotal]]-PROVEEDORES[[#This Row],[Descuento sobre subtotal $2]]-PROVEEDORES[[#This Row],[Rete Fuente $]]</f>
        <v>66999.998800000001</v>
      </c>
      <c r="S1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68">
        <f ca="1">IF(PROVEEDORES[[#This Row],[FECHA DE PAGO]]=0,TODAY()-PROVEEDORES[[#This Row],[FECHA DE FACTURACIÓN]]-PROVEEDORES[[#This Row],[PLAZO Días]],0)</f>
        <v>0</v>
      </c>
      <c r="U198" s="96" t="str">
        <f>+VLOOKUP(PROVEEDORES[[#This Row],[PROVEEDOR]],Terceros!$A:$D,4,FALSE)</f>
        <v>2,5% con base</v>
      </c>
      <c r="V198" s="97">
        <f>+YEAR(PROVEEDORES[[#This Row],[FECHA DE FACTURACIÓN]])</f>
        <v>2021</v>
      </c>
      <c r="W198" s="97">
        <f>+MATCH(PROVEEDORES[[#This Row],[año facturado]],Retenciones!$1:$1,0)</f>
        <v>4</v>
      </c>
      <c r="X198" s="98">
        <f>+VLOOKUP(PROVEEDORES[[#This Row],[ID RETENCION]],Retenciones!$A$1:$O$25,PROVEEDORES[[#This Row],[indicador de columna]],FALSE)</f>
        <v>980000</v>
      </c>
      <c r="Y198" s="99">
        <f>+VLOOKUP(PROVEEDORES[[#This Row],[ID RETENCION]],Retenciones!$A$1:$O$25,2,FALSE)</f>
        <v>2.5000000000000001E-2</v>
      </c>
      <c r="Z198" s="125" t="b">
        <f>OR(COUNTIF(PROVEEDORES[[#This Row],[PROVEEDOR]],"*"&amp;'Palabra no opera'!$A$2&amp;"*"))</f>
        <v>0</v>
      </c>
      <c r="AA198" s="24"/>
      <c r="AB198" s="24"/>
      <c r="AC198" s="24"/>
      <c r="AD198" s="24"/>
      <c r="AE198" s="24"/>
    </row>
    <row r="199" spans="1:31" ht="22.2" customHeight="1" x14ac:dyDescent="0.3">
      <c r="A199" s="66" t="str">
        <f>+IF(PROVEEDORES[[#This Row],[FECHA DE PAGO]]=PROVEEDORES[[#This Row],[FECHA DE FACTURACIÓN]],"DE CONTADO","CRÉDITO")</f>
        <v>DE CONTADO</v>
      </c>
      <c r="B199" s="38" t="b">
        <f>+IF((PROVEEDORES[[#This Row],[FECHA DE PAGO]]-PROVEEDORES[[#This Row],[FECHA DE FACTURACIÓN]])&gt;PROVEEDORES[[#This Row],[PLAZO Días]],"PAGO VENCIDO")</f>
        <v>0</v>
      </c>
      <c r="C199" s="20">
        <f>+VLOOKUP(PROVEEDORES[[#This Row],[PROVEEDOR]],TERCEROS_INFO[#All],2,FALSE)</f>
        <v>30</v>
      </c>
      <c r="D199" s="25">
        <f>+SUMIFS(PROVEEDORES[Total],PROVEEDORES[PROVEEDOR],PROVEEDORES[[#This Row],[PROVEEDOR]],PROVEEDORES[FECHA DE PAGO],"")</f>
        <v>0</v>
      </c>
      <c r="E199" s="25"/>
      <c r="F199" s="58" t="str">
        <f>+VLOOKUP(PROVEEDORES[[#This Row],[PROVEEDOR]],
                       Terceros!$A:$F,
                       5,
                       FALSE)</f>
        <v/>
      </c>
      <c r="G199" s="161">
        <v>44408</v>
      </c>
      <c r="H199" s="26" t="s">
        <v>644</v>
      </c>
      <c r="I199" s="161">
        <v>44408</v>
      </c>
      <c r="J199" s="35" t="s">
        <v>598</v>
      </c>
      <c r="K199" s="21">
        <v>68000</v>
      </c>
      <c r="L199" s="21"/>
      <c r="M199" s="22">
        <f>(PROVEEDORES[[#This Row],[SUBTOTAL]]-PROVEEDORES[[#This Row],[descuento sobre subtotal]])*VLOOKUP(PROVEEDORES[[#This Row],[PROVEEDOR]],TERCEROS_INFO[#All],3,FALSE)</f>
        <v>0</v>
      </c>
      <c r="N199" s="23"/>
      <c r="O199" s="22">
        <f>+PROVEEDORES[[#This Row],[Descuento sobre subtotal %]]*(PROVEEDORES[[#This Row],[SUBTOTAL]]-PROVEEDORES[[#This Row],[descuento sobre subtotal]])</f>
        <v>0</v>
      </c>
      <c r="P199" s="83">
        <f>+IF(PROVEEDORES[[#This Row],[SUBTOTAL]]&lt;PROVEEDORES[[#This Row],[base retencion]],0,PROVEEDORES[[#This Row],[retención aplicada]])</f>
        <v>0</v>
      </c>
      <c r="Q199" s="22">
        <f>+PROVEEDORES[[#This Row],[Rete Fuente %]]*(PROVEEDORES[[#This Row],[SUBTOTAL]]-PROVEEDORES[[#This Row],[descuento sobre subtotal]])</f>
        <v>0</v>
      </c>
      <c r="R199" s="21">
        <f>+PROVEEDORES[[#This Row],[SUBTOTAL]]+PROVEEDORES[[#This Row],[IVA 19%]]-PROVEEDORES[[#This Row],[descuento sobre subtotal]]-PROVEEDORES[[#This Row],[Descuento sobre subtotal $2]]-PROVEEDORES[[#This Row],[Rete Fuente $]]</f>
        <v>68000</v>
      </c>
      <c r="S1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68">
        <f ca="1">IF(PROVEEDORES[[#This Row],[FECHA DE PAGO]]=0,TODAY()-PROVEEDORES[[#This Row],[FECHA DE FACTURACIÓN]]-PROVEEDORES[[#This Row],[PLAZO Días]],0)</f>
        <v>0</v>
      </c>
      <c r="U199" s="96">
        <f>+VLOOKUP(PROVEEDORES[[#This Row],[PROVEEDOR]],Terceros!$A:$D,4,FALSE)</f>
        <v>0</v>
      </c>
      <c r="V199" s="97">
        <f>+YEAR(PROVEEDORES[[#This Row],[FECHA DE FACTURACIÓN]])</f>
        <v>2021</v>
      </c>
      <c r="W199" s="97">
        <f>+MATCH(PROVEEDORES[[#This Row],[año facturado]],Retenciones!$1:$1,0)</f>
        <v>4</v>
      </c>
      <c r="X199" s="98">
        <f>+VLOOKUP(PROVEEDORES[[#This Row],[ID RETENCION]],Retenciones!$A$1:$O$25,PROVEEDORES[[#This Row],[indicador de columna]],FALSE)</f>
        <v>0</v>
      </c>
      <c r="Y199" s="99">
        <f>+VLOOKUP(PROVEEDORES[[#This Row],[ID RETENCION]],Retenciones!$A$1:$O$25,2,FALSE)</f>
        <v>0</v>
      </c>
      <c r="Z199" s="125" t="b">
        <f>OR(COUNTIF(PROVEEDORES[[#This Row],[PROVEEDOR]],"*"&amp;'Palabra no opera'!$A$2&amp;"*"))</f>
        <v>0</v>
      </c>
      <c r="AA199" s="24"/>
      <c r="AB199" s="24"/>
      <c r="AC199" s="24"/>
      <c r="AD199" s="24"/>
      <c r="AE199" s="24"/>
    </row>
    <row r="200" spans="1:31" ht="22.2" customHeight="1" x14ac:dyDescent="0.3">
      <c r="A200" s="133" t="str">
        <f>+IF(PROVEEDORES[[#This Row],[FECHA DE PAGO]]=PROVEEDORES[[#This Row],[FECHA DE FACTURACIÓN]],"DE CONTADO","CRÉDITO")</f>
        <v>CRÉDITO</v>
      </c>
      <c r="B200" s="38" t="b">
        <f>+IF((PROVEEDORES[[#This Row],[FECHA DE PAGO]]-PROVEEDORES[[#This Row],[FECHA DE FACTURACIÓN]])&gt;PROVEEDORES[[#This Row],[PLAZO Días]],"PAGO VENCIDO")</f>
        <v>0</v>
      </c>
      <c r="C200" s="20">
        <f>+VLOOKUP(PROVEEDORES[[#This Row],[PROVEEDOR]],TERCEROS_INFO[#All],2,FALSE)</f>
        <v>30</v>
      </c>
      <c r="D200" s="25">
        <f>+SUMIFS(PROVEEDORES[Total],PROVEEDORES[PROVEEDOR],PROVEEDORES[[#This Row],[PROVEEDOR]],PROVEEDORES[FECHA DE PAGO],"")</f>
        <v>0</v>
      </c>
      <c r="E200" s="25"/>
      <c r="F20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0" s="161">
        <v>44691</v>
      </c>
      <c r="H200" s="26" t="s">
        <v>927</v>
      </c>
      <c r="I200" s="161">
        <v>44682</v>
      </c>
      <c r="J200" s="35" t="s">
        <v>313</v>
      </c>
      <c r="K200" s="21">
        <v>68166</v>
      </c>
      <c r="L200" s="21"/>
      <c r="M200" s="22">
        <f>(PROVEEDORES[[#This Row],[SUBTOTAL]]-PROVEEDORES[[#This Row],[descuento sobre subtotal]])*VLOOKUP(PROVEEDORES[[#This Row],[PROVEEDOR]],TERCEROS_INFO[#All],3,FALSE)</f>
        <v>0</v>
      </c>
      <c r="N200" s="23"/>
      <c r="O200" s="22">
        <f>+PROVEEDORES[[#This Row],[Descuento sobre subtotal %]]*(PROVEEDORES[[#This Row],[SUBTOTAL]]-PROVEEDORES[[#This Row],[descuento sobre subtotal]])</f>
        <v>0</v>
      </c>
      <c r="P200" s="83">
        <f>+IF(PROVEEDORES[[#This Row],[SUBTOTAL]]&lt;PROVEEDORES[[#This Row],[base retencion]],0,PROVEEDORES[[#This Row],[retención aplicada]])</f>
        <v>0</v>
      </c>
      <c r="Q200" s="22">
        <f>+PROVEEDORES[[#This Row],[Rete Fuente %]]*(PROVEEDORES[[#This Row],[SUBTOTAL]]-PROVEEDORES[[#This Row],[descuento sobre subtotal]])</f>
        <v>0</v>
      </c>
      <c r="R200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0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68">
        <f ca="1">IF(PROVEEDORES[[#This Row],[FECHA DE PAGO]]=0,TODAY()-PROVEEDORES[[#This Row],[FECHA DE FACTURACIÓN]]-PROVEEDORES[[#This Row],[PLAZO Días]],0)</f>
        <v>0</v>
      </c>
      <c r="U200" s="113">
        <f>+VLOOKUP(PROVEEDORES[[#This Row],[PROVEEDOR]],Terceros!$A:$D,4,FALSE)</f>
        <v>0</v>
      </c>
      <c r="V200" s="114">
        <f>+YEAR(PROVEEDORES[[#This Row],[FECHA DE FACTURACIÓN]])</f>
        <v>2022</v>
      </c>
      <c r="W200" s="114">
        <f>+MATCH(PROVEEDORES[[#This Row],[año facturado]],Retenciones!$1:$1,0)</f>
        <v>5</v>
      </c>
      <c r="X200" s="115">
        <f>+VLOOKUP(PROVEEDORES[[#This Row],[ID RETENCION]],Retenciones!$A$1:$O$25,PROVEEDORES[[#This Row],[indicador de columna]],FALSE)</f>
        <v>0</v>
      </c>
      <c r="Y200" s="116">
        <f>+VLOOKUP(PROVEEDORES[[#This Row],[ID RETENCION]],Retenciones!$A$1:$O$25,2,FALSE)</f>
        <v>0</v>
      </c>
      <c r="Z200" s="125" t="b">
        <f>OR(COUNTIF(PROVEEDORES[[#This Row],[PROVEEDOR]],"*"&amp;'Palabra no opera'!$A$2&amp;"*"))</f>
        <v>1</v>
      </c>
      <c r="AA200" s="24"/>
      <c r="AB200" s="24"/>
      <c r="AC200" s="24"/>
      <c r="AD200" s="24"/>
      <c r="AE200" s="24"/>
    </row>
    <row r="201" spans="1:31" ht="22.2" customHeight="1" x14ac:dyDescent="0.3">
      <c r="A201" s="157" t="str">
        <f>+IF(PROVEEDORES[[#This Row],[FECHA DE PAGO]]=PROVEEDORES[[#This Row],[FECHA DE FACTURACIÓN]],"DE CONTADO","CRÉDITO")</f>
        <v>CRÉDITO</v>
      </c>
      <c r="B201" s="38" t="b">
        <f>+IF((PROVEEDORES[[#This Row],[FECHA DE PAGO]]-PROVEEDORES[[#This Row],[FECHA DE FACTURACIÓN]])&gt;PROVEEDORES[[#This Row],[PLAZO Días]],"PAGO VENCIDO")</f>
        <v>0</v>
      </c>
      <c r="C201" s="20">
        <f>+VLOOKUP(PROVEEDORES[[#This Row],[PROVEEDOR]],TERCEROS_INFO[#All],2,FALSE)</f>
        <v>30</v>
      </c>
      <c r="D201" s="25">
        <f>+SUMIFS(PROVEEDORES[Total],PROVEEDORES[PROVEEDOR],PROVEEDORES[[#This Row],[PROVEEDOR]],PROVEEDORES[FECHA DE PAGO],"")</f>
        <v>0</v>
      </c>
      <c r="E201" s="25"/>
      <c r="F20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1" s="161">
        <v>44729</v>
      </c>
      <c r="H201" s="26" t="s">
        <v>927</v>
      </c>
      <c r="I201" s="161">
        <v>44713</v>
      </c>
      <c r="J201" s="35" t="s">
        <v>313</v>
      </c>
      <c r="K201" s="21">
        <v>68166</v>
      </c>
      <c r="L201" s="21"/>
      <c r="M201" s="22">
        <f>(PROVEEDORES[[#This Row],[SUBTOTAL]]-PROVEEDORES[[#This Row],[descuento sobre subtotal]])*VLOOKUP(PROVEEDORES[[#This Row],[PROVEEDOR]],TERCEROS_INFO[#All],3,FALSE)</f>
        <v>0</v>
      </c>
      <c r="N201" s="23"/>
      <c r="O201" s="22">
        <f>+PROVEEDORES[[#This Row],[Descuento sobre subtotal %]]*(PROVEEDORES[[#This Row],[SUBTOTAL]]-PROVEEDORES[[#This Row],[descuento sobre subtotal]])</f>
        <v>0</v>
      </c>
      <c r="P201" s="83">
        <f>+IF(PROVEEDORES[[#This Row],[SUBTOTAL]]&lt;PROVEEDORES[[#This Row],[base retencion]],0,PROVEEDORES[[#This Row],[retención aplicada]])</f>
        <v>0</v>
      </c>
      <c r="Q201" s="22">
        <f>+PROVEEDORES[[#This Row],[Rete Fuente %]]*(PROVEEDORES[[#This Row],[SUBTOTAL]]-PROVEEDORES[[#This Row],[descuento sobre subtotal]])</f>
        <v>0</v>
      </c>
      <c r="R201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1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68">
        <f ca="1">IF(PROVEEDORES[[#This Row],[FECHA DE PAGO]]=0,TODAY()-PROVEEDORES[[#This Row],[FECHA DE FACTURACIÓN]]-PROVEEDORES[[#This Row],[PLAZO Días]],0)</f>
        <v>0</v>
      </c>
      <c r="U201" s="113">
        <f>+VLOOKUP(PROVEEDORES[[#This Row],[PROVEEDOR]],Terceros!$A:$D,4,FALSE)</f>
        <v>0</v>
      </c>
      <c r="V201" s="114">
        <f>+YEAR(PROVEEDORES[[#This Row],[FECHA DE FACTURACIÓN]])</f>
        <v>2022</v>
      </c>
      <c r="W201" s="114">
        <f>+MATCH(PROVEEDORES[[#This Row],[año facturado]],Retenciones!$1:$1,0)</f>
        <v>5</v>
      </c>
      <c r="X201" s="115">
        <f>+VLOOKUP(PROVEEDORES[[#This Row],[ID RETENCION]],Retenciones!$A$1:$O$25,PROVEEDORES[[#This Row],[indicador de columna]],FALSE)</f>
        <v>0</v>
      </c>
      <c r="Y201" s="116">
        <f>+VLOOKUP(PROVEEDORES[[#This Row],[ID RETENCION]],Retenciones!$A$1:$O$25,2,FALSE)</f>
        <v>0</v>
      </c>
      <c r="Z201" s="125" t="b">
        <f>OR(COUNTIF(PROVEEDORES[[#This Row],[PROVEEDOR]],"*"&amp;'Palabra no opera'!$A$2&amp;"*"))</f>
        <v>1</v>
      </c>
      <c r="AA201" s="24"/>
      <c r="AB201" s="24"/>
      <c r="AC201" s="24"/>
      <c r="AD201" s="24"/>
      <c r="AE201" s="24"/>
    </row>
    <row r="202" spans="1:31" ht="22.2" customHeight="1" x14ac:dyDescent="0.3">
      <c r="A202" s="72" t="str">
        <f>+IF(PROVEEDORES[[#This Row],[FECHA DE PAGO]]=PROVEEDORES[[#This Row],[FECHA DE FACTURACIÓN]],"DE CONTADO","CRÉDITO")</f>
        <v>CRÉDITO</v>
      </c>
      <c r="B202" s="38" t="b">
        <f>+IF((PROVEEDORES[[#This Row],[FECHA DE PAGO]]-PROVEEDORES[[#This Row],[FECHA DE FACTURACIÓN]])&gt;PROVEEDORES[[#This Row],[PLAZO Días]],"PAGO VENCIDO")</f>
        <v>0</v>
      </c>
      <c r="C202" s="20">
        <f>+VLOOKUP(PROVEEDORES[[#This Row],[PROVEEDOR]],TERCEROS_INFO[#All],2,FALSE)</f>
        <v>30</v>
      </c>
      <c r="D202" s="25">
        <f>+SUMIFS(PROVEEDORES[Total],PROVEEDORES[PROVEEDOR],PROVEEDORES[[#This Row],[PROVEEDOR]],PROVEEDORES[FECHA DE PAGO],"")</f>
        <v>0</v>
      </c>
      <c r="E202" s="25"/>
      <c r="F20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2" s="161">
        <v>44761</v>
      </c>
      <c r="H202" s="26" t="s">
        <v>927</v>
      </c>
      <c r="I202" s="161">
        <v>44743</v>
      </c>
      <c r="J202" s="35" t="s">
        <v>313</v>
      </c>
      <c r="K202" s="21">
        <v>68166</v>
      </c>
      <c r="L202" s="21"/>
      <c r="M202" s="22">
        <f>(PROVEEDORES[[#This Row],[SUBTOTAL]]-PROVEEDORES[[#This Row],[descuento sobre subtotal]])*VLOOKUP(PROVEEDORES[[#This Row],[PROVEEDOR]],TERCEROS_INFO[#All],3,FALSE)</f>
        <v>0</v>
      </c>
      <c r="N202" s="23"/>
      <c r="O202" s="22">
        <f>+PROVEEDORES[[#This Row],[Descuento sobre subtotal %]]*(PROVEEDORES[[#This Row],[SUBTOTAL]]-PROVEEDORES[[#This Row],[descuento sobre subtotal]])</f>
        <v>0</v>
      </c>
      <c r="P202" s="83">
        <f>+IF(PROVEEDORES[[#This Row],[SUBTOTAL]]&lt;PROVEEDORES[[#This Row],[base retencion]],0,PROVEEDORES[[#This Row],[retención aplicada]])</f>
        <v>0</v>
      </c>
      <c r="Q202" s="22">
        <f>+PROVEEDORES[[#This Row],[Rete Fuente %]]*(PROVEEDORES[[#This Row],[SUBTOTAL]]-PROVEEDORES[[#This Row],[descuento sobre subtotal]])</f>
        <v>0</v>
      </c>
      <c r="R202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68">
        <f ca="1">IF(PROVEEDORES[[#This Row],[FECHA DE PAGO]]=0,TODAY()-PROVEEDORES[[#This Row],[FECHA DE FACTURACIÓN]]-PROVEEDORES[[#This Row],[PLAZO Días]],0)</f>
        <v>0</v>
      </c>
      <c r="U202" s="113">
        <f>+VLOOKUP(PROVEEDORES[[#This Row],[PROVEEDOR]],Terceros!$A:$D,4,FALSE)</f>
        <v>0</v>
      </c>
      <c r="V202" s="114">
        <f>+YEAR(PROVEEDORES[[#This Row],[FECHA DE FACTURACIÓN]])</f>
        <v>2022</v>
      </c>
      <c r="W202" s="114">
        <f>+MATCH(PROVEEDORES[[#This Row],[año facturado]],Retenciones!$1:$1,0)</f>
        <v>5</v>
      </c>
      <c r="X202" s="115">
        <f>+VLOOKUP(PROVEEDORES[[#This Row],[ID RETENCION]],Retenciones!$A$1:$O$25,PROVEEDORES[[#This Row],[indicador de columna]],FALSE)</f>
        <v>0</v>
      </c>
      <c r="Y202" s="116">
        <f>+VLOOKUP(PROVEEDORES[[#This Row],[ID RETENCION]],Retenciones!$A$1:$O$25,2,FALSE)</f>
        <v>0</v>
      </c>
      <c r="Z202" s="125" t="b">
        <f>OR(COUNTIF(PROVEEDORES[[#This Row],[PROVEEDOR]],"*"&amp;'Palabra no opera'!$A$2&amp;"*"))</f>
        <v>1</v>
      </c>
      <c r="AA202" s="24"/>
      <c r="AB202" s="24"/>
      <c r="AC202" s="24"/>
      <c r="AD202" s="24"/>
      <c r="AE202" s="24"/>
    </row>
    <row r="203" spans="1:31" ht="22.2" customHeight="1" x14ac:dyDescent="0.3">
      <c r="A203" s="72" t="str">
        <f>+IF(PROVEEDORES[[#This Row],[FECHA DE PAGO]]=PROVEEDORES[[#This Row],[FECHA DE FACTURACIÓN]],"DE CONTADO","CRÉDITO")</f>
        <v>CRÉDITO</v>
      </c>
      <c r="B203" s="38" t="b">
        <f>+IF((PROVEEDORES[[#This Row],[FECHA DE PAGO]]-PROVEEDORES[[#This Row],[FECHA DE FACTURACIÓN]])&gt;PROVEEDORES[[#This Row],[PLAZO Días]],"PAGO VENCIDO")</f>
        <v>0</v>
      </c>
      <c r="C203" s="20">
        <f>+VLOOKUP(PROVEEDORES[[#This Row],[PROVEEDOR]],TERCEROS_INFO[#All],2,FALSE)</f>
        <v>30</v>
      </c>
      <c r="D203" s="25">
        <f>+SUMIFS(PROVEEDORES[Total],PROVEEDORES[PROVEEDOR],PROVEEDORES[[#This Row],[PROVEEDOR]],PROVEEDORES[FECHA DE PAGO],"")</f>
        <v>0</v>
      </c>
      <c r="E203" s="25"/>
      <c r="F20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3" s="161">
        <v>44802</v>
      </c>
      <c r="H203" s="26" t="s">
        <v>927</v>
      </c>
      <c r="I203" s="161">
        <v>44774</v>
      </c>
      <c r="J203" s="35" t="s">
        <v>313</v>
      </c>
      <c r="K203" s="21">
        <v>68166</v>
      </c>
      <c r="L203" s="21"/>
      <c r="M203" s="22">
        <f>(PROVEEDORES[[#This Row],[SUBTOTAL]]-PROVEEDORES[[#This Row],[descuento sobre subtotal]])*VLOOKUP(PROVEEDORES[[#This Row],[PROVEEDOR]],TERCEROS_INFO[#All],3,FALSE)</f>
        <v>0</v>
      </c>
      <c r="N203" s="23"/>
      <c r="O203" s="22">
        <f>+PROVEEDORES[[#This Row],[Descuento sobre subtotal %]]*(PROVEEDORES[[#This Row],[SUBTOTAL]]-PROVEEDORES[[#This Row],[descuento sobre subtotal]])</f>
        <v>0</v>
      </c>
      <c r="P203" s="83">
        <f>+IF(PROVEEDORES[[#This Row],[SUBTOTAL]]&lt;PROVEEDORES[[#This Row],[base retencion]],0,PROVEEDORES[[#This Row],[retención aplicada]])</f>
        <v>0</v>
      </c>
      <c r="Q203" s="22">
        <f>+PROVEEDORES[[#This Row],[Rete Fuente %]]*(PROVEEDORES[[#This Row],[SUBTOTAL]]-PROVEEDORES[[#This Row],[descuento sobre subtotal]])</f>
        <v>0</v>
      </c>
      <c r="R203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68">
        <f ca="1">IF(PROVEEDORES[[#This Row],[FECHA DE PAGO]]=0,TODAY()-PROVEEDORES[[#This Row],[FECHA DE FACTURACIÓN]]-PROVEEDORES[[#This Row],[PLAZO Días]],0)</f>
        <v>0</v>
      </c>
      <c r="U203" s="113">
        <f>+VLOOKUP(PROVEEDORES[[#This Row],[PROVEEDOR]],Terceros!$A:$D,4,FALSE)</f>
        <v>0</v>
      </c>
      <c r="V203" s="114">
        <f>+YEAR(PROVEEDORES[[#This Row],[FECHA DE FACTURACIÓN]])</f>
        <v>2022</v>
      </c>
      <c r="W203" s="114">
        <f>+MATCH(PROVEEDORES[[#This Row],[año facturado]],Retenciones!$1:$1,0)</f>
        <v>5</v>
      </c>
      <c r="X203" s="115">
        <f>+VLOOKUP(PROVEEDORES[[#This Row],[ID RETENCION]],Retenciones!$A$1:$O$25,PROVEEDORES[[#This Row],[indicador de columna]],FALSE)</f>
        <v>0</v>
      </c>
      <c r="Y203" s="116">
        <f>+VLOOKUP(PROVEEDORES[[#This Row],[ID RETENCION]],Retenciones!$A$1:$O$25,2,FALSE)</f>
        <v>0</v>
      </c>
      <c r="Z203" s="125" t="b">
        <f>OR(COUNTIF(PROVEEDORES[[#This Row],[PROVEEDOR]],"*"&amp;'Palabra no opera'!$A$2&amp;"*"))</f>
        <v>1</v>
      </c>
      <c r="AA203" s="24"/>
      <c r="AB203" s="24"/>
      <c r="AC203" s="24"/>
      <c r="AD203" s="24"/>
      <c r="AE203" s="24"/>
    </row>
    <row r="204" spans="1:31" ht="22.2" customHeight="1" x14ac:dyDescent="0.3">
      <c r="A204" s="221" t="str">
        <f>+IF(PROVEEDORES[[#This Row],[FECHA DE PAGO]]=PROVEEDORES[[#This Row],[FECHA DE FACTURACIÓN]],"DE CONTADO","CRÉDITO")</f>
        <v>CRÉDITO</v>
      </c>
      <c r="B204" s="38" t="b">
        <f>+IF((PROVEEDORES[[#This Row],[FECHA DE PAGO]]-PROVEEDORES[[#This Row],[FECHA DE FACTURACIÓN]])&gt;PROVEEDORES[[#This Row],[PLAZO Días]],"PAGO VENCIDO")</f>
        <v>0</v>
      </c>
      <c r="C204" s="20">
        <f>+VLOOKUP(PROVEEDORES[[#This Row],[PROVEEDOR]],TERCEROS_INFO[#All],2,FALSE)</f>
        <v>30</v>
      </c>
      <c r="D204" s="25">
        <f>+SUMIFS(PROVEEDORES[Total],PROVEEDORES[PROVEEDOR],PROVEEDORES[[#This Row],[PROVEEDOR]],PROVEEDORES[FECHA DE PAGO],"")</f>
        <v>0</v>
      </c>
      <c r="E204" s="25"/>
      <c r="F20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4" s="161">
        <v>44827</v>
      </c>
      <c r="H204" s="26" t="s">
        <v>927</v>
      </c>
      <c r="I204" s="161">
        <v>44809</v>
      </c>
      <c r="J204" s="35" t="s">
        <v>1689</v>
      </c>
      <c r="K204" s="21">
        <v>68166</v>
      </c>
      <c r="L204" s="21"/>
      <c r="M204" s="22">
        <f>(PROVEEDORES[[#This Row],[SUBTOTAL]]-PROVEEDORES[[#This Row],[descuento sobre subtotal]])*VLOOKUP(PROVEEDORES[[#This Row],[PROVEEDOR]],TERCEROS_INFO[#All],3,FALSE)</f>
        <v>0</v>
      </c>
      <c r="N204" s="23"/>
      <c r="O204" s="22">
        <f>+PROVEEDORES[[#This Row],[Descuento sobre subtotal %]]*(PROVEEDORES[[#This Row],[SUBTOTAL]]-PROVEEDORES[[#This Row],[descuento sobre subtotal]])</f>
        <v>0</v>
      </c>
      <c r="P204" s="83">
        <f>+IF(PROVEEDORES[[#This Row],[SUBTOTAL]]&lt;PROVEEDORES[[#This Row],[base retencion]],0,PROVEEDORES[[#This Row],[retención aplicada]])</f>
        <v>0</v>
      </c>
      <c r="Q204" s="22">
        <f>+PROVEEDORES[[#This Row],[Rete Fuente %]]*(PROVEEDORES[[#This Row],[SUBTOTAL]]-PROVEEDORES[[#This Row],[descuento sobre subtotal]])</f>
        <v>0</v>
      </c>
      <c r="R204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4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68">
        <f ca="1">IF(PROVEEDORES[[#This Row],[FECHA DE PAGO]]=0,TODAY()-PROVEEDORES[[#This Row],[FECHA DE FACTURACIÓN]]-PROVEEDORES[[#This Row],[PLAZO Días]],0)</f>
        <v>0</v>
      </c>
      <c r="U204" s="113">
        <f>+VLOOKUP(PROVEEDORES[[#This Row],[PROVEEDOR]],Terceros!$A:$D,4,FALSE)</f>
        <v>0</v>
      </c>
      <c r="V204" s="114">
        <f>+YEAR(PROVEEDORES[[#This Row],[FECHA DE FACTURACIÓN]])</f>
        <v>2022</v>
      </c>
      <c r="W204" s="114">
        <f>+MATCH(PROVEEDORES[[#This Row],[año facturado]],Retenciones!$1:$1,0)</f>
        <v>5</v>
      </c>
      <c r="X204" s="115">
        <f>+VLOOKUP(PROVEEDORES[[#This Row],[ID RETENCION]],Retenciones!$A$1:$O$25,PROVEEDORES[[#This Row],[indicador de columna]],FALSE)</f>
        <v>0</v>
      </c>
      <c r="Y204" s="116">
        <f>+VLOOKUP(PROVEEDORES[[#This Row],[ID RETENCION]],Retenciones!$A$1:$O$25,2,FALSE)</f>
        <v>0</v>
      </c>
      <c r="Z204" s="125" t="b">
        <f>OR(COUNTIF(PROVEEDORES[[#This Row],[PROVEEDOR]],"*"&amp;'Palabra no opera'!$A$2&amp;"*"))</f>
        <v>1</v>
      </c>
      <c r="AA204" s="24"/>
      <c r="AB204" s="24"/>
      <c r="AC204" s="24"/>
      <c r="AD204" s="24"/>
      <c r="AE204" s="24"/>
    </row>
    <row r="205" spans="1:31" ht="22.2" customHeight="1" x14ac:dyDescent="0.3">
      <c r="A205" s="269" t="str">
        <f>+IF(PROVEEDORES[[#This Row],[FECHA DE PAGO]]=PROVEEDORES[[#This Row],[FECHA DE FACTURACIÓN]],"DE CONTADO","CRÉDITO")</f>
        <v>CRÉDITO</v>
      </c>
      <c r="B205" s="38" t="b">
        <f>+IF((PROVEEDORES[[#This Row],[FECHA DE PAGO]]-PROVEEDORES[[#This Row],[FECHA DE FACTURACIÓN]])&gt;PROVEEDORES[[#This Row],[PLAZO Días]],"PAGO VENCIDO")</f>
        <v>0</v>
      </c>
      <c r="C205" s="20">
        <f>+VLOOKUP(PROVEEDORES[[#This Row],[PROVEEDOR]],TERCEROS_INFO[#All],2,FALSE)</f>
        <v>30</v>
      </c>
      <c r="D205" s="25">
        <f>+SUMIFS(PROVEEDORES[Total],PROVEEDORES[PROVEEDOR],PROVEEDORES[[#This Row],[PROVEEDOR]],PROVEEDORES[FECHA DE PAGO],"")</f>
        <v>0</v>
      </c>
      <c r="E205" s="25"/>
      <c r="F20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5" s="161">
        <v>44858</v>
      </c>
      <c r="H205" s="26" t="s">
        <v>927</v>
      </c>
      <c r="I205" s="161">
        <v>44838</v>
      </c>
      <c r="J205" s="35" t="s">
        <v>1785</v>
      </c>
      <c r="K205" s="21">
        <v>68166</v>
      </c>
      <c r="L205" s="21"/>
      <c r="M205" s="22">
        <f>(PROVEEDORES[[#This Row],[SUBTOTAL]]-PROVEEDORES[[#This Row],[descuento sobre subtotal]])*VLOOKUP(PROVEEDORES[[#This Row],[PROVEEDOR]],TERCEROS_INFO[#All],3,FALSE)</f>
        <v>0</v>
      </c>
      <c r="N205" s="23"/>
      <c r="O205" s="22">
        <f>+PROVEEDORES[[#This Row],[Descuento sobre subtotal %]]*(PROVEEDORES[[#This Row],[SUBTOTAL]]-PROVEEDORES[[#This Row],[descuento sobre subtotal]])</f>
        <v>0</v>
      </c>
      <c r="P205" s="83">
        <f>+IF(PROVEEDORES[[#This Row],[SUBTOTAL]]&lt;PROVEEDORES[[#This Row],[base retencion]],0,PROVEEDORES[[#This Row],[retención aplicada]])</f>
        <v>0</v>
      </c>
      <c r="Q205" s="22">
        <f>+PROVEEDORES[[#This Row],[Rete Fuente %]]*(PROVEEDORES[[#This Row],[SUBTOTAL]]-PROVEEDORES[[#This Row],[descuento sobre subtotal]])</f>
        <v>0</v>
      </c>
      <c r="R205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5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68">
        <f ca="1">IF(PROVEEDORES[[#This Row],[FECHA DE PAGO]]=0,TODAY()-PROVEEDORES[[#This Row],[FECHA DE FACTURACIÓN]]-PROVEEDORES[[#This Row],[PLAZO Días]],0)</f>
        <v>0</v>
      </c>
      <c r="U205" s="113">
        <f>+VLOOKUP(PROVEEDORES[[#This Row],[PROVEEDOR]],Terceros!$A:$D,4,FALSE)</f>
        <v>0</v>
      </c>
      <c r="V205" s="114">
        <f>+YEAR(PROVEEDORES[[#This Row],[FECHA DE FACTURACIÓN]])</f>
        <v>2022</v>
      </c>
      <c r="W205" s="114">
        <f>+MATCH(PROVEEDORES[[#This Row],[año facturado]],Retenciones!$1:$1,0)</f>
        <v>5</v>
      </c>
      <c r="X205" s="115">
        <f>+VLOOKUP(PROVEEDORES[[#This Row],[ID RETENCION]],Retenciones!$A$1:$O$25,PROVEEDORES[[#This Row],[indicador de columna]],FALSE)</f>
        <v>0</v>
      </c>
      <c r="Y205" s="116">
        <f>+VLOOKUP(PROVEEDORES[[#This Row],[ID RETENCION]],Retenciones!$A$1:$O$25,2,FALSE)</f>
        <v>0</v>
      </c>
      <c r="Z205" s="125" t="b">
        <f>OR(COUNTIF(PROVEEDORES[[#This Row],[PROVEEDOR]],"*"&amp;'Palabra no opera'!$A$2&amp;"*"))</f>
        <v>1</v>
      </c>
      <c r="AA205" s="24"/>
      <c r="AB205" s="24"/>
      <c r="AC205" s="24"/>
      <c r="AD205" s="24"/>
      <c r="AE205" s="24"/>
    </row>
    <row r="206" spans="1:31" ht="22.2" customHeight="1" x14ac:dyDescent="0.3">
      <c r="A206" s="66" t="str">
        <f>+IF(PROVEEDORES[[#This Row],[FECHA DE PAGO]]=PROVEEDORES[[#This Row],[FECHA DE FACTURACIÓN]],"DE CONTADO","CRÉDITO")</f>
        <v>CRÉDITO</v>
      </c>
      <c r="B206" s="38" t="b">
        <f>+IF((PROVEEDORES[[#This Row],[FECHA DE PAGO]]-PROVEEDORES[[#This Row],[FECHA DE FACTURACIÓN]])&gt;PROVEEDORES[[#This Row],[PLAZO Días]],"PAGO VENCIDO")</f>
        <v>0</v>
      </c>
      <c r="C206" s="20">
        <f>+VLOOKUP(PROVEEDORES[[#This Row],[PROVEEDOR]],TERCEROS_INFO[#All],2,FALSE)</f>
        <v>30</v>
      </c>
      <c r="D206" s="25">
        <f>+SUMIFS(PROVEEDORES[Total],PROVEEDORES[PROVEEDOR],PROVEEDORES[[#This Row],[PROVEEDOR]],PROVEEDORES[FECHA DE PAGO],"")</f>
        <v>4024829</v>
      </c>
      <c r="E206" s="25"/>
      <c r="F20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06" s="161">
        <v>44403</v>
      </c>
      <c r="H206" s="26" t="s">
        <v>345</v>
      </c>
      <c r="I206" s="161">
        <v>44389</v>
      </c>
      <c r="J206" s="35" t="s">
        <v>416</v>
      </c>
      <c r="K206" s="21">
        <v>69726</v>
      </c>
      <c r="L206" s="21"/>
      <c r="M206" s="22">
        <f>(PROVEEDORES[[#This Row],[SUBTOTAL]]-PROVEEDORES[[#This Row],[descuento sobre subtotal]])*VLOOKUP(PROVEEDORES[[#This Row],[PROVEEDOR]],TERCEROS_INFO[#All],3,FALSE)</f>
        <v>0</v>
      </c>
      <c r="N206" s="23"/>
      <c r="O206" s="22">
        <f>+PROVEEDORES[[#This Row],[Descuento sobre subtotal %]]*(PROVEEDORES[[#This Row],[SUBTOTAL]]-PROVEEDORES[[#This Row],[descuento sobre subtotal]])</f>
        <v>0</v>
      </c>
      <c r="P206" s="83">
        <f>+IF(PROVEEDORES[[#This Row],[SUBTOTAL]]&lt;PROVEEDORES[[#This Row],[base retencion]],0,PROVEEDORES[[#This Row],[retención aplicada]])</f>
        <v>0</v>
      </c>
      <c r="Q206" s="22">
        <f>+PROVEEDORES[[#This Row],[Rete Fuente %]]*(PROVEEDORES[[#This Row],[SUBTOTAL]]-PROVEEDORES[[#This Row],[descuento sobre subtotal]])</f>
        <v>0</v>
      </c>
      <c r="R206" s="21">
        <f>+PROVEEDORES[[#This Row],[SUBTOTAL]]+PROVEEDORES[[#This Row],[IVA 19%]]-PROVEEDORES[[#This Row],[descuento sobre subtotal]]-PROVEEDORES[[#This Row],[Descuento sobre subtotal $2]]-PROVEEDORES[[#This Row],[Rete Fuente $]]</f>
        <v>69726</v>
      </c>
      <c r="S2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68">
        <f ca="1">IF(PROVEEDORES[[#This Row],[FECHA DE PAGO]]=0,TODAY()-PROVEEDORES[[#This Row],[FECHA DE FACTURACIÓN]]-PROVEEDORES[[#This Row],[PLAZO Días]],0)</f>
        <v>0</v>
      </c>
      <c r="U206" s="96">
        <f>+VLOOKUP(PROVEEDORES[[#This Row],[PROVEEDOR]],Terceros!$A:$D,4,FALSE)</f>
        <v>0</v>
      </c>
      <c r="V206" s="97">
        <f>+YEAR(PROVEEDORES[[#This Row],[FECHA DE FACTURACIÓN]])</f>
        <v>2021</v>
      </c>
      <c r="W206" s="97">
        <f>+MATCH(PROVEEDORES[[#This Row],[año facturado]],Retenciones!$1:$1,0)</f>
        <v>4</v>
      </c>
      <c r="X206" s="98">
        <f>+VLOOKUP(PROVEEDORES[[#This Row],[ID RETENCION]],Retenciones!$A$1:$O$25,PROVEEDORES[[#This Row],[indicador de columna]],FALSE)</f>
        <v>0</v>
      </c>
      <c r="Y206" s="99">
        <f>+VLOOKUP(PROVEEDORES[[#This Row],[ID RETENCION]],Retenciones!$A$1:$O$25,2,FALSE)</f>
        <v>0</v>
      </c>
      <c r="Z206" s="125" t="b">
        <f>OR(COUNTIF(PROVEEDORES[[#This Row],[PROVEEDOR]],"*"&amp;'Palabra no opera'!$A$2&amp;"*"))</f>
        <v>0</v>
      </c>
      <c r="AA206" s="24"/>
      <c r="AB206" s="24"/>
      <c r="AC206" s="24"/>
      <c r="AD206" s="24"/>
      <c r="AE206" s="24"/>
    </row>
    <row r="207" spans="1:31" ht="22.2" customHeight="1" x14ac:dyDescent="0.3">
      <c r="A207" s="66" t="str">
        <f>+IF(PROVEEDORES[[#This Row],[FECHA DE PAGO]]=PROVEEDORES[[#This Row],[FECHA DE FACTURACIÓN]],"DE CONTADO","CRÉDITO")</f>
        <v>DE CONTADO</v>
      </c>
      <c r="B207" s="38" t="b">
        <f>+IF((PROVEEDORES[[#This Row],[FECHA DE PAGO]]-PROVEEDORES[[#This Row],[FECHA DE FACTURACIÓN]])&gt;PROVEEDORES[[#This Row],[PLAZO Días]],"PAGO VENCIDO")</f>
        <v>0</v>
      </c>
      <c r="C207" s="20">
        <f>+VLOOKUP(PROVEEDORES[[#This Row],[PROVEEDOR]],TERCEROS_INFO[#All],2,FALSE)</f>
        <v>30</v>
      </c>
      <c r="D207" s="25">
        <f>+SUMIFS(PROVEEDORES[Total],PROVEEDORES[PROVEEDOR],PROVEEDORES[[#This Row],[PROVEEDOR]],PROVEEDORES[FECHA DE PAGO],"")</f>
        <v>0</v>
      </c>
      <c r="E207" s="25"/>
      <c r="F207" s="58" t="str">
        <f>+VLOOKUP(PROVEEDORES[[#This Row],[PROVEEDOR]],
                       Terceros!$A:$F,
                       5,
                       FALSE)</f>
        <v/>
      </c>
      <c r="G207" s="161">
        <v>44630</v>
      </c>
      <c r="H207" s="26" t="s">
        <v>1130</v>
      </c>
      <c r="I207" s="161">
        <v>44630</v>
      </c>
      <c r="J207" s="35" t="s">
        <v>675</v>
      </c>
      <c r="K207" s="21">
        <v>70000</v>
      </c>
      <c r="L207" s="21"/>
      <c r="M207" s="22">
        <v>0</v>
      </c>
      <c r="N207" s="23"/>
      <c r="O207" s="22">
        <v>0</v>
      </c>
      <c r="P207" s="83">
        <f>+IF(PROVEEDORES[[#This Row],[SUBTOTAL]]&lt;PROVEEDORES[[#This Row],[base retencion]],0,PROVEEDORES[[#This Row],[retención aplicada]])</f>
        <v>0</v>
      </c>
      <c r="Q207" s="22">
        <f>+PROVEEDORES[[#This Row],[Rete Fuente %]]*(PROVEEDORES[[#This Row],[SUBTOTAL]]-PROVEEDORES[[#This Row],[descuento sobre subtotal]])</f>
        <v>0</v>
      </c>
      <c r="R207" s="21">
        <v>70000</v>
      </c>
      <c r="S2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68">
        <f ca="1">IF(PROVEEDORES[[#This Row],[FECHA DE PAGO]]=0,TODAY()-PROVEEDORES[[#This Row],[FECHA DE FACTURACIÓN]]-PROVEEDORES[[#This Row],[PLAZO Días]],0)</f>
        <v>0</v>
      </c>
      <c r="U207" s="96">
        <f>+VLOOKUP(PROVEEDORES[[#This Row],[PROVEEDOR]],Terceros!$A:$D,4,FALSE)</f>
        <v>0</v>
      </c>
      <c r="V207" s="97">
        <f>+YEAR(PROVEEDORES[[#This Row],[FECHA DE FACTURACIÓN]])</f>
        <v>2022</v>
      </c>
      <c r="W207" s="97">
        <f>+MATCH(PROVEEDORES[[#This Row],[año facturado]],Retenciones!$1:$1,0)</f>
        <v>5</v>
      </c>
      <c r="X207" s="98">
        <f>+VLOOKUP(PROVEEDORES[[#This Row],[ID RETENCION]],Retenciones!$A$1:$O$25,PROVEEDORES[[#This Row],[indicador de columna]],FALSE)</f>
        <v>0</v>
      </c>
      <c r="Y207" s="99">
        <f>+VLOOKUP(PROVEEDORES[[#This Row],[ID RETENCION]],Retenciones!$A$1:$O$25,2,FALSE)</f>
        <v>0</v>
      </c>
      <c r="Z207" s="125" t="b">
        <f>OR(COUNTIF(PROVEEDORES[[#This Row],[PROVEEDOR]],"*"&amp;'Palabra no opera'!$A$2&amp;"*"))</f>
        <v>1</v>
      </c>
      <c r="AA207" s="24"/>
      <c r="AB207" s="24"/>
      <c r="AC207" s="24"/>
      <c r="AD207" s="24"/>
      <c r="AE207" s="24"/>
    </row>
    <row r="208" spans="1:31" ht="22.2" customHeight="1" x14ac:dyDescent="0.3">
      <c r="A208" s="66" t="str">
        <f>+IF(PROVEEDORES[[#This Row],[FECHA DE PAGO]]=PROVEEDORES[[#This Row],[FECHA DE FACTURACIÓN]],"DE CONTADO","CRÉDITO")</f>
        <v>DE CONTADO</v>
      </c>
      <c r="B208" s="38" t="b">
        <f>+IF((PROVEEDORES[[#This Row],[FECHA DE PAGO]]-PROVEEDORES[[#This Row],[FECHA DE FACTURACIÓN]])&gt;PROVEEDORES[[#This Row],[PLAZO Días]],"PAGO VENCIDO")</f>
        <v>0</v>
      </c>
      <c r="C208" s="20">
        <f>+VLOOKUP(PROVEEDORES[[#This Row],[PROVEEDOR]],TERCEROS_INFO[#All],2,FALSE)</f>
        <v>30</v>
      </c>
      <c r="D208" s="25">
        <f>+SUMIFS(PROVEEDORES[Total],PROVEEDORES[PROVEEDOR],PROVEEDORES[[#This Row],[PROVEEDOR]],PROVEEDORES[FECHA DE PAGO],"")</f>
        <v>0</v>
      </c>
      <c r="E208" s="25"/>
      <c r="F208" s="58" t="str">
        <f>+VLOOKUP(PROVEEDORES[[#This Row],[PROVEEDOR]],
                       Terceros!$A:$F,
                       5,
                       FALSE)</f>
        <v/>
      </c>
      <c r="G208" s="161">
        <v>44316</v>
      </c>
      <c r="H208" s="26" t="s">
        <v>644</v>
      </c>
      <c r="I208" s="161">
        <v>44316</v>
      </c>
      <c r="J208" s="35" t="s">
        <v>174</v>
      </c>
      <c r="K208" s="21">
        <v>71400</v>
      </c>
      <c r="L208" s="21"/>
      <c r="M208" s="22">
        <f>(PROVEEDORES[[#This Row],[SUBTOTAL]]-PROVEEDORES[[#This Row],[descuento sobre subtotal]])*VLOOKUP(PROVEEDORES[[#This Row],[PROVEEDOR]],TERCEROS_INFO[#All],3,FALSE)</f>
        <v>0</v>
      </c>
      <c r="N208" s="23"/>
      <c r="O208" s="22">
        <f>+PROVEEDORES[[#This Row],[Descuento sobre subtotal %]]*(PROVEEDORES[[#This Row],[SUBTOTAL]]-PROVEEDORES[[#This Row],[descuento sobre subtotal]])</f>
        <v>0</v>
      </c>
      <c r="P208" s="83">
        <f>+IF(PROVEEDORES[[#This Row],[SUBTOTAL]]&lt;PROVEEDORES[[#This Row],[base retencion]],0,PROVEEDORES[[#This Row],[retención aplicada]])</f>
        <v>0</v>
      </c>
      <c r="Q208" s="22">
        <f>+PROVEEDORES[[#This Row],[Rete Fuente %]]*(PROVEEDORES[[#This Row],[SUBTOTAL]]-PROVEEDORES[[#This Row],[descuento sobre subtotal]])</f>
        <v>0</v>
      </c>
      <c r="R208" s="21">
        <f>+PROVEEDORES[[#This Row],[SUBTOTAL]]+PROVEEDORES[[#This Row],[IVA 19%]]-PROVEEDORES[[#This Row],[descuento sobre subtotal]]-PROVEEDORES[[#This Row],[Descuento sobre subtotal $2]]-PROVEEDORES[[#This Row],[Rete Fuente $]]</f>
        <v>71400</v>
      </c>
      <c r="S2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68">
        <f ca="1">IF(PROVEEDORES[[#This Row],[FECHA DE PAGO]]=0,TODAY()-PROVEEDORES[[#This Row],[FECHA DE FACTURACIÓN]]-PROVEEDORES[[#This Row],[PLAZO Días]],0)</f>
        <v>0</v>
      </c>
      <c r="U208" s="96">
        <f>+VLOOKUP(PROVEEDORES[[#This Row],[PROVEEDOR]],Terceros!$A:$D,4,FALSE)</f>
        <v>0</v>
      </c>
      <c r="V208" s="97">
        <f>+YEAR(PROVEEDORES[[#This Row],[FECHA DE FACTURACIÓN]])</f>
        <v>2021</v>
      </c>
      <c r="W208" s="97">
        <f>+MATCH(PROVEEDORES[[#This Row],[año facturado]],Retenciones!$1:$1,0)</f>
        <v>4</v>
      </c>
      <c r="X208" s="98">
        <f>+VLOOKUP(PROVEEDORES[[#This Row],[ID RETENCION]],Retenciones!$A$1:$O$25,PROVEEDORES[[#This Row],[indicador de columna]],FALSE)</f>
        <v>0</v>
      </c>
      <c r="Y208" s="99">
        <f>+VLOOKUP(PROVEEDORES[[#This Row],[ID RETENCION]],Retenciones!$A$1:$O$25,2,FALSE)</f>
        <v>0</v>
      </c>
      <c r="Z208" s="125" t="b">
        <f>OR(COUNTIF(PROVEEDORES[[#This Row],[PROVEEDOR]],"*"&amp;'Palabra no opera'!$A$2&amp;"*"))</f>
        <v>0</v>
      </c>
      <c r="AA208" s="24"/>
      <c r="AB208" s="24"/>
      <c r="AC208" s="24"/>
      <c r="AD208" s="24"/>
      <c r="AE208" s="24"/>
    </row>
    <row r="209" spans="1:31" ht="22.2" customHeight="1" x14ac:dyDescent="0.3">
      <c r="A209" s="213" t="str">
        <f>+IF(PROVEEDORES[[#This Row],[FECHA DE PAGO]]=PROVEEDORES[[#This Row],[FECHA DE FACTURACIÓN]],"DE CONTADO","CRÉDITO")</f>
        <v>DE CONTADO</v>
      </c>
      <c r="B209" s="38" t="b">
        <f>+IF((PROVEEDORES[[#This Row],[FECHA DE PAGO]]-PROVEEDORES[[#This Row],[FECHA DE FACTURACIÓN]])&gt;PROVEEDORES[[#This Row],[PLAZO Días]],"PAGO VENCIDO")</f>
        <v>0</v>
      </c>
      <c r="C209" s="20">
        <f>+VLOOKUP(PROVEEDORES[[#This Row],[PROVEEDOR]],TERCEROS_INFO[#All],2,FALSE)</f>
        <v>30</v>
      </c>
      <c r="D209" s="25">
        <f>+SUMIFS(PROVEEDORES[Total],PROVEEDORES[PROVEEDOR],PROVEEDORES[[#This Row],[PROVEEDOR]],PROVEEDORES[FECHA DE PAGO],"")</f>
        <v>0</v>
      </c>
      <c r="E209" s="25"/>
      <c r="F209" s="58" t="str">
        <f>+VLOOKUP(PROVEEDORES[[#This Row],[PROVEEDOR]],
                       Terceros!$A:$F,
                       5,
                       FALSE)</f>
        <v/>
      </c>
      <c r="G209" s="161">
        <v>44804</v>
      </c>
      <c r="H209" s="26" t="s">
        <v>644</v>
      </c>
      <c r="I209" s="161">
        <v>44804</v>
      </c>
      <c r="J209" s="35" t="s">
        <v>945</v>
      </c>
      <c r="K209" s="21">
        <v>71500</v>
      </c>
      <c r="L209" s="21"/>
      <c r="M209" s="22">
        <f>(PROVEEDORES[[#This Row],[SUBTOTAL]]-PROVEEDORES[[#This Row],[descuento sobre subtotal]])*VLOOKUP(PROVEEDORES[[#This Row],[PROVEEDOR]],TERCEROS_INFO[#All],3,FALSE)</f>
        <v>0</v>
      </c>
      <c r="N209" s="23"/>
      <c r="O209" s="22">
        <f>+PROVEEDORES[[#This Row],[Descuento sobre subtotal %]]*(PROVEEDORES[[#This Row],[SUBTOTAL]]-PROVEEDORES[[#This Row],[descuento sobre subtotal]])</f>
        <v>0</v>
      </c>
      <c r="P209" s="83">
        <f>+IF(PROVEEDORES[[#This Row],[SUBTOTAL]]&lt;PROVEEDORES[[#This Row],[base retencion]],0,PROVEEDORES[[#This Row],[retención aplicada]])</f>
        <v>0</v>
      </c>
      <c r="Q209" s="22">
        <f>+PROVEEDORES[[#This Row],[Rete Fuente %]]*(PROVEEDORES[[#This Row],[SUBTOTAL]]-PROVEEDORES[[#This Row],[descuento sobre subtotal]])</f>
        <v>0</v>
      </c>
      <c r="R209" s="21">
        <f>+PROVEEDORES[[#This Row],[SUBTOTAL]]+PROVEEDORES[[#This Row],[IVA 19%]]-PROVEEDORES[[#This Row],[descuento sobre subtotal]]-PROVEEDORES[[#This Row],[Descuento sobre subtotal $2]]-PROVEEDORES[[#This Row],[Rete Fuente $]]</f>
        <v>71500</v>
      </c>
      <c r="S209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68">
        <f ca="1">IF(PROVEEDORES[[#This Row],[FECHA DE PAGO]]=0,TODAY()-PROVEEDORES[[#This Row],[FECHA DE FACTURACIÓN]]-PROVEEDORES[[#This Row],[PLAZO Días]],0)</f>
        <v>0</v>
      </c>
      <c r="U209" s="113">
        <f>+VLOOKUP(PROVEEDORES[[#This Row],[PROVEEDOR]],Terceros!$A:$D,4,FALSE)</f>
        <v>0</v>
      </c>
      <c r="V209" s="114">
        <f>+YEAR(PROVEEDORES[[#This Row],[FECHA DE FACTURACIÓN]])</f>
        <v>2022</v>
      </c>
      <c r="W209" s="114">
        <f>+MATCH(PROVEEDORES[[#This Row],[año facturado]],Retenciones!$1:$1,0)</f>
        <v>5</v>
      </c>
      <c r="X209" s="115">
        <f>+VLOOKUP(PROVEEDORES[[#This Row],[ID RETENCION]],Retenciones!$A$1:$O$25,PROVEEDORES[[#This Row],[indicador de columna]],FALSE)</f>
        <v>0</v>
      </c>
      <c r="Y209" s="116">
        <f>+VLOOKUP(PROVEEDORES[[#This Row],[ID RETENCION]],Retenciones!$A$1:$O$25,2,FALSE)</f>
        <v>0</v>
      </c>
      <c r="Z209" s="125" t="b">
        <f>OR(COUNTIF(PROVEEDORES[[#This Row],[PROVEEDOR]],"*"&amp;'Palabra no opera'!$A$2&amp;"*"))</f>
        <v>0</v>
      </c>
      <c r="AA209" s="24"/>
      <c r="AB209" s="24"/>
      <c r="AC209" s="24"/>
      <c r="AD209" s="24"/>
      <c r="AE209" s="24"/>
    </row>
    <row r="210" spans="1:31" ht="22.2" customHeight="1" x14ac:dyDescent="0.3">
      <c r="A210" s="66" t="str">
        <f>+IF(PROVEEDORES[[#This Row],[FECHA DE PAGO]]=PROVEEDORES[[#This Row],[FECHA DE FACTURACIÓN]],"DE CONTADO","CRÉDITO")</f>
        <v>DE CONTADO</v>
      </c>
      <c r="B210" s="38" t="b">
        <f>+IF((PROVEEDORES[[#This Row],[FECHA DE PAGO]]-PROVEEDORES[[#This Row],[FECHA DE FACTURACIÓN]])&gt;PROVEEDORES[[#This Row],[PLAZO Días]],"PAGO VENCIDO")</f>
        <v>0</v>
      </c>
      <c r="C210" s="20">
        <f>+VLOOKUP(PROVEEDORES[[#This Row],[PROVEEDOR]],TERCEROS_INFO[#All],2,FALSE)</f>
        <v>30</v>
      </c>
      <c r="D210" s="25">
        <f>+SUMIFS(PROVEEDORES[Total],PROVEEDORES[PROVEEDOR],PROVEEDORES[[#This Row],[PROVEEDOR]],PROVEEDORES[FECHA DE PAGO],"")</f>
        <v>1468491.82</v>
      </c>
      <c r="E210" s="25"/>
      <c r="F21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0" s="161">
        <v>44321</v>
      </c>
      <c r="H210" s="26" t="s">
        <v>1638</v>
      </c>
      <c r="I210" s="161">
        <v>44321</v>
      </c>
      <c r="J210" s="35" t="s">
        <v>322</v>
      </c>
      <c r="K210" s="21">
        <v>60504</v>
      </c>
      <c r="L210" s="21"/>
      <c r="M210" s="22">
        <f>(PROVEEDORES[[#This Row],[SUBTOTAL]]-PROVEEDORES[[#This Row],[descuento sobre subtotal]])*VLOOKUP(PROVEEDORES[[#This Row],[PROVEEDOR]],TERCEROS_INFO[#All],3,FALSE)</f>
        <v>11495.76</v>
      </c>
      <c r="N210" s="23"/>
      <c r="O210" s="22">
        <f>+PROVEEDORES[[#This Row],[Descuento sobre subtotal %]]*(PROVEEDORES[[#This Row],[SUBTOTAL]]-PROVEEDORES[[#This Row],[descuento sobre subtotal]])</f>
        <v>0</v>
      </c>
      <c r="P210" s="83">
        <f>+IF(PROVEEDORES[[#This Row],[SUBTOTAL]]&lt;PROVEEDORES[[#This Row],[base retencion]],0,PROVEEDORES[[#This Row],[retención aplicada]])</f>
        <v>0</v>
      </c>
      <c r="Q210" s="22">
        <f>+PROVEEDORES[[#This Row],[Rete Fuente %]]*(PROVEEDORES[[#This Row],[SUBTOTAL]]-PROVEEDORES[[#This Row],[descuento sobre subtotal]])</f>
        <v>0</v>
      </c>
      <c r="R210" s="21">
        <f>+PROVEEDORES[[#This Row],[SUBTOTAL]]+PROVEEDORES[[#This Row],[IVA 19%]]-PROVEEDORES[[#This Row],[descuento sobre subtotal]]-PROVEEDORES[[#This Row],[Descuento sobre subtotal $2]]-PROVEEDORES[[#This Row],[Rete Fuente $]]</f>
        <v>71999.759999999995</v>
      </c>
      <c r="S2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68">
        <f ca="1">IF(PROVEEDORES[[#This Row],[FECHA DE PAGO]]=0,TODAY()-PROVEEDORES[[#This Row],[FECHA DE FACTURACIÓN]]-PROVEEDORES[[#This Row],[PLAZO Días]],0)</f>
        <v>0</v>
      </c>
      <c r="U210" s="96" t="str">
        <f>+VLOOKUP(PROVEEDORES[[#This Row],[PROVEEDOR]],Terceros!$A:$D,4,FALSE)</f>
        <v>2,5% con base</v>
      </c>
      <c r="V210" s="97">
        <f>+YEAR(PROVEEDORES[[#This Row],[FECHA DE FACTURACIÓN]])</f>
        <v>2021</v>
      </c>
      <c r="W210" s="97">
        <f>+MATCH(PROVEEDORES[[#This Row],[año facturado]],Retenciones!$1:$1,0)</f>
        <v>4</v>
      </c>
      <c r="X210" s="98">
        <f>+VLOOKUP(PROVEEDORES[[#This Row],[ID RETENCION]],Retenciones!$A$1:$O$25,PROVEEDORES[[#This Row],[indicador de columna]],FALSE)</f>
        <v>980000</v>
      </c>
      <c r="Y210" s="99">
        <f>+VLOOKUP(PROVEEDORES[[#This Row],[ID RETENCION]],Retenciones!$A$1:$O$25,2,FALSE)</f>
        <v>2.5000000000000001E-2</v>
      </c>
      <c r="Z210" s="125" t="b">
        <f>OR(COUNTIF(PROVEEDORES[[#This Row],[PROVEEDOR]],"*"&amp;'Palabra no opera'!$A$2&amp;"*"))</f>
        <v>0</v>
      </c>
      <c r="AA210" s="24"/>
      <c r="AB210" s="24"/>
      <c r="AC210" s="24"/>
      <c r="AD210" s="24"/>
      <c r="AE210" s="24"/>
    </row>
    <row r="211" spans="1:31" ht="22.2" customHeight="1" x14ac:dyDescent="0.3">
      <c r="A211" s="66" t="str">
        <f>+IF(PROVEEDORES[[#This Row],[FECHA DE PAGO]]=PROVEEDORES[[#This Row],[FECHA DE FACTURACIÓN]],"DE CONTADO","CRÉDITO")</f>
        <v>DE CONTADO</v>
      </c>
      <c r="B211" s="38" t="b">
        <f>+IF((PROVEEDORES[[#This Row],[FECHA DE PAGO]]-PROVEEDORES[[#This Row],[FECHA DE FACTURACIÓN]])&gt;PROVEEDORES[[#This Row],[PLAZO Días]],"PAGO VENCIDO")</f>
        <v>0</v>
      </c>
      <c r="C211" s="20">
        <f>+VLOOKUP(PROVEEDORES[[#This Row],[PROVEEDOR]],TERCEROS_INFO[#All],2,FALSE)</f>
        <v>30</v>
      </c>
      <c r="D211" s="25">
        <f>+SUMIFS(PROVEEDORES[Total],PROVEEDORES[PROVEEDOR],PROVEEDORES[[#This Row],[PROVEEDOR]],PROVEEDORES[FECHA DE PAGO],"")</f>
        <v>0</v>
      </c>
      <c r="E211" s="25"/>
      <c r="F211" s="58" t="str">
        <f>+VLOOKUP(PROVEEDORES[[#This Row],[PROVEEDOR]],
                       Terceros!$A:$F,
                       5,
                       FALSE)</f>
        <v/>
      </c>
      <c r="G211" s="161">
        <v>44369</v>
      </c>
      <c r="H211" s="26" t="s">
        <v>1130</v>
      </c>
      <c r="I211" s="161">
        <v>44369</v>
      </c>
      <c r="J211" s="35"/>
      <c r="K211" s="21">
        <v>74500</v>
      </c>
      <c r="L211" s="21"/>
      <c r="M211" s="22">
        <f>(PROVEEDORES[[#This Row],[SUBTOTAL]]-PROVEEDORES[[#This Row],[descuento sobre subtotal]])*VLOOKUP(PROVEEDORES[[#This Row],[PROVEEDOR]],TERCEROS_INFO[#All],3,FALSE)</f>
        <v>0</v>
      </c>
      <c r="N211" s="23"/>
      <c r="O211" s="22">
        <f>+PROVEEDORES[[#This Row],[Descuento sobre subtotal %]]*(PROVEEDORES[[#This Row],[SUBTOTAL]]-PROVEEDORES[[#This Row],[descuento sobre subtotal]])</f>
        <v>0</v>
      </c>
      <c r="P211" s="83">
        <f>+IF(PROVEEDORES[[#This Row],[SUBTOTAL]]&lt;PROVEEDORES[[#This Row],[base retencion]],0,PROVEEDORES[[#This Row],[retención aplicada]])</f>
        <v>0</v>
      </c>
      <c r="Q211" s="22">
        <f>+PROVEEDORES[[#This Row],[Rete Fuente %]]*(PROVEEDORES[[#This Row],[SUBTOTAL]]-PROVEEDORES[[#This Row],[descuento sobre subtotal]])</f>
        <v>0</v>
      </c>
      <c r="R211" s="21">
        <f>+PROVEEDORES[[#This Row],[SUBTOTAL]]+PROVEEDORES[[#This Row],[IVA 19%]]-PROVEEDORES[[#This Row],[descuento sobre subtotal]]-PROVEEDORES[[#This Row],[Descuento sobre subtotal $2]]-PROVEEDORES[[#This Row],[Rete Fuente $]]</f>
        <v>74500</v>
      </c>
      <c r="S2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68">
        <f ca="1">IF(PROVEEDORES[[#This Row],[FECHA DE PAGO]]=0,TODAY()-PROVEEDORES[[#This Row],[FECHA DE FACTURACIÓN]]-PROVEEDORES[[#This Row],[PLAZO Días]],0)</f>
        <v>0</v>
      </c>
      <c r="U211" s="96">
        <f>+VLOOKUP(PROVEEDORES[[#This Row],[PROVEEDOR]],Terceros!$A:$D,4,FALSE)</f>
        <v>0</v>
      </c>
      <c r="V211" s="97">
        <f>+YEAR(PROVEEDORES[[#This Row],[FECHA DE FACTURACIÓN]])</f>
        <v>2021</v>
      </c>
      <c r="W211" s="97">
        <f>+MATCH(PROVEEDORES[[#This Row],[año facturado]],Retenciones!$1:$1,0)</f>
        <v>4</v>
      </c>
      <c r="X211" s="98">
        <f>+VLOOKUP(PROVEEDORES[[#This Row],[ID RETENCION]],Retenciones!$A$1:$O$25,PROVEEDORES[[#This Row],[indicador de columna]],FALSE)</f>
        <v>0</v>
      </c>
      <c r="Y211" s="99">
        <f>+VLOOKUP(PROVEEDORES[[#This Row],[ID RETENCION]],Retenciones!$A$1:$O$25,2,FALSE)</f>
        <v>0</v>
      </c>
      <c r="Z211" s="125" t="b">
        <f>OR(COUNTIF(PROVEEDORES[[#This Row],[PROVEEDOR]],"*"&amp;'Palabra no opera'!$A$2&amp;"*"))</f>
        <v>1</v>
      </c>
      <c r="AA211" s="24"/>
      <c r="AB211" s="24"/>
      <c r="AC211" s="24"/>
      <c r="AD211" s="24"/>
      <c r="AE211" s="24"/>
    </row>
    <row r="212" spans="1:31" ht="22.2" customHeight="1" x14ac:dyDescent="0.3">
      <c r="A212" s="66" t="str">
        <f>+IF(PROVEEDORES[[#This Row],[FECHA DE PAGO]]=PROVEEDORES[[#This Row],[FECHA DE FACTURACIÓN]],"DE CONTADO","CRÉDITO")</f>
        <v>DE CONTADO</v>
      </c>
      <c r="B212" s="38" t="b">
        <f>+IF((PROVEEDORES[[#This Row],[FECHA DE PAGO]]-PROVEEDORES[[#This Row],[FECHA DE FACTURACIÓN]])&gt;PROVEEDORES[[#This Row],[PLAZO Días]],"PAGO VENCIDO")</f>
        <v>0</v>
      </c>
      <c r="C212" s="20">
        <f>+VLOOKUP(PROVEEDORES[[#This Row],[PROVEEDOR]],TERCEROS_INFO[#All],2,FALSE)</f>
        <v>30</v>
      </c>
      <c r="D212" s="25">
        <f>+SUMIFS(PROVEEDORES[Total],PROVEEDORES[PROVEEDOR],PROVEEDORES[[#This Row],[PROVEEDOR]],PROVEEDORES[FECHA DE PAGO],"")</f>
        <v>0</v>
      </c>
      <c r="E212" s="25"/>
      <c r="F212" s="58">
        <f>+VLOOKUP(PROVEEDORES[[#This Row],[PROVEEDOR]],
                       Terceros!$A:$F,
                       5,
                       FALSE)</f>
        <v>0</v>
      </c>
      <c r="G212" s="161">
        <v>44280</v>
      </c>
      <c r="H212" s="26" t="s">
        <v>678</v>
      </c>
      <c r="I212" s="161">
        <v>44280</v>
      </c>
      <c r="J212" s="35" t="s">
        <v>1197</v>
      </c>
      <c r="K212" s="21">
        <v>75000</v>
      </c>
      <c r="L212" s="21"/>
      <c r="M212" s="22">
        <f>(PROVEEDORES[[#This Row],[SUBTOTAL]]-PROVEEDORES[[#This Row],[descuento sobre subtotal]])*VLOOKUP(PROVEEDORES[[#This Row],[PROVEEDOR]],TERCEROS_INFO[#All],3,FALSE)</f>
        <v>0</v>
      </c>
      <c r="N212" s="23"/>
      <c r="O212" s="22">
        <f>+PROVEEDORES[[#This Row],[Descuento sobre subtotal %]]*(PROVEEDORES[[#This Row],[SUBTOTAL]]-PROVEEDORES[[#This Row],[descuento sobre subtotal]])</f>
        <v>0</v>
      </c>
      <c r="P212" s="83">
        <f>+IF(PROVEEDORES[[#This Row],[SUBTOTAL]]&lt;PROVEEDORES[[#This Row],[base retencion]],0,PROVEEDORES[[#This Row],[retención aplicada]])</f>
        <v>0</v>
      </c>
      <c r="Q212" s="22">
        <f>+PROVEEDORES[[#This Row],[Rete Fuente %]]*(PROVEEDORES[[#This Row],[SUBTOTAL]]-PROVEEDORES[[#This Row],[descuento sobre subtotal]])</f>
        <v>0</v>
      </c>
      <c r="R212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68">
        <f ca="1">IF(PROVEEDORES[[#This Row],[FECHA DE PAGO]]=0,TODAY()-PROVEEDORES[[#This Row],[FECHA DE FACTURACIÓN]]-PROVEEDORES[[#This Row],[PLAZO Días]],0)</f>
        <v>0</v>
      </c>
      <c r="U212" s="96">
        <f>+VLOOKUP(PROVEEDORES[[#This Row],[PROVEEDOR]],Terceros!$A:$D,4,FALSE)</f>
        <v>0</v>
      </c>
      <c r="V212" s="97">
        <f>+YEAR(PROVEEDORES[[#This Row],[FECHA DE FACTURACIÓN]])</f>
        <v>2021</v>
      </c>
      <c r="W212" s="97">
        <f>+MATCH(PROVEEDORES[[#This Row],[año facturado]],Retenciones!$1:$1,0)</f>
        <v>4</v>
      </c>
      <c r="X212" s="98">
        <f>+VLOOKUP(PROVEEDORES[[#This Row],[ID RETENCION]],Retenciones!$A$1:$O$25,PROVEEDORES[[#This Row],[indicador de columna]],FALSE)</f>
        <v>0</v>
      </c>
      <c r="Y212" s="99">
        <f>+VLOOKUP(PROVEEDORES[[#This Row],[ID RETENCION]],Retenciones!$A$1:$O$25,2,FALSE)</f>
        <v>0</v>
      </c>
      <c r="Z212" s="125" t="b">
        <f>OR(COUNTIF(PROVEEDORES[[#This Row],[PROVEEDOR]],"*"&amp;'Palabra no opera'!$A$2&amp;"*"))</f>
        <v>0</v>
      </c>
      <c r="AA212" s="24"/>
      <c r="AB212" s="24"/>
      <c r="AC212" s="24"/>
      <c r="AD212" s="24"/>
      <c r="AE212" s="24"/>
    </row>
    <row r="213" spans="1:31" ht="22.2" customHeight="1" x14ac:dyDescent="0.3">
      <c r="A213" s="66" t="str">
        <f>+IF(PROVEEDORES[[#This Row],[FECHA DE PAGO]]=PROVEEDORES[[#This Row],[FECHA DE FACTURACIÓN]],"DE CONTADO","CRÉDITO")</f>
        <v>DE CONTADO</v>
      </c>
      <c r="B213" s="38" t="b">
        <f>+IF((PROVEEDORES[[#This Row],[FECHA DE PAGO]]-PROVEEDORES[[#This Row],[FECHA DE FACTURACIÓN]])&gt;PROVEEDORES[[#This Row],[PLAZO Días]],"PAGO VENCIDO")</f>
        <v>0</v>
      </c>
      <c r="C213" s="20">
        <f>+VLOOKUP(PROVEEDORES[[#This Row],[PROVEEDOR]],TERCEROS_INFO[#All],2,FALSE)</f>
        <v>30</v>
      </c>
      <c r="D213" s="25">
        <f>+SUMIFS(PROVEEDORES[Total],PROVEEDORES[PROVEEDOR],PROVEEDORES[[#This Row],[PROVEEDOR]],PROVEEDORES[FECHA DE PAGO],"")</f>
        <v>0</v>
      </c>
      <c r="E213" s="25"/>
      <c r="F213" s="58" t="str">
        <f>+VLOOKUP(PROVEEDORES[[#This Row],[PROVEEDOR]],
                       Terceros!$A:$F,
                       5,
                       FALSE)</f>
        <v/>
      </c>
      <c r="G213" s="161">
        <v>44320</v>
      </c>
      <c r="H213" s="26" t="s">
        <v>681</v>
      </c>
      <c r="I213" s="161">
        <v>44320</v>
      </c>
      <c r="J213" s="35" t="s">
        <v>1221</v>
      </c>
      <c r="K213" s="21">
        <v>75000</v>
      </c>
      <c r="L213" s="21"/>
      <c r="M213" s="22">
        <f>(PROVEEDORES[[#This Row],[SUBTOTAL]]-PROVEEDORES[[#This Row],[descuento sobre subtotal]])*VLOOKUP(PROVEEDORES[[#This Row],[PROVEEDOR]],TERCEROS_INFO[#All],3,FALSE)</f>
        <v>0</v>
      </c>
      <c r="N213" s="23"/>
      <c r="O213" s="22">
        <f>+PROVEEDORES[[#This Row],[Descuento sobre subtotal %]]*(PROVEEDORES[[#This Row],[SUBTOTAL]]-PROVEEDORES[[#This Row],[descuento sobre subtotal]])</f>
        <v>0</v>
      </c>
      <c r="P213" s="83">
        <f>+IF(PROVEEDORES[[#This Row],[SUBTOTAL]]&lt;PROVEEDORES[[#This Row],[base retencion]],0,PROVEEDORES[[#This Row],[retención aplicada]])</f>
        <v>0</v>
      </c>
      <c r="Q213" s="22">
        <f>+PROVEEDORES[[#This Row],[Rete Fuente %]]*(PROVEEDORES[[#This Row],[SUBTOTAL]]-PROVEEDORES[[#This Row],[descuento sobre subtotal]])</f>
        <v>0</v>
      </c>
      <c r="R213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68">
        <f ca="1">IF(PROVEEDORES[[#This Row],[FECHA DE PAGO]]=0,TODAY()-PROVEEDORES[[#This Row],[FECHA DE FACTURACIÓN]]-PROVEEDORES[[#This Row],[PLAZO Días]],0)</f>
        <v>0</v>
      </c>
      <c r="U213" s="96">
        <f>+VLOOKUP(PROVEEDORES[[#This Row],[PROVEEDOR]],Terceros!$A:$D,4,FALSE)</f>
        <v>0</v>
      </c>
      <c r="V213" s="97">
        <f>+YEAR(PROVEEDORES[[#This Row],[FECHA DE FACTURACIÓN]])</f>
        <v>2021</v>
      </c>
      <c r="W213" s="97">
        <f>+MATCH(PROVEEDORES[[#This Row],[año facturado]],Retenciones!$1:$1,0)</f>
        <v>4</v>
      </c>
      <c r="X213" s="98">
        <f>+VLOOKUP(PROVEEDORES[[#This Row],[ID RETENCION]],Retenciones!$A$1:$O$25,PROVEEDORES[[#This Row],[indicador de columna]],FALSE)</f>
        <v>0</v>
      </c>
      <c r="Y213" s="99">
        <f>+VLOOKUP(PROVEEDORES[[#This Row],[ID RETENCION]],Retenciones!$A$1:$O$25,2,FALSE)</f>
        <v>0</v>
      </c>
      <c r="Z213" s="125" t="b">
        <f>OR(COUNTIF(PROVEEDORES[[#This Row],[PROVEEDOR]],"*"&amp;'Palabra no opera'!$A$2&amp;"*"))</f>
        <v>0</v>
      </c>
      <c r="AA213" s="24"/>
      <c r="AB213" s="24"/>
      <c r="AC213" s="24"/>
      <c r="AD213" s="24"/>
      <c r="AE213" s="24"/>
    </row>
    <row r="214" spans="1:31" ht="22.2" customHeight="1" x14ac:dyDescent="0.3">
      <c r="A214" s="66" t="str">
        <f>+IF(PROVEEDORES[[#This Row],[FECHA DE PAGO]]=PROVEEDORES[[#This Row],[FECHA DE FACTURACIÓN]],"DE CONTADO","CRÉDITO")</f>
        <v>CRÉDITO</v>
      </c>
      <c r="B214" s="38" t="str">
        <f>+IF((PROVEEDORES[[#This Row],[FECHA DE PAGO]]-PROVEEDORES[[#This Row],[FECHA DE FACTURACIÓN]])&gt;PROVEEDORES[[#This Row],[PLAZO Días]],"PAGO VENCIDO")</f>
        <v>PAGO VENCIDO</v>
      </c>
      <c r="C214" s="20">
        <f>+VLOOKUP(PROVEEDORES[[#This Row],[PROVEEDOR]],TERCEROS_INFO[#All],2,FALSE)</f>
        <v>30</v>
      </c>
      <c r="D214" s="25">
        <f>+SUMIFS(PROVEEDORES[Total],PROVEEDORES[PROVEEDOR],PROVEEDORES[[#This Row],[PROVEEDOR]],PROVEEDORES[FECHA DE PAGO],"")</f>
        <v>2318500</v>
      </c>
      <c r="E214" s="25"/>
      <c r="F214" s="58" t="str">
        <f>+VLOOKUP(PROVEEDORES[[#This Row],[PROVEEDOR]],
                       Terceros!$A:$F,
                       5,
                       FALSE)</f>
        <v/>
      </c>
      <c r="G214" s="161">
        <v>44494</v>
      </c>
      <c r="H214" s="26" t="s">
        <v>629</v>
      </c>
      <c r="I214" s="161">
        <v>44445</v>
      </c>
      <c r="J214" s="35" t="s">
        <v>1302</v>
      </c>
      <c r="K214" s="21">
        <v>75000</v>
      </c>
      <c r="L214" s="21"/>
      <c r="M214" s="22">
        <f>(PROVEEDORES[[#This Row],[SUBTOTAL]]-PROVEEDORES[[#This Row],[descuento sobre subtotal]])*VLOOKUP(PROVEEDORES[[#This Row],[PROVEEDOR]],TERCEROS_INFO[#All],3,FALSE)</f>
        <v>0</v>
      </c>
      <c r="N214" s="23"/>
      <c r="O214" s="22">
        <f>+PROVEEDORES[[#This Row],[Descuento sobre subtotal %]]*(PROVEEDORES[[#This Row],[SUBTOTAL]]-PROVEEDORES[[#This Row],[descuento sobre subtotal]])</f>
        <v>0</v>
      </c>
      <c r="P214" s="83">
        <f>+IF(PROVEEDORES[[#This Row],[SUBTOTAL]]&lt;PROVEEDORES[[#This Row],[base retencion]],0,PROVEEDORES[[#This Row],[retención aplicada]])</f>
        <v>0</v>
      </c>
      <c r="Q214" s="22">
        <f>+PROVEEDORES[[#This Row],[Rete Fuente %]]*(PROVEEDORES[[#This Row],[SUBTOTAL]]-PROVEEDORES[[#This Row],[descuento sobre subtotal]])</f>
        <v>0</v>
      </c>
      <c r="R214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68">
        <f ca="1">IF(PROVEEDORES[[#This Row],[FECHA DE PAGO]]=0,TODAY()-PROVEEDORES[[#This Row],[FECHA DE FACTURACIÓN]]-PROVEEDORES[[#This Row],[PLAZO Días]],0)</f>
        <v>0</v>
      </c>
      <c r="U214" s="96">
        <f>+VLOOKUP(PROVEEDORES[[#This Row],[PROVEEDOR]],Terceros!$A:$D,4,FALSE)</f>
        <v>0</v>
      </c>
      <c r="V214" s="97">
        <f>+YEAR(PROVEEDORES[[#This Row],[FECHA DE FACTURACIÓN]])</f>
        <v>2021</v>
      </c>
      <c r="W214" s="97">
        <f>+MATCH(PROVEEDORES[[#This Row],[año facturado]],Retenciones!$1:$1,0)</f>
        <v>4</v>
      </c>
      <c r="X214" s="98">
        <f>+VLOOKUP(PROVEEDORES[[#This Row],[ID RETENCION]],Retenciones!$A$1:$O$25,PROVEEDORES[[#This Row],[indicador de columna]],FALSE)</f>
        <v>0</v>
      </c>
      <c r="Y214" s="99">
        <f>+VLOOKUP(PROVEEDORES[[#This Row],[ID RETENCION]],Retenciones!$A$1:$O$25,2,FALSE)</f>
        <v>0</v>
      </c>
      <c r="Z214" s="125" t="b">
        <f>OR(COUNTIF(PROVEEDORES[[#This Row],[PROVEEDOR]],"*"&amp;'Palabra no opera'!$A$2&amp;"*"))</f>
        <v>0</v>
      </c>
      <c r="AA214" s="24"/>
      <c r="AB214" s="24"/>
      <c r="AC214" s="24"/>
      <c r="AD214" s="24"/>
      <c r="AE214" s="24"/>
    </row>
    <row r="215" spans="1:31" ht="22.2" customHeight="1" x14ac:dyDescent="0.3">
      <c r="A215" s="140" t="str">
        <f>+IF(PROVEEDORES[[#This Row],[FECHA DE PAGO]]=PROVEEDORES[[#This Row],[FECHA DE FACTURACIÓN]],"DE CONTADO","CRÉDITO")</f>
        <v>CRÉDITO</v>
      </c>
      <c r="B215" s="38" t="b">
        <f>+IF((PROVEEDORES[[#This Row],[FECHA DE PAGO]]-PROVEEDORES[[#This Row],[FECHA DE FACTURACIÓN]])&gt;PROVEEDORES[[#This Row],[PLAZO Días]],"PAGO VENCIDO")</f>
        <v>0</v>
      </c>
      <c r="C215" s="20">
        <f>+VLOOKUP(PROVEEDORES[[#This Row],[PROVEEDOR]],TERCEROS_INFO[#All],2,FALSE)</f>
        <v>30</v>
      </c>
      <c r="D215" s="25">
        <f>+SUMIFS(PROVEEDORES[Total],PROVEEDORES[PROVEEDOR],PROVEEDORES[[#This Row],[PROVEEDOR]],PROVEEDORES[FECHA DE PAGO],"")</f>
        <v>0</v>
      </c>
      <c r="E215" s="25"/>
      <c r="F215" s="58" t="str">
        <f>+VLOOKUP(PROVEEDORES[[#This Row],[PROVEEDOR]],
                       Terceros!$A:$F,
                       5,
                       FALSE)</f>
        <v/>
      </c>
      <c r="G215" s="161">
        <v>44683</v>
      </c>
      <c r="H215" s="26" t="s">
        <v>1130</v>
      </c>
      <c r="I215" s="161">
        <v>44699</v>
      </c>
      <c r="J215" s="35" t="s">
        <v>973</v>
      </c>
      <c r="K215" s="21">
        <v>76000</v>
      </c>
      <c r="L215" s="21"/>
      <c r="M215" s="22">
        <f>(PROVEEDORES[[#This Row],[SUBTOTAL]]-PROVEEDORES[[#This Row],[descuento sobre subtotal]])*VLOOKUP(PROVEEDORES[[#This Row],[PROVEEDOR]],TERCEROS_INFO[#All],3,FALSE)</f>
        <v>0</v>
      </c>
      <c r="N215" s="23"/>
      <c r="O215" s="22">
        <f>+PROVEEDORES[[#This Row],[Descuento sobre subtotal %]]*(PROVEEDORES[[#This Row],[SUBTOTAL]]-PROVEEDORES[[#This Row],[descuento sobre subtotal]])</f>
        <v>0</v>
      </c>
      <c r="P215" s="83">
        <f>+IF(PROVEEDORES[[#This Row],[SUBTOTAL]]&lt;PROVEEDORES[[#This Row],[base retencion]],0,PROVEEDORES[[#This Row],[retención aplicada]])</f>
        <v>0</v>
      </c>
      <c r="Q215" s="22">
        <f>+PROVEEDORES[[#This Row],[Rete Fuente %]]*(PROVEEDORES[[#This Row],[SUBTOTAL]]-PROVEEDORES[[#This Row],[descuento sobre subtotal]])</f>
        <v>0</v>
      </c>
      <c r="R215" s="21">
        <f>+PROVEEDORES[[#This Row],[SUBTOTAL]]+PROVEEDORES[[#This Row],[IVA 19%]]-PROVEEDORES[[#This Row],[descuento sobre subtotal]]-PROVEEDORES[[#This Row],[Descuento sobre subtotal $2]]-PROVEEDORES[[#This Row],[Rete Fuente $]]</f>
        <v>76000</v>
      </c>
      <c r="S215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68">
        <f ca="1">IF(PROVEEDORES[[#This Row],[FECHA DE PAGO]]=0,TODAY()-PROVEEDORES[[#This Row],[FECHA DE FACTURACIÓN]]-PROVEEDORES[[#This Row],[PLAZO Días]],0)</f>
        <v>0</v>
      </c>
      <c r="U215" s="113">
        <f>+VLOOKUP(PROVEEDORES[[#This Row],[PROVEEDOR]],Terceros!$A:$D,4,FALSE)</f>
        <v>0</v>
      </c>
      <c r="V215" s="114">
        <f>+YEAR(PROVEEDORES[[#This Row],[FECHA DE FACTURACIÓN]])</f>
        <v>2022</v>
      </c>
      <c r="W215" s="114">
        <f>+MATCH(PROVEEDORES[[#This Row],[año facturado]],Retenciones!$1:$1,0)</f>
        <v>5</v>
      </c>
      <c r="X215" s="115">
        <f>+VLOOKUP(PROVEEDORES[[#This Row],[ID RETENCION]],Retenciones!$A$1:$O$25,PROVEEDORES[[#This Row],[indicador de columna]],FALSE)</f>
        <v>0</v>
      </c>
      <c r="Y215" s="116">
        <f>+VLOOKUP(PROVEEDORES[[#This Row],[ID RETENCION]],Retenciones!$A$1:$O$25,2,FALSE)</f>
        <v>0</v>
      </c>
      <c r="Z215" s="125" t="b">
        <f>OR(COUNTIF(PROVEEDORES[[#This Row],[PROVEEDOR]],"*"&amp;'Palabra no opera'!$A$2&amp;"*"))</f>
        <v>1</v>
      </c>
      <c r="AA215" s="24"/>
      <c r="AB215" s="24"/>
      <c r="AC215" s="24"/>
      <c r="AD215" s="24"/>
      <c r="AE215" s="24"/>
    </row>
    <row r="216" spans="1:31" ht="22.2" customHeight="1" x14ac:dyDescent="0.3">
      <c r="A216" s="72" t="str">
        <f>+IF(PROVEEDORES[[#This Row],[FECHA DE PAGO]]=PROVEEDORES[[#This Row],[FECHA DE FACTURACIÓN]],"DE CONTADO","CRÉDITO")</f>
        <v>CRÉDITO</v>
      </c>
      <c r="B216" s="38" t="b">
        <f>+IF((PROVEEDORES[[#This Row],[FECHA DE PAGO]]-PROVEEDORES[[#This Row],[FECHA DE FACTURACIÓN]])&gt;PROVEEDORES[[#This Row],[PLAZO Días]],"PAGO VENCIDO")</f>
        <v>0</v>
      </c>
      <c r="C216" s="20">
        <f>+VLOOKUP(PROVEEDORES[[#This Row],[PROVEEDOR]],TERCEROS_INFO[#All],2,FALSE)</f>
        <v>30</v>
      </c>
      <c r="D216" s="25">
        <f>+SUMIFS(PROVEEDORES[Total],PROVEEDORES[PROVEEDOR],PROVEEDORES[[#This Row],[PROVEEDOR]],PROVEEDORES[FECHA DE PAGO],"")</f>
        <v>1645455.6614999999</v>
      </c>
      <c r="E216" s="25"/>
      <c r="F216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216" s="26" t="s">
        <v>79</v>
      </c>
      <c r="I216" s="161">
        <v>44831</v>
      </c>
      <c r="J216" s="35" t="s">
        <v>1714</v>
      </c>
      <c r="K216" s="21">
        <v>64000</v>
      </c>
      <c r="L216" s="21"/>
      <c r="M216" s="22">
        <f>(PROVEEDORES[[#This Row],[SUBTOTAL]]-PROVEEDORES[[#This Row],[descuento sobre subtotal]])*VLOOKUP(PROVEEDORES[[#This Row],[PROVEEDOR]],TERCEROS_INFO[#All],3,FALSE)</f>
        <v>12160</v>
      </c>
      <c r="N216" s="23"/>
      <c r="O216" s="22">
        <f>+PROVEEDORES[[#This Row],[Descuento sobre subtotal %]]*(PROVEEDORES[[#This Row],[SUBTOTAL]]-PROVEEDORES[[#This Row],[descuento sobre subtotal]])</f>
        <v>0</v>
      </c>
      <c r="P216" s="83">
        <f>+IF(PROVEEDORES[[#This Row],[SUBTOTAL]]&lt;PROVEEDORES[[#This Row],[base retencion]],0,PROVEEDORES[[#This Row],[retención aplicada]])</f>
        <v>0</v>
      </c>
      <c r="Q216" s="22">
        <f>+PROVEEDORES[[#This Row],[Rete Fuente %]]*(PROVEEDORES[[#This Row],[SUBTOTAL]]-PROVEEDORES[[#This Row],[descuento sobre subtotal]])</f>
        <v>0</v>
      </c>
      <c r="R216" s="21">
        <f>+PROVEEDORES[[#This Row],[SUBTOTAL]]+PROVEEDORES[[#This Row],[IVA 19%]]-PROVEEDORES[[#This Row],[descuento sobre subtotal]]-PROVEEDORES[[#This Row],[Descuento sobre subtotal $2]]-PROVEEDORES[[#This Row],[Rete Fuente $]]</f>
        <v>76160</v>
      </c>
      <c r="S216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6" s="68">
        <f ca="1">IF(PROVEEDORES[[#This Row],[FECHA DE PAGO]]=0,TODAY()-PROVEEDORES[[#This Row],[FECHA DE FACTURACIÓN]]-PROVEEDORES[[#This Row],[PLAZO Días]],0)</f>
        <v>14</v>
      </c>
      <c r="U216" s="113" t="str">
        <f>+VLOOKUP(PROVEEDORES[[#This Row],[PROVEEDOR]],Terceros!$A:$D,4,FALSE)</f>
        <v>2,5% con base</v>
      </c>
      <c r="V216" s="114">
        <f>+YEAR(PROVEEDORES[[#This Row],[FECHA DE FACTURACIÓN]])</f>
        <v>2022</v>
      </c>
      <c r="W216" s="114">
        <f>+MATCH(PROVEEDORES[[#This Row],[año facturado]],Retenciones!$1:$1,0)</f>
        <v>5</v>
      </c>
      <c r="X216" s="115">
        <f>+VLOOKUP(PROVEEDORES[[#This Row],[ID RETENCION]],Retenciones!$A$1:$O$25,PROVEEDORES[[#This Row],[indicador de columna]],FALSE)</f>
        <v>1026000</v>
      </c>
      <c r="Y216" s="116">
        <f>+VLOOKUP(PROVEEDORES[[#This Row],[ID RETENCION]],Retenciones!$A$1:$O$25,2,FALSE)</f>
        <v>2.5000000000000001E-2</v>
      </c>
      <c r="Z216" s="125" t="b">
        <f>OR(COUNTIF(PROVEEDORES[[#This Row],[PROVEEDOR]],"*"&amp;'Palabra no opera'!$A$2&amp;"*"))</f>
        <v>0</v>
      </c>
      <c r="AA216" s="24"/>
      <c r="AB216" s="24"/>
      <c r="AC216" s="24"/>
      <c r="AD216" s="24"/>
      <c r="AE216" s="24"/>
    </row>
    <row r="217" spans="1:31" ht="22.2" customHeight="1" x14ac:dyDescent="0.3">
      <c r="A217" s="66" t="str">
        <f>+IF(PROVEEDORES[[#This Row],[FECHA DE PAGO]]=PROVEEDORES[[#This Row],[FECHA DE FACTURACIÓN]],"DE CONTADO","CRÉDITO")</f>
        <v>CRÉDITO</v>
      </c>
      <c r="B217" s="38" t="b">
        <f>+IF((PROVEEDORES[[#This Row],[FECHA DE PAGO]]-PROVEEDORES[[#This Row],[FECHA DE FACTURACIÓN]])&gt;PROVEEDORES[[#This Row],[PLAZO Días]],"PAGO VENCIDO")</f>
        <v>0</v>
      </c>
      <c r="C217" s="20">
        <f>+VLOOKUP(PROVEEDORES[[#This Row],[PROVEEDOR]],TERCEROS_INFO[#All],2,FALSE)</f>
        <v>30</v>
      </c>
      <c r="D217" s="25">
        <f>+SUMIFS(PROVEEDORES[Total],PROVEEDORES[PROVEEDOR],PROVEEDORES[[#This Row],[PROVEEDOR]],PROVEEDORES[FECHA DE PAGO],"")</f>
        <v>0</v>
      </c>
      <c r="E217" s="25"/>
      <c r="F217" s="58">
        <f>+VLOOKUP(PROVEEDORES[[#This Row],[PROVEEDOR]],
                       Terceros!$A:$F,
                       5,
                       FALSE)</f>
        <v>0</v>
      </c>
      <c r="G217" s="161">
        <v>44453</v>
      </c>
      <c r="H217" s="26" t="s">
        <v>669</v>
      </c>
      <c r="I217" s="161">
        <v>44440</v>
      </c>
      <c r="J217" s="35" t="s">
        <v>1298</v>
      </c>
      <c r="K217" s="21">
        <v>77875.25</v>
      </c>
      <c r="L217" s="21"/>
      <c r="M217" s="22">
        <f>(PROVEEDORES[[#This Row],[SUBTOTAL]]-PROVEEDORES[[#This Row],[descuento sobre subtotal]])*VLOOKUP(PROVEEDORES[[#This Row],[PROVEEDOR]],TERCEROS_INFO[#All],3,FALSE)</f>
        <v>0</v>
      </c>
      <c r="N217" s="23"/>
      <c r="O217" s="22">
        <f>+PROVEEDORES[[#This Row],[Descuento sobre subtotal %]]*(PROVEEDORES[[#This Row],[SUBTOTAL]]-PROVEEDORES[[#This Row],[descuento sobre subtotal]])</f>
        <v>0</v>
      </c>
      <c r="P217" s="83">
        <f>+IF(PROVEEDORES[[#This Row],[SUBTOTAL]]&lt;PROVEEDORES[[#This Row],[base retencion]],0,PROVEEDORES[[#This Row],[retención aplicada]])</f>
        <v>0</v>
      </c>
      <c r="Q217" s="22">
        <f>+PROVEEDORES[[#This Row],[Rete Fuente %]]*(PROVEEDORES[[#This Row],[SUBTOTAL]]-PROVEEDORES[[#This Row],[descuento sobre subtotal]])</f>
        <v>0</v>
      </c>
      <c r="R217" s="21">
        <f>+PROVEEDORES[[#This Row],[SUBTOTAL]]+PROVEEDORES[[#This Row],[IVA 19%]]-PROVEEDORES[[#This Row],[descuento sobre subtotal]]-PROVEEDORES[[#This Row],[Descuento sobre subtotal $2]]-PROVEEDORES[[#This Row],[Rete Fuente $]]</f>
        <v>77875.25</v>
      </c>
      <c r="S2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68">
        <f ca="1">IF(PROVEEDORES[[#This Row],[FECHA DE PAGO]]=0,TODAY()-PROVEEDORES[[#This Row],[FECHA DE FACTURACIÓN]]-PROVEEDORES[[#This Row],[PLAZO Días]],0)</f>
        <v>0</v>
      </c>
      <c r="U217" s="96">
        <f>+VLOOKUP(PROVEEDORES[[#This Row],[PROVEEDOR]],Terceros!$A:$D,4,FALSE)</f>
        <v>0</v>
      </c>
      <c r="V217" s="97">
        <f>+YEAR(PROVEEDORES[[#This Row],[FECHA DE FACTURACIÓN]])</f>
        <v>2021</v>
      </c>
      <c r="W217" s="97">
        <f>+MATCH(PROVEEDORES[[#This Row],[año facturado]],Retenciones!$1:$1,0)</f>
        <v>4</v>
      </c>
      <c r="X217" s="98">
        <f>+VLOOKUP(PROVEEDORES[[#This Row],[ID RETENCION]],Retenciones!$A$1:$O$25,PROVEEDORES[[#This Row],[indicador de columna]],FALSE)</f>
        <v>0</v>
      </c>
      <c r="Y217" s="99">
        <f>+VLOOKUP(PROVEEDORES[[#This Row],[ID RETENCION]],Retenciones!$A$1:$O$25,2,FALSE)</f>
        <v>0</v>
      </c>
      <c r="Z217" s="125" t="b">
        <f>OR(COUNTIF(PROVEEDORES[[#This Row],[PROVEEDOR]],"*"&amp;'Palabra no opera'!$A$2&amp;"*"))</f>
        <v>0</v>
      </c>
      <c r="AA217" s="24"/>
      <c r="AB217" s="24"/>
      <c r="AC217" s="24"/>
      <c r="AD217" s="24"/>
      <c r="AE217" s="24"/>
    </row>
    <row r="218" spans="1:31" ht="22.2" customHeight="1" x14ac:dyDescent="0.3">
      <c r="A218" s="66" t="str">
        <f>+IF(PROVEEDORES[[#This Row],[FECHA DE PAGO]]=PROVEEDORES[[#This Row],[FECHA DE FACTURACIÓN]],"DE CONTADO","CRÉDITO")</f>
        <v>DE CONTADO</v>
      </c>
      <c r="B218" s="38" t="b">
        <f>+IF((PROVEEDORES[[#This Row],[FECHA DE PAGO]]-PROVEEDORES[[#This Row],[FECHA DE FACTURACIÓN]])&gt;PROVEEDORES[[#This Row],[PLAZO Días]],"PAGO VENCIDO")</f>
        <v>0</v>
      </c>
      <c r="C218" s="20">
        <f>+VLOOKUP(PROVEEDORES[[#This Row],[PROVEEDOR]],TERCEROS_INFO[#All],2,FALSE)</f>
        <v>30</v>
      </c>
      <c r="D218" s="25">
        <f>+SUMIFS(PROVEEDORES[Total],PROVEEDORES[PROVEEDOR],PROVEEDORES[[#This Row],[PROVEEDOR]],PROVEEDORES[FECHA DE PAGO],"")</f>
        <v>0</v>
      </c>
      <c r="E218" s="25"/>
      <c r="F218" s="58" t="str">
        <f>+VLOOKUP(PROVEEDORES[[#This Row],[PROVEEDOR]],
                       Terceros!$A:$F,
                       5,
                       FALSE)</f>
        <v/>
      </c>
      <c r="G218" s="161">
        <v>44530</v>
      </c>
      <c r="H218" s="26" t="s">
        <v>644</v>
      </c>
      <c r="I218" s="161">
        <v>44530</v>
      </c>
      <c r="J218" s="35" t="s">
        <v>1186</v>
      </c>
      <c r="K218" s="21">
        <v>78000</v>
      </c>
      <c r="L218" s="21"/>
      <c r="M218" s="22">
        <f>(PROVEEDORES[[#This Row],[SUBTOTAL]]-PROVEEDORES[[#This Row],[descuento sobre subtotal]])*VLOOKUP(PROVEEDORES[[#This Row],[PROVEEDOR]],TERCEROS_INFO[#All],3,FALSE)</f>
        <v>0</v>
      </c>
      <c r="N218" s="23"/>
      <c r="O218" s="22">
        <f>+PROVEEDORES[[#This Row],[Descuento sobre subtotal %]]*(PROVEEDORES[[#This Row],[SUBTOTAL]]-PROVEEDORES[[#This Row],[descuento sobre subtotal]])</f>
        <v>0</v>
      </c>
      <c r="P218" s="83">
        <f>+IF(PROVEEDORES[[#This Row],[SUBTOTAL]]&lt;PROVEEDORES[[#This Row],[base retencion]],0,PROVEEDORES[[#This Row],[retención aplicada]])</f>
        <v>0</v>
      </c>
      <c r="Q218" s="22">
        <f>+PROVEEDORES[[#This Row],[Rete Fuente %]]*(PROVEEDORES[[#This Row],[SUBTOTAL]]-PROVEEDORES[[#This Row],[descuento sobre subtotal]])</f>
        <v>0</v>
      </c>
      <c r="R218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2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68">
        <f ca="1">IF(PROVEEDORES[[#This Row],[FECHA DE PAGO]]=0,TODAY()-PROVEEDORES[[#This Row],[FECHA DE FACTURACIÓN]]-PROVEEDORES[[#This Row],[PLAZO Días]],0)</f>
        <v>0</v>
      </c>
      <c r="U218" s="96">
        <f>+VLOOKUP(PROVEEDORES[[#This Row],[PROVEEDOR]],Terceros!$A:$D,4,FALSE)</f>
        <v>0</v>
      </c>
      <c r="V218" s="97">
        <f>+YEAR(PROVEEDORES[[#This Row],[FECHA DE FACTURACIÓN]])</f>
        <v>2021</v>
      </c>
      <c r="W218" s="97">
        <f>+MATCH(PROVEEDORES[[#This Row],[año facturado]],Retenciones!$1:$1,0)</f>
        <v>4</v>
      </c>
      <c r="X218" s="98">
        <f>+VLOOKUP(PROVEEDORES[[#This Row],[ID RETENCION]],Retenciones!$A$1:$O$25,PROVEEDORES[[#This Row],[indicador de columna]],FALSE)</f>
        <v>0</v>
      </c>
      <c r="Y218" s="99">
        <f>+VLOOKUP(PROVEEDORES[[#This Row],[ID RETENCION]],Retenciones!$A$1:$O$25,2,FALSE)</f>
        <v>0</v>
      </c>
      <c r="Z218" s="125" t="b">
        <f>OR(COUNTIF(PROVEEDORES[[#This Row],[PROVEEDOR]],"*"&amp;'Palabra no opera'!$A$2&amp;"*"))</f>
        <v>0</v>
      </c>
      <c r="AA218" s="24"/>
      <c r="AB218" s="24"/>
      <c r="AC218" s="24"/>
      <c r="AD218" s="24"/>
      <c r="AE218" s="24"/>
    </row>
    <row r="219" spans="1:31" ht="22.2" customHeight="1" x14ac:dyDescent="0.3">
      <c r="A219" s="72" t="str">
        <f>+IF(PROVEEDORES[[#This Row],[FECHA DE PAGO]]=PROVEEDORES[[#This Row],[FECHA DE FACTURACIÓN]],"DE CONTADO","CRÉDITO")</f>
        <v>DE CONTADO</v>
      </c>
      <c r="B219" s="38" t="b">
        <f>+IF((PROVEEDORES[[#This Row],[FECHA DE PAGO]]-PROVEEDORES[[#This Row],[FECHA DE FACTURACIÓN]])&gt;PROVEEDORES[[#This Row],[PLAZO Días]],"PAGO VENCIDO")</f>
        <v>0</v>
      </c>
      <c r="C219" s="20">
        <f>+VLOOKUP(PROVEEDORES[[#This Row],[PROVEEDOR]],TERCEROS_INFO[#All],2,FALSE)</f>
        <v>30</v>
      </c>
      <c r="D219" s="25">
        <f>+SUMIFS(PROVEEDORES[Total],PROVEEDORES[PROVEEDOR],PROVEEDORES[[#This Row],[PROVEEDOR]],PROVEEDORES[FECHA DE PAGO],"")</f>
        <v>0</v>
      </c>
      <c r="E219" s="25"/>
      <c r="F219" s="58" t="str">
        <f>+VLOOKUP(PROVEEDORES[[#This Row],[PROVEEDOR]],
                       Terceros!$A:$F,
                       5,
                       FALSE)</f>
        <v/>
      </c>
      <c r="G219" s="161">
        <v>44712</v>
      </c>
      <c r="H219" s="26" t="s">
        <v>644</v>
      </c>
      <c r="I219" s="161">
        <v>44712</v>
      </c>
      <c r="J219" s="35" t="s">
        <v>596</v>
      </c>
      <c r="K219" s="21">
        <v>79900</v>
      </c>
      <c r="L219" s="21"/>
      <c r="M219" s="22">
        <f>(PROVEEDORES[[#This Row],[SUBTOTAL]]-PROVEEDORES[[#This Row],[descuento sobre subtotal]])*VLOOKUP(PROVEEDORES[[#This Row],[PROVEEDOR]],TERCEROS_INFO[#All],3,FALSE)</f>
        <v>0</v>
      </c>
      <c r="N219" s="23"/>
      <c r="O219" s="22">
        <f>+PROVEEDORES[[#This Row],[Descuento sobre subtotal %]]*(PROVEEDORES[[#This Row],[SUBTOTAL]]-PROVEEDORES[[#This Row],[descuento sobre subtotal]])</f>
        <v>0</v>
      </c>
      <c r="P219" s="83">
        <f>+IF(PROVEEDORES[[#This Row],[SUBTOTAL]]&lt;PROVEEDORES[[#This Row],[base retencion]],0,PROVEEDORES[[#This Row],[retención aplicada]])</f>
        <v>0</v>
      </c>
      <c r="Q219" s="22">
        <f>+PROVEEDORES[[#This Row],[Rete Fuente %]]*(PROVEEDORES[[#This Row],[SUBTOTAL]]-PROVEEDORES[[#This Row],[descuento sobre subtotal]])</f>
        <v>0</v>
      </c>
      <c r="R219" s="21">
        <f>+PROVEEDORES[[#This Row],[SUBTOTAL]]+PROVEEDORES[[#This Row],[IVA 19%]]-PROVEEDORES[[#This Row],[descuento sobre subtotal]]-PROVEEDORES[[#This Row],[Descuento sobre subtotal $2]]-PROVEEDORES[[#This Row],[Rete Fuente $]]</f>
        <v>79900</v>
      </c>
      <c r="S21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68">
        <f ca="1">IF(PROVEEDORES[[#This Row],[FECHA DE PAGO]]=0,TODAY()-PROVEEDORES[[#This Row],[FECHA DE FACTURACIÓN]]-PROVEEDORES[[#This Row],[PLAZO Días]],0)</f>
        <v>0</v>
      </c>
      <c r="U219" s="113">
        <f>+VLOOKUP(PROVEEDORES[[#This Row],[PROVEEDOR]],Terceros!$A:$D,4,FALSE)</f>
        <v>0</v>
      </c>
      <c r="V219" s="114">
        <f>+YEAR(PROVEEDORES[[#This Row],[FECHA DE FACTURACIÓN]])</f>
        <v>2022</v>
      </c>
      <c r="W219" s="114">
        <f>+MATCH(PROVEEDORES[[#This Row],[año facturado]],Retenciones!$1:$1,0)</f>
        <v>5</v>
      </c>
      <c r="X219" s="115">
        <f>+VLOOKUP(PROVEEDORES[[#This Row],[ID RETENCION]],Retenciones!$A$1:$O$25,PROVEEDORES[[#This Row],[indicador de columna]],FALSE)</f>
        <v>0</v>
      </c>
      <c r="Y219" s="116">
        <f>+VLOOKUP(PROVEEDORES[[#This Row],[ID RETENCION]],Retenciones!$A$1:$O$25,2,FALSE)</f>
        <v>0</v>
      </c>
      <c r="Z219" s="125" t="b">
        <f>OR(COUNTIF(PROVEEDORES[[#This Row],[PROVEEDOR]],"*"&amp;'Palabra no opera'!$A$2&amp;"*"))</f>
        <v>0</v>
      </c>
      <c r="AA219" s="24"/>
      <c r="AB219" s="24"/>
      <c r="AC219" s="24"/>
      <c r="AD219" s="24"/>
      <c r="AE219" s="24"/>
    </row>
    <row r="220" spans="1:31" ht="22.2" customHeight="1" x14ac:dyDescent="0.3">
      <c r="A220" s="144" t="str">
        <f>+IF(PROVEEDORES[[#This Row],[FECHA DE PAGO]]=PROVEEDORES[[#This Row],[FECHA DE FACTURACIÓN]],"DE CONTADO","CRÉDITO")</f>
        <v>CRÉDITO</v>
      </c>
      <c r="B220" s="38" t="str">
        <f>+IF((PROVEEDORES[[#This Row],[FECHA DE PAGO]]-PROVEEDORES[[#This Row],[FECHA DE FACTURACIÓN]])&gt;PROVEEDORES[[#This Row],[PLAZO Días]],"PAGO VENCIDO")</f>
        <v>PAGO VENCIDO</v>
      </c>
      <c r="C220" s="20">
        <f>+VLOOKUP(PROVEEDORES[[#This Row],[PROVEEDOR]],TERCEROS_INFO[#All],2,FALSE)</f>
        <v>30</v>
      </c>
      <c r="D220" s="25">
        <f>+SUMIFS(PROVEEDORES[Total],PROVEEDORES[PROVEEDOR],PROVEEDORES[[#This Row],[PROVEEDOR]],PROVEEDORES[FECHA DE PAGO],"")</f>
        <v>0</v>
      </c>
      <c r="E220" s="25" t="s">
        <v>997</v>
      </c>
      <c r="F22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20" s="161">
        <v>44741</v>
      </c>
      <c r="H220" s="26" t="s">
        <v>918</v>
      </c>
      <c r="I220" s="161">
        <v>44708</v>
      </c>
      <c r="J220" s="35" t="s">
        <v>996</v>
      </c>
      <c r="K220" s="21">
        <v>80632</v>
      </c>
      <c r="L220" s="21"/>
      <c r="M220" s="22">
        <f>(PROVEEDORES[[#This Row],[SUBTOTAL]]-PROVEEDORES[[#This Row],[descuento sobre subtotal]])*VLOOKUP(PROVEEDORES[[#This Row],[PROVEEDOR]],TERCEROS_INFO[#All],3,FALSE)</f>
        <v>0</v>
      </c>
      <c r="N220" s="23"/>
      <c r="O220" s="22">
        <f>+PROVEEDORES[[#This Row],[Descuento sobre subtotal %]]*(PROVEEDORES[[#This Row],[SUBTOTAL]]-PROVEEDORES[[#This Row],[descuento sobre subtotal]])</f>
        <v>0</v>
      </c>
      <c r="P220" s="83">
        <f>+IF(PROVEEDORES[[#This Row],[SUBTOTAL]]&lt;PROVEEDORES[[#This Row],[base retencion]],0,PROVEEDORES[[#This Row],[retención aplicada]])</f>
        <v>0</v>
      </c>
      <c r="Q220" s="22">
        <f>+PROVEEDORES[[#This Row],[Rete Fuente %]]*(PROVEEDORES[[#This Row],[SUBTOTAL]]-PROVEEDORES[[#This Row],[descuento sobre subtotal]])</f>
        <v>0</v>
      </c>
      <c r="R220" s="21">
        <f>+PROVEEDORES[[#This Row],[SUBTOTAL]]+PROVEEDORES[[#This Row],[IVA 19%]]-PROVEEDORES[[#This Row],[descuento sobre subtotal]]-PROVEEDORES[[#This Row],[Descuento sobre subtotal $2]]-PROVEEDORES[[#This Row],[Rete Fuente $]]</f>
        <v>80632</v>
      </c>
      <c r="S220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68">
        <f ca="1">IF(PROVEEDORES[[#This Row],[FECHA DE PAGO]]=0,TODAY()-PROVEEDORES[[#This Row],[FECHA DE FACTURACIÓN]]-PROVEEDORES[[#This Row],[PLAZO Días]],0)</f>
        <v>0</v>
      </c>
      <c r="U220" s="113">
        <f>+VLOOKUP(PROVEEDORES[[#This Row],[PROVEEDOR]],Terceros!$A:$D,4,FALSE)</f>
        <v>0</v>
      </c>
      <c r="V220" s="114">
        <f>+YEAR(PROVEEDORES[[#This Row],[FECHA DE FACTURACIÓN]])</f>
        <v>2022</v>
      </c>
      <c r="W220" s="114">
        <f>+MATCH(PROVEEDORES[[#This Row],[año facturado]],Retenciones!$1:$1,0)</f>
        <v>5</v>
      </c>
      <c r="X220" s="115">
        <f>+VLOOKUP(PROVEEDORES[[#This Row],[ID RETENCION]],Retenciones!$A$1:$O$25,PROVEEDORES[[#This Row],[indicador de columna]],FALSE)</f>
        <v>0</v>
      </c>
      <c r="Y220" s="116">
        <f>+VLOOKUP(PROVEEDORES[[#This Row],[ID RETENCION]],Retenciones!$A$1:$O$25,2,FALSE)</f>
        <v>0</v>
      </c>
      <c r="Z220" s="125" t="b">
        <f>OR(COUNTIF(PROVEEDORES[[#This Row],[PROVEEDOR]],"*"&amp;'Palabra no opera'!$A$2&amp;"*"))</f>
        <v>1</v>
      </c>
      <c r="AA220" s="24"/>
      <c r="AB220" s="24"/>
      <c r="AC220" s="24"/>
      <c r="AD220" s="24"/>
      <c r="AE220" s="24"/>
    </row>
    <row r="221" spans="1:31" ht="22.2" customHeight="1" x14ac:dyDescent="0.3">
      <c r="A221" s="66" t="str">
        <f>+IF(PROVEEDORES[[#This Row],[FECHA DE PAGO]]=PROVEEDORES[[#This Row],[FECHA DE FACTURACIÓN]],"DE CONTADO","CRÉDITO")</f>
        <v>DE CONTADO</v>
      </c>
      <c r="B221" s="38" t="b">
        <f>+IF((PROVEEDORES[[#This Row],[FECHA DE PAGO]]-PROVEEDORES[[#This Row],[FECHA DE FACTURACIÓN]])&gt;PROVEEDORES[[#This Row],[PLAZO Días]],"PAGO VENCIDO")</f>
        <v>0</v>
      </c>
      <c r="C221" s="20">
        <f>+VLOOKUP(PROVEEDORES[[#This Row],[PROVEEDOR]],TERCEROS_INFO[#All],2,FALSE)</f>
        <v>30</v>
      </c>
      <c r="D221" s="25">
        <f>+SUMIFS(PROVEEDORES[Total],PROVEEDORES[PROVEEDOR],PROVEEDORES[[#This Row],[PROVEEDOR]],PROVEEDORES[FECHA DE PAGO],"")</f>
        <v>0</v>
      </c>
      <c r="E221" s="25"/>
      <c r="F221" s="58" t="str">
        <f>+VLOOKUP(PROVEEDORES[[#This Row],[PROVEEDOR]],
                       Terceros!$A:$F,
                       5,
                       FALSE)</f>
        <v/>
      </c>
      <c r="G221" s="161">
        <v>44316</v>
      </c>
      <c r="H221" s="26" t="s">
        <v>644</v>
      </c>
      <c r="I221" s="161">
        <v>44316</v>
      </c>
      <c r="J221" s="35" t="s">
        <v>596</v>
      </c>
      <c r="K221" s="21">
        <v>82400</v>
      </c>
      <c r="L221" s="21"/>
      <c r="M221" s="22">
        <f>(PROVEEDORES[[#This Row],[SUBTOTAL]]-PROVEEDORES[[#This Row],[descuento sobre subtotal]])*VLOOKUP(PROVEEDORES[[#This Row],[PROVEEDOR]],TERCEROS_INFO[#All],3,FALSE)</f>
        <v>0</v>
      </c>
      <c r="N221" s="23"/>
      <c r="O221" s="22">
        <f>+PROVEEDORES[[#This Row],[Descuento sobre subtotal %]]*(PROVEEDORES[[#This Row],[SUBTOTAL]]-PROVEEDORES[[#This Row],[descuento sobre subtotal]])</f>
        <v>0</v>
      </c>
      <c r="P221" s="83">
        <f>+IF(PROVEEDORES[[#This Row],[SUBTOTAL]]&lt;PROVEEDORES[[#This Row],[base retencion]],0,PROVEEDORES[[#This Row],[retención aplicada]])</f>
        <v>0</v>
      </c>
      <c r="Q221" s="22">
        <f>+PROVEEDORES[[#This Row],[Rete Fuente %]]*(PROVEEDORES[[#This Row],[SUBTOTAL]]-PROVEEDORES[[#This Row],[descuento sobre subtotal]])</f>
        <v>0</v>
      </c>
      <c r="R221" s="21">
        <f>+PROVEEDORES[[#This Row],[SUBTOTAL]]+PROVEEDORES[[#This Row],[IVA 19%]]-PROVEEDORES[[#This Row],[descuento sobre subtotal]]-PROVEEDORES[[#This Row],[Descuento sobre subtotal $2]]-PROVEEDORES[[#This Row],[Rete Fuente $]]</f>
        <v>82400</v>
      </c>
      <c r="S2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68">
        <f ca="1">IF(PROVEEDORES[[#This Row],[FECHA DE PAGO]]=0,TODAY()-PROVEEDORES[[#This Row],[FECHA DE FACTURACIÓN]]-PROVEEDORES[[#This Row],[PLAZO Días]],0)</f>
        <v>0</v>
      </c>
      <c r="U221" s="96">
        <f>+VLOOKUP(PROVEEDORES[[#This Row],[PROVEEDOR]],Terceros!$A:$D,4,FALSE)</f>
        <v>0</v>
      </c>
      <c r="V221" s="97">
        <f>+YEAR(PROVEEDORES[[#This Row],[FECHA DE FACTURACIÓN]])</f>
        <v>2021</v>
      </c>
      <c r="W221" s="97">
        <f>+MATCH(PROVEEDORES[[#This Row],[año facturado]],Retenciones!$1:$1,0)</f>
        <v>4</v>
      </c>
      <c r="X221" s="98">
        <f>+VLOOKUP(PROVEEDORES[[#This Row],[ID RETENCION]],Retenciones!$A$1:$O$25,PROVEEDORES[[#This Row],[indicador de columna]],FALSE)</f>
        <v>0</v>
      </c>
      <c r="Y221" s="99">
        <f>+VLOOKUP(PROVEEDORES[[#This Row],[ID RETENCION]],Retenciones!$A$1:$O$25,2,FALSE)</f>
        <v>0</v>
      </c>
      <c r="Z221" s="125" t="b">
        <f>OR(COUNTIF(PROVEEDORES[[#This Row],[PROVEEDOR]],"*"&amp;'Palabra no opera'!$A$2&amp;"*"))</f>
        <v>0</v>
      </c>
      <c r="AA221" s="24"/>
      <c r="AB221" s="24"/>
      <c r="AC221" s="24"/>
      <c r="AD221" s="24"/>
      <c r="AE221" s="24"/>
    </row>
    <row r="222" spans="1:31" ht="22.2" customHeight="1" x14ac:dyDescent="0.3">
      <c r="A222" s="66" t="str">
        <f>+IF(PROVEEDORES[[#This Row],[FECHA DE PAGO]]=PROVEEDORES[[#This Row],[FECHA DE FACTURACIÓN]],"DE CONTADO","CRÉDITO")</f>
        <v>CRÉDITO</v>
      </c>
      <c r="B222" s="38" t="b">
        <f>+IF((PROVEEDORES[[#This Row],[FECHA DE PAGO]]-PROVEEDORES[[#This Row],[FECHA DE FACTURACIÓN]])&gt;PROVEEDORES[[#This Row],[PLAZO Días]],"PAGO VENCIDO")</f>
        <v>0</v>
      </c>
      <c r="C222" s="20">
        <f>+VLOOKUP(PROVEEDORES[[#This Row],[PROVEEDOR]],TERCEROS_INFO[#All],2,FALSE)</f>
        <v>10</v>
      </c>
      <c r="D222" s="25">
        <f>+SUMIFS(PROVEEDORES[Total],PROVEEDORES[PROVEEDOR],PROVEEDORES[[#This Row],[PROVEEDOR]],PROVEEDORES[FECHA DE PAGO],"")</f>
        <v>0</v>
      </c>
      <c r="E222" s="25"/>
      <c r="F222" s="58" t="str">
        <f>+VLOOKUP(PROVEEDORES[[#This Row],[PROVEEDOR]],
                       Terceros!$A:$F,
                       5,
                       FALSE)</f>
        <v>comercial@munditonner.com.co;girlesa.ruiz@servipilas.com;joriescobar64@gmail.com</v>
      </c>
      <c r="G222" s="161">
        <v>44321</v>
      </c>
      <c r="H222" s="26" t="s">
        <v>314</v>
      </c>
      <c r="I222" s="161">
        <v>44320</v>
      </c>
      <c r="J222" s="35" t="s">
        <v>316</v>
      </c>
      <c r="K222" s="21">
        <v>70000</v>
      </c>
      <c r="L222" s="21"/>
      <c r="M222" s="22">
        <f>(PROVEEDORES[[#This Row],[SUBTOTAL]]-PROVEEDORES[[#This Row],[descuento sobre subtotal]])*VLOOKUP(PROVEEDORES[[#This Row],[PROVEEDOR]],TERCEROS_INFO[#All],3,FALSE)</f>
        <v>13300</v>
      </c>
      <c r="N222" s="23"/>
      <c r="O222" s="22">
        <f>+PROVEEDORES[[#This Row],[Descuento sobre subtotal %]]*(PROVEEDORES[[#This Row],[SUBTOTAL]]-PROVEEDORES[[#This Row],[descuento sobre subtotal]])</f>
        <v>0</v>
      </c>
      <c r="P222" s="83">
        <f>+IF(PROVEEDORES[[#This Row],[SUBTOTAL]]&lt;PROVEEDORES[[#This Row],[base retencion]],0,PROVEEDORES[[#This Row],[retención aplicada]])</f>
        <v>0</v>
      </c>
      <c r="Q222" s="22">
        <f>+PROVEEDORES[[#This Row],[Rete Fuente %]]*(PROVEEDORES[[#This Row],[SUBTOTAL]]-PROVEEDORES[[#This Row],[descuento sobre subtotal]])</f>
        <v>0</v>
      </c>
      <c r="R222" s="21">
        <f>+PROVEEDORES[[#This Row],[SUBTOTAL]]+PROVEEDORES[[#This Row],[IVA 19%]]-PROVEEDORES[[#This Row],[descuento sobre subtotal]]-PROVEEDORES[[#This Row],[Descuento sobre subtotal $2]]-PROVEEDORES[[#This Row],[Rete Fuente $]]</f>
        <v>83300</v>
      </c>
      <c r="S2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68">
        <f ca="1">IF(PROVEEDORES[[#This Row],[FECHA DE PAGO]]=0,TODAY()-PROVEEDORES[[#This Row],[FECHA DE FACTURACIÓN]]-PROVEEDORES[[#This Row],[PLAZO Días]],0)</f>
        <v>0</v>
      </c>
      <c r="U222" s="96" t="str">
        <f>+VLOOKUP(PROVEEDORES[[#This Row],[PROVEEDOR]],Terceros!$A:$D,4,FALSE)</f>
        <v>2,5% con base</v>
      </c>
      <c r="V222" s="97">
        <f>+YEAR(PROVEEDORES[[#This Row],[FECHA DE FACTURACIÓN]])</f>
        <v>2021</v>
      </c>
      <c r="W222" s="97">
        <f>+MATCH(PROVEEDORES[[#This Row],[año facturado]],Retenciones!$1:$1,0)</f>
        <v>4</v>
      </c>
      <c r="X222" s="98">
        <f>+VLOOKUP(PROVEEDORES[[#This Row],[ID RETENCION]],Retenciones!$A$1:$O$25,PROVEEDORES[[#This Row],[indicador de columna]],FALSE)</f>
        <v>980000</v>
      </c>
      <c r="Y222" s="99">
        <f>+VLOOKUP(PROVEEDORES[[#This Row],[ID RETENCION]],Retenciones!$A$1:$O$25,2,FALSE)</f>
        <v>2.5000000000000001E-2</v>
      </c>
      <c r="Z222" s="125" t="b">
        <f>OR(COUNTIF(PROVEEDORES[[#This Row],[PROVEEDOR]],"*"&amp;'Palabra no opera'!$A$2&amp;"*"))</f>
        <v>0</v>
      </c>
      <c r="AA222" s="24"/>
      <c r="AB222" s="24"/>
      <c r="AC222" s="24"/>
      <c r="AD222" s="24"/>
      <c r="AE222" s="24"/>
    </row>
    <row r="223" spans="1:31" ht="22.2" customHeight="1" x14ac:dyDescent="0.3">
      <c r="A223" s="269" t="str">
        <f>+IF(PROVEEDORES[[#This Row],[FECHA DE PAGO]]=PROVEEDORES[[#This Row],[FECHA DE FACTURACIÓN]],"DE CONTADO","CRÉDITO")</f>
        <v>DE CONTADO</v>
      </c>
      <c r="B223" s="38" t="b">
        <f>+IF((PROVEEDORES[[#This Row],[FECHA DE PAGO]]-PROVEEDORES[[#This Row],[FECHA DE FACTURACIÓN]])&gt;PROVEEDORES[[#This Row],[PLAZO Días]],"PAGO VENCIDO")</f>
        <v>0</v>
      </c>
      <c r="C223" s="20">
        <f>+VLOOKUP(PROVEEDORES[[#This Row],[PROVEEDOR]],TERCEROS_INFO[#All],2,FALSE)</f>
        <v>30</v>
      </c>
      <c r="D223" s="25">
        <f>+SUMIFS(PROVEEDORES[Total],PROVEEDORES[PROVEEDOR],PROVEEDORES[[#This Row],[PROVEEDOR]],PROVEEDORES[FECHA DE PAGO],"")</f>
        <v>0</v>
      </c>
      <c r="E223" s="25"/>
      <c r="F223" s="58" t="str">
        <f>+VLOOKUP(PROVEEDORES[[#This Row],[PROVEEDOR]],
                       Terceros!$A:$F,
                       5,
                       FALSE)</f>
        <v/>
      </c>
      <c r="G223" s="161">
        <v>44865</v>
      </c>
      <c r="H223" s="26" t="s">
        <v>644</v>
      </c>
      <c r="I223" s="161">
        <v>44865</v>
      </c>
      <c r="J223" s="35" t="s">
        <v>1752</v>
      </c>
      <c r="K223" s="21">
        <v>85000</v>
      </c>
      <c r="L223" s="21"/>
      <c r="M223" s="22">
        <f>(PROVEEDORES[[#This Row],[SUBTOTAL]]-PROVEEDORES[[#This Row],[descuento sobre subtotal]])*VLOOKUP(PROVEEDORES[[#This Row],[PROVEEDOR]],TERCEROS_INFO[#All],3,FALSE)</f>
        <v>0</v>
      </c>
      <c r="N223" s="23"/>
      <c r="O223" s="22">
        <f>+PROVEEDORES[[#This Row],[Descuento sobre subtotal %]]*(PROVEEDORES[[#This Row],[SUBTOTAL]]-PROVEEDORES[[#This Row],[descuento sobre subtotal]])</f>
        <v>0</v>
      </c>
      <c r="P223" s="83">
        <f>+IF(PROVEEDORES[[#This Row],[SUBTOTAL]]&lt;PROVEEDORES[[#This Row],[base retencion]],0,PROVEEDORES[[#This Row],[retención aplicada]])</f>
        <v>0</v>
      </c>
      <c r="Q223" s="22">
        <f>+PROVEEDORES[[#This Row],[Rete Fuente %]]*(PROVEEDORES[[#This Row],[SUBTOTAL]]-PROVEEDORES[[#This Row],[descuento sobre subtotal]])</f>
        <v>0</v>
      </c>
      <c r="R223" s="21">
        <f>+PROVEEDORES[[#This Row],[SUBTOTAL]]+PROVEEDORES[[#This Row],[IVA 19%]]-PROVEEDORES[[#This Row],[descuento sobre subtotal]]-PROVEEDORES[[#This Row],[Descuento sobre subtotal $2]]-PROVEEDORES[[#This Row],[Rete Fuente $]]</f>
        <v>85000</v>
      </c>
      <c r="S223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68">
        <f ca="1">IF(PROVEEDORES[[#This Row],[FECHA DE PAGO]]=0,TODAY()-PROVEEDORES[[#This Row],[FECHA DE FACTURACIÓN]]-PROVEEDORES[[#This Row],[PLAZO Días]],0)</f>
        <v>0</v>
      </c>
      <c r="U223" s="113">
        <f>+VLOOKUP(PROVEEDORES[[#This Row],[PROVEEDOR]],Terceros!$A:$D,4,FALSE)</f>
        <v>0</v>
      </c>
      <c r="V223" s="114">
        <f>+YEAR(PROVEEDORES[[#This Row],[FECHA DE FACTURACIÓN]])</f>
        <v>2022</v>
      </c>
      <c r="W223" s="114">
        <f>+MATCH(PROVEEDORES[[#This Row],[año facturado]],Retenciones!$1:$1,0)</f>
        <v>5</v>
      </c>
      <c r="X223" s="115">
        <f>+VLOOKUP(PROVEEDORES[[#This Row],[ID RETENCION]],Retenciones!$A$1:$O$25,PROVEEDORES[[#This Row],[indicador de columna]],FALSE)</f>
        <v>0</v>
      </c>
      <c r="Y223" s="116">
        <f>+VLOOKUP(PROVEEDORES[[#This Row],[ID RETENCION]],Retenciones!$A$1:$O$25,2,FALSE)</f>
        <v>0</v>
      </c>
      <c r="Z223" s="125" t="b">
        <f>OR(COUNTIF(PROVEEDORES[[#This Row],[PROVEEDOR]],"*"&amp;'Palabra no opera'!$A$2&amp;"*"))</f>
        <v>0</v>
      </c>
      <c r="AA223" s="24"/>
      <c r="AB223" s="24"/>
      <c r="AC223" s="24"/>
      <c r="AD223" s="24"/>
      <c r="AE223" s="24"/>
    </row>
    <row r="224" spans="1:31" ht="22.2" customHeight="1" x14ac:dyDescent="0.3">
      <c r="A224" s="66" t="str">
        <f>+IF(PROVEEDORES[[#This Row],[FECHA DE PAGO]]=PROVEEDORES[[#This Row],[FECHA DE FACTURACIÓN]],"DE CONTADO","CRÉDITO")</f>
        <v>DE CONTADO</v>
      </c>
      <c r="B224" s="38" t="b">
        <f>+IF((PROVEEDORES[[#This Row],[FECHA DE PAGO]]-PROVEEDORES[[#This Row],[FECHA DE FACTURACIÓN]])&gt;PROVEEDORES[[#This Row],[PLAZO Días]],"PAGO VENCIDO")</f>
        <v>0</v>
      </c>
      <c r="C224" s="20">
        <f>+VLOOKUP(PROVEEDORES[[#This Row],[PROVEEDOR]],TERCEROS_INFO[#All],2,FALSE)</f>
        <v>30</v>
      </c>
      <c r="D224" s="25">
        <f>+SUMIFS(PROVEEDORES[Total],PROVEEDORES[PROVEEDOR],PROVEEDORES[[#This Row],[PROVEEDOR]],PROVEEDORES[FECHA DE PAGO],"")</f>
        <v>0</v>
      </c>
      <c r="E224" s="25"/>
      <c r="F224" s="58" t="str">
        <f>+VLOOKUP(PROVEEDORES[[#This Row],[PROVEEDOR]],
                       Terceros!$A:$F,
                       5,
                       FALSE)</f>
        <v/>
      </c>
      <c r="G224" s="161">
        <v>44227</v>
      </c>
      <c r="H224" s="26" t="s">
        <v>644</v>
      </c>
      <c r="I224" s="161">
        <v>44227</v>
      </c>
      <c r="J224" s="35" t="s">
        <v>1186</v>
      </c>
      <c r="K224" s="21">
        <v>88500</v>
      </c>
      <c r="L224" s="21"/>
      <c r="M224" s="22">
        <f>(PROVEEDORES[[#This Row],[SUBTOTAL]]-PROVEEDORES[[#This Row],[descuento sobre subtotal]])*VLOOKUP(PROVEEDORES[[#This Row],[PROVEEDOR]],TERCEROS_INFO[#All],3,FALSE)</f>
        <v>0</v>
      </c>
      <c r="N224" s="23"/>
      <c r="O224" s="22">
        <f>+PROVEEDORES[[#This Row],[Descuento sobre subtotal %]]*(PROVEEDORES[[#This Row],[SUBTOTAL]]-PROVEEDORES[[#This Row],[descuento sobre subtotal]])</f>
        <v>0</v>
      </c>
      <c r="P224" s="83">
        <f>+IF(PROVEEDORES[[#This Row],[SUBTOTAL]]&lt;PROVEEDORES[[#This Row],[base retencion]],0,PROVEEDORES[[#This Row],[retención aplicada]])</f>
        <v>0</v>
      </c>
      <c r="Q224" s="22">
        <f>+PROVEEDORES[[#This Row],[Rete Fuente %]]*(PROVEEDORES[[#This Row],[SUBTOTAL]]-PROVEEDORES[[#This Row],[descuento sobre subtotal]])</f>
        <v>0</v>
      </c>
      <c r="R224" s="21">
        <f>+PROVEEDORES[[#This Row],[SUBTOTAL]]+PROVEEDORES[[#This Row],[IVA 19%]]-PROVEEDORES[[#This Row],[descuento sobre subtotal]]-PROVEEDORES[[#This Row],[Descuento sobre subtotal $2]]-PROVEEDORES[[#This Row],[Rete Fuente $]]</f>
        <v>88500</v>
      </c>
      <c r="S2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68">
        <f ca="1">IF(PROVEEDORES[[#This Row],[FECHA DE PAGO]]=0,TODAY()-PROVEEDORES[[#This Row],[FECHA DE FACTURACIÓN]]-PROVEEDORES[[#This Row],[PLAZO Días]],0)</f>
        <v>0</v>
      </c>
      <c r="U224" s="96">
        <f>+VLOOKUP(PROVEEDORES[[#This Row],[PROVEEDOR]],Terceros!$A:$D,4,FALSE)</f>
        <v>0</v>
      </c>
      <c r="V224" s="97">
        <f>+YEAR(PROVEEDORES[[#This Row],[FECHA DE FACTURACIÓN]])</f>
        <v>2021</v>
      </c>
      <c r="W224" s="97">
        <f>+MATCH(PROVEEDORES[[#This Row],[año facturado]],Retenciones!$1:$1,0)</f>
        <v>4</v>
      </c>
      <c r="X224" s="98">
        <f>+VLOOKUP(PROVEEDORES[[#This Row],[ID RETENCION]],Retenciones!$A$1:$O$25,PROVEEDORES[[#This Row],[indicador de columna]],FALSE)</f>
        <v>0</v>
      </c>
      <c r="Y224" s="99">
        <f>+VLOOKUP(PROVEEDORES[[#This Row],[ID RETENCION]],Retenciones!$A$1:$O$25,2,FALSE)</f>
        <v>0</v>
      </c>
      <c r="Z224" s="125" t="b">
        <f>OR(COUNTIF(PROVEEDORES[[#This Row],[PROVEEDOR]],"*"&amp;'Palabra no opera'!$A$2&amp;"*"))</f>
        <v>0</v>
      </c>
      <c r="AA224" s="24"/>
      <c r="AB224" s="24"/>
      <c r="AC224" s="24"/>
      <c r="AD224" s="24"/>
      <c r="AE224" s="24"/>
    </row>
    <row r="225" spans="1:31" ht="22.2" customHeight="1" x14ac:dyDescent="0.3">
      <c r="A225" s="66" t="str">
        <f>+IF(PROVEEDORES[[#This Row],[FECHA DE PAGO]]=PROVEEDORES[[#This Row],[FECHA DE FACTURACIÓN]],"DE CONTADO","CRÉDITO")</f>
        <v>CRÉDITO</v>
      </c>
      <c r="B225" s="38" t="b">
        <f>+IF((PROVEEDORES[[#This Row],[FECHA DE PAGO]]-PROVEEDORES[[#This Row],[FECHA DE FACTURACIÓN]])&gt;PROVEEDORES[[#This Row],[PLAZO Días]],"PAGO VENCIDO")</f>
        <v>0</v>
      </c>
      <c r="C225" s="20">
        <f>+VLOOKUP(PROVEEDORES[[#This Row],[PROVEEDOR]],TERCEROS_INFO[#All],2,FALSE)</f>
        <v>30</v>
      </c>
      <c r="D225" s="25">
        <f>+SUMIFS(PROVEEDORES[Total],PROVEEDORES[PROVEEDOR],PROVEEDORES[[#This Row],[PROVEEDOR]],PROVEEDORES[FECHA DE PAGO],"")</f>
        <v>0</v>
      </c>
      <c r="E225" s="25"/>
      <c r="F225" s="58" t="str">
        <f>+VLOOKUP(PROVEEDORES[[#This Row],[PROVEEDOR]],
                       Terceros!$A:$F,
                       5,
                       FALSE)</f>
        <v/>
      </c>
      <c r="G225" s="161">
        <v>44651</v>
      </c>
      <c r="H225" s="26" t="s">
        <v>1130</v>
      </c>
      <c r="I225" s="161">
        <v>44635</v>
      </c>
      <c r="J225" s="35" t="s">
        <v>734</v>
      </c>
      <c r="K225" s="21">
        <v>89500</v>
      </c>
      <c r="L225" s="21"/>
      <c r="M225" s="22">
        <f>(PROVEEDORES[[#This Row],[SUBTOTAL]]-PROVEEDORES[[#This Row],[descuento sobre subtotal]])*VLOOKUP(PROVEEDORES[[#This Row],[PROVEEDOR]],TERCEROS_INFO[#All],3,FALSE)</f>
        <v>0</v>
      </c>
      <c r="N225" s="23"/>
      <c r="O225" s="22">
        <f>+PROVEEDORES[[#This Row],[Descuento sobre subtotal %]]*(PROVEEDORES[[#This Row],[SUBTOTAL]]-PROVEEDORES[[#This Row],[descuento sobre subtotal]])</f>
        <v>0</v>
      </c>
      <c r="P225" s="83">
        <f>+IF(PROVEEDORES[[#This Row],[SUBTOTAL]]&lt;PROVEEDORES[[#This Row],[base retencion]],0,PROVEEDORES[[#This Row],[retención aplicada]])</f>
        <v>0</v>
      </c>
      <c r="Q225" s="22">
        <f>+PROVEEDORES[[#This Row],[Rete Fuente %]]*(PROVEEDORES[[#This Row],[SUBTOTAL]]-PROVEEDORES[[#This Row],[descuento sobre subtotal]])</f>
        <v>0</v>
      </c>
      <c r="R225" s="21">
        <f>+PROVEEDORES[[#This Row],[SUBTOTAL]]+PROVEEDORES[[#This Row],[IVA 19%]]-PROVEEDORES[[#This Row],[descuento sobre subtotal]]-PROVEEDORES[[#This Row],[Descuento sobre subtotal $2]]-PROVEEDORES[[#This Row],[Rete Fuente $]]</f>
        <v>89500</v>
      </c>
      <c r="S2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68">
        <f ca="1">IF(PROVEEDORES[[#This Row],[FECHA DE PAGO]]=0,TODAY()-PROVEEDORES[[#This Row],[FECHA DE FACTURACIÓN]]-PROVEEDORES[[#This Row],[PLAZO Días]],0)</f>
        <v>0</v>
      </c>
      <c r="U225" s="96">
        <f>+VLOOKUP(PROVEEDORES[[#This Row],[PROVEEDOR]],Terceros!$A:$D,4,FALSE)</f>
        <v>0</v>
      </c>
      <c r="V225" s="97">
        <f>+YEAR(PROVEEDORES[[#This Row],[FECHA DE FACTURACIÓN]])</f>
        <v>2022</v>
      </c>
      <c r="W225" s="97">
        <f>+MATCH(PROVEEDORES[[#This Row],[año facturado]],Retenciones!$1:$1,0)</f>
        <v>5</v>
      </c>
      <c r="X225" s="98">
        <f>+VLOOKUP(PROVEEDORES[[#This Row],[ID RETENCION]],Retenciones!$A$1:$O$25,PROVEEDORES[[#This Row],[indicador de columna]],FALSE)</f>
        <v>0</v>
      </c>
      <c r="Y225" s="99">
        <f>+VLOOKUP(PROVEEDORES[[#This Row],[ID RETENCION]],Retenciones!$A$1:$O$25,2,FALSE)</f>
        <v>0</v>
      </c>
      <c r="Z225" s="125" t="b">
        <f>OR(COUNTIF(PROVEEDORES[[#This Row],[PROVEEDOR]],"*"&amp;'Palabra no opera'!$A$2&amp;"*"))</f>
        <v>1</v>
      </c>
      <c r="AA225" s="24"/>
      <c r="AB225" s="24"/>
      <c r="AC225" s="24"/>
      <c r="AD225" s="24"/>
      <c r="AE225" s="24"/>
    </row>
    <row r="226" spans="1:31" ht="22.2" customHeight="1" x14ac:dyDescent="0.3">
      <c r="A226" s="66" t="str">
        <f>+IF(PROVEEDORES[[#This Row],[FECHA DE PAGO]]=PROVEEDORES[[#This Row],[FECHA DE FACTURACIÓN]],"DE CONTADO","CRÉDITO")</f>
        <v>CRÉDITO</v>
      </c>
      <c r="B226" s="38" t="b">
        <f>+IF((PROVEEDORES[[#This Row],[FECHA DE PAGO]]-PROVEEDORES[[#This Row],[FECHA DE FACTURACIÓN]])&gt;PROVEEDORES[[#This Row],[PLAZO Días]],"PAGO VENCIDO")</f>
        <v>0</v>
      </c>
      <c r="C226" s="20">
        <f>+VLOOKUP(PROVEEDORES[[#This Row],[PROVEEDOR]],TERCEROS_INFO[#All],2,FALSE)</f>
        <v>30</v>
      </c>
      <c r="D226" s="25">
        <f>+SUMIFS(PROVEEDORES[Total],PROVEEDORES[PROVEEDOR],PROVEEDORES[[#This Row],[PROVEEDOR]],PROVEEDORES[FECHA DE PAGO],"")</f>
        <v>0</v>
      </c>
      <c r="E226" s="25"/>
      <c r="F226" s="58" t="str">
        <f>+VLOOKUP(PROVEEDORES[[#This Row],[PROVEEDOR]],
                       Terceros!$A:$F,
                       5,
                       FALSE)</f>
        <v/>
      </c>
      <c r="G226" s="161">
        <v>44201</v>
      </c>
      <c r="H226" s="26" t="s">
        <v>636</v>
      </c>
      <c r="I226" s="161">
        <v>44187</v>
      </c>
      <c r="J226" s="35"/>
      <c r="K226" s="21">
        <v>90000</v>
      </c>
      <c r="L226" s="21"/>
      <c r="M226" s="22">
        <f>(PROVEEDORES[[#This Row],[SUBTOTAL]]-PROVEEDORES[[#This Row],[descuento sobre subtotal]])*VLOOKUP(PROVEEDORES[[#This Row],[PROVEEDOR]],TERCEROS_INFO[#All],3,FALSE)</f>
        <v>0</v>
      </c>
      <c r="N226" s="23"/>
      <c r="O226" s="22">
        <f>+PROVEEDORES[[#This Row],[Descuento sobre subtotal %]]*(PROVEEDORES[[#This Row],[SUBTOTAL]]-PROVEEDORES[[#This Row],[descuento sobre subtotal]])</f>
        <v>0</v>
      </c>
      <c r="P226" s="83">
        <f>+IF(PROVEEDORES[[#This Row],[SUBTOTAL]]&lt;PROVEEDORES[[#This Row],[base retencion]],0,PROVEEDORES[[#This Row],[retención aplicada]])</f>
        <v>0</v>
      </c>
      <c r="Q226" s="22">
        <f>+PROVEEDORES[[#This Row],[Rete Fuente %]]*(PROVEEDORES[[#This Row],[SUBTOTAL]]-PROVEEDORES[[#This Row],[descuento sobre subtotal]])</f>
        <v>0</v>
      </c>
      <c r="R226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2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68">
        <f ca="1">IF(PROVEEDORES[[#This Row],[FECHA DE PAGO]]=0,TODAY()-PROVEEDORES[[#This Row],[FECHA DE FACTURACIÓN]]-PROVEEDORES[[#This Row],[PLAZO Días]],0)</f>
        <v>0</v>
      </c>
      <c r="U226" s="96">
        <f>+VLOOKUP(PROVEEDORES[[#This Row],[PROVEEDOR]],Terceros!$A:$D,4,FALSE)</f>
        <v>0</v>
      </c>
      <c r="V226" s="97">
        <f>+YEAR(PROVEEDORES[[#This Row],[FECHA DE FACTURACIÓN]])</f>
        <v>2020</v>
      </c>
      <c r="W226" s="97">
        <f>+MATCH(PROVEEDORES[[#This Row],[año facturado]],Retenciones!$1:$1,0)</f>
        <v>3</v>
      </c>
      <c r="X226" s="98">
        <f>+VLOOKUP(PROVEEDORES[[#This Row],[ID RETENCION]],Retenciones!$A$1:$O$25,PROVEEDORES[[#This Row],[indicador de columna]],FALSE)</f>
        <v>0</v>
      </c>
      <c r="Y226" s="99">
        <f>+VLOOKUP(PROVEEDORES[[#This Row],[ID RETENCION]],Retenciones!$A$1:$O$25,2,FALSE)</f>
        <v>0</v>
      </c>
      <c r="Z226" s="125" t="b">
        <f>OR(COUNTIF(PROVEEDORES[[#This Row],[PROVEEDOR]],"*"&amp;'Palabra no opera'!$A$2&amp;"*"))</f>
        <v>0</v>
      </c>
      <c r="AA226" s="24"/>
      <c r="AB226" s="24"/>
      <c r="AC226" s="24"/>
      <c r="AD226" s="24"/>
      <c r="AE226" s="24"/>
    </row>
    <row r="227" spans="1:31" ht="22.2" customHeight="1" x14ac:dyDescent="0.3">
      <c r="A227" s="66" t="str">
        <f>+IF(PROVEEDORES[[#This Row],[FECHA DE PAGO]]=PROVEEDORES[[#This Row],[FECHA DE FACTURACIÓN]],"DE CONTADO","CRÉDITO")</f>
        <v>CRÉDITO</v>
      </c>
      <c r="B227" s="38" t="str">
        <f>+IF((PROVEEDORES[[#This Row],[FECHA DE PAGO]]-PROVEEDORES[[#This Row],[FECHA DE FACTURACIÓN]])&gt;PROVEEDORES[[#This Row],[PLAZO Días]],"PAGO VENCIDO")</f>
        <v>PAGO VENCIDO</v>
      </c>
      <c r="C227" s="20">
        <f>+VLOOKUP(PROVEEDORES[[#This Row],[PROVEEDOR]],TERCEROS_INFO[#All],2,FALSE)</f>
        <v>30</v>
      </c>
      <c r="D227" s="25">
        <f>+SUMIFS(PROVEEDORES[Total],PROVEEDORES[PROVEEDOR],PROVEEDORES[[#This Row],[PROVEEDOR]],PROVEEDORES[FECHA DE PAGO],"")</f>
        <v>0</v>
      </c>
      <c r="E227" s="25"/>
      <c r="F227" s="58">
        <f>+VLOOKUP(PROVEEDORES[[#This Row],[PROVEEDOR]],
                       Terceros!$A:$F,
                       5,
                       FALSE)</f>
        <v>0</v>
      </c>
      <c r="G227" s="161">
        <v>44382</v>
      </c>
      <c r="H227" s="26" t="s">
        <v>658</v>
      </c>
      <c r="I227" s="161">
        <v>44312</v>
      </c>
      <c r="J227" s="35" t="s">
        <v>1211</v>
      </c>
      <c r="K227" s="21">
        <v>90000</v>
      </c>
      <c r="L227" s="21"/>
      <c r="M227" s="22">
        <f>(PROVEEDORES[[#This Row],[SUBTOTAL]]-PROVEEDORES[[#This Row],[descuento sobre subtotal]])*VLOOKUP(PROVEEDORES[[#This Row],[PROVEEDOR]],TERCEROS_INFO[#All],3,FALSE)</f>
        <v>0</v>
      </c>
      <c r="N227" s="23"/>
      <c r="O227" s="22">
        <f>+PROVEEDORES[[#This Row],[Descuento sobre subtotal %]]*(PROVEEDORES[[#This Row],[SUBTOTAL]]-PROVEEDORES[[#This Row],[descuento sobre subtotal]])</f>
        <v>0</v>
      </c>
      <c r="P227" s="83">
        <f>+IF(PROVEEDORES[[#This Row],[SUBTOTAL]]&lt;PROVEEDORES[[#This Row],[base retencion]],0,PROVEEDORES[[#This Row],[retención aplicada]])</f>
        <v>0</v>
      </c>
      <c r="Q227" s="22">
        <f>+PROVEEDORES[[#This Row],[Rete Fuente %]]*(PROVEEDORES[[#This Row],[SUBTOTAL]]-PROVEEDORES[[#This Row],[descuento sobre subtotal]])</f>
        <v>0</v>
      </c>
      <c r="R227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2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68">
        <f ca="1">IF(PROVEEDORES[[#This Row],[FECHA DE PAGO]]=0,TODAY()-PROVEEDORES[[#This Row],[FECHA DE FACTURACIÓN]]-PROVEEDORES[[#This Row],[PLAZO Días]],0)</f>
        <v>0</v>
      </c>
      <c r="U227" s="96">
        <f>+VLOOKUP(PROVEEDORES[[#This Row],[PROVEEDOR]],Terceros!$A:$D,4,FALSE)</f>
        <v>0</v>
      </c>
      <c r="V227" s="97">
        <f>+YEAR(PROVEEDORES[[#This Row],[FECHA DE FACTURACIÓN]])</f>
        <v>2021</v>
      </c>
      <c r="W227" s="97">
        <f>+MATCH(PROVEEDORES[[#This Row],[año facturado]],Retenciones!$1:$1,0)</f>
        <v>4</v>
      </c>
      <c r="X227" s="98">
        <f>+VLOOKUP(PROVEEDORES[[#This Row],[ID RETENCION]],Retenciones!$A$1:$O$25,PROVEEDORES[[#This Row],[indicador de columna]],FALSE)</f>
        <v>0</v>
      </c>
      <c r="Y227" s="99">
        <f>+VLOOKUP(PROVEEDORES[[#This Row],[ID RETENCION]],Retenciones!$A$1:$O$25,2,FALSE)</f>
        <v>0</v>
      </c>
      <c r="Z227" s="125" t="b">
        <f>OR(COUNTIF(PROVEEDORES[[#This Row],[PROVEEDOR]],"*"&amp;'Palabra no opera'!$A$2&amp;"*"))</f>
        <v>0</v>
      </c>
      <c r="AA227" s="24"/>
      <c r="AB227" s="24"/>
      <c r="AC227" s="24"/>
      <c r="AD227" s="24"/>
      <c r="AE227" s="24"/>
    </row>
    <row r="228" spans="1:31" ht="22.2" customHeight="1" x14ac:dyDescent="0.3">
      <c r="A228" s="66" t="str">
        <f>+IF(PROVEEDORES[[#This Row],[FECHA DE PAGO]]=PROVEEDORES[[#This Row],[FECHA DE FACTURACIÓN]],"DE CONTADO","CRÉDITO")</f>
        <v>DE CONTADO</v>
      </c>
      <c r="B228" s="38" t="b">
        <f>+IF((PROVEEDORES[[#This Row],[FECHA DE PAGO]]-PROVEEDORES[[#This Row],[FECHA DE FACTURACIÓN]])&gt;PROVEEDORES[[#This Row],[PLAZO Días]],"PAGO VENCIDO")</f>
        <v>0</v>
      </c>
      <c r="C228" s="20">
        <f>+VLOOKUP(PROVEEDORES[[#This Row],[PROVEEDOR]],TERCEROS_INFO[#All],2,FALSE)</f>
        <v>30</v>
      </c>
      <c r="D228" s="25">
        <f>+SUMIFS(PROVEEDORES[Total],PROVEEDORES[PROVEEDOR],PROVEEDORES[[#This Row],[PROVEEDOR]],PROVEEDORES[FECHA DE PAGO],"")</f>
        <v>0</v>
      </c>
      <c r="E228" s="25"/>
      <c r="F228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228" s="161">
        <v>44326</v>
      </c>
      <c r="H228" s="26" t="s">
        <v>39</v>
      </c>
      <c r="I228" s="161">
        <v>44326</v>
      </c>
      <c r="J228" s="35" t="s">
        <v>319</v>
      </c>
      <c r="K228" s="21">
        <v>75900</v>
      </c>
      <c r="L228" s="21"/>
      <c r="M228" s="22">
        <f>(PROVEEDORES[[#This Row],[SUBTOTAL]]-PROVEEDORES[[#This Row],[descuento sobre subtotal]])*VLOOKUP(PROVEEDORES[[#This Row],[PROVEEDOR]],TERCEROS_INFO[#All],3,FALSE)</f>
        <v>14421</v>
      </c>
      <c r="N228" s="23"/>
      <c r="O228" s="22">
        <f>+PROVEEDORES[[#This Row],[Descuento sobre subtotal %]]*(PROVEEDORES[[#This Row],[SUBTOTAL]]-PROVEEDORES[[#This Row],[descuento sobre subtotal]])</f>
        <v>0</v>
      </c>
      <c r="P228" s="83">
        <f>+IF(PROVEEDORES[[#This Row],[SUBTOTAL]]&lt;PROVEEDORES[[#This Row],[base retencion]],0,PROVEEDORES[[#This Row],[retención aplicada]])</f>
        <v>0</v>
      </c>
      <c r="Q228" s="22">
        <f>+PROVEEDORES[[#This Row],[Rete Fuente %]]*(PROVEEDORES[[#This Row],[SUBTOTAL]]-PROVEEDORES[[#This Row],[descuento sobre subtotal]])</f>
        <v>0</v>
      </c>
      <c r="R228" s="21">
        <f>+PROVEEDORES[[#This Row],[SUBTOTAL]]+PROVEEDORES[[#This Row],[IVA 19%]]-PROVEEDORES[[#This Row],[descuento sobre subtotal]]-PROVEEDORES[[#This Row],[Descuento sobre subtotal $2]]-PROVEEDORES[[#This Row],[Rete Fuente $]]</f>
        <v>90321</v>
      </c>
      <c r="S2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68">
        <f ca="1">IF(PROVEEDORES[[#This Row],[FECHA DE PAGO]]=0,TODAY()-PROVEEDORES[[#This Row],[FECHA DE FACTURACIÓN]]-PROVEEDORES[[#This Row],[PLAZO Días]],0)</f>
        <v>0</v>
      </c>
      <c r="U228" s="96" t="str">
        <f>+VLOOKUP(PROVEEDORES[[#This Row],[PROVEEDOR]],Terceros!$A:$D,4,FALSE)</f>
        <v>2,5% con base</v>
      </c>
      <c r="V228" s="97">
        <f>+YEAR(PROVEEDORES[[#This Row],[FECHA DE FACTURACIÓN]])</f>
        <v>2021</v>
      </c>
      <c r="W228" s="97">
        <f>+MATCH(PROVEEDORES[[#This Row],[año facturado]],Retenciones!$1:$1,0)</f>
        <v>4</v>
      </c>
      <c r="X228" s="98">
        <f>+VLOOKUP(PROVEEDORES[[#This Row],[ID RETENCION]],Retenciones!$A$1:$O$25,PROVEEDORES[[#This Row],[indicador de columna]],FALSE)</f>
        <v>980000</v>
      </c>
      <c r="Y228" s="99">
        <f>+VLOOKUP(PROVEEDORES[[#This Row],[ID RETENCION]],Retenciones!$A$1:$O$25,2,FALSE)</f>
        <v>2.5000000000000001E-2</v>
      </c>
      <c r="Z228" s="125" t="b">
        <f>OR(COUNTIF(PROVEEDORES[[#This Row],[PROVEEDOR]],"*"&amp;'Palabra no opera'!$A$2&amp;"*"))</f>
        <v>0</v>
      </c>
      <c r="AA228" s="24"/>
      <c r="AB228" s="24"/>
      <c r="AC228" s="24"/>
      <c r="AD228" s="24"/>
      <c r="AE228" s="24"/>
    </row>
    <row r="229" spans="1:31" ht="22.2" customHeight="1" x14ac:dyDescent="0.3">
      <c r="A229" s="66" t="str">
        <f>+IF(PROVEEDORES[[#This Row],[FECHA DE PAGO]]=PROVEEDORES[[#This Row],[FECHA DE FACTURACIÓN]],"DE CONTADO","CRÉDITO")</f>
        <v>DE CONTADO</v>
      </c>
      <c r="B229" s="38" t="b">
        <f>+IF((PROVEEDORES[[#This Row],[FECHA DE PAGO]]-PROVEEDORES[[#This Row],[FECHA DE FACTURACIÓN]])&gt;PROVEEDORES[[#This Row],[PLAZO Días]],"PAGO VENCIDO")</f>
        <v>0</v>
      </c>
      <c r="C229" s="20">
        <f>+VLOOKUP(PROVEEDORES[[#This Row],[PROVEEDOR]],TERCEROS_INFO[#All],2,FALSE)</f>
        <v>30</v>
      </c>
      <c r="D229" s="25">
        <f>+SUMIFS(PROVEEDORES[Total],PROVEEDORES[PROVEEDOR],PROVEEDORES[[#This Row],[PROVEEDOR]],PROVEEDORES[FECHA DE PAGO],"")</f>
        <v>0</v>
      </c>
      <c r="E229" s="25"/>
      <c r="F229" s="58" t="str">
        <f>+VLOOKUP(PROVEEDORES[[#This Row],[PROVEEDOR]],
                       Terceros!$A:$F,
                       5,
                       FALSE)</f>
        <v/>
      </c>
      <c r="G229" s="161">
        <v>44336</v>
      </c>
      <c r="H229" s="26" t="s">
        <v>697</v>
      </c>
      <c r="I229" s="161">
        <v>44336</v>
      </c>
      <c r="J229" s="35" t="s">
        <v>1231</v>
      </c>
      <c r="K229" s="21">
        <v>91000</v>
      </c>
      <c r="L229" s="21"/>
      <c r="M229" s="22">
        <f>(PROVEEDORES[[#This Row],[SUBTOTAL]]-PROVEEDORES[[#This Row],[descuento sobre subtotal]])*VLOOKUP(PROVEEDORES[[#This Row],[PROVEEDOR]],TERCEROS_INFO[#All],3,FALSE)</f>
        <v>0</v>
      </c>
      <c r="N229" s="23"/>
      <c r="O229" s="22">
        <f>+PROVEEDORES[[#This Row],[Descuento sobre subtotal %]]*(PROVEEDORES[[#This Row],[SUBTOTAL]]-PROVEEDORES[[#This Row],[descuento sobre subtotal]])</f>
        <v>0</v>
      </c>
      <c r="P229" s="83">
        <f>+IF(PROVEEDORES[[#This Row],[SUBTOTAL]]&lt;PROVEEDORES[[#This Row],[base retencion]],0,PROVEEDORES[[#This Row],[retención aplicada]])</f>
        <v>0</v>
      </c>
      <c r="Q229" s="22">
        <f>+PROVEEDORES[[#This Row],[Rete Fuente %]]*(PROVEEDORES[[#This Row],[SUBTOTAL]]-PROVEEDORES[[#This Row],[descuento sobre subtotal]])</f>
        <v>0</v>
      </c>
      <c r="R229" s="21">
        <f>+PROVEEDORES[[#This Row],[SUBTOTAL]]+PROVEEDORES[[#This Row],[IVA 19%]]-PROVEEDORES[[#This Row],[descuento sobre subtotal]]-PROVEEDORES[[#This Row],[Descuento sobre subtotal $2]]-PROVEEDORES[[#This Row],[Rete Fuente $]]</f>
        <v>91000</v>
      </c>
      <c r="S2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68">
        <f ca="1">IF(PROVEEDORES[[#This Row],[FECHA DE PAGO]]=0,TODAY()-PROVEEDORES[[#This Row],[FECHA DE FACTURACIÓN]]-PROVEEDORES[[#This Row],[PLAZO Días]],0)</f>
        <v>0</v>
      </c>
      <c r="U229" s="96">
        <f>+VLOOKUP(PROVEEDORES[[#This Row],[PROVEEDOR]],Terceros!$A:$D,4,FALSE)</f>
        <v>0</v>
      </c>
      <c r="V229" s="97">
        <f>+YEAR(PROVEEDORES[[#This Row],[FECHA DE FACTURACIÓN]])</f>
        <v>2021</v>
      </c>
      <c r="W229" s="97">
        <f>+MATCH(PROVEEDORES[[#This Row],[año facturado]],Retenciones!$1:$1,0)</f>
        <v>4</v>
      </c>
      <c r="X229" s="98">
        <f>+VLOOKUP(PROVEEDORES[[#This Row],[ID RETENCION]],Retenciones!$A$1:$O$25,PROVEEDORES[[#This Row],[indicador de columna]],FALSE)</f>
        <v>0</v>
      </c>
      <c r="Y229" s="99">
        <f>+VLOOKUP(PROVEEDORES[[#This Row],[ID RETENCION]],Retenciones!$A$1:$O$25,2,FALSE)</f>
        <v>0</v>
      </c>
      <c r="Z229" s="125" t="b">
        <f>OR(COUNTIF(PROVEEDORES[[#This Row],[PROVEEDOR]],"*"&amp;'Palabra no opera'!$A$2&amp;"*"))</f>
        <v>0</v>
      </c>
      <c r="AA229" s="24"/>
      <c r="AB229" s="24"/>
      <c r="AC229" s="24"/>
      <c r="AD229" s="24"/>
      <c r="AE229" s="24"/>
    </row>
    <row r="230" spans="1:31" ht="22.2" customHeight="1" x14ac:dyDescent="0.3">
      <c r="A230" s="66" t="str">
        <f>+IF(PROVEEDORES[[#This Row],[FECHA DE PAGO]]=PROVEEDORES[[#This Row],[FECHA DE FACTURACIÓN]],"DE CONTADO","CRÉDITO")</f>
        <v>CRÉDITO</v>
      </c>
      <c r="B230" s="38" t="b">
        <f>+IF((PROVEEDORES[[#This Row],[FECHA DE PAGO]]-PROVEEDORES[[#This Row],[FECHA DE FACTURACIÓN]])&gt;PROVEEDORES[[#This Row],[PLAZO Días]],"PAGO VENCIDO")</f>
        <v>0</v>
      </c>
      <c r="C230" s="20">
        <f>+VLOOKUP(PROVEEDORES[[#This Row],[PROVEEDOR]],TERCEROS_INFO[#All],2,FALSE)</f>
        <v>30</v>
      </c>
      <c r="D230" s="25">
        <f>+SUMIFS(PROVEEDORES[Total],PROVEEDORES[PROVEEDOR],PROVEEDORES[[#This Row],[PROVEEDOR]],PROVEEDORES[FECHA DE PAGO],"")</f>
        <v>4024829</v>
      </c>
      <c r="E230" s="25"/>
      <c r="F2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30" s="161">
        <v>44376</v>
      </c>
      <c r="H230" s="26" t="s">
        <v>345</v>
      </c>
      <c r="I230" s="161">
        <v>44372</v>
      </c>
      <c r="J230" s="35" t="s">
        <v>365</v>
      </c>
      <c r="K230" s="21">
        <v>91746</v>
      </c>
      <c r="L230" s="21"/>
      <c r="M230" s="22">
        <f>(PROVEEDORES[[#This Row],[SUBTOTAL]]-PROVEEDORES[[#This Row],[descuento sobre subtotal]])*VLOOKUP(PROVEEDORES[[#This Row],[PROVEEDOR]],TERCEROS_INFO[#All],3,FALSE)</f>
        <v>0</v>
      </c>
      <c r="N230" s="23"/>
      <c r="O230" s="22">
        <f>+PROVEEDORES[[#This Row],[Descuento sobre subtotal %]]*(PROVEEDORES[[#This Row],[SUBTOTAL]]-PROVEEDORES[[#This Row],[descuento sobre subtotal]])</f>
        <v>0</v>
      </c>
      <c r="P230" s="83">
        <f>+IF(PROVEEDORES[[#This Row],[SUBTOTAL]]&lt;PROVEEDORES[[#This Row],[base retencion]],0,PROVEEDORES[[#This Row],[retención aplicada]])</f>
        <v>0</v>
      </c>
      <c r="Q230" s="22">
        <f>+PROVEEDORES[[#This Row],[Rete Fuente %]]*(PROVEEDORES[[#This Row],[SUBTOTAL]]-PROVEEDORES[[#This Row],[descuento sobre subtotal]])</f>
        <v>0</v>
      </c>
      <c r="R230" s="21">
        <f>+PROVEEDORES[[#This Row],[SUBTOTAL]]+PROVEEDORES[[#This Row],[IVA 19%]]-PROVEEDORES[[#This Row],[descuento sobre subtotal]]-PROVEEDORES[[#This Row],[Descuento sobre subtotal $2]]-PROVEEDORES[[#This Row],[Rete Fuente $]]</f>
        <v>91746</v>
      </c>
      <c r="S2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68">
        <f ca="1">IF(PROVEEDORES[[#This Row],[FECHA DE PAGO]]=0,TODAY()-PROVEEDORES[[#This Row],[FECHA DE FACTURACIÓN]]-PROVEEDORES[[#This Row],[PLAZO Días]],0)</f>
        <v>0</v>
      </c>
      <c r="U230" s="96">
        <f>+VLOOKUP(PROVEEDORES[[#This Row],[PROVEEDOR]],Terceros!$A:$D,4,FALSE)</f>
        <v>0</v>
      </c>
      <c r="V230" s="97">
        <f>+YEAR(PROVEEDORES[[#This Row],[FECHA DE FACTURACIÓN]])</f>
        <v>2021</v>
      </c>
      <c r="W230" s="97">
        <f>+MATCH(PROVEEDORES[[#This Row],[año facturado]],Retenciones!$1:$1,0)</f>
        <v>4</v>
      </c>
      <c r="X230" s="98">
        <f>+VLOOKUP(PROVEEDORES[[#This Row],[ID RETENCION]],Retenciones!$A$1:$O$25,PROVEEDORES[[#This Row],[indicador de columna]],FALSE)</f>
        <v>0</v>
      </c>
      <c r="Y230" s="99">
        <f>+VLOOKUP(PROVEEDORES[[#This Row],[ID RETENCION]],Retenciones!$A$1:$O$25,2,FALSE)</f>
        <v>0</v>
      </c>
      <c r="Z230" s="125" t="b">
        <f>OR(COUNTIF(PROVEEDORES[[#This Row],[PROVEEDOR]],"*"&amp;'Palabra no opera'!$A$2&amp;"*"))</f>
        <v>0</v>
      </c>
      <c r="AA230" s="24"/>
      <c r="AB230" s="24"/>
      <c r="AC230" s="24"/>
      <c r="AD230" s="24"/>
      <c r="AE230" s="24"/>
    </row>
    <row r="231" spans="1:31" ht="22.2" customHeight="1" x14ac:dyDescent="0.3">
      <c r="A231" s="66" t="str">
        <f>+IF(PROVEEDORES[[#This Row],[FECHA DE PAGO]]=PROVEEDORES[[#This Row],[FECHA DE FACTURACIÓN]],"DE CONTADO","CRÉDITO")</f>
        <v>DE CONTADO</v>
      </c>
      <c r="B231" s="38" t="b">
        <f>+IF((PROVEEDORES[[#This Row],[FECHA DE PAGO]]-PROVEEDORES[[#This Row],[FECHA DE FACTURACIÓN]])&gt;PROVEEDORES[[#This Row],[PLAZO Días]],"PAGO VENCIDO")</f>
        <v>0</v>
      </c>
      <c r="C231" s="20">
        <f>+VLOOKUP(PROVEEDORES[[#This Row],[PROVEEDOR]],TERCEROS_INFO[#All],2,FALSE)</f>
        <v>30</v>
      </c>
      <c r="D231" s="25">
        <f>+SUMIFS(PROVEEDORES[Total],PROVEEDORES[PROVEEDOR],PROVEEDORES[[#This Row],[PROVEEDOR]],PROVEEDORES[FECHA DE PAGO],"")</f>
        <v>0</v>
      </c>
      <c r="E231" s="25"/>
      <c r="F231" s="58" t="str">
        <f>+VLOOKUP(PROVEEDORES[[#This Row],[PROVEEDOR]],
                       Terceros!$A:$F,
                       5,
                       FALSE)</f>
        <v/>
      </c>
      <c r="G231" s="161">
        <v>44551</v>
      </c>
      <c r="H231" s="26" t="s">
        <v>644</v>
      </c>
      <c r="I231" s="161">
        <v>44551</v>
      </c>
      <c r="J231" s="35" t="s">
        <v>1548</v>
      </c>
      <c r="K231" s="21">
        <v>92000</v>
      </c>
      <c r="L231" s="21"/>
      <c r="M231" s="22">
        <f>(PROVEEDORES[[#This Row],[SUBTOTAL]]-PROVEEDORES[[#This Row],[descuento sobre subtotal]])*VLOOKUP(PROVEEDORES[[#This Row],[PROVEEDOR]],TERCEROS_INFO[#All],3,FALSE)</f>
        <v>0</v>
      </c>
      <c r="N231" s="23"/>
      <c r="O231" s="22">
        <f>+PROVEEDORES[[#This Row],[Descuento sobre subtotal %]]*(PROVEEDORES[[#This Row],[SUBTOTAL]]-PROVEEDORES[[#This Row],[descuento sobre subtotal]])</f>
        <v>0</v>
      </c>
      <c r="P231" s="83">
        <f>+IF(PROVEEDORES[[#This Row],[SUBTOTAL]]&lt;PROVEEDORES[[#This Row],[base retencion]],0,PROVEEDORES[[#This Row],[retención aplicada]])</f>
        <v>0</v>
      </c>
      <c r="Q231" s="22">
        <f>+PROVEEDORES[[#This Row],[Rete Fuente %]]*(PROVEEDORES[[#This Row],[SUBTOTAL]]-PROVEEDORES[[#This Row],[descuento sobre subtotal]])</f>
        <v>0</v>
      </c>
      <c r="R231" s="21">
        <f>+PROVEEDORES[[#This Row],[SUBTOTAL]]+PROVEEDORES[[#This Row],[IVA 19%]]-PROVEEDORES[[#This Row],[descuento sobre subtotal]]-PROVEEDORES[[#This Row],[Descuento sobre subtotal $2]]-PROVEEDORES[[#This Row],[Rete Fuente $]]</f>
        <v>92000</v>
      </c>
      <c r="S2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68">
        <f ca="1">IF(PROVEEDORES[[#This Row],[FECHA DE PAGO]]=0,TODAY()-PROVEEDORES[[#This Row],[FECHA DE FACTURACIÓN]]-PROVEEDORES[[#This Row],[PLAZO Días]],0)</f>
        <v>0</v>
      </c>
      <c r="U231" s="96">
        <f>+VLOOKUP(PROVEEDORES[[#This Row],[PROVEEDOR]],Terceros!$A:$D,4,FALSE)</f>
        <v>0</v>
      </c>
      <c r="V231" s="97">
        <f>+YEAR(PROVEEDORES[[#This Row],[FECHA DE FACTURACIÓN]])</f>
        <v>2021</v>
      </c>
      <c r="W231" s="97">
        <f>+MATCH(PROVEEDORES[[#This Row],[año facturado]],Retenciones!$1:$1,0)</f>
        <v>4</v>
      </c>
      <c r="X231" s="98">
        <f>+VLOOKUP(PROVEEDORES[[#This Row],[ID RETENCION]],Retenciones!$A$1:$O$25,PROVEEDORES[[#This Row],[indicador de columna]],FALSE)</f>
        <v>0</v>
      </c>
      <c r="Y231" s="99">
        <f>+VLOOKUP(PROVEEDORES[[#This Row],[ID RETENCION]],Retenciones!$A$1:$O$25,2,FALSE)</f>
        <v>0</v>
      </c>
      <c r="Z231" s="125" t="b">
        <f>OR(COUNTIF(PROVEEDORES[[#This Row],[PROVEEDOR]],"*"&amp;'Palabra no opera'!$A$2&amp;"*"))</f>
        <v>0</v>
      </c>
      <c r="AA231" s="24"/>
      <c r="AB231" s="24"/>
      <c r="AC231" s="24"/>
      <c r="AD231" s="24"/>
      <c r="AE231" s="24"/>
    </row>
    <row r="232" spans="1:31" ht="22.2" customHeight="1" x14ac:dyDescent="0.3">
      <c r="A232" s="66" t="str">
        <f>+IF(PROVEEDORES[[#This Row],[FECHA DE PAGO]]=PROVEEDORES[[#This Row],[FECHA DE FACTURACIÓN]],"DE CONTADO","CRÉDITO")</f>
        <v>DE CONTADO</v>
      </c>
      <c r="B232" s="38" t="b">
        <f>+IF((PROVEEDORES[[#This Row],[FECHA DE PAGO]]-PROVEEDORES[[#This Row],[FECHA DE FACTURACIÓN]])&gt;PROVEEDORES[[#This Row],[PLAZO Días]],"PAGO VENCIDO")</f>
        <v>0</v>
      </c>
      <c r="C232" s="20">
        <f>+VLOOKUP(PROVEEDORES[[#This Row],[PROVEEDOR]],TERCEROS_INFO[#All],2,FALSE)</f>
        <v>30</v>
      </c>
      <c r="D232" s="25">
        <f>+SUMIFS(PROVEEDORES[Total],PROVEEDORES[PROVEEDOR],PROVEEDORES[[#This Row],[PROVEEDOR]],PROVEEDORES[FECHA DE PAGO],"")</f>
        <v>0</v>
      </c>
      <c r="E232" s="25"/>
      <c r="F232" s="58" t="str">
        <f>+VLOOKUP(PROVEEDORES[[#This Row],[PROVEEDOR]],
                       Terceros!$A:$F,
                       5,
                       FALSE)</f>
        <v/>
      </c>
      <c r="G232" s="161">
        <v>44469</v>
      </c>
      <c r="H232" s="26" t="s">
        <v>644</v>
      </c>
      <c r="I232" s="161">
        <v>44469</v>
      </c>
      <c r="J232" s="35" t="s">
        <v>1314</v>
      </c>
      <c r="K232" s="21">
        <v>93000</v>
      </c>
      <c r="L232" s="21"/>
      <c r="M232" s="22">
        <f>(PROVEEDORES[[#This Row],[SUBTOTAL]]-PROVEEDORES[[#This Row],[descuento sobre subtotal]])*VLOOKUP(PROVEEDORES[[#This Row],[PROVEEDOR]],TERCEROS_INFO[#All],3,FALSE)</f>
        <v>0</v>
      </c>
      <c r="N232" s="23"/>
      <c r="O232" s="22">
        <f>+PROVEEDORES[[#This Row],[Descuento sobre subtotal %]]*(PROVEEDORES[[#This Row],[SUBTOTAL]]-PROVEEDORES[[#This Row],[descuento sobre subtotal]])</f>
        <v>0</v>
      </c>
      <c r="P232" s="83">
        <f>+IF(PROVEEDORES[[#This Row],[SUBTOTAL]]&lt;PROVEEDORES[[#This Row],[base retencion]],0,PROVEEDORES[[#This Row],[retención aplicada]])</f>
        <v>0</v>
      </c>
      <c r="Q232" s="22">
        <f>+PROVEEDORES[[#This Row],[Rete Fuente %]]*(PROVEEDORES[[#This Row],[SUBTOTAL]]-PROVEEDORES[[#This Row],[descuento sobre subtotal]])</f>
        <v>0</v>
      </c>
      <c r="R232" s="21">
        <f>+PROVEEDORES[[#This Row],[SUBTOTAL]]+PROVEEDORES[[#This Row],[IVA 19%]]-PROVEEDORES[[#This Row],[descuento sobre subtotal]]-PROVEEDORES[[#This Row],[Descuento sobre subtotal $2]]-PROVEEDORES[[#This Row],[Rete Fuente $]]</f>
        <v>93000</v>
      </c>
      <c r="S2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68">
        <f ca="1">IF(PROVEEDORES[[#This Row],[FECHA DE PAGO]]=0,TODAY()-PROVEEDORES[[#This Row],[FECHA DE FACTURACIÓN]]-PROVEEDORES[[#This Row],[PLAZO Días]],0)</f>
        <v>0</v>
      </c>
      <c r="U232" s="96">
        <f>+VLOOKUP(PROVEEDORES[[#This Row],[PROVEEDOR]],Terceros!$A:$D,4,FALSE)</f>
        <v>0</v>
      </c>
      <c r="V232" s="97">
        <f>+YEAR(PROVEEDORES[[#This Row],[FECHA DE FACTURACIÓN]])</f>
        <v>2021</v>
      </c>
      <c r="W232" s="97">
        <f>+MATCH(PROVEEDORES[[#This Row],[año facturado]],Retenciones!$1:$1,0)</f>
        <v>4</v>
      </c>
      <c r="X232" s="98">
        <f>+VLOOKUP(PROVEEDORES[[#This Row],[ID RETENCION]],Retenciones!$A$1:$O$25,PROVEEDORES[[#This Row],[indicador de columna]],FALSE)</f>
        <v>0</v>
      </c>
      <c r="Y232" s="99">
        <f>+VLOOKUP(PROVEEDORES[[#This Row],[ID RETENCION]],Retenciones!$A$1:$O$25,2,FALSE)</f>
        <v>0</v>
      </c>
      <c r="Z232" s="125" t="b">
        <f>OR(COUNTIF(PROVEEDORES[[#This Row],[PROVEEDOR]],"*"&amp;'Palabra no opera'!$A$2&amp;"*"))</f>
        <v>0</v>
      </c>
      <c r="AA232" s="24"/>
      <c r="AB232" s="24"/>
      <c r="AC232" s="24"/>
      <c r="AD232" s="24"/>
      <c r="AE232" s="24"/>
    </row>
    <row r="233" spans="1:31" ht="22.2" customHeight="1" x14ac:dyDescent="0.3">
      <c r="A233" s="66" t="str">
        <f>+IF(PROVEEDORES[[#This Row],[FECHA DE PAGO]]=PROVEEDORES[[#This Row],[FECHA DE FACTURACIÓN]],"DE CONTADO","CRÉDITO")</f>
        <v>DE CONTADO</v>
      </c>
      <c r="B233" s="38" t="b">
        <f>+IF((PROVEEDORES[[#This Row],[FECHA DE PAGO]]-PROVEEDORES[[#This Row],[FECHA DE FACTURACIÓN]])&gt;PROVEEDORES[[#This Row],[PLAZO Días]],"PAGO VENCIDO")</f>
        <v>0</v>
      </c>
      <c r="C233" s="20">
        <f>+VLOOKUP(PROVEEDORES[[#This Row],[PROVEEDOR]],TERCEROS_INFO[#All],2,FALSE)</f>
        <v>30</v>
      </c>
      <c r="D233" s="25">
        <f>+SUMIFS(PROVEEDORES[Total],PROVEEDORES[PROVEEDOR],PROVEEDORES[[#This Row],[PROVEEDOR]],PROVEEDORES[FECHA DE PAGO],"")</f>
        <v>0</v>
      </c>
      <c r="E233" s="25"/>
      <c r="F233" s="58" t="str">
        <f>+VLOOKUP(PROVEEDORES[[#This Row],[PROVEEDOR]],
                       Terceros!$A:$F,
                       5,
                       FALSE)</f>
        <v/>
      </c>
      <c r="G233" s="161">
        <v>44407</v>
      </c>
      <c r="H233" s="26" t="s">
        <v>644</v>
      </c>
      <c r="I233" s="161">
        <v>44407</v>
      </c>
      <c r="J233" s="35" t="s">
        <v>1472</v>
      </c>
      <c r="K233" s="21">
        <v>95000</v>
      </c>
      <c r="L233" s="21"/>
      <c r="M233" s="22">
        <f>(PROVEEDORES[[#This Row],[SUBTOTAL]]-PROVEEDORES[[#This Row],[descuento sobre subtotal]])*VLOOKUP(PROVEEDORES[[#This Row],[PROVEEDOR]],TERCEROS_INFO[#All],3,FALSE)</f>
        <v>0</v>
      </c>
      <c r="N233" s="23"/>
      <c r="O233" s="22">
        <f>+PROVEEDORES[[#This Row],[Descuento sobre subtotal %]]*(PROVEEDORES[[#This Row],[SUBTOTAL]]-PROVEEDORES[[#This Row],[descuento sobre subtotal]])</f>
        <v>0</v>
      </c>
      <c r="P233" s="83">
        <f>+IF(PROVEEDORES[[#This Row],[SUBTOTAL]]&lt;PROVEEDORES[[#This Row],[base retencion]],0,PROVEEDORES[[#This Row],[retención aplicada]])</f>
        <v>0</v>
      </c>
      <c r="Q233" s="22">
        <f>+PROVEEDORES[[#This Row],[Rete Fuente %]]*(PROVEEDORES[[#This Row],[SUBTOTAL]]-PROVEEDORES[[#This Row],[descuento sobre subtotal]])</f>
        <v>0</v>
      </c>
      <c r="R233" s="21">
        <f>+PROVEEDORES[[#This Row],[SUBTOTAL]]+PROVEEDORES[[#This Row],[IVA 19%]]-PROVEEDORES[[#This Row],[descuento sobre subtotal]]-PROVEEDORES[[#This Row],[Descuento sobre subtotal $2]]-PROVEEDORES[[#This Row],[Rete Fuente $]]</f>
        <v>95000</v>
      </c>
      <c r="S2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68">
        <f ca="1">IF(PROVEEDORES[[#This Row],[FECHA DE PAGO]]=0,TODAY()-PROVEEDORES[[#This Row],[FECHA DE FACTURACIÓN]]-PROVEEDORES[[#This Row],[PLAZO Días]],0)</f>
        <v>0</v>
      </c>
      <c r="U233" s="96">
        <f>+VLOOKUP(PROVEEDORES[[#This Row],[PROVEEDOR]],Terceros!$A:$D,4,FALSE)</f>
        <v>0</v>
      </c>
      <c r="V233" s="97">
        <f>+YEAR(PROVEEDORES[[#This Row],[FECHA DE FACTURACIÓN]])</f>
        <v>2021</v>
      </c>
      <c r="W233" s="97">
        <f>+MATCH(PROVEEDORES[[#This Row],[año facturado]],Retenciones!$1:$1,0)</f>
        <v>4</v>
      </c>
      <c r="X233" s="98">
        <f>+VLOOKUP(PROVEEDORES[[#This Row],[ID RETENCION]],Retenciones!$A$1:$O$25,PROVEEDORES[[#This Row],[indicador de columna]],FALSE)</f>
        <v>0</v>
      </c>
      <c r="Y233" s="99">
        <f>+VLOOKUP(PROVEEDORES[[#This Row],[ID RETENCION]],Retenciones!$A$1:$O$25,2,FALSE)</f>
        <v>0</v>
      </c>
      <c r="Z233" s="125" t="b">
        <f>OR(COUNTIF(PROVEEDORES[[#This Row],[PROVEEDOR]],"*"&amp;'Palabra no opera'!$A$2&amp;"*"))</f>
        <v>0</v>
      </c>
      <c r="AA233" s="24"/>
      <c r="AB233" s="24"/>
      <c r="AC233" s="24"/>
      <c r="AD233" s="24"/>
      <c r="AE233" s="24"/>
    </row>
    <row r="234" spans="1:31" ht="22.2" customHeight="1" x14ac:dyDescent="0.3">
      <c r="A234" s="66" t="str">
        <f>+IF(PROVEEDORES[[#This Row],[FECHA DE PAGO]]=PROVEEDORES[[#This Row],[FECHA DE FACTURACIÓN]],"DE CONTADO","CRÉDITO")</f>
        <v>DE CONTADO</v>
      </c>
      <c r="B234" s="38" t="b">
        <f>+IF((PROVEEDORES[[#This Row],[FECHA DE PAGO]]-PROVEEDORES[[#This Row],[FECHA DE FACTURACIÓN]])&gt;PROVEEDORES[[#This Row],[PLAZO Días]],"PAGO VENCIDO")</f>
        <v>0</v>
      </c>
      <c r="C234" s="20">
        <f>+VLOOKUP(PROVEEDORES[[#This Row],[PROVEEDOR]],TERCEROS_INFO[#All],2,FALSE)</f>
        <v>30</v>
      </c>
      <c r="D234" s="25">
        <f>+SUMIFS(PROVEEDORES[Total],PROVEEDORES[PROVEEDOR],PROVEEDORES[[#This Row],[PROVEEDOR]],PROVEEDORES[FECHA DE PAGO],"")</f>
        <v>0</v>
      </c>
      <c r="E234" s="25"/>
      <c r="F234" s="58" t="str">
        <f>+VLOOKUP(PROVEEDORES[[#This Row],[PROVEEDOR]],
                       Terceros!$A:$F,
                       5,
                       FALSE)</f>
        <v/>
      </c>
      <c r="G234" s="161">
        <v>44630</v>
      </c>
      <c r="H234" s="26" t="s">
        <v>624</v>
      </c>
      <c r="I234" s="161">
        <v>44630</v>
      </c>
      <c r="J234" s="35" t="s">
        <v>1578</v>
      </c>
      <c r="K234" s="21">
        <v>95000</v>
      </c>
      <c r="L234" s="21"/>
      <c r="M234" s="22">
        <f>(PROVEEDORES[[#This Row],[SUBTOTAL]]-PROVEEDORES[[#This Row],[descuento sobre subtotal]])*VLOOKUP(PROVEEDORES[[#This Row],[PROVEEDOR]],TERCEROS_INFO[#All],3,FALSE)</f>
        <v>0</v>
      </c>
      <c r="N234" s="23"/>
      <c r="O234" s="22">
        <f>+PROVEEDORES[[#This Row],[Descuento sobre subtotal %]]*(PROVEEDORES[[#This Row],[SUBTOTAL]]-PROVEEDORES[[#This Row],[descuento sobre subtotal]])</f>
        <v>0</v>
      </c>
      <c r="P234" s="83">
        <f>+IF(PROVEEDORES[[#This Row],[SUBTOTAL]]&lt;PROVEEDORES[[#This Row],[base retencion]],0,PROVEEDORES[[#This Row],[retención aplicada]])</f>
        <v>0</v>
      </c>
      <c r="Q234" s="22">
        <f>+PROVEEDORES[[#This Row],[Rete Fuente %]]*(PROVEEDORES[[#This Row],[SUBTOTAL]]-PROVEEDORES[[#This Row],[descuento sobre subtotal]])</f>
        <v>0</v>
      </c>
      <c r="R234" s="21">
        <v>95000</v>
      </c>
      <c r="S2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68">
        <f ca="1">IF(PROVEEDORES[[#This Row],[FECHA DE PAGO]]=0,TODAY()-PROVEEDORES[[#This Row],[FECHA DE FACTURACIÓN]]-PROVEEDORES[[#This Row],[PLAZO Días]],0)</f>
        <v>0</v>
      </c>
      <c r="U234" s="96">
        <f>+VLOOKUP(PROVEEDORES[[#This Row],[PROVEEDOR]],Terceros!$A:$D,4,FALSE)</f>
        <v>0</v>
      </c>
      <c r="V234" s="97">
        <f>+YEAR(PROVEEDORES[[#This Row],[FECHA DE FACTURACIÓN]])</f>
        <v>2022</v>
      </c>
      <c r="W234" s="97">
        <f>+MATCH(PROVEEDORES[[#This Row],[año facturado]],Retenciones!$1:$1,0)</f>
        <v>5</v>
      </c>
      <c r="X234" s="98">
        <f>+VLOOKUP(PROVEEDORES[[#This Row],[ID RETENCION]],Retenciones!$A$1:$O$25,PROVEEDORES[[#This Row],[indicador de columna]],FALSE)</f>
        <v>0</v>
      </c>
      <c r="Y234" s="99">
        <f>+VLOOKUP(PROVEEDORES[[#This Row],[ID RETENCION]],Retenciones!$A$1:$O$25,2,FALSE)</f>
        <v>0</v>
      </c>
      <c r="Z234" s="125" t="b">
        <f>OR(COUNTIF(PROVEEDORES[[#This Row],[PROVEEDOR]],"*"&amp;'Palabra no opera'!$A$2&amp;"*"))</f>
        <v>0</v>
      </c>
      <c r="AA234" s="24"/>
      <c r="AB234" s="24"/>
      <c r="AC234" s="24"/>
      <c r="AD234" s="24"/>
      <c r="AE234" s="24"/>
    </row>
    <row r="235" spans="1:31" ht="22.2" customHeight="1" x14ac:dyDescent="0.3">
      <c r="A235" s="66" t="str">
        <f>+IF(PROVEEDORES[[#This Row],[FECHA DE PAGO]]=PROVEEDORES[[#This Row],[FECHA DE FACTURACIÓN]],"DE CONTADO","CRÉDITO")</f>
        <v>DE CONTADO</v>
      </c>
      <c r="B235" s="38" t="b">
        <f>+IF((PROVEEDORES[[#This Row],[FECHA DE PAGO]]-PROVEEDORES[[#This Row],[FECHA DE FACTURACIÓN]])&gt;PROVEEDORES[[#This Row],[PLAZO Días]],"PAGO VENCIDO")</f>
        <v>0</v>
      </c>
      <c r="C235" s="20">
        <f>+VLOOKUP(PROVEEDORES[[#This Row],[PROVEEDOR]],TERCEROS_INFO[#All],2,FALSE)</f>
        <v>30</v>
      </c>
      <c r="D235" s="25">
        <f>+SUMIFS(PROVEEDORES[Total],PROVEEDORES[PROVEEDOR],PROVEEDORES[[#This Row],[PROVEEDOR]],PROVEEDORES[FECHA DE PAGO],"")</f>
        <v>0</v>
      </c>
      <c r="E235" s="25"/>
      <c r="F235" s="58" t="str">
        <f>+VLOOKUP(PROVEEDORES[[#This Row],[PROVEEDOR]],
                       Terceros!$A:$F,
                       5,
                       FALSE)</f>
        <v/>
      </c>
      <c r="G235" s="161">
        <v>44407</v>
      </c>
      <c r="H235" s="26" t="s">
        <v>644</v>
      </c>
      <c r="I235" s="161">
        <v>44407</v>
      </c>
      <c r="J235" s="35" t="s">
        <v>1274</v>
      </c>
      <c r="K235" s="21">
        <v>96000</v>
      </c>
      <c r="L235" s="21"/>
      <c r="M235" s="22">
        <f>(PROVEEDORES[[#This Row],[SUBTOTAL]]-PROVEEDORES[[#This Row],[descuento sobre subtotal]])*VLOOKUP(PROVEEDORES[[#This Row],[PROVEEDOR]],TERCEROS_INFO[#All],3,FALSE)</f>
        <v>0</v>
      </c>
      <c r="N235" s="23"/>
      <c r="O235" s="22">
        <f>+PROVEEDORES[[#This Row],[Descuento sobre subtotal %]]*(PROVEEDORES[[#This Row],[SUBTOTAL]]-PROVEEDORES[[#This Row],[descuento sobre subtotal]])</f>
        <v>0</v>
      </c>
      <c r="P235" s="83">
        <f>+IF(PROVEEDORES[[#This Row],[SUBTOTAL]]&lt;PROVEEDORES[[#This Row],[base retencion]],0,PROVEEDORES[[#This Row],[retención aplicada]])</f>
        <v>0</v>
      </c>
      <c r="Q235" s="22">
        <f>+PROVEEDORES[[#This Row],[Rete Fuente %]]*(PROVEEDORES[[#This Row],[SUBTOTAL]]-PROVEEDORES[[#This Row],[descuento sobre subtotal]])</f>
        <v>0</v>
      </c>
      <c r="R235" s="21">
        <f>+PROVEEDORES[[#This Row],[SUBTOTAL]]+PROVEEDORES[[#This Row],[IVA 19%]]-PROVEEDORES[[#This Row],[descuento sobre subtotal]]-PROVEEDORES[[#This Row],[Descuento sobre subtotal $2]]-PROVEEDORES[[#This Row],[Rete Fuente $]]</f>
        <v>96000</v>
      </c>
      <c r="S2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68">
        <f ca="1">IF(PROVEEDORES[[#This Row],[FECHA DE PAGO]]=0,TODAY()-PROVEEDORES[[#This Row],[FECHA DE FACTURACIÓN]]-PROVEEDORES[[#This Row],[PLAZO Días]],0)</f>
        <v>0</v>
      </c>
      <c r="U235" s="96">
        <f>+VLOOKUP(PROVEEDORES[[#This Row],[PROVEEDOR]],Terceros!$A:$D,4,FALSE)</f>
        <v>0</v>
      </c>
      <c r="V235" s="97">
        <f>+YEAR(PROVEEDORES[[#This Row],[FECHA DE FACTURACIÓN]])</f>
        <v>2021</v>
      </c>
      <c r="W235" s="97">
        <f>+MATCH(PROVEEDORES[[#This Row],[año facturado]],Retenciones!$1:$1,0)</f>
        <v>4</v>
      </c>
      <c r="X235" s="98">
        <f>+VLOOKUP(PROVEEDORES[[#This Row],[ID RETENCION]],Retenciones!$A$1:$O$25,PROVEEDORES[[#This Row],[indicador de columna]],FALSE)</f>
        <v>0</v>
      </c>
      <c r="Y235" s="99">
        <f>+VLOOKUP(PROVEEDORES[[#This Row],[ID RETENCION]],Retenciones!$A$1:$O$25,2,FALSE)</f>
        <v>0</v>
      </c>
      <c r="Z235" s="125" t="b">
        <f>OR(COUNTIF(PROVEEDORES[[#This Row],[PROVEEDOR]],"*"&amp;'Palabra no opera'!$A$2&amp;"*"))</f>
        <v>0</v>
      </c>
      <c r="AA235" s="24"/>
      <c r="AB235" s="24"/>
      <c r="AC235" s="24"/>
      <c r="AD235" s="24"/>
      <c r="AE235" s="24"/>
    </row>
    <row r="236" spans="1:31" ht="22.2" customHeight="1" x14ac:dyDescent="0.3">
      <c r="A236" s="66" t="str">
        <f>+IF(PROVEEDORES[[#This Row],[FECHA DE PAGO]]=PROVEEDORES[[#This Row],[FECHA DE FACTURACIÓN]],"DE CONTADO","CRÉDITO")</f>
        <v>CRÉDITO</v>
      </c>
      <c r="B236" s="38" t="b">
        <f>+IF((PROVEEDORES[[#This Row],[FECHA DE PAGO]]-PROVEEDORES[[#This Row],[FECHA DE FACTURACIÓN]])&gt;PROVEEDORES[[#This Row],[PLAZO Días]],"PAGO VENCIDO")</f>
        <v>0</v>
      </c>
      <c r="C236" s="20">
        <f>+VLOOKUP(PROVEEDORES[[#This Row],[PROVEEDOR]],TERCEROS_INFO[#All],2,FALSE)</f>
        <v>30</v>
      </c>
      <c r="D236" s="25">
        <f>+SUMIFS(PROVEEDORES[Total],PROVEEDORES[PROVEEDOR],PROVEEDORES[[#This Row],[PROVEEDOR]],PROVEEDORES[FECHA DE PAGO],"")</f>
        <v>0</v>
      </c>
      <c r="E236" s="25"/>
      <c r="F236" s="58" t="str">
        <f>+VLOOKUP(PROVEEDORES[[#This Row],[PROVEEDOR]],
                       Terceros!$A:$F,
                       5,
                       FALSE)</f>
        <v/>
      </c>
      <c r="G236" s="161">
        <v>44561</v>
      </c>
      <c r="H236" s="26" t="s">
        <v>666</v>
      </c>
      <c r="I236" s="161">
        <v>44544</v>
      </c>
      <c r="J236" s="35" t="s">
        <v>1361</v>
      </c>
      <c r="K236" s="21">
        <v>96000</v>
      </c>
      <c r="L236" s="21"/>
      <c r="M236" s="22">
        <f>(PROVEEDORES[[#This Row],[SUBTOTAL]]-PROVEEDORES[[#This Row],[descuento sobre subtotal]])*VLOOKUP(PROVEEDORES[[#This Row],[PROVEEDOR]],TERCEROS_INFO[#All],3,FALSE)</f>
        <v>0</v>
      </c>
      <c r="N236" s="23"/>
      <c r="O236" s="22">
        <f>+PROVEEDORES[[#This Row],[Descuento sobre subtotal %]]*(PROVEEDORES[[#This Row],[SUBTOTAL]]-PROVEEDORES[[#This Row],[descuento sobre subtotal]])</f>
        <v>0</v>
      </c>
      <c r="P236" s="83">
        <f>+IF(PROVEEDORES[[#This Row],[SUBTOTAL]]&lt;PROVEEDORES[[#This Row],[base retencion]],0,PROVEEDORES[[#This Row],[retención aplicada]])</f>
        <v>0</v>
      </c>
      <c r="Q236" s="22">
        <f>+PROVEEDORES[[#This Row],[Rete Fuente %]]*(PROVEEDORES[[#This Row],[SUBTOTAL]]-PROVEEDORES[[#This Row],[descuento sobre subtotal]])</f>
        <v>0</v>
      </c>
      <c r="R236" s="21">
        <f>+PROVEEDORES[[#This Row],[SUBTOTAL]]+PROVEEDORES[[#This Row],[IVA 19%]]-PROVEEDORES[[#This Row],[descuento sobre subtotal]]-PROVEEDORES[[#This Row],[Descuento sobre subtotal $2]]-PROVEEDORES[[#This Row],[Rete Fuente $]]</f>
        <v>96000</v>
      </c>
      <c r="S2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68">
        <f ca="1">IF(PROVEEDORES[[#This Row],[FECHA DE PAGO]]=0,TODAY()-PROVEEDORES[[#This Row],[FECHA DE FACTURACIÓN]]-PROVEEDORES[[#This Row],[PLAZO Días]],0)</f>
        <v>0</v>
      </c>
      <c r="U236" s="96">
        <f>+VLOOKUP(PROVEEDORES[[#This Row],[PROVEEDOR]],Terceros!$A:$D,4,FALSE)</f>
        <v>0</v>
      </c>
      <c r="V236" s="97">
        <f>+YEAR(PROVEEDORES[[#This Row],[FECHA DE FACTURACIÓN]])</f>
        <v>2021</v>
      </c>
      <c r="W236" s="97">
        <f>+MATCH(PROVEEDORES[[#This Row],[año facturado]],Retenciones!$1:$1,0)</f>
        <v>4</v>
      </c>
      <c r="X236" s="98">
        <f>+VLOOKUP(PROVEEDORES[[#This Row],[ID RETENCION]],Retenciones!$A$1:$O$25,PROVEEDORES[[#This Row],[indicador de columna]],FALSE)</f>
        <v>0</v>
      </c>
      <c r="Y236" s="99">
        <f>+VLOOKUP(PROVEEDORES[[#This Row],[ID RETENCION]],Retenciones!$A$1:$O$25,2,FALSE)</f>
        <v>0</v>
      </c>
      <c r="Z236" s="125" t="b">
        <f>OR(COUNTIF(PROVEEDORES[[#This Row],[PROVEEDOR]],"*"&amp;'Palabra no opera'!$A$2&amp;"*"))</f>
        <v>0</v>
      </c>
      <c r="AA236" s="24"/>
      <c r="AB236" s="24"/>
      <c r="AC236" s="24"/>
      <c r="AD236" s="24"/>
      <c r="AE236" s="24"/>
    </row>
    <row r="237" spans="1:31" ht="22.2" customHeight="1" x14ac:dyDescent="0.3">
      <c r="A237" s="159" t="str">
        <f>+IF(PROVEEDORES[[#This Row],[FECHA DE PAGO]]=PROVEEDORES[[#This Row],[FECHA DE FACTURACIÓN]],"DE CONTADO","CRÉDITO")</f>
        <v>CRÉDITO</v>
      </c>
      <c r="B237" s="38" t="b">
        <f>+IF((PROVEEDORES[[#This Row],[FECHA DE PAGO]]-PROVEEDORES[[#This Row],[FECHA DE FACTURACIÓN]])&gt;PROVEEDORES[[#This Row],[PLAZO Días]],"PAGO VENCIDO")</f>
        <v>0</v>
      </c>
      <c r="C237" s="20">
        <f>+VLOOKUP(PROVEEDORES[[#This Row],[PROVEEDOR]],TERCEROS_INFO[#All],2,FALSE)</f>
        <v>30</v>
      </c>
      <c r="D237" s="25">
        <f>+SUMIFS(PROVEEDORES[Total],PROVEEDORES[PROVEEDOR],PROVEEDORES[[#This Row],[PROVEEDOR]],PROVEEDORES[FECHA DE PAGO],"")</f>
        <v>0</v>
      </c>
      <c r="E237" s="25"/>
      <c r="F237" s="58" t="str">
        <f>+VLOOKUP(PROVEEDORES[[#This Row],[PROVEEDOR]],
                       Terceros!$A:$F,
                       5,
                       FALSE)</f>
        <v>tesoreria@cidet.org.co;girlesa.ruiz@servipilas.com;joriescobar64@gmail.com</v>
      </c>
      <c r="G237" s="161">
        <v>44741</v>
      </c>
      <c r="H237" s="26" t="s">
        <v>1077</v>
      </c>
      <c r="I237" s="161">
        <v>44732</v>
      </c>
      <c r="J237" s="35" t="s">
        <v>1078</v>
      </c>
      <c r="K237" s="21">
        <v>96176</v>
      </c>
      <c r="L237" s="21"/>
      <c r="M237" s="22">
        <f>(PROVEEDORES[[#This Row],[SUBTOTAL]]-PROVEEDORES[[#This Row],[descuento sobre subtotal]])*VLOOKUP(PROVEEDORES[[#This Row],[PROVEEDOR]],TERCEROS_INFO[#All],3,FALSE)</f>
        <v>0</v>
      </c>
      <c r="N237" s="23"/>
      <c r="O237" s="22">
        <f>+PROVEEDORES[[#This Row],[Descuento sobre subtotal %]]*(PROVEEDORES[[#This Row],[SUBTOTAL]]-PROVEEDORES[[#This Row],[descuento sobre subtotal]])</f>
        <v>0</v>
      </c>
      <c r="P237" s="83">
        <f>+IF(PROVEEDORES[[#This Row],[SUBTOTAL]]&lt;PROVEEDORES[[#This Row],[base retencion]],0,PROVEEDORES[[#This Row],[retención aplicada]])</f>
        <v>0</v>
      </c>
      <c r="Q237" s="22">
        <f>+PROVEEDORES[[#This Row],[Rete Fuente %]]*(PROVEEDORES[[#This Row],[SUBTOTAL]]-PROVEEDORES[[#This Row],[descuento sobre subtotal]])</f>
        <v>0</v>
      </c>
      <c r="R237" s="21">
        <f>+PROVEEDORES[[#This Row],[SUBTOTAL]]+PROVEEDORES[[#This Row],[IVA 19%]]-PROVEEDORES[[#This Row],[descuento sobre subtotal]]-PROVEEDORES[[#This Row],[Descuento sobre subtotal $2]]-PROVEEDORES[[#This Row],[Rete Fuente $]]</f>
        <v>96176</v>
      </c>
      <c r="S23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68">
        <f ca="1">IF(PROVEEDORES[[#This Row],[FECHA DE PAGO]]=0,TODAY()-PROVEEDORES[[#This Row],[FECHA DE FACTURACIÓN]]-PROVEEDORES[[#This Row],[PLAZO Días]],0)</f>
        <v>0</v>
      </c>
      <c r="U237" s="113">
        <f>+VLOOKUP(PROVEEDORES[[#This Row],[PROVEEDOR]],Terceros!$A:$D,4,FALSE)</f>
        <v>0</v>
      </c>
      <c r="V237" s="114">
        <f>+YEAR(PROVEEDORES[[#This Row],[FECHA DE FACTURACIÓN]])</f>
        <v>2022</v>
      </c>
      <c r="W237" s="114">
        <f>+MATCH(PROVEEDORES[[#This Row],[año facturado]],Retenciones!$1:$1,0)</f>
        <v>5</v>
      </c>
      <c r="X237" s="115">
        <f>+VLOOKUP(PROVEEDORES[[#This Row],[ID RETENCION]],Retenciones!$A$1:$O$25,PROVEEDORES[[#This Row],[indicador de columna]],FALSE)</f>
        <v>0</v>
      </c>
      <c r="Y237" s="116">
        <f>+VLOOKUP(PROVEEDORES[[#This Row],[ID RETENCION]],Retenciones!$A$1:$O$25,2,FALSE)</f>
        <v>0</v>
      </c>
      <c r="Z237" s="125" t="b">
        <f>OR(COUNTIF(PROVEEDORES[[#This Row],[PROVEEDOR]],"*"&amp;'Palabra no opera'!$A$2&amp;"*"))</f>
        <v>1</v>
      </c>
      <c r="AA237" s="24"/>
      <c r="AB237" s="24"/>
      <c r="AC237" s="24"/>
      <c r="AD237" s="24"/>
      <c r="AE237" s="24"/>
    </row>
    <row r="238" spans="1:31" ht="22.2" customHeight="1" x14ac:dyDescent="0.3">
      <c r="A238" s="66" t="str">
        <f>+IF(PROVEEDORES[[#This Row],[FECHA DE PAGO]]=PROVEEDORES[[#This Row],[FECHA DE FACTURACIÓN]],"DE CONTADO","CRÉDITO")</f>
        <v>DE CONTADO</v>
      </c>
      <c r="B238" s="38" t="b">
        <f>+IF((PROVEEDORES[[#This Row],[FECHA DE PAGO]]-PROVEEDORES[[#This Row],[FECHA DE FACTURACIÓN]])&gt;PROVEEDORES[[#This Row],[PLAZO Días]],"PAGO VENCIDO")</f>
        <v>0</v>
      </c>
      <c r="C238" s="20">
        <f>+VLOOKUP(PROVEEDORES[[#This Row],[PROVEEDOR]],TERCEROS_INFO[#All],2,FALSE)</f>
        <v>30</v>
      </c>
      <c r="D238" s="25">
        <f>+SUMIFS(PROVEEDORES[Total],PROVEEDORES[PROVEEDOR],PROVEEDORES[[#This Row],[PROVEEDOR]],PROVEEDORES[FECHA DE PAGO],"")</f>
        <v>0</v>
      </c>
      <c r="E238" s="25"/>
      <c r="F238" s="58" t="str">
        <f>+VLOOKUP(PROVEEDORES[[#This Row],[PROVEEDOR]],
                       Terceros!$A:$F,
                       5,
                       FALSE)</f>
        <v/>
      </c>
      <c r="G238" s="161">
        <v>44216</v>
      </c>
      <c r="H238" s="26" t="s">
        <v>684</v>
      </c>
      <c r="I238" s="161">
        <v>44216</v>
      </c>
      <c r="J238" s="35">
        <v>1409</v>
      </c>
      <c r="K238" s="21">
        <v>100000</v>
      </c>
      <c r="L238" s="21"/>
      <c r="M238" s="22">
        <f>(PROVEEDORES[[#This Row],[SUBTOTAL]]-PROVEEDORES[[#This Row],[descuento sobre subtotal]])*VLOOKUP(PROVEEDORES[[#This Row],[PROVEEDOR]],TERCEROS_INFO[#All],3,FALSE)</f>
        <v>0</v>
      </c>
      <c r="N238" s="23"/>
      <c r="O238" s="22">
        <f>+PROVEEDORES[[#This Row],[Descuento sobre subtotal %]]*(PROVEEDORES[[#This Row],[SUBTOTAL]]-PROVEEDORES[[#This Row],[descuento sobre subtotal]])</f>
        <v>0</v>
      </c>
      <c r="P238" s="83">
        <f>+IF(PROVEEDORES[[#This Row],[SUBTOTAL]]&lt;PROVEEDORES[[#This Row],[base retencion]],0,PROVEEDORES[[#This Row],[retención aplicada]])</f>
        <v>0</v>
      </c>
      <c r="Q238" s="22">
        <f>+PROVEEDORES[[#This Row],[Rete Fuente %]]*(PROVEEDORES[[#This Row],[SUBTOTAL]]-PROVEEDORES[[#This Row],[descuento sobre subtotal]])</f>
        <v>0</v>
      </c>
      <c r="R238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2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68">
        <f ca="1">IF(PROVEEDORES[[#This Row],[FECHA DE PAGO]]=0,TODAY()-PROVEEDORES[[#This Row],[FECHA DE FACTURACIÓN]]-PROVEEDORES[[#This Row],[PLAZO Días]],0)</f>
        <v>0</v>
      </c>
      <c r="U238" s="96">
        <f>+VLOOKUP(PROVEEDORES[[#This Row],[PROVEEDOR]],Terceros!$A:$D,4,FALSE)</f>
        <v>0</v>
      </c>
      <c r="V238" s="97">
        <f>+YEAR(PROVEEDORES[[#This Row],[FECHA DE FACTURACIÓN]])</f>
        <v>2021</v>
      </c>
      <c r="W238" s="97">
        <f>+MATCH(PROVEEDORES[[#This Row],[año facturado]],Retenciones!$1:$1,0)</f>
        <v>4</v>
      </c>
      <c r="X238" s="98">
        <f>+VLOOKUP(PROVEEDORES[[#This Row],[ID RETENCION]],Retenciones!$A$1:$O$25,PROVEEDORES[[#This Row],[indicador de columna]],FALSE)</f>
        <v>0</v>
      </c>
      <c r="Y238" s="99">
        <f>+VLOOKUP(PROVEEDORES[[#This Row],[ID RETENCION]],Retenciones!$A$1:$O$25,2,FALSE)</f>
        <v>0</v>
      </c>
      <c r="Z238" s="125" t="b">
        <f>OR(COUNTIF(PROVEEDORES[[#This Row],[PROVEEDOR]],"*"&amp;'Palabra no opera'!$A$2&amp;"*"))</f>
        <v>0</v>
      </c>
      <c r="AA238" s="24"/>
      <c r="AB238" s="24"/>
      <c r="AC238" s="24"/>
      <c r="AD238" s="24"/>
      <c r="AE238" s="24"/>
    </row>
    <row r="239" spans="1:31" ht="22.2" customHeight="1" x14ac:dyDescent="0.3">
      <c r="A239" s="159" t="str">
        <f>+IF(PROVEEDORES[[#This Row],[FECHA DE PAGO]]=PROVEEDORES[[#This Row],[FECHA DE FACTURACIÓN]],"DE CONTADO","CRÉDITO")</f>
        <v>DE CONTADO</v>
      </c>
      <c r="B239" s="38" t="b">
        <f>+IF((PROVEEDORES[[#This Row],[FECHA DE PAGO]]-PROVEEDORES[[#This Row],[FECHA DE FACTURACIÓN]])&gt;PROVEEDORES[[#This Row],[PLAZO Días]],"PAGO VENCIDO")</f>
        <v>0</v>
      </c>
      <c r="C239" s="20">
        <f>+VLOOKUP(PROVEEDORES[[#This Row],[PROVEEDOR]],TERCEROS_INFO[#All],2,FALSE)</f>
        <v>30</v>
      </c>
      <c r="D239" s="25">
        <f>+SUMIFS(PROVEEDORES[Total],PROVEEDORES[PROVEEDOR],PROVEEDORES[[#This Row],[PROVEEDOR]],PROVEEDORES[FECHA DE PAGO],"")</f>
        <v>0</v>
      </c>
      <c r="E239" s="25"/>
      <c r="F239" s="58" t="str">
        <f>+VLOOKUP(PROVEEDORES[[#This Row],[PROVEEDOR]],
                       Terceros!$A:$F,
                       5,
                       FALSE)</f>
        <v/>
      </c>
      <c r="G239" s="161">
        <v>44733</v>
      </c>
      <c r="H239" s="26" t="s">
        <v>644</v>
      </c>
      <c r="I239" s="161">
        <v>44733</v>
      </c>
      <c r="J239" s="35" t="s">
        <v>1072</v>
      </c>
      <c r="K239" s="21">
        <v>100000</v>
      </c>
      <c r="L239" s="21"/>
      <c r="M239" s="22">
        <f>(PROVEEDORES[[#This Row],[SUBTOTAL]]-PROVEEDORES[[#This Row],[descuento sobre subtotal]])*VLOOKUP(PROVEEDORES[[#This Row],[PROVEEDOR]],TERCEROS_INFO[#All],3,FALSE)</f>
        <v>0</v>
      </c>
      <c r="N239" s="23"/>
      <c r="O239" s="22">
        <f>+PROVEEDORES[[#This Row],[Descuento sobre subtotal %]]*(PROVEEDORES[[#This Row],[SUBTOTAL]]-PROVEEDORES[[#This Row],[descuento sobre subtotal]])</f>
        <v>0</v>
      </c>
      <c r="P239" s="83">
        <f>+IF(PROVEEDORES[[#This Row],[SUBTOTAL]]&lt;PROVEEDORES[[#This Row],[base retencion]],0,PROVEEDORES[[#This Row],[retención aplicada]])</f>
        <v>0</v>
      </c>
      <c r="Q239" s="22">
        <f>+PROVEEDORES[[#This Row],[Rete Fuente %]]*(PROVEEDORES[[#This Row],[SUBTOTAL]]-PROVEEDORES[[#This Row],[descuento sobre subtotal]])</f>
        <v>0</v>
      </c>
      <c r="R239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23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68">
        <f ca="1">IF(PROVEEDORES[[#This Row],[FECHA DE PAGO]]=0,TODAY()-PROVEEDORES[[#This Row],[FECHA DE FACTURACIÓN]]-PROVEEDORES[[#This Row],[PLAZO Días]],0)</f>
        <v>0</v>
      </c>
      <c r="U239" s="113">
        <f>+VLOOKUP(PROVEEDORES[[#This Row],[PROVEEDOR]],Terceros!$A:$D,4,FALSE)</f>
        <v>0</v>
      </c>
      <c r="V239" s="114">
        <f>+YEAR(PROVEEDORES[[#This Row],[FECHA DE FACTURACIÓN]])</f>
        <v>2022</v>
      </c>
      <c r="W239" s="114">
        <f>+MATCH(PROVEEDORES[[#This Row],[año facturado]],Retenciones!$1:$1,0)</f>
        <v>5</v>
      </c>
      <c r="X239" s="115">
        <f>+VLOOKUP(PROVEEDORES[[#This Row],[ID RETENCION]],Retenciones!$A$1:$O$25,PROVEEDORES[[#This Row],[indicador de columna]],FALSE)</f>
        <v>0</v>
      </c>
      <c r="Y239" s="116">
        <f>+VLOOKUP(PROVEEDORES[[#This Row],[ID RETENCION]],Retenciones!$A$1:$O$25,2,FALSE)</f>
        <v>0</v>
      </c>
      <c r="Z239" s="125" t="b">
        <f>OR(COUNTIF(PROVEEDORES[[#This Row],[PROVEEDOR]],"*"&amp;'Palabra no opera'!$A$2&amp;"*"))</f>
        <v>0</v>
      </c>
      <c r="AA239" s="24"/>
      <c r="AB239" s="24"/>
      <c r="AC239" s="24"/>
      <c r="AD239" s="24"/>
      <c r="AE239" s="24"/>
    </row>
    <row r="240" spans="1:31" ht="22.2" customHeight="1" x14ac:dyDescent="0.3">
      <c r="A240" s="199" t="str">
        <f>+IF(PROVEEDORES[[#This Row],[FECHA DE PAGO]]=PROVEEDORES[[#This Row],[FECHA DE FACTURACIÓN]],"DE CONTADO","CRÉDITO")</f>
        <v>CRÉDITO</v>
      </c>
      <c r="B240" s="38" t="str">
        <f>+IF((PROVEEDORES[[#This Row],[FECHA DE PAGO]]-PROVEEDORES[[#This Row],[FECHA DE FACTURACIÓN]])&gt;PROVEEDORES[[#This Row],[PLAZO Días]],"PAGO VENCIDO")</f>
        <v>PAGO VENCIDO</v>
      </c>
      <c r="C240" s="20">
        <f>+VLOOKUP(PROVEEDORES[[#This Row],[PROVEEDOR]],TERCEROS_INFO[#All],2,FALSE)</f>
        <v>30</v>
      </c>
      <c r="D240" s="25">
        <f>+SUMIFS(PROVEEDORES[Total],PROVEEDORES[PROVEEDOR],PROVEEDORES[[#This Row],[PROVEEDOR]],PROVEEDORES[FECHA DE PAGO],"")</f>
        <v>0</v>
      </c>
      <c r="E240" s="25"/>
      <c r="F240" s="58">
        <f>+VLOOKUP(PROVEEDORES[[#This Row],[PROVEEDOR]],
                       Terceros!$A:$F,
                       5,
                       FALSE)</f>
        <v>0</v>
      </c>
      <c r="G240" s="161">
        <v>44809</v>
      </c>
      <c r="H240" s="26" t="s">
        <v>932</v>
      </c>
      <c r="I240" s="161">
        <v>44774</v>
      </c>
      <c r="J240" s="35" t="s">
        <v>1397</v>
      </c>
      <c r="K240" s="21">
        <v>100196</v>
      </c>
      <c r="L240" s="21"/>
      <c r="M240" s="22">
        <f>(PROVEEDORES[[#This Row],[SUBTOTAL]]-PROVEEDORES[[#This Row],[descuento sobre subtotal]])*VLOOKUP(PROVEEDORES[[#This Row],[PROVEEDOR]],TERCEROS_INFO[#All],3,FALSE)</f>
        <v>0</v>
      </c>
      <c r="N240" s="23"/>
      <c r="O240" s="22">
        <f>+PROVEEDORES[[#This Row],[Descuento sobre subtotal %]]*(PROVEEDORES[[#This Row],[SUBTOTAL]]-PROVEEDORES[[#This Row],[descuento sobre subtotal]])</f>
        <v>0</v>
      </c>
      <c r="P240" s="83">
        <f>+IF(PROVEEDORES[[#This Row],[SUBTOTAL]]&lt;PROVEEDORES[[#This Row],[base retencion]],0,PROVEEDORES[[#This Row],[retención aplicada]])</f>
        <v>0</v>
      </c>
      <c r="Q240" s="22">
        <f>+PROVEEDORES[[#This Row],[Rete Fuente %]]*(PROVEEDORES[[#This Row],[SUBTOTAL]]-PROVEEDORES[[#This Row],[descuento sobre subtotal]])</f>
        <v>0</v>
      </c>
      <c r="R240" s="21">
        <f>+PROVEEDORES[[#This Row],[SUBTOTAL]]+PROVEEDORES[[#This Row],[IVA 19%]]-PROVEEDORES[[#This Row],[descuento sobre subtotal]]-PROVEEDORES[[#This Row],[Descuento sobre subtotal $2]]-PROVEEDORES[[#This Row],[Rete Fuente $]]</f>
        <v>100196</v>
      </c>
      <c r="S240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68">
        <f ca="1">IF(PROVEEDORES[[#This Row],[FECHA DE PAGO]]=0,TODAY()-PROVEEDORES[[#This Row],[FECHA DE FACTURACIÓN]]-PROVEEDORES[[#This Row],[PLAZO Días]],0)</f>
        <v>0</v>
      </c>
      <c r="U240" s="113">
        <f>+VLOOKUP(PROVEEDORES[[#This Row],[PROVEEDOR]],Terceros!$A:$D,4,FALSE)</f>
        <v>0</v>
      </c>
      <c r="V240" s="114">
        <f>+YEAR(PROVEEDORES[[#This Row],[FECHA DE FACTURACIÓN]])</f>
        <v>2022</v>
      </c>
      <c r="W240" s="114">
        <f>+MATCH(PROVEEDORES[[#This Row],[año facturado]],Retenciones!$1:$1,0)</f>
        <v>5</v>
      </c>
      <c r="X240" s="115">
        <f>+VLOOKUP(PROVEEDORES[[#This Row],[ID RETENCION]],Retenciones!$A$1:$O$25,PROVEEDORES[[#This Row],[indicador de columna]],FALSE)</f>
        <v>0</v>
      </c>
      <c r="Y240" s="116">
        <f>+VLOOKUP(PROVEEDORES[[#This Row],[ID RETENCION]],Retenciones!$A$1:$O$25,2,FALSE)</f>
        <v>0</v>
      </c>
      <c r="Z240" s="125" t="b">
        <f>OR(COUNTIF(PROVEEDORES[[#This Row],[PROVEEDOR]],"*"&amp;'Palabra no opera'!$A$2&amp;"*"))</f>
        <v>1</v>
      </c>
      <c r="AA240" s="24"/>
      <c r="AB240" s="24"/>
      <c r="AC240" s="24"/>
      <c r="AD240" s="24"/>
      <c r="AE240" s="24"/>
    </row>
    <row r="241" spans="1:31" ht="22.2" customHeight="1" x14ac:dyDescent="0.3">
      <c r="A241" s="72" t="str">
        <f>+IF(PROVEEDORES[[#This Row],[FECHA DE PAGO]]=PROVEEDORES[[#This Row],[FECHA DE FACTURACIÓN]],"DE CONTADO","CRÉDITO")</f>
        <v>CRÉDITO</v>
      </c>
      <c r="B241" s="38" t="b">
        <f>+IF((PROVEEDORES[[#This Row],[FECHA DE PAGO]]-PROVEEDORES[[#This Row],[FECHA DE FACTURACIÓN]])&gt;PROVEEDORES[[#This Row],[PLAZO Días]],"PAGO VENCIDO")</f>
        <v>0</v>
      </c>
      <c r="C241" s="20">
        <f>+VLOOKUP(PROVEEDORES[[#This Row],[PROVEEDOR]],TERCEROS_INFO[#All],2,FALSE)</f>
        <v>30</v>
      </c>
      <c r="D241" s="25">
        <f>+SUMIFS(PROVEEDORES[Total],PROVEEDORES[PROVEEDOR],PROVEEDORES[[#This Row],[PROVEEDOR]],PROVEEDORES[FECHA DE PAGO],"")</f>
        <v>0</v>
      </c>
      <c r="E241" s="25"/>
      <c r="F241" s="58" t="str">
        <f>+VLOOKUP(PROVEEDORES[[#This Row],[PROVEEDOR]],
                       Terceros!$A:$F,
                       5,
                       FALSE)</f>
        <v/>
      </c>
      <c r="G241" s="161">
        <v>44796</v>
      </c>
      <c r="H241" s="26" t="s">
        <v>1130</v>
      </c>
      <c r="I241" s="161">
        <v>44793</v>
      </c>
      <c r="J241" s="35" t="s">
        <v>1407</v>
      </c>
      <c r="K241" s="21">
        <v>101400</v>
      </c>
      <c r="L241" s="21"/>
      <c r="M241" s="22">
        <f>(PROVEEDORES[[#This Row],[SUBTOTAL]]-PROVEEDORES[[#This Row],[descuento sobre subtotal]])*VLOOKUP(PROVEEDORES[[#This Row],[PROVEEDOR]],TERCEROS_INFO[#All],3,FALSE)</f>
        <v>0</v>
      </c>
      <c r="N241" s="23"/>
      <c r="O241" s="22">
        <f>+PROVEEDORES[[#This Row],[Descuento sobre subtotal %]]*(PROVEEDORES[[#This Row],[SUBTOTAL]]-PROVEEDORES[[#This Row],[descuento sobre subtotal]])</f>
        <v>0</v>
      </c>
      <c r="P241" s="83">
        <f>+IF(PROVEEDORES[[#This Row],[SUBTOTAL]]&lt;PROVEEDORES[[#This Row],[base retencion]],0,PROVEEDORES[[#This Row],[retención aplicada]])</f>
        <v>0</v>
      </c>
      <c r="Q241" s="22">
        <f>+PROVEEDORES[[#This Row],[Rete Fuente %]]*(PROVEEDORES[[#This Row],[SUBTOTAL]]-PROVEEDORES[[#This Row],[descuento sobre subtotal]])</f>
        <v>0</v>
      </c>
      <c r="R241" s="21">
        <f>+PROVEEDORES[[#This Row],[SUBTOTAL]]+PROVEEDORES[[#This Row],[IVA 19%]]-PROVEEDORES[[#This Row],[descuento sobre subtotal]]-PROVEEDORES[[#This Row],[Descuento sobre subtotal $2]]-PROVEEDORES[[#This Row],[Rete Fuente $]]</f>
        <v>101400</v>
      </c>
      <c r="S24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68">
        <f ca="1">IF(PROVEEDORES[[#This Row],[FECHA DE PAGO]]=0,TODAY()-PROVEEDORES[[#This Row],[FECHA DE FACTURACIÓN]]-PROVEEDORES[[#This Row],[PLAZO Días]],0)</f>
        <v>0</v>
      </c>
      <c r="U241" s="113">
        <f>+VLOOKUP(PROVEEDORES[[#This Row],[PROVEEDOR]],Terceros!$A:$D,4,FALSE)</f>
        <v>0</v>
      </c>
      <c r="V241" s="114">
        <f>+YEAR(PROVEEDORES[[#This Row],[FECHA DE FACTURACIÓN]])</f>
        <v>2022</v>
      </c>
      <c r="W241" s="114">
        <f>+MATCH(PROVEEDORES[[#This Row],[año facturado]],Retenciones!$1:$1,0)</f>
        <v>5</v>
      </c>
      <c r="X241" s="115">
        <f>+VLOOKUP(PROVEEDORES[[#This Row],[ID RETENCION]],Retenciones!$A$1:$O$25,PROVEEDORES[[#This Row],[indicador de columna]],FALSE)</f>
        <v>0</v>
      </c>
      <c r="Y241" s="116">
        <f>+VLOOKUP(PROVEEDORES[[#This Row],[ID RETENCION]],Retenciones!$A$1:$O$25,2,FALSE)</f>
        <v>0</v>
      </c>
      <c r="Z241" s="125" t="b">
        <f>OR(COUNTIF(PROVEEDORES[[#This Row],[PROVEEDOR]],"*"&amp;'Palabra no opera'!$A$2&amp;"*"))</f>
        <v>1</v>
      </c>
      <c r="AA241" s="24"/>
      <c r="AB241" s="24"/>
      <c r="AC241" s="24"/>
      <c r="AD241" s="24"/>
      <c r="AE241" s="24"/>
    </row>
    <row r="242" spans="1:31" ht="22.2" customHeight="1" x14ac:dyDescent="0.3">
      <c r="A242" s="66" t="str">
        <f>+IF(PROVEEDORES[[#This Row],[FECHA DE PAGO]]=PROVEEDORES[[#This Row],[FECHA DE FACTURACIÓN]],"DE CONTADO","CRÉDITO")</f>
        <v>DE CONTADO</v>
      </c>
      <c r="B242" s="38" t="b">
        <f>+IF((PROVEEDORES[[#This Row],[FECHA DE PAGO]]-PROVEEDORES[[#This Row],[FECHA DE FACTURACIÓN]])&gt;PROVEEDORES[[#This Row],[PLAZO Días]],"PAGO VENCIDO")</f>
        <v>0</v>
      </c>
      <c r="C242" s="20">
        <f>+VLOOKUP(PROVEEDORES[[#This Row],[PROVEEDOR]],TERCEROS_INFO[#All],2,FALSE)</f>
        <v>30</v>
      </c>
      <c r="D242" s="25">
        <f>+SUMIFS(PROVEEDORES[Total],PROVEEDORES[PROVEEDOR],PROVEEDORES[[#This Row],[PROVEEDOR]],PROVEEDORES[FECHA DE PAGO],"")</f>
        <v>0</v>
      </c>
      <c r="E242" s="25"/>
      <c r="F242" s="58" t="str">
        <f>+VLOOKUP(PROVEEDORES[[#This Row],[PROVEEDOR]],
                       Terceros!$A:$F,
                       5,
                       FALSE)</f>
        <v/>
      </c>
      <c r="G242" s="161">
        <v>44500</v>
      </c>
      <c r="H242" s="26" t="s">
        <v>644</v>
      </c>
      <c r="I242" s="161">
        <v>44500</v>
      </c>
      <c r="J242" s="35" t="s">
        <v>1187</v>
      </c>
      <c r="K242" s="21">
        <v>101500</v>
      </c>
      <c r="L242" s="21"/>
      <c r="M242" s="22">
        <f>(PROVEEDORES[[#This Row],[SUBTOTAL]]-PROVEEDORES[[#This Row],[descuento sobre subtotal]])*VLOOKUP(PROVEEDORES[[#This Row],[PROVEEDOR]],TERCEROS_INFO[#All],3,FALSE)</f>
        <v>0</v>
      </c>
      <c r="N242" s="23"/>
      <c r="O242" s="22">
        <f>+PROVEEDORES[[#This Row],[Descuento sobre subtotal %]]*(PROVEEDORES[[#This Row],[SUBTOTAL]]-PROVEEDORES[[#This Row],[descuento sobre subtotal]])</f>
        <v>0</v>
      </c>
      <c r="P242" s="83">
        <f>+IF(PROVEEDORES[[#This Row],[SUBTOTAL]]&lt;PROVEEDORES[[#This Row],[base retencion]],0,PROVEEDORES[[#This Row],[retención aplicada]])</f>
        <v>0</v>
      </c>
      <c r="Q242" s="22">
        <f>+PROVEEDORES[[#This Row],[Rete Fuente %]]*(PROVEEDORES[[#This Row],[SUBTOTAL]]-PROVEEDORES[[#This Row],[descuento sobre subtotal]])</f>
        <v>0</v>
      </c>
      <c r="R242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2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68">
        <f ca="1">IF(PROVEEDORES[[#This Row],[FECHA DE PAGO]]=0,TODAY()-PROVEEDORES[[#This Row],[FECHA DE FACTURACIÓN]]-PROVEEDORES[[#This Row],[PLAZO Días]],0)</f>
        <v>0</v>
      </c>
      <c r="U242" s="96">
        <f>+VLOOKUP(PROVEEDORES[[#This Row],[PROVEEDOR]],Terceros!$A:$D,4,FALSE)</f>
        <v>0</v>
      </c>
      <c r="V242" s="97">
        <f>+YEAR(PROVEEDORES[[#This Row],[FECHA DE FACTURACIÓN]])</f>
        <v>2021</v>
      </c>
      <c r="W242" s="97">
        <f>+MATCH(PROVEEDORES[[#This Row],[año facturado]],Retenciones!$1:$1,0)</f>
        <v>4</v>
      </c>
      <c r="X242" s="98">
        <f>+VLOOKUP(PROVEEDORES[[#This Row],[ID RETENCION]],Retenciones!$A$1:$O$25,PROVEEDORES[[#This Row],[indicador de columna]],FALSE)</f>
        <v>0</v>
      </c>
      <c r="Y242" s="99">
        <f>+VLOOKUP(PROVEEDORES[[#This Row],[ID RETENCION]],Retenciones!$A$1:$O$25,2,FALSE)</f>
        <v>0</v>
      </c>
      <c r="Z242" s="125" t="b">
        <f>OR(COUNTIF(PROVEEDORES[[#This Row],[PROVEEDOR]],"*"&amp;'Palabra no opera'!$A$2&amp;"*"))</f>
        <v>0</v>
      </c>
      <c r="AA242" s="24"/>
      <c r="AB242" s="24"/>
      <c r="AC242" s="24"/>
      <c r="AD242" s="24"/>
      <c r="AE242" s="24"/>
    </row>
    <row r="243" spans="1:31" ht="22.2" customHeight="1" x14ac:dyDescent="0.3">
      <c r="A243" s="159" t="str">
        <f>+IF(PROVEEDORES[[#This Row],[FECHA DE PAGO]]=PROVEEDORES[[#This Row],[FECHA DE FACTURACIÓN]],"DE CONTADO","CRÉDITO")</f>
        <v>CRÉDITO</v>
      </c>
      <c r="B243" s="38" t="str">
        <f>+IF((PROVEEDORES[[#This Row],[FECHA DE PAGO]]-PROVEEDORES[[#This Row],[FECHA DE FACTURACIÓN]])&gt;PROVEEDORES[[#This Row],[PLAZO Días]],"PAGO VENCIDO")</f>
        <v>PAGO VENCIDO</v>
      </c>
      <c r="C243" s="20">
        <f>+VLOOKUP(PROVEEDORES[[#This Row],[PROVEEDOR]],TERCEROS_INFO[#All],2,FALSE)</f>
        <v>45</v>
      </c>
      <c r="D243" s="25">
        <f>+SUMIFS(PROVEEDORES[Total],PROVEEDORES[PROVEEDOR],PROVEEDORES[[#This Row],[PROVEEDOR]],PROVEEDORES[FECHA DE PAGO],"")</f>
        <v>2604910</v>
      </c>
      <c r="E243" s="25"/>
      <c r="F24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3" s="161">
        <v>44806</v>
      </c>
      <c r="H243" s="26" t="s">
        <v>10</v>
      </c>
      <c r="I243" s="161">
        <v>44741</v>
      </c>
      <c r="J243" s="35" t="s">
        <v>1090</v>
      </c>
      <c r="K243" s="21">
        <v>85714.2</v>
      </c>
      <c r="L243" s="21"/>
      <c r="M243" s="22">
        <f>(PROVEEDORES[[#This Row],[SUBTOTAL]]-PROVEEDORES[[#This Row],[descuento sobre subtotal]])*VLOOKUP(PROVEEDORES[[#This Row],[PROVEEDOR]],TERCEROS_INFO[#All],3,FALSE)</f>
        <v>16285.698</v>
      </c>
      <c r="N243" s="23"/>
      <c r="O243" s="22">
        <f>+PROVEEDORES[[#This Row],[Descuento sobre subtotal %]]*(PROVEEDORES[[#This Row],[SUBTOTAL]]-PROVEEDORES[[#This Row],[descuento sobre subtotal]])</f>
        <v>0</v>
      </c>
      <c r="P243" s="83">
        <f>+IF(PROVEEDORES[[#This Row],[SUBTOTAL]]&lt;PROVEEDORES[[#This Row],[base retencion]],0,PROVEEDORES[[#This Row],[retención aplicada]])</f>
        <v>0</v>
      </c>
      <c r="Q243" s="22">
        <f>+PROVEEDORES[[#This Row],[Rete Fuente %]]*(PROVEEDORES[[#This Row],[SUBTOTAL]]-PROVEEDORES[[#This Row],[descuento sobre subtotal]])</f>
        <v>0</v>
      </c>
      <c r="R243" s="21">
        <f>+PROVEEDORES[[#This Row],[SUBTOTAL]]+PROVEEDORES[[#This Row],[IVA 19%]]-PROVEEDORES[[#This Row],[descuento sobre subtotal]]-PROVEEDORES[[#This Row],[Descuento sobre subtotal $2]]-PROVEEDORES[[#This Row],[Rete Fuente $]]</f>
        <v>101999.898</v>
      </c>
      <c r="S24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68">
        <f ca="1">IF(PROVEEDORES[[#This Row],[FECHA DE PAGO]]=0,TODAY()-PROVEEDORES[[#This Row],[FECHA DE FACTURACIÓN]]-PROVEEDORES[[#This Row],[PLAZO Días]],0)</f>
        <v>0</v>
      </c>
      <c r="U243" s="113">
        <f>+VLOOKUP(PROVEEDORES[[#This Row],[PROVEEDOR]],Terceros!$A:$D,4,FALSE)</f>
        <v>0</v>
      </c>
      <c r="V243" s="114">
        <f>+YEAR(PROVEEDORES[[#This Row],[FECHA DE FACTURACIÓN]])</f>
        <v>2022</v>
      </c>
      <c r="W243" s="114">
        <f>+MATCH(PROVEEDORES[[#This Row],[año facturado]],Retenciones!$1:$1,0)</f>
        <v>5</v>
      </c>
      <c r="X243" s="115">
        <f>+VLOOKUP(PROVEEDORES[[#This Row],[ID RETENCION]],Retenciones!$A$1:$O$25,PROVEEDORES[[#This Row],[indicador de columna]],FALSE)</f>
        <v>0</v>
      </c>
      <c r="Y243" s="116">
        <f>+VLOOKUP(PROVEEDORES[[#This Row],[ID RETENCION]],Retenciones!$A$1:$O$25,2,FALSE)</f>
        <v>0</v>
      </c>
      <c r="Z243" s="125" t="b">
        <f>OR(COUNTIF(PROVEEDORES[[#This Row],[PROVEEDOR]],"*"&amp;'Palabra no opera'!$A$2&amp;"*"))</f>
        <v>0</v>
      </c>
      <c r="AA243" s="24"/>
      <c r="AB243" s="24"/>
      <c r="AC243" s="24"/>
      <c r="AD243" s="24"/>
      <c r="AE243" s="24"/>
    </row>
    <row r="244" spans="1:31" ht="22.2" customHeight="1" x14ac:dyDescent="0.3">
      <c r="A244" s="159" t="str">
        <f>+IF(PROVEEDORES[[#This Row],[FECHA DE PAGO]]=PROVEEDORES[[#This Row],[FECHA DE FACTURACIÓN]],"DE CONTADO","CRÉDITO")</f>
        <v>CRÉDITO</v>
      </c>
      <c r="B244" s="38" t="str">
        <f>+IF((PROVEEDORES[[#This Row],[FECHA DE PAGO]]-PROVEEDORES[[#This Row],[FECHA DE FACTURACIÓN]])&gt;PROVEEDORES[[#This Row],[PLAZO Días]],"PAGO VENCIDO")</f>
        <v>PAGO VENCIDO</v>
      </c>
      <c r="C244" s="20">
        <f>+VLOOKUP(PROVEEDORES[[#This Row],[PROVEEDOR]],TERCEROS_INFO[#All],2,FALSE)</f>
        <v>45</v>
      </c>
      <c r="D244" s="25">
        <f>+SUMIFS(PROVEEDORES[Total],PROVEEDORES[PROVEEDOR],PROVEEDORES[[#This Row],[PROVEEDOR]],PROVEEDORES[FECHA DE PAGO],"")</f>
        <v>2604910</v>
      </c>
      <c r="E244" s="25"/>
      <c r="F24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4" s="161">
        <v>44776</v>
      </c>
      <c r="H244" s="26" t="s">
        <v>10</v>
      </c>
      <c r="I244" s="161">
        <v>44726</v>
      </c>
      <c r="J244" s="35" t="s">
        <v>1043</v>
      </c>
      <c r="K244" s="21">
        <v>87000</v>
      </c>
      <c r="L244" s="21"/>
      <c r="M244" s="22">
        <f>(PROVEEDORES[[#This Row],[SUBTOTAL]]-PROVEEDORES[[#This Row],[descuento sobre subtotal]])*VLOOKUP(PROVEEDORES[[#This Row],[PROVEEDOR]],TERCEROS_INFO[#All],3,FALSE)</f>
        <v>16530</v>
      </c>
      <c r="N244" s="23"/>
      <c r="O244" s="22">
        <f>+PROVEEDORES[[#This Row],[Descuento sobre subtotal %]]*(PROVEEDORES[[#This Row],[SUBTOTAL]]-PROVEEDORES[[#This Row],[descuento sobre subtotal]])</f>
        <v>0</v>
      </c>
      <c r="P244" s="83">
        <f>+IF(PROVEEDORES[[#This Row],[SUBTOTAL]]&lt;PROVEEDORES[[#This Row],[base retencion]],0,PROVEEDORES[[#This Row],[retención aplicada]])</f>
        <v>0</v>
      </c>
      <c r="Q244" s="22">
        <f>+PROVEEDORES[[#This Row],[Rete Fuente %]]*(PROVEEDORES[[#This Row],[SUBTOTAL]]-PROVEEDORES[[#This Row],[descuento sobre subtotal]])</f>
        <v>0</v>
      </c>
      <c r="R244" s="21">
        <f>+PROVEEDORES[[#This Row],[SUBTOTAL]]+PROVEEDORES[[#This Row],[IVA 19%]]-PROVEEDORES[[#This Row],[descuento sobre subtotal]]-PROVEEDORES[[#This Row],[Descuento sobre subtotal $2]]-PROVEEDORES[[#This Row],[Rete Fuente $]]</f>
        <v>103530</v>
      </c>
      <c r="S24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68">
        <f ca="1">IF(PROVEEDORES[[#This Row],[FECHA DE PAGO]]=0,TODAY()-PROVEEDORES[[#This Row],[FECHA DE FACTURACIÓN]]-PROVEEDORES[[#This Row],[PLAZO Días]],0)</f>
        <v>0</v>
      </c>
      <c r="U244" s="113">
        <f>+VLOOKUP(PROVEEDORES[[#This Row],[PROVEEDOR]],Terceros!$A:$D,4,FALSE)</f>
        <v>0</v>
      </c>
      <c r="V244" s="114">
        <f>+YEAR(PROVEEDORES[[#This Row],[FECHA DE FACTURACIÓN]])</f>
        <v>2022</v>
      </c>
      <c r="W244" s="114">
        <f>+MATCH(PROVEEDORES[[#This Row],[año facturado]],Retenciones!$1:$1,0)</f>
        <v>5</v>
      </c>
      <c r="X244" s="115">
        <f>+VLOOKUP(PROVEEDORES[[#This Row],[ID RETENCION]],Retenciones!$A$1:$O$25,PROVEEDORES[[#This Row],[indicador de columna]],FALSE)</f>
        <v>0</v>
      </c>
      <c r="Y244" s="116">
        <f>+VLOOKUP(PROVEEDORES[[#This Row],[ID RETENCION]],Retenciones!$A$1:$O$25,2,FALSE)</f>
        <v>0</v>
      </c>
      <c r="Z244" s="125" t="b">
        <f>OR(COUNTIF(PROVEEDORES[[#This Row],[PROVEEDOR]],"*"&amp;'Palabra no opera'!$A$2&amp;"*"))</f>
        <v>0</v>
      </c>
      <c r="AA244" s="24"/>
      <c r="AB244" s="24"/>
      <c r="AC244" s="24"/>
      <c r="AD244" s="24"/>
      <c r="AE244" s="24"/>
    </row>
    <row r="245" spans="1:31" ht="22.2" customHeight="1" x14ac:dyDescent="0.3">
      <c r="A245" s="66" t="str">
        <f>+IF(PROVEEDORES[[#This Row],[FECHA DE PAGO]]=PROVEEDORES[[#This Row],[FECHA DE FACTURACIÓN]],"DE CONTADO","CRÉDITO")</f>
        <v>CRÉDITO</v>
      </c>
      <c r="B245" s="38" t="str">
        <f>+IF((PROVEEDORES[[#This Row],[FECHA DE PAGO]]-PROVEEDORES[[#This Row],[FECHA DE FACTURACIÓN]])&gt;PROVEEDORES[[#This Row],[PLAZO Días]],"PAGO VENCIDO")</f>
        <v>PAGO VENCIDO</v>
      </c>
      <c r="C245" s="20">
        <f>+VLOOKUP(PROVEEDORES[[#This Row],[PROVEEDOR]],TERCEROS_INFO[#All],2,FALSE)</f>
        <v>30</v>
      </c>
      <c r="D245" s="25">
        <f>+SUMIFS(PROVEEDORES[Total],PROVEEDORES[PROVEEDOR],PROVEEDORES[[#This Row],[PROVEEDOR]],PROVEEDORES[FECHA DE PAGO],"")</f>
        <v>2121000</v>
      </c>
      <c r="E245" s="25"/>
      <c r="F24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45" s="161">
        <v>44592</v>
      </c>
      <c r="H245" s="26" t="s">
        <v>685</v>
      </c>
      <c r="I245" s="161">
        <v>44551</v>
      </c>
      <c r="J245" s="35" t="s">
        <v>1364</v>
      </c>
      <c r="K245" s="21">
        <v>105000</v>
      </c>
      <c r="L245" s="21"/>
      <c r="M245" s="22">
        <v>0</v>
      </c>
      <c r="N245" s="23"/>
      <c r="O245" s="22">
        <v>0</v>
      </c>
      <c r="P245" s="83">
        <f>+IF(PROVEEDORES[[#This Row],[SUBTOTAL]]&lt;PROVEEDORES[[#This Row],[base retencion]],0,PROVEEDORES[[#This Row],[retención aplicada]])</f>
        <v>0</v>
      </c>
      <c r="Q245" s="22">
        <f>+PROVEEDORES[[#This Row],[Rete Fuente %]]*(PROVEEDORES[[#This Row],[SUBTOTAL]]-PROVEEDORES[[#This Row],[descuento sobre subtotal]])</f>
        <v>0</v>
      </c>
      <c r="R245" s="21">
        <v>105000</v>
      </c>
      <c r="S2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68">
        <f ca="1">IF(PROVEEDORES[[#This Row],[FECHA DE PAGO]]=0,TODAY()-PROVEEDORES[[#This Row],[FECHA DE FACTURACIÓN]]-PROVEEDORES[[#This Row],[PLAZO Días]],0)</f>
        <v>0</v>
      </c>
      <c r="U245" s="96">
        <f>+VLOOKUP(PROVEEDORES[[#This Row],[PROVEEDOR]],Terceros!$A:$D,4,FALSE)</f>
        <v>0</v>
      </c>
      <c r="V245" s="97">
        <f>+YEAR(PROVEEDORES[[#This Row],[FECHA DE FACTURACIÓN]])</f>
        <v>2021</v>
      </c>
      <c r="W245" s="97">
        <f>+MATCH(PROVEEDORES[[#This Row],[año facturado]],Retenciones!$1:$1,0)</f>
        <v>4</v>
      </c>
      <c r="X245" s="98">
        <f>+VLOOKUP(PROVEEDORES[[#This Row],[ID RETENCION]],Retenciones!$A$1:$O$25,PROVEEDORES[[#This Row],[indicador de columna]],FALSE)</f>
        <v>0</v>
      </c>
      <c r="Y245" s="99">
        <f>+VLOOKUP(PROVEEDORES[[#This Row],[ID RETENCION]],Retenciones!$A$1:$O$25,2,FALSE)</f>
        <v>0</v>
      </c>
      <c r="Z245" s="125" t="b">
        <f>OR(COUNTIF(PROVEEDORES[[#This Row],[PROVEEDOR]],"*"&amp;'Palabra no opera'!$A$2&amp;"*"))</f>
        <v>0</v>
      </c>
      <c r="AA245" s="24"/>
      <c r="AB245" s="24"/>
      <c r="AC245" s="24"/>
      <c r="AD245" s="24"/>
      <c r="AE245" s="24"/>
    </row>
    <row r="246" spans="1:31" ht="22.2" customHeight="1" x14ac:dyDescent="0.3">
      <c r="A246" s="269" t="str">
        <f>+IF(PROVEEDORES[[#This Row],[FECHA DE PAGO]]=PROVEEDORES[[#This Row],[FECHA DE FACTURACIÓN]],"DE CONTADO","CRÉDITO")</f>
        <v>DE CONTADO</v>
      </c>
      <c r="B246" s="38" t="b">
        <f>+IF((PROVEEDORES[[#This Row],[FECHA DE PAGO]]-PROVEEDORES[[#This Row],[FECHA DE FACTURACIÓN]])&gt;PROVEEDORES[[#This Row],[PLAZO Días]],"PAGO VENCIDO")</f>
        <v>0</v>
      </c>
      <c r="C246" s="20">
        <f>+VLOOKUP(PROVEEDORES[[#This Row],[PROVEEDOR]],TERCEROS_INFO[#All],2,FALSE)</f>
        <v>30</v>
      </c>
      <c r="D246" s="25">
        <f>+SUMIFS(PROVEEDORES[Total],PROVEEDORES[PROVEEDOR],PROVEEDORES[[#This Row],[PROVEEDOR]],PROVEEDORES[FECHA DE PAGO],"")</f>
        <v>0</v>
      </c>
      <c r="E246" s="25"/>
      <c r="F246" s="58">
        <f>+VLOOKUP(PROVEEDORES[[#This Row],[PROVEEDOR]],
                       Terceros!$A:$F,
                       5,
                       FALSE)</f>
        <v>0</v>
      </c>
      <c r="G246" s="161">
        <v>44858</v>
      </c>
      <c r="H246" s="26" t="s">
        <v>648</v>
      </c>
      <c r="I246" s="161">
        <v>44858</v>
      </c>
      <c r="J246" s="35" t="s">
        <v>1800</v>
      </c>
      <c r="K246" s="21">
        <v>105000</v>
      </c>
      <c r="L246" s="21"/>
      <c r="M246" s="22">
        <f>(PROVEEDORES[[#This Row],[SUBTOTAL]]-PROVEEDORES[[#This Row],[descuento sobre subtotal]])*VLOOKUP(PROVEEDORES[[#This Row],[PROVEEDOR]],TERCEROS_INFO[#All],3,FALSE)</f>
        <v>0</v>
      </c>
      <c r="N246" s="23"/>
      <c r="O246" s="22">
        <f>+PROVEEDORES[[#This Row],[Descuento sobre subtotal %]]*(PROVEEDORES[[#This Row],[SUBTOTAL]]-PROVEEDORES[[#This Row],[descuento sobre subtotal]])</f>
        <v>0</v>
      </c>
      <c r="P246" s="83">
        <f>+IF(PROVEEDORES[[#This Row],[SUBTOTAL]]&lt;PROVEEDORES[[#This Row],[base retencion]],0,PROVEEDORES[[#This Row],[retención aplicada]])</f>
        <v>0</v>
      </c>
      <c r="Q246" s="22">
        <f>+PROVEEDORES[[#This Row],[Rete Fuente %]]*(PROVEEDORES[[#This Row],[SUBTOTAL]]-PROVEEDORES[[#This Row],[descuento sobre subtotal]])</f>
        <v>0</v>
      </c>
      <c r="R246" s="21">
        <f>+PROVEEDORES[[#This Row],[SUBTOTAL]]+PROVEEDORES[[#This Row],[IVA 19%]]-PROVEEDORES[[#This Row],[descuento sobre subtotal]]-PROVEEDORES[[#This Row],[Descuento sobre subtotal $2]]-PROVEEDORES[[#This Row],[Rete Fuente $]]</f>
        <v>105000</v>
      </c>
      <c r="S246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68">
        <f ca="1">IF(PROVEEDORES[[#This Row],[FECHA DE PAGO]]=0,TODAY()-PROVEEDORES[[#This Row],[FECHA DE FACTURACIÓN]]-PROVEEDORES[[#This Row],[PLAZO Días]],0)</f>
        <v>0</v>
      </c>
      <c r="U246" s="113">
        <f>+VLOOKUP(PROVEEDORES[[#This Row],[PROVEEDOR]],Terceros!$A:$D,4,FALSE)</f>
        <v>0</v>
      </c>
      <c r="V246" s="114">
        <f>+YEAR(PROVEEDORES[[#This Row],[FECHA DE FACTURACIÓN]])</f>
        <v>2022</v>
      </c>
      <c r="W246" s="114">
        <f>+MATCH(PROVEEDORES[[#This Row],[año facturado]],Retenciones!$1:$1,0)</f>
        <v>5</v>
      </c>
      <c r="X246" s="115">
        <f>+VLOOKUP(PROVEEDORES[[#This Row],[ID RETENCION]],Retenciones!$A$1:$O$25,PROVEEDORES[[#This Row],[indicador de columna]],FALSE)</f>
        <v>0</v>
      </c>
      <c r="Y246" s="116">
        <f>+VLOOKUP(PROVEEDORES[[#This Row],[ID RETENCION]],Retenciones!$A$1:$O$25,2,FALSE)</f>
        <v>0</v>
      </c>
      <c r="Z246" s="125" t="b">
        <f>OR(COUNTIF(PROVEEDORES[[#This Row],[PROVEEDOR]],"*"&amp;'Palabra no opera'!$A$2&amp;"*"))</f>
        <v>0</v>
      </c>
      <c r="AA246" s="24"/>
      <c r="AB246" s="24"/>
      <c r="AC246" s="24"/>
      <c r="AD246" s="24"/>
      <c r="AE246" s="24"/>
    </row>
    <row r="247" spans="1:31" ht="22.2" customHeight="1" x14ac:dyDescent="0.3">
      <c r="A247" s="66" t="str">
        <f>+IF(PROVEEDORES[[#This Row],[FECHA DE PAGO]]=PROVEEDORES[[#This Row],[FECHA DE FACTURACIÓN]],"DE CONTADO","CRÉDITO")</f>
        <v>CRÉDITO</v>
      </c>
      <c r="B247" s="38" t="b">
        <f>+IF((PROVEEDORES[[#This Row],[FECHA DE PAGO]]-PROVEEDORES[[#This Row],[FECHA DE FACTURACIÓN]])&gt;PROVEEDORES[[#This Row],[PLAZO Días]],"PAGO VENCIDO")</f>
        <v>0</v>
      </c>
      <c r="C247" s="20">
        <f>+VLOOKUP(PROVEEDORES[[#This Row],[PROVEEDOR]],TERCEROS_INFO[#All],2,FALSE)</f>
        <v>30</v>
      </c>
      <c r="D247" s="25">
        <f>+SUMIFS(PROVEEDORES[Total],PROVEEDORES[PROVEEDOR],PROVEEDORES[[#This Row],[PROVEEDOR]],PROVEEDORES[FECHA DE PAGO],"")</f>
        <v>0</v>
      </c>
      <c r="E247" s="25"/>
      <c r="F247" s="58" t="str">
        <f>+VLOOKUP(PROVEEDORES[[#This Row],[PROVEEDOR]],
                       Terceros!$A:$F,
                       5,
                       FALSE)</f>
        <v/>
      </c>
      <c r="G247" s="161">
        <v>44651</v>
      </c>
      <c r="H247" s="26" t="s">
        <v>1130</v>
      </c>
      <c r="I247" s="161">
        <v>44645</v>
      </c>
      <c r="J247" s="35" t="s">
        <v>720</v>
      </c>
      <c r="K247" s="21">
        <v>106000</v>
      </c>
      <c r="L247" s="21"/>
      <c r="M247" s="22">
        <f>(PROVEEDORES[[#This Row],[SUBTOTAL]]-PROVEEDORES[[#This Row],[descuento sobre subtotal]])*VLOOKUP(PROVEEDORES[[#This Row],[PROVEEDOR]],TERCEROS_INFO[#All],3,FALSE)</f>
        <v>0</v>
      </c>
      <c r="N247" s="23"/>
      <c r="O247" s="22">
        <f>+PROVEEDORES[[#This Row],[Descuento sobre subtotal %]]*(PROVEEDORES[[#This Row],[SUBTOTAL]]-PROVEEDORES[[#This Row],[descuento sobre subtotal]])</f>
        <v>0</v>
      </c>
      <c r="P247" s="83">
        <f>+IF(PROVEEDORES[[#This Row],[SUBTOTAL]]&lt;PROVEEDORES[[#This Row],[base retencion]],0,PROVEEDORES[[#This Row],[retención aplicada]])</f>
        <v>0</v>
      </c>
      <c r="Q247" s="22">
        <f>+PROVEEDORES[[#This Row],[Rete Fuente %]]*(PROVEEDORES[[#This Row],[SUBTOTAL]]-PROVEEDORES[[#This Row],[descuento sobre subtotal]])</f>
        <v>0</v>
      </c>
      <c r="R247" s="21">
        <f>+PROVEEDORES[[#This Row],[SUBTOTAL]]+PROVEEDORES[[#This Row],[IVA 19%]]-PROVEEDORES[[#This Row],[descuento sobre subtotal]]-PROVEEDORES[[#This Row],[Descuento sobre subtotal $2]]-PROVEEDORES[[#This Row],[Rete Fuente $]]</f>
        <v>106000</v>
      </c>
      <c r="S2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68">
        <f ca="1">IF(PROVEEDORES[[#This Row],[FECHA DE PAGO]]=0,TODAY()-PROVEEDORES[[#This Row],[FECHA DE FACTURACIÓN]]-PROVEEDORES[[#This Row],[PLAZO Días]],0)</f>
        <v>0</v>
      </c>
      <c r="U247" s="96">
        <f>+VLOOKUP(PROVEEDORES[[#This Row],[PROVEEDOR]],Terceros!$A:$D,4,FALSE)</f>
        <v>0</v>
      </c>
      <c r="V247" s="97">
        <f>+YEAR(PROVEEDORES[[#This Row],[FECHA DE FACTURACIÓN]])</f>
        <v>2022</v>
      </c>
      <c r="W247" s="97">
        <f>+MATCH(PROVEEDORES[[#This Row],[año facturado]],Retenciones!$1:$1,0)</f>
        <v>5</v>
      </c>
      <c r="X247" s="98">
        <f>+VLOOKUP(PROVEEDORES[[#This Row],[ID RETENCION]],Retenciones!$A$1:$O$25,PROVEEDORES[[#This Row],[indicador de columna]],FALSE)</f>
        <v>0</v>
      </c>
      <c r="Y247" s="99">
        <f>+VLOOKUP(PROVEEDORES[[#This Row],[ID RETENCION]],Retenciones!$A$1:$O$25,2,FALSE)</f>
        <v>0</v>
      </c>
      <c r="Z247" s="125" t="b">
        <f>OR(COUNTIF(PROVEEDORES[[#This Row],[PROVEEDOR]],"*"&amp;'Palabra no opera'!$A$2&amp;"*"))</f>
        <v>1</v>
      </c>
      <c r="AA247" s="24"/>
      <c r="AB247" s="24"/>
      <c r="AC247" s="24"/>
      <c r="AD247" s="24"/>
      <c r="AE247" s="24"/>
    </row>
    <row r="248" spans="1:31" ht="22.2" customHeight="1" x14ac:dyDescent="0.3">
      <c r="A248" s="66" t="str">
        <f>+IF(PROVEEDORES[[#This Row],[FECHA DE PAGO]]=PROVEEDORES[[#This Row],[FECHA DE FACTURACIÓN]],"DE CONTADO","CRÉDITO")</f>
        <v>CRÉDITO</v>
      </c>
      <c r="B248" s="38" t="str">
        <f>+IF((PROVEEDORES[[#This Row],[FECHA DE PAGO]]-PROVEEDORES[[#This Row],[FECHA DE FACTURACIÓN]])&gt;PROVEEDORES[[#This Row],[PLAZO Días]],"PAGO VENCIDO")</f>
        <v>PAGO VENCIDO</v>
      </c>
      <c r="C248" s="20">
        <f>+VLOOKUP(PROVEEDORES[[#This Row],[PROVEEDOR]],TERCEROS_INFO[#All],2,FALSE)</f>
        <v>45</v>
      </c>
      <c r="D248" s="25">
        <f>+SUMIFS(PROVEEDORES[Total],PROVEEDORES[PROVEEDOR],PROVEEDORES[[#This Row],[PROVEEDOR]],PROVEEDORES[FECHA DE PAGO],"")</f>
        <v>2604910</v>
      </c>
      <c r="E248" s="25"/>
      <c r="F24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8" s="161">
        <v>44389</v>
      </c>
      <c r="H248" s="26" t="s">
        <v>10</v>
      </c>
      <c r="I248" s="161">
        <v>44323</v>
      </c>
      <c r="J248" s="35" t="s">
        <v>321</v>
      </c>
      <c r="K248" s="21">
        <v>90000</v>
      </c>
      <c r="L248" s="21"/>
      <c r="M248" s="22">
        <f>(PROVEEDORES[[#This Row],[SUBTOTAL]]-PROVEEDORES[[#This Row],[descuento sobre subtotal]])*VLOOKUP(PROVEEDORES[[#This Row],[PROVEEDOR]],TERCEROS_INFO[#All],3,FALSE)</f>
        <v>17100</v>
      </c>
      <c r="N248" s="23"/>
      <c r="O248" s="22">
        <f>+PROVEEDORES[[#This Row],[Descuento sobre subtotal %]]*(PROVEEDORES[[#This Row],[SUBTOTAL]]-PROVEEDORES[[#This Row],[descuento sobre subtotal]])</f>
        <v>0</v>
      </c>
      <c r="P248" s="83">
        <f>+IF(PROVEEDORES[[#This Row],[SUBTOTAL]]&lt;PROVEEDORES[[#This Row],[base retencion]],0,PROVEEDORES[[#This Row],[retención aplicada]])</f>
        <v>0</v>
      </c>
      <c r="Q248" s="22">
        <f>+PROVEEDORES[[#This Row],[Rete Fuente %]]*(PROVEEDORES[[#This Row],[SUBTOTAL]]-PROVEEDORES[[#This Row],[descuento sobre subtotal]])</f>
        <v>0</v>
      </c>
      <c r="R248" s="21">
        <f>+PROVEEDORES[[#This Row],[SUBTOTAL]]+PROVEEDORES[[#This Row],[IVA 19%]]-PROVEEDORES[[#This Row],[descuento sobre subtotal]]-PROVEEDORES[[#This Row],[Descuento sobre subtotal $2]]-PROVEEDORES[[#This Row],[Rete Fuente $]]</f>
        <v>107100</v>
      </c>
      <c r="S2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68">
        <f ca="1">IF(PROVEEDORES[[#This Row],[FECHA DE PAGO]]=0,TODAY()-PROVEEDORES[[#This Row],[FECHA DE FACTURACIÓN]]-PROVEEDORES[[#This Row],[PLAZO Días]],0)</f>
        <v>0</v>
      </c>
      <c r="U248" s="96">
        <f>+VLOOKUP(PROVEEDORES[[#This Row],[PROVEEDOR]],Terceros!$A:$D,4,FALSE)</f>
        <v>0</v>
      </c>
      <c r="V248" s="97">
        <f>+YEAR(PROVEEDORES[[#This Row],[FECHA DE FACTURACIÓN]])</f>
        <v>2021</v>
      </c>
      <c r="W248" s="97">
        <f>+MATCH(PROVEEDORES[[#This Row],[año facturado]],Retenciones!$1:$1,0)</f>
        <v>4</v>
      </c>
      <c r="X248" s="98">
        <f>+VLOOKUP(PROVEEDORES[[#This Row],[ID RETENCION]],Retenciones!$A$1:$O$25,PROVEEDORES[[#This Row],[indicador de columna]],FALSE)</f>
        <v>0</v>
      </c>
      <c r="Y248" s="99">
        <f>+VLOOKUP(PROVEEDORES[[#This Row],[ID RETENCION]],Retenciones!$A$1:$O$25,2,FALSE)</f>
        <v>0</v>
      </c>
      <c r="Z248" s="125" t="b">
        <f>OR(COUNTIF(PROVEEDORES[[#This Row],[PROVEEDOR]],"*"&amp;'Palabra no opera'!$A$2&amp;"*"))</f>
        <v>0</v>
      </c>
      <c r="AA248" s="24"/>
      <c r="AB248" s="24"/>
      <c r="AC248" s="24"/>
      <c r="AD248" s="24"/>
      <c r="AE248" s="24"/>
    </row>
    <row r="249" spans="1:31" ht="22.2" customHeight="1" x14ac:dyDescent="0.3">
      <c r="A249" s="66" t="str">
        <f>+IF(PROVEEDORES[[#This Row],[FECHA DE PAGO]]=PROVEEDORES[[#This Row],[FECHA DE FACTURACIÓN]],"DE CONTADO","CRÉDITO")</f>
        <v>CRÉDITO</v>
      </c>
      <c r="B249" s="38" t="b">
        <f>+IF((PROVEEDORES[[#This Row],[FECHA DE PAGO]]-PROVEEDORES[[#This Row],[FECHA DE FACTURACIÓN]])&gt;PROVEEDORES[[#This Row],[PLAZO Días]],"PAGO VENCIDO")</f>
        <v>0</v>
      </c>
      <c r="C249" s="20">
        <f>+VLOOKUP(PROVEEDORES[[#This Row],[PROVEEDOR]],TERCEROS_INFO[#All],2,FALSE)</f>
        <v>20</v>
      </c>
      <c r="D249" s="25">
        <f>+SUMIFS(PROVEEDORES[Total],PROVEEDORES[PROVEEDOR],PROVEEDORES[[#This Row],[PROVEEDOR]],PROVEEDORES[FECHA DE PAGO],"")</f>
        <v>0</v>
      </c>
      <c r="E249" s="25"/>
      <c r="F249" s="58">
        <f>+VLOOKUP(PROVEEDORES[[#This Row],[PROVEEDOR]],
                       Terceros!$A:$F,
                       5,
                       FALSE)</f>
        <v>0</v>
      </c>
      <c r="G249" s="161">
        <v>44490</v>
      </c>
      <c r="H249" s="26" t="s">
        <v>692</v>
      </c>
      <c r="I249" s="161">
        <v>44479</v>
      </c>
      <c r="J249" s="35"/>
      <c r="K249" s="21">
        <v>108000</v>
      </c>
      <c r="L249" s="21"/>
      <c r="M249" s="22">
        <f>(PROVEEDORES[[#This Row],[SUBTOTAL]]-PROVEEDORES[[#This Row],[descuento sobre subtotal]])*VLOOKUP(PROVEEDORES[[#This Row],[PROVEEDOR]],TERCEROS_INFO[#All],3,FALSE)</f>
        <v>0</v>
      </c>
      <c r="N249" s="23"/>
      <c r="O249" s="22">
        <f>+PROVEEDORES[[#This Row],[Descuento sobre subtotal %]]*(PROVEEDORES[[#This Row],[SUBTOTAL]]-PROVEEDORES[[#This Row],[descuento sobre subtotal]])</f>
        <v>0</v>
      </c>
      <c r="P249" s="83">
        <f>+IF(PROVEEDORES[[#This Row],[SUBTOTAL]]&lt;PROVEEDORES[[#This Row],[base retencion]],0,PROVEEDORES[[#This Row],[retención aplicada]])</f>
        <v>0</v>
      </c>
      <c r="Q249" s="22">
        <f>+PROVEEDORES[[#This Row],[Rete Fuente %]]*(PROVEEDORES[[#This Row],[SUBTOTAL]]-PROVEEDORES[[#This Row],[descuento sobre subtotal]])</f>
        <v>0</v>
      </c>
      <c r="R249" s="21">
        <f>+PROVEEDORES[[#This Row],[SUBTOTAL]]+PROVEEDORES[[#This Row],[IVA 19%]]-PROVEEDORES[[#This Row],[descuento sobre subtotal]]-PROVEEDORES[[#This Row],[Descuento sobre subtotal $2]]-PROVEEDORES[[#This Row],[Rete Fuente $]]</f>
        <v>108000</v>
      </c>
      <c r="S2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68">
        <f ca="1">IF(PROVEEDORES[[#This Row],[FECHA DE PAGO]]=0,TODAY()-PROVEEDORES[[#This Row],[FECHA DE FACTURACIÓN]]-PROVEEDORES[[#This Row],[PLAZO Días]],0)</f>
        <v>0</v>
      </c>
      <c r="U249" s="96">
        <f>+VLOOKUP(PROVEEDORES[[#This Row],[PROVEEDOR]],Terceros!$A:$D,4,FALSE)</f>
        <v>0</v>
      </c>
      <c r="V249" s="97">
        <f>+YEAR(PROVEEDORES[[#This Row],[FECHA DE FACTURACIÓN]])</f>
        <v>2021</v>
      </c>
      <c r="W249" s="97">
        <f>+MATCH(PROVEEDORES[[#This Row],[año facturado]],Retenciones!$1:$1,0)</f>
        <v>4</v>
      </c>
      <c r="X249" s="98">
        <f>+VLOOKUP(PROVEEDORES[[#This Row],[ID RETENCION]],Retenciones!$A$1:$O$25,PROVEEDORES[[#This Row],[indicador de columna]],FALSE)</f>
        <v>0</v>
      </c>
      <c r="Y249" s="99">
        <f>+VLOOKUP(PROVEEDORES[[#This Row],[ID RETENCION]],Retenciones!$A$1:$O$25,2,FALSE)</f>
        <v>0</v>
      </c>
      <c r="Z249" s="125" t="b">
        <f>OR(COUNTIF(PROVEEDORES[[#This Row],[PROVEEDOR]],"*"&amp;'Palabra no opera'!$A$2&amp;"*"))</f>
        <v>0</v>
      </c>
      <c r="AA249" s="24"/>
      <c r="AB249" s="24"/>
      <c r="AC249" s="24"/>
      <c r="AD249" s="24"/>
      <c r="AE249" s="24"/>
    </row>
    <row r="250" spans="1:31" ht="22.2" customHeight="1" x14ac:dyDescent="0.3">
      <c r="A250" s="66" t="str">
        <f>+IF(PROVEEDORES[[#This Row],[FECHA DE PAGO]]=PROVEEDORES[[#This Row],[FECHA DE FACTURACIÓN]],"DE CONTADO","CRÉDITO")</f>
        <v>CRÉDITO</v>
      </c>
      <c r="B250" s="38" t="str">
        <f>+IF((PROVEEDORES[[#This Row],[FECHA DE PAGO]]-PROVEEDORES[[#This Row],[FECHA DE FACTURACIÓN]])&gt;PROVEEDORES[[#This Row],[PLAZO Días]],"PAGO VENCIDO")</f>
        <v>PAGO VENCIDO</v>
      </c>
      <c r="C250" s="20">
        <f>+VLOOKUP(PROVEEDORES[[#This Row],[PROVEEDOR]],TERCEROS_INFO[#All],2,FALSE)</f>
        <v>30</v>
      </c>
      <c r="D250" s="25">
        <f>+SUMIFS(PROVEEDORES[Total],PROVEEDORES[PROVEEDOR],PROVEEDORES[[#This Row],[PROVEEDOR]],PROVEEDORES[FECHA DE PAGO],"")</f>
        <v>0</v>
      </c>
      <c r="E250" s="25"/>
      <c r="F250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50" s="161">
        <v>44690</v>
      </c>
      <c r="H250" s="26" t="s">
        <v>33</v>
      </c>
      <c r="I250" s="161">
        <v>44627</v>
      </c>
      <c r="J250" s="35">
        <v>2342</v>
      </c>
      <c r="K250" s="21">
        <v>93000</v>
      </c>
      <c r="L250" s="21"/>
      <c r="M250" s="22">
        <f>(PROVEEDORES[[#This Row],[SUBTOTAL]]-PROVEEDORES[[#This Row],[descuento sobre subtotal]])*VLOOKUP(PROVEEDORES[[#This Row],[PROVEEDOR]],TERCEROS_INFO[#All],3,FALSE)</f>
        <v>17670</v>
      </c>
      <c r="N250" s="23"/>
      <c r="O250" s="22">
        <f>+PROVEEDORES[[#This Row],[Descuento sobre subtotal %]]*(PROVEEDORES[[#This Row],[SUBTOTAL]]-PROVEEDORES[[#This Row],[descuento sobre subtotal]])</f>
        <v>0</v>
      </c>
      <c r="P250" s="83">
        <f>+IF(PROVEEDORES[[#This Row],[SUBTOTAL]]&lt;PROVEEDORES[[#This Row],[base retencion]],0,PROVEEDORES[[#This Row],[retención aplicada]])</f>
        <v>0</v>
      </c>
      <c r="Q250" s="22">
        <f>+PROVEEDORES[[#This Row],[Rete Fuente %]]*(PROVEEDORES[[#This Row],[SUBTOTAL]]-PROVEEDORES[[#This Row],[descuento sobre subtotal]])</f>
        <v>0</v>
      </c>
      <c r="R250" s="21">
        <f>+PROVEEDORES[[#This Row],[SUBTOTAL]]+PROVEEDORES[[#This Row],[IVA 19%]]-PROVEEDORES[[#This Row],[descuento sobre subtotal]]-PROVEEDORES[[#This Row],[Descuento sobre subtotal $2]]-PROVEEDORES[[#This Row],[Rete Fuente $]]</f>
        <v>110670</v>
      </c>
      <c r="S2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68">
        <f ca="1">IF(PROVEEDORES[[#This Row],[FECHA DE PAGO]]=0,TODAY()-PROVEEDORES[[#This Row],[FECHA DE FACTURACIÓN]]-PROVEEDORES[[#This Row],[PLAZO Días]],0)</f>
        <v>0</v>
      </c>
      <c r="U250" s="96" t="str">
        <f>+VLOOKUP(PROVEEDORES[[#This Row],[PROVEEDOR]],Terceros!$A:$D,4,FALSE)</f>
        <v>2,5% con base</v>
      </c>
      <c r="V250" s="97">
        <f>+YEAR(PROVEEDORES[[#This Row],[FECHA DE FACTURACIÓN]])</f>
        <v>2022</v>
      </c>
      <c r="W250" s="97">
        <f>+MATCH(PROVEEDORES[[#This Row],[año facturado]],Retenciones!$1:$1,0)</f>
        <v>5</v>
      </c>
      <c r="X250" s="98">
        <f>+VLOOKUP(PROVEEDORES[[#This Row],[ID RETENCION]],Retenciones!$A$1:$O$25,PROVEEDORES[[#This Row],[indicador de columna]],FALSE)</f>
        <v>1026000</v>
      </c>
      <c r="Y250" s="99">
        <f>+VLOOKUP(PROVEEDORES[[#This Row],[ID RETENCION]],Retenciones!$A$1:$O$25,2,FALSE)</f>
        <v>2.5000000000000001E-2</v>
      </c>
      <c r="Z250" s="125" t="b">
        <f>OR(COUNTIF(PROVEEDORES[[#This Row],[PROVEEDOR]],"*"&amp;'Palabra no opera'!$A$2&amp;"*"))</f>
        <v>0</v>
      </c>
      <c r="AA250" s="24"/>
      <c r="AB250" s="24"/>
      <c r="AC250" s="24"/>
      <c r="AD250" s="24"/>
      <c r="AE250" s="24"/>
    </row>
    <row r="251" spans="1:31" ht="22.2" customHeight="1" x14ac:dyDescent="0.3">
      <c r="A251" s="135" t="str">
        <f>+IF(PROVEEDORES[[#This Row],[FECHA DE PAGO]]=PROVEEDORES[[#This Row],[FECHA DE FACTURACIÓN]],"DE CONTADO","CRÉDITO")</f>
        <v>CRÉDITO</v>
      </c>
      <c r="B251" s="38" t="b">
        <f>+IF((PROVEEDORES[[#This Row],[FECHA DE PAGO]]-PROVEEDORES[[#This Row],[FECHA DE FACTURACIÓN]])&gt;PROVEEDORES[[#This Row],[PLAZO Días]],"PAGO VENCIDO")</f>
        <v>0</v>
      </c>
      <c r="C251" s="20">
        <f>+VLOOKUP(PROVEEDORES[[#This Row],[PROVEEDOR]],TERCEROS_INFO[#All],2,FALSE)</f>
        <v>8</v>
      </c>
      <c r="D251" s="25">
        <f>+SUMIFS(PROVEEDORES[Total],PROVEEDORES[PROVEEDOR],PROVEEDORES[[#This Row],[PROVEEDOR]],PROVEEDORES[FECHA DE PAGO],"")</f>
        <v>1814000</v>
      </c>
      <c r="E251" s="25"/>
      <c r="F251" s="58">
        <f>+VLOOKUP(PROVEEDORES[[#This Row],[PROVEEDOR]],
                       Terceros!$A:$F,
                       5,
                       FALSE)</f>
        <v>0</v>
      </c>
      <c r="G251" s="161">
        <v>44698</v>
      </c>
      <c r="H251" s="26" t="s">
        <v>966</v>
      </c>
      <c r="I251" s="161">
        <v>44690</v>
      </c>
      <c r="J251" s="35" t="s">
        <v>1594</v>
      </c>
      <c r="K251" s="21">
        <v>111000</v>
      </c>
      <c r="L251" s="21"/>
      <c r="M251" s="22">
        <f>(PROVEEDORES[[#This Row],[SUBTOTAL]]-PROVEEDORES[[#This Row],[descuento sobre subtotal]])*VLOOKUP(PROVEEDORES[[#This Row],[PROVEEDOR]],TERCEROS_INFO[#All],3,FALSE)</f>
        <v>0</v>
      </c>
      <c r="N251" s="23"/>
      <c r="O251" s="22">
        <f>+PROVEEDORES[[#This Row],[Descuento sobre subtotal %]]*(PROVEEDORES[[#This Row],[SUBTOTAL]]-PROVEEDORES[[#This Row],[descuento sobre subtotal]])</f>
        <v>0</v>
      </c>
      <c r="P251" s="83">
        <f>+IF(PROVEEDORES[[#This Row],[SUBTOTAL]]&lt;PROVEEDORES[[#This Row],[base retencion]],0,PROVEEDORES[[#This Row],[retención aplicada]])</f>
        <v>0</v>
      </c>
      <c r="Q251" s="22">
        <f>+PROVEEDORES[[#This Row],[Rete Fuente %]]*(PROVEEDORES[[#This Row],[SUBTOTAL]]-PROVEEDORES[[#This Row],[descuento sobre subtotal]])</f>
        <v>0</v>
      </c>
      <c r="R251" s="21">
        <f>+PROVEEDORES[[#This Row],[SUBTOTAL]]+PROVEEDORES[[#This Row],[IVA 19%]]-PROVEEDORES[[#This Row],[descuento sobre subtotal]]-PROVEEDORES[[#This Row],[Descuento sobre subtotal $2]]-PROVEEDORES[[#This Row],[Rete Fuente $]]</f>
        <v>111000</v>
      </c>
      <c r="S251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68">
        <f ca="1">IF(PROVEEDORES[[#This Row],[FECHA DE PAGO]]=0,TODAY()-PROVEEDORES[[#This Row],[FECHA DE FACTURACIÓN]]-PROVEEDORES[[#This Row],[PLAZO Días]],0)</f>
        <v>0</v>
      </c>
      <c r="U251" s="113">
        <f>+VLOOKUP(PROVEEDORES[[#This Row],[PROVEEDOR]],Terceros!$A:$D,4,FALSE)</f>
        <v>0</v>
      </c>
      <c r="V251" s="114">
        <f>+YEAR(PROVEEDORES[[#This Row],[FECHA DE FACTURACIÓN]])</f>
        <v>2022</v>
      </c>
      <c r="W251" s="114">
        <f>+MATCH(PROVEEDORES[[#This Row],[año facturado]],Retenciones!$1:$1,0)</f>
        <v>5</v>
      </c>
      <c r="X251" s="115">
        <f>+VLOOKUP(PROVEEDORES[[#This Row],[ID RETENCION]],Retenciones!$A$1:$O$25,PROVEEDORES[[#This Row],[indicador de columna]],FALSE)</f>
        <v>0</v>
      </c>
      <c r="Y251" s="116">
        <f>+VLOOKUP(PROVEEDORES[[#This Row],[ID RETENCION]],Retenciones!$A$1:$O$25,2,FALSE)</f>
        <v>0</v>
      </c>
      <c r="Z251" s="125" t="b">
        <f>OR(COUNTIF(PROVEEDORES[[#This Row],[PROVEEDOR]],"*"&amp;'Palabra no opera'!$A$2&amp;"*"))</f>
        <v>0</v>
      </c>
      <c r="AA251" s="24"/>
      <c r="AB251" s="24"/>
      <c r="AC251" s="24"/>
      <c r="AD251" s="24"/>
      <c r="AE251" s="24"/>
    </row>
    <row r="252" spans="1:31" ht="22.2" customHeight="1" x14ac:dyDescent="0.3">
      <c r="A252" s="66" t="str">
        <f>+IF(PROVEEDORES[[#This Row],[FECHA DE PAGO]]=PROVEEDORES[[#This Row],[FECHA DE FACTURACIÓN]],"DE CONTADO","CRÉDITO")</f>
        <v>CRÉDITO</v>
      </c>
      <c r="B252" s="38" t="str">
        <f>+IF((PROVEEDORES[[#This Row],[FECHA DE PAGO]]-PROVEEDORES[[#This Row],[FECHA DE FACTURACIÓN]])&gt;PROVEEDORES[[#This Row],[PLAZO Días]],"PAGO VENCIDO")</f>
        <v>PAGO VENCIDO</v>
      </c>
      <c r="C252" s="20">
        <f>+VLOOKUP(PROVEEDORES[[#This Row],[PROVEEDOR]],TERCEROS_INFO[#All],2,FALSE)</f>
        <v>30</v>
      </c>
      <c r="D252" s="25">
        <f>+SUMIFS(PROVEEDORES[Total],PROVEEDORES[PROVEEDOR],PROVEEDORES[[#This Row],[PROVEEDOR]],PROVEEDORES[FECHA DE PAGO],"")</f>
        <v>0</v>
      </c>
      <c r="E252" s="25"/>
      <c r="F252" s="58" t="str">
        <f>+VLOOKUP(PROVEEDORES[[#This Row],[PROVEEDOR]],
                       Terceros!$A:$F,
                       5,
                       FALSE)</f>
        <v/>
      </c>
      <c r="G252" s="161">
        <v>44600</v>
      </c>
      <c r="H252" s="26" t="s">
        <v>679</v>
      </c>
      <c r="I252" s="161">
        <v>44552</v>
      </c>
      <c r="J252" s="35" t="s">
        <v>1549</v>
      </c>
      <c r="K252" s="21">
        <v>112000</v>
      </c>
      <c r="L252" s="21"/>
      <c r="M252" s="22">
        <v>0</v>
      </c>
      <c r="N252" s="23"/>
      <c r="O252" s="22">
        <v>0</v>
      </c>
      <c r="P252" s="83">
        <f>+IF(PROVEEDORES[[#This Row],[SUBTOTAL]]&lt;PROVEEDORES[[#This Row],[base retencion]],0,PROVEEDORES[[#This Row],[retención aplicada]])</f>
        <v>0</v>
      </c>
      <c r="Q252" s="22">
        <f>+PROVEEDORES[[#This Row],[Rete Fuente %]]*(PROVEEDORES[[#This Row],[SUBTOTAL]]-PROVEEDORES[[#This Row],[descuento sobre subtotal]])</f>
        <v>0</v>
      </c>
      <c r="R252" s="21">
        <v>112000</v>
      </c>
      <c r="S2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68">
        <f ca="1">IF(PROVEEDORES[[#This Row],[FECHA DE PAGO]]=0,TODAY()-PROVEEDORES[[#This Row],[FECHA DE FACTURACIÓN]]-PROVEEDORES[[#This Row],[PLAZO Días]],0)</f>
        <v>0</v>
      </c>
      <c r="U252" s="96">
        <f>+VLOOKUP(PROVEEDORES[[#This Row],[PROVEEDOR]],Terceros!$A:$D,4,FALSE)</f>
        <v>0</v>
      </c>
      <c r="V252" s="97">
        <f>+YEAR(PROVEEDORES[[#This Row],[FECHA DE FACTURACIÓN]])</f>
        <v>2021</v>
      </c>
      <c r="W252" s="97">
        <f>+MATCH(PROVEEDORES[[#This Row],[año facturado]],Retenciones!$1:$1,0)</f>
        <v>4</v>
      </c>
      <c r="X252" s="98">
        <f>+VLOOKUP(PROVEEDORES[[#This Row],[ID RETENCION]],Retenciones!$A$1:$O$25,PROVEEDORES[[#This Row],[indicador de columna]],FALSE)</f>
        <v>0</v>
      </c>
      <c r="Y252" s="99">
        <f>+VLOOKUP(PROVEEDORES[[#This Row],[ID RETENCION]],Retenciones!$A$1:$O$25,2,FALSE)</f>
        <v>0</v>
      </c>
      <c r="Z252" s="125" t="b">
        <f>OR(COUNTIF(PROVEEDORES[[#This Row],[PROVEEDOR]],"*"&amp;'Palabra no opera'!$A$2&amp;"*"))</f>
        <v>0</v>
      </c>
      <c r="AA252" s="24"/>
      <c r="AB252" s="24"/>
      <c r="AC252" s="24"/>
      <c r="AD252" s="24"/>
      <c r="AE252" s="24"/>
    </row>
    <row r="253" spans="1:31" ht="22.2" customHeight="1" x14ac:dyDescent="0.3">
      <c r="A253" s="66" t="str">
        <f>+IF(PROVEEDORES[[#This Row],[FECHA DE PAGO]]=PROVEEDORES[[#This Row],[FECHA DE FACTURACIÓN]],"DE CONTADO","CRÉDITO")</f>
        <v>DE CONTADO</v>
      </c>
      <c r="B253" s="38" t="b">
        <f>+IF((PROVEEDORES[[#This Row],[FECHA DE PAGO]]-PROVEEDORES[[#This Row],[FECHA DE FACTURACIÓN]])&gt;PROVEEDORES[[#This Row],[PLAZO Días]],"PAGO VENCIDO")</f>
        <v>0</v>
      </c>
      <c r="C253" s="20">
        <f>+VLOOKUP(PROVEEDORES[[#This Row],[PROVEEDOR]],TERCEROS_INFO[#All],2,FALSE)</f>
        <v>30</v>
      </c>
      <c r="D253" s="25">
        <f>+SUMIFS(PROVEEDORES[Total],PROVEEDORES[PROVEEDOR],PROVEEDORES[[#This Row],[PROVEEDOR]],PROVEEDORES[FECHA DE PAGO],"")</f>
        <v>0</v>
      </c>
      <c r="E253" s="25"/>
      <c r="F253" s="58" t="str">
        <f>+VLOOKUP(PROVEEDORES[[#This Row],[PROVEEDOR]],
                       Terceros!$A:$F,
                       5,
                       FALSE)</f>
        <v/>
      </c>
      <c r="G253" s="161">
        <v>44408</v>
      </c>
      <c r="H253" s="26" t="s">
        <v>644</v>
      </c>
      <c r="I253" s="161">
        <v>44408</v>
      </c>
      <c r="J253" s="35" t="s">
        <v>174</v>
      </c>
      <c r="K253" s="21">
        <v>114700</v>
      </c>
      <c r="L253" s="21"/>
      <c r="M253" s="22">
        <f>(PROVEEDORES[[#This Row],[SUBTOTAL]]-PROVEEDORES[[#This Row],[descuento sobre subtotal]])*VLOOKUP(PROVEEDORES[[#This Row],[PROVEEDOR]],TERCEROS_INFO[#All],3,FALSE)</f>
        <v>0</v>
      </c>
      <c r="N253" s="23"/>
      <c r="O253" s="22">
        <f>+PROVEEDORES[[#This Row],[Descuento sobre subtotal %]]*(PROVEEDORES[[#This Row],[SUBTOTAL]]-PROVEEDORES[[#This Row],[descuento sobre subtotal]])</f>
        <v>0</v>
      </c>
      <c r="P253" s="83">
        <f>+IF(PROVEEDORES[[#This Row],[SUBTOTAL]]&lt;PROVEEDORES[[#This Row],[base retencion]],0,PROVEEDORES[[#This Row],[retención aplicada]])</f>
        <v>0</v>
      </c>
      <c r="Q253" s="22">
        <f>+PROVEEDORES[[#This Row],[Rete Fuente %]]*(PROVEEDORES[[#This Row],[SUBTOTAL]]-PROVEEDORES[[#This Row],[descuento sobre subtotal]])</f>
        <v>0</v>
      </c>
      <c r="R253" s="21">
        <f>+PROVEEDORES[[#This Row],[SUBTOTAL]]+PROVEEDORES[[#This Row],[IVA 19%]]-PROVEEDORES[[#This Row],[descuento sobre subtotal]]-PROVEEDORES[[#This Row],[Descuento sobre subtotal $2]]-PROVEEDORES[[#This Row],[Rete Fuente $]]</f>
        <v>114700</v>
      </c>
      <c r="S2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68">
        <f ca="1">IF(PROVEEDORES[[#This Row],[FECHA DE PAGO]]=0,TODAY()-PROVEEDORES[[#This Row],[FECHA DE FACTURACIÓN]]-PROVEEDORES[[#This Row],[PLAZO Días]],0)</f>
        <v>0</v>
      </c>
      <c r="U253" s="96">
        <f>+VLOOKUP(PROVEEDORES[[#This Row],[PROVEEDOR]],Terceros!$A:$D,4,FALSE)</f>
        <v>0</v>
      </c>
      <c r="V253" s="97">
        <f>+YEAR(PROVEEDORES[[#This Row],[FECHA DE FACTURACIÓN]])</f>
        <v>2021</v>
      </c>
      <c r="W253" s="97">
        <f>+MATCH(PROVEEDORES[[#This Row],[año facturado]],Retenciones!$1:$1,0)</f>
        <v>4</v>
      </c>
      <c r="X253" s="98">
        <f>+VLOOKUP(PROVEEDORES[[#This Row],[ID RETENCION]],Retenciones!$A$1:$O$25,PROVEEDORES[[#This Row],[indicador de columna]],FALSE)</f>
        <v>0</v>
      </c>
      <c r="Y253" s="99">
        <f>+VLOOKUP(PROVEEDORES[[#This Row],[ID RETENCION]],Retenciones!$A$1:$O$25,2,FALSE)</f>
        <v>0</v>
      </c>
      <c r="Z253" s="125" t="b">
        <f>OR(COUNTIF(PROVEEDORES[[#This Row],[PROVEEDOR]],"*"&amp;'Palabra no opera'!$A$2&amp;"*"))</f>
        <v>0</v>
      </c>
      <c r="AA253" s="24"/>
      <c r="AB253" s="24"/>
      <c r="AC253" s="24"/>
      <c r="AD253" s="24"/>
      <c r="AE253" s="24"/>
    </row>
    <row r="254" spans="1:31" ht="22.2" customHeight="1" x14ac:dyDescent="0.3">
      <c r="A254" s="66" t="str">
        <f>+IF(PROVEEDORES[[#This Row],[FECHA DE PAGO]]=PROVEEDORES[[#This Row],[FECHA DE FACTURACIÓN]],"DE CONTADO","CRÉDITO")</f>
        <v>CRÉDITO</v>
      </c>
      <c r="B254" s="38" t="str">
        <f>+IF((PROVEEDORES[[#This Row],[FECHA DE PAGO]]-PROVEEDORES[[#This Row],[FECHA DE FACTURACIÓN]])&gt;PROVEEDORES[[#This Row],[PLAZO Días]],"PAGO VENCIDO")</f>
        <v>PAGO VENCIDO</v>
      </c>
      <c r="C254" s="20">
        <f>+VLOOKUP(PROVEEDORES[[#This Row],[PROVEEDOR]],TERCEROS_INFO[#All],2,FALSE)</f>
        <v>30</v>
      </c>
      <c r="D254" s="25">
        <f>+SUMIFS(PROVEEDORES[Total],PROVEEDORES[PROVEEDOR],PROVEEDORES[[#This Row],[PROVEEDOR]],PROVEEDORES[FECHA DE PAGO],"")</f>
        <v>0</v>
      </c>
      <c r="E254" s="25"/>
      <c r="F254" s="58" t="str">
        <f>+VLOOKUP(PROVEEDORES[[#This Row],[PROVEEDOR]],
                       Terceros!$A:$F,
                       5,
                       FALSE)</f>
        <v/>
      </c>
      <c r="G254" s="161">
        <v>44210</v>
      </c>
      <c r="H254" s="26" t="s">
        <v>636</v>
      </c>
      <c r="I254" s="161">
        <v>44175</v>
      </c>
      <c r="J254" s="35">
        <v>312</v>
      </c>
      <c r="K254" s="21">
        <v>115000</v>
      </c>
      <c r="L254" s="21"/>
      <c r="M254" s="22">
        <f>(PROVEEDORES[[#This Row],[SUBTOTAL]]-PROVEEDORES[[#This Row],[descuento sobre subtotal]])*VLOOKUP(PROVEEDORES[[#This Row],[PROVEEDOR]],TERCEROS_INFO[#All],3,FALSE)</f>
        <v>0</v>
      </c>
      <c r="N254" s="23"/>
      <c r="O254" s="22">
        <f>+PROVEEDORES[[#This Row],[Descuento sobre subtotal %]]*(PROVEEDORES[[#This Row],[SUBTOTAL]]-PROVEEDORES[[#This Row],[descuento sobre subtotal]])</f>
        <v>0</v>
      </c>
      <c r="P254" s="83">
        <f>+IF(PROVEEDORES[[#This Row],[SUBTOTAL]]&lt;PROVEEDORES[[#This Row],[base retencion]],0,PROVEEDORES[[#This Row],[retención aplicada]])</f>
        <v>0</v>
      </c>
      <c r="Q254" s="22">
        <f>+PROVEEDORES[[#This Row],[Rete Fuente %]]*(PROVEEDORES[[#This Row],[SUBTOTAL]]-PROVEEDORES[[#This Row],[descuento sobre subtotal]])</f>
        <v>0</v>
      </c>
      <c r="R254" s="21">
        <f>+PROVEEDORES[[#This Row],[SUBTOTAL]]+PROVEEDORES[[#This Row],[IVA 19%]]-PROVEEDORES[[#This Row],[descuento sobre subtotal]]-PROVEEDORES[[#This Row],[Descuento sobre subtotal $2]]-PROVEEDORES[[#This Row],[Rete Fuente $]]</f>
        <v>115000</v>
      </c>
      <c r="S2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68">
        <f ca="1">IF(PROVEEDORES[[#This Row],[FECHA DE PAGO]]=0,TODAY()-PROVEEDORES[[#This Row],[FECHA DE FACTURACIÓN]]-PROVEEDORES[[#This Row],[PLAZO Días]],0)</f>
        <v>0</v>
      </c>
      <c r="U254" s="96">
        <f>+VLOOKUP(PROVEEDORES[[#This Row],[PROVEEDOR]],Terceros!$A:$D,4,FALSE)</f>
        <v>0</v>
      </c>
      <c r="V254" s="97">
        <f>+YEAR(PROVEEDORES[[#This Row],[FECHA DE FACTURACIÓN]])</f>
        <v>2020</v>
      </c>
      <c r="W254" s="97">
        <f>+MATCH(PROVEEDORES[[#This Row],[año facturado]],Retenciones!$1:$1,0)</f>
        <v>3</v>
      </c>
      <c r="X254" s="98">
        <f>+VLOOKUP(PROVEEDORES[[#This Row],[ID RETENCION]],Retenciones!$A$1:$O$25,PROVEEDORES[[#This Row],[indicador de columna]],FALSE)</f>
        <v>0</v>
      </c>
      <c r="Y254" s="99">
        <f>+VLOOKUP(PROVEEDORES[[#This Row],[ID RETENCION]],Retenciones!$A$1:$O$25,2,FALSE)</f>
        <v>0</v>
      </c>
      <c r="Z254" s="125" t="b">
        <f>OR(COUNTIF(PROVEEDORES[[#This Row],[PROVEEDOR]],"*"&amp;'Palabra no opera'!$A$2&amp;"*"))</f>
        <v>0</v>
      </c>
      <c r="AA254" s="24"/>
      <c r="AB254" s="24"/>
      <c r="AC254" s="24"/>
      <c r="AD254" s="24"/>
      <c r="AE254" s="24"/>
    </row>
    <row r="255" spans="1:31" ht="22.2" customHeight="1" x14ac:dyDescent="0.3">
      <c r="A255" s="66" t="str">
        <f>+IF(PROVEEDORES[[#This Row],[FECHA DE PAGO]]=PROVEEDORES[[#This Row],[FECHA DE FACTURACIÓN]],"DE CONTADO","CRÉDITO")</f>
        <v>DE CONTADO</v>
      </c>
      <c r="B255" s="38" t="b">
        <f>+IF((PROVEEDORES[[#This Row],[FECHA DE PAGO]]-PROVEEDORES[[#This Row],[FECHA DE FACTURACIÓN]])&gt;PROVEEDORES[[#This Row],[PLAZO Días]],"PAGO VENCIDO")</f>
        <v>0</v>
      </c>
      <c r="C255" s="20">
        <f>+VLOOKUP(PROVEEDORES[[#This Row],[PROVEEDOR]],TERCEROS_INFO[#All],2,FALSE)</f>
        <v>30</v>
      </c>
      <c r="D255" s="25">
        <f>+SUMIFS(PROVEEDORES[Total],PROVEEDORES[PROVEEDOR],PROVEEDORES[[#This Row],[PROVEEDOR]],PROVEEDORES[FECHA DE PAGO],"")</f>
        <v>0</v>
      </c>
      <c r="E255" s="25"/>
      <c r="F255" s="58" t="str">
        <f>+VLOOKUP(PROVEEDORES[[#This Row],[PROVEEDOR]],
                       Terceros!$A:$F,
                       5,
                       FALSE)</f>
        <v/>
      </c>
      <c r="G255" s="161">
        <v>44652</v>
      </c>
      <c r="H255" s="26" t="s">
        <v>624</v>
      </c>
      <c r="I255" s="161">
        <v>44652</v>
      </c>
      <c r="J255" s="35" t="s">
        <v>1583</v>
      </c>
      <c r="K255" s="21">
        <f>298000-180000</f>
        <v>118000</v>
      </c>
      <c r="L255" s="21"/>
      <c r="M255" s="22">
        <f>(PROVEEDORES[[#This Row],[SUBTOTAL]]-PROVEEDORES[[#This Row],[descuento sobre subtotal]])*VLOOKUP(PROVEEDORES[[#This Row],[PROVEEDOR]],TERCEROS_INFO[#All],3,FALSE)</f>
        <v>0</v>
      </c>
      <c r="N255" s="23"/>
      <c r="O255" s="22">
        <f>+PROVEEDORES[[#This Row],[Descuento sobre subtotal %]]*(PROVEEDORES[[#This Row],[SUBTOTAL]]-PROVEEDORES[[#This Row],[descuento sobre subtotal]])</f>
        <v>0</v>
      </c>
      <c r="P255" s="83">
        <f>+IF(PROVEEDORES[[#This Row],[SUBTOTAL]]&lt;PROVEEDORES[[#This Row],[base retencion]],0,PROVEEDORES[[#This Row],[retención aplicada]])</f>
        <v>0</v>
      </c>
      <c r="Q255" s="22">
        <f>+PROVEEDORES[[#This Row],[Rete Fuente %]]*(PROVEEDORES[[#This Row],[SUBTOTAL]]-PROVEEDORES[[#This Row],[descuento sobre subtotal]])</f>
        <v>0</v>
      </c>
      <c r="R255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2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68">
        <f ca="1">IF(PROVEEDORES[[#This Row],[FECHA DE PAGO]]=0,TODAY()-PROVEEDORES[[#This Row],[FECHA DE FACTURACIÓN]]-PROVEEDORES[[#This Row],[PLAZO Días]],0)</f>
        <v>0</v>
      </c>
      <c r="U255" s="96">
        <f>+VLOOKUP(PROVEEDORES[[#This Row],[PROVEEDOR]],Terceros!$A:$D,4,FALSE)</f>
        <v>0</v>
      </c>
      <c r="V255" s="97">
        <f>+YEAR(PROVEEDORES[[#This Row],[FECHA DE FACTURACIÓN]])</f>
        <v>2022</v>
      </c>
      <c r="W255" s="97">
        <f>+MATCH(PROVEEDORES[[#This Row],[año facturado]],Retenciones!$1:$1,0)</f>
        <v>5</v>
      </c>
      <c r="X255" s="98">
        <f>+VLOOKUP(PROVEEDORES[[#This Row],[ID RETENCION]],Retenciones!$A$1:$O$25,PROVEEDORES[[#This Row],[indicador de columna]],FALSE)</f>
        <v>0</v>
      </c>
      <c r="Y255" s="99">
        <f>+VLOOKUP(PROVEEDORES[[#This Row],[ID RETENCION]],Retenciones!$A$1:$O$25,2,FALSE)</f>
        <v>0</v>
      </c>
      <c r="Z255" s="125" t="b">
        <f>OR(COUNTIF(PROVEEDORES[[#This Row],[PROVEEDOR]],"*"&amp;'Palabra no opera'!$A$2&amp;"*"))</f>
        <v>0</v>
      </c>
      <c r="AA255" s="24"/>
      <c r="AB255" s="24"/>
      <c r="AC255" s="24"/>
      <c r="AD255" s="24"/>
      <c r="AE255" s="24"/>
    </row>
    <row r="256" spans="1:31" ht="22.2" customHeight="1" x14ac:dyDescent="0.3">
      <c r="A256" s="72" t="str">
        <f>+IF(PROVEEDORES[[#This Row],[FECHA DE PAGO]]=PROVEEDORES[[#This Row],[FECHA DE FACTURACIÓN]],"DE CONTADO","CRÉDITO")</f>
        <v>DE CONTADO</v>
      </c>
      <c r="B256" s="38" t="b">
        <f>+IF((PROVEEDORES[[#This Row],[FECHA DE PAGO]]-PROVEEDORES[[#This Row],[FECHA DE FACTURACIÓN]])&gt;PROVEEDORES[[#This Row],[PLAZO Días]],"PAGO VENCIDO")</f>
        <v>0</v>
      </c>
      <c r="C256" s="20">
        <f>+VLOOKUP(PROVEEDORES[[#This Row],[PROVEEDOR]],TERCEROS_INFO[#All],2,FALSE)</f>
        <v>30</v>
      </c>
      <c r="D256" s="25">
        <f>+SUMIFS(PROVEEDORES[Total],PROVEEDORES[PROVEEDOR],PROVEEDORES[[#This Row],[PROVEEDOR]],PROVEEDORES[FECHA DE PAGO],"")</f>
        <v>0</v>
      </c>
      <c r="E256" s="25"/>
      <c r="F256" s="58" t="str">
        <f>+VLOOKUP(PROVEEDORES[[#This Row],[PROVEEDOR]],
                       Terceros!$A:$F,
                       5,
                       FALSE)</f>
        <v/>
      </c>
      <c r="G256" s="161">
        <v>44681</v>
      </c>
      <c r="H256" s="26" t="s">
        <v>644</v>
      </c>
      <c r="I256" s="161">
        <v>44681</v>
      </c>
      <c r="J256" s="35" t="s">
        <v>945</v>
      </c>
      <c r="K256" s="21">
        <v>118000</v>
      </c>
      <c r="L256" s="21"/>
      <c r="M256" s="22">
        <f>(PROVEEDORES[[#This Row],[SUBTOTAL]]-PROVEEDORES[[#This Row],[descuento sobre subtotal]])*VLOOKUP(PROVEEDORES[[#This Row],[PROVEEDOR]],TERCEROS_INFO[#All],3,FALSE)</f>
        <v>0</v>
      </c>
      <c r="N256" s="23"/>
      <c r="O256" s="22">
        <f>+PROVEEDORES[[#This Row],[Descuento sobre subtotal %]]*(PROVEEDORES[[#This Row],[SUBTOTAL]]-PROVEEDORES[[#This Row],[descuento sobre subtotal]])</f>
        <v>0</v>
      </c>
      <c r="P256" s="83">
        <f>+IF(PROVEEDORES[[#This Row],[SUBTOTAL]]&lt;PROVEEDORES[[#This Row],[base retencion]],0,PROVEEDORES[[#This Row],[retención aplicada]])</f>
        <v>0</v>
      </c>
      <c r="Q256" s="22">
        <f>+PROVEEDORES[[#This Row],[Rete Fuente %]]*(PROVEEDORES[[#This Row],[SUBTOTAL]]-PROVEEDORES[[#This Row],[descuento sobre subtotal]])</f>
        <v>0</v>
      </c>
      <c r="R256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25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68">
        <f ca="1">IF(PROVEEDORES[[#This Row],[FECHA DE PAGO]]=0,TODAY()-PROVEEDORES[[#This Row],[FECHA DE FACTURACIÓN]]-PROVEEDORES[[#This Row],[PLAZO Días]],0)</f>
        <v>0</v>
      </c>
      <c r="U256" s="113">
        <f>+VLOOKUP(PROVEEDORES[[#This Row],[PROVEEDOR]],Terceros!$A:$D,4,FALSE)</f>
        <v>0</v>
      </c>
      <c r="V256" s="114">
        <f>+YEAR(PROVEEDORES[[#This Row],[FECHA DE FACTURACIÓN]])</f>
        <v>2022</v>
      </c>
      <c r="W256" s="114">
        <f>+MATCH(PROVEEDORES[[#This Row],[año facturado]],Retenciones!$1:$1,0)</f>
        <v>5</v>
      </c>
      <c r="X256" s="115">
        <f>+VLOOKUP(PROVEEDORES[[#This Row],[ID RETENCION]],Retenciones!$A$1:$O$25,PROVEEDORES[[#This Row],[indicador de columna]],FALSE)</f>
        <v>0</v>
      </c>
      <c r="Y256" s="116">
        <f>+VLOOKUP(PROVEEDORES[[#This Row],[ID RETENCION]],Retenciones!$A$1:$O$25,2,FALSE)</f>
        <v>0</v>
      </c>
      <c r="Z256" s="125" t="b">
        <f>OR(COUNTIF(PROVEEDORES[[#This Row],[PROVEEDOR]],"*"&amp;'Palabra no opera'!$A$2&amp;"*"))</f>
        <v>0</v>
      </c>
      <c r="AA256" s="24"/>
      <c r="AB256" s="24"/>
      <c r="AC256" s="24"/>
      <c r="AD256" s="24"/>
      <c r="AE256" s="24"/>
    </row>
    <row r="257" spans="1:31" ht="22.2" customHeight="1" x14ac:dyDescent="0.3">
      <c r="A257" s="66" t="str">
        <f>+IF(PROVEEDORES[[#This Row],[FECHA DE PAGO]]=PROVEEDORES[[#This Row],[FECHA DE FACTURACIÓN]],"DE CONTADO","CRÉDITO")</f>
        <v>CRÉDITO</v>
      </c>
      <c r="B257" s="38" t="str">
        <f>+IF((PROVEEDORES[[#This Row],[FECHA DE PAGO]]-PROVEEDORES[[#This Row],[FECHA DE FACTURACIÓN]])&gt;PROVEEDORES[[#This Row],[PLAZO Días]],"PAGO VENCIDO")</f>
        <v>PAGO VENCIDO</v>
      </c>
      <c r="C257" s="20">
        <f>+VLOOKUP(PROVEEDORES[[#This Row],[PROVEEDOR]],TERCEROS_INFO[#All],2,FALSE)</f>
        <v>30</v>
      </c>
      <c r="D257" s="25">
        <f>+SUMIFS(PROVEEDORES[Total],PROVEEDORES[PROVEEDOR],PROVEEDORES[[#This Row],[PROVEEDOR]],PROVEEDORES[FECHA DE PAGO],"")</f>
        <v>0</v>
      </c>
      <c r="E257" s="25"/>
      <c r="F257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57" s="161">
        <v>44210</v>
      </c>
      <c r="H257" s="26" t="s">
        <v>691</v>
      </c>
      <c r="I257" s="161">
        <v>44138</v>
      </c>
      <c r="J257" s="35">
        <v>2458</v>
      </c>
      <c r="K257" s="21">
        <v>119000</v>
      </c>
      <c r="L257" s="21"/>
      <c r="M257" s="22">
        <f>(PROVEEDORES[[#This Row],[SUBTOTAL]]-PROVEEDORES[[#This Row],[descuento sobre subtotal]])*VLOOKUP(PROVEEDORES[[#This Row],[PROVEEDOR]],TERCEROS_INFO[#All],3,FALSE)</f>
        <v>0</v>
      </c>
      <c r="N257" s="23"/>
      <c r="O257" s="22">
        <f>+PROVEEDORES[[#This Row],[Descuento sobre subtotal %]]*(PROVEEDORES[[#This Row],[SUBTOTAL]]-PROVEEDORES[[#This Row],[descuento sobre subtotal]])</f>
        <v>0</v>
      </c>
      <c r="P257" s="83">
        <f>+IF(PROVEEDORES[[#This Row],[SUBTOTAL]]&lt;PROVEEDORES[[#This Row],[base retencion]],0,PROVEEDORES[[#This Row],[retención aplicada]])</f>
        <v>0</v>
      </c>
      <c r="Q257" s="22">
        <f>+PROVEEDORES[[#This Row],[Rete Fuente %]]*(PROVEEDORES[[#This Row],[SUBTOTAL]]-PROVEEDORES[[#This Row],[descuento sobre subtotal]])</f>
        <v>0</v>
      </c>
      <c r="R257" s="21">
        <f>+PROVEEDORES[[#This Row],[SUBTOTAL]]+PROVEEDORES[[#This Row],[IVA 19%]]-PROVEEDORES[[#This Row],[descuento sobre subtotal]]-PROVEEDORES[[#This Row],[Descuento sobre subtotal $2]]-PROVEEDORES[[#This Row],[Rete Fuente $]]</f>
        <v>119000</v>
      </c>
      <c r="S2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68">
        <f ca="1">IF(PROVEEDORES[[#This Row],[FECHA DE PAGO]]=0,TODAY()-PROVEEDORES[[#This Row],[FECHA DE FACTURACIÓN]]-PROVEEDORES[[#This Row],[PLAZO Días]],0)</f>
        <v>0</v>
      </c>
      <c r="U257" s="96">
        <f>+VLOOKUP(PROVEEDORES[[#This Row],[PROVEEDOR]],Terceros!$A:$D,4,FALSE)</f>
        <v>0</v>
      </c>
      <c r="V257" s="97">
        <f>+YEAR(PROVEEDORES[[#This Row],[FECHA DE FACTURACIÓN]])</f>
        <v>2020</v>
      </c>
      <c r="W257" s="97">
        <f>+MATCH(PROVEEDORES[[#This Row],[año facturado]],Retenciones!$1:$1,0)</f>
        <v>3</v>
      </c>
      <c r="X257" s="98">
        <f>+VLOOKUP(PROVEEDORES[[#This Row],[ID RETENCION]],Retenciones!$A$1:$O$25,PROVEEDORES[[#This Row],[indicador de columna]],FALSE)</f>
        <v>0</v>
      </c>
      <c r="Y257" s="99">
        <f>+VLOOKUP(PROVEEDORES[[#This Row],[ID RETENCION]],Retenciones!$A$1:$O$25,2,FALSE)</f>
        <v>0</v>
      </c>
      <c r="Z257" s="125" t="b">
        <f>OR(COUNTIF(PROVEEDORES[[#This Row],[PROVEEDOR]],"*"&amp;'Palabra no opera'!$A$2&amp;"*"))</f>
        <v>0</v>
      </c>
      <c r="AA257" s="24"/>
      <c r="AB257" s="24"/>
      <c r="AC257" s="24"/>
      <c r="AD257" s="24"/>
      <c r="AE257" s="24"/>
    </row>
    <row r="258" spans="1:31" ht="22.2" customHeight="1" x14ac:dyDescent="0.3">
      <c r="A258" s="66" t="str">
        <f>+IF(PROVEEDORES[[#This Row],[FECHA DE PAGO]]=PROVEEDORES[[#This Row],[FECHA DE FACTURACIÓN]],"DE CONTADO","CRÉDITO")</f>
        <v>CRÉDITO</v>
      </c>
      <c r="B258" s="38" t="b">
        <f>+IF((PROVEEDORES[[#This Row],[FECHA DE PAGO]]-PROVEEDORES[[#This Row],[FECHA DE FACTURACIÓN]])&gt;PROVEEDORES[[#This Row],[PLAZO Días]],"PAGO VENCIDO")</f>
        <v>0</v>
      </c>
      <c r="C258" s="20">
        <f>+VLOOKUP(PROVEEDORES[[#This Row],[PROVEEDOR]],TERCEROS_INFO[#All],2,FALSE)</f>
        <v>30</v>
      </c>
      <c r="D258" s="25">
        <f>+SUMIFS(PROVEEDORES[Total],PROVEEDORES[PROVEEDOR],PROVEEDORES[[#This Row],[PROVEEDOR]],PROVEEDORES[FECHA DE PAGO],"")</f>
        <v>0</v>
      </c>
      <c r="E258" s="25"/>
      <c r="F258" s="58" t="str">
        <f>+VLOOKUP(PROVEEDORES[[#This Row],[PROVEEDOR]],
                       Terceros!$A:$F,
                       5,
                       FALSE)</f>
        <v/>
      </c>
      <c r="G258" s="161">
        <v>44553</v>
      </c>
      <c r="H258" s="26" t="s">
        <v>1130</v>
      </c>
      <c r="I258" s="161">
        <v>44537</v>
      </c>
      <c r="J258" s="35" t="s">
        <v>1357</v>
      </c>
      <c r="K258" s="21">
        <v>119980</v>
      </c>
      <c r="L258" s="21"/>
      <c r="M258" s="22">
        <f>(PROVEEDORES[[#This Row],[SUBTOTAL]]-PROVEEDORES[[#This Row],[descuento sobre subtotal]])*VLOOKUP(PROVEEDORES[[#This Row],[PROVEEDOR]],TERCEROS_INFO[#All],3,FALSE)</f>
        <v>0</v>
      </c>
      <c r="N258" s="23"/>
      <c r="O258" s="22">
        <f>+PROVEEDORES[[#This Row],[Descuento sobre subtotal %]]*(PROVEEDORES[[#This Row],[SUBTOTAL]]-PROVEEDORES[[#This Row],[descuento sobre subtotal]])</f>
        <v>0</v>
      </c>
      <c r="P258" s="83">
        <f>+IF(PROVEEDORES[[#This Row],[SUBTOTAL]]&lt;PROVEEDORES[[#This Row],[base retencion]],0,PROVEEDORES[[#This Row],[retención aplicada]])</f>
        <v>0</v>
      </c>
      <c r="Q258" s="22">
        <f>+PROVEEDORES[[#This Row],[Rete Fuente %]]*(PROVEEDORES[[#This Row],[SUBTOTAL]]-PROVEEDORES[[#This Row],[descuento sobre subtotal]])</f>
        <v>0</v>
      </c>
      <c r="R258" s="21">
        <f>+PROVEEDORES[[#This Row],[SUBTOTAL]]+PROVEEDORES[[#This Row],[IVA 19%]]-PROVEEDORES[[#This Row],[descuento sobre subtotal]]-PROVEEDORES[[#This Row],[Descuento sobre subtotal $2]]-PROVEEDORES[[#This Row],[Rete Fuente $]]</f>
        <v>119980</v>
      </c>
      <c r="S2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68">
        <f ca="1">IF(PROVEEDORES[[#This Row],[FECHA DE PAGO]]=0,TODAY()-PROVEEDORES[[#This Row],[FECHA DE FACTURACIÓN]]-PROVEEDORES[[#This Row],[PLAZO Días]],0)</f>
        <v>0</v>
      </c>
      <c r="U258" s="96">
        <f>+VLOOKUP(PROVEEDORES[[#This Row],[PROVEEDOR]],Terceros!$A:$D,4,FALSE)</f>
        <v>0</v>
      </c>
      <c r="V258" s="97">
        <f>+YEAR(PROVEEDORES[[#This Row],[FECHA DE FACTURACIÓN]])</f>
        <v>2021</v>
      </c>
      <c r="W258" s="97">
        <f>+MATCH(PROVEEDORES[[#This Row],[año facturado]],Retenciones!$1:$1,0)</f>
        <v>4</v>
      </c>
      <c r="X258" s="98">
        <f>+VLOOKUP(PROVEEDORES[[#This Row],[ID RETENCION]],Retenciones!$A$1:$O$25,PROVEEDORES[[#This Row],[indicador de columna]],FALSE)</f>
        <v>0</v>
      </c>
      <c r="Y258" s="99">
        <f>+VLOOKUP(PROVEEDORES[[#This Row],[ID RETENCION]],Retenciones!$A$1:$O$25,2,FALSE)</f>
        <v>0</v>
      </c>
      <c r="Z258" s="125" t="b">
        <f>OR(COUNTIF(PROVEEDORES[[#This Row],[PROVEEDOR]],"*"&amp;'Palabra no opera'!$A$2&amp;"*"))</f>
        <v>1</v>
      </c>
      <c r="AA258" s="24"/>
      <c r="AB258" s="24"/>
      <c r="AC258" s="24"/>
      <c r="AD258" s="24"/>
      <c r="AE258" s="24"/>
    </row>
    <row r="259" spans="1:31" ht="22.2" customHeight="1" x14ac:dyDescent="0.3">
      <c r="A259" s="72" t="str">
        <f>+IF(PROVEEDORES[[#This Row],[FECHA DE PAGO]]=PROVEEDORES[[#This Row],[FECHA DE FACTURACIÓN]],"DE CONTADO","CRÉDITO")</f>
        <v>CRÉDITO</v>
      </c>
      <c r="B259" s="38" t="b">
        <f>+IF((PROVEEDORES[[#This Row],[FECHA DE PAGO]]-PROVEEDORES[[#This Row],[FECHA DE FACTURACIÓN]])&gt;PROVEEDORES[[#This Row],[PLAZO Días]],"PAGO VENCIDO")</f>
        <v>0</v>
      </c>
      <c r="C259" s="20">
        <f>+VLOOKUP(PROVEEDORES[[#This Row],[PROVEEDOR]],TERCEROS_INFO[#All],2,FALSE)</f>
        <v>30</v>
      </c>
      <c r="D259" s="25">
        <f>+SUMIFS(PROVEEDORES[Total],PROVEEDORES[PROVEEDOR],PROVEEDORES[[#This Row],[PROVEEDOR]],PROVEEDORES[FECHA DE PAGO],"")</f>
        <v>0</v>
      </c>
      <c r="E259" s="25"/>
      <c r="F259" s="58" t="str">
        <f>+VLOOKUP(PROVEEDORES[[#This Row],[PROVEEDOR]],
                       Terceros!$A:$F,
                       5,
                       FALSE)</f>
        <v/>
      </c>
      <c r="G259" s="161">
        <v>44790</v>
      </c>
      <c r="H259" s="26" t="s">
        <v>1130</v>
      </c>
      <c r="I259" s="161">
        <v>44778</v>
      </c>
      <c r="J259" s="35" t="s">
        <v>1160</v>
      </c>
      <c r="K259" s="21">
        <v>120000</v>
      </c>
      <c r="L259" s="21"/>
      <c r="M259" s="22">
        <f>(PROVEEDORES[[#This Row],[SUBTOTAL]]-PROVEEDORES[[#This Row],[descuento sobre subtotal]])*VLOOKUP(PROVEEDORES[[#This Row],[PROVEEDOR]],TERCEROS_INFO[#All],3,FALSE)</f>
        <v>0</v>
      </c>
      <c r="N259" s="23"/>
      <c r="O259" s="22">
        <f>+PROVEEDORES[[#This Row],[Descuento sobre subtotal %]]*(PROVEEDORES[[#This Row],[SUBTOTAL]]-PROVEEDORES[[#This Row],[descuento sobre subtotal]])</f>
        <v>0</v>
      </c>
      <c r="P259" s="83">
        <f>+IF(PROVEEDORES[[#This Row],[SUBTOTAL]]&lt;PROVEEDORES[[#This Row],[base retencion]],0,PROVEEDORES[[#This Row],[retención aplicada]])</f>
        <v>0</v>
      </c>
      <c r="Q259" s="22">
        <f>+PROVEEDORES[[#This Row],[Rete Fuente %]]*(PROVEEDORES[[#This Row],[SUBTOTAL]]-PROVEEDORES[[#This Row],[descuento sobre subtotal]])</f>
        <v>0</v>
      </c>
      <c r="R259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25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68">
        <f ca="1">IF(PROVEEDORES[[#This Row],[FECHA DE PAGO]]=0,TODAY()-PROVEEDORES[[#This Row],[FECHA DE FACTURACIÓN]]-PROVEEDORES[[#This Row],[PLAZO Días]],0)</f>
        <v>0</v>
      </c>
      <c r="U259" s="113">
        <f>+VLOOKUP(PROVEEDORES[[#This Row],[PROVEEDOR]],Terceros!$A:$D,4,FALSE)</f>
        <v>0</v>
      </c>
      <c r="V259" s="114">
        <f>+YEAR(PROVEEDORES[[#This Row],[FECHA DE FACTURACIÓN]])</f>
        <v>2022</v>
      </c>
      <c r="W259" s="114">
        <f>+MATCH(PROVEEDORES[[#This Row],[año facturado]],Retenciones!$1:$1,0)</f>
        <v>5</v>
      </c>
      <c r="X259" s="115">
        <f>+VLOOKUP(PROVEEDORES[[#This Row],[ID RETENCION]],Retenciones!$A$1:$O$25,PROVEEDORES[[#This Row],[indicador de columna]],FALSE)</f>
        <v>0</v>
      </c>
      <c r="Y259" s="116">
        <f>+VLOOKUP(PROVEEDORES[[#This Row],[ID RETENCION]],Retenciones!$A$1:$O$25,2,FALSE)</f>
        <v>0</v>
      </c>
      <c r="Z259" s="125" t="b">
        <f>OR(COUNTIF(PROVEEDORES[[#This Row],[PROVEEDOR]],"*"&amp;'Palabra no opera'!$A$2&amp;"*"))</f>
        <v>1</v>
      </c>
      <c r="AA259" s="24"/>
      <c r="AB259" s="24"/>
      <c r="AC259" s="24"/>
      <c r="AD259" s="24"/>
      <c r="AE259" s="24"/>
    </row>
    <row r="260" spans="1:31" ht="22.2" customHeight="1" x14ac:dyDescent="0.3">
      <c r="A260" s="72" t="str">
        <f>+IF(PROVEEDORES[[#This Row],[FECHA DE PAGO]]=PROVEEDORES[[#This Row],[FECHA DE FACTURACIÓN]],"DE CONTADO","CRÉDITO")</f>
        <v>CRÉDITO</v>
      </c>
      <c r="B260" s="38" t="b">
        <f>+IF((PROVEEDORES[[#This Row],[FECHA DE PAGO]]-PROVEEDORES[[#This Row],[FECHA DE FACTURACIÓN]])&gt;PROVEEDORES[[#This Row],[PLAZO Días]],"PAGO VENCIDO")</f>
        <v>0</v>
      </c>
      <c r="C260" s="20">
        <f>+VLOOKUP(PROVEEDORES[[#This Row],[PROVEEDOR]],TERCEROS_INFO[#All],2,FALSE)</f>
        <v>30</v>
      </c>
      <c r="D260" s="25">
        <f>+SUMIFS(PROVEEDORES[Total],PROVEEDORES[PROVEEDOR],PROVEEDORES[[#This Row],[PROVEEDOR]],PROVEEDORES[FECHA DE PAGO],"")</f>
        <v>430000</v>
      </c>
      <c r="E260" s="25"/>
      <c r="F260" s="58" t="str">
        <f>+VLOOKUP(PROVEEDORES[[#This Row],[PROVEEDOR]],
                       Terceros!$A:$F,
                       5,
                       FALSE)</f>
        <v/>
      </c>
      <c r="H260" s="267" t="s">
        <v>695</v>
      </c>
      <c r="I260" s="161">
        <v>44813</v>
      </c>
      <c r="J260" s="35">
        <v>18</v>
      </c>
      <c r="K260" s="21">
        <v>120000</v>
      </c>
      <c r="L260" s="21"/>
      <c r="M260" s="22">
        <f>(PROVEEDORES[[#This Row],[SUBTOTAL]]-PROVEEDORES[[#This Row],[descuento sobre subtotal]])*VLOOKUP(PROVEEDORES[[#This Row],[PROVEEDOR]],TERCEROS_INFO[#All],3,FALSE)</f>
        <v>0</v>
      </c>
      <c r="N260" s="23"/>
      <c r="O260" s="22">
        <f>+PROVEEDORES[[#This Row],[Descuento sobre subtotal %]]*(PROVEEDORES[[#This Row],[SUBTOTAL]]-PROVEEDORES[[#This Row],[descuento sobre subtotal]])</f>
        <v>0</v>
      </c>
      <c r="P260" s="83">
        <f>+IF(PROVEEDORES[[#This Row],[SUBTOTAL]]&lt;PROVEEDORES[[#This Row],[base retencion]],0,PROVEEDORES[[#This Row],[retención aplicada]])</f>
        <v>0</v>
      </c>
      <c r="Q260" s="22">
        <f>+PROVEEDORES[[#This Row],[Rete Fuente %]]*(PROVEEDORES[[#This Row],[SUBTOTAL]]-PROVEEDORES[[#This Row],[descuento sobre subtotal]])</f>
        <v>0</v>
      </c>
      <c r="R260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260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60" s="68">
        <f ca="1">IF(PROVEEDORES[[#This Row],[FECHA DE PAGO]]=0,TODAY()-PROVEEDORES[[#This Row],[FECHA DE FACTURACIÓN]]-PROVEEDORES[[#This Row],[PLAZO Días]],0)</f>
        <v>32</v>
      </c>
      <c r="U260" s="113">
        <f>+VLOOKUP(PROVEEDORES[[#This Row],[PROVEEDOR]],Terceros!$A:$D,4,FALSE)</f>
        <v>0</v>
      </c>
      <c r="V260" s="114">
        <f>+YEAR(PROVEEDORES[[#This Row],[FECHA DE FACTURACIÓN]])</f>
        <v>2022</v>
      </c>
      <c r="W260" s="114">
        <f>+MATCH(PROVEEDORES[[#This Row],[año facturado]],Retenciones!$1:$1,0)</f>
        <v>5</v>
      </c>
      <c r="X260" s="115">
        <f>+VLOOKUP(PROVEEDORES[[#This Row],[ID RETENCION]],Retenciones!$A$1:$O$25,PROVEEDORES[[#This Row],[indicador de columna]],FALSE)</f>
        <v>0</v>
      </c>
      <c r="Y260" s="116">
        <f>+VLOOKUP(PROVEEDORES[[#This Row],[ID RETENCION]],Retenciones!$A$1:$O$25,2,FALSE)</f>
        <v>0</v>
      </c>
      <c r="Z260" s="125" t="b">
        <f>OR(COUNTIF(PROVEEDORES[[#This Row],[PROVEEDOR]],"*"&amp;'Palabra no opera'!$A$2&amp;"*"))</f>
        <v>0</v>
      </c>
      <c r="AA260" s="24"/>
      <c r="AB260" s="24"/>
      <c r="AC260" s="24"/>
      <c r="AD260" s="24"/>
      <c r="AE260" s="24"/>
    </row>
    <row r="261" spans="1:31" ht="22.2" customHeight="1" x14ac:dyDescent="0.3">
      <c r="A261" s="66" t="str">
        <f>+IF(PROVEEDORES[[#This Row],[FECHA DE PAGO]]=PROVEEDORES[[#This Row],[FECHA DE FACTURACIÓN]],"DE CONTADO","CRÉDITO")</f>
        <v>CRÉDITO</v>
      </c>
      <c r="B261" s="38" t="b">
        <f>+IF((PROVEEDORES[[#This Row],[FECHA DE PAGO]]-PROVEEDORES[[#This Row],[FECHA DE FACTURACIÓN]])&gt;PROVEEDORES[[#This Row],[PLAZO Días]],"PAGO VENCIDO")</f>
        <v>0</v>
      </c>
      <c r="C261" s="20">
        <f>+VLOOKUP(PROVEEDORES[[#This Row],[PROVEEDOR]],TERCEROS_INFO[#All],2,FALSE)</f>
        <v>10</v>
      </c>
      <c r="D261" s="25">
        <f>+SUMIFS(PROVEEDORES[Total],PROVEEDORES[PROVEEDOR],PROVEEDORES[[#This Row],[PROVEEDOR]],PROVEEDORES[FECHA DE PAGO],"")</f>
        <v>0</v>
      </c>
      <c r="E261" s="25"/>
      <c r="F261" s="58">
        <f>+VLOOKUP(PROVEEDORES[[#This Row],[PROVEEDOR]],
                       Terceros!$A:$F,
                       5,
                       FALSE)</f>
        <v>0</v>
      </c>
      <c r="G261" s="161">
        <v>44540</v>
      </c>
      <c r="H261" s="26" t="s">
        <v>909</v>
      </c>
      <c r="I261" s="161">
        <v>44539</v>
      </c>
      <c r="J261" s="35" t="s">
        <v>555</v>
      </c>
      <c r="K261" s="21">
        <v>100840.34</v>
      </c>
      <c r="L261" s="21"/>
      <c r="M261" s="22">
        <f>(PROVEEDORES[[#This Row],[SUBTOTAL]]-PROVEEDORES[[#This Row],[descuento sobre subtotal]])*VLOOKUP(PROVEEDORES[[#This Row],[PROVEEDOR]],TERCEROS_INFO[#All],3,FALSE)</f>
        <v>19159.6646</v>
      </c>
      <c r="N261" s="23"/>
      <c r="O261" s="22">
        <f>+PROVEEDORES[[#This Row],[Descuento sobre subtotal %]]*(PROVEEDORES[[#This Row],[SUBTOTAL]]-PROVEEDORES[[#This Row],[descuento sobre subtotal]])</f>
        <v>0</v>
      </c>
      <c r="P261" s="83">
        <f>+IF(PROVEEDORES[[#This Row],[SUBTOTAL]]&lt;PROVEEDORES[[#This Row],[base retencion]],0,PROVEEDORES[[#This Row],[retención aplicada]])</f>
        <v>0</v>
      </c>
      <c r="Q261" s="22">
        <f>+PROVEEDORES[[#This Row],[Rete Fuente %]]*(PROVEEDORES[[#This Row],[SUBTOTAL]]-PROVEEDORES[[#This Row],[descuento sobre subtotal]])</f>
        <v>0</v>
      </c>
      <c r="R261" s="21">
        <f>+PROVEEDORES[[#This Row],[SUBTOTAL]]+PROVEEDORES[[#This Row],[IVA 19%]]-PROVEEDORES[[#This Row],[descuento sobre subtotal]]-PROVEEDORES[[#This Row],[Descuento sobre subtotal $2]]-PROVEEDORES[[#This Row],[Rete Fuente $]]</f>
        <v>120000.0046</v>
      </c>
      <c r="S2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68">
        <f ca="1">IF(PROVEEDORES[[#This Row],[FECHA DE PAGO]]=0,TODAY()-PROVEEDORES[[#This Row],[FECHA DE FACTURACIÓN]]-PROVEEDORES[[#This Row],[PLAZO Días]],0)</f>
        <v>0</v>
      </c>
      <c r="U261" s="96">
        <f>+VLOOKUP(PROVEEDORES[[#This Row],[PROVEEDOR]],Terceros!$A:$D,4,FALSE)</f>
        <v>0</v>
      </c>
      <c r="V261" s="97">
        <f>+YEAR(PROVEEDORES[[#This Row],[FECHA DE FACTURACIÓN]])</f>
        <v>2021</v>
      </c>
      <c r="W261" s="97">
        <f>+MATCH(PROVEEDORES[[#This Row],[año facturado]],Retenciones!$1:$1,0)</f>
        <v>4</v>
      </c>
      <c r="X261" s="98">
        <f>+VLOOKUP(PROVEEDORES[[#This Row],[ID RETENCION]],Retenciones!$A$1:$O$25,PROVEEDORES[[#This Row],[indicador de columna]],FALSE)</f>
        <v>0</v>
      </c>
      <c r="Y261" s="99">
        <f>+VLOOKUP(PROVEEDORES[[#This Row],[ID RETENCION]],Retenciones!$A$1:$O$25,2,FALSE)</f>
        <v>0</v>
      </c>
      <c r="Z261" s="125" t="b">
        <f>OR(COUNTIF(PROVEEDORES[[#This Row],[PROVEEDOR]],"*"&amp;'Palabra no opera'!$A$2&amp;"*"))</f>
        <v>1</v>
      </c>
      <c r="AA261" s="24"/>
      <c r="AB261" s="24"/>
      <c r="AC261" s="24"/>
      <c r="AD261" s="24"/>
      <c r="AE261" s="24"/>
    </row>
    <row r="262" spans="1:31" ht="22.2" customHeight="1" x14ac:dyDescent="0.3">
      <c r="A262" s="66" t="str">
        <f>+IF(PROVEEDORES[[#This Row],[FECHA DE PAGO]]=PROVEEDORES[[#This Row],[FECHA DE FACTURACIÓN]],"DE CONTADO","CRÉDITO")</f>
        <v>CRÉDITO</v>
      </c>
      <c r="B262" s="38" t="b">
        <f>+IF((PROVEEDORES[[#This Row],[FECHA DE PAGO]]-PROVEEDORES[[#This Row],[FECHA DE FACTURACIÓN]])&gt;PROVEEDORES[[#This Row],[PLAZO Días]],"PAGO VENCIDO")</f>
        <v>0</v>
      </c>
      <c r="C262" s="20">
        <f>+VLOOKUP(PROVEEDORES[[#This Row],[PROVEEDOR]],TERCEROS_INFO[#All],2,FALSE)</f>
        <v>30</v>
      </c>
      <c r="D262" s="25">
        <f>+SUMIFS(PROVEEDORES[Total],PROVEEDORES[PROVEEDOR],PROVEEDORES[[#This Row],[PROVEEDOR]],PROVEEDORES[FECHA DE PAGO],"")</f>
        <v>0</v>
      </c>
      <c r="E262" s="25"/>
      <c r="F262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262" s="161">
        <v>44533</v>
      </c>
      <c r="H262" s="26" t="s">
        <v>49</v>
      </c>
      <c r="I262" s="161">
        <v>44503</v>
      </c>
      <c r="J262" s="35">
        <v>4693</v>
      </c>
      <c r="K262" s="21">
        <v>100840.4</v>
      </c>
      <c r="L262" s="21"/>
      <c r="M262" s="22">
        <f>(PROVEEDORES[[#This Row],[SUBTOTAL]]-PROVEEDORES[[#This Row],[descuento sobre subtotal]])*VLOOKUP(PROVEEDORES[[#This Row],[PROVEEDOR]],TERCEROS_INFO[#All],3,FALSE)</f>
        <v>19159.675999999999</v>
      </c>
      <c r="N262" s="23"/>
      <c r="O262" s="22">
        <f>+PROVEEDORES[[#This Row],[Descuento sobre subtotal %]]*(PROVEEDORES[[#This Row],[SUBTOTAL]]-PROVEEDORES[[#This Row],[descuento sobre subtotal]])</f>
        <v>0</v>
      </c>
      <c r="P262" s="83">
        <f>+IF(PROVEEDORES[[#This Row],[SUBTOTAL]]&lt;PROVEEDORES[[#This Row],[base retencion]],0,PROVEEDORES[[#This Row],[retención aplicada]])</f>
        <v>0</v>
      </c>
      <c r="Q262" s="22">
        <f>+PROVEEDORES[[#This Row],[Rete Fuente %]]*(PROVEEDORES[[#This Row],[SUBTOTAL]]-PROVEEDORES[[#This Row],[descuento sobre subtotal]])</f>
        <v>0</v>
      </c>
      <c r="R262" s="21">
        <f>+PROVEEDORES[[#This Row],[SUBTOTAL]]+PROVEEDORES[[#This Row],[IVA 19%]]-PROVEEDORES[[#This Row],[descuento sobre subtotal]]-PROVEEDORES[[#This Row],[Descuento sobre subtotal $2]]-PROVEEDORES[[#This Row],[Rete Fuente $]]</f>
        <v>120000.076</v>
      </c>
      <c r="S2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68">
        <f ca="1">IF(PROVEEDORES[[#This Row],[FECHA DE PAGO]]=0,TODAY()-PROVEEDORES[[#This Row],[FECHA DE FACTURACIÓN]]-PROVEEDORES[[#This Row],[PLAZO Días]],0)</f>
        <v>0</v>
      </c>
      <c r="U262" s="96" t="str">
        <f>+VLOOKUP(PROVEEDORES[[#This Row],[PROVEEDOR]],Terceros!$A:$D,4,FALSE)</f>
        <v>2,5% con base</v>
      </c>
      <c r="V262" s="97">
        <f>+YEAR(PROVEEDORES[[#This Row],[FECHA DE FACTURACIÓN]])</f>
        <v>2021</v>
      </c>
      <c r="W262" s="97">
        <f>+MATCH(PROVEEDORES[[#This Row],[año facturado]],Retenciones!$1:$1,0)</f>
        <v>4</v>
      </c>
      <c r="X262" s="98">
        <f>+VLOOKUP(PROVEEDORES[[#This Row],[ID RETENCION]],Retenciones!$A$1:$O$25,PROVEEDORES[[#This Row],[indicador de columna]],FALSE)</f>
        <v>980000</v>
      </c>
      <c r="Y262" s="99">
        <f>+VLOOKUP(PROVEEDORES[[#This Row],[ID RETENCION]],Retenciones!$A$1:$O$25,2,FALSE)</f>
        <v>2.5000000000000001E-2</v>
      </c>
      <c r="Z262" s="125" t="b">
        <f>OR(COUNTIF(PROVEEDORES[[#This Row],[PROVEEDOR]],"*"&amp;'Palabra no opera'!$A$2&amp;"*"))</f>
        <v>0</v>
      </c>
      <c r="AA262" s="24"/>
      <c r="AB262" s="24"/>
      <c r="AC262" s="24"/>
      <c r="AD262" s="24"/>
      <c r="AE262" s="24"/>
    </row>
    <row r="263" spans="1:31" ht="22.2" customHeight="1" x14ac:dyDescent="0.3">
      <c r="A263" s="66" t="str">
        <f>+IF(PROVEEDORES[[#This Row],[FECHA DE PAGO]]=PROVEEDORES[[#This Row],[FECHA DE FACTURACIÓN]],"DE CONTADO","CRÉDITO")</f>
        <v>CRÉDITO</v>
      </c>
      <c r="B263" s="38" t="b">
        <f>+IF((PROVEEDORES[[#This Row],[FECHA DE PAGO]]-PROVEEDORES[[#This Row],[FECHA DE FACTURACIÓN]])&gt;PROVEEDORES[[#This Row],[PLAZO Días]],"PAGO VENCIDO")</f>
        <v>0</v>
      </c>
      <c r="C263" s="20">
        <f>+VLOOKUP(PROVEEDORES[[#This Row],[PROVEEDOR]],TERCEROS_INFO[#All],2,FALSE)</f>
        <v>30</v>
      </c>
      <c r="D263" s="25">
        <f>+SUMIFS(PROVEEDORES[Total],PROVEEDORES[PROVEEDOR],PROVEEDORES[[#This Row],[PROVEEDOR]],PROVEEDORES[FECHA DE PAGO],"")</f>
        <v>0</v>
      </c>
      <c r="E263" s="25"/>
      <c r="F26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63" s="161">
        <v>44211</v>
      </c>
      <c r="H263" s="26" t="s">
        <v>691</v>
      </c>
      <c r="I263" s="161">
        <v>44194</v>
      </c>
      <c r="J263" s="35">
        <v>2664</v>
      </c>
      <c r="K263" s="21">
        <v>121550</v>
      </c>
      <c r="L263" s="21"/>
      <c r="M263" s="22">
        <f>(PROVEEDORES[[#This Row],[SUBTOTAL]]-PROVEEDORES[[#This Row],[descuento sobre subtotal]])*VLOOKUP(PROVEEDORES[[#This Row],[PROVEEDOR]],TERCEROS_INFO[#All],3,FALSE)</f>
        <v>0</v>
      </c>
      <c r="N263" s="23"/>
      <c r="O263" s="22">
        <f>+PROVEEDORES[[#This Row],[Descuento sobre subtotal %]]*(PROVEEDORES[[#This Row],[SUBTOTAL]]-PROVEEDORES[[#This Row],[descuento sobre subtotal]])</f>
        <v>0</v>
      </c>
      <c r="P263" s="83">
        <f>+IF(PROVEEDORES[[#This Row],[SUBTOTAL]]&lt;PROVEEDORES[[#This Row],[base retencion]],0,PROVEEDORES[[#This Row],[retención aplicada]])</f>
        <v>0</v>
      </c>
      <c r="Q263" s="22">
        <f>+PROVEEDORES[[#This Row],[Rete Fuente %]]*(PROVEEDORES[[#This Row],[SUBTOTAL]]-PROVEEDORES[[#This Row],[descuento sobre subtotal]])</f>
        <v>0</v>
      </c>
      <c r="R263" s="21">
        <f>+PROVEEDORES[[#This Row],[SUBTOTAL]]+PROVEEDORES[[#This Row],[IVA 19%]]-PROVEEDORES[[#This Row],[descuento sobre subtotal]]-PROVEEDORES[[#This Row],[Descuento sobre subtotal $2]]-PROVEEDORES[[#This Row],[Rete Fuente $]]</f>
        <v>121550</v>
      </c>
      <c r="S2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68">
        <f ca="1">IF(PROVEEDORES[[#This Row],[FECHA DE PAGO]]=0,TODAY()-PROVEEDORES[[#This Row],[FECHA DE FACTURACIÓN]]-PROVEEDORES[[#This Row],[PLAZO Días]],0)</f>
        <v>0</v>
      </c>
      <c r="U263" s="96">
        <f>+VLOOKUP(PROVEEDORES[[#This Row],[PROVEEDOR]],Terceros!$A:$D,4,FALSE)</f>
        <v>0</v>
      </c>
      <c r="V263" s="97">
        <f>+YEAR(PROVEEDORES[[#This Row],[FECHA DE FACTURACIÓN]])</f>
        <v>2020</v>
      </c>
      <c r="W263" s="97">
        <f>+MATCH(PROVEEDORES[[#This Row],[año facturado]],Retenciones!$1:$1,0)</f>
        <v>3</v>
      </c>
      <c r="X263" s="98">
        <f>+VLOOKUP(PROVEEDORES[[#This Row],[ID RETENCION]],Retenciones!$A$1:$O$25,PROVEEDORES[[#This Row],[indicador de columna]],FALSE)</f>
        <v>0</v>
      </c>
      <c r="Y263" s="99">
        <f>+VLOOKUP(PROVEEDORES[[#This Row],[ID RETENCION]],Retenciones!$A$1:$O$25,2,FALSE)</f>
        <v>0</v>
      </c>
      <c r="Z263" s="125" t="b">
        <f>OR(COUNTIF(PROVEEDORES[[#This Row],[PROVEEDOR]],"*"&amp;'Palabra no opera'!$A$2&amp;"*"))</f>
        <v>0</v>
      </c>
      <c r="AA263" s="24"/>
      <c r="AB263" s="24"/>
      <c r="AC263" s="24"/>
      <c r="AD263" s="24"/>
      <c r="AE263" s="24"/>
    </row>
    <row r="264" spans="1:31" ht="22.2" customHeight="1" x14ac:dyDescent="0.3">
      <c r="A264" s="66" t="str">
        <f>+IF(PROVEEDORES[[#This Row],[FECHA DE PAGO]]=PROVEEDORES[[#This Row],[FECHA DE FACTURACIÓN]],"DE CONTADO","CRÉDITO")</f>
        <v>CRÉDITO</v>
      </c>
      <c r="B264" s="38" t="b">
        <f>+IF((PROVEEDORES[[#This Row],[FECHA DE PAGO]]-PROVEEDORES[[#This Row],[FECHA DE FACTURACIÓN]])&gt;PROVEEDORES[[#This Row],[PLAZO Días]],"PAGO VENCIDO")</f>
        <v>0</v>
      </c>
      <c r="C264" s="20">
        <f>+VLOOKUP(PROVEEDORES[[#This Row],[PROVEEDOR]],TERCEROS_INFO[#All],2,FALSE)</f>
        <v>30</v>
      </c>
      <c r="D264" s="25">
        <f>+SUMIFS(PROVEEDORES[Total],PROVEEDORES[PROVEEDOR],PROVEEDORES[[#This Row],[PROVEEDOR]],PROVEEDORES[FECHA DE PAGO],"")</f>
        <v>0</v>
      </c>
      <c r="E264" s="25"/>
      <c r="F264" s="58" t="str">
        <f>+VLOOKUP(PROVEEDORES[[#This Row],[PROVEEDOR]],
                       Terceros!$A:$F,
                       5,
                       FALSE)</f>
        <v>facturacion@losmolinos.com.co</v>
      </c>
      <c r="G264" s="161">
        <v>44483</v>
      </c>
      <c r="H264" s="26" t="s">
        <v>940</v>
      </c>
      <c r="I264" s="161">
        <v>44470</v>
      </c>
      <c r="J264" s="35" t="s">
        <v>1320</v>
      </c>
      <c r="K264" s="21">
        <v>122980</v>
      </c>
      <c r="L264" s="21"/>
      <c r="M264" s="22">
        <f>(PROVEEDORES[[#This Row],[SUBTOTAL]]-PROVEEDORES[[#This Row],[descuento sobre subtotal]])*VLOOKUP(PROVEEDORES[[#This Row],[PROVEEDOR]],TERCEROS_INFO[#All],3,FALSE)</f>
        <v>0</v>
      </c>
      <c r="N264" s="23"/>
      <c r="O264" s="22">
        <f>+PROVEEDORES[[#This Row],[Descuento sobre subtotal %]]*(PROVEEDORES[[#This Row],[SUBTOTAL]]-PROVEEDORES[[#This Row],[descuento sobre subtotal]])</f>
        <v>0</v>
      </c>
      <c r="P264" s="83">
        <f>+IF(PROVEEDORES[[#This Row],[SUBTOTAL]]&lt;PROVEEDORES[[#This Row],[base retencion]],0,PROVEEDORES[[#This Row],[retención aplicada]])</f>
        <v>0</v>
      </c>
      <c r="Q264" s="22">
        <f>+PROVEEDORES[[#This Row],[Rete Fuente %]]*(PROVEEDORES[[#This Row],[SUBTOTAL]]-PROVEEDORES[[#This Row],[descuento sobre subtotal]])</f>
        <v>0</v>
      </c>
      <c r="R264" s="21">
        <f>+PROVEEDORES[[#This Row],[SUBTOTAL]]+PROVEEDORES[[#This Row],[IVA 19%]]-PROVEEDORES[[#This Row],[descuento sobre subtotal]]-PROVEEDORES[[#This Row],[Descuento sobre subtotal $2]]-PROVEEDORES[[#This Row],[Rete Fuente $]]</f>
        <v>122980</v>
      </c>
      <c r="S2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68">
        <f ca="1">IF(PROVEEDORES[[#This Row],[FECHA DE PAGO]]=0,TODAY()-PROVEEDORES[[#This Row],[FECHA DE FACTURACIÓN]]-PROVEEDORES[[#This Row],[PLAZO Días]],0)</f>
        <v>0</v>
      </c>
      <c r="U264" s="96">
        <f>+VLOOKUP(PROVEEDORES[[#This Row],[PROVEEDOR]],Terceros!$A:$D,4,FALSE)</f>
        <v>0</v>
      </c>
      <c r="V264" s="97">
        <f>+YEAR(PROVEEDORES[[#This Row],[FECHA DE FACTURACIÓN]])</f>
        <v>2021</v>
      </c>
      <c r="W264" s="97">
        <f>+MATCH(PROVEEDORES[[#This Row],[año facturado]],Retenciones!$1:$1,0)</f>
        <v>4</v>
      </c>
      <c r="X264" s="98">
        <f>+VLOOKUP(PROVEEDORES[[#This Row],[ID RETENCION]],Retenciones!$A$1:$O$25,PROVEEDORES[[#This Row],[indicador de columna]],FALSE)</f>
        <v>0</v>
      </c>
      <c r="Y264" s="99">
        <f>+VLOOKUP(PROVEEDORES[[#This Row],[ID RETENCION]],Retenciones!$A$1:$O$25,2,FALSE)</f>
        <v>0</v>
      </c>
      <c r="Z264" s="125" t="b">
        <f>OR(COUNTIF(PROVEEDORES[[#This Row],[PROVEEDOR]],"*"&amp;'Palabra no opera'!$A$2&amp;"*"))</f>
        <v>1</v>
      </c>
      <c r="AA264" s="24"/>
      <c r="AB264" s="24"/>
      <c r="AC264" s="24"/>
      <c r="AD264" s="24"/>
      <c r="AE264" s="24"/>
    </row>
    <row r="265" spans="1:31" ht="22.2" customHeight="1" x14ac:dyDescent="0.3">
      <c r="A265" s="66" t="str">
        <f>+IF(PROVEEDORES[[#This Row],[FECHA DE PAGO]]=PROVEEDORES[[#This Row],[FECHA DE FACTURACIÓN]],"DE CONTADO","CRÉDITO")</f>
        <v>DE CONTADO</v>
      </c>
      <c r="B265" s="38" t="b">
        <f>+IF((PROVEEDORES[[#This Row],[FECHA DE PAGO]]-PROVEEDORES[[#This Row],[FECHA DE FACTURACIÓN]])&gt;PROVEEDORES[[#This Row],[PLAZO Días]],"PAGO VENCIDO")</f>
        <v>0</v>
      </c>
      <c r="C265" s="20">
        <f>+VLOOKUP(PROVEEDORES[[#This Row],[PROVEEDOR]],TERCEROS_INFO[#All],2,FALSE)</f>
        <v>30</v>
      </c>
      <c r="D265" s="25">
        <f>+SUMIFS(PROVEEDORES[Total],PROVEEDORES[PROVEEDOR],PROVEEDORES[[#This Row],[PROVEEDOR]],PROVEEDORES[FECHA DE PAGO],"")</f>
        <v>0</v>
      </c>
      <c r="E265" s="25"/>
      <c r="F265" s="58" t="str">
        <f>+VLOOKUP(PROVEEDORES[[#This Row],[PROVEEDOR]],
                       Terceros!$A:$F,
                       5,
                       FALSE)</f>
        <v/>
      </c>
      <c r="G265" s="161">
        <v>44532</v>
      </c>
      <c r="H265" s="26" t="s">
        <v>644</v>
      </c>
      <c r="I265" s="161">
        <v>44532</v>
      </c>
      <c r="J265" s="35" t="s">
        <v>1536</v>
      </c>
      <c r="K265" s="21">
        <v>124000</v>
      </c>
      <c r="L265" s="21"/>
      <c r="M265" s="22">
        <f>(PROVEEDORES[[#This Row],[SUBTOTAL]]-PROVEEDORES[[#This Row],[descuento sobre subtotal]])*VLOOKUP(PROVEEDORES[[#This Row],[PROVEEDOR]],TERCEROS_INFO[#All],3,FALSE)</f>
        <v>0</v>
      </c>
      <c r="N265" s="23"/>
      <c r="O265" s="22">
        <f>+PROVEEDORES[[#This Row],[Descuento sobre subtotal %]]*(PROVEEDORES[[#This Row],[SUBTOTAL]]-PROVEEDORES[[#This Row],[descuento sobre subtotal]])</f>
        <v>0</v>
      </c>
      <c r="P265" s="83">
        <f>+IF(PROVEEDORES[[#This Row],[SUBTOTAL]]&lt;PROVEEDORES[[#This Row],[base retencion]],0,PROVEEDORES[[#This Row],[retención aplicada]])</f>
        <v>0</v>
      </c>
      <c r="Q265" s="22">
        <f>+PROVEEDORES[[#This Row],[Rete Fuente %]]*(PROVEEDORES[[#This Row],[SUBTOTAL]]-PROVEEDORES[[#This Row],[descuento sobre subtotal]])</f>
        <v>0</v>
      </c>
      <c r="R265" s="21">
        <f>+PROVEEDORES[[#This Row],[SUBTOTAL]]+PROVEEDORES[[#This Row],[IVA 19%]]-PROVEEDORES[[#This Row],[descuento sobre subtotal]]-PROVEEDORES[[#This Row],[Descuento sobre subtotal $2]]-PROVEEDORES[[#This Row],[Rete Fuente $]]</f>
        <v>124000</v>
      </c>
      <c r="S2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68">
        <f ca="1">IF(PROVEEDORES[[#This Row],[FECHA DE PAGO]]=0,TODAY()-PROVEEDORES[[#This Row],[FECHA DE FACTURACIÓN]]-PROVEEDORES[[#This Row],[PLAZO Días]],0)</f>
        <v>0</v>
      </c>
      <c r="U265" s="96">
        <f>+VLOOKUP(PROVEEDORES[[#This Row],[PROVEEDOR]],Terceros!$A:$D,4,FALSE)</f>
        <v>0</v>
      </c>
      <c r="V265" s="97">
        <f>+YEAR(PROVEEDORES[[#This Row],[FECHA DE FACTURACIÓN]])</f>
        <v>2021</v>
      </c>
      <c r="W265" s="97">
        <f>+MATCH(PROVEEDORES[[#This Row],[año facturado]],Retenciones!$1:$1,0)</f>
        <v>4</v>
      </c>
      <c r="X265" s="98">
        <f>+VLOOKUP(PROVEEDORES[[#This Row],[ID RETENCION]],Retenciones!$A$1:$O$25,PROVEEDORES[[#This Row],[indicador de columna]],FALSE)</f>
        <v>0</v>
      </c>
      <c r="Y265" s="99">
        <f>+VLOOKUP(PROVEEDORES[[#This Row],[ID RETENCION]],Retenciones!$A$1:$O$25,2,FALSE)</f>
        <v>0</v>
      </c>
      <c r="Z265" s="125" t="b">
        <f>OR(COUNTIF(PROVEEDORES[[#This Row],[PROVEEDOR]],"*"&amp;'Palabra no opera'!$A$2&amp;"*"))</f>
        <v>0</v>
      </c>
      <c r="AA265" s="24"/>
      <c r="AB265" s="24"/>
      <c r="AC265" s="24"/>
      <c r="AD265" s="24"/>
      <c r="AE265" s="24"/>
    </row>
    <row r="266" spans="1:31" ht="22.2" customHeight="1" x14ac:dyDescent="0.3">
      <c r="A266" s="66" t="str">
        <f>+IF(PROVEEDORES[[#This Row],[FECHA DE PAGO]]=PROVEEDORES[[#This Row],[FECHA DE FACTURACIÓN]],"DE CONTADO","CRÉDITO")</f>
        <v>CRÉDITO</v>
      </c>
      <c r="B266" s="38" t="str">
        <f>+IF((PROVEEDORES[[#This Row],[FECHA DE PAGO]]-PROVEEDORES[[#This Row],[FECHA DE FACTURACIÓN]])&gt;PROVEEDORES[[#This Row],[PLAZO Días]],"PAGO VENCIDO")</f>
        <v>PAGO VENCIDO</v>
      </c>
      <c r="C266" s="20">
        <f>+VLOOKUP(PROVEEDORES[[#This Row],[PROVEEDOR]],TERCEROS_INFO[#All],2,FALSE)</f>
        <v>30</v>
      </c>
      <c r="D266" s="25">
        <f>+SUMIFS(PROVEEDORES[Total],PROVEEDORES[PROVEEDOR],PROVEEDORES[[#This Row],[PROVEEDOR]],PROVEEDORES[FECHA DE PAGO],"")</f>
        <v>0</v>
      </c>
      <c r="E266" s="25"/>
      <c r="F266" s="58" t="str">
        <f>+VLOOKUP(PROVEEDORES[[#This Row],[PROVEEDOR]],
                       Terceros!$A:$F,
                       5,
                       FALSE)</f>
        <v/>
      </c>
      <c r="G266" s="161">
        <v>44441</v>
      </c>
      <c r="H266" s="26" t="s">
        <v>624</v>
      </c>
      <c r="I266" s="161">
        <v>44407</v>
      </c>
      <c r="J266" s="35" t="s">
        <v>1471</v>
      </c>
      <c r="K266" s="21">
        <v>124600</v>
      </c>
      <c r="L266" s="21"/>
      <c r="M266" s="22">
        <f>(PROVEEDORES[[#This Row],[SUBTOTAL]]-PROVEEDORES[[#This Row],[descuento sobre subtotal]])*VLOOKUP(PROVEEDORES[[#This Row],[PROVEEDOR]],TERCEROS_INFO[#All],3,FALSE)</f>
        <v>0</v>
      </c>
      <c r="N266" s="23"/>
      <c r="O266" s="22">
        <f>+PROVEEDORES[[#This Row],[Descuento sobre subtotal %]]*(PROVEEDORES[[#This Row],[SUBTOTAL]]-PROVEEDORES[[#This Row],[descuento sobre subtotal]])</f>
        <v>0</v>
      </c>
      <c r="P266" s="83">
        <f>+IF(PROVEEDORES[[#This Row],[SUBTOTAL]]&lt;PROVEEDORES[[#This Row],[base retencion]],0,PROVEEDORES[[#This Row],[retención aplicada]])</f>
        <v>0</v>
      </c>
      <c r="Q266" s="22">
        <f>+PROVEEDORES[[#This Row],[Rete Fuente %]]*(PROVEEDORES[[#This Row],[SUBTOTAL]]-PROVEEDORES[[#This Row],[descuento sobre subtotal]])</f>
        <v>0</v>
      </c>
      <c r="R266" s="21">
        <f>+PROVEEDORES[[#This Row],[SUBTOTAL]]+PROVEEDORES[[#This Row],[IVA 19%]]-PROVEEDORES[[#This Row],[descuento sobre subtotal]]-PROVEEDORES[[#This Row],[Descuento sobre subtotal $2]]-PROVEEDORES[[#This Row],[Rete Fuente $]]</f>
        <v>124600</v>
      </c>
      <c r="S2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68">
        <f ca="1">IF(PROVEEDORES[[#This Row],[FECHA DE PAGO]]=0,TODAY()-PROVEEDORES[[#This Row],[FECHA DE FACTURACIÓN]]-PROVEEDORES[[#This Row],[PLAZO Días]],0)</f>
        <v>0</v>
      </c>
      <c r="U266" s="96">
        <f>+VLOOKUP(PROVEEDORES[[#This Row],[PROVEEDOR]],Terceros!$A:$D,4,FALSE)</f>
        <v>0</v>
      </c>
      <c r="V266" s="97">
        <f>+YEAR(PROVEEDORES[[#This Row],[FECHA DE FACTURACIÓN]])</f>
        <v>2021</v>
      </c>
      <c r="W266" s="97">
        <f>+MATCH(PROVEEDORES[[#This Row],[año facturado]],Retenciones!$1:$1,0)</f>
        <v>4</v>
      </c>
      <c r="X266" s="98">
        <f>+VLOOKUP(PROVEEDORES[[#This Row],[ID RETENCION]],Retenciones!$A$1:$O$25,PROVEEDORES[[#This Row],[indicador de columna]],FALSE)</f>
        <v>0</v>
      </c>
      <c r="Y266" s="99">
        <f>+VLOOKUP(PROVEEDORES[[#This Row],[ID RETENCION]],Retenciones!$A$1:$O$25,2,FALSE)</f>
        <v>0</v>
      </c>
      <c r="Z266" s="125" t="b">
        <f>OR(COUNTIF(PROVEEDORES[[#This Row],[PROVEEDOR]],"*"&amp;'Palabra no opera'!$A$2&amp;"*"))</f>
        <v>0</v>
      </c>
      <c r="AA266" s="24"/>
      <c r="AB266" s="24"/>
      <c r="AC266" s="24"/>
      <c r="AD266" s="24"/>
      <c r="AE266" s="24"/>
    </row>
    <row r="267" spans="1:31" ht="22.2" customHeight="1" x14ac:dyDescent="0.3">
      <c r="A267" s="159" t="str">
        <f>+IF(PROVEEDORES[[#This Row],[FECHA DE PAGO]]=PROVEEDORES[[#This Row],[FECHA DE FACTURACIÓN]],"DE CONTADO","CRÉDITO")</f>
        <v>CRÉDITO</v>
      </c>
      <c r="B267" s="38" t="b">
        <f>+IF((PROVEEDORES[[#This Row],[FECHA DE PAGO]]-PROVEEDORES[[#This Row],[FECHA DE FACTURACIÓN]])&gt;PROVEEDORES[[#This Row],[PLAZO Días]],"PAGO VENCIDO")</f>
        <v>0</v>
      </c>
      <c r="C267" s="20">
        <f>+VLOOKUP(PROVEEDORES[[#This Row],[PROVEEDOR]],TERCEROS_INFO[#All],2,FALSE)</f>
        <v>90</v>
      </c>
      <c r="D267" s="25">
        <f>+SUMIFS(PROVEEDORES[Total],PROVEEDORES[PROVEEDOR],PROVEEDORES[[#This Row],[PROVEEDOR]],PROVEEDORES[FECHA DE PAGO],"")</f>
        <v>75241004.385000005</v>
      </c>
      <c r="E267" s="25"/>
      <c r="F26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67" s="26" t="s">
        <v>77</v>
      </c>
      <c r="I267" s="161">
        <v>44729</v>
      </c>
      <c r="J267" s="35" t="s">
        <v>1062</v>
      </c>
      <c r="K267" s="21">
        <v>105042</v>
      </c>
      <c r="L267" s="21"/>
      <c r="M267" s="22">
        <f>(PROVEEDORES[[#This Row],[SUBTOTAL]]-PROVEEDORES[[#This Row],[descuento sobre subtotal]])*VLOOKUP(PROVEEDORES[[#This Row],[PROVEEDOR]],TERCEROS_INFO[#All],3,FALSE)</f>
        <v>19957.98</v>
      </c>
      <c r="N267" s="23"/>
      <c r="O267" s="22">
        <f>+PROVEEDORES[[#This Row],[Descuento sobre subtotal %]]*(PROVEEDORES[[#This Row],[SUBTOTAL]]-PROVEEDORES[[#This Row],[descuento sobre subtotal]])</f>
        <v>0</v>
      </c>
      <c r="P267" s="83">
        <f>+IF(PROVEEDORES[[#This Row],[SUBTOTAL]]&lt;PROVEEDORES[[#This Row],[base retencion]],0,PROVEEDORES[[#This Row],[retención aplicada]])</f>
        <v>0</v>
      </c>
      <c r="Q267" s="22">
        <f>+PROVEEDORES[[#This Row],[Rete Fuente %]]*(PROVEEDORES[[#This Row],[SUBTOTAL]]-PROVEEDORES[[#This Row],[descuento sobre subtotal]])</f>
        <v>0</v>
      </c>
      <c r="R267" s="21">
        <f>+PROVEEDORES[[#This Row],[SUBTOTAL]]+PROVEEDORES[[#This Row],[IVA 19%]]-PROVEEDORES[[#This Row],[descuento sobre subtotal]]-PROVEEDORES[[#This Row],[Descuento sobre subtotal $2]]-PROVEEDORES[[#This Row],[Rete Fuente $]]</f>
        <v>124999.98</v>
      </c>
      <c r="S267" s="16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67" s="68">
        <f ca="1">IF(PROVEEDORES[[#This Row],[FECHA DE PAGO]]=0,TODAY()-PROVEEDORES[[#This Row],[FECHA DE FACTURACIÓN]]-PROVEEDORES[[#This Row],[PLAZO Días]],0)</f>
        <v>56</v>
      </c>
      <c r="U267" s="113" t="str">
        <f>+VLOOKUP(PROVEEDORES[[#This Row],[PROVEEDOR]],Terceros!$A:$D,4,FALSE)</f>
        <v>2,5% con base</v>
      </c>
      <c r="V267" s="114">
        <f>+YEAR(PROVEEDORES[[#This Row],[FECHA DE FACTURACIÓN]])</f>
        <v>2022</v>
      </c>
      <c r="W267" s="114">
        <f>+MATCH(PROVEEDORES[[#This Row],[año facturado]],Retenciones!$1:$1,0)</f>
        <v>5</v>
      </c>
      <c r="X267" s="115">
        <f>+VLOOKUP(PROVEEDORES[[#This Row],[ID RETENCION]],Retenciones!$A$1:$O$25,PROVEEDORES[[#This Row],[indicador de columna]],FALSE)</f>
        <v>1026000</v>
      </c>
      <c r="Y267" s="116">
        <f>+VLOOKUP(PROVEEDORES[[#This Row],[ID RETENCION]],Retenciones!$A$1:$O$25,2,FALSE)</f>
        <v>2.5000000000000001E-2</v>
      </c>
      <c r="Z267" s="125" t="b">
        <f>OR(COUNTIF(PROVEEDORES[[#This Row],[PROVEEDOR]],"*"&amp;'Palabra no opera'!$A$2&amp;"*"))</f>
        <v>0</v>
      </c>
      <c r="AA267" s="24"/>
      <c r="AB267" s="24"/>
      <c r="AC267" s="24"/>
      <c r="AD267" s="24"/>
      <c r="AE267" s="24"/>
    </row>
    <row r="268" spans="1:31" ht="22.2" customHeight="1" x14ac:dyDescent="0.3">
      <c r="A268" s="66" t="str">
        <f>+IF(PROVEEDORES[[#This Row],[FECHA DE PAGO]]=PROVEEDORES[[#This Row],[FECHA DE FACTURACIÓN]],"DE CONTADO","CRÉDITO")</f>
        <v>CRÉDITO</v>
      </c>
      <c r="B268" s="38" t="b">
        <f>+IF((PROVEEDORES[[#This Row],[FECHA DE PAGO]]-PROVEEDORES[[#This Row],[FECHA DE FACTURACIÓN]])&gt;PROVEEDORES[[#This Row],[PLAZO Días]],"PAGO VENCIDO")</f>
        <v>0</v>
      </c>
      <c r="C268" s="20">
        <f>+VLOOKUP(PROVEEDORES[[#This Row],[PROVEEDOR]],TERCEROS_INFO[#All],2,FALSE)</f>
        <v>30</v>
      </c>
      <c r="D268" s="25">
        <f>+SUMIFS(PROVEEDORES[Total],PROVEEDORES[PROVEEDOR],PROVEEDORES[[#This Row],[PROVEEDOR]],PROVEEDORES[FECHA DE PAGO],"")</f>
        <v>0</v>
      </c>
      <c r="E268" s="25"/>
      <c r="F26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68" s="161">
        <v>44568</v>
      </c>
      <c r="H268" s="26" t="s">
        <v>1450</v>
      </c>
      <c r="I268" s="161">
        <v>44565</v>
      </c>
      <c r="J268" s="35">
        <v>319</v>
      </c>
      <c r="K268" s="21">
        <v>176000</v>
      </c>
      <c r="L268" s="21"/>
      <c r="M268" s="22">
        <f>(PROVEEDORES[[#This Row],[SUBTOTAL]]-PROVEEDORES[[#This Row],[descuento sobre subtotal]])*VLOOKUP(PROVEEDORES[[#This Row],[PROVEEDOR]],TERCEROS_INFO[#All],3,FALSE)</f>
        <v>0</v>
      </c>
      <c r="N268" s="23"/>
      <c r="O268" s="22">
        <f>+PROVEEDORES[[#This Row],[Descuento sobre subtotal %]]*(PROVEEDORES[[#This Row],[SUBTOTAL]]-PROVEEDORES[[#This Row],[descuento sobre subtotal]])</f>
        <v>0</v>
      </c>
      <c r="P268" s="83">
        <f>+IF(PROVEEDORES[[#This Row],[SUBTOTAL]]&lt;PROVEEDORES[[#This Row],[base retencion]],0,PROVEEDORES[[#This Row],[retención aplicada]])</f>
        <v>0</v>
      </c>
      <c r="Q268" s="22">
        <f>+PROVEEDORES[[#This Row],[Rete Fuente %]]*(PROVEEDORES[[#This Row],[SUBTOTAL]]-PROVEEDORES[[#This Row],[descuento sobre subtotal]])</f>
        <v>0</v>
      </c>
      <c r="R268" s="21">
        <v>125783.79000000001</v>
      </c>
      <c r="S2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68">
        <f ca="1">IF(PROVEEDORES[[#This Row],[FECHA DE PAGO]]=0,TODAY()-PROVEEDORES[[#This Row],[FECHA DE FACTURACIÓN]]-PROVEEDORES[[#This Row],[PLAZO Días]],0)</f>
        <v>0</v>
      </c>
      <c r="U268" s="96">
        <f>+VLOOKUP(PROVEEDORES[[#This Row],[PROVEEDOR]],Terceros!$A:$D,4,FALSE)</f>
        <v>0</v>
      </c>
      <c r="V268" s="97">
        <f>+YEAR(PROVEEDORES[[#This Row],[FECHA DE FACTURACIÓN]])</f>
        <v>2022</v>
      </c>
      <c r="W268" s="97">
        <f>+MATCH(PROVEEDORES[[#This Row],[año facturado]],Retenciones!$1:$1,0)</f>
        <v>5</v>
      </c>
      <c r="X268" s="98">
        <f>+VLOOKUP(PROVEEDORES[[#This Row],[ID RETENCION]],Retenciones!$A$1:$O$25,PROVEEDORES[[#This Row],[indicador de columna]],FALSE)</f>
        <v>0</v>
      </c>
      <c r="Y268" s="99">
        <f>+VLOOKUP(PROVEEDORES[[#This Row],[ID RETENCION]],Retenciones!$A$1:$O$25,2,FALSE)</f>
        <v>0</v>
      </c>
      <c r="Z268" s="125" t="b">
        <f>OR(COUNTIF(PROVEEDORES[[#This Row],[PROVEEDOR]],"*"&amp;'Palabra no opera'!$A$2&amp;"*"))</f>
        <v>0</v>
      </c>
      <c r="AA268" s="24"/>
      <c r="AB268" s="24"/>
      <c r="AC268" s="24"/>
      <c r="AD268" s="24"/>
      <c r="AE268" s="24"/>
    </row>
    <row r="269" spans="1:31" ht="22.2" customHeight="1" x14ac:dyDescent="0.3">
      <c r="A269" s="66" t="str">
        <f>+IF(PROVEEDORES[[#This Row],[FECHA DE PAGO]]=PROVEEDORES[[#This Row],[FECHA DE FACTURACIÓN]],"DE CONTADO","CRÉDITO")</f>
        <v>CRÉDITO</v>
      </c>
      <c r="B269" s="38" t="b">
        <f>+IF((PROVEEDORES[[#This Row],[FECHA DE PAGO]]-PROVEEDORES[[#This Row],[FECHA DE FACTURACIÓN]])&gt;PROVEEDORES[[#This Row],[PLAZO Días]],"PAGO VENCIDO")</f>
        <v>0</v>
      </c>
      <c r="C269" s="20">
        <f>+VLOOKUP(PROVEEDORES[[#This Row],[PROVEEDOR]],TERCEROS_INFO[#All],2,FALSE)</f>
        <v>30</v>
      </c>
      <c r="D269" s="25">
        <f>+SUMIFS(PROVEEDORES[Total],PROVEEDORES[PROVEEDOR],PROVEEDORES[[#This Row],[PROVEEDOR]],PROVEEDORES[FECHA DE PAGO],"")</f>
        <v>0</v>
      </c>
      <c r="E269" s="25"/>
      <c r="F269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269" s="161">
        <v>44286</v>
      </c>
      <c r="H269" s="26" t="s">
        <v>137</v>
      </c>
      <c r="I269" s="161">
        <v>44271</v>
      </c>
      <c r="J269" s="35">
        <v>9838</v>
      </c>
      <c r="K269" s="21">
        <v>126000</v>
      </c>
      <c r="L269" s="21"/>
      <c r="M269" s="22">
        <f>(PROVEEDORES[[#This Row],[SUBTOTAL]]-PROVEEDORES[[#This Row],[descuento sobre subtotal]])*VLOOKUP(PROVEEDORES[[#This Row],[PROVEEDOR]],TERCEROS_INFO[#All],3,FALSE)</f>
        <v>0</v>
      </c>
      <c r="N269" s="23"/>
      <c r="O269" s="22">
        <f>+PROVEEDORES[[#This Row],[Descuento sobre subtotal %]]*(PROVEEDORES[[#This Row],[SUBTOTAL]]-PROVEEDORES[[#This Row],[descuento sobre subtotal]])</f>
        <v>0</v>
      </c>
      <c r="P269" s="83">
        <f>+IF(PROVEEDORES[[#This Row],[SUBTOTAL]]&lt;PROVEEDORES[[#This Row],[base retencion]],0,PROVEEDORES[[#This Row],[retención aplicada]])</f>
        <v>0</v>
      </c>
      <c r="Q269" s="22">
        <f>+PROVEEDORES[[#This Row],[Rete Fuente %]]*(PROVEEDORES[[#This Row],[SUBTOTAL]]-PROVEEDORES[[#This Row],[descuento sobre subtotal]])</f>
        <v>0</v>
      </c>
      <c r="R269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2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68">
        <f ca="1">IF(PROVEEDORES[[#This Row],[FECHA DE PAGO]]=0,TODAY()-PROVEEDORES[[#This Row],[FECHA DE FACTURACIÓN]]-PROVEEDORES[[#This Row],[PLAZO Días]],0)</f>
        <v>0</v>
      </c>
      <c r="U269" s="96">
        <f>+VLOOKUP(PROVEEDORES[[#This Row],[PROVEEDOR]],Terceros!$A:$D,4,FALSE)</f>
        <v>0</v>
      </c>
      <c r="V269" s="97">
        <f>+YEAR(PROVEEDORES[[#This Row],[FECHA DE FACTURACIÓN]])</f>
        <v>2021</v>
      </c>
      <c r="W269" s="97">
        <f>+MATCH(PROVEEDORES[[#This Row],[año facturado]],Retenciones!$1:$1,0)</f>
        <v>4</v>
      </c>
      <c r="X269" s="98">
        <f>+VLOOKUP(PROVEEDORES[[#This Row],[ID RETENCION]],Retenciones!$A$1:$O$25,PROVEEDORES[[#This Row],[indicador de columna]],FALSE)</f>
        <v>0</v>
      </c>
      <c r="Y269" s="99">
        <f>+VLOOKUP(PROVEEDORES[[#This Row],[ID RETENCION]],Retenciones!$A$1:$O$25,2,FALSE)</f>
        <v>0</v>
      </c>
      <c r="Z269" s="125" t="b">
        <f>OR(COUNTIF(PROVEEDORES[[#This Row],[PROVEEDOR]],"*"&amp;'Palabra no opera'!$A$2&amp;"*"))</f>
        <v>0</v>
      </c>
      <c r="AA269" s="24"/>
      <c r="AB269" s="24"/>
      <c r="AC269" s="24"/>
      <c r="AD269" s="24"/>
      <c r="AE269" s="24"/>
    </row>
    <row r="270" spans="1:31" ht="22.2" customHeight="1" x14ac:dyDescent="0.3">
      <c r="A270" s="72" t="str">
        <f>+IF(PROVEEDORES[[#This Row],[FECHA DE PAGO]]=PROVEEDORES[[#This Row],[FECHA DE FACTURACIÓN]],"DE CONTADO","CRÉDITO")</f>
        <v>DE CONTADO</v>
      </c>
      <c r="B270" s="38" t="b">
        <f>+IF((PROVEEDORES[[#This Row],[FECHA DE PAGO]]-PROVEEDORES[[#This Row],[FECHA DE FACTURACIÓN]])&gt;PROVEEDORES[[#This Row],[PLAZO Días]],"PAGO VENCIDO")</f>
        <v>0</v>
      </c>
      <c r="C270" s="20">
        <f>+VLOOKUP(PROVEEDORES[[#This Row],[PROVEEDOR]],TERCEROS_INFO[#All],2,FALSE)</f>
        <v>30</v>
      </c>
      <c r="D270" s="25">
        <f>+SUMIFS(PROVEEDORES[Total],PROVEEDORES[PROVEEDOR],PROVEEDORES[[#This Row],[PROVEEDOR]],PROVEEDORES[FECHA DE PAGO],"")</f>
        <v>0</v>
      </c>
      <c r="E270" s="25"/>
      <c r="F270" s="58" t="str">
        <f>+VLOOKUP(PROVEEDORES[[#This Row],[PROVEEDOR]],
                       Terceros!$A:$F,
                       5,
                       FALSE)</f>
        <v/>
      </c>
      <c r="G270" s="161">
        <v>44681</v>
      </c>
      <c r="H270" s="26" t="s">
        <v>644</v>
      </c>
      <c r="I270" s="161">
        <v>44681</v>
      </c>
      <c r="J270" s="35" t="s">
        <v>596</v>
      </c>
      <c r="K270" s="21">
        <v>126000</v>
      </c>
      <c r="L270" s="21"/>
      <c r="M270" s="22">
        <f>(PROVEEDORES[[#This Row],[SUBTOTAL]]-PROVEEDORES[[#This Row],[descuento sobre subtotal]])*VLOOKUP(PROVEEDORES[[#This Row],[PROVEEDOR]],TERCEROS_INFO[#All],3,FALSE)</f>
        <v>0</v>
      </c>
      <c r="N270" s="23"/>
      <c r="O270" s="22">
        <f>+PROVEEDORES[[#This Row],[Descuento sobre subtotal %]]*(PROVEEDORES[[#This Row],[SUBTOTAL]]-PROVEEDORES[[#This Row],[descuento sobre subtotal]])</f>
        <v>0</v>
      </c>
      <c r="P270" s="83">
        <f>+IF(PROVEEDORES[[#This Row],[SUBTOTAL]]&lt;PROVEEDORES[[#This Row],[base retencion]],0,PROVEEDORES[[#This Row],[retención aplicada]])</f>
        <v>0</v>
      </c>
      <c r="Q270" s="22">
        <f>+PROVEEDORES[[#This Row],[Rete Fuente %]]*(PROVEEDORES[[#This Row],[SUBTOTAL]]-PROVEEDORES[[#This Row],[descuento sobre subtotal]])</f>
        <v>0</v>
      </c>
      <c r="R270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27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68">
        <f ca="1">IF(PROVEEDORES[[#This Row],[FECHA DE PAGO]]=0,TODAY()-PROVEEDORES[[#This Row],[FECHA DE FACTURACIÓN]]-PROVEEDORES[[#This Row],[PLAZO Días]],0)</f>
        <v>0</v>
      </c>
      <c r="U270" s="113">
        <f>+VLOOKUP(PROVEEDORES[[#This Row],[PROVEEDOR]],Terceros!$A:$D,4,FALSE)</f>
        <v>0</v>
      </c>
      <c r="V270" s="114">
        <f>+YEAR(PROVEEDORES[[#This Row],[FECHA DE FACTURACIÓN]])</f>
        <v>2022</v>
      </c>
      <c r="W270" s="114">
        <f>+MATCH(PROVEEDORES[[#This Row],[año facturado]],Retenciones!$1:$1,0)</f>
        <v>5</v>
      </c>
      <c r="X270" s="115">
        <f>+VLOOKUP(PROVEEDORES[[#This Row],[ID RETENCION]],Retenciones!$A$1:$O$25,PROVEEDORES[[#This Row],[indicador de columna]],FALSE)</f>
        <v>0</v>
      </c>
      <c r="Y270" s="116">
        <f>+VLOOKUP(PROVEEDORES[[#This Row],[ID RETENCION]],Retenciones!$A$1:$O$25,2,FALSE)</f>
        <v>0</v>
      </c>
      <c r="Z270" s="125" t="b">
        <f>OR(COUNTIF(PROVEEDORES[[#This Row],[PROVEEDOR]],"*"&amp;'Palabra no opera'!$A$2&amp;"*"))</f>
        <v>0</v>
      </c>
      <c r="AA270" s="24"/>
      <c r="AB270" s="24"/>
      <c r="AC270" s="24"/>
      <c r="AD270" s="24"/>
      <c r="AE270" s="24"/>
    </row>
    <row r="271" spans="1:31" ht="22.2" customHeight="1" x14ac:dyDescent="0.3">
      <c r="A271" s="195" t="str">
        <f>+IF(PROVEEDORES[[#This Row],[FECHA DE PAGO]]=PROVEEDORES[[#This Row],[FECHA DE FACTURACIÓN]],"DE CONTADO","CRÉDITO")</f>
        <v>DE CONTADO</v>
      </c>
      <c r="B271" s="38" t="b">
        <f>+IF((PROVEEDORES[[#This Row],[FECHA DE PAGO]]-PROVEEDORES[[#This Row],[FECHA DE FACTURACIÓN]])&gt;PROVEEDORES[[#This Row],[PLAZO Días]],"PAGO VENCIDO")</f>
        <v>0</v>
      </c>
      <c r="C271" s="20">
        <f>+VLOOKUP(PROVEEDORES[[#This Row],[PROVEEDOR]],TERCEROS_INFO[#All],2,FALSE)</f>
        <v>30</v>
      </c>
      <c r="D271" s="25">
        <f>+SUMIFS(PROVEEDORES[Total],PROVEEDORES[PROVEEDOR],PROVEEDORES[[#This Row],[PROVEEDOR]],PROVEEDORES[FECHA DE PAGO],"")</f>
        <v>0</v>
      </c>
      <c r="E271" s="25"/>
      <c r="F271" s="58" t="str">
        <f>+VLOOKUP(PROVEEDORES[[#This Row],[PROVEEDOR]],
                       Terceros!$A:$F,
                       5,
                       FALSE)</f>
        <v/>
      </c>
      <c r="G271" s="161">
        <v>44773</v>
      </c>
      <c r="H271" s="26" t="s">
        <v>644</v>
      </c>
      <c r="I271" s="161">
        <v>44773</v>
      </c>
      <c r="J271" s="35" t="s">
        <v>945</v>
      </c>
      <c r="K271" s="21">
        <v>127000</v>
      </c>
      <c r="L271" s="21"/>
      <c r="M271" s="22">
        <f>(PROVEEDORES[[#This Row],[SUBTOTAL]]-PROVEEDORES[[#This Row],[descuento sobre subtotal]])*VLOOKUP(PROVEEDORES[[#This Row],[PROVEEDOR]],TERCEROS_INFO[#All],3,FALSE)</f>
        <v>0</v>
      </c>
      <c r="N271" s="23"/>
      <c r="O271" s="22">
        <f>+PROVEEDORES[[#This Row],[Descuento sobre subtotal %]]*(PROVEEDORES[[#This Row],[SUBTOTAL]]-PROVEEDORES[[#This Row],[descuento sobre subtotal]])</f>
        <v>0</v>
      </c>
      <c r="P271" s="83">
        <f>+IF(PROVEEDORES[[#This Row],[SUBTOTAL]]&lt;PROVEEDORES[[#This Row],[base retencion]],0,PROVEEDORES[[#This Row],[retención aplicada]])</f>
        <v>0</v>
      </c>
      <c r="Q271" s="22">
        <f>+PROVEEDORES[[#This Row],[Rete Fuente %]]*(PROVEEDORES[[#This Row],[SUBTOTAL]]-PROVEEDORES[[#This Row],[descuento sobre subtotal]])</f>
        <v>0</v>
      </c>
      <c r="R271" s="21">
        <f>+PROVEEDORES[[#This Row],[SUBTOTAL]]+PROVEEDORES[[#This Row],[IVA 19%]]-PROVEEDORES[[#This Row],[descuento sobre subtotal]]-PROVEEDORES[[#This Row],[Descuento sobre subtotal $2]]-PROVEEDORES[[#This Row],[Rete Fuente $]]</f>
        <v>127000</v>
      </c>
      <c r="S271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68">
        <f ca="1">IF(PROVEEDORES[[#This Row],[FECHA DE PAGO]]=0,TODAY()-PROVEEDORES[[#This Row],[FECHA DE FACTURACIÓN]]-PROVEEDORES[[#This Row],[PLAZO Días]],0)</f>
        <v>0</v>
      </c>
      <c r="U271" s="113">
        <f>+VLOOKUP(PROVEEDORES[[#This Row],[PROVEEDOR]],Terceros!$A:$D,4,FALSE)</f>
        <v>0</v>
      </c>
      <c r="V271" s="114">
        <f>+YEAR(PROVEEDORES[[#This Row],[FECHA DE FACTURACIÓN]])</f>
        <v>2022</v>
      </c>
      <c r="W271" s="114">
        <f>+MATCH(PROVEEDORES[[#This Row],[año facturado]],Retenciones!$1:$1,0)</f>
        <v>5</v>
      </c>
      <c r="X271" s="115">
        <f>+VLOOKUP(PROVEEDORES[[#This Row],[ID RETENCION]],Retenciones!$A$1:$O$25,PROVEEDORES[[#This Row],[indicador de columna]],FALSE)</f>
        <v>0</v>
      </c>
      <c r="Y271" s="116">
        <f>+VLOOKUP(PROVEEDORES[[#This Row],[ID RETENCION]],Retenciones!$A$1:$O$25,2,FALSE)</f>
        <v>0</v>
      </c>
      <c r="Z271" s="125" t="b">
        <f>OR(COUNTIF(PROVEEDORES[[#This Row],[PROVEEDOR]],"*"&amp;'Palabra no opera'!$A$2&amp;"*"))</f>
        <v>0</v>
      </c>
      <c r="AA271" s="24"/>
      <c r="AB271" s="24"/>
      <c r="AC271" s="24"/>
      <c r="AD271" s="24"/>
      <c r="AE271" s="24"/>
    </row>
    <row r="272" spans="1:31" ht="22.2" customHeight="1" x14ac:dyDescent="0.3">
      <c r="A272" s="66" t="str">
        <f>+IF(PROVEEDORES[[#This Row],[FECHA DE PAGO]]=PROVEEDORES[[#This Row],[FECHA DE FACTURACIÓN]],"DE CONTADO","CRÉDITO")</f>
        <v>CRÉDITO</v>
      </c>
      <c r="B272" s="38" t="b">
        <f>+IF((PROVEEDORES[[#This Row],[FECHA DE PAGO]]-PROVEEDORES[[#This Row],[FECHA DE FACTURACIÓN]])&gt;PROVEEDORES[[#This Row],[PLAZO Días]],"PAGO VENCIDO")</f>
        <v>0</v>
      </c>
      <c r="C272" s="20">
        <f>+VLOOKUP(PROVEEDORES[[#This Row],[PROVEEDOR]],TERCEROS_INFO[#All],2,FALSE)</f>
        <v>30</v>
      </c>
      <c r="D272" s="25">
        <f>+SUMIFS(PROVEEDORES[Total],PROVEEDORES[PROVEEDOR],PROVEEDORES[[#This Row],[PROVEEDOR]],PROVEEDORES[FECHA DE PAGO],"")</f>
        <v>0</v>
      </c>
      <c r="E272" s="25"/>
      <c r="F27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72" s="161">
        <v>44663</v>
      </c>
      <c r="H272" s="26" t="s">
        <v>927</v>
      </c>
      <c r="I272" s="161">
        <v>44652</v>
      </c>
      <c r="J272" s="35" t="s">
        <v>852</v>
      </c>
      <c r="K272" s="21">
        <f>59583+68166</f>
        <v>127749</v>
      </c>
      <c r="L272" s="21"/>
      <c r="M272" s="22">
        <f>(PROVEEDORES[[#This Row],[SUBTOTAL]]-PROVEEDORES[[#This Row],[descuento sobre subtotal]])*VLOOKUP(PROVEEDORES[[#This Row],[PROVEEDOR]],TERCEROS_INFO[#All],3,FALSE)</f>
        <v>0</v>
      </c>
      <c r="N272" s="23"/>
      <c r="O272" s="22">
        <f>+PROVEEDORES[[#This Row],[Descuento sobre subtotal %]]*(PROVEEDORES[[#This Row],[SUBTOTAL]]-PROVEEDORES[[#This Row],[descuento sobre subtotal]])</f>
        <v>0</v>
      </c>
      <c r="P272" s="83">
        <f>+IF(PROVEEDORES[[#This Row],[SUBTOTAL]]&lt;PROVEEDORES[[#This Row],[base retencion]],0,PROVEEDORES[[#This Row],[retención aplicada]])</f>
        <v>0</v>
      </c>
      <c r="Q272" s="22">
        <f>+PROVEEDORES[[#This Row],[Rete Fuente %]]*(PROVEEDORES[[#This Row],[SUBTOTAL]]-PROVEEDORES[[#This Row],[descuento sobre subtotal]])</f>
        <v>0</v>
      </c>
      <c r="R272" s="21">
        <f>+PROVEEDORES[[#This Row],[SUBTOTAL]]+PROVEEDORES[[#This Row],[IVA 19%]]-PROVEEDORES[[#This Row],[descuento sobre subtotal]]-PROVEEDORES[[#This Row],[Descuento sobre subtotal $2]]-PROVEEDORES[[#This Row],[Rete Fuente $]]</f>
        <v>127749</v>
      </c>
      <c r="S2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68">
        <f ca="1">IF(PROVEEDORES[[#This Row],[FECHA DE PAGO]]=0,TODAY()-PROVEEDORES[[#This Row],[FECHA DE FACTURACIÓN]]-PROVEEDORES[[#This Row],[PLAZO Días]],0)</f>
        <v>0</v>
      </c>
      <c r="U272" s="96">
        <f>+VLOOKUP(PROVEEDORES[[#This Row],[PROVEEDOR]],Terceros!$A:$D,4,FALSE)</f>
        <v>0</v>
      </c>
      <c r="V272" s="97">
        <f>+YEAR(PROVEEDORES[[#This Row],[FECHA DE FACTURACIÓN]])</f>
        <v>2022</v>
      </c>
      <c r="W272" s="97">
        <f>+MATCH(PROVEEDORES[[#This Row],[año facturado]],Retenciones!$1:$1,0)</f>
        <v>5</v>
      </c>
      <c r="X272" s="98">
        <f>+VLOOKUP(PROVEEDORES[[#This Row],[ID RETENCION]],Retenciones!$A$1:$O$25,PROVEEDORES[[#This Row],[indicador de columna]],FALSE)</f>
        <v>0</v>
      </c>
      <c r="Y272" s="99">
        <f>+VLOOKUP(PROVEEDORES[[#This Row],[ID RETENCION]],Retenciones!$A$1:$O$25,2,FALSE)</f>
        <v>0</v>
      </c>
      <c r="Z272" s="125" t="b">
        <f>OR(COUNTIF(PROVEEDORES[[#This Row],[PROVEEDOR]],"*"&amp;'Palabra no opera'!$A$2&amp;"*"))</f>
        <v>1</v>
      </c>
      <c r="AA272" s="24"/>
      <c r="AB272" s="24"/>
      <c r="AC272" s="24"/>
      <c r="AD272" s="24"/>
      <c r="AE272" s="24"/>
    </row>
    <row r="273" spans="1:31" ht="22.2" customHeight="1" x14ac:dyDescent="0.3">
      <c r="A273" s="159" t="str">
        <f>+IF(PROVEEDORES[[#This Row],[FECHA DE PAGO]]=PROVEEDORES[[#This Row],[FECHA DE FACTURACIÓN]],"DE CONTADO","CRÉDITO")</f>
        <v>CRÉDITO</v>
      </c>
      <c r="B273" s="38" t="b">
        <f>+IF((PROVEEDORES[[#This Row],[FECHA DE PAGO]]-PROVEEDORES[[#This Row],[FECHA DE FACTURACIÓN]])&gt;PROVEEDORES[[#This Row],[PLAZO Días]],"PAGO VENCIDO")</f>
        <v>0</v>
      </c>
      <c r="C273" s="20">
        <f>+VLOOKUP(PROVEEDORES[[#This Row],[PROVEEDOR]],TERCEROS_INFO[#All],2,FALSE)</f>
        <v>30</v>
      </c>
      <c r="D273" s="25">
        <f>+SUMIFS(PROVEEDORES[Total],PROVEEDORES[PROVEEDOR],PROVEEDORES[[#This Row],[PROVEEDOR]],PROVEEDORES[FECHA DE PAGO],"")</f>
        <v>0</v>
      </c>
      <c r="E273" s="25"/>
      <c r="F273" s="58" t="str">
        <f>+VLOOKUP(PROVEEDORES[[#This Row],[PROVEEDOR]],
                       Terceros!$A:$F,
                       5,
                       FALSE)</f>
        <v/>
      </c>
      <c r="G273" s="161">
        <v>44727</v>
      </c>
      <c r="H273" s="26" t="s">
        <v>1130</v>
      </c>
      <c r="I273" s="161">
        <v>44725</v>
      </c>
      <c r="J273" s="35" t="s">
        <v>1029</v>
      </c>
      <c r="K273" s="21">
        <v>128900</v>
      </c>
      <c r="L273" s="21"/>
      <c r="M273" s="22">
        <f>(PROVEEDORES[[#This Row],[SUBTOTAL]]-PROVEEDORES[[#This Row],[descuento sobre subtotal]])*VLOOKUP(PROVEEDORES[[#This Row],[PROVEEDOR]],TERCEROS_INFO[#All],3,FALSE)</f>
        <v>0</v>
      </c>
      <c r="N273" s="23"/>
      <c r="O273" s="22">
        <f>+PROVEEDORES[[#This Row],[Descuento sobre subtotal %]]*(PROVEEDORES[[#This Row],[SUBTOTAL]]-PROVEEDORES[[#This Row],[descuento sobre subtotal]])</f>
        <v>0</v>
      </c>
      <c r="P273" s="83">
        <f>+IF(PROVEEDORES[[#This Row],[SUBTOTAL]]&lt;PROVEEDORES[[#This Row],[base retencion]],0,PROVEEDORES[[#This Row],[retención aplicada]])</f>
        <v>0</v>
      </c>
      <c r="Q273" s="22">
        <f>+PROVEEDORES[[#This Row],[Rete Fuente %]]*(PROVEEDORES[[#This Row],[SUBTOTAL]]-PROVEEDORES[[#This Row],[descuento sobre subtotal]])</f>
        <v>0</v>
      </c>
      <c r="R273" s="21">
        <f>+PROVEEDORES[[#This Row],[SUBTOTAL]]+PROVEEDORES[[#This Row],[IVA 19%]]-PROVEEDORES[[#This Row],[descuento sobre subtotal]]-PROVEEDORES[[#This Row],[Descuento sobre subtotal $2]]-PROVEEDORES[[#This Row],[Rete Fuente $]]</f>
        <v>128900</v>
      </c>
      <c r="S27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68">
        <f ca="1">IF(PROVEEDORES[[#This Row],[FECHA DE PAGO]]=0,TODAY()-PROVEEDORES[[#This Row],[FECHA DE FACTURACIÓN]]-PROVEEDORES[[#This Row],[PLAZO Días]],0)</f>
        <v>0</v>
      </c>
      <c r="U273" s="113">
        <f>+VLOOKUP(PROVEEDORES[[#This Row],[PROVEEDOR]],Terceros!$A:$D,4,FALSE)</f>
        <v>0</v>
      </c>
      <c r="V273" s="114">
        <f>+YEAR(PROVEEDORES[[#This Row],[FECHA DE FACTURACIÓN]])</f>
        <v>2022</v>
      </c>
      <c r="W273" s="114">
        <f>+MATCH(PROVEEDORES[[#This Row],[año facturado]],Retenciones!$1:$1,0)</f>
        <v>5</v>
      </c>
      <c r="X273" s="115">
        <f>+VLOOKUP(PROVEEDORES[[#This Row],[ID RETENCION]],Retenciones!$A$1:$O$25,PROVEEDORES[[#This Row],[indicador de columna]],FALSE)</f>
        <v>0</v>
      </c>
      <c r="Y273" s="116">
        <f>+VLOOKUP(PROVEEDORES[[#This Row],[ID RETENCION]],Retenciones!$A$1:$O$25,2,FALSE)</f>
        <v>0</v>
      </c>
      <c r="Z273" s="125" t="b">
        <f>OR(COUNTIF(PROVEEDORES[[#This Row],[PROVEEDOR]],"*"&amp;'Palabra no opera'!$A$2&amp;"*"))</f>
        <v>1</v>
      </c>
      <c r="AA273" s="24"/>
      <c r="AB273" s="24"/>
      <c r="AC273" s="24"/>
      <c r="AD273" s="24"/>
      <c r="AE273" s="24"/>
    </row>
    <row r="274" spans="1:31" ht="22.2" customHeight="1" x14ac:dyDescent="0.3">
      <c r="A274" s="66" t="str">
        <f>+IF(PROVEEDORES[[#This Row],[FECHA DE PAGO]]=PROVEEDORES[[#This Row],[FECHA DE FACTURACIÓN]],"DE CONTADO","CRÉDITO")</f>
        <v>CRÉDITO</v>
      </c>
      <c r="B274" s="38" t="str">
        <f>+IF((PROVEEDORES[[#This Row],[FECHA DE PAGO]]-PROVEEDORES[[#This Row],[FECHA DE FACTURACIÓN]])&gt;PROVEEDORES[[#This Row],[PLAZO Días]],"PAGO VENCIDO")</f>
        <v>PAGO VENCIDO</v>
      </c>
      <c r="C274" s="20">
        <f>+VLOOKUP(PROVEEDORES[[#This Row],[PROVEEDOR]],TERCEROS_INFO[#All],2,FALSE)</f>
        <v>30</v>
      </c>
      <c r="D274" s="25">
        <f>+SUMIFS(PROVEEDORES[Total],PROVEEDORES[PROVEEDOR],PROVEEDORES[[#This Row],[PROVEEDOR]],PROVEEDORES[FECHA DE PAGO],"")</f>
        <v>0</v>
      </c>
      <c r="E274" s="25"/>
      <c r="F274" s="58" t="str">
        <f>+VLOOKUP(PROVEEDORES[[#This Row],[PROVEEDOR]],
                       Terceros!$A:$F,
                       5,
                       FALSE)</f>
        <v/>
      </c>
      <c r="G274" s="161">
        <v>44433</v>
      </c>
      <c r="H274" s="26" t="s">
        <v>624</v>
      </c>
      <c r="I274" s="161">
        <v>44372</v>
      </c>
      <c r="J274" s="35" t="s">
        <v>1466</v>
      </c>
      <c r="K274" s="21">
        <v>130000</v>
      </c>
      <c r="L274" s="21"/>
      <c r="M274" s="22">
        <f>(PROVEEDORES[[#This Row],[SUBTOTAL]]-PROVEEDORES[[#This Row],[descuento sobre subtotal]])*VLOOKUP(PROVEEDORES[[#This Row],[PROVEEDOR]],TERCEROS_INFO[#All],3,FALSE)</f>
        <v>0</v>
      </c>
      <c r="N274" s="23"/>
      <c r="O274" s="22">
        <f>+PROVEEDORES[[#This Row],[Descuento sobre subtotal %]]*(PROVEEDORES[[#This Row],[SUBTOTAL]]-PROVEEDORES[[#This Row],[descuento sobre subtotal]])</f>
        <v>0</v>
      </c>
      <c r="P274" s="83">
        <f>+IF(PROVEEDORES[[#This Row],[SUBTOTAL]]&lt;PROVEEDORES[[#This Row],[base retencion]],0,PROVEEDORES[[#This Row],[retención aplicada]])</f>
        <v>0</v>
      </c>
      <c r="Q274" s="22">
        <f>+PROVEEDORES[[#This Row],[Rete Fuente %]]*(PROVEEDORES[[#This Row],[SUBTOTAL]]-PROVEEDORES[[#This Row],[descuento sobre subtotal]])</f>
        <v>0</v>
      </c>
      <c r="R274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2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68">
        <f ca="1">IF(PROVEEDORES[[#This Row],[FECHA DE PAGO]]=0,TODAY()-PROVEEDORES[[#This Row],[FECHA DE FACTURACIÓN]]-PROVEEDORES[[#This Row],[PLAZO Días]],0)</f>
        <v>0</v>
      </c>
      <c r="U274" s="96">
        <f>+VLOOKUP(PROVEEDORES[[#This Row],[PROVEEDOR]],Terceros!$A:$D,4,FALSE)</f>
        <v>0</v>
      </c>
      <c r="V274" s="97">
        <f>+YEAR(PROVEEDORES[[#This Row],[FECHA DE FACTURACIÓN]])</f>
        <v>2021</v>
      </c>
      <c r="W274" s="97">
        <f>+MATCH(PROVEEDORES[[#This Row],[año facturado]],Retenciones!$1:$1,0)</f>
        <v>4</v>
      </c>
      <c r="X274" s="98">
        <f>+VLOOKUP(PROVEEDORES[[#This Row],[ID RETENCION]],Retenciones!$A$1:$O$25,PROVEEDORES[[#This Row],[indicador de columna]],FALSE)</f>
        <v>0</v>
      </c>
      <c r="Y274" s="99">
        <f>+VLOOKUP(PROVEEDORES[[#This Row],[ID RETENCION]],Retenciones!$A$1:$O$25,2,FALSE)</f>
        <v>0</v>
      </c>
      <c r="Z274" s="125" t="b">
        <f>OR(COUNTIF(PROVEEDORES[[#This Row],[PROVEEDOR]],"*"&amp;'Palabra no opera'!$A$2&amp;"*"))</f>
        <v>0</v>
      </c>
      <c r="AA274" s="24"/>
      <c r="AB274" s="24"/>
      <c r="AC274" s="24"/>
      <c r="AD274" s="24"/>
      <c r="AE274" s="24"/>
    </row>
    <row r="275" spans="1:31" ht="22.2" customHeight="1" x14ac:dyDescent="0.3">
      <c r="A275" s="159" t="str">
        <f>+IF(PROVEEDORES[[#This Row],[FECHA DE PAGO]]=PROVEEDORES[[#This Row],[FECHA DE FACTURACIÓN]],"DE CONTADO","CRÉDITO")</f>
        <v>CRÉDITO</v>
      </c>
      <c r="B275" s="38" t="str">
        <f>+IF((PROVEEDORES[[#This Row],[FECHA DE PAGO]]-PROVEEDORES[[#This Row],[FECHA DE FACTURACIÓN]])&gt;PROVEEDORES[[#This Row],[PLAZO Días]],"PAGO VENCIDO")</f>
        <v>PAGO VENCIDO</v>
      </c>
      <c r="C275" s="20">
        <f>+VLOOKUP(PROVEEDORES[[#This Row],[PROVEEDOR]],TERCEROS_INFO[#All],2,FALSE)</f>
        <v>30</v>
      </c>
      <c r="D275" s="25">
        <f>+SUMIFS(PROVEEDORES[Total],PROVEEDORES[PROVEEDOR],PROVEEDORES[[#This Row],[PROVEEDOR]],PROVEEDORES[FECHA DE PAGO],"")</f>
        <v>0</v>
      </c>
      <c r="E275" s="25"/>
      <c r="F275" s="58" t="str">
        <f>+VLOOKUP(PROVEEDORES[[#This Row],[PROVEEDOR]],
                       Terceros!$A:$F,
                       5,
                       FALSE)</f>
        <v/>
      </c>
      <c r="G275" s="161">
        <v>44791</v>
      </c>
      <c r="H275" s="26" t="s">
        <v>624</v>
      </c>
      <c r="I275" s="161">
        <v>44741</v>
      </c>
      <c r="J275" s="35" t="s">
        <v>1612</v>
      </c>
      <c r="K275" s="21">
        <v>130000</v>
      </c>
      <c r="L275" s="21"/>
      <c r="M275" s="22">
        <f>(PROVEEDORES[[#This Row],[SUBTOTAL]]-PROVEEDORES[[#This Row],[descuento sobre subtotal]])*VLOOKUP(PROVEEDORES[[#This Row],[PROVEEDOR]],TERCEROS_INFO[#All],3,FALSE)</f>
        <v>0</v>
      </c>
      <c r="N275" s="23"/>
      <c r="O275" s="22">
        <f>+PROVEEDORES[[#This Row],[Descuento sobre subtotal %]]*(PROVEEDORES[[#This Row],[SUBTOTAL]]-PROVEEDORES[[#This Row],[descuento sobre subtotal]])</f>
        <v>0</v>
      </c>
      <c r="P275" s="83">
        <f>+IF(PROVEEDORES[[#This Row],[SUBTOTAL]]&lt;PROVEEDORES[[#This Row],[base retencion]],0,PROVEEDORES[[#This Row],[retención aplicada]])</f>
        <v>0</v>
      </c>
      <c r="Q275" s="22">
        <f>+PROVEEDORES[[#This Row],[Rete Fuente %]]*(PROVEEDORES[[#This Row],[SUBTOTAL]]-PROVEEDORES[[#This Row],[descuento sobre subtotal]])</f>
        <v>0</v>
      </c>
      <c r="R275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27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68">
        <f ca="1">IF(PROVEEDORES[[#This Row],[FECHA DE PAGO]]=0,TODAY()-PROVEEDORES[[#This Row],[FECHA DE FACTURACIÓN]]-PROVEEDORES[[#This Row],[PLAZO Días]],0)</f>
        <v>0</v>
      </c>
      <c r="U275" s="113">
        <f>+VLOOKUP(PROVEEDORES[[#This Row],[PROVEEDOR]],Terceros!$A:$D,4,FALSE)</f>
        <v>0</v>
      </c>
      <c r="V275" s="114">
        <f>+YEAR(PROVEEDORES[[#This Row],[FECHA DE FACTURACIÓN]])</f>
        <v>2022</v>
      </c>
      <c r="W275" s="114">
        <f>+MATCH(PROVEEDORES[[#This Row],[año facturado]],Retenciones!$1:$1,0)</f>
        <v>5</v>
      </c>
      <c r="X275" s="115">
        <f>+VLOOKUP(PROVEEDORES[[#This Row],[ID RETENCION]],Retenciones!$A$1:$O$25,PROVEEDORES[[#This Row],[indicador de columna]],FALSE)</f>
        <v>0</v>
      </c>
      <c r="Y275" s="116">
        <f>+VLOOKUP(PROVEEDORES[[#This Row],[ID RETENCION]],Retenciones!$A$1:$O$25,2,FALSE)</f>
        <v>0</v>
      </c>
      <c r="Z275" s="125" t="b">
        <f>OR(COUNTIF(PROVEEDORES[[#This Row],[PROVEEDOR]],"*"&amp;'Palabra no opera'!$A$2&amp;"*"))</f>
        <v>0</v>
      </c>
      <c r="AA275" s="24"/>
      <c r="AB275" s="24"/>
      <c r="AC275" s="24"/>
      <c r="AD275" s="24"/>
      <c r="AE275" s="24"/>
    </row>
    <row r="276" spans="1:31" ht="22.2" customHeight="1" x14ac:dyDescent="0.3">
      <c r="A276" s="66" t="str">
        <f>+IF(PROVEEDORES[[#This Row],[FECHA DE PAGO]]=PROVEEDORES[[#This Row],[FECHA DE FACTURACIÓN]],"DE CONTADO","CRÉDITO")</f>
        <v>DE CONTADO</v>
      </c>
      <c r="B276" s="38" t="b">
        <f>+IF((PROVEEDORES[[#This Row],[FECHA DE PAGO]]-PROVEEDORES[[#This Row],[FECHA DE FACTURACIÓN]])&gt;PROVEEDORES[[#This Row],[PLAZO Días]],"PAGO VENCIDO")</f>
        <v>0</v>
      </c>
      <c r="C276" s="20">
        <f>+VLOOKUP(PROVEEDORES[[#This Row],[PROVEEDOR]],TERCEROS_INFO[#All],2,FALSE)</f>
        <v>30</v>
      </c>
      <c r="D276" s="25">
        <f>+SUMIFS(PROVEEDORES[Total],PROVEEDORES[PROVEEDOR],PROVEEDORES[[#This Row],[PROVEEDOR]],PROVEEDORES[FECHA DE PAGO],"")</f>
        <v>0</v>
      </c>
      <c r="E276" s="25"/>
      <c r="F276" s="58" t="str">
        <f>+VLOOKUP(PROVEEDORES[[#This Row],[PROVEEDOR]],
                       Terceros!$A:$F,
                       5,
                       FALSE)</f>
        <v/>
      </c>
      <c r="G276" s="161">
        <v>44286</v>
      </c>
      <c r="H276" s="26" t="s">
        <v>644</v>
      </c>
      <c r="I276" s="161">
        <v>44286</v>
      </c>
      <c r="J276" s="35" t="s">
        <v>596</v>
      </c>
      <c r="K276" s="21">
        <v>132400</v>
      </c>
      <c r="L276" s="21"/>
      <c r="M276" s="22">
        <f>(PROVEEDORES[[#This Row],[SUBTOTAL]]-PROVEEDORES[[#This Row],[descuento sobre subtotal]])*VLOOKUP(PROVEEDORES[[#This Row],[PROVEEDOR]],TERCEROS_INFO[#All],3,FALSE)</f>
        <v>0</v>
      </c>
      <c r="N276" s="23"/>
      <c r="O276" s="22">
        <f>+PROVEEDORES[[#This Row],[Descuento sobre subtotal %]]*(PROVEEDORES[[#This Row],[SUBTOTAL]]-PROVEEDORES[[#This Row],[descuento sobre subtotal]])</f>
        <v>0</v>
      </c>
      <c r="P276" s="83">
        <f>+IF(PROVEEDORES[[#This Row],[SUBTOTAL]]&lt;PROVEEDORES[[#This Row],[base retencion]],0,PROVEEDORES[[#This Row],[retención aplicada]])</f>
        <v>0</v>
      </c>
      <c r="Q276" s="22">
        <f>+PROVEEDORES[[#This Row],[Rete Fuente %]]*(PROVEEDORES[[#This Row],[SUBTOTAL]]-PROVEEDORES[[#This Row],[descuento sobre subtotal]])</f>
        <v>0</v>
      </c>
      <c r="R276" s="21">
        <f>+PROVEEDORES[[#This Row],[SUBTOTAL]]+PROVEEDORES[[#This Row],[IVA 19%]]-PROVEEDORES[[#This Row],[descuento sobre subtotal]]-PROVEEDORES[[#This Row],[Descuento sobre subtotal $2]]-PROVEEDORES[[#This Row],[Rete Fuente $]]</f>
        <v>132400</v>
      </c>
      <c r="S2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68">
        <f ca="1">IF(PROVEEDORES[[#This Row],[FECHA DE PAGO]]=0,TODAY()-PROVEEDORES[[#This Row],[FECHA DE FACTURACIÓN]]-PROVEEDORES[[#This Row],[PLAZO Días]],0)</f>
        <v>0</v>
      </c>
      <c r="U276" s="96">
        <f>+VLOOKUP(PROVEEDORES[[#This Row],[PROVEEDOR]],Terceros!$A:$D,4,FALSE)</f>
        <v>0</v>
      </c>
      <c r="V276" s="97">
        <f>+YEAR(PROVEEDORES[[#This Row],[FECHA DE FACTURACIÓN]])</f>
        <v>2021</v>
      </c>
      <c r="W276" s="97">
        <f>+MATCH(PROVEEDORES[[#This Row],[año facturado]],Retenciones!$1:$1,0)</f>
        <v>4</v>
      </c>
      <c r="X276" s="98">
        <f>+VLOOKUP(PROVEEDORES[[#This Row],[ID RETENCION]],Retenciones!$A$1:$O$25,PROVEEDORES[[#This Row],[indicador de columna]],FALSE)</f>
        <v>0</v>
      </c>
      <c r="Y276" s="99">
        <f>+VLOOKUP(PROVEEDORES[[#This Row],[ID RETENCION]],Retenciones!$A$1:$O$25,2,FALSE)</f>
        <v>0</v>
      </c>
      <c r="Z276" s="125" t="b">
        <f>OR(COUNTIF(PROVEEDORES[[#This Row],[PROVEEDOR]],"*"&amp;'Palabra no opera'!$A$2&amp;"*"))</f>
        <v>0</v>
      </c>
      <c r="AA276" s="24"/>
      <c r="AB276" s="24"/>
      <c r="AC276" s="24"/>
      <c r="AD276" s="24"/>
      <c r="AE276" s="24"/>
    </row>
    <row r="277" spans="1:31" ht="22.2" customHeight="1" x14ac:dyDescent="0.3">
      <c r="A277" s="66" t="str">
        <f>+IF(PROVEEDORES[[#This Row],[FECHA DE PAGO]]=PROVEEDORES[[#This Row],[FECHA DE FACTURACIÓN]],"DE CONTADO","CRÉDITO")</f>
        <v>CRÉDITO</v>
      </c>
      <c r="B277" s="38" t="str">
        <f>+IF((PROVEEDORES[[#This Row],[FECHA DE PAGO]]-PROVEEDORES[[#This Row],[FECHA DE FACTURACIÓN]])&gt;PROVEEDORES[[#This Row],[PLAZO Días]],"PAGO VENCIDO")</f>
        <v>PAGO VENCIDO</v>
      </c>
      <c r="C277" s="20">
        <f>+VLOOKUP(PROVEEDORES[[#This Row],[PROVEEDOR]],TERCEROS_INFO[#All],2,FALSE)</f>
        <v>30</v>
      </c>
      <c r="D277" s="25">
        <f>+SUMIFS(PROVEEDORES[Total],PROVEEDORES[PROVEEDOR],PROVEEDORES[[#This Row],[PROVEEDOR]],PROVEEDORES[FECHA DE PAGO],"")</f>
        <v>3430770</v>
      </c>
      <c r="E277" s="25"/>
      <c r="F27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77" s="161">
        <v>44427</v>
      </c>
      <c r="H277" s="26" t="s">
        <v>1448</v>
      </c>
      <c r="I277" s="161">
        <v>44390</v>
      </c>
      <c r="J277" s="35">
        <v>19589</v>
      </c>
      <c r="K277" s="21">
        <v>114000</v>
      </c>
      <c r="L277" s="21"/>
      <c r="M277" s="22">
        <f>(PROVEEDORES[[#This Row],[SUBTOTAL]]-PROVEEDORES[[#This Row],[descuento sobre subtotal]])*VLOOKUP(PROVEEDORES[[#This Row],[PROVEEDOR]],TERCEROS_INFO[#All],3,FALSE)</f>
        <v>21660</v>
      </c>
      <c r="N277" s="23"/>
      <c r="O277" s="22">
        <f>+PROVEEDORES[[#This Row],[Descuento sobre subtotal %]]*(PROVEEDORES[[#This Row],[SUBTOTAL]]-PROVEEDORES[[#This Row],[descuento sobre subtotal]])</f>
        <v>0</v>
      </c>
      <c r="P277" s="83">
        <v>2.5000000000000001E-2</v>
      </c>
      <c r="Q277" s="22">
        <f>+PROVEEDORES[[#This Row],[Rete Fuente %]]*(PROVEEDORES[[#This Row],[SUBTOTAL]]-PROVEEDORES[[#This Row],[descuento sobre subtotal]])</f>
        <v>2850</v>
      </c>
      <c r="R277" s="21">
        <f>+PROVEEDORES[[#This Row],[SUBTOTAL]]+PROVEEDORES[[#This Row],[IVA 19%]]-PROVEEDORES[[#This Row],[descuento sobre subtotal]]-PROVEEDORES[[#This Row],[Descuento sobre subtotal $2]]-PROVEEDORES[[#This Row],[Rete Fuente $]]</f>
        <v>132810</v>
      </c>
      <c r="S2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68">
        <f ca="1">IF(PROVEEDORES[[#This Row],[FECHA DE PAGO]]=0,TODAY()-PROVEEDORES[[#This Row],[FECHA DE FACTURACIÓN]]-PROVEEDORES[[#This Row],[PLAZO Días]],0)</f>
        <v>0</v>
      </c>
      <c r="U277" s="96">
        <f>+VLOOKUP(PROVEEDORES[[#This Row],[PROVEEDOR]],Terceros!$A:$D,4,FALSE)</f>
        <v>0</v>
      </c>
      <c r="V277" s="97">
        <f>+YEAR(PROVEEDORES[[#This Row],[FECHA DE FACTURACIÓN]])</f>
        <v>2021</v>
      </c>
      <c r="W277" s="97">
        <f>+MATCH(PROVEEDORES[[#This Row],[año facturado]],Retenciones!$1:$1,0)</f>
        <v>4</v>
      </c>
      <c r="X277" s="98">
        <f>+VLOOKUP(PROVEEDORES[[#This Row],[ID RETENCION]],Retenciones!$A$1:$O$25,PROVEEDORES[[#This Row],[indicador de columna]],FALSE)</f>
        <v>0</v>
      </c>
      <c r="Y277" s="99">
        <f>+VLOOKUP(PROVEEDORES[[#This Row],[ID RETENCION]],Retenciones!$A$1:$O$25,2,FALSE)</f>
        <v>0</v>
      </c>
      <c r="Z277" s="125" t="b">
        <f>OR(COUNTIF(PROVEEDORES[[#This Row],[PROVEEDOR]],"*"&amp;'Palabra no opera'!$A$2&amp;"*"))</f>
        <v>0</v>
      </c>
      <c r="AA277" s="24"/>
      <c r="AB277" s="24"/>
      <c r="AC277" s="24"/>
      <c r="AD277" s="24"/>
      <c r="AE277" s="24"/>
    </row>
    <row r="278" spans="1:31" ht="22.2" customHeight="1" x14ac:dyDescent="0.3">
      <c r="A278" s="66" t="str">
        <f>+IF(PROVEEDORES[[#This Row],[FECHA DE PAGO]]=PROVEEDORES[[#This Row],[FECHA DE FACTURACIÓN]],"DE CONTADO","CRÉDITO")</f>
        <v>CRÉDITO</v>
      </c>
      <c r="B278" s="38" t="b">
        <f>+IF((PROVEEDORES[[#This Row],[FECHA DE PAGO]]-PROVEEDORES[[#This Row],[FECHA DE FACTURACIÓN]])&gt;PROVEEDORES[[#This Row],[PLAZO Días]],"PAGO VENCIDO")</f>
        <v>0</v>
      </c>
      <c r="C278" s="20">
        <f>+VLOOKUP(PROVEEDORES[[#This Row],[PROVEEDOR]],TERCEROS_INFO[#All],2,FALSE)</f>
        <v>30</v>
      </c>
      <c r="D278" s="25">
        <f>+SUMIFS(PROVEEDORES[Total],PROVEEDORES[PROVEEDOR],PROVEEDORES[[#This Row],[PROVEEDOR]],PROVEEDORES[FECHA DE PAGO],"")</f>
        <v>0</v>
      </c>
      <c r="E278" s="25"/>
      <c r="F27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78" s="161">
        <v>44222</v>
      </c>
      <c r="H278" s="26" t="s">
        <v>1451</v>
      </c>
      <c r="I278" s="161">
        <v>44216</v>
      </c>
      <c r="J278" s="35">
        <v>57</v>
      </c>
      <c r="K278" s="21">
        <v>133000</v>
      </c>
      <c r="L278" s="21"/>
      <c r="M278" s="22">
        <f>(PROVEEDORES[[#This Row],[SUBTOTAL]]-PROVEEDORES[[#This Row],[descuento sobre subtotal]])*VLOOKUP(PROVEEDORES[[#This Row],[PROVEEDOR]],TERCEROS_INFO[#All],3,FALSE)</f>
        <v>0</v>
      </c>
      <c r="N278" s="23"/>
      <c r="O278" s="22">
        <f>+PROVEEDORES[[#This Row],[Descuento sobre subtotal %]]*(PROVEEDORES[[#This Row],[SUBTOTAL]]-PROVEEDORES[[#This Row],[descuento sobre subtotal]])</f>
        <v>0</v>
      </c>
      <c r="P278" s="83">
        <f>+IF(PROVEEDORES[[#This Row],[SUBTOTAL]]&lt;PROVEEDORES[[#This Row],[base retencion]],0,PROVEEDORES[[#This Row],[retención aplicada]])</f>
        <v>0</v>
      </c>
      <c r="Q278" s="22">
        <f>+PROVEEDORES[[#This Row],[Rete Fuente %]]*(PROVEEDORES[[#This Row],[SUBTOTAL]]-PROVEEDORES[[#This Row],[descuento sobre subtotal]])</f>
        <v>0</v>
      </c>
      <c r="R278" s="21">
        <f>+PROVEEDORES[[#This Row],[SUBTOTAL]]+PROVEEDORES[[#This Row],[IVA 19%]]-PROVEEDORES[[#This Row],[descuento sobre subtotal]]-PROVEEDORES[[#This Row],[Descuento sobre subtotal $2]]-PROVEEDORES[[#This Row],[Rete Fuente $]]</f>
        <v>133000</v>
      </c>
      <c r="S2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68">
        <f ca="1">IF(PROVEEDORES[[#This Row],[FECHA DE PAGO]]=0,TODAY()-PROVEEDORES[[#This Row],[FECHA DE FACTURACIÓN]]-PROVEEDORES[[#This Row],[PLAZO Días]],0)</f>
        <v>0</v>
      </c>
      <c r="U278" s="96" t="str">
        <f>+VLOOKUP(PROVEEDORES[[#This Row],[PROVEEDOR]],Terceros!$A:$D,4,FALSE)</f>
        <v>1% con base</v>
      </c>
      <c r="V278" s="97">
        <f>+YEAR(PROVEEDORES[[#This Row],[FECHA DE FACTURACIÓN]])</f>
        <v>2021</v>
      </c>
      <c r="W278" s="97">
        <f>+MATCH(PROVEEDORES[[#This Row],[año facturado]],Retenciones!$1:$1,0)</f>
        <v>4</v>
      </c>
      <c r="X278" s="98">
        <f>+VLOOKUP(PROVEEDORES[[#This Row],[ID RETENCION]],Retenciones!$A$1:$O$25,PROVEEDORES[[#This Row],[indicador de columna]],FALSE)</f>
        <v>145000</v>
      </c>
      <c r="Y278" s="99">
        <f>+VLOOKUP(PROVEEDORES[[#This Row],[ID RETENCION]],Retenciones!$A$1:$O$25,2,FALSE)</f>
        <v>0.01</v>
      </c>
      <c r="Z278" s="125" t="b">
        <f>OR(COUNTIF(PROVEEDORES[[#This Row],[PROVEEDOR]],"*"&amp;'Palabra no opera'!$A$2&amp;"*"))</f>
        <v>0</v>
      </c>
      <c r="AA278" s="24"/>
      <c r="AB278" s="24"/>
      <c r="AC278" s="24"/>
      <c r="AD278" s="24"/>
      <c r="AE278" s="24"/>
    </row>
    <row r="279" spans="1:31" ht="22.2" customHeight="1" x14ac:dyDescent="0.3">
      <c r="A279" s="66" t="str">
        <f>+IF(PROVEEDORES[[#This Row],[FECHA DE PAGO]]=PROVEEDORES[[#This Row],[FECHA DE FACTURACIÓN]],"DE CONTADO","CRÉDITO")</f>
        <v>CRÉDITO</v>
      </c>
      <c r="B279" s="38" t="str">
        <f>+IF((PROVEEDORES[[#This Row],[FECHA DE PAGO]]-PROVEEDORES[[#This Row],[FECHA DE FACTURACIÓN]])&gt;PROVEEDORES[[#This Row],[PLAZO Días]],"PAGO VENCIDO")</f>
        <v>PAGO VENCIDO</v>
      </c>
      <c r="C279" s="20">
        <f>+VLOOKUP(PROVEEDORES[[#This Row],[PROVEEDOR]],TERCEROS_INFO[#All],2,FALSE)</f>
        <v>30</v>
      </c>
      <c r="D279" s="25">
        <f>+SUMIFS(PROVEEDORES[Total],PROVEEDORES[PROVEEDOR],PROVEEDORES[[#This Row],[PROVEEDOR]],PROVEEDORES[FECHA DE PAGO],"")</f>
        <v>0</v>
      </c>
      <c r="E279" s="25"/>
      <c r="F27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79" s="161">
        <v>44536</v>
      </c>
      <c r="H279" s="26" t="s">
        <v>691</v>
      </c>
      <c r="I279" s="161">
        <v>44490</v>
      </c>
      <c r="J279" s="35" t="s">
        <v>1436</v>
      </c>
      <c r="K279" s="21">
        <v>133000</v>
      </c>
      <c r="L279" s="21"/>
      <c r="M279" s="22">
        <f>(PROVEEDORES[[#This Row],[SUBTOTAL]]-PROVEEDORES[[#This Row],[descuento sobre subtotal]])*VLOOKUP(PROVEEDORES[[#This Row],[PROVEEDOR]],TERCEROS_INFO[#All],3,FALSE)</f>
        <v>0</v>
      </c>
      <c r="N279" s="23"/>
      <c r="O279" s="22">
        <f>+PROVEEDORES[[#This Row],[Descuento sobre subtotal %]]*(PROVEEDORES[[#This Row],[SUBTOTAL]]-PROVEEDORES[[#This Row],[descuento sobre subtotal]])</f>
        <v>0</v>
      </c>
      <c r="P279" s="83">
        <f>+IF(PROVEEDORES[[#This Row],[SUBTOTAL]]&lt;PROVEEDORES[[#This Row],[base retencion]],0,PROVEEDORES[[#This Row],[retención aplicada]])</f>
        <v>0</v>
      </c>
      <c r="Q279" s="22">
        <f>+PROVEEDORES[[#This Row],[Rete Fuente %]]*(PROVEEDORES[[#This Row],[SUBTOTAL]]-PROVEEDORES[[#This Row],[descuento sobre subtotal]])</f>
        <v>0</v>
      </c>
      <c r="R279" s="21">
        <f>+PROVEEDORES[[#This Row],[SUBTOTAL]]+PROVEEDORES[[#This Row],[IVA 19%]]-PROVEEDORES[[#This Row],[descuento sobre subtotal]]-PROVEEDORES[[#This Row],[Descuento sobre subtotal $2]]-PROVEEDORES[[#This Row],[Rete Fuente $]]</f>
        <v>133000</v>
      </c>
      <c r="S2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68">
        <f ca="1">IF(PROVEEDORES[[#This Row],[FECHA DE PAGO]]=0,TODAY()-PROVEEDORES[[#This Row],[FECHA DE FACTURACIÓN]]-PROVEEDORES[[#This Row],[PLAZO Días]],0)</f>
        <v>0</v>
      </c>
      <c r="U279" s="96">
        <f>+VLOOKUP(PROVEEDORES[[#This Row],[PROVEEDOR]],Terceros!$A:$D,4,FALSE)</f>
        <v>0</v>
      </c>
      <c r="V279" s="97">
        <f>+YEAR(PROVEEDORES[[#This Row],[FECHA DE FACTURACIÓN]])</f>
        <v>2021</v>
      </c>
      <c r="W279" s="97">
        <f>+MATCH(PROVEEDORES[[#This Row],[año facturado]],Retenciones!$1:$1,0)</f>
        <v>4</v>
      </c>
      <c r="X279" s="98">
        <f>+VLOOKUP(PROVEEDORES[[#This Row],[ID RETENCION]],Retenciones!$A$1:$O$25,PROVEEDORES[[#This Row],[indicador de columna]],FALSE)</f>
        <v>0</v>
      </c>
      <c r="Y279" s="99">
        <f>+VLOOKUP(PROVEEDORES[[#This Row],[ID RETENCION]],Retenciones!$A$1:$O$25,2,FALSE)</f>
        <v>0</v>
      </c>
      <c r="Z279" s="125" t="b">
        <f>OR(COUNTIF(PROVEEDORES[[#This Row],[PROVEEDOR]],"*"&amp;'Palabra no opera'!$A$2&amp;"*"))</f>
        <v>0</v>
      </c>
      <c r="AA279" s="24"/>
      <c r="AB279" s="24"/>
      <c r="AC279" s="24"/>
      <c r="AD279" s="24"/>
      <c r="AE279" s="24"/>
    </row>
    <row r="280" spans="1:31" ht="22.2" customHeight="1" x14ac:dyDescent="0.3">
      <c r="A280" s="66" t="str">
        <f>+IF(PROVEEDORES[[#This Row],[FECHA DE PAGO]]=PROVEEDORES[[#This Row],[FECHA DE FACTURACIÓN]],"DE CONTADO","CRÉDITO")</f>
        <v>CRÉDITO</v>
      </c>
      <c r="B280" s="38" t="b">
        <f>+IF((PROVEEDORES[[#This Row],[FECHA DE PAGO]]-PROVEEDORES[[#This Row],[FECHA DE FACTURACIÓN]])&gt;PROVEEDORES[[#This Row],[PLAZO Días]],"PAGO VENCIDO")</f>
        <v>0</v>
      </c>
      <c r="C280" s="20">
        <f>+VLOOKUP(PROVEEDORES[[#This Row],[PROVEEDOR]],TERCEROS_INFO[#All],2,FALSE)</f>
        <v>30</v>
      </c>
      <c r="D280" s="25">
        <f>+SUMIFS(PROVEEDORES[Total],PROVEEDORES[PROVEEDOR],PROVEEDORES[[#This Row],[PROVEEDOR]],PROVEEDORES[FECHA DE PAGO],"")</f>
        <v>0</v>
      </c>
      <c r="E280" s="25"/>
      <c r="F28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80" s="161">
        <v>44554</v>
      </c>
      <c r="H280" s="26" t="s">
        <v>1451</v>
      </c>
      <c r="I280" s="161">
        <v>44551</v>
      </c>
      <c r="J280" s="35">
        <v>186</v>
      </c>
      <c r="K280" s="21">
        <v>135000</v>
      </c>
      <c r="L280" s="21"/>
      <c r="M280" s="22">
        <f>(PROVEEDORES[[#This Row],[SUBTOTAL]]-PROVEEDORES[[#This Row],[descuento sobre subtotal]])*VLOOKUP(PROVEEDORES[[#This Row],[PROVEEDOR]],TERCEROS_INFO[#All],3,FALSE)</f>
        <v>0</v>
      </c>
      <c r="N280" s="23"/>
      <c r="O280" s="22">
        <f>+PROVEEDORES[[#This Row],[Descuento sobre subtotal %]]*(PROVEEDORES[[#This Row],[SUBTOTAL]]-PROVEEDORES[[#This Row],[descuento sobre subtotal]])</f>
        <v>0</v>
      </c>
      <c r="P280" s="83">
        <f>+IF(PROVEEDORES[[#This Row],[SUBTOTAL]]&lt;PROVEEDORES[[#This Row],[base retencion]],0,PROVEEDORES[[#This Row],[retención aplicada]])</f>
        <v>0</v>
      </c>
      <c r="Q280" s="22">
        <f>+PROVEEDORES[[#This Row],[Rete Fuente %]]*(PROVEEDORES[[#This Row],[SUBTOTAL]]-PROVEEDORES[[#This Row],[descuento sobre subtotal]])</f>
        <v>0</v>
      </c>
      <c r="R280" s="21">
        <f>+PROVEEDORES[[#This Row],[SUBTOTAL]]+PROVEEDORES[[#This Row],[IVA 19%]]-PROVEEDORES[[#This Row],[descuento sobre subtotal]]-PROVEEDORES[[#This Row],[Descuento sobre subtotal $2]]-PROVEEDORES[[#This Row],[Rete Fuente $]]</f>
        <v>135000</v>
      </c>
      <c r="S2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68">
        <f ca="1">IF(PROVEEDORES[[#This Row],[FECHA DE PAGO]]=0,TODAY()-PROVEEDORES[[#This Row],[FECHA DE FACTURACIÓN]]-PROVEEDORES[[#This Row],[PLAZO Días]],0)</f>
        <v>0</v>
      </c>
      <c r="U280" s="96" t="str">
        <f>+VLOOKUP(PROVEEDORES[[#This Row],[PROVEEDOR]],Terceros!$A:$D,4,FALSE)</f>
        <v>1% con base</v>
      </c>
      <c r="V280" s="97">
        <f>+YEAR(PROVEEDORES[[#This Row],[FECHA DE FACTURACIÓN]])</f>
        <v>2021</v>
      </c>
      <c r="W280" s="97">
        <f>+MATCH(PROVEEDORES[[#This Row],[año facturado]],Retenciones!$1:$1,0)</f>
        <v>4</v>
      </c>
      <c r="X280" s="98">
        <f>+VLOOKUP(PROVEEDORES[[#This Row],[ID RETENCION]],Retenciones!$A$1:$O$25,PROVEEDORES[[#This Row],[indicador de columna]],FALSE)</f>
        <v>145000</v>
      </c>
      <c r="Y280" s="99">
        <f>+VLOOKUP(PROVEEDORES[[#This Row],[ID RETENCION]],Retenciones!$A$1:$O$25,2,FALSE)</f>
        <v>0.01</v>
      </c>
      <c r="Z280" s="125" t="b">
        <f>OR(COUNTIF(PROVEEDORES[[#This Row],[PROVEEDOR]],"*"&amp;'Palabra no opera'!$A$2&amp;"*"))</f>
        <v>0</v>
      </c>
      <c r="AA280" s="24"/>
      <c r="AB280" s="24"/>
      <c r="AC280" s="24"/>
      <c r="AD280" s="24"/>
      <c r="AE280" s="24"/>
    </row>
    <row r="281" spans="1:31" ht="22.2" customHeight="1" x14ac:dyDescent="0.3">
      <c r="A281" s="66" t="str">
        <f>+IF(PROVEEDORES[[#This Row],[FECHA DE PAGO]]=PROVEEDORES[[#This Row],[FECHA DE FACTURACIÓN]],"DE CONTADO","CRÉDITO")</f>
        <v>CRÉDITO</v>
      </c>
      <c r="B281" s="38" t="b">
        <f>+IF((PROVEEDORES[[#This Row],[FECHA DE PAGO]]-PROVEEDORES[[#This Row],[FECHA DE FACTURACIÓN]])&gt;PROVEEDORES[[#This Row],[PLAZO Días]],"PAGO VENCIDO")</f>
        <v>0</v>
      </c>
      <c r="C281" s="20">
        <f>+VLOOKUP(PROVEEDORES[[#This Row],[PROVEEDOR]],TERCEROS_INFO[#All],2,FALSE)</f>
        <v>30</v>
      </c>
      <c r="D281" s="25">
        <f>+SUMIFS(PROVEEDORES[Total],PROVEEDORES[PROVEEDOR],PROVEEDORES[[#This Row],[PROVEEDOR]],PROVEEDORES[FECHA DE PAGO],"")</f>
        <v>0</v>
      </c>
      <c r="E281" s="25"/>
      <c r="F28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81" s="161">
        <v>44567</v>
      </c>
      <c r="H281" s="26" t="s">
        <v>1451</v>
      </c>
      <c r="I281" s="161">
        <v>44565</v>
      </c>
      <c r="J281" s="35">
        <v>192</v>
      </c>
      <c r="K281" s="21">
        <v>135000</v>
      </c>
      <c r="L281" s="21"/>
      <c r="M281" s="22">
        <f>(PROVEEDORES[[#This Row],[SUBTOTAL]]-PROVEEDORES[[#This Row],[descuento sobre subtotal]])*VLOOKUP(PROVEEDORES[[#This Row],[PROVEEDOR]],TERCEROS_INFO[#All],3,FALSE)</f>
        <v>0</v>
      </c>
      <c r="N281" s="23"/>
      <c r="O281" s="22">
        <f>+PROVEEDORES[[#This Row],[Descuento sobre subtotal %]]*(PROVEEDORES[[#This Row],[SUBTOTAL]]-PROVEEDORES[[#This Row],[descuento sobre subtotal]])</f>
        <v>0</v>
      </c>
      <c r="P281" s="83">
        <f>+IF(PROVEEDORES[[#This Row],[SUBTOTAL]]&lt;PROVEEDORES[[#This Row],[base retencion]],0,PROVEEDORES[[#This Row],[retención aplicada]])</f>
        <v>0</v>
      </c>
      <c r="Q281" s="22">
        <f>+PROVEEDORES[[#This Row],[Rete Fuente %]]*(PROVEEDORES[[#This Row],[SUBTOTAL]]-PROVEEDORES[[#This Row],[descuento sobre subtotal]])</f>
        <v>0</v>
      </c>
      <c r="R281" s="21">
        <v>135000</v>
      </c>
      <c r="S2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68">
        <f ca="1">IF(PROVEEDORES[[#This Row],[FECHA DE PAGO]]=0,TODAY()-PROVEEDORES[[#This Row],[FECHA DE FACTURACIÓN]]-PROVEEDORES[[#This Row],[PLAZO Días]],0)</f>
        <v>0</v>
      </c>
      <c r="U281" s="96" t="str">
        <f>+VLOOKUP(PROVEEDORES[[#This Row],[PROVEEDOR]],Terceros!$A:$D,4,FALSE)</f>
        <v>1% con base</v>
      </c>
      <c r="V281" s="97">
        <f>+YEAR(PROVEEDORES[[#This Row],[FECHA DE FACTURACIÓN]])</f>
        <v>2022</v>
      </c>
      <c r="W281" s="97">
        <f>+MATCH(PROVEEDORES[[#This Row],[año facturado]],Retenciones!$1:$1,0)</f>
        <v>5</v>
      </c>
      <c r="X281" s="98">
        <f>+VLOOKUP(PROVEEDORES[[#This Row],[ID RETENCION]],Retenciones!$A$1:$O$25,PROVEEDORES[[#This Row],[indicador de columna]],FALSE)</f>
        <v>152000</v>
      </c>
      <c r="Y281" s="99">
        <f>+VLOOKUP(PROVEEDORES[[#This Row],[ID RETENCION]],Retenciones!$A$1:$O$25,2,FALSE)</f>
        <v>0.01</v>
      </c>
      <c r="Z281" s="125" t="b">
        <f>OR(COUNTIF(PROVEEDORES[[#This Row],[PROVEEDOR]],"*"&amp;'Palabra no opera'!$A$2&amp;"*"))</f>
        <v>0</v>
      </c>
      <c r="AA281" s="24"/>
      <c r="AB281" s="24"/>
      <c r="AC281" s="24"/>
      <c r="AD281" s="24"/>
      <c r="AE281" s="24"/>
    </row>
    <row r="282" spans="1:31" ht="22.2" customHeight="1" x14ac:dyDescent="0.3">
      <c r="A282" s="66" t="str">
        <f>+IF(PROVEEDORES[[#This Row],[FECHA DE PAGO]]=PROVEEDORES[[#This Row],[FECHA DE FACTURACIÓN]],"DE CONTADO","CRÉDITO")</f>
        <v>CRÉDITO</v>
      </c>
      <c r="B282" s="38" t="b">
        <f>+IF((PROVEEDORES[[#This Row],[FECHA DE PAGO]]-PROVEEDORES[[#This Row],[FECHA DE FACTURACIÓN]])&gt;PROVEEDORES[[#This Row],[PLAZO Días]],"PAGO VENCIDO")</f>
        <v>0</v>
      </c>
      <c r="C282" s="20">
        <f>+VLOOKUP(PROVEEDORES[[#This Row],[PROVEEDOR]],TERCEROS_INFO[#All],2,FALSE)</f>
        <v>20</v>
      </c>
      <c r="D282" s="25">
        <f>+SUMIFS(PROVEEDORES[Total],PROVEEDORES[PROVEEDOR],PROVEEDORES[[#This Row],[PROVEEDOR]],PROVEEDORES[FECHA DE PAGO],"")</f>
        <v>0</v>
      </c>
      <c r="E282" s="25"/>
      <c r="F28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282" s="161">
        <v>44432</v>
      </c>
      <c r="H282" s="26" t="s">
        <v>397</v>
      </c>
      <c r="I282" s="161">
        <v>44427</v>
      </c>
      <c r="J282" s="35" t="s">
        <v>1286</v>
      </c>
      <c r="K282" s="21">
        <v>136900</v>
      </c>
      <c r="L282" s="21"/>
      <c r="M282" s="22">
        <f>(PROVEEDORES[[#This Row],[SUBTOTAL]]-PROVEEDORES[[#This Row],[descuento sobre subtotal]])*VLOOKUP(PROVEEDORES[[#This Row],[PROVEEDOR]],TERCEROS_INFO[#All],3,FALSE)</f>
        <v>0</v>
      </c>
      <c r="N282" s="23"/>
      <c r="O282" s="22">
        <f>+PROVEEDORES[[#This Row],[Descuento sobre subtotal %]]*(PROVEEDORES[[#This Row],[SUBTOTAL]]-PROVEEDORES[[#This Row],[descuento sobre subtotal]])</f>
        <v>0</v>
      </c>
      <c r="P282" s="83">
        <f>+IF(PROVEEDORES[[#This Row],[SUBTOTAL]]&lt;PROVEEDORES[[#This Row],[base retencion]],0,PROVEEDORES[[#This Row],[retención aplicada]])</f>
        <v>0</v>
      </c>
      <c r="Q282" s="22">
        <f>+PROVEEDORES[[#This Row],[Rete Fuente %]]*(PROVEEDORES[[#This Row],[SUBTOTAL]]-PROVEEDORES[[#This Row],[descuento sobre subtotal]])</f>
        <v>0</v>
      </c>
      <c r="R282" s="21">
        <f>+PROVEEDORES[[#This Row],[SUBTOTAL]]+PROVEEDORES[[#This Row],[IVA 19%]]-PROVEEDORES[[#This Row],[descuento sobre subtotal]]-PROVEEDORES[[#This Row],[Descuento sobre subtotal $2]]-PROVEEDORES[[#This Row],[Rete Fuente $]]</f>
        <v>136900</v>
      </c>
      <c r="S2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68">
        <f ca="1">IF(PROVEEDORES[[#This Row],[FECHA DE PAGO]]=0,TODAY()-PROVEEDORES[[#This Row],[FECHA DE FACTURACIÓN]]-PROVEEDORES[[#This Row],[PLAZO Días]],0)</f>
        <v>0</v>
      </c>
      <c r="U282" s="96" t="str">
        <f>+VLOOKUP(PROVEEDORES[[#This Row],[PROVEEDOR]],Terceros!$A:$D,4,FALSE)</f>
        <v>1% con base</v>
      </c>
      <c r="V282" s="97">
        <f>+YEAR(PROVEEDORES[[#This Row],[FECHA DE FACTURACIÓN]])</f>
        <v>2021</v>
      </c>
      <c r="W282" s="97">
        <f>+MATCH(PROVEEDORES[[#This Row],[año facturado]],Retenciones!$1:$1,0)</f>
        <v>4</v>
      </c>
      <c r="X282" s="98">
        <f>+VLOOKUP(PROVEEDORES[[#This Row],[ID RETENCION]],Retenciones!$A$1:$O$25,PROVEEDORES[[#This Row],[indicador de columna]],FALSE)</f>
        <v>145000</v>
      </c>
      <c r="Y282" s="99">
        <f>+VLOOKUP(PROVEEDORES[[#This Row],[ID RETENCION]],Retenciones!$A$1:$O$25,2,FALSE)</f>
        <v>0.01</v>
      </c>
      <c r="Z282" s="125" t="b">
        <f>OR(COUNTIF(PROVEEDORES[[#This Row],[PROVEEDOR]],"*"&amp;'Palabra no opera'!$A$2&amp;"*"))</f>
        <v>0</v>
      </c>
      <c r="AA282" s="24"/>
      <c r="AB282" s="24"/>
      <c r="AC282" s="24"/>
      <c r="AD282" s="24"/>
      <c r="AE282" s="24"/>
    </row>
    <row r="283" spans="1:31" ht="22.2" customHeight="1" x14ac:dyDescent="0.3">
      <c r="A283" s="66" t="str">
        <f>+IF(PROVEEDORES[[#This Row],[FECHA DE PAGO]]=PROVEEDORES[[#This Row],[FECHA DE FACTURACIÓN]],"DE CONTADO","CRÉDITO")</f>
        <v>CRÉDITO</v>
      </c>
      <c r="B283" s="38" t="b">
        <f>+IF((PROVEEDORES[[#This Row],[FECHA DE PAGO]]-PROVEEDORES[[#This Row],[FECHA DE FACTURACIÓN]])&gt;PROVEEDORES[[#This Row],[PLAZO Días]],"PAGO VENCIDO")</f>
        <v>0</v>
      </c>
      <c r="C283" s="20">
        <f>+VLOOKUP(PROVEEDORES[[#This Row],[PROVEEDOR]],TERCEROS_INFO[#All],2,FALSE)</f>
        <v>20</v>
      </c>
      <c r="D283" s="25">
        <f>+SUMIFS(PROVEEDORES[Total],PROVEEDORES[PROVEEDOR],PROVEEDORES[[#This Row],[PROVEEDOR]],PROVEEDORES[FECHA DE PAGO],"")</f>
        <v>0</v>
      </c>
      <c r="E283" s="25"/>
      <c r="F28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283" s="161">
        <v>44432</v>
      </c>
      <c r="H283" s="26" t="s">
        <v>397</v>
      </c>
      <c r="I283" s="161">
        <v>44427</v>
      </c>
      <c r="J283" s="35" t="s">
        <v>1287</v>
      </c>
      <c r="K283" s="21">
        <v>136900</v>
      </c>
      <c r="L283" s="21"/>
      <c r="M283" s="22">
        <f>(PROVEEDORES[[#This Row],[SUBTOTAL]]-PROVEEDORES[[#This Row],[descuento sobre subtotal]])*VLOOKUP(PROVEEDORES[[#This Row],[PROVEEDOR]],TERCEROS_INFO[#All],3,FALSE)</f>
        <v>0</v>
      </c>
      <c r="N283" s="23"/>
      <c r="O283" s="22">
        <f>+PROVEEDORES[[#This Row],[Descuento sobre subtotal %]]*(PROVEEDORES[[#This Row],[SUBTOTAL]]-PROVEEDORES[[#This Row],[descuento sobre subtotal]])</f>
        <v>0</v>
      </c>
      <c r="P283" s="83">
        <f>+IF(PROVEEDORES[[#This Row],[SUBTOTAL]]&lt;PROVEEDORES[[#This Row],[base retencion]],0,PROVEEDORES[[#This Row],[retención aplicada]])</f>
        <v>0</v>
      </c>
      <c r="Q283" s="22">
        <f>+PROVEEDORES[[#This Row],[Rete Fuente %]]*(PROVEEDORES[[#This Row],[SUBTOTAL]]-PROVEEDORES[[#This Row],[descuento sobre subtotal]])</f>
        <v>0</v>
      </c>
      <c r="R283" s="21">
        <f>+PROVEEDORES[[#This Row],[SUBTOTAL]]+PROVEEDORES[[#This Row],[IVA 19%]]-PROVEEDORES[[#This Row],[descuento sobre subtotal]]-PROVEEDORES[[#This Row],[Descuento sobre subtotal $2]]-PROVEEDORES[[#This Row],[Rete Fuente $]]</f>
        <v>136900</v>
      </c>
      <c r="S2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68">
        <f ca="1">IF(PROVEEDORES[[#This Row],[FECHA DE PAGO]]=0,TODAY()-PROVEEDORES[[#This Row],[FECHA DE FACTURACIÓN]]-PROVEEDORES[[#This Row],[PLAZO Días]],0)</f>
        <v>0</v>
      </c>
      <c r="U283" s="96" t="str">
        <f>+VLOOKUP(PROVEEDORES[[#This Row],[PROVEEDOR]],Terceros!$A:$D,4,FALSE)</f>
        <v>1% con base</v>
      </c>
      <c r="V283" s="97">
        <f>+YEAR(PROVEEDORES[[#This Row],[FECHA DE FACTURACIÓN]])</f>
        <v>2021</v>
      </c>
      <c r="W283" s="97">
        <f>+MATCH(PROVEEDORES[[#This Row],[año facturado]],Retenciones!$1:$1,0)</f>
        <v>4</v>
      </c>
      <c r="X283" s="98">
        <f>+VLOOKUP(PROVEEDORES[[#This Row],[ID RETENCION]],Retenciones!$A$1:$O$25,PROVEEDORES[[#This Row],[indicador de columna]],FALSE)</f>
        <v>145000</v>
      </c>
      <c r="Y283" s="99">
        <f>+VLOOKUP(PROVEEDORES[[#This Row],[ID RETENCION]],Retenciones!$A$1:$O$25,2,FALSE)</f>
        <v>0.01</v>
      </c>
      <c r="Z283" s="125" t="b">
        <f>OR(COUNTIF(PROVEEDORES[[#This Row],[PROVEEDOR]],"*"&amp;'Palabra no opera'!$A$2&amp;"*"))</f>
        <v>0</v>
      </c>
      <c r="AA283" s="24"/>
      <c r="AB283" s="24"/>
      <c r="AC283" s="24"/>
      <c r="AD283" s="24"/>
      <c r="AE283" s="24"/>
    </row>
    <row r="284" spans="1:31" ht="22.2" customHeight="1" x14ac:dyDescent="0.3">
      <c r="A284" s="66" t="str">
        <f>+IF(PROVEEDORES[[#This Row],[FECHA DE PAGO]]=PROVEEDORES[[#This Row],[FECHA DE FACTURACIÓN]],"DE CONTADO","CRÉDITO")</f>
        <v>CRÉDITO</v>
      </c>
      <c r="B284" s="38" t="b">
        <f>+IF((PROVEEDORES[[#This Row],[FECHA DE PAGO]]-PROVEEDORES[[#This Row],[FECHA DE FACTURACIÓN]])&gt;PROVEEDORES[[#This Row],[PLAZO Días]],"PAGO VENCIDO")</f>
        <v>0</v>
      </c>
      <c r="C284" s="20">
        <f>+VLOOKUP(PROVEEDORES[[#This Row],[PROVEEDOR]],TERCEROS_INFO[#All],2,FALSE)</f>
        <v>20</v>
      </c>
      <c r="D284" s="25">
        <f>+SUMIFS(PROVEEDORES[Total],PROVEEDORES[PROVEEDOR],PROVEEDORES[[#This Row],[PROVEEDOR]],PROVEEDORES[FECHA DE PAGO],"")</f>
        <v>0</v>
      </c>
      <c r="E284" s="25"/>
      <c r="F28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284" s="161">
        <v>44411</v>
      </c>
      <c r="H284" s="26" t="s">
        <v>397</v>
      </c>
      <c r="I284" s="161">
        <v>44410</v>
      </c>
      <c r="J284" s="35" t="s">
        <v>1280</v>
      </c>
      <c r="K284" s="21">
        <v>137000</v>
      </c>
      <c r="L284" s="21"/>
      <c r="M284" s="22">
        <f>(PROVEEDORES[[#This Row],[SUBTOTAL]]-PROVEEDORES[[#This Row],[descuento sobre subtotal]])*VLOOKUP(PROVEEDORES[[#This Row],[PROVEEDOR]],TERCEROS_INFO[#All],3,FALSE)</f>
        <v>0</v>
      </c>
      <c r="N284" s="23"/>
      <c r="O284" s="22">
        <f>+PROVEEDORES[[#This Row],[Descuento sobre subtotal %]]*(PROVEEDORES[[#This Row],[SUBTOTAL]]-PROVEEDORES[[#This Row],[descuento sobre subtotal]])</f>
        <v>0</v>
      </c>
      <c r="P284" s="83">
        <f>+IF(PROVEEDORES[[#This Row],[SUBTOTAL]]&lt;PROVEEDORES[[#This Row],[base retencion]],0,PROVEEDORES[[#This Row],[retención aplicada]])</f>
        <v>0</v>
      </c>
      <c r="Q284" s="22">
        <f>+PROVEEDORES[[#This Row],[Rete Fuente %]]*(PROVEEDORES[[#This Row],[SUBTOTAL]]-PROVEEDORES[[#This Row],[descuento sobre subtotal]])</f>
        <v>0</v>
      </c>
      <c r="R284" s="21">
        <f>+PROVEEDORES[[#This Row],[SUBTOTAL]]+PROVEEDORES[[#This Row],[IVA 19%]]-PROVEEDORES[[#This Row],[descuento sobre subtotal]]-PROVEEDORES[[#This Row],[Descuento sobre subtotal $2]]-PROVEEDORES[[#This Row],[Rete Fuente $]]</f>
        <v>137000</v>
      </c>
      <c r="S2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68">
        <f ca="1">IF(PROVEEDORES[[#This Row],[FECHA DE PAGO]]=0,TODAY()-PROVEEDORES[[#This Row],[FECHA DE FACTURACIÓN]]-PROVEEDORES[[#This Row],[PLAZO Días]],0)</f>
        <v>0</v>
      </c>
      <c r="U284" s="96" t="str">
        <f>+VLOOKUP(PROVEEDORES[[#This Row],[PROVEEDOR]],Terceros!$A:$D,4,FALSE)</f>
        <v>1% con base</v>
      </c>
      <c r="V284" s="97">
        <f>+YEAR(PROVEEDORES[[#This Row],[FECHA DE FACTURACIÓN]])</f>
        <v>2021</v>
      </c>
      <c r="W284" s="97">
        <f>+MATCH(PROVEEDORES[[#This Row],[año facturado]],Retenciones!$1:$1,0)</f>
        <v>4</v>
      </c>
      <c r="X284" s="98">
        <f>+VLOOKUP(PROVEEDORES[[#This Row],[ID RETENCION]],Retenciones!$A$1:$O$25,PROVEEDORES[[#This Row],[indicador de columna]],FALSE)</f>
        <v>145000</v>
      </c>
      <c r="Y284" s="99">
        <f>+VLOOKUP(PROVEEDORES[[#This Row],[ID RETENCION]],Retenciones!$A$1:$O$25,2,FALSE)</f>
        <v>0.01</v>
      </c>
      <c r="Z284" s="125" t="b">
        <f>OR(COUNTIF(PROVEEDORES[[#This Row],[PROVEEDOR]],"*"&amp;'Palabra no opera'!$A$2&amp;"*"))</f>
        <v>0</v>
      </c>
      <c r="AA284" s="24"/>
      <c r="AB284" s="24"/>
      <c r="AC284" s="24"/>
      <c r="AD284" s="24"/>
      <c r="AE284" s="24"/>
    </row>
    <row r="285" spans="1:31" ht="22.2" customHeight="1" x14ac:dyDescent="0.3">
      <c r="A285" s="159" t="str">
        <f>+IF(PROVEEDORES[[#This Row],[FECHA DE PAGO]]=PROVEEDORES[[#This Row],[FECHA DE FACTURACIÓN]],"DE CONTADO","CRÉDITO")</f>
        <v>CRÉDITO</v>
      </c>
      <c r="B285" s="38" t="str">
        <f>+IF((PROVEEDORES[[#This Row],[FECHA DE PAGO]]-PROVEEDORES[[#This Row],[FECHA DE FACTURACIÓN]])&gt;PROVEEDORES[[#This Row],[PLAZO Días]],"PAGO VENCIDO")</f>
        <v>PAGO VENCIDO</v>
      </c>
      <c r="C285" s="20">
        <f>+VLOOKUP(PROVEEDORES[[#This Row],[PROVEEDOR]],TERCEROS_INFO[#All],2,FALSE)</f>
        <v>30</v>
      </c>
      <c r="D285" s="25">
        <f>+SUMIFS(PROVEEDORES[Total],PROVEEDORES[PROVEEDOR],PROVEEDORES[[#This Row],[PROVEEDOR]],PROVEEDORES[FECHA DE PAGO],"")</f>
        <v>-101001.25</v>
      </c>
      <c r="E285" s="25"/>
      <c r="F285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85" s="161">
        <v>44770</v>
      </c>
      <c r="H285" s="26" t="s">
        <v>14</v>
      </c>
      <c r="I285" s="161">
        <v>44722</v>
      </c>
      <c r="J285" s="35" t="s">
        <v>1040</v>
      </c>
      <c r="K285" s="21">
        <v>116471</v>
      </c>
      <c r="L285" s="21"/>
      <c r="M285" s="22">
        <f>(PROVEEDORES[[#This Row],[SUBTOTAL]]-PROVEEDORES[[#This Row],[descuento sobre subtotal]])*VLOOKUP(PROVEEDORES[[#This Row],[PROVEEDOR]],TERCEROS_INFO[#All],3,FALSE)</f>
        <v>22129.49</v>
      </c>
      <c r="N285" s="23"/>
      <c r="O285" s="22">
        <f>+PROVEEDORES[[#This Row],[Descuento sobre subtotal %]]*(PROVEEDORES[[#This Row],[SUBTOTAL]]-PROVEEDORES[[#This Row],[descuento sobre subtotal]])</f>
        <v>0</v>
      </c>
      <c r="P285" s="83">
        <f>+IF(PROVEEDORES[[#This Row],[SUBTOTAL]]&lt;PROVEEDORES[[#This Row],[base retencion]],0,PROVEEDORES[[#This Row],[retención aplicada]])</f>
        <v>0</v>
      </c>
      <c r="Q285" s="22">
        <f>+PROVEEDORES[[#This Row],[Rete Fuente %]]*(PROVEEDORES[[#This Row],[SUBTOTAL]]-PROVEEDORES[[#This Row],[descuento sobre subtotal]])</f>
        <v>0</v>
      </c>
      <c r="R285" s="21">
        <f>+PROVEEDORES[[#This Row],[SUBTOTAL]]+PROVEEDORES[[#This Row],[IVA 19%]]-PROVEEDORES[[#This Row],[descuento sobre subtotal]]-PROVEEDORES[[#This Row],[Descuento sobre subtotal $2]]-PROVEEDORES[[#This Row],[Rete Fuente $]]</f>
        <v>138600.49</v>
      </c>
      <c r="S28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68">
        <f ca="1">IF(PROVEEDORES[[#This Row],[FECHA DE PAGO]]=0,TODAY()-PROVEEDORES[[#This Row],[FECHA DE FACTURACIÓN]]-PROVEEDORES[[#This Row],[PLAZO Días]],0)</f>
        <v>0</v>
      </c>
      <c r="U285" s="113" t="str">
        <f>+VLOOKUP(PROVEEDORES[[#This Row],[PROVEEDOR]],Terceros!$A:$D,4,FALSE)</f>
        <v>2,5% con base</v>
      </c>
      <c r="V285" s="114">
        <f>+YEAR(PROVEEDORES[[#This Row],[FECHA DE FACTURACIÓN]])</f>
        <v>2022</v>
      </c>
      <c r="W285" s="114">
        <f>+MATCH(PROVEEDORES[[#This Row],[año facturado]],Retenciones!$1:$1,0)</f>
        <v>5</v>
      </c>
      <c r="X285" s="115">
        <f>+VLOOKUP(PROVEEDORES[[#This Row],[ID RETENCION]],Retenciones!$A$1:$O$25,PROVEEDORES[[#This Row],[indicador de columna]],FALSE)</f>
        <v>1026000</v>
      </c>
      <c r="Y285" s="116">
        <f>+VLOOKUP(PROVEEDORES[[#This Row],[ID RETENCION]],Retenciones!$A$1:$O$25,2,FALSE)</f>
        <v>2.5000000000000001E-2</v>
      </c>
      <c r="Z285" s="125" t="b">
        <f>OR(COUNTIF(PROVEEDORES[[#This Row],[PROVEEDOR]],"*"&amp;'Palabra no opera'!$A$2&amp;"*"))</f>
        <v>0</v>
      </c>
      <c r="AA285" s="24"/>
      <c r="AB285" s="24"/>
      <c r="AC285" s="24"/>
      <c r="AD285" s="24"/>
      <c r="AE285" s="24"/>
    </row>
    <row r="286" spans="1:31" ht="22.2" customHeight="1" x14ac:dyDescent="0.3">
      <c r="A286" s="66" t="str">
        <f>+IF(PROVEEDORES[[#This Row],[FECHA DE PAGO]]=PROVEEDORES[[#This Row],[FECHA DE FACTURACIÓN]],"DE CONTADO","CRÉDITO")</f>
        <v>DE CONTADO</v>
      </c>
      <c r="B286" s="38" t="b">
        <f>+IF((PROVEEDORES[[#This Row],[FECHA DE PAGO]]-PROVEEDORES[[#This Row],[FECHA DE FACTURACIÓN]])&gt;PROVEEDORES[[#This Row],[PLAZO Días]],"PAGO VENCIDO")</f>
        <v>0</v>
      </c>
      <c r="C286" s="20">
        <f>+VLOOKUP(PROVEEDORES[[#This Row],[PROVEEDOR]],TERCEROS_INFO[#All],2,FALSE)</f>
        <v>30</v>
      </c>
      <c r="D286" s="25">
        <f>+SUMIFS(PROVEEDORES[Total],PROVEEDORES[PROVEEDOR],PROVEEDORES[[#This Row],[PROVEEDOR]],PROVEEDORES[FECHA DE PAGO],"")</f>
        <v>0</v>
      </c>
      <c r="E286" s="25"/>
      <c r="F286" s="58" t="str">
        <f>+VLOOKUP(PROVEEDORES[[#This Row],[PROVEEDOR]],
                       Terceros!$A:$F,
                       5,
                       FALSE)</f>
        <v/>
      </c>
      <c r="G286" s="161">
        <v>44469</v>
      </c>
      <c r="H286" s="26" t="s">
        <v>644</v>
      </c>
      <c r="I286" s="161">
        <v>44469</v>
      </c>
      <c r="J286" s="35" t="s">
        <v>1295</v>
      </c>
      <c r="K286" s="21">
        <v>140000</v>
      </c>
      <c r="L286" s="21"/>
      <c r="M286" s="22">
        <f>(PROVEEDORES[[#This Row],[SUBTOTAL]]-PROVEEDORES[[#This Row],[descuento sobre subtotal]])*VLOOKUP(PROVEEDORES[[#This Row],[PROVEEDOR]],TERCEROS_INFO[#All],3,FALSE)</f>
        <v>0</v>
      </c>
      <c r="N286" s="23"/>
      <c r="O286" s="22">
        <f>+PROVEEDORES[[#This Row],[Descuento sobre subtotal %]]*(PROVEEDORES[[#This Row],[SUBTOTAL]]-PROVEEDORES[[#This Row],[descuento sobre subtotal]])</f>
        <v>0</v>
      </c>
      <c r="P286" s="83">
        <f>+IF(PROVEEDORES[[#This Row],[SUBTOTAL]]&lt;PROVEEDORES[[#This Row],[base retencion]],0,PROVEEDORES[[#This Row],[retención aplicada]])</f>
        <v>0</v>
      </c>
      <c r="Q286" s="22">
        <f>+PROVEEDORES[[#This Row],[Rete Fuente %]]*(PROVEEDORES[[#This Row],[SUBTOTAL]]-PROVEEDORES[[#This Row],[descuento sobre subtotal]])</f>
        <v>0</v>
      </c>
      <c r="R286" s="21">
        <f>+PROVEEDORES[[#This Row],[SUBTOTAL]]+PROVEEDORES[[#This Row],[IVA 19%]]-PROVEEDORES[[#This Row],[descuento sobre subtotal]]-PROVEEDORES[[#This Row],[Descuento sobre subtotal $2]]-PROVEEDORES[[#This Row],[Rete Fuente $]]</f>
        <v>140000</v>
      </c>
      <c r="S2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68">
        <f ca="1">IF(PROVEEDORES[[#This Row],[FECHA DE PAGO]]=0,TODAY()-PROVEEDORES[[#This Row],[FECHA DE FACTURACIÓN]]-PROVEEDORES[[#This Row],[PLAZO Días]],0)</f>
        <v>0</v>
      </c>
      <c r="U286" s="96">
        <f>+VLOOKUP(PROVEEDORES[[#This Row],[PROVEEDOR]],Terceros!$A:$D,4,FALSE)</f>
        <v>0</v>
      </c>
      <c r="V286" s="97">
        <f>+YEAR(PROVEEDORES[[#This Row],[FECHA DE FACTURACIÓN]])</f>
        <v>2021</v>
      </c>
      <c r="W286" s="97">
        <f>+MATCH(PROVEEDORES[[#This Row],[año facturado]],Retenciones!$1:$1,0)</f>
        <v>4</v>
      </c>
      <c r="X286" s="98">
        <f>+VLOOKUP(PROVEEDORES[[#This Row],[ID RETENCION]],Retenciones!$A$1:$O$25,PROVEEDORES[[#This Row],[indicador de columna]],FALSE)</f>
        <v>0</v>
      </c>
      <c r="Y286" s="99">
        <f>+VLOOKUP(PROVEEDORES[[#This Row],[ID RETENCION]],Retenciones!$A$1:$O$25,2,FALSE)</f>
        <v>0</v>
      </c>
      <c r="Z286" s="125" t="b">
        <f>OR(COUNTIF(PROVEEDORES[[#This Row],[PROVEEDOR]],"*"&amp;'Palabra no opera'!$A$2&amp;"*"))</f>
        <v>0</v>
      </c>
      <c r="AA286" s="24"/>
      <c r="AB286" s="24"/>
      <c r="AC286" s="24"/>
      <c r="AD286" s="24"/>
      <c r="AE286" s="24"/>
    </row>
    <row r="287" spans="1:31" ht="22.2" customHeight="1" x14ac:dyDescent="0.3">
      <c r="A287" s="72" t="str">
        <f>+IF(PROVEEDORES[[#This Row],[FECHA DE PAGO]]=PROVEEDORES[[#This Row],[FECHA DE FACTURACIÓN]],"DE CONTADO","CRÉDITO")</f>
        <v>CRÉDITO</v>
      </c>
      <c r="B287" s="38" t="b">
        <f>+IF((PROVEEDORES[[#This Row],[FECHA DE PAGO]]-PROVEEDORES[[#This Row],[FECHA DE FACTURACIÓN]])&gt;PROVEEDORES[[#This Row],[PLAZO Días]],"PAGO VENCIDO")</f>
        <v>0</v>
      </c>
      <c r="C287" s="20">
        <f>+VLOOKUP(PROVEEDORES[[#This Row],[PROVEEDOR]],TERCEROS_INFO[#All],2,FALSE)</f>
        <v>30</v>
      </c>
      <c r="D287" s="25">
        <f>+SUMIFS(PROVEEDORES[Total],PROVEEDORES[PROVEEDOR],PROVEEDORES[[#This Row],[PROVEEDOR]],PROVEEDORES[FECHA DE PAGO],"")</f>
        <v>0</v>
      </c>
      <c r="E287" s="25"/>
      <c r="F287" s="58">
        <f>+VLOOKUP(PROVEEDORES[[#This Row],[PROVEEDOR]],
                       Terceros!$A:$F,
                       5,
                       FALSE)</f>
        <v>0</v>
      </c>
      <c r="G287" s="161">
        <v>44862</v>
      </c>
      <c r="H287" s="26" t="s">
        <v>1818</v>
      </c>
      <c r="I287" s="161">
        <v>44860</v>
      </c>
      <c r="J287" s="35" t="s">
        <v>1820</v>
      </c>
      <c r="K287" s="21">
        <v>142800</v>
      </c>
      <c r="L287" s="21"/>
      <c r="M287" s="22">
        <f>(PROVEEDORES[[#This Row],[SUBTOTAL]]-PROVEEDORES[[#This Row],[descuento sobre subtotal]])*VLOOKUP(PROVEEDORES[[#This Row],[PROVEEDOR]],TERCEROS_INFO[#All],3,FALSE)</f>
        <v>0</v>
      </c>
      <c r="N287" s="23"/>
      <c r="O287" s="22">
        <f>+PROVEEDORES[[#This Row],[Descuento sobre subtotal %]]*(PROVEEDORES[[#This Row],[SUBTOTAL]]-PROVEEDORES[[#This Row],[descuento sobre subtotal]])</f>
        <v>0</v>
      </c>
      <c r="P287" s="83">
        <f>+IF(PROVEEDORES[[#This Row],[SUBTOTAL]]&lt;PROVEEDORES[[#This Row],[base retencion]],0,PROVEEDORES[[#This Row],[retención aplicada]])</f>
        <v>0</v>
      </c>
      <c r="Q287" s="22">
        <f>+PROVEEDORES[[#This Row],[Rete Fuente %]]*(PROVEEDORES[[#This Row],[SUBTOTAL]]-PROVEEDORES[[#This Row],[descuento sobre subtotal]])</f>
        <v>0</v>
      </c>
      <c r="R287" s="21">
        <f>+PROVEEDORES[[#This Row],[SUBTOTAL]]+PROVEEDORES[[#This Row],[IVA 19%]]-PROVEEDORES[[#This Row],[descuento sobre subtotal]]-PROVEEDORES[[#This Row],[Descuento sobre subtotal $2]]-PROVEEDORES[[#This Row],[Rete Fuente $]]</f>
        <v>142800</v>
      </c>
      <c r="S28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68">
        <f ca="1">IF(PROVEEDORES[[#This Row],[FECHA DE PAGO]]=0,TODAY()-PROVEEDORES[[#This Row],[FECHA DE FACTURACIÓN]]-PROVEEDORES[[#This Row],[PLAZO Días]],0)</f>
        <v>0</v>
      </c>
      <c r="U287" s="113">
        <f>+VLOOKUP(PROVEEDORES[[#This Row],[PROVEEDOR]],Terceros!$A:$D,4,FALSE)</f>
        <v>0</v>
      </c>
      <c r="V287" s="114">
        <f>+YEAR(PROVEEDORES[[#This Row],[FECHA DE FACTURACIÓN]])</f>
        <v>2022</v>
      </c>
      <c r="W287" s="114">
        <f>+MATCH(PROVEEDORES[[#This Row],[año facturado]],Retenciones!$1:$1,0)</f>
        <v>5</v>
      </c>
      <c r="X287" s="115">
        <f>+VLOOKUP(PROVEEDORES[[#This Row],[ID RETENCION]],Retenciones!$A$1:$O$25,PROVEEDORES[[#This Row],[indicador de columna]],FALSE)</f>
        <v>0</v>
      </c>
      <c r="Y287" s="116">
        <f>+VLOOKUP(PROVEEDORES[[#This Row],[ID RETENCION]],Retenciones!$A$1:$O$25,2,FALSE)</f>
        <v>0</v>
      </c>
      <c r="Z287" s="125" t="b">
        <f>OR(COUNTIF(PROVEEDORES[[#This Row],[PROVEEDOR]],"*"&amp;'Palabra no opera'!$A$2&amp;"*"))</f>
        <v>0</v>
      </c>
      <c r="AA287" s="24"/>
      <c r="AB287" s="24"/>
      <c r="AC287" s="24"/>
      <c r="AD287" s="24"/>
      <c r="AE287" s="24"/>
    </row>
    <row r="288" spans="1:31" ht="22.2" customHeight="1" x14ac:dyDescent="0.3">
      <c r="A288" s="66" t="str">
        <f>+IF(PROVEEDORES[[#This Row],[FECHA DE PAGO]]=PROVEEDORES[[#This Row],[FECHA DE FACTURACIÓN]],"DE CONTADO","CRÉDITO")</f>
        <v>CRÉDITO</v>
      </c>
      <c r="B288" s="38" t="b">
        <f>+IF((PROVEEDORES[[#This Row],[FECHA DE PAGO]]-PROVEEDORES[[#This Row],[FECHA DE FACTURACIÓN]])&gt;PROVEEDORES[[#This Row],[PLAZO Días]],"PAGO VENCIDO")</f>
        <v>0</v>
      </c>
      <c r="C288" s="20">
        <f>+VLOOKUP(PROVEEDORES[[#This Row],[PROVEEDOR]],TERCEROS_INFO[#All],2,FALSE)</f>
        <v>30</v>
      </c>
      <c r="D288" s="25">
        <f>+SUMIFS(PROVEEDORES[Total],PROVEEDORES[PROVEEDOR],PROVEEDORES[[#This Row],[PROVEEDOR]],PROVEEDORES[FECHA DE PAGO],"")</f>
        <v>0</v>
      </c>
      <c r="E288" s="25"/>
      <c r="F28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88" s="161">
        <v>44239</v>
      </c>
      <c r="H288" s="26" t="s">
        <v>1451</v>
      </c>
      <c r="I288" s="161">
        <v>44228</v>
      </c>
      <c r="J288" s="35">
        <v>66</v>
      </c>
      <c r="K288" s="21">
        <v>144000</v>
      </c>
      <c r="L288" s="21"/>
      <c r="M288" s="22">
        <f>(PROVEEDORES[[#This Row],[SUBTOTAL]]-PROVEEDORES[[#This Row],[descuento sobre subtotal]])*VLOOKUP(PROVEEDORES[[#This Row],[PROVEEDOR]],TERCEROS_INFO[#All],3,FALSE)</f>
        <v>0</v>
      </c>
      <c r="N288" s="23"/>
      <c r="O288" s="22">
        <f>+PROVEEDORES[[#This Row],[Descuento sobre subtotal %]]*(PROVEEDORES[[#This Row],[SUBTOTAL]]-PROVEEDORES[[#This Row],[descuento sobre subtotal]])</f>
        <v>0</v>
      </c>
      <c r="P288" s="83">
        <f>+IF(PROVEEDORES[[#This Row],[SUBTOTAL]]&lt;PROVEEDORES[[#This Row],[base retencion]],0,PROVEEDORES[[#This Row],[retención aplicada]])</f>
        <v>0</v>
      </c>
      <c r="Q288" s="22">
        <f>+PROVEEDORES[[#This Row],[Rete Fuente %]]*(PROVEEDORES[[#This Row],[SUBTOTAL]]-PROVEEDORES[[#This Row],[descuento sobre subtotal]])</f>
        <v>0</v>
      </c>
      <c r="R288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2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68">
        <f ca="1">IF(PROVEEDORES[[#This Row],[FECHA DE PAGO]]=0,TODAY()-PROVEEDORES[[#This Row],[FECHA DE FACTURACIÓN]]-PROVEEDORES[[#This Row],[PLAZO Días]],0)</f>
        <v>0</v>
      </c>
      <c r="U288" s="96" t="str">
        <f>+VLOOKUP(PROVEEDORES[[#This Row],[PROVEEDOR]],Terceros!$A:$D,4,FALSE)</f>
        <v>1% con base</v>
      </c>
      <c r="V288" s="97">
        <f>+YEAR(PROVEEDORES[[#This Row],[FECHA DE FACTURACIÓN]])</f>
        <v>2021</v>
      </c>
      <c r="W288" s="97">
        <f>+MATCH(PROVEEDORES[[#This Row],[año facturado]],Retenciones!$1:$1,0)</f>
        <v>4</v>
      </c>
      <c r="X288" s="98">
        <f>+VLOOKUP(PROVEEDORES[[#This Row],[ID RETENCION]],Retenciones!$A$1:$O$25,PROVEEDORES[[#This Row],[indicador de columna]],FALSE)</f>
        <v>145000</v>
      </c>
      <c r="Y288" s="99">
        <f>+VLOOKUP(PROVEEDORES[[#This Row],[ID RETENCION]],Retenciones!$A$1:$O$25,2,FALSE)</f>
        <v>0.01</v>
      </c>
      <c r="Z288" s="125" t="b">
        <f>OR(COUNTIF(PROVEEDORES[[#This Row],[PROVEEDOR]],"*"&amp;'Palabra no opera'!$A$2&amp;"*"))</f>
        <v>0</v>
      </c>
      <c r="AA288" s="24"/>
      <c r="AB288" s="24"/>
      <c r="AC288" s="24"/>
      <c r="AD288" s="24"/>
      <c r="AE288" s="24"/>
    </row>
    <row r="289" spans="1:31" ht="22.2" customHeight="1" x14ac:dyDescent="0.3">
      <c r="A289" s="66" t="str">
        <f>+IF(PROVEEDORES[[#This Row],[FECHA DE PAGO]]=PROVEEDORES[[#This Row],[FECHA DE FACTURACIÓN]],"DE CONTADO","CRÉDITO")</f>
        <v>CRÉDITO</v>
      </c>
      <c r="B289" s="38" t="str">
        <f>+IF((PROVEEDORES[[#This Row],[FECHA DE PAGO]]-PROVEEDORES[[#This Row],[FECHA DE FACTURACIÓN]])&gt;PROVEEDORES[[#This Row],[PLAZO Días]],"PAGO VENCIDO")</f>
        <v>PAGO VENCIDO</v>
      </c>
      <c r="C289" s="20">
        <f>+VLOOKUP(PROVEEDORES[[#This Row],[PROVEEDOR]],TERCEROS_INFO[#All],2,FALSE)</f>
        <v>30</v>
      </c>
      <c r="D289" s="25">
        <f>+SUMIFS(PROVEEDORES[Total],PROVEEDORES[PROVEEDOR],PROVEEDORES[[#This Row],[PROVEEDOR]],PROVEEDORES[FECHA DE PAGO],"")</f>
        <v>0</v>
      </c>
      <c r="E289" s="25"/>
      <c r="F289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289" s="161">
        <v>44286</v>
      </c>
      <c r="H289" s="26" t="s">
        <v>137</v>
      </c>
      <c r="I289" s="161">
        <v>44250</v>
      </c>
      <c r="J289" s="35" t="s">
        <v>1454</v>
      </c>
      <c r="K289" s="21">
        <v>144000</v>
      </c>
      <c r="L289" s="21"/>
      <c r="M289" s="22">
        <f>(PROVEEDORES[[#This Row],[SUBTOTAL]]-PROVEEDORES[[#This Row],[descuento sobre subtotal]])*VLOOKUP(PROVEEDORES[[#This Row],[PROVEEDOR]],TERCEROS_INFO[#All],3,FALSE)</f>
        <v>0</v>
      </c>
      <c r="N289" s="23"/>
      <c r="O289" s="22">
        <f>+PROVEEDORES[[#This Row],[Descuento sobre subtotal %]]*(PROVEEDORES[[#This Row],[SUBTOTAL]]-PROVEEDORES[[#This Row],[descuento sobre subtotal]])</f>
        <v>0</v>
      </c>
      <c r="P289" s="83">
        <f>+IF(PROVEEDORES[[#This Row],[SUBTOTAL]]&lt;PROVEEDORES[[#This Row],[base retencion]],0,PROVEEDORES[[#This Row],[retención aplicada]])</f>
        <v>0</v>
      </c>
      <c r="Q289" s="22">
        <f>+PROVEEDORES[[#This Row],[Rete Fuente %]]*(PROVEEDORES[[#This Row],[SUBTOTAL]]-PROVEEDORES[[#This Row],[descuento sobre subtotal]])</f>
        <v>0</v>
      </c>
      <c r="R289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2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68">
        <f ca="1">IF(PROVEEDORES[[#This Row],[FECHA DE PAGO]]=0,TODAY()-PROVEEDORES[[#This Row],[FECHA DE FACTURACIÓN]]-PROVEEDORES[[#This Row],[PLAZO Días]],0)</f>
        <v>0</v>
      </c>
      <c r="U289" s="96">
        <f>+VLOOKUP(PROVEEDORES[[#This Row],[PROVEEDOR]],Terceros!$A:$D,4,FALSE)</f>
        <v>0</v>
      </c>
      <c r="V289" s="97">
        <f>+YEAR(PROVEEDORES[[#This Row],[FECHA DE FACTURACIÓN]])</f>
        <v>2021</v>
      </c>
      <c r="W289" s="97">
        <f>+MATCH(PROVEEDORES[[#This Row],[año facturado]],Retenciones!$1:$1,0)</f>
        <v>4</v>
      </c>
      <c r="X289" s="98">
        <f>+VLOOKUP(PROVEEDORES[[#This Row],[ID RETENCION]],Retenciones!$A$1:$O$25,PROVEEDORES[[#This Row],[indicador de columna]],FALSE)</f>
        <v>0</v>
      </c>
      <c r="Y289" s="99">
        <f>+VLOOKUP(PROVEEDORES[[#This Row],[ID RETENCION]],Retenciones!$A$1:$O$25,2,FALSE)</f>
        <v>0</v>
      </c>
      <c r="Z289" s="125" t="b">
        <f>OR(COUNTIF(PROVEEDORES[[#This Row],[PROVEEDOR]],"*"&amp;'Palabra no opera'!$A$2&amp;"*"))</f>
        <v>0</v>
      </c>
      <c r="AA289" s="24"/>
      <c r="AB289" s="24"/>
      <c r="AC289" s="24"/>
      <c r="AD289" s="24"/>
      <c r="AE289" s="24"/>
    </row>
    <row r="290" spans="1:31" ht="22.2" customHeight="1" x14ac:dyDescent="0.3">
      <c r="A290" s="123" t="str">
        <f>+IF(PROVEEDORES[[#This Row],[FECHA DE PAGO]]=PROVEEDORES[[#This Row],[FECHA DE FACTURACIÓN]],"DE CONTADO","CRÉDITO")</f>
        <v>CRÉDITO</v>
      </c>
      <c r="B290" s="38" t="str">
        <f>+IF((PROVEEDORES[[#This Row],[FECHA DE PAGO]]-PROVEEDORES[[#This Row],[FECHA DE FACTURACIÓN]])&gt;PROVEEDORES[[#This Row],[PLAZO Días]],"PAGO VENCIDO")</f>
        <v>PAGO VENCIDO</v>
      </c>
      <c r="C290" s="20">
        <f>+VLOOKUP(PROVEEDORES[[#This Row],[PROVEEDOR]],TERCEROS_INFO[#All],2,FALSE)</f>
        <v>30</v>
      </c>
      <c r="D290" s="25">
        <f>+SUMIFS(PROVEEDORES[Total],PROVEEDORES[PROVEEDOR],PROVEEDORES[[#This Row],[PROVEEDOR]],PROVEEDORES[FECHA DE PAGO],"")</f>
        <v>0</v>
      </c>
      <c r="E290" s="25"/>
      <c r="F29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90" s="161">
        <v>44725</v>
      </c>
      <c r="H290" s="26" t="s">
        <v>691</v>
      </c>
      <c r="I290" s="161">
        <v>44679</v>
      </c>
      <c r="J290" s="35" t="s">
        <v>1440</v>
      </c>
      <c r="K290" s="21">
        <v>144400</v>
      </c>
      <c r="L290" s="21"/>
      <c r="M290" s="22">
        <f>(PROVEEDORES[[#This Row],[SUBTOTAL]]-PROVEEDORES[[#This Row],[descuento sobre subtotal]])*VLOOKUP(PROVEEDORES[[#This Row],[PROVEEDOR]],TERCEROS_INFO[#All],3,FALSE)</f>
        <v>0</v>
      </c>
      <c r="N290" s="23"/>
      <c r="O290" s="22">
        <f>+PROVEEDORES[[#This Row],[Descuento sobre subtotal %]]*(PROVEEDORES[[#This Row],[SUBTOTAL]]-PROVEEDORES[[#This Row],[descuento sobre subtotal]])</f>
        <v>0</v>
      </c>
      <c r="P290" s="83">
        <f>+IF(PROVEEDORES[[#This Row],[SUBTOTAL]]&lt;PROVEEDORES[[#This Row],[base retencion]],0,PROVEEDORES[[#This Row],[retención aplicada]])</f>
        <v>0</v>
      </c>
      <c r="Q290" s="22">
        <f>+PROVEEDORES[[#This Row],[Rete Fuente %]]*(PROVEEDORES[[#This Row],[SUBTOTAL]]-PROVEEDORES[[#This Row],[descuento sobre subtotal]])</f>
        <v>0</v>
      </c>
      <c r="R290" s="21">
        <f>+PROVEEDORES[[#This Row],[SUBTOTAL]]+PROVEEDORES[[#This Row],[IVA 19%]]-PROVEEDORES[[#This Row],[descuento sobre subtotal]]-PROVEEDORES[[#This Row],[Descuento sobre subtotal $2]]-PROVEEDORES[[#This Row],[Rete Fuente $]]</f>
        <v>144400</v>
      </c>
      <c r="S290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68">
        <f ca="1">IF(PROVEEDORES[[#This Row],[FECHA DE PAGO]]=0,TODAY()-PROVEEDORES[[#This Row],[FECHA DE FACTURACIÓN]]-PROVEEDORES[[#This Row],[PLAZO Días]],0)</f>
        <v>0</v>
      </c>
      <c r="U290" s="113">
        <f>+VLOOKUP(PROVEEDORES[[#This Row],[PROVEEDOR]],Terceros!$A:$D,4,FALSE)</f>
        <v>0</v>
      </c>
      <c r="V290" s="114">
        <f>+YEAR(PROVEEDORES[[#This Row],[FECHA DE FACTURACIÓN]])</f>
        <v>2022</v>
      </c>
      <c r="W290" s="114">
        <f>+MATCH(PROVEEDORES[[#This Row],[año facturado]],Retenciones!$1:$1,0)</f>
        <v>5</v>
      </c>
      <c r="X290" s="115">
        <f>+VLOOKUP(PROVEEDORES[[#This Row],[ID RETENCION]],Retenciones!$A$1:$O$25,PROVEEDORES[[#This Row],[indicador de columna]],FALSE)</f>
        <v>0</v>
      </c>
      <c r="Y290" s="116">
        <f>+VLOOKUP(PROVEEDORES[[#This Row],[ID RETENCION]],Retenciones!$A$1:$O$25,2,FALSE)</f>
        <v>0</v>
      </c>
      <c r="Z290" s="125" t="b">
        <f>OR(COUNTIF(PROVEEDORES[[#This Row],[PROVEEDOR]],"*"&amp;'Palabra no opera'!$A$2&amp;"*"))</f>
        <v>0</v>
      </c>
      <c r="AA290" s="24"/>
      <c r="AB290" s="24"/>
      <c r="AC290" s="24"/>
      <c r="AD290" s="24"/>
      <c r="AE290" s="24"/>
    </row>
    <row r="291" spans="1:31" ht="22.2" customHeight="1" x14ac:dyDescent="0.3">
      <c r="A291" s="257" t="str">
        <f>+IF(PROVEEDORES[[#This Row],[FECHA DE PAGO]]=PROVEEDORES[[#This Row],[FECHA DE FACTURACIÓN]],"DE CONTADO","CRÉDITO")</f>
        <v>CRÉDITO</v>
      </c>
      <c r="B291" s="38" t="b">
        <f>+IF((PROVEEDORES[[#This Row],[FECHA DE PAGO]]-PROVEEDORES[[#This Row],[FECHA DE FACTURACIÓN]])&gt;PROVEEDORES[[#This Row],[PLAZO Días]],"PAGO VENCIDO")</f>
        <v>0</v>
      </c>
      <c r="C291" s="20">
        <f>+VLOOKUP(PROVEEDORES[[#This Row],[PROVEEDOR]],TERCEROS_INFO[#All],2,FALSE)</f>
        <v>30</v>
      </c>
      <c r="D291" s="25">
        <f>+SUMIFS(PROVEEDORES[Total],PROVEEDORES[PROVEEDOR],PROVEEDORES[[#This Row],[PROVEEDOR]],PROVEEDORES[FECHA DE PAGO],"")</f>
        <v>146000</v>
      </c>
      <c r="E291" s="25"/>
      <c r="F291" s="58">
        <f>+VLOOKUP(PROVEEDORES[[#This Row],[PROVEEDOR]],
                       Terceros!$A:$F,
                       5,
                       FALSE)</f>
        <v>0</v>
      </c>
      <c r="H291" s="267" t="s">
        <v>1735</v>
      </c>
      <c r="I291" s="161">
        <v>44833</v>
      </c>
      <c r="J291" s="35" t="s">
        <v>1736</v>
      </c>
      <c r="K291" s="21">
        <v>146000</v>
      </c>
      <c r="L291" s="21"/>
      <c r="M291" s="22">
        <f>(PROVEEDORES[[#This Row],[SUBTOTAL]]-PROVEEDORES[[#This Row],[descuento sobre subtotal]])*VLOOKUP(PROVEEDORES[[#This Row],[PROVEEDOR]],TERCEROS_INFO[#All],3,FALSE)</f>
        <v>0</v>
      </c>
      <c r="N291" s="23"/>
      <c r="O291" s="22">
        <f>+PROVEEDORES[[#This Row],[Descuento sobre subtotal %]]*(PROVEEDORES[[#This Row],[SUBTOTAL]]-PROVEEDORES[[#This Row],[descuento sobre subtotal]])</f>
        <v>0</v>
      </c>
      <c r="P291" s="83">
        <f>+IF(PROVEEDORES[[#This Row],[SUBTOTAL]]&lt;PROVEEDORES[[#This Row],[base retencion]],0,PROVEEDORES[[#This Row],[retención aplicada]])</f>
        <v>0</v>
      </c>
      <c r="Q291" s="22">
        <f>+PROVEEDORES[[#This Row],[Rete Fuente %]]*(PROVEEDORES[[#This Row],[SUBTOTAL]]-PROVEEDORES[[#This Row],[descuento sobre subtotal]])</f>
        <v>0</v>
      </c>
      <c r="R291" s="21">
        <f>+PROVEEDORES[[#This Row],[SUBTOTAL]]+PROVEEDORES[[#This Row],[IVA 19%]]-PROVEEDORES[[#This Row],[descuento sobre subtotal]]-PROVEEDORES[[#This Row],[Descuento sobre subtotal $2]]-PROVEEDORES[[#This Row],[Rete Fuente $]]</f>
        <v>146000</v>
      </c>
      <c r="S291" s="25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91" s="68">
        <f ca="1">IF(PROVEEDORES[[#This Row],[FECHA DE PAGO]]=0,TODAY()-PROVEEDORES[[#This Row],[FECHA DE FACTURACIÓN]]-PROVEEDORES[[#This Row],[PLAZO Días]],0)</f>
        <v>12</v>
      </c>
      <c r="U291" s="113">
        <f>+VLOOKUP(PROVEEDORES[[#This Row],[PROVEEDOR]],Terceros!$A:$D,4,FALSE)</f>
        <v>0</v>
      </c>
      <c r="V291" s="114">
        <f>+YEAR(PROVEEDORES[[#This Row],[FECHA DE FACTURACIÓN]])</f>
        <v>2022</v>
      </c>
      <c r="W291" s="114">
        <f>+MATCH(PROVEEDORES[[#This Row],[año facturado]],Retenciones!$1:$1,0)</f>
        <v>5</v>
      </c>
      <c r="X291" s="115">
        <f>+VLOOKUP(PROVEEDORES[[#This Row],[ID RETENCION]],Retenciones!$A$1:$O$25,PROVEEDORES[[#This Row],[indicador de columna]],FALSE)</f>
        <v>0</v>
      </c>
      <c r="Y291" s="116">
        <f>+VLOOKUP(PROVEEDORES[[#This Row],[ID RETENCION]],Retenciones!$A$1:$O$25,2,FALSE)</f>
        <v>0</v>
      </c>
      <c r="Z291" s="125" t="b">
        <f>OR(COUNTIF(PROVEEDORES[[#This Row],[PROVEEDOR]],"*"&amp;'Palabra no opera'!$A$2&amp;"*"))</f>
        <v>0</v>
      </c>
      <c r="AA291" s="24"/>
      <c r="AB291" s="24"/>
      <c r="AC291" s="24"/>
      <c r="AD291" s="24"/>
      <c r="AE291" s="24"/>
    </row>
    <row r="292" spans="1:31" ht="22.2" customHeight="1" x14ac:dyDescent="0.3">
      <c r="A292" s="207" t="str">
        <f>+IF(PROVEEDORES[[#This Row],[FECHA DE PAGO]]=PROVEEDORES[[#This Row],[FECHA DE FACTURACIÓN]],"DE CONTADO","CRÉDITO")</f>
        <v>CRÉDITO</v>
      </c>
      <c r="B292" s="38" t="b">
        <f>+IF((PROVEEDORES[[#This Row],[FECHA DE PAGO]]-PROVEEDORES[[#This Row],[FECHA DE FACTURACIÓN]])&gt;PROVEEDORES[[#This Row],[PLAZO Días]],"PAGO VENCIDO")</f>
        <v>0</v>
      </c>
      <c r="C292" s="20">
        <f>+VLOOKUP(PROVEEDORES[[#This Row],[PROVEEDOR]],TERCEROS_INFO[#All],2,FALSE)</f>
        <v>30</v>
      </c>
      <c r="D292" s="25">
        <f>+SUMIFS(PROVEEDORES[Total],PROVEEDORES[PROVEEDOR],PROVEEDORES[[#This Row],[PROVEEDOR]],PROVEEDORES[FECHA DE PAGO],"")</f>
        <v>0</v>
      </c>
      <c r="E292" s="25"/>
      <c r="F292" s="58" t="str">
        <f>+VLOOKUP(PROVEEDORES[[#This Row],[PROVEEDOR]],
                       Terceros!$A:$F,
                       5,
                       FALSE)</f>
        <v/>
      </c>
      <c r="G292" s="161">
        <v>44796</v>
      </c>
      <c r="H292" s="26" t="s">
        <v>1130</v>
      </c>
      <c r="I292" s="161">
        <v>44795</v>
      </c>
      <c r="J292" s="35" t="s">
        <v>1408</v>
      </c>
      <c r="K292" s="21">
        <v>146790</v>
      </c>
      <c r="L292" s="21"/>
      <c r="M292" s="22">
        <f>(PROVEEDORES[[#This Row],[SUBTOTAL]]-PROVEEDORES[[#This Row],[descuento sobre subtotal]])*VLOOKUP(PROVEEDORES[[#This Row],[PROVEEDOR]],TERCEROS_INFO[#All],3,FALSE)</f>
        <v>0</v>
      </c>
      <c r="N292" s="23"/>
      <c r="O292" s="22">
        <f>+PROVEEDORES[[#This Row],[Descuento sobre subtotal %]]*(PROVEEDORES[[#This Row],[SUBTOTAL]]-PROVEEDORES[[#This Row],[descuento sobre subtotal]])</f>
        <v>0</v>
      </c>
      <c r="P292" s="83">
        <f>+IF(PROVEEDORES[[#This Row],[SUBTOTAL]]&lt;PROVEEDORES[[#This Row],[base retencion]],0,PROVEEDORES[[#This Row],[retención aplicada]])</f>
        <v>0</v>
      </c>
      <c r="Q292" s="22">
        <f>+PROVEEDORES[[#This Row],[Rete Fuente %]]*(PROVEEDORES[[#This Row],[SUBTOTAL]]-PROVEEDORES[[#This Row],[descuento sobre subtotal]])</f>
        <v>0</v>
      </c>
      <c r="R292" s="21">
        <f>+PROVEEDORES[[#This Row],[SUBTOTAL]]+PROVEEDORES[[#This Row],[IVA 19%]]-PROVEEDORES[[#This Row],[descuento sobre subtotal]]-PROVEEDORES[[#This Row],[Descuento sobre subtotal $2]]-PROVEEDORES[[#This Row],[Rete Fuente $]]</f>
        <v>146790</v>
      </c>
      <c r="S292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2" s="68">
        <f ca="1">IF(PROVEEDORES[[#This Row],[FECHA DE PAGO]]=0,TODAY()-PROVEEDORES[[#This Row],[FECHA DE FACTURACIÓN]]-PROVEEDORES[[#This Row],[PLAZO Días]],0)</f>
        <v>0</v>
      </c>
      <c r="U292" s="113">
        <f>+VLOOKUP(PROVEEDORES[[#This Row],[PROVEEDOR]],Terceros!$A:$D,4,FALSE)</f>
        <v>0</v>
      </c>
      <c r="V292" s="114">
        <f>+YEAR(PROVEEDORES[[#This Row],[FECHA DE FACTURACIÓN]])</f>
        <v>2022</v>
      </c>
      <c r="W292" s="114">
        <f>+MATCH(PROVEEDORES[[#This Row],[año facturado]],Retenciones!$1:$1,0)</f>
        <v>5</v>
      </c>
      <c r="X292" s="115">
        <f>+VLOOKUP(PROVEEDORES[[#This Row],[ID RETENCION]],Retenciones!$A$1:$O$25,PROVEEDORES[[#This Row],[indicador de columna]],FALSE)</f>
        <v>0</v>
      </c>
      <c r="Y292" s="116">
        <f>+VLOOKUP(PROVEEDORES[[#This Row],[ID RETENCION]],Retenciones!$A$1:$O$25,2,FALSE)</f>
        <v>0</v>
      </c>
      <c r="Z292" s="125" t="b">
        <f>OR(COUNTIF(PROVEEDORES[[#This Row],[PROVEEDOR]],"*"&amp;'Palabra no opera'!$A$2&amp;"*"))</f>
        <v>1</v>
      </c>
      <c r="AA292" s="24"/>
      <c r="AB292" s="24"/>
      <c r="AC292" s="24"/>
      <c r="AD292" s="24"/>
      <c r="AE292" s="24"/>
    </row>
    <row r="293" spans="1:31" ht="22.2" customHeight="1" x14ac:dyDescent="0.3">
      <c r="A293" s="66" t="str">
        <f>+IF(PROVEEDORES[[#This Row],[FECHA DE PAGO]]=PROVEEDORES[[#This Row],[FECHA DE FACTURACIÓN]],"DE CONTADO","CRÉDITO")</f>
        <v>CRÉDITO</v>
      </c>
      <c r="B293" s="38" t="str">
        <f>+IF((PROVEEDORES[[#This Row],[FECHA DE PAGO]]-PROVEEDORES[[#This Row],[FECHA DE FACTURACIÓN]])&gt;PROVEEDORES[[#This Row],[PLAZO Días]],"PAGO VENCIDO")</f>
        <v>PAGO VENCIDO</v>
      </c>
      <c r="C293" s="20">
        <f>+VLOOKUP(PROVEEDORES[[#This Row],[PROVEEDOR]],TERCEROS_INFO[#All],2,FALSE)</f>
        <v>30</v>
      </c>
      <c r="D293" s="25">
        <f>+SUMIFS(PROVEEDORES[Total],PROVEEDORES[PROVEEDOR],PROVEEDORES[[#This Row],[PROVEEDOR]],PROVEEDORES[FECHA DE PAGO],"")</f>
        <v>0</v>
      </c>
      <c r="E293" s="25"/>
      <c r="F29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93" s="161">
        <v>44671</v>
      </c>
      <c r="H293" s="26" t="s">
        <v>670</v>
      </c>
      <c r="I293" s="161">
        <v>44588</v>
      </c>
      <c r="J293" s="35" t="s">
        <v>1566</v>
      </c>
      <c r="K293" s="21">
        <v>148000</v>
      </c>
      <c r="L293" s="21"/>
      <c r="M293" s="22">
        <f>(PROVEEDORES[[#This Row],[SUBTOTAL]]-PROVEEDORES[[#This Row],[descuento sobre subtotal]])*VLOOKUP(PROVEEDORES[[#This Row],[PROVEEDOR]],TERCEROS_INFO[#All],3,FALSE)</f>
        <v>0</v>
      </c>
      <c r="N293" s="23"/>
      <c r="O293" s="22">
        <f>+PROVEEDORES[[#This Row],[Descuento sobre subtotal %]]*(PROVEEDORES[[#This Row],[SUBTOTAL]]-PROVEEDORES[[#This Row],[descuento sobre subtotal]])</f>
        <v>0</v>
      </c>
      <c r="P293" s="83">
        <f>+IF(PROVEEDORES[[#This Row],[SUBTOTAL]]&lt;PROVEEDORES[[#This Row],[base retencion]],0,PROVEEDORES[[#This Row],[retención aplicada]])</f>
        <v>0</v>
      </c>
      <c r="Q293" s="22">
        <f>+PROVEEDORES[[#This Row],[Rete Fuente %]]*(PROVEEDORES[[#This Row],[SUBTOTAL]]-PROVEEDORES[[#This Row],[descuento sobre subtotal]])</f>
        <v>0</v>
      </c>
      <c r="R293" s="21">
        <f>+PROVEEDORES[[#This Row],[SUBTOTAL]]+PROVEEDORES[[#This Row],[IVA 19%]]-PROVEEDORES[[#This Row],[descuento sobre subtotal]]-PROVEEDORES[[#This Row],[Descuento sobre subtotal $2]]-PROVEEDORES[[#This Row],[Rete Fuente $]]</f>
        <v>148000</v>
      </c>
      <c r="S2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68">
        <f ca="1">IF(PROVEEDORES[[#This Row],[FECHA DE PAGO]]=0,TODAY()-PROVEEDORES[[#This Row],[FECHA DE FACTURACIÓN]]-PROVEEDORES[[#This Row],[PLAZO Días]],0)</f>
        <v>0</v>
      </c>
      <c r="U293" s="96">
        <f>+VLOOKUP(PROVEEDORES[[#This Row],[PROVEEDOR]],Terceros!$A:$D,4,FALSE)</f>
        <v>0</v>
      </c>
      <c r="V293" s="97">
        <f>+YEAR(PROVEEDORES[[#This Row],[FECHA DE FACTURACIÓN]])</f>
        <v>2022</v>
      </c>
      <c r="W293" s="97">
        <f>+MATCH(PROVEEDORES[[#This Row],[año facturado]],Retenciones!$1:$1,0)</f>
        <v>5</v>
      </c>
      <c r="X293" s="98">
        <f>+VLOOKUP(PROVEEDORES[[#This Row],[ID RETENCION]],Retenciones!$A$1:$O$25,PROVEEDORES[[#This Row],[indicador de columna]],FALSE)</f>
        <v>0</v>
      </c>
      <c r="Y293" s="99">
        <f>+VLOOKUP(PROVEEDORES[[#This Row],[ID RETENCION]],Retenciones!$A$1:$O$25,2,FALSE)</f>
        <v>0</v>
      </c>
      <c r="Z293" s="125" t="b">
        <f>OR(COUNTIF(PROVEEDORES[[#This Row],[PROVEEDOR]],"*"&amp;'Palabra no opera'!$A$2&amp;"*"))</f>
        <v>0</v>
      </c>
      <c r="AA293" s="24"/>
      <c r="AB293" s="24"/>
      <c r="AC293" s="24"/>
      <c r="AD293" s="24"/>
      <c r="AE293" s="24"/>
    </row>
    <row r="294" spans="1:31" ht="22.2" customHeight="1" x14ac:dyDescent="0.3">
      <c r="A294" s="66" t="str">
        <f>+IF(PROVEEDORES[[#This Row],[FECHA DE PAGO]]=PROVEEDORES[[#This Row],[FECHA DE FACTURACIÓN]],"DE CONTADO","CRÉDITO")</f>
        <v>CRÉDITO</v>
      </c>
      <c r="B294" s="38" t="b">
        <f>+IF((PROVEEDORES[[#This Row],[FECHA DE PAGO]]-PROVEEDORES[[#This Row],[FECHA DE FACTURACIÓN]])&gt;PROVEEDORES[[#This Row],[PLAZO Días]],"PAGO VENCIDO")</f>
        <v>0</v>
      </c>
      <c r="C294" s="20">
        <f>+VLOOKUP(PROVEEDORES[[#This Row],[PROVEEDOR]],TERCEROS_INFO[#All],2,FALSE)</f>
        <v>30</v>
      </c>
      <c r="D294" s="25">
        <f>+SUMIFS(PROVEEDORES[Total],PROVEEDORES[PROVEEDOR],PROVEEDORES[[#This Row],[PROVEEDOR]],PROVEEDORES[FECHA DE PAGO],"")</f>
        <v>0</v>
      </c>
      <c r="E294" s="25"/>
      <c r="F294" s="58" t="str">
        <f>+VLOOKUP(PROVEEDORES[[#This Row],[PROVEEDOR]],
                       Terceros!$A:$F,
                       5,
                       FALSE)</f>
        <v/>
      </c>
      <c r="G294" s="161">
        <v>44498</v>
      </c>
      <c r="H294" s="26" t="s">
        <v>1130</v>
      </c>
      <c r="I294" s="161">
        <v>44489</v>
      </c>
      <c r="J294" s="35" t="s">
        <v>1304</v>
      </c>
      <c r="K294" s="21">
        <v>149700</v>
      </c>
      <c r="L294" s="21"/>
      <c r="M294" s="22">
        <f>(PROVEEDORES[[#This Row],[SUBTOTAL]]-PROVEEDORES[[#This Row],[descuento sobre subtotal]])*VLOOKUP(PROVEEDORES[[#This Row],[PROVEEDOR]],TERCEROS_INFO[#All],3,FALSE)</f>
        <v>0</v>
      </c>
      <c r="N294" s="23"/>
      <c r="O294" s="22">
        <f>+PROVEEDORES[[#This Row],[Descuento sobre subtotal %]]*(PROVEEDORES[[#This Row],[SUBTOTAL]]-PROVEEDORES[[#This Row],[descuento sobre subtotal]])</f>
        <v>0</v>
      </c>
      <c r="P294" s="83">
        <f>+IF(PROVEEDORES[[#This Row],[SUBTOTAL]]&lt;PROVEEDORES[[#This Row],[base retencion]],0,PROVEEDORES[[#This Row],[retención aplicada]])</f>
        <v>0</v>
      </c>
      <c r="Q294" s="22">
        <f>+PROVEEDORES[[#This Row],[Rete Fuente %]]*(PROVEEDORES[[#This Row],[SUBTOTAL]]-PROVEEDORES[[#This Row],[descuento sobre subtotal]])</f>
        <v>0</v>
      </c>
      <c r="R294" s="21">
        <f>+PROVEEDORES[[#This Row],[SUBTOTAL]]+PROVEEDORES[[#This Row],[IVA 19%]]-PROVEEDORES[[#This Row],[descuento sobre subtotal]]-PROVEEDORES[[#This Row],[Descuento sobre subtotal $2]]-PROVEEDORES[[#This Row],[Rete Fuente $]]</f>
        <v>149700</v>
      </c>
      <c r="S2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68">
        <f ca="1">IF(PROVEEDORES[[#This Row],[FECHA DE PAGO]]=0,TODAY()-PROVEEDORES[[#This Row],[FECHA DE FACTURACIÓN]]-PROVEEDORES[[#This Row],[PLAZO Días]],0)</f>
        <v>0</v>
      </c>
      <c r="U294" s="96">
        <f>+VLOOKUP(PROVEEDORES[[#This Row],[PROVEEDOR]],Terceros!$A:$D,4,FALSE)</f>
        <v>0</v>
      </c>
      <c r="V294" s="97">
        <f>+YEAR(PROVEEDORES[[#This Row],[FECHA DE FACTURACIÓN]])</f>
        <v>2021</v>
      </c>
      <c r="W294" s="97">
        <f>+MATCH(PROVEEDORES[[#This Row],[año facturado]],Retenciones!$1:$1,0)</f>
        <v>4</v>
      </c>
      <c r="X294" s="98">
        <f>+VLOOKUP(PROVEEDORES[[#This Row],[ID RETENCION]],Retenciones!$A$1:$O$25,PROVEEDORES[[#This Row],[indicador de columna]],FALSE)</f>
        <v>0</v>
      </c>
      <c r="Y294" s="99">
        <f>+VLOOKUP(PROVEEDORES[[#This Row],[ID RETENCION]],Retenciones!$A$1:$O$25,2,FALSE)</f>
        <v>0</v>
      </c>
      <c r="Z294" s="125" t="b">
        <f>OR(COUNTIF(PROVEEDORES[[#This Row],[PROVEEDOR]],"*"&amp;'Palabra no opera'!$A$2&amp;"*"))</f>
        <v>1</v>
      </c>
      <c r="AA294" s="24"/>
      <c r="AB294" s="24"/>
      <c r="AC294" s="24"/>
      <c r="AD294" s="24"/>
      <c r="AE294" s="24"/>
    </row>
    <row r="295" spans="1:31" ht="22.2" customHeight="1" x14ac:dyDescent="0.3">
      <c r="A295" s="66" t="str">
        <f>+IF(PROVEEDORES[[#This Row],[FECHA DE PAGO]]=PROVEEDORES[[#This Row],[FECHA DE FACTURACIÓN]],"DE CONTADO","CRÉDITO")</f>
        <v>CRÉDITO</v>
      </c>
      <c r="B295" s="38" t="str">
        <f>+IF((PROVEEDORES[[#This Row],[FECHA DE PAGO]]-PROVEEDORES[[#This Row],[FECHA DE FACTURACIÓN]])&gt;PROVEEDORES[[#This Row],[PLAZO Días]],"PAGO VENCIDO")</f>
        <v>PAGO VENCIDO</v>
      </c>
      <c r="C295" s="20">
        <f>+VLOOKUP(PROVEEDORES[[#This Row],[PROVEEDOR]],TERCEROS_INFO[#All],2,FALSE)</f>
        <v>30</v>
      </c>
      <c r="D295" s="25">
        <f>+SUMIFS(PROVEEDORES[Total],PROVEEDORES[PROVEEDOR],PROVEEDORES[[#This Row],[PROVEEDOR]],PROVEEDORES[FECHA DE PAGO],"")</f>
        <v>5272763.2050000001</v>
      </c>
      <c r="E295" s="25"/>
      <c r="F29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95" s="161">
        <v>44403</v>
      </c>
      <c r="H295" s="26" t="s">
        <v>11</v>
      </c>
      <c r="I295" s="161">
        <v>44355</v>
      </c>
      <c r="J295" s="35" t="s">
        <v>348</v>
      </c>
      <c r="K295" s="21">
        <v>126050</v>
      </c>
      <c r="L295" s="21"/>
      <c r="M295" s="22">
        <f>(PROVEEDORES[[#This Row],[SUBTOTAL]]-PROVEEDORES[[#This Row],[descuento sobre subtotal]])*VLOOKUP(PROVEEDORES[[#This Row],[PROVEEDOR]],TERCEROS_INFO[#All],3,FALSE)</f>
        <v>23949.5</v>
      </c>
      <c r="N295" s="23"/>
      <c r="O295" s="22">
        <f>+PROVEEDORES[[#This Row],[Descuento sobre subtotal %]]*(PROVEEDORES[[#This Row],[SUBTOTAL]]-PROVEEDORES[[#This Row],[descuento sobre subtotal]])</f>
        <v>0</v>
      </c>
      <c r="P295" s="83">
        <f>+IF(PROVEEDORES[[#This Row],[SUBTOTAL]]&lt;PROVEEDORES[[#This Row],[base retencion]],0,PROVEEDORES[[#This Row],[retención aplicada]])</f>
        <v>0</v>
      </c>
      <c r="Q295" s="22">
        <f>+PROVEEDORES[[#This Row],[Rete Fuente %]]*(PROVEEDORES[[#This Row],[SUBTOTAL]]-PROVEEDORES[[#This Row],[descuento sobre subtotal]])</f>
        <v>0</v>
      </c>
      <c r="R295" s="21">
        <f>+PROVEEDORES[[#This Row],[SUBTOTAL]]+PROVEEDORES[[#This Row],[IVA 19%]]-PROVEEDORES[[#This Row],[descuento sobre subtotal]]-PROVEEDORES[[#This Row],[Descuento sobre subtotal $2]]-PROVEEDORES[[#This Row],[Rete Fuente $]]</f>
        <v>149999.5</v>
      </c>
      <c r="S2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68">
        <f ca="1">IF(PROVEEDORES[[#This Row],[FECHA DE PAGO]]=0,TODAY()-PROVEEDORES[[#This Row],[FECHA DE FACTURACIÓN]]-PROVEEDORES[[#This Row],[PLAZO Días]],0)</f>
        <v>0</v>
      </c>
      <c r="U295" s="96" t="str">
        <f>+VLOOKUP(PROVEEDORES[[#This Row],[PROVEEDOR]],Terceros!$A:$D,4,FALSE)</f>
        <v>2,5% con base</v>
      </c>
      <c r="V295" s="97">
        <f>+YEAR(PROVEEDORES[[#This Row],[FECHA DE FACTURACIÓN]])</f>
        <v>2021</v>
      </c>
      <c r="W295" s="97">
        <f>+MATCH(PROVEEDORES[[#This Row],[año facturado]],Retenciones!$1:$1,0)</f>
        <v>4</v>
      </c>
      <c r="X295" s="98">
        <f>+VLOOKUP(PROVEEDORES[[#This Row],[ID RETENCION]],Retenciones!$A$1:$O$25,PROVEEDORES[[#This Row],[indicador de columna]],FALSE)</f>
        <v>980000</v>
      </c>
      <c r="Y295" s="99">
        <f>+VLOOKUP(PROVEEDORES[[#This Row],[ID RETENCION]],Retenciones!$A$1:$O$25,2,FALSE)</f>
        <v>2.5000000000000001E-2</v>
      </c>
      <c r="Z295" s="127" t="b">
        <f>OR(COUNTIF(PROVEEDORES[[#This Row],[PROVEEDOR]],"*"&amp;'Palabra no opera'!$A$2&amp;"*"))</f>
        <v>0</v>
      </c>
      <c r="AA295" s="24"/>
      <c r="AB295" s="24"/>
      <c r="AC295" s="24"/>
      <c r="AD295" s="24"/>
      <c r="AE295" s="24"/>
    </row>
    <row r="296" spans="1:31" ht="22.2" customHeight="1" x14ac:dyDescent="0.3">
      <c r="A296" s="66" t="str">
        <f>+IF(PROVEEDORES[[#This Row],[FECHA DE PAGO]]=PROVEEDORES[[#This Row],[FECHA DE FACTURACIÓN]],"DE CONTADO","CRÉDITO")</f>
        <v>DE CONTADO</v>
      </c>
      <c r="B296" s="38" t="b">
        <f>+IF((PROVEEDORES[[#This Row],[FECHA DE PAGO]]-PROVEEDORES[[#This Row],[FECHA DE FACTURACIÓN]])&gt;PROVEEDORES[[#This Row],[PLAZO Días]],"PAGO VENCIDO")</f>
        <v>0</v>
      </c>
      <c r="C296" s="20">
        <f>+VLOOKUP(PROVEEDORES[[#This Row],[PROVEEDOR]],TERCEROS_INFO[#All],2,FALSE)</f>
        <v>30</v>
      </c>
      <c r="D296" s="25">
        <f>+SUMIFS(PROVEEDORES[Total],PROVEEDORES[PROVEEDOR],PROVEEDORES[[#This Row],[PROVEEDOR]],PROVEEDORES[FECHA DE PAGO],"")</f>
        <v>0</v>
      </c>
      <c r="E296" s="25"/>
      <c r="F296" s="58" t="str">
        <f>+VLOOKUP(PROVEEDORES[[#This Row],[PROVEEDOR]],
                       Terceros!$A:$F,
                       5,
                       FALSE)</f>
        <v/>
      </c>
      <c r="G296" s="161">
        <v>44407</v>
      </c>
      <c r="H296" s="26" t="s">
        <v>644</v>
      </c>
      <c r="I296" s="161">
        <v>44407</v>
      </c>
      <c r="J296" s="35" t="s">
        <v>1473</v>
      </c>
      <c r="K296" s="21">
        <v>150000</v>
      </c>
      <c r="L296" s="21"/>
      <c r="M296" s="22">
        <f>(PROVEEDORES[[#This Row],[SUBTOTAL]]-PROVEEDORES[[#This Row],[descuento sobre subtotal]])*VLOOKUP(PROVEEDORES[[#This Row],[PROVEEDOR]],TERCEROS_INFO[#All],3,FALSE)</f>
        <v>0</v>
      </c>
      <c r="N296" s="23"/>
      <c r="O296" s="22">
        <f>+PROVEEDORES[[#This Row],[Descuento sobre subtotal %]]*(PROVEEDORES[[#This Row],[SUBTOTAL]]-PROVEEDORES[[#This Row],[descuento sobre subtotal]])</f>
        <v>0</v>
      </c>
      <c r="P296" s="83">
        <f>+IF(PROVEEDORES[[#This Row],[SUBTOTAL]]&lt;PROVEEDORES[[#This Row],[base retencion]],0,PROVEEDORES[[#This Row],[retención aplicada]])</f>
        <v>0</v>
      </c>
      <c r="Q296" s="22">
        <f>+PROVEEDORES[[#This Row],[Rete Fuente %]]*(PROVEEDORES[[#This Row],[SUBTOTAL]]-PROVEEDORES[[#This Row],[descuento sobre subtotal]])</f>
        <v>0</v>
      </c>
      <c r="R296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2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68">
        <f ca="1">IF(PROVEEDORES[[#This Row],[FECHA DE PAGO]]=0,TODAY()-PROVEEDORES[[#This Row],[FECHA DE FACTURACIÓN]]-PROVEEDORES[[#This Row],[PLAZO Días]],0)</f>
        <v>0</v>
      </c>
      <c r="U296" s="96">
        <f>+VLOOKUP(PROVEEDORES[[#This Row],[PROVEEDOR]],Terceros!$A:$D,4,FALSE)</f>
        <v>0</v>
      </c>
      <c r="V296" s="97">
        <f>+YEAR(PROVEEDORES[[#This Row],[FECHA DE FACTURACIÓN]])</f>
        <v>2021</v>
      </c>
      <c r="W296" s="97">
        <f>+MATCH(PROVEEDORES[[#This Row],[año facturado]],Retenciones!$1:$1,0)</f>
        <v>4</v>
      </c>
      <c r="X296" s="98">
        <f>+VLOOKUP(PROVEEDORES[[#This Row],[ID RETENCION]],Retenciones!$A$1:$O$25,PROVEEDORES[[#This Row],[indicador de columna]],FALSE)</f>
        <v>0</v>
      </c>
      <c r="Y296" s="99">
        <f>+VLOOKUP(PROVEEDORES[[#This Row],[ID RETENCION]],Retenciones!$A$1:$O$25,2,FALSE)</f>
        <v>0</v>
      </c>
      <c r="Z296" s="125" t="b">
        <f>OR(COUNTIF(PROVEEDORES[[#This Row],[PROVEEDOR]],"*"&amp;'Palabra no opera'!$A$2&amp;"*"))</f>
        <v>0</v>
      </c>
      <c r="AA296" s="24"/>
      <c r="AB296" s="24"/>
      <c r="AC296" s="24"/>
      <c r="AD296" s="24"/>
      <c r="AE296" s="24"/>
    </row>
    <row r="297" spans="1:31" ht="22.2" customHeight="1" x14ac:dyDescent="0.3">
      <c r="A297" s="66" t="str">
        <f>+IF(PROVEEDORES[[#This Row],[FECHA DE PAGO]]=PROVEEDORES[[#This Row],[FECHA DE FACTURACIÓN]],"DE CONTADO","CRÉDITO")</f>
        <v>DE CONTADO</v>
      </c>
      <c r="B297" s="38" t="b">
        <f>+IF((PROVEEDORES[[#This Row],[FECHA DE PAGO]]-PROVEEDORES[[#This Row],[FECHA DE FACTURACIÓN]])&gt;PROVEEDORES[[#This Row],[PLAZO Días]],"PAGO VENCIDO")</f>
        <v>0</v>
      </c>
      <c r="C297" s="20">
        <f>+VLOOKUP(PROVEEDORES[[#This Row],[PROVEEDOR]],TERCEROS_INFO[#All],2,FALSE)</f>
        <v>30</v>
      </c>
      <c r="D297" s="25">
        <f>+SUMIFS(PROVEEDORES[Total],PROVEEDORES[PROVEEDOR],PROVEEDORES[[#This Row],[PROVEEDOR]],PROVEEDORES[FECHA DE PAGO],"")</f>
        <v>0</v>
      </c>
      <c r="E297" s="25"/>
      <c r="F297" s="58" t="str">
        <f>+VLOOKUP(PROVEEDORES[[#This Row],[PROVEEDOR]],
                       Terceros!$A:$F,
                       5,
                       FALSE)</f>
        <v/>
      </c>
      <c r="G297" s="161">
        <v>44438</v>
      </c>
      <c r="H297" s="26" t="s">
        <v>644</v>
      </c>
      <c r="I297" s="161">
        <v>44438</v>
      </c>
      <c r="J297" s="35" t="s">
        <v>1295</v>
      </c>
      <c r="K297" s="21">
        <v>150000</v>
      </c>
      <c r="L297" s="21"/>
      <c r="M297" s="22">
        <f>(PROVEEDORES[[#This Row],[SUBTOTAL]]-PROVEEDORES[[#This Row],[descuento sobre subtotal]])*VLOOKUP(PROVEEDORES[[#This Row],[PROVEEDOR]],TERCEROS_INFO[#All],3,FALSE)</f>
        <v>0</v>
      </c>
      <c r="N297" s="23"/>
      <c r="O297" s="22">
        <f>+PROVEEDORES[[#This Row],[Descuento sobre subtotal %]]*(PROVEEDORES[[#This Row],[SUBTOTAL]]-PROVEEDORES[[#This Row],[descuento sobre subtotal]])</f>
        <v>0</v>
      </c>
      <c r="P297" s="83">
        <f>+IF(PROVEEDORES[[#This Row],[SUBTOTAL]]&lt;PROVEEDORES[[#This Row],[base retencion]],0,PROVEEDORES[[#This Row],[retención aplicada]])</f>
        <v>0</v>
      </c>
      <c r="Q297" s="22">
        <f>+PROVEEDORES[[#This Row],[Rete Fuente %]]*(PROVEEDORES[[#This Row],[SUBTOTAL]]-PROVEEDORES[[#This Row],[descuento sobre subtotal]])</f>
        <v>0</v>
      </c>
      <c r="R297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2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68">
        <f ca="1">IF(PROVEEDORES[[#This Row],[FECHA DE PAGO]]=0,TODAY()-PROVEEDORES[[#This Row],[FECHA DE FACTURACIÓN]]-PROVEEDORES[[#This Row],[PLAZO Días]],0)</f>
        <v>0</v>
      </c>
      <c r="U297" s="96">
        <f>+VLOOKUP(PROVEEDORES[[#This Row],[PROVEEDOR]],Terceros!$A:$D,4,FALSE)</f>
        <v>0</v>
      </c>
      <c r="V297" s="97">
        <f>+YEAR(PROVEEDORES[[#This Row],[FECHA DE FACTURACIÓN]])</f>
        <v>2021</v>
      </c>
      <c r="W297" s="97">
        <f>+MATCH(PROVEEDORES[[#This Row],[año facturado]],Retenciones!$1:$1,0)</f>
        <v>4</v>
      </c>
      <c r="X297" s="98">
        <f>+VLOOKUP(PROVEEDORES[[#This Row],[ID RETENCION]],Retenciones!$A$1:$O$25,PROVEEDORES[[#This Row],[indicador de columna]],FALSE)</f>
        <v>0</v>
      </c>
      <c r="Y297" s="99">
        <f>+VLOOKUP(PROVEEDORES[[#This Row],[ID RETENCION]],Retenciones!$A$1:$O$25,2,FALSE)</f>
        <v>0</v>
      </c>
      <c r="Z297" s="125" t="b">
        <f>OR(COUNTIF(PROVEEDORES[[#This Row],[PROVEEDOR]],"*"&amp;'Palabra no opera'!$A$2&amp;"*"))</f>
        <v>0</v>
      </c>
      <c r="AA297" s="24"/>
      <c r="AB297" s="24"/>
      <c r="AC297" s="24"/>
      <c r="AD297" s="24"/>
      <c r="AE297" s="24"/>
    </row>
    <row r="298" spans="1:31" ht="22.2" customHeight="1" x14ac:dyDescent="0.3">
      <c r="A298" s="66" t="str">
        <f>+IF(PROVEEDORES[[#This Row],[FECHA DE PAGO]]=PROVEEDORES[[#This Row],[FECHA DE FACTURACIÓN]],"DE CONTADO","CRÉDITO")</f>
        <v>DE CONTADO</v>
      </c>
      <c r="B298" s="38" t="b">
        <f>+IF((PROVEEDORES[[#This Row],[FECHA DE PAGO]]-PROVEEDORES[[#This Row],[FECHA DE FACTURACIÓN]])&gt;PROVEEDORES[[#This Row],[PLAZO Días]],"PAGO VENCIDO")</f>
        <v>0</v>
      </c>
      <c r="C298" s="20">
        <f>+VLOOKUP(PROVEEDORES[[#This Row],[PROVEEDOR]],TERCEROS_INFO[#All],2,FALSE)</f>
        <v>30</v>
      </c>
      <c r="D298" s="25">
        <f>+SUMIFS(PROVEEDORES[Total],PROVEEDORES[PROVEEDOR],PROVEEDORES[[#This Row],[PROVEEDOR]],PROVEEDORES[FECHA DE PAGO],"")</f>
        <v>0</v>
      </c>
      <c r="E298" s="25"/>
      <c r="F298" s="58" t="str">
        <f>+VLOOKUP(PROVEEDORES[[#This Row],[PROVEEDOR]],
                       Terceros!$A:$F,
                       5,
                       FALSE)</f>
        <v/>
      </c>
      <c r="G298" s="161">
        <v>44660</v>
      </c>
      <c r="H298" s="26" t="s">
        <v>661</v>
      </c>
      <c r="I298" s="161">
        <v>44660</v>
      </c>
      <c r="J298" s="35" t="s">
        <v>853</v>
      </c>
      <c r="K298" s="21">
        <v>150000</v>
      </c>
      <c r="L298" s="21"/>
      <c r="M298" s="22">
        <f>(PROVEEDORES[[#This Row],[SUBTOTAL]]-PROVEEDORES[[#This Row],[descuento sobre subtotal]])*VLOOKUP(PROVEEDORES[[#This Row],[PROVEEDOR]],TERCEROS_INFO[#All],3,FALSE)</f>
        <v>0</v>
      </c>
      <c r="N298" s="23"/>
      <c r="O298" s="22">
        <f>+PROVEEDORES[[#This Row],[Descuento sobre subtotal %]]*(PROVEEDORES[[#This Row],[SUBTOTAL]]-PROVEEDORES[[#This Row],[descuento sobre subtotal]])</f>
        <v>0</v>
      </c>
      <c r="P298" s="83">
        <f>+IF(PROVEEDORES[[#This Row],[SUBTOTAL]]&lt;PROVEEDORES[[#This Row],[base retencion]],0,PROVEEDORES[[#This Row],[retención aplicada]])</f>
        <v>0</v>
      </c>
      <c r="Q298" s="22">
        <f>+PROVEEDORES[[#This Row],[Rete Fuente %]]*(PROVEEDORES[[#This Row],[SUBTOTAL]]-PROVEEDORES[[#This Row],[descuento sobre subtotal]])</f>
        <v>0</v>
      </c>
      <c r="R298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2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68">
        <f ca="1">IF(PROVEEDORES[[#This Row],[FECHA DE PAGO]]=0,TODAY()-PROVEEDORES[[#This Row],[FECHA DE FACTURACIÓN]]-PROVEEDORES[[#This Row],[PLAZO Días]],0)</f>
        <v>0</v>
      </c>
      <c r="U298" s="96">
        <f>+VLOOKUP(PROVEEDORES[[#This Row],[PROVEEDOR]],Terceros!$A:$D,4,FALSE)</f>
        <v>0</v>
      </c>
      <c r="V298" s="97">
        <f>+YEAR(PROVEEDORES[[#This Row],[FECHA DE FACTURACIÓN]])</f>
        <v>2022</v>
      </c>
      <c r="W298" s="97">
        <f>+MATCH(PROVEEDORES[[#This Row],[año facturado]],Retenciones!$1:$1,0)</f>
        <v>5</v>
      </c>
      <c r="X298" s="98">
        <f>+VLOOKUP(PROVEEDORES[[#This Row],[ID RETENCION]],Retenciones!$A$1:$O$25,PROVEEDORES[[#This Row],[indicador de columna]],FALSE)</f>
        <v>0</v>
      </c>
      <c r="Y298" s="99">
        <f>+VLOOKUP(PROVEEDORES[[#This Row],[ID RETENCION]],Retenciones!$A$1:$O$25,2,FALSE)</f>
        <v>0</v>
      </c>
      <c r="Z298" s="125" t="b">
        <f>OR(COUNTIF(PROVEEDORES[[#This Row],[PROVEEDOR]],"*"&amp;'Palabra no opera'!$A$2&amp;"*"))</f>
        <v>0</v>
      </c>
      <c r="AA298" s="24"/>
      <c r="AB298" s="24"/>
      <c r="AC298" s="24"/>
      <c r="AD298" s="24"/>
      <c r="AE298" s="24"/>
    </row>
    <row r="299" spans="1:31" ht="22.2" customHeight="1" x14ac:dyDescent="0.3">
      <c r="A299" s="66" t="str">
        <f>+IF(PROVEEDORES[[#This Row],[FECHA DE PAGO]]=PROVEEDORES[[#This Row],[FECHA DE FACTURACIÓN]],"DE CONTADO","CRÉDITO")</f>
        <v>CRÉDITO</v>
      </c>
      <c r="B299" s="38" t="str">
        <f>+IF((PROVEEDORES[[#This Row],[FECHA DE PAGO]]-PROVEEDORES[[#This Row],[FECHA DE FACTURACIÓN]])&gt;PROVEEDORES[[#This Row],[PLAZO Días]],"PAGO VENCIDO")</f>
        <v>PAGO VENCIDO</v>
      </c>
      <c r="C299" s="20">
        <f>+VLOOKUP(PROVEEDORES[[#This Row],[PROVEEDOR]],TERCEROS_INFO[#All],2,FALSE)</f>
        <v>30</v>
      </c>
      <c r="D299" s="25">
        <f>+SUMIFS(PROVEEDORES[Total],PROVEEDORES[PROVEEDOR],PROVEEDORES[[#This Row],[PROVEEDOR]],PROVEEDORES[FECHA DE PAGO],"")</f>
        <v>4712021.58</v>
      </c>
      <c r="E299" s="25"/>
      <c r="F29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99" s="161">
        <v>44344</v>
      </c>
      <c r="H299" s="26" t="s">
        <v>17</v>
      </c>
      <c r="I299" s="161">
        <v>44307</v>
      </c>
      <c r="J299" s="35">
        <v>1754054</v>
      </c>
      <c r="K299" s="21">
        <v>126965.96</v>
      </c>
      <c r="L299" s="21"/>
      <c r="M299" s="22">
        <f>(PROVEEDORES[[#This Row],[SUBTOTAL]]-PROVEEDORES[[#This Row],[descuento sobre subtotal]])*VLOOKUP(PROVEEDORES[[#This Row],[PROVEEDOR]],TERCEROS_INFO[#All],3,FALSE)</f>
        <v>24123.5324</v>
      </c>
      <c r="N299" s="23"/>
      <c r="O299" s="22">
        <f>+PROVEEDORES[[#This Row],[Descuento sobre subtotal %]]*(PROVEEDORES[[#This Row],[SUBTOTAL]]-PROVEEDORES[[#This Row],[descuento sobre subtotal]])</f>
        <v>0</v>
      </c>
      <c r="P299" s="83">
        <f>+IF(PROVEEDORES[[#This Row],[SUBTOTAL]]&lt;PROVEEDORES[[#This Row],[base retencion]],0,PROVEEDORES[[#This Row],[retención aplicada]])</f>
        <v>0</v>
      </c>
      <c r="Q299" s="22">
        <f>+PROVEEDORES[[#This Row],[Rete Fuente %]]*(PROVEEDORES[[#This Row],[SUBTOTAL]]-PROVEEDORES[[#This Row],[descuento sobre subtotal]])</f>
        <v>0</v>
      </c>
      <c r="R299" s="21">
        <f>+PROVEEDORES[[#This Row],[SUBTOTAL]]+PROVEEDORES[[#This Row],[IVA 19%]]-PROVEEDORES[[#This Row],[descuento sobre subtotal]]-PROVEEDORES[[#This Row],[Descuento sobre subtotal $2]]-PROVEEDORES[[#This Row],[Rete Fuente $]]</f>
        <v>151089.49240000002</v>
      </c>
      <c r="S2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68">
        <f ca="1">IF(PROVEEDORES[[#This Row],[FECHA DE PAGO]]=0,TODAY()-PROVEEDORES[[#This Row],[FECHA DE FACTURACIÓN]]-PROVEEDORES[[#This Row],[PLAZO Días]],0)</f>
        <v>0</v>
      </c>
      <c r="U299" s="96">
        <f>+VLOOKUP(PROVEEDORES[[#This Row],[PROVEEDOR]],Terceros!$A:$D,4,FALSE)</f>
        <v>0</v>
      </c>
      <c r="V299" s="97">
        <f>+YEAR(PROVEEDORES[[#This Row],[FECHA DE FACTURACIÓN]])</f>
        <v>2021</v>
      </c>
      <c r="W299" s="97">
        <f>+MATCH(PROVEEDORES[[#This Row],[año facturado]],Retenciones!$1:$1,0)</f>
        <v>4</v>
      </c>
      <c r="X299" s="98">
        <f>+VLOOKUP(PROVEEDORES[[#This Row],[ID RETENCION]],Retenciones!$A$1:$O$25,PROVEEDORES[[#This Row],[indicador de columna]],FALSE)</f>
        <v>0</v>
      </c>
      <c r="Y299" s="99">
        <f>+VLOOKUP(PROVEEDORES[[#This Row],[ID RETENCION]],Retenciones!$A$1:$O$25,2,FALSE)</f>
        <v>0</v>
      </c>
      <c r="Z299" s="125" t="b">
        <f>OR(COUNTIF(PROVEEDORES[[#This Row],[PROVEEDOR]],"*"&amp;'Palabra no opera'!$A$2&amp;"*"))</f>
        <v>0</v>
      </c>
      <c r="AA299" s="24"/>
      <c r="AB299" s="24"/>
      <c r="AC299" s="24"/>
      <c r="AD299" s="24"/>
      <c r="AE299" s="24"/>
    </row>
    <row r="300" spans="1:31" ht="22.2" customHeight="1" x14ac:dyDescent="0.3">
      <c r="A300" s="66" t="str">
        <f>+IF(PROVEEDORES[[#This Row],[FECHA DE PAGO]]=PROVEEDORES[[#This Row],[FECHA DE FACTURACIÓN]],"DE CONTADO","CRÉDITO")</f>
        <v>CRÉDITO</v>
      </c>
      <c r="B300" s="38" t="str">
        <f>+IF((PROVEEDORES[[#This Row],[FECHA DE PAGO]]-PROVEEDORES[[#This Row],[FECHA DE FACTURACIÓN]])&gt;PROVEEDORES[[#This Row],[PLAZO Días]],"PAGO VENCIDO")</f>
        <v>PAGO VENCIDO</v>
      </c>
      <c r="C300" s="20">
        <f>+VLOOKUP(PROVEEDORES[[#This Row],[PROVEEDOR]],TERCEROS_INFO[#All],2,FALSE)</f>
        <v>30</v>
      </c>
      <c r="D300" s="25">
        <f>+SUMIFS(PROVEEDORES[Total],PROVEEDORES[PROVEEDOR],PROVEEDORES[[#This Row],[PROVEEDOR]],PROVEEDORES[FECHA DE PAGO],"")</f>
        <v>0</v>
      </c>
      <c r="E300" s="25"/>
      <c r="F300" s="58" t="str">
        <f>+VLOOKUP(PROVEEDORES[[#This Row],[PROVEEDOR]],
                       Terceros!$A:$F,
                       5,
                       FALSE)</f>
        <v>electronicascanaresas@gmail.com;girlesa.ruiz@servipilas.com;joriescobar64@gmail.com</v>
      </c>
      <c r="G300" s="161">
        <v>44476</v>
      </c>
      <c r="H300" s="26" t="s">
        <v>176</v>
      </c>
      <c r="I300" s="161">
        <v>44218</v>
      </c>
      <c r="J300" s="35" t="s">
        <v>485</v>
      </c>
      <c r="K300" s="21">
        <v>128000</v>
      </c>
      <c r="L300" s="21"/>
      <c r="M300" s="22">
        <f>(PROVEEDORES[[#This Row],[SUBTOTAL]]-PROVEEDORES[[#This Row],[descuento sobre subtotal]])*VLOOKUP(PROVEEDORES[[#This Row],[PROVEEDOR]],TERCEROS_INFO[#All],3,FALSE)</f>
        <v>24320</v>
      </c>
      <c r="N300" s="23"/>
      <c r="O300" s="22">
        <f>+PROVEEDORES[[#This Row],[Descuento sobre subtotal %]]*(PROVEEDORES[[#This Row],[SUBTOTAL]]-PROVEEDORES[[#This Row],[descuento sobre subtotal]])</f>
        <v>0</v>
      </c>
      <c r="P300" s="83">
        <f>+IF(PROVEEDORES[[#This Row],[SUBTOTAL]]&lt;PROVEEDORES[[#This Row],[base retencion]],0,PROVEEDORES[[#This Row],[retención aplicada]])</f>
        <v>0</v>
      </c>
      <c r="Q300" s="22">
        <f>+PROVEEDORES[[#This Row],[Rete Fuente %]]*(PROVEEDORES[[#This Row],[SUBTOTAL]]-PROVEEDORES[[#This Row],[descuento sobre subtotal]])</f>
        <v>0</v>
      </c>
      <c r="R300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3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68">
        <f ca="1">IF(PROVEEDORES[[#This Row],[FECHA DE PAGO]]=0,TODAY()-PROVEEDORES[[#This Row],[FECHA DE FACTURACIÓN]]-PROVEEDORES[[#This Row],[PLAZO Días]],0)</f>
        <v>0</v>
      </c>
      <c r="U300" s="96" t="str">
        <f>+VLOOKUP(PROVEEDORES[[#This Row],[PROVEEDOR]],Terceros!$A:$D,4,FALSE)</f>
        <v>2,5% con base</v>
      </c>
      <c r="V300" s="97">
        <f>+YEAR(PROVEEDORES[[#This Row],[FECHA DE FACTURACIÓN]])</f>
        <v>2021</v>
      </c>
      <c r="W300" s="97">
        <f>+MATCH(PROVEEDORES[[#This Row],[año facturado]],Retenciones!$1:$1,0)</f>
        <v>4</v>
      </c>
      <c r="X300" s="98">
        <f>+VLOOKUP(PROVEEDORES[[#This Row],[ID RETENCION]],Retenciones!$A$1:$O$25,PROVEEDORES[[#This Row],[indicador de columna]],FALSE)</f>
        <v>980000</v>
      </c>
      <c r="Y300" s="99">
        <f>+VLOOKUP(PROVEEDORES[[#This Row],[ID RETENCION]],Retenciones!$A$1:$O$25,2,FALSE)</f>
        <v>2.5000000000000001E-2</v>
      </c>
      <c r="Z300" s="125" t="b">
        <f>OR(COUNTIF(PROVEEDORES[[#This Row],[PROVEEDOR]],"*"&amp;'Palabra no opera'!$A$2&amp;"*"))</f>
        <v>0</v>
      </c>
      <c r="AA300" s="24"/>
      <c r="AB300" s="24"/>
      <c r="AC300" s="24"/>
      <c r="AD300" s="24"/>
      <c r="AE300" s="24"/>
    </row>
    <row r="301" spans="1:31" ht="22.2" customHeight="1" x14ac:dyDescent="0.3">
      <c r="A301" s="159" t="str">
        <f>+IF(PROVEEDORES[[#This Row],[FECHA DE PAGO]]=PROVEEDORES[[#This Row],[FECHA DE FACTURACIÓN]],"DE CONTADO","CRÉDITO")</f>
        <v>CRÉDITO</v>
      </c>
      <c r="B301" s="38" t="str">
        <f>+IF((PROVEEDORES[[#This Row],[FECHA DE PAGO]]-PROVEEDORES[[#This Row],[FECHA DE FACTURACIÓN]])&gt;PROVEEDORES[[#This Row],[PLAZO Días]],"PAGO VENCIDO")</f>
        <v>PAGO VENCIDO</v>
      </c>
      <c r="C301" s="20">
        <f>+VLOOKUP(PROVEEDORES[[#This Row],[PROVEEDOR]],TERCEROS_INFO[#All],2,FALSE)</f>
        <v>30</v>
      </c>
      <c r="D301" s="25">
        <f>+SUMIFS(PROVEEDORES[Total],PROVEEDORES[PROVEEDOR],PROVEEDORES[[#This Row],[PROVEEDOR]],PROVEEDORES[FECHA DE PAGO],"")</f>
        <v>0</v>
      </c>
      <c r="E301" s="25"/>
      <c r="F30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01" s="161">
        <v>44776</v>
      </c>
      <c r="H301" s="26" t="s">
        <v>1637</v>
      </c>
      <c r="I301" s="161">
        <v>44720</v>
      </c>
      <c r="J301" s="35">
        <v>26146</v>
      </c>
      <c r="K301" s="21">
        <v>128000</v>
      </c>
      <c r="L301" s="21"/>
      <c r="M301" s="22">
        <f>(PROVEEDORES[[#This Row],[SUBTOTAL]]-PROVEEDORES[[#This Row],[descuento sobre subtotal]])*VLOOKUP(PROVEEDORES[[#This Row],[PROVEEDOR]],TERCEROS_INFO[#All],3,FALSE)</f>
        <v>24320</v>
      </c>
      <c r="N301" s="23"/>
      <c r="O301" s="22">
        <f>+PROVEEDORES[[#This Row],[Descuento sobre subtotal %]]*(PROVEEDORES[[#This Row],[SUBTOTAL]]-PROVEEDORES[[#This Row],[descuento sobre subtotal]])</f>
        <v>0</v>
      </c>
      <c r="P301" s="83">
        <f>+IF(PROVEEDORES[[#This Row],[SUBTOTAL]]&lt;PROVEEDORES[[#This Row],[base retencion]],0,PROVEEDORES[[#This Row],[retención aplicada]])</f>
        <v>0</v>
      </c>
      <c r="Q301" s="22">
        <f>+PROVEEDORES[[#This Row],[Rete Fuente %]]*(PROVEEDORES[[#This Row],[SUBTOTAL]]-PROVEEDORES[[#This Row],[descuento sobre subtotal]])</f>
        <v>0</v>
      </c>
      <c r="R301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30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68">
        <f ca="1">IF(PROVEEDORES[[#This Row],[FECHA DE PAGO]]=0,TODAY()-PROVEEDORES[[#This Row],[FECHA DE FACTURACIÓN]]-PROVEEDORES[[#This Row],[PLAZO Días]],0)</f>
        <v>0</v>
      </c>
      <c r="U301" s="113" t="str">
        <f>+VLOOKUP(PROVEEDORES[[#This Row],[PROVEEDOR]],Terceros!$A:$D,4,FALSE)</f>
        <v>2,5% con base</v>
      </c>
      <c r="V301" s="114">
        <f>+YEAR(PROVEEDORES[[#This Row],[FECHA DE FACTURACIÓN]])</f>
        <v>2022</v>
      </c>
      <c r="W301" s="114">
        <f>+MATCH(PROVEEDORES[[#This Row],[año facturado]],Retenciones!$1:$1,0)</f>
        <v>5</v>
      </c>
      <c r="X301" s="115">
        <f>+VLOOKUP(PROVEEDORES[[#This Row],[ID RETENCION]],Retenciones!$A$1:$O$25,PROVEEDORES[[#This Row],[indicador de columna]],FALSE)</f>
        <v>1026000</v>
      </c>
      <c r="Y301" s="116">
        <f>+VLOOKUP(PROVEEDORES[[#This Row],[ID RETENCION]],Retenciones!$A$1:$O$25,2,FALSE)</f>
        <v>2.5000000000000001E-2</v>
      </c>
      <c r="Z301" s="125" t="b">
        <f>OR(COUNTIF(PROVEEDORES[[#This Row],[PROVEEDOR]],"*"&amp;'Palabra no opera'!$A$2&amp;"*"))</f>
        <v>0</v>
      </c>
      <c r="AA301" s="24"/>
      <c r="AB301" s="24"/>
      <c r="AC301" s="24"/>
      <c r="AD301" s="24"/>
      <c r="AE301" s="24"/>
    </row>
    <row r="302" spans="1:31" ht="22.2" customHeight="1" x14ac:dyDescent="0.3">
      <c r="A302" s="66" t="str">
        <f>+IF(PROVEEDORES[[#This Row],[FECHA DE PAGO]]=PROVEEDORES[[#This Row],[FECHA DE FACTURACIÓN]],"DE CONTADO","CRÉDITO")</f>
        <v>CRÉDITO</v>
      </c>
      <c r="B302" s="38" t="b">
        <f>+IF((PROVEEDORES[[#This Row],[FECHA DE PAGO]]-PROVEEDORES[[#This Row],[FECHA DE FACTURACIÓN]])&gt;PROVEEDORES[[#This Row],[PLAZO Días]],"PAGO VENCIDO")</f>
        <v>0</v>
      </c>
      <c r="C302" s="20">
        <f>+VLOOKUP(PROVEEDORES[[#This Row],[PROVEEDOR]],TERCEROS_INFO[#All],2,FALSE)</f>
        <v>20</v>
      </c>
      <c r="D302" s="25">
        <f>+SUMIFS(PROVEEDORES[Total],PROVEEDORES[PROVEEDOR],PROVEEDORES[[#This Row],[PROVEEDOR]],PROVEEDORES[FECHA DE PAGO],"")</f>
        <v>0</v>
      </c>
      <c r="E302" s="25"/>
      <c r="F30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302" s="161">
        <v>44609</v>
      </c>
      <c r="H302" s="26" t="s">
        <v>397</v>
      </c>
      <c r="I302" s="161">
        <v>44593</v>
      </c>
      <c r="J302" s="35" t="s">
        <v>756</v>
      </c>
      <c r="K302" s="21">
        <v>155400</v>
      </c>
      <c r="L302" s="21"/>
      <c r="M302" s="22">
        <f>(PROVEEDORES[[#This Row],[SUBTOTAL]]-PROVEEDORES[[#This Row],[descuento sobre subtotal]])*VLOOKUP(PROVEEDORES[[#This Row],[PROVEEDOR]],TERCEROS_INFO[#All],3,FALSE)</f>
        <v>0</v>
      </c>
      <c r="N302" s="23"/>
      <c r="O302" s="22">
        <f>+PROVEEDORES[[#This Row],[Descuento sobre subtotal %]]*(PROVEEDORES[[#This Row],[SUBTOTAL]]-PROVEEDORES[[#This Row],[descuento sobre subtotal]])</f>
        <v>0</v>
      </c>
      <c r="P302" s="83">
        <f>+IF(PROVEEDORES[[#This Row],[SUBTOTAL]]&lt;PROVEEDORES[[#This Row],[base retencion]],0,PROVEEDORES[[#This Row],[retención aplicada]])</f>
        <v>0.01</v>
      </c>
      <c r="Q302" s="22">
        <f>+PROVEEDORES[[#This Row],[Rete Fuente %]]*(PROVEEDORES[[#This Row],[SUBTOTAL]]-PROVEEDORES[[#This Row],[descuento sobre subtotal]])</f>
        <v>1554</v>
      </c>
      <c r="R302" s="21">
        <v>153846</v>
      </c>
      <c r="S3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68">
        <f ca="1">IF(PROVEEDORES[[#This Row],[FECHA DE PAGO]]=0,TODAY()-PROVEEDORES[[#This Row],[FECHA DE FACTURACIÓN]]-PROVEEDORES[[#This Row],[PLAZO Días]],0)</f>
        <v>0</v>
      </c>
      <c r="U302" s="96" t="str">
        <f>+VLOOKUP(PROVEEDORES[[#This Row],[PROVEEDOR]],Terceros!$A:$D,4,FALSE)</f>
        <v>1% con base</v>
      </c>
      <c r="V302" s="97">
        <f>+YEAR(PROVEEDORES[[#This Row],[FECHA DE FACTURACIÓN]])</f>
        <v>2022</v>
      </c>
      <c r="W302" s="97">
        <f>+MATCH(PROVEEDORES[[#This Row],[año facturado]],Retenciones!$1:$1,0)</f>
        <v>5</v>
      </c>
      <c r="X302" s="98">
        <f>+VLOOKUP(PROVEEDORES[[#This Row],[ID RETENCION]],Retenciones!$A$1:$O$25,PROVEEDORES[[#This Row],[indicador de columna]],FALSE)</f>
        <v>152000</v>
      </c>
      <c r="Y302" s="99">
        <f>+VLOOKUP(PROVEEDORES[[#This Row],[ID RETENCION]],Retenciones!$A$1:$O$25,2,FALSE)</f>
        <v>0.01</v>
      </c>
      <c r="Z302" s="125" t="b">
        <f>OR(COUNTIF(PROVEEDORES[[#This Row],[PROVEEDOR]],"*"&amp;'Palabra no opera'!$A$2&amp;"*"))</f>
        <v>0</v>
      </c>
      <c r="AA302" s="24"/>
      <c r="AB302" s="24"/>
      <c r="AC302" s="24"/>
      <c r="AD302" s="24"/>
      <c r="AE302" s="24"/>
    </row>
    <row r="303" spans="1:31" ht="22.2" customHeight="1" x14ac:dyDescent="0.3">
      <c r="A303" s="66" t="str">
        <f>+IF(PROVEEDORES[[#This Row],[FECHA DE PAGO]]=PROVEEDORES[[#This Row],[FECHA DE FACTURACIÓN]],"DE CONTADO","CRÉDITO")</f>
        <v>DE CONTADO</v>
      </c>
      <c r="B303" s="38" t="b">
        <f>+IF((PROVEEDORES[[#This Row],[FECHA DE PAGO]]-PROVEEDORES[[#This Row],[FECHA DE FACTURACIÓN]])&gt;PROVEEDORES[[#This Row],[PLAZO Días]],"PAGO VENCIDO")</f>
        <v>0</v>
      </c>
      <c r="C303" s="20">
        <f>+VLOOKUP(PROVEEDORES[[#This Row],[PROVEEDOR]],TERCEROS_INFO[#All],2,FALSE)</f>
        <v>30</v>
      </c>
      <c r="D303" s="25">
        <f>+SUMIFS(PROVEEDORES[Total],PROVEEDORES[PROVEEDOR],PROVEEDORES[[#This Row],[PROVEEDOR]],PROVEEDORES[FECHA DE PAGO],"")</f>
        <v>0</v>
      </c>
      <c r="E303" s="25"/>
      <c r="F303" s="58" t="str">
        <f>+VLOOKUP(PROVEEDORES[[#This Row],[PROVEEDOR]],
                       Terceros!$A:$F,
                       5,
                       FALSE)</f>
        <v/>
      </c>
      <c r="G303" s="161">
        <v>44530</v>
      </c>
      <c r="H303" s="26" t="s">
        <v>644</v>
      </c>
      <c r="I303" s="161">
        <v>44530</v>
      </c>
      <c r="J303" s="35" t="s">
        <v>1314</v>
      </c>
      <c r="K303" s="21">
        <v>154000</v>
      </c>
      <c r="L303" s="21"/>
      <c r="M303" s="22">
        <f>(PROVEEDORES[[#This Row],[SUBTOTAL]]-PROVEEDORES[[#This Row],[descuento sobre subtotal]])*VLOOKUP(PROVEEDORES[[#This Row],[PROVEEDOR]],TERCEROS_INFO[#All],3,FALSE)</f>
        <v>0</v>
      </c>
      <c r="N303" s="23"/>
      <c r="O303" s="22">
        <f>+PROVEEDORES[[#This Row],[Descuento sobre subtotal %]]*(PROVEEDORES[[#This Row],[SUBTOTAL]]-PROVEEDORES[[#This Row],[descuento sobre subtotal]])</f>
        <v>0</v>
      </c>
      <c r="P303" s="83">
        <f>+IF(PROVEEDORES[[#This Row],[SUBTOTAL]]&lt;PROVEEDORES[[#This Row],[base retencion]],0,PROVEEDORES[[#This Row],[retención aplicada]])</f>
        <v>0</v>
      </c>
      <c r="Q303" s="22">
        <f>+PROVEEDORES[[#This Row],[Rete Fuente %]]*(PROVEEDORES[[#This Row],[SUBTOTAL]]-PROVEEDORES[[#This Row],[descuento sobre subtotal]])</f>
        <v>0</v>
      </c>
      <c r="R303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3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68">
        <f ca="1">IF(PROVEEDORES[[#This Row],[FECHA DE PAGO]]=0,TODAY()-PROVEEDORES[[#This Row],[FECHA DE FACTURACIÓN]]-PROVEEDORES[[#This Row],[PLAZO Días]],0)</f>
        <v>0</v>
      </c>
      <c r="U303" s="96">
        <f>+VLOOKUP(PROVEEDORES[[#This Row],[PROVEEDOR]],Terceros!$A:$D,4,FALSE)</f>
        <v>0</v>
      </c>
      <c r="V303" s="97">
        <f>+YEAR(PROVEEDORES[[#This Row],[FECHA DE FACTURACIÓN]])</f>
        <v>2021</v>
      </c>
      <c r="W303" s="97">
        <f>+MATCH(PROVEEDORES[[#This Row],[año facturado]],Retenciones!$1:$1,0)</f>
        <v>4</v>
      </c>
      <c r="X303" s="98">
        <f>+VLOOKUP(PROVEEDORES[[#This Row],[ID RETENCION]],Retenciones!$A$1:$O$25,PROVEEDORES[[#This Row],[indicador de columna]],FALSE)</f>
        <v>0</v>
      </c>
      <c r="Y303" s="99">
        <f>+VLOOKUP(PROVEEDORES[[#This Row],[ID RETENCION]],Retenciones!$A$1:$O$25,2,FALSE)</f>
        <v>0</v>
      </c>
      <c r="Z303" s="125" t="b">
        <f>OR(COUNTIF(PROVEEDORES[[#This Row],[PROVEEDOR]],"*"&amp;'Palabra no opera'!$A$2&amp;"*"))</f>
        <v>0</v>
      </c>
      <c r="AA303" s="24"/>
      <c r="AB303" s="24"/>
      <c r="AC303" s="24"/>
      <c r="AD303" s="24"/>
      <c r="AE303" s="24"/>
    </row>
    <row r="304" spans="1:31" ht="22.2" customHeight="1" x14ac:dyDescent="0.3">
      <c r="A304" s="66" t="str">
        <f>+IF(PROVEEDORES[[#This Row],[FECHA DE PAGO]]=PROVEEDORES[[#This Row],[FECHA DE FACTURACIÓN]],"DE CONTADO","CRÉDITO")</f>
        <v>CRÉDITO</v>
      </c>
      <c r="B304" s="38" t="b">
        <f>+IF((PROVEEDORES[[#This Row],[FECHA DE PAGO]]-PROVEEDORES[[#This Row],[FECHA DE FACTURACIÓN]])&gt;PROVEEDORES[[#This Row],[PLAZO Días]],"PAGO VENCIDO")</f>
        <v>0</v>
      </c>
      <c r="C304" s="20">
        <f>+VLOOKUP(PROVEEDORES[[#This Row],[PROVEEDOR]],TERCEROS_INFO[#All],2,FALSE)</f>
        <v>30</v>
      </c>
      <c r="D304" s="25">
        <f>+SUMIFS(PROVEEDORES[Total],PROVEEDORES[PROVEEDOR],PROVEEDORES[[#This Row],[PROVEEDOR]],PROVEEDORES[FECHA DE PAGO],"")</f>
        <v>0</v>
      </c>
      <c r="E304" s="25"/>
      <c r="F30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04" s="161">
        <v>44553</v>
      </c>
      <c r="H304" s="26" t="s">
        <v>1450</v>
      </c>
      <c r="I304" s="161">
        <v>44552</v>
      </c>
      <c r="J304" s="35">
        <v>316</v>
      </c>
      <c r="K304" s="21">
        <v>154000</v>
      </c>
      <c r="L304" s="21"/>
      <c r="M304" s="22">
        <f>(PROVEEDORES[[#This Row],[SUBTOTAL]]-PROVEEDORES[[#This Row],[descuento sobre subtotal]])*VLOOKUP(PROVEEDORES[[#This Row],[PROVEEDOR]],TERCEROS_INFO[#All],3,FALSE)</f>
        <v>0</v>
      </c>
      <c r="N304" s="23"/>
      <c r="O304" s="22">
        <f>+PROVEEDORES[[#This Row],[Descuento sobre subtotal %]]*(PROVEEDORES[[#This Row],[SUBTOTAL]]-PROVEEDORES[[#This Row],[descuento sobre subtotal]])</f>
        <v>0</v>
      </c>
      <c r="P304" s="83">
        <f>+IF(PROVEEDORES[[#This Row],[SUBTOTAL]]&lt;PROVEEDORES[[#This Row],[base retencion]],0,PROVEEDORES[[#This Row],[retención aplicada]])</f>
        <v>0</v>
      </c>
      <c r="Q304" s="22">
        <f>+PROVEEDORES[[#This Row],[Rete Fuente %]]*(PROVEEDORES[[#This Row],[SUBTOTAL]]-PROVEEDORES[[#This Row],[descuento sobre subtotal]])</f>
        <v>0</v>
      </c>
      <c r="R304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3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68">
        <f ca="1">IF(PROVEEDORES[[#This Row],[FECHA DE PAGO]]=0,TODAY()-PROVEEDORES[[#This Row],[FECHA DE FACTURACIÓN]]-PROVEEDORES[[#This Row],[PLAZO Días]],0)</f>
        <v>0</v>
      </c>
      <c r="U304" s="96">
        <f>+VLOOKUP(PROVEEDORES[[#This Row],[PROVEEDOR]],Terceros!$A:$D,4,FALSE)</f>
        <v>0</v>
      </c>
      <c r="V304" s="97">
        <f>+YEAR(PROVEEDORES[[#This Row],[FECHA DE FACTURACIÓN]])</f>
        <v>2021</v>
      </c>
      <c r="W304" s="97">
        <f>+MATCH(PROVEEDORES[[#This Row],[año facturado]],Retenciones!$1:$1,0)</f>
        <v>4</v>
      </c>
      <c r="X304" s="98">
        <f>+VLOOKUP(PROVEEDORES[[#This Row],[ID RETENCION]],Retenciones!$A$1:$O$25,PROVEEDORES[[#This Row],[indicador de columna]],FALSE)</f>
        <v>0</v>
      </c>
      <c r="Y304" s="99">
        <f>+VLOOKUP(PROVEEDORES[[#This Row],[ID RETENCION]],Retenciones!$A$1:$O$25,2,FALSE)</f>
        <v>0</v>
      </c>
      <c r="Z304" s="125" t="b">
        <f>OR(COUNTIF(PROVEEDORES[[#This Row],[PROVEEDOR]],"*"&amp;'Palabra no opera'!$A$2&amp;"*"))</f>
        <v>0</v>
      </c>
      <c r="AA304" s="24"/>
      <c r="AB304" s="24"/>
      <c r="AC304" s="24"/>
      <c r="AD304" s="24"/>
      <c r="AE304" s="24"/>
    </row>
    <row r="305" spans="1:31" ht="22.2" customHeight="1" x14ac:dyDescent="0.3">
      <c r="A305" s="257" t="str">
        <f>+IF(PROVEEDORES[[#This Row],[FECHA DE PAGO]]=PROVEEDORES[[#This Row],[FECHA DE FACTURACIÓN]],"DE CONTADO","CRÉDITO")</f>
        <v>DE CONTADO</v>
      </c>
      <c r="B305" s="38" t="b">
        <f>+IF((PROVEEDORES[[#This Row],[FECHA DE PAGO]]-PROVEEDORES[[#This Row],[FECHA DE FACTURACIÓN]])&gt;PROVEEDORES[[#This Row],[PLAZO Días]],"PAGO VENCIDO")</f>
        <v>0</v>
      </c>
      <c r="C305" s="20">
        <f>+VLOOKUP(PROVEEDORES[[#This Row],[PROVEEDOR]],TERCEROS_INFO[#All],2,FALSE)</f>
        <v>30</v>
      </c>
      <c r="D305" s="25">
        <f>+SUMIFS(PROVEEDORES[Total],PROVEEDORES[PROVEEDOR],PROVEEDORES[[#This Row],[PROVEEDOR]],PROVEEDORES[FECHA DE PAGO],"")</f>
        <v>0</v>
      </c>
      <c r="E305" s="25"/>
      <c r="F305" s="58" t="str">
        <f>+VLOOKUP(PROVEEDORES[[#This Row],[PROVEEDOR]],
                       Terceros!$A:$F,
                       5,
                       FALSE)</f>
        <v/>
      </c>
      <c r="G305" s="161">
        <v>44834</v>
      </c>
      <c r="H305" s="26" t="s">
        <v>1748</v>
      </c>
      <c r="I305" s="161">
        <v>44834</v>
      </c>
      <c r="J305" s="35" t="s">
        <v>1753</v>
      </c>
      <c r="K305" s="21">
        <v>154000</v>
      </c>
      <c r="L305" s="21"/>
      <c r="M305" s="22">
        <f>(PROVEEDORES[[#This Row],[SUBTOTAL]]-PROVEEDORES[[#This Row],[descuento sobre subtotal]])*VLOOKUP(PROVEEDORES[[#This Row],[PROVEEDOR]],TERCEROS_INFO[#All],3,FALSE)</f>
        <v>0</v>
      </c>
      <c r="N305" s="23"/>
      <c r="O305" s="22">
        <f>+PROVEEDORES[[#This Row],[Descuento sobre subtotal %]]*(PROVEEDORES[[#This Row],[SUBTOTAL]]-PROVEEDORES[[#This Row],[descuento sobre subtotal]])</f>
        <v>0</v>
      </c>
      <c r="P305" s="83">
        <f>+IF(PROVEEDORES[[#This Row],[SUBTOTAL]]&lt;PROVEEDORES[[#This Row],[base retencion]],0,PROVEEDORES[[#This Row],[retención aplicada]])</f>
        <v>0</v>
      </c>
      <c r="Q305" s="22">
        <f>+PROVEEDORES[[#This Row],[Rete Fuente %]]*(PROVEEDORES[[#This Row],[SUBTOTAL]]-PROVEEDORES[[#This Row],[descuento sobre subtotal]])</f>
        <v>0</v>
      </c>
      <c r="R305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305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68">
        <f ca="1">IF(PROVEEDORES[[#This Row],[FECHA DE PAGO]]=0,TODAY()-PROVEEDORES[[#This Row],[FECHA DE FACTURACIÓN]]-PROVEEDORES[[#This Row],[PLAZO Días]],0)</f>
        <v>0</v>
      </c>
      <c r="U305" s="113">
        <f>+VLOOKUP(PROVEEDORES[[#This Row],[PROVEEDOR]],Terceros!$A:$D,4,FALSE)</f>
        <v>0</v>
      </c>
      <c r="V305" s="114">
        <f>+YEAR(PROVEEDORES[[#This Row],[FECHA DE FACTURACIÓN]])</f>
        <v>2022</v>
      </c>
      <c r="W305" s="114">
        <f>+MATCH(PROVEEDORES[[#This Row],[año facturado]],Retenciones!$1:$1,0)</f>
        <v>5</v>
      </c>
      <c r="X305" s="115">
        <f>+VLOOKUP(PROVEEDORES[[#This Row],[ID RETENCION]],Retenciones!$A$1:$O$25,PROVEEDORES[[#This Row],[indicador de columna]],FALSE)</f>
        <v>0</v>
      </c>
      <c r="Y305" s="116">
        <f>+VLOOKUP(PROVEEDORES[[#This Row],[ID RETENCION]],Retenciones!$A$1:$O$25,2,FALSE)</f>
        <v>0</v>
      </c>
      <c r="Z305" s="125" t="b">
        <f>OR(COUNTIF(PROVEEDORES[[#This Row],[PROVEEDOR]],"*"&amp;'Palabra no opera'!$A$2&amp;"*"))</f>
        <v>0</v>
      </c>
      <c r="AA305" s="24"/>
      <c r="AB305" s="24"/>
      <c r="AC305" s="24"/>
      <c r="AD305" s="24"/>
      <c r="AE305" s="24"/>
    </row>
    <row r="306" spans="1:31" ht="22.2" customHeight="1" x14ac:dyDescent="0.3">
      <c r="A306" s="199" t="str">
        <f>+IF(PROVEEDORES[[#This Row],[FECHA DE PAGO]]=PROVEEDORES[[#This Row],[FECHA DE FACTURACIÓN]],"DE CONTADO","CRÉDITO")</f>
        <v>CRÉDITO</v>
      </c>
      <c r="B306" s="38" t="str">
        <f>+IF((PROVEEDORES[[#This Row],[FECHA DE PAGO]]-PROVEEDORES[[#This Row],[FECHA DE FACTURACIÓN]])&gt;PROVEEDORES[[#This Row],[PLAZO Días]],"PAGO VENCIDO")</f>
        <v>PAGO VENCIDO</v>
      </c>
      <c r="C306" s="20">
        <f>+VLOOKUP(PROVEEDORES[[#This Row],[PROVEEDOR]],TERCEROS_INFO[#All],2,FALSE)</f>
        <v>0</v>
      </c>
      <c r="D306" s="25">
        <f>+SUMIFS(PROVEEDORES[Total],PROVEEDORES[PROVEEDOR],PROVEEDORES[[#This Row],[PROVEEDOR]],PROVEEDORES[FECHA DE PAGO],"")</f>
        <v>0</v>
      </c>
      <c r="E306" s="25"/>
      <c r="F306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306" s="161">
        <v>44792</v>
      </c>
      <c r="H306" s="26" t="s">
        <v>1136</v>
      </c>
      <c r="I306" s="161">
        <v>44791</v>
      </c>
      <c r="J306" s="35" t="s">
        <v>1405</v>
      </c>
      <c r="K306" s="21">
        <v>130000</v>
      </c>
      <c r="L306" s="21"/>
      <c r="M306" s="22">
        <f>(PROVEEDORES[[#This Row],[SUBTOTAL]]-PROVEEDORES[[#This Row],[descuento sobre subtotal]])*VLOOKUP(PROVEEDORES[[#This Row],[PROVEEDOR]],TERCEROS_INFO[#All],3,FALSE)</f>
        <v>24700</v>
      </c>
      <c r="N306" s="23"/>
      <c r="O306" s="22">
        <f>+PROVEEDORES[[#This Row],[Descuento sobre subtotal %]]*(PROVEEDORES[[#This Row],[SUBTOTAL]]-PROVEEDORES[[#This Row],[descuento sobre subtotal]])</f>
        <v>0</v>
      </c>
      <c r="P306" s="83">
        <f>+IF(PROVEEDORES[[#This Row],[SUBTOTAL]]&lt;PROVEEDORES[[#This Row],[base retencion]],0,PROVEEDORES[[#This Row],[retención aplicada]])</f>
        <v>0</v>
      </c>
      <c r="Q306" s="22">
        <f>+PROVEEDORES[[#This Row],[Rete Fuente %]]*(PROVEEDORES[[#This Row],[SUBTOTAL]]-PROVEEDORES[[#This Row],[descuento sobre subtotal]])</f>
        <v>0</v>
      </c>
      <c r="R306" s="21">
        <f>+PROVEEDORES[[#This Row],[SUBTOTAL]]+PROVEEDORES[[#This Row],[IVA 19%]]-PROVEEDORES[[#This Row],[descuento sobre subtotal]]-PROVEEDORES[[#This Row],[Descuento sobre subtotal $2]]-PROVEEDORES[[#This Row],[Rete Fuente $]]</f>
        <v>154700</v>
      </c>
      <c r="S306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68">
        <f ca="1">IF(PROVEEDORES[[#This Row],[FECHA DE PAGO]]=0,TODAY()-PROVEEDORES[[#This Row],[FECHA DE FACTURACIÓN]]-PROVEEDORES[[#This Row],[PLAZO Días]],0)</f>
        <v>0</v>
      </c>
      <c r="U306" s="113" t="str">
        <f>+VLOOKUP(PROVEEDORES[[#This Row],[PROVEEDOR]],Terceros!$A:$D,4,FALSE)</f>
        <v>4% con base</v>
      </c>
      <c r="V306" s="114">
        <f>+YEAR(PROVEEDORES[[#This Row],[FECHA DE FACTURACIÓN]])</f>
        <v>2022</v>
      </c>
      <c r="W306" s="114">
        <f>+MATCH(PROVEEDORES[[#This Row],[año facturado]],Retenciones!$1:$1,0)</f>
        <v>5</v>
      </c>
      <c r="X306" s="115">
        <f>+VLOOKUP(PROVEEDORES[[#This Row],[ID RETENCION]],Retenciones!$A$1:$O$25,PROVEEDORES[[#This Row],[indicador de columna]],FALSE)</f>
        <v>150000</v>
      </c>
      <c r="Y306" s="116">
        <f>+VLOOKUP(PROVEEDORES[[#This Row],[ID RETENCION]],Retenciones!$A$1:$O$25,2,FALSE)</f>
        <v>0.04</v>
      </c>
      <c r="Z306" s="125" t="b">
        <f>OR(COUNTIF(PROVEEDORES[[#This Row],[PROVEEDOR]],"*"&amp;'Palabra no opera'!$A$2&amp;"*"))</f>
        <v>1</v>
      </c>
      <c r="AA306" s="24"/>
      <c r="AB306" s="24"/>
      <c r="AC306" s="24"/>
      <c r="AD306" s="24"/>
      <c r="AE306" s="24"/>
    </row>
    <row r="307" spans="1:31" ht="22.2" customHeight="1" x14ac:dyDescent="0.3">
      <c r="A307" s="66" t="str">
        <f>+IF(PROVEEDORES[[#This Row],[FECHA DE PAGO]]=PROVEEDORES[[#This Row],[FECHA DE FACTURACIÓN]],"DE CONTADO","CRÉDITO")</f>
        <v>DE CONTADO</v>
      </c>
      <c r="B307" s="38" t="b">
        <f>+IF((PROVEEDORES[[#This Row],[FECHA DE PAGO]]-PROVEEDORES[[#This Row],[FECHA DE FACTURACIÓN]])&gt;PROVEEDORES[[#This Row],[PLAZO Días]],"PAGO VENCIDO")</f>
        <v>0</v>
      </c>
      <c r="C307" s="20">
        <f>+VLOOKUP(PROVEEDORES[[#This Row],[PROVEEDOR]],TERCEROS_INFO[#All],2,FALSE)</f>
        <v>30</v>
      </c>
      <c r="D307" s="25">
        <f>+SUMIFS(PROVEEDORES[Total],PROVEEDORES[PROVEEDOR],PROVEEDORES[[#This Row],[PROVEEDOR]],PROVEEDORES[FECHA DE PAGO],"")</f>
        <v>0</v>
      </c>
      <c r="E307" s="25"/>
      <c r="F307" s="58">
        <f>+VLOOKUP(PROVEEDORES[[#This Row],[PROVEEDOR]],
                       Terceros!$A:$F,
                       5,
                       FALSE)</f>
        <v>0</v>
      </c>
      <c r="G307" s="161">
        <v>44532</v>
      </c>
      <c r="H307" s="26" t="s">
        <v>701</v>
      </c>
      <c r="I307" s="161">
        <v>44532</v>
      </c>
      <c r="J307" s="35">
        <v>310</v>
      </c>
      <c r="K307" s="21">
        <v>130252</v>
      </c>
      <c r="L307" s="21"/>
      <c r="M307" s="22">
        <f>(PROVEEDORES[[#This Row],[SUBTOTAL]]-PROVEEDORES[[#This Row],[descuento sobre subtotal]])*VLOOKUP(PROVEEDORES[[#This Row],[PROVEEDOR]],TERCEROS_INFO[#All],3,FALSE)</f>
        <v>24747.88</v>
      </c>
      <c r="N307" s="23"/>
      <c r="O307" s="22">
        <f>+PROVEEDORES[[#This Row],[Descuento sobre subtotal %]]*(PROVEEDORES[[#This Row],[SUBTOTAL]]-PROVEEDORES[[#This Row],[descuento sobre subtotal]])</f>
        <v>0</v>
      </c>
      <c r="P307" s="83">
        <f>+IF(PROVEEDORES[[#This Row],[SUBTOTAL]]&lt;PROVEEDORES[[#This Row],[base retencion]],0,PROVEEDORES[[#This Row],[retención aplicada]])</f>
        <v>0</v>
      </c>
      <c r="Q307" s="22">
        <f>+PROVEEDORES[[#This Row],[Rete Fuente %]]*(PROVEEDORES[[#This Row],[SUBTOTAL]]-PROVEEDORES[[#This Row],[descuento sobre subtotal]])</f>
        <v>0</v>
      </c>
      <c r="R307" s="21">
        <f>+PROVEEDORES[[#This Row],[SUBTOTAL]]+PROVEEDORES[[#This Row],[IVA 19%]]-PROVEEDORES[[#This Row],[descuento sobre subtotal]]-PROVEEDORES[[#This Row],[Descuento sobre subtotal $2]]-PROVEEDORES[[#This Row],[Rete Fuente $]]</f>
        <v>154999.88</v>
      </c>
      <c r="S3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68">
        <f ca="1">IF(PROVEEDORES[[#This Row],[FECHA DE PAGO]]=0,TODAY()-PROVEEDORES[[#This Row],[FECHA DE FACTURACIÓN]]-PROVEEDORES[[#This Row],[PLAZO Días]],0)</f>
        <v>0</v>
      </c>
      <c r="U307" s="96" t="str">
        <f>+VLOOKUP(PROVEEDORES[[#This Row],[PROVEEDOR]],Terceros!$A:$D,4,FALSE)</f>
        <v>2,5% con base</v>
      </c>
      <c r="V307" s="97">
        <f>+YEAR(PROVEEDORES[[#This Row],[FECHA DE FACTURACIÓN]])</f>
        <v>2021</v>
      </c>
      <c r="W307" s="97">
        <f>+MATCH(PROVEEDORES[[#This Row],[año facturado]],Retenciones!$1:$1,0)</f>
        <v>4</v>
      </c>
      <c r="X307" s="98">
        <f>+VLOOKUP(PROVEEDORES[[#This Row],[ID RETENCION]],Retenciones!$A$1:$O$25,PROVEEDORES[[#This Row],[indicador de columna]],FALSE)</f>
        <v>980000</v>
      </c>
      <c r="Y307" s="99">
        <f>+VLOOKUP(PROVEEDORES[[#This Row],[ID RETENCION]],Retenciones!$A$1:$O$25,2,FALSE)</f>
        <v>2.5000000000000001E-2</v>
      </c>
      <c r="Z307" s="125" t="b">
        <f>OR(COUNTIF(PROVEEDORES[[#This Row],[PROVEEDOR]],"*"&amp;'Palabra no opera'!$A$2&amp;"*"))</f>
        <v>0</v>
      </c>
      <c r="AA307" s="24"/>
      <c r="AB307" s="24"/>
      <c r="AC307" s="24"/>
      <c r="AD307" s="24"/>
      <c r="AE307" s="24"/>
    </row>
    <row r="308" spans="1:31" ht="22.2" customHeight="1" x14ac:dyDescent="0.3">
      <c r="A308" s="66" t="str">
        <f>+IF(PROVEEDORES[[#This Row],[FECHA DE PAGO]]=PROVEEDORES[[#This Row],[FECHA DE FACTURACIÓN]],"DE CONTADO","CRÉDITO")</f>
        <v>CRÉDITO</v>
      </c>
      <c r="B308" s="38" t="b">
        <f>+IF((PROVEEDORES[[#This Row],[FECHA DE PAGO]]-PROVEEDORES[[#This Row],[FECHA DE FACTURACIÓN]])&gt;PROVEEDORES[[#This Row],[PLAZO Días]],"PAGO VENCIDO")</f>
        <v>0</v>
      </c>
      <c r="C308" s="20">
        <f>+VLOOKUP(PROVEEDORES[[#This Row],[PROVEEDOR]],TERCEROS_INFO[#All],2,FALSE)</f>
        <v>30</v>
      </c>
      <c r="D308" s="25">
        <f>+SUMIFS(PROVEEDORES[Total],PROVEEDORES[PROVEEDOR],PROVEEDORES[[#This Row],[PROVEEDOR]],PROVEEDORES[FECHA DE PAGO],"")</f>
        <v>0</v>
      </c>
      <c r="E308" s="25"/>
      <c r="F308" s="58">
        <f>+VLOOKUP(PROVEEDORES[[#This Row],[PROVEEDOR]],
                       Terceros!$A:$F,
                       5,
                       FALSE)</f>
        <v>0</v>
      </c>
      <c r="G308" s="161">
        <v>44615</v>
      </c>
      <c r="H308" s="26" t="s">
        <v>931</v>
      </c>
      <c r="I308" s="161">
        <v>44610</v>
      </c>
      <c r="J308" s="35">
        <v>94613621</v>
      </c>
      <c r="K308" s="21">
        <v>130900</v>
      </c>
      <c r="L308" s="21"/>
      <c r="M308" s="22">
        <f>(PROVEEDORES[[#This Row],[SUBTOTAL]]-PROVEEDORES[[#This Row],[descuento sobre subtotal]])*VLOOKUP(PROVEEDORES[[#This Row],[PROVEEDOR]],TERCEROS_INFO[#All],3,FALSE)</f>
        <v>24871</v>
      </c>
      <c r="N308" s="23"/>
      <c r="O308" s="22">
        <f>+PROVEEDORES[[#This Row],[Descuento sobre subtotal %]]*(PROVEEDORES[[#This Row],[SUBTOTAL]]-PROVEEDORES[[#This Row],[descuento sobre subtotal]])</f>
        <v>0</v>
      </c>
      <c r="P308" s="83">
        <f>+IF(PROVEEDORES[[#This Row],[SUBTOTAL]]&lt;PROVEEDORES[[#This Row],[base retencion]],0,PROVEEDORES[[#This Row],[retención aplicada]])</f>
        <v>3.5000000000000003E-2</v>
      </c>
      <c r="Q308" s="22">
        <f>+PROVEEDORES[[#This Row],[Rete Fuente %]]*(PROVEEDORES[[#This Row],[SUBTOTAL]]-PROVEEDORES[[#This Row],[descuento sobre subtotal]])</f>
        <v>4581.5</v>
      </c>
      <c r="R308" s="21">
        <v>155771</v>
      </c>
      <c r="S3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68">
        <f ca="1">IF(PROVEEDORES[[#This Row],[FECHA DE PAGO]]=0,TODAY()-PROVEEDORES[[#This Row],[FECHA DE FACTURACIÓN]]-PROVEEDORES[[#This Row],[PLAZO Días]],0)</f>
        <v>0</v>
      </c>
      <c r="U308" s="96" t="str">
        <f>+VLOOKUP(PROVEEDORES[[#This Row],[PROVEEDOR]],Terceros!$A:$D,4,FALSE)</f>
        <v>3,5% sin base</v>
      </c>
      <c r="V308" s="97">
        <f>+YEAR(PROVEEDORES[[#This Row],[FECHA DE FACTURACIÓN]])</f>
        <v>2022</v>
      </c>
      <c r="W308" s="97">
        <f>+MATCH(PROVEEDORES[[#This Row],[año facturado]],Retenciones!$1:$1,0)</f>
        <v>5</v>
      </c>
      <c r="X308" s="98">
        <f>+VLOOKUP(PROVEEDORES[[#This Row],[ID RETENCION]],Retenciones!$A$1:$O$25,PROVEEDORES[[#This Row],[indicador de columna]],FALSE)</f>
        <v>0</v>
      </c>
      <c r="Y308" s="99">
        <f>+VLOOKUP(PROVEEDORES[[#This Row],[ID RETENCION]],Retenciones!$A$1:$O$25,2,FALSE)</f>
        <v>3.5000000000000003E-2</v>
      </c>
      <c r="Z308" s="125" t="b">
        <f>OR(COUNTIF(PROVEEDORES[[#This Row],[PROVEEDOR]],"*"&amp;'Palabra no opera'!$A$2&amp;"*"))</f>
        <v>1</v>
      </c>
      <c r="AA308" s="24"/>
      <c r="AB308" s="24"/>
      <c r="AC308" s="24"/>
      <c r="AD308" s="24"/>
      <c r="AE308" s="24"/>
    </row>
    <row r="309" spans="1:31" ht="22.2" customHeight="1" x14ac:dyDescent="0.3">
      <c r="A309" s="66" t="str">
        <f>+IF(PROVEEDORES[[#This Row],[FECHA DE PAGO]]=PROVEEDORES[[#This Row],[FECHA DE FACTURACIÓN]],"DE CONTADO","CRÉDITO")</f>
        <v>CRÉDITO</v>
      </c>
      <c r="B309" s="38" t="str">
        <f>+IF((PROVEEDORES[[#This Row],[FECHA DE PAGO]]-PROVEEDORES[[#This Row],[FECHA DE FACTURACIÓN]])&gt;PROVEEDORES[[#This Row],[PLAZO Días]],"PAGO VENCIDO")</f>
        <v>PAGO VENCIDO</v>
      </c>
      <c r="C309" s="20">
        <f>+VLOOKUP(PROVEEDORES[[#This Row],[PROVEEDOR]],TERCEROS_INFO[#All],2,FALSE)</f>
        <v>30</v>
      </c>
      <c r="D309" s="25">
        <f>+SUMIFS(PROVEEDORES[Total],PROVEEDORES[PROVEEDOR],PROVEEDORES[[#This Row],[PROVEEDOR]],PROVEEDORES[FECHA DE PAGO],"")</f>
        <v>0</v>
      </c>
      <c r="E309" s="25"/>
      <c r="F30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09" s="161">
        <v>44418</v>
      </c>
      <c r="H309" s="26" t="s">
        <v>691</v>
      </c>
      <c r="I309" s="161">
        <v>44356</v>
      </c>
      <c r="J309" s="35" t="s">
        <v>1432</v>
      </c>
      <c r="K309" s="21">
        <v>157700</v>
      </c>
      <c r="L309" s="21"/>
      <c r="M309" s="22">
        <f>(PROVEEDORES[[#This Row],[SUBTOTAL]]-PROVEEDORES[[#This Row],[descuento sobre subtotal]])*VLOOKUP(PROVEEDORES[[#This Row],[PROVEEDOR]],TERCEROS_INFO[#All],3,FALSE)</f>
        <v>0</v>
      </c>
      <c r="N309" s="23"/>
      <c r="O309" s="22">
        <f>+PROVEEDORES[[#This Row],[Descuento sobre subtotal %]]*(PROVEEDORES[[#This Row],[SUBTOTAL]]-PROVEEDORES[[#This Row],[descuento sobre subtotal]])</f>
        <v>0</v>
      </c>
      <c r="P309" s="83">
        <f>+IF(PROVEEDORES[[#This Row],[SUBTOTAL]]&lt;PROVEEDORES[[#This Row],[base retencion]],0,PROVEEDORES[[#This Row],[retención aplicada]])</f>
        <v>0</v>
      </c>
      <c r="Q309" s="22">
        <f>+PROVEEDORES[[#This Row],[Rete Fuente %]]*(PROVEEDORES[[#This Row],[SUBTOTAL]]-PROVEEDORES[[#This Row],[descuento sobre subtotal]])</f>
        <v>0</v>
      </c>
      <c r="R309" s="21">
        <f>+PROVEEDORES[[#This Row],[SUBTOTAL]]+PROVEEDORES[[#This Row],[IVA 19%]]-PROVEEDORES[[#This Row],[descuento sobre subtotal]]-PROVEEDORES[[#This Row],[Descuento sobre subtotal $2]]-PROVEEDORES[[#This Row],[Rete Fuente $]]</f>
        <v>157700</v>
      </c>
      <c r="S3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68">
        <f ca="1">IF(PROVEEDORES[[#This Row],[FECHA DE PAGO]]=0,TODAY()-PROVEEDORES[[#This Row],[FECHA DE FACTURACIÓN]]-PROVEEDORES[[#This Row],[PLAZO Días]],0)</f>
        <v>0</v>
      </c>
      <c r="U309" s="96">
        <f>+VLOOKUP(PROVEEDORES[[#This Row],[PROVEEDOR]],Terceros!$A:$D,4,FALSE)</f>
        <v>0</v>
      </c>
      <c r="V309" s="97">
        <f>+YEAR(PROVEEDORES[[#This Row],[FECHA DE FACTURACIÓN]])</f>
        <v>2021</v>
      </c>
      <c r="W309" s="97">
        <f>+MATCH(PROVEEDORES[[#This Row],[año facturado]],Retenciones!$1:$1,0)</f>
        <v>4</v>
      </c>
      <c r="X309" s="98">
        <f>+VLOOKUP(PROVEEDORES[[#This Row],[ID RETENCION]],Retenciones!$A$1:$O$25,PROVEEDORES[[#This Row],[indicador de columna]],FALSE)</f>
        <v>0</v>
      </c>
      <c r="Y309" s="99">
        <f>+VLOOKUP(PROVEEDORES[[#This Row],[ID RETENCION]],Retenciones!$A$1:$O$25,2,FALSE)</f>
        <v>0</v>
      </c>
      <c r="Z309" s="125" t="b">
        <f>OR(COUNTIF(PROVEEDORES[[#This Row],[PROVEEDOR]],"*"&amp;'Palabra no opera'!$A$2&amp;"*"))</f>
        <v>0</v>
      </c>
      <c r="AA309" s="24"/>
      <c r="AB309" s="24"/>
      <c r="AC309" s="24"/>
      <c r="AD309" s="24"/>
      <c r="AE309" s="24"/>
    </row>
    <row r="310" spans="1:31" ht="22.2" customHeight="1" x14ac:dyDescent="0.3">
      <c r="A310" s="66" t="str">
        <f>+IF(PROVEEDORES[[#This Row],[FECHA DE PAGO]]=PROVEEDORES[[#This Row],[FECHA DE FACTURACIÓN]],"DE CONTADO","CRÉDITO")</f>
        <v>CRÉDITO</v>
      </c>
      <c r="B310" s="38" t="b">
        <f>+IF((PROVEEDORES[[#This Row],[FECHA DE PAGO]]-PROVEEDORES[[#This Row],[FECHA DE FACTURACIÓN]])&gt;PROVEEDORES[[#This Row],[PLAZO Días]],"PAGO VENCIDO")</f>
        <v>0</v>
      </c>
      <c r="C310" s="20">
        <f>+VLOOKUP(PROVEEDORES[[#This Row],[PROVEEDOR]],TERCEROS_INFO[#All],2,FALSE)</f>
        <v>30</v>
      </c>
      <c r="D310" s="25">
        <f>+SUMIFS(PROVEEDORES[Total],PROVEEDORES[PROVEEDOR],PROVEEDORES[[#This Row],[PROVEEDOR]],PROVEEDORES[FECHA DE PAGO],"")</f>
        <v>0</v>
      </c>
      <c r="E310" s="25"/>
      <c r="F31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10" s="161">
        <v>44319</v>
      </c>
      <c r="H310" s="26" t="s">
        <v>118</v>
      </c>
      <c r="I310" s="161">
        <v>44308</v>
      </c>
      <c r="J310" s="35" t="s">
        <v>302</v>
      </c>
      <c r="K310" s="21">
        <v>158258.28</v>
      </c>
      <c r="L310" s="21"/>
      <c r="M310" s="22">
        <f>(PROVEEDORES[[#This Row],[SUBTOTAL]]-PROVEEDORES[[#This Row],[descuento sobre subtotal]])*VLOOKUP(PROVEEDORES[[#This Row],[PROVEEDOR]],TERCEROS_INFO[#All],3,FALSE)</f>
        <v>0</v>
      </c>
      <c r="N310" s="23"/>
      <c r="O310" s="22">
        <f>+PROVEEDORES[[#This Row],[Descuento sobre subtotal %]]*(PROVEEDORES[[#This Row],[SUBTOTAL]]-PROVEEDORES[[#This Row],[descuento sobre subtotal]])</f>
        <v>0</v>
      </c>
      <c r="P310" s="83">
        <f>+IF(PROVEEDORES[[#This Row],[SUBTOTAL]]&lt;PROVEEDORES[[#This Row],[base retencion]],0,PROVEEDORES[[#This Row],[retención aplicada]])</f>
        <v>0</v>
      </c>
      <c r="Q310" s="22">
        <f>+PROVEEDORES[[#This Row],[Rete Fuente %]]*(PROVEEDORES[[#This Row],[SUBTOTAL]]-PROVEEDORES[[#This Row],[descuento sobre subtotal]])</f>
        <v>0</v>
      </c>
      <c r="R310" s="21">
        <f>+PROVEEDORES[[#This Row],[SUBTOTAL]]+PROVEEDORES[[#This Row],[IVA 19%]]-PROVEEDORES[[#This Row],[descuento sobre subtotal]]-PROVEEDORES[[#This Row],[Descuento sobre subtotal $2]]-PROVEEDORES[[#This Row],[Rete Fuente $]]</f>
        <v>158258.28</v>
      </c>
      <c r="S3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68">
        <f ca="1">IF(PROVEEDORES[[#This Row],[FECHA DE PAGO]]=0,TODAY()-PROVEEDORES[[#This Row],[FECHA DE FACTURACIÓN]]-PROVEEDORES[[#This Row],[PLAZO Días]],0)</f>
        <v>0</v>
      </c>
      <c r="U310" s="96">
        <f>+VLOOKUP(PROVEEDORES[[#This Row],[PROVEEDOR]],Terceros!$A:$D,4,FALSE)</f>
        <v>0</v>
      </c>
      <c r="V310" s="97">
        <f>+YEAR(PROVEEDORES[[#This Row],[FECHA DE FACTURACIÓN]])</f>
        <v>2021</v>
      </c>
      <c r="W310" s="97">
        <f>+MATCH(PROVEEDORES[[#This Row],[año facturado]],Retenciones!$1:$1,0)</f>
        <v>4</v>
      </c>
      <c r="X310" s="98">
        <f>+VLOOKUP(PROVEEDORES[[#This Row],[ID RETENCION]],Retenciones!$A$1:$O$25,PROVEEDORES[[#This Row],[indicador de columna]],FALSE)</f>
        <v>0</v>
      </c>
      <c r="Y310" s="99">
        <f>+VLOOKUP(PROVEEDORES[[#This Row],[ID RETENCION]],Retenciones!$A$1:$O$25,2,FALSE)</f>
        <v>0</v>
      </c>
      <c r="Z310" s="125" t="b">
        <f>OR(COUNTIF(PROVEEDORES[[#This Row],[PROVEEDOR]],"*"&amp;'Palabra no opera'!$A$2&amp;"*"))</f>
        <v>0</v>
      </c>
      <c r="AA310" s="24"/>
      <c r="AB310" s="24"/>
      <c r="AC310" s="24"/>
      <c r="AD310" s="24"/>
      <c r="AE310" s="24"/>
    </row>
    <row r="311" spans="1:31" ht="22.2" customHeight="1" x14ac:dyDescent="0.3">
      <c r="A311" s="72" t="str">
        <f>+IF(PROVEEDORES[[#This Row],[FECHA DE PAGO]]=PROVEEDORES[[#This Row],[FECHA DE FACTURACIÓN]],"DE CONTADO","CRÉDITO")</f>
        <v>DE CONTADO</v>
      </c>
      <c r="B311" s="38" t="b">
        <f>+IF((PROVEEDORES[[#This Row],[FECHA DE PAGO]]-PROVEEDORES[[#This Row],[FECHA DE FACTURACIÓN]])&gt;PROVEEDORES[[#This Row],[PLAZO Días]],"PAGO VENCIDO")</f>
        <v>0</v>
      </c>
      <c r="C311" s="20">
        <f>+VLOOKUP(PROVEEDORES[[#This Row],[PROVEEDOR]],TERCEROS_INFO[#All],2,FALSE)</f>
        <v>30</v>
      </c>
      <c r="D311" s="25">
        <f>+SUMIFS(PROVEEDORES[Total],PROVEEDORES[PROVEEDOR],PROVEEDORES[[#This Row],[PROVEEDOR]],PROVEEDORES[FECHA DE PAGO],"")</f>
        <v>0</v>
      </c>
      <c r="E311" s="25"/>
      <c r="F311" s="58" t="str">
        <f>+VLOOKUP(PROVEEDORES[[#This Row],[PROVEEDOR]],
                       Terceros!$A:$F,
                       5,
                       FALSE)</f>
        <v/>
      </c>
      <c r="G311" s="161">
        <v>44742</v>
      </c>
      <c r="H311" s="26" t="s">
        <v>644</v>
      </c>
      <c r="I311" s="161">
        <v>44742</v>
      </c>
      <c r="J311" s="35" t="s">
        <v>598</v>
      </c>
      <c r="K311" s="21">
        <v>159000</v>
      </c>
      <c r="L311" s="21"/>
      <c r="M311" s="22">
        <f>(PROVEEDORES[[#This Row],[SUBTOTAL]]-PROVEEDORES[[#This Row],[descuento sobre subtotal]])*VLOOKUP(PROVEEDORES[[#This Row],[PROVEEDOR]],TERCEROS_INFO[#All],3,FALSE)</f>
        <v>0</v>
      </c>
      <c r="N311" s="23"/>
      <c r="O311" s="22">
        <f>+PROVEEDORES[[#This Row],[Descuento sobre subtotal %]]*(PROVEEDORES[[#This Row],[SUBTOTAL]]-PROVEEDORES[[#This Row],[descuento sobre subtotal]])</f>
        <v>0</v>
      </c>
      <c r="P311" s="83">
        <f>+IF(PROVEEDORES[[#This Row],[SUBTOTAL]]&lt;PROVEEDORES[[#This Row],[base retencion]],0,PROVEEDORES[[#This Row],[retención aplicada]])</f>
        <v>0</v>
      </c>
      <c r="Q311" s="22">
        <f>+PROVEEDORES[[#This Row],[Rete Fuente %]]*(PROVEEDORES[[#This Row],[SUBTOTAL]]-PROVEEDORES[[#This Row],[descuento sobre subtotal]])</f>
        <v>0</v>
      </c>
      <c r="R311" s="21">
        <f>+PROVEEDORES[[#This Row],[SUBTOTAL]]+PROVEEDORES[[#This Row],[IVA 19%]]-PROVEEDORES[[#This Row],[descuento sobre subtotal]]-PROVEEDORES[[#This Row],[Descuento sobre subtotal $2]]-PROVEEDORES[[#This Row],[Rete Fuente $]]</f>
        <v>159000</v>
      </c>
      <c r="S31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68">
        <f ca="1">IF(PROVEEDORES[[#This Row],[FECHA DE PAGO]]=0,TODAY()-PROVEEDORES[[#This Row],[FECHA DE FACTURACIÓN]]-PROVEEDORES[[#This Row],[PLAZO Días]],0)</f>
        <v>0</v>
      </c>
      <c r="U311" s="113">
        <f>+VLOOKUP(PROVEEDORES[[#This Row],[PROVEEDOR]],Terceros!$A:$D,4,FALSE)</f>
        <v>0</v>
      </c>
      <c r="V311" s="114">
        <f>+YEAR(PROVEEDORES[[#This Row],[FECHA DE FACTURACIÓN]])</f>
        <v>2022</v>
      </c>
      <c r="W311" s="114">
        <f>+MATCH(PROVEEDORES[[#This Row],[año facturado]],Retenciones!$1:$1,0)</f>
        <v>5</v>
      </c>
      <c r="X311" s="115">
        <f>+VLOOKUP(PROVEEDORES[[#This Row],[ID RETENCION]],Retenciones!$A$1:$O$25,PROVEEDORES[[#This Row],[indicador de columna]],FALSE)</f>
        <v>0</v>
      </c>
      <c r="Y311" s="116">
        <f>+VLOOKUP(PROVEEDORES[[#This Row],[ID RETENCION]],Retenciones!$A$1:$O$25,2,FALSE)</f>
        <v>0</v>
      </c>
      <c r="Z311" s="125" t="b">
        <f>OR(COUNTIF(PROVEEDORES[[#This Row],[PROVEEDOR]],"*"&amp;'Palabra no opera'!$A$2&amp;"*"))</f>
        <v>0</v>
      </c>
      <c r="AA311" s="24"/>
      <c r="AB311" s="24"/>
      <c r="AC311" s="24"/>
      <c r="AD311" s="24"/>
      <c r="AE311" s="24"/>
    </row>
    <row r="312" spans="1:31" ht="22.2" customHeight="1" x14ac:dyDescent="0.3">
      <c r="A312" s="66" t="str">
        <f>+IF(PROVEEDORES[[#This Row],[FECHA DE PAGO]]=PROVEEDORES[[#This Row],[FECHA DE FACTURACIÓN]],"DE CONTADO","CRÉDITO")</f>
        <v>CRÉDITO</v>
      </c>
      <c r="B312" s="38" t="b">
        <f>+IF((PROVEEDORES[[#This Row],[FECHA DE PAGO]]-PROVEEDORES[[#This Row],[FECHA DE FACTURACIÓN]])&gt;PROVEEDORES[[#This Row],[PLAZO Días]],"PAGO VENCIDO")</f>
        <v>0</v>
      </c>
      <c r="C312" s="20">
        <f>+VLOOKUP(PROVEEDORES[[#This Row],[PROVEEDOR]],TERCEROS_INFO[#All],2,FALSE)</f>
        <v>30</v>
      </c>
      <c r="D312" s="25">
        <f>+SUMIFS(PROVEEDORES[Total],PROVEEDORES[PROVEEDOR],PROVEEDORES[[#This Row],[PROVEEDOR]],PROVEEDORES[FECHA DE PAGO],"")</f>
        <v>0</v>
      </c>
      <c r="E312" s="25"/>
      <c r="F312" s="58" t="str">
        <f>+VLOOKUP(PROVEEDORES[[#This Row],[PROVEEDOR]],
                       Terceros!$A:$F,
                       5,
                       FALSE)</f>
        <v>electronicascanaresas@gmail.com;girlesa.ruiz@servipilas.com;joriescobar64@gmail.com</v>
      </c>
      <c r="G312" s="161">
        <v>44239</v>
      </c>
      <c r="H312" s="26" t="s">
        <v>176</v>
      </c>
      <c r="I312" s="161">
        <v>44229</v>
      </c>
      <c r="J312" s="35">
        <v>1528</v>
      </c>
      <c r="K312" s="21">
        <v>134453.78</v>
      </c>
      <c r="L312" s="21"/>
      <c r="M312" s="22">
        <f>(PROVEEDORES[[#This Row],[SUBTOTAL]]-PROVEEDORES[[#This Row],[descuento sobre subtotal]])*VLOOKUP(PROVEEDORES[[#This Row],[PROVEEDOR]],TERCEROS_INFO[#All],3,FALSE)</f>
        <v>25546.218199999999</v>
      </c>
      <c r="N312" s="23"/>
      <c r="O312" s="22">
        <f>+PROVEEDORES[[#This Row],[Descuento sobre subtotal %]]*(PROVEEDORES[[#This Row],[SUBTOTAL]]-PROVEEDORES[[#This Row],[descuento sobre subtotal]])</f>
        <v>0</v>
      </c>
      <c r="P312" s="83">
        <f>+IF(PROVEEDORES[[#This Row],[SUBTOTAL]]&lt;PROVEEDORES[[#This Row],[base retencion]],0,PROVEEDORES[[#This Row],[retención aplicada]])</f>
        <v>0</v>
      </c>
      <c r="Q312" s="22">
        <f>+PROVEEDORES[[#This Row],[Rete Fuente %]]*(PROVEEDORES[[#This Row],[SUBTOTAL]]-PROVEEDORES[[#This Row],[descuento sobre subtotal]])</f>
        <v>0</v>
      </c>
      <c r="R312" s="21">
        <f>+PROVEEDORES[[#This Row],[SUBTOTAL]]+PROVEEDORES[[#This Row],[IVA 19%]]-PROVEEDORES[[#This Row],[descuento sobre subtotal]]-PROVEEDORES[[#This Row],[Descuento sobre subtotal $2]]-PROVEEDORES[[#This Row],[Rete Fuente $]]</f>
        <v>159999.9982</v>
      </c>
      <c r="S3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68">
        <f ca="1">IF(PROVEEDORES[[#This Row],[FECHA DE PAGO]]=0,TODAY()-PROVEEDORES[[#This Row],[FECHA DE FACTURACIÓN]]-PROVEEDORES[[#This Row],[PLAZO Días]],0)</f>
        <v>0</v>
      </c>
      <c r="U312" s="96" t="str">
        <f>+VLOOKUP(PROVEEDORES[[#This Row],[PROVEEDOR]],Terceros!$A:$D,4,FALSE)</f>
        <v>2,5% con base</v>
      </c>
      <c r="V312" s="97">
        <f>+YEAR(PROVEEDORES[[#This Row],[FECHA DE FACTURACIÓN]])</f>
        <v>2021</v>
      </c>
      <c r="W312" s="97">
        <f>+MATCH(PROVEEDORES[[#This Row],[año facturado]],Retenciones!$1:$1,0)</f>
        <v>4</v>
      </c>
      <c r="X312" s="98">
        <f>+VLOOKUP(PROVEEDORES[[#This Row],[ID RETENCION]],Retenciones!$A$1:$O$25,PROVEEDORES[[#This Row],[indicador de columna]],FALSE)</f>
        <v>980000</v>
      </c>
      <c r="Y312" s="99">
        <f>+VLOOKUP(PROVEEDORES[[#This Row],[ID RETENCION]],Retenciones!$A$1:$O$25,2,FALSE)</f>
        <v>2.5000000000000001E-2</v>
      </c>
      <c r="Z312" s="125" t="b">
        <f>OR(COUNTIF(PROVEEDORES[[#This Row],[PROVEEDOR]],"*"&amp;'Palabra no opera'!$A$2&amp;"*"))</f>
        <v>0</v>
      </c>
      <c r="AA312" s="24"/>
      <c r="AB312" s="24"/>
      <c r="AC312" s="24"/>
      <c r="AD312" s="24"/>
      <c r="AE312" s="24"/>
    </row>
    <row r="313" spans="1:31" ht="22.2" customHeight="1" x14ac:dyDescent="0.3">
      <c r="A313" s="66" t="str">
        <f>+IF(PROVEEDORES[[#This Row],[FECHA DE PAGO]]=PROVEEDORES[[#This Row],[FECHA DE FACTURACIÓN]],"DE CONTADO","CRÉDITO")</f>
        <v>CRÉDITO</v>
      </c>
      <c r="B313" s="38" t="b">
        <f>+IF((PROVEEDORES[[#This Row],[FECHA DE PAGO]]-PROVEEDORES[[#This Row],[FECHA DE FACTURACIÓN]])&gt;PROVEEDORES[[#This Row],[PLAZO Días]],"PAGO VENCIDO")</f>
        <v>0</v>
      </c>
      <c r="C313" s="20">
        <f>+VLOOKUP(PROVEEDORES[[#This Row],[PROVEEDOR]],TERCEROS_INFO[#All],2,FALSE)</f>
        <v>30</v>
      </c>
      <c r="D313" s="25">
        <f>+SUMIFS(PROVEEDORES[Total],PROVEEDORES[PROVEEDOR],PROVEEDORES[[#This Row],[PROVEEDOR]],PROVEEDORES[FECHA DE PAGO],"")</f>
        <v>0</v>
      </c>
      <c r="E313" s="25"/>
      <c r="F31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13" s="161">
        <v>44221</v>
      </c>
      <c r="H313" s="26" t="s">
        <v>1450</v>
      </c>
      <c r="I313" s="161">
        <v>44216</v>
      </c>
      <c r="J313" s="35">
        <v>260</v>
      </c>
      <c r="K313" s="21">
        <v>160000</v>
      </c>
      <c r="L313" s="21"/>
      <c r="M313" s="22">
        <f>(PROVEEDORES[[#This Row],[SUBTOTAL]]-PROVEEDORES[[#This Row],[descuento sobre subtotal]])*VLOOKUP(PROVEEDORES[[#This Row],[PROVEEDOR]],TERCEROS_INFO[#All],3,FALSE)</f>
        <v>0</v>
      </c>
      <c r="N313" s="23"/>
      <c r="O313" s="22">
        <f>+PROVEEDORES[[#This Row],[Descuento sobre subtotal %]]*(PROVEEDORES[[#This Row],[SUBTOTAL]]-PROVEEDORES[[#This Row],[descuento sobre subtotal]])</f>
        <v>0</v>
      </c>
      <c r="P313" s="83">
        <f>+IF(PROVEEDORES[[#This Row],[SUBTOTAL]]&lt;PROVEEDORES[[#This Row],[base retencion]],0,PROVEEDORES[[#This Row],[retención aplicada]])</f>
        <v>0</v>
      </c>
      <c r="Q313" s="22">
        <f>+PROVEEDORES[[#This Row],[Rete Fuente %]]*(PROVEEDORES[[#This Row],[SUBTOTAL]]-PROVEEDORES[[#This Row],[descuento sobre subtotal]])</f>
        <v>0</v>
      </c>
      <c r="R313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3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68">
        <f ca="1">IF(PROVEEDORES[[#This Row],[FECHA DE PAGO]]=0,TODAY()-PROVEEDORES[[#This Row],[FECHA DE FACTURACIÓN]]-PROVEEDORES[[#This Row],[PLAZO Días]],0)</f>
        <v>0</v>
      </c>
      <c r="U313" s="96">
        <f>+VLOOKUP(PROVEEDORES[[#This Row],[PROVEEDOR]],Terceros!$A:$D,4,FALSE)</f>
        <v>0</v>
      </c>
      <c r="V313" s="97">
        <f>+YEAR(PROVEEDORES[[#This Row],[FECHA DE FACTURACIÓN]])</f>
        <v>2021</v>
      </c>
      <c r="W313" s="97">
        <f>+MATCH(PROVEEDORES[[#This Row],[año facturado]],Retenciones!$1:$1,0)</f>
        <v>4</v>
      </c>
      <c r="X313" s="98">
        <f>+VLOOKUP(PROVEEDORES[[#This Row],[ID RETENCION]],Retenciones!$A$1:$O$25,PROVEEDORES[[#This Row],[indicador de columna]],FALSE)</f>
        <v>0</v>
      </c>
      <c r="Y313" s="99">
        <f>+VLOOKUP(PROVEEDORES[[#This Row],[ID RETENCION]],Retenciones!$A$1:$O$25,2,FALSE)</f>
        <v>0</v>
      </c>
      <c r="Z313" s="125" t="b">
        <f>OR(COUNTIF(PROVEEDORES[[#This Row],[PROVEEDOR]],"*"&amp;'Palabra no opera'!$A$2&amp;"*"))</f>
        <v>0</v>
      </c>
      <c r="AA313" s="24"/>
      <c r="AB313" s="24"/>
      <c r="AC313" s="24"/>
      <c r="AD313" s="24"/>
      <c r="AE313" s="24"/>
    </row>
    <row r="314" spans="1:31" ht="22.2" customHeight="1" x14ac:dyDescent="0.3">
      <c r="A314" s="66" t="str">
        <f>+IF(PROVEEDORES[[#This Row],[FECHA DE PAGO]]=PROVEEDORES[[#This Row],[FECHA DE FACTURACIÓN]],"DE CONTADO","CRÉDITO")</f>
        <v>DE CONTADO</v>
      </c>
      <c r="B314" s="38" t="b">
        <f>+IF((PROVEEDORES[[#This Row],[FECHA DE PAGO]]-PROVEEDORES[[#This Row],[FECHA DE FACTURACIÓN]])&gt;PROVEEDORES[[#This Row],[PLAZO Días]],"PAGO VENCIDO")</f>
        <v>0</v>
      </c>
      <c r="C314" s="20">
        <f>+VLOOKUP(PROVEEDORES[[#This Row],[PROVEEDOR]],TERCEROS_INFO[#All],2,FALSE)</f>
        <v>30</v>
      </c>
      <c r="D314" s="25">
        <f>+SUMIFS(PROVEEDORES[Total],PROVEEDORES[PROVEEDOR],PROVEEDORES[[#This Row],[PROVEEDOR]],PROVEEDORES[FECHA DE PAGO],"")</f>
        <v>0</v>
      </c>
      <c r="E314" s="25"/>
      <c r="F314" s="58" t="str">
        <f>+VLOOKUP(PROVEEDORES[[#This Row],[PROVEEDOR]],
                       Terceros!$A:$F,
                       5,
                       FALSE)</f>
        <v/>
      </c>
      <c r="G314" s="161">
        <v>44357</v>
      </c>
      <c r="H314" s="26" t="s">
        <v>683</v>
      </c>
      <c r="I314" s="161">
        <v>44357</v>
      </c>
      <c r="J314" s="35" t="s">
        <v>1246</v>
      </c>
      <c r="K314" s="21">
        <v>160000</v>
      </c>
      <c r="L314" s="21"/>
      <c r="M314" s="22">
        <f>(PROVEEDORES[[#This Row],[SUBTOTAL]]-PROVEEDORES[[#This Row],[descuento sobre subtotal]])*VLOOKUP(PROVEEDORES[[#This Row],[PROVEEDOR]],TERCEROS_INFO[#All],3,FALSE)</f>
        <v>0</v>
      </c>
      <c r="N314" s="23"/>
      <c r="O314" s="22">
        <f>+PROVEEDORES[[#This Row],[Descuento sobre subtotal %]]*(PROVEEDORES[[#This Row],[SUBTOTAL]]-PROVEEDORES[[#This Row],[descuento sobre subtotal]])</f>
        <v>0</v>
      </c>
      <c r="P314" s="83">
        <f>+IF(PROVEEDORES[[#This Row],[SUBTOTAL]]&lt;PROVEEDORES[[#This Row],[base retencion]],0,PROVEEDORES[[#This Row],[retención aplicada]])</f>
        <v>0</v>
      </c>
      <c r="Q314" s="22">
        <f>+PROVEEDORES[[#This Row],[Rete Fuente %]]*(PROVEEDORES[[#This Row],[SUBTOTAL]]-PROVEEDORES[[#This Row],[descuento sobre subtotal]])</f>
        <v>0</v>
      </c>
      <c r="R314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3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68">
        <f ca="1">IF(PROVEEDORES[[#This Row],[FECHA DE PAGO]]=0,TODAY()-PROVEEDORES[[#This Row],[FECHA DE FACTURACIÓN]]-PROVEEDORES[[#This Row],[PLAZO Días]],0)</f>
        <v>0</v>
      </c>
      <c r="U314" s="96">
        <f>+VLOOKUP(PROVEEDORES[[#This Row],[PROVEEDOR]],Terceros!$A:$D,4,FALSE)</f>
        <v>0</v>
      </c>
      <c r="V314" s="97">
        <f>+YEAR(PROVEEDORES[[#This Row],[FECHA DE FACTURACIÓN]])</f>
        <v>2021</v>
      </c>
      <c r="W314" s="97">
        <f>+MATCH(PROVEEDORES[[#This Row],[año facturado]],Retenciones!$1:$1,0)</f>
        <v>4</v>
      </c>
      <c r="X314" s="98">
        <f>+VLOOKUP(PROVEEDORES[[#This Row],[ID RETENCION]],Retenciones!$A$1:$O$25,PROVEEDORES[[#This Row],[indicador de columna]],FALSE)</f>
        <v>0</v>
      </c>
      <c r="Y314" s="99">
        <f>+VLOOKUP(PROVEEDORES[[#This Row],[ID RETENCION]],Retenciones!$A$1:$O$25,2,FALSE)</f>
        <v>0</v>
      </c>
      <c r="Z314" s="125" t="b">
        <f>OR(COUNTIF(PROVEEDORES[[#This Row],[PROVEEDOR]],"*"&amp;'Palabra no opera'!$A$2&amp;"*"))</f>
        <v>0</v>
      </c>
      <c r="AA314" s="24"/>
      <c r="AB314" s="24"/>
      <c r="AC314" s="24"/>
      <c r="AD314" s="24"/>
      <c r="AE314" s="24"/>
    </row>
    <row r="315" spans="1:31" ht="22.2" customHeight="1" x14ac:dyDescent="0.3">
      <c r="A315" s="66" t="str">
        <f>+IF(PROVEEDORES[[#This Row],[FECHA DE PAGO]]=PROVEEDORES[[#This Row],[FECHA DE FACTURACIÓN]],"DE CONTADO","CRÉDITO")</f>
        <v>DE CONTADO</v>
      </c>
      <c r="B315" s="38" t="b">
        <f>+IF((PROVEEDORES[[#This Row],[FECHA DE PAGO]]-PROVEEDORES[[#This Row],[FECHA DE FACTURACIÓN]])&gt;PROVEEDORES[[#This Row],[PLAZO Días]],"PAGO VENCIDO")</f>
        <v>0</v>
      </c>
      <c r="C315" s="20">
        <f>+VLOOKUP(PROVEEDORES[[#This Row],[PROVEEDOR]],TERCEROS_INFO[#All],2,FALSE)</f>
        <v>30</v>
      </c>
      <c r="D315" s="25">
        <f>+SUMIFS(PROVEEDORES[Total],PROVEEDORES[PROVEEDOR],PROVEEDORES[[#This Row],[PROVEEDOR]],PROVEEDORES[FECHA DE PAGO],"")</f>
        <v>0</v>
      </c>
      <c r="E315" s="25"/>
      <c r="F315" s="58" t="str">
        <f>+VLOOKUP(PROVEEDORES[[#This Row],[PROVEEDOR]],
                       Terceros!$A:$F,
                       5,
                       FALSE)</f>
        <v/>
      </c>
      <c r="G315" s="161">
        <v>44385</v>
      </c>
      <c r="H315" s="26" t="s">
        <v>683</v>
      </c>
      <c r="I315" s="161">
        <v>44385</v>
      </c>
      <c r="J315" s="35" t="s">
        <v>1266</v>
      </c>
      <c r="K315" s="21">
        <v>160000</v>
      </c>
      <c r="L315" s="21"/>
      <c r="M315" s="22">
        <f>(PROVEEDORES[[#This Row],[SUBTOTAL]]-PROVEEDORES[[#This Row],[descuento sobre subtotal]])*VLOOKUP(PROVEEDORES[[#This Row],[PROVEEDOR]],TERCEROS_INFO[#All],3,FALSE)</f>
        <v>0</v>
      </c>
      <c r="N315" s="23"/>
      <c r="O315" s="22">
        <f>+PROVEEDORES[[#This Row],[Descuento sobre subtotal %]]*(PROVEEDORES[[#This Row],[SUBTOTAL]]-PROVEEDORES[[#This Row],[descuento sobre subtotal]])</f>
        <v>0</v>
      </c>
      <c r="P315" s="83">
        <f>+IF(PROVEEDORES[[#This Row],[SUBTOTAL]]&lt;PROVEEDORES[[#This Row],[base retencion]],0,PROVEEDORES[[#This Row],[retención aplicada]])</f>
        <v>0</v>
      </c>
      <c r="Q315" s="22">
        <f>+PROVEEDORES[[#This Row],[Rete Fuente %]]*(PROVEEDORES[[#This Row],[SUBTOTAL]]-PROVEEDORES[[#This Row],[descuento sobre subtotal]])</f>
        <v>0</v>
      </c>
      <c r="R315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3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68">
        <f ca="1">IF(PROVEEDORES[[#This Row],[FECHA DE PAGO]]=0,TODAY()-PROVEEDORES[[#This Row],[FECHA DE FACTURACIÓN]]-PROVEEDORES[[#This Row],[PLAZO Días]],0)</f>
        <v>0</v>
      </c>
      <c r="U315" s="96">
        <f>+VLOOKUP(PROVEEDORES[[#This Row],[PROVEEDOR]],Terceros!$A:$D,4,FALSE)</f>
        <v>0</v>
      </c>
      <c r="V315" s="97">
        <f>+YEAR(PROVEEDORES[[#This Row],[FECHA DE FACTURACIÓN]])</f>
        <v>2021</v>
      </c>
      <c r="W315" s="97">
        <f>+MATCH(PROVEEDORES[[#This Row],[año facturado]],Retenciones!$1:$1,0)</f>
        <v>4</v>
      </c>
      <c r="X315" s="98">
        <f>+VLOOKUP(PROVEEDORES[[#This Row],[ID RETENCION]],Retenciones!$A$1:$O$25,PROVEEDORES[[#This Row],[indicador de columna]],FALSE)</f>
        <v>0</v>
      </c>
      <c r="Y315" s="99">
        <f>+VLOOKUP(PROVEEDORES[[#This Row],[ID RETENCION]],Retenciones!$A$1:$O$25,2,FALSE)</f>
        <v>0</v>
      </c>
      <c r="Z315" s="125" t="b">
        <f>OR(COUNTIF(PROVEEDORES[[#This Row],[PROVEEDOR]],"*"&amp;'Palabra no opera'!$A$2&amp;"*"))</f>
        <v>0</v>
      </c>
      <c r="AA315" s="24"/>
      <c r="AB315" s="24"/>
      <c r="AC315" s="24"/>
      <c r="AD315" s="24"/>
      <c r="AE315" s="24"/>
    </row>
    <row r="316" spans="1:31" ht="22.2" customHeight="1" x14ac:dyDescent="0.3">
      <c r="A316" s="269" t="str">
        <f>+IF(PROVEEDORES[[#This Row],[FECHA DE PAGO]]=PROVEEDORES[[#This Row],[FECHA DE FACTURACIÓN]],"DE CONTADO","CRÉDITO")</f>
        <v>CRÉDITO</v>
      </c>
      <c r="B316" s="38" t="b">
        <f>+IF((PROVEEDORES[[#This Row],[FECHA DE PAGO]]-PROVEEDORES[[#This Row],[FECHA DE FACTURACIÓN]])&gt;PROVEEDORES[[#This Row],[PLAZO Días]],"PAGO VENCIDO")</f>
        <v>0</v>
      </c>
      <c r="C316" s="20">
        <f>+VLOOKUP(PROVEEDORES[[#This Row],[PROVEEDOR]],TERCEROS_INFO[#All],2,FALSE)</f>
        <v>30</v>
      </c>
      <c r="D316" s="25">
        <f>+SUMIFS(PROVEEDORES[Total],PROVEEDORES[PROVEEDOR],PROVEEDORES[[#This Row],[PROVEEDOR]],PROVEEDORES[FECHA DE PAGO],"")</f>
        <v>0</v>
      </c>
      <c r="E316" s="25"/>
      <c r="F316" s="58" t="str">
        <f>+VLOOKUP(PROVEEDORES[[#This Row],[PROVEEDOR]],
                       Terceros!$A:$F,
                       5,
                       FALSE)</f>
        <v>facturacion@losmolinos.com.co</v>
      </c>
      <c r="G316" s="161">
        <v>44858</v>
      </c>
      <c r="H316" s="26" t="s">
        <v>940</v>
      </c>
      <c r="I316" s="161">
        <v>44844</v>
      </c>
      <c r="J316" s="35" t="s">
        <v>1789</v>
      </c>
      <c r="K316" s="21">
        <v>161083</v>
      </c>
      <c r="L316" s="21"/>
      <c r="M316" s="22">
        <f>(PROVEEDORES[[#This Row],[SUBTOTAL]]-PROVEEDORES[[#This Row],[descuento sobre subtotal]])*VLOOKUP(PROVEEDORES[[#This Row],[PROVEEDOR]],TERCEROS_INFO[#All],3,FALSE)</f>
        <v>0</v>
      </c>
      <c r="N316" s="23"/>
      <c r="O316" s="22">
        <f>+PROVEEDORES[[#This Row],[Descuento sobre subtotal %]]*(PROVEEDORES[[#This Row],[SUBTOTAL]]-PROVEEDORES[[#This Row],[descuento sobre subtotal]])</f>
        <v>0</v>
      </c>
      <c r="P316" s="83">
        <f>+IF(PROVEEDORES[[#This Row],[SUBTOTAL]]&lt;PROVEEDORES[[#This Row],[base retencion]],0,PROVEEDORES[[#This Row],[retención aplicada]])</f>
        <v>0</v>
      </c>
      <c r="Q316" s="22">
        <f>+PROVEEDORES[[#This Row],[Rete Fuente %]]*(PROVEEDORES[[#This Row],[SUBTOTAL]]-PROVEEDORES[[#This Row],[descuento sobre subtotal]])</f>
        <v>0</v>
      </c>
      <c r="R316" s="21">
        <f>+PROVEEDORES[[#This Row],[SUBTOTAL]]+PROVEEDORES[[#This Row],[IVA 19%]]-PROVEEDORES[[#This Row],[descuento sobre subtotal]]-PROVEEDORES[[#This Row],[Descuento sobre subtotal $2]]-PROVEEDORES[[#This Row],[Rete Fuente $]]</f>
        <v>161083</v>
      </c>
      <c r="S316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68">
        <f ca="1">IF(PROVEEDORES[[#This Row],[FECHA DE PAGO]]=0,TODAY()-PROVEEDORES[[#This Row],[FECHA DE FACTURACIÓN]]-PROVEEDORES[[#This Row],[PLAZO Días]],0)</f>
        <v>0</v>
      </c>
      <c r="U316" s="113">
        <f>+VLOOKUP(PROVEEDORES[[#This Row],[PROVEEDOR]],Terceros!$A:$D,4,FALSE)</f>
        <v>0</v>
      </c>
      <c r="V316" s="114">
        <f>+YEAR(PROVEEDORES[[#This Row],[FECHA DE FACTURACIÓN]])</f>
        <v>2022</v>
      </c>
      <c r="W316" s="114">
        <f>+MATCH(PROVEEDORES[[#This Row],[año facturado]],Retenciones!$1:$1,0)</f>
        <v>5</v>
      </c>
      <c r="X316" s="115">
        <f>+VLOOKUP(PROVEEDORES[[#This Row],[ID RETENCION]],Retenciones!$A$1:$O$25,PROVEEDORES[[#This Row],[indicador de columna]],FALSE)</f>
        <v>0</v>
      </c>
      <c r="Y316" s="116">
        <f>+VLOOKUP(PROVEEDORES[[#This Row],[ID RETENCION]],Retenciones!$A$1:$O$25,2,FALSE)</f>
        <v>0</v>
      </c>
      <c r="Z316" s="125" t="b">
        <f>OR(COUNTIF(PROVEEDORES[[#This Row],[PROVEEDOR]],"*"&amp;'Palabra no opera'!$A$2&amp;"*"))</f>
        <v>1</v>
      </c>
      <c r="AA316" s="24"/>
      <c r="AB316" s="24"/>
      <c r="AC316" s="24"/>
      <c r="AD316" s="24"/>
      <c r="AE316" s="24"/>
    </row>
    <row r="317" spans="1:31" ht="22.2" customHeight="1" x14ac:dyDescent="0.3">
      <c r="A317" s="66" t="str">
        <f>+IF(PROVEEDORES[[#This Row],[FECHA DE PAGO]]=PROVEEDORES[[#This Row],[FECHA DE FACTURACIÓN]],"DE CONTADO","CRÉDITO")</f>
        <v>CRÉDITO</v>
      </c>
      <c r="B317" s="38" t="str">
        <f>+IF((PROVEEDORES[[#This Row],[FECHA DE PAGO]]-PROVEEDORES[[#This Row],[FECHA DE FACTURACIÓN]])&gt;PROVEEDORES[[#This Row],[PLAZO Días]],"PAGO VENCIDO")</f>
        <v>PAGO VENCIDO</v>
      </c>
      <c r="C317" s="20">
        <f>+VLOOKUP(PROVEEDORES[[#This Row],[PROVEEDOR]],TERCEROS_INFO[#All],2,FALSE)</f>
        <v>30</v>
      </c>
      <c r="D317" s="25">
        <f>+SUMIFS(PROVEEDORES[Total],PROVEEDORES[PROVEEDOR],PROVEEDORES[[#This Row],[PROVEEDOR]],PROVEEDORES[FECHA DE PAGO],"")</f>
        <v>1468491.82</v>
      </c>
      <c r="E317" s="25"/>
      <c r="F317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17" s="161">
        <v>44524</v>
      </c>
      <c r="H317" s="26" t="s">
        <v>1638</v>
      </c>
      <c r="I317" s="161">
        <v>44489</v>
      </c>
      <c r="J317" s="35" t="s">
        <v>501</v>
      </c>
      <c r="K317" s="21">
        <v>137143.20000000001</v>
      </c>
      <c r="L317" s="21"/>
      <c r="M317" s="22">
        <f>(PROVEEDORES[[#This Row],[SUBTOTAL]]-PROVEEDORES[[#This Row],[descuento sobre subtotal]])*VLOOKUP(PROVEEDORES[[#This Row],[PROVEEDOR]],TERCEROS_INFO[#All],3,FALSE)</f>
        <v>26057.208000000002</v>
      </c>
      <c r="N317" s="23"/>
      <c r="O317" s="22">
        <f>+PROVEEDORES[[#This Row],[Descuento sobre subtotal %]]*(PROVEEDORES[[#This Row],[SUBTOTAL]]-PROVEEDORES[[#This Row],[descuento sobre subtotal]])</f>
        <v>0</v>
      </c>
      <c r="P317" s="83">
        <f>+IF(PROVEEDORES[[#This Row],[SUBTOTAL]]&lt;PROVEEDORES[[#This Row],[base retencion]],0,PROVEEDORES[[#This Row],[retención aplicada]])</f>
        <v>0</v>
      </c>
      <c r="Q317" s="22">
        <f>+PROVEEDORES[[#This Row],[Rete Fuente %]]*(PROVEEDORES[[#This Row],[SUBTOTAL]]-PROVEEDORES[[#This Row],[descuento sobre subtotal]])</f>
        <v>0</v>
      </c>
      <c r="R317" s="21">
        <f>+PROVEEDORES[[#This Row],[SUBTOTAL]]+PROVEEDORES[[#This Row],[IVA 19%]]-PROVEEDORES[[#This Row],[descuento sobre subtotal]]-PROVEEDORES[[#This Row],[Descuento sobre subtotal $2]]-PROVEEDORES[[#This Row],[Rete Fuente $]]</f>
        <v>163200.40800000002</v>
      </c>
      <c r="S3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68">
        <f ca="1">IF(PROVEEDORES[[#This Row],[FECHA DE PAGO]]=0,TODAY()-PROVEEDORES[[#This Row],[FECHA DE FACTURACIÓN]]-PROVEEDORES[[#This Row],[PLAZO Días]],0)</f>
        <v>0</v>
      </c>
      <c r="U317" s="96" t="str">
        <f>+VLOOKUP(PROVEEDORES[[#This Row],[PROVEEDOR]],Terceros!$A:$D,4,FALSE)</f>
        <v>2,5% con base</v>
      </c>
      <c r="V317" s="97">
        <f>+YEAR(PROVEEDORES[[#This Row],[FECHA DE FACTURACIÓN]])</f>
        <v>2021</v>
      </c>
      <c r="W317" s="97">
        <f>+MATCH(PROVEEDORES[[#This Row],[año facturado]],Retenciones!$1:$1,0)</f>
        <v>4</v>
      </c>
      <c r="X317" s="98">
        <f>+VLOOKUP(PROVEEDORES[[#This Row],[ID RETENCION]],Retenciones!$A$1:$O$25,PROVEEDORES[[#This Row],[indicador de columna]],FALSE)</f>
        <v>980000</v>
      </c>
      <c r="Y317" s="99">
        <f>+VLOOKUP(PROVEEDORES[[#This Row],[ID RETENCION]],Retenciones!$A$1:$O$25,2,FALSE)</f>
        <v>2.5000000000000001E-2</v>
      </c>
      <c r="Z317" s="125" t="b">
        <f>OR(COUNTIF(PROVEEDORES[[#This Row],[PROVEEDOR]],"*"&amp;'Palabra no opera'!$A$2&amp;"*"))</f>
        <v>0</v>
      </c>
      <c r="AA317" s="24"/>
      <c r="AB317" s="24"/>
      <c r="AC317" s="24"/>
      <c r="AD317" s="24"/>
      <c r="AE317" s="24"/>
    </row>
    <row r="318" spans="1:31" ht="22.2" customHeight="1" x14ac:dyDescent="0.3">
      <c r="A318" s="66" t="str">
        <f>+IF(PROVEEDORES[[#This Row],[FECHA DE PAGO]]=PROVEEDORES[[#This Row],[FECHA DE FACTURACIÓN]],"DE CONTADO","CRÉDITO")</f>
        <v>CRÉDITO</v>
      </c>
      <c r="B318" s="38" t="str">
        <f>+IF((PROVEEDORES[[#This Row],[FECHA DE PAGO]]-PROVEEDORES[[#This Row],[FECHA DE FACTURACIÓN]])&gt;PROVEEDORES[[#This Row],[PLAZO Días]],"PAGO VENCIDO")</f>
        <v>PAGO VENCIDO</v>
      </c>
      <c r="C318" s="20">
        <f>+VLOOKUP(PROVEEDORES[[#This Row],[PROVEEDOR]],TERCEROS_INFO[#All],2,FALSE)</f>
        <v>30</v>
      </c>
      <c r="D318" s="25">
        <f>+SUMIFS(PROVEEDORES[Total],PROVEEDORES[PROVEEDOR],PROVEEDORES[[#This Row],[PROVEEDOR]],PROVEEDORES[FECHA DE PAGO],"")</f>
        <v>0</v>
      </c>
      <c r="E318" s="25"/>
      <c r="F31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18" s="161">
        <v>44652</v>
      </c>
      <c r="H318" s="26" t="s">
        <v>691</v>
      </c>
      <c r="I318" s="161">
        <v>44548</v>
      </c>
      <c r="J318" s="35" t="s">
        <v>1438</v>
      </c>
      <c r="K318" s="21">
        <v>165300</v>
      </c>
      <c r="L318" s="21"/>
      <c r="M318" s="22">
        <v>0</v>
      </c>
      <c r="N318" s="23"/>
      <c r="O318" s="22">
        <v>0</v>
      </c>
      <c r="P318" s="83">
        <f>+IF(PROVEEDORES[[#This Row],[SUBTOTAL]]&lt;PROVEEDORES[[#This Row],[base retencion]],0,PROVEEDORES[[#This Row],[retención aplicada]])</f>
        <v>0</v>
      </c>
      <c r="Q318" s="22">
        <f>+PROVEEDORES[[#This Row],[Rete Fuente %]]*(PROVEEDORES[[#This Row],[SUBTOTAL]]-PROVEEDORES[[#This Row],[descuento sobre subtotal]])</f>
        <v>0</v>
      </c>
      <c r="R318" s="21">
        <v>165300</v>
      </c>
      <c r="S3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68">
        <f ca="1">IF(PROVEEDORES[[#This Row],[FECHA DE PAGO]]=0,TODAY()-PROVEEDORES[[#This Row],[FECHA DE FACTURACIÓN]]-PROVEEDORES[[#This Row],[PLAZO Días]],0)</f>
        <v>0</v>
      </c>
      <c r="U318" s="96">
        <f>+VLOOKUP(PROVEEDORES[[#This Row],[PROVEEDOR]],Terceros!$A:$D,4,FALSE)</f>
        <v>0</v>
      </c>
      <c r="V318" s="97">
        <f>+YEAR(PROVEEDORES[[#This Row],[FECHA DE FACTURACIÓN]])</f>
        <v>2021</v>
      </c>
      <c r="W318" s="97">
        <f>+MATCH(PROVEEDORES[[#This Row],[año facturado]],Retenciones!$1:$1,0)</f>
        <v>4</v>
      </c>
      <c r="X318" s="98">
        <f>+VLOOKUP(PROVEEDORES[[#This Row],[ID RETENCION]],Retenciones!$A$1:$O$25,PROVEEDORES[[#This Row],[indicador de columna]],FALSE)</f>
        <v>0</v>
      </c>
      <c r="Y318" s="99">
        <f>+VLOOKUP(PROVEEDORES[[#This Row],[ID RETENCION]],Retenciones!$A$1:$O$25,2,FALSE)</f>
        <v>0</v>
      </c>
      <c r="Z318" s="125" t="b">
        <f>OR(COUNTIF(PROVEEDORES[[#This Row],[PROVEEDOR]],"*"&amp;'Palabra no opera'!$A$2&amp;"*"))</f>
        <v>0</v>
      </c>
      <c r="AA318" s="24"/>
      <c r="AB318" s="24"/>
      <c r="AC318" s="24"/>
      <c r="AD318" s="24"/>
      <c r="AE318" s="24"/>
    </row>
    <row r="319" spans="1:31" ht="22.2" customHeight="1" x14ac:dyDescent="0.3">
      <c r="A319" s="66" t="str">
        <f>+IF(PROVEEDORES[[#This Row],[FECHA DE PAGO]]=PROVEEDORES[[#This Row],[FECHA DE FACTURACIÓN]],"DE CONTADO","CRÉDITO")</f>
        <v>DE CONTADO</v>
      </c>
      <c r="B319" s="38" t="b">
        <f>+IF((PROVEEDORES[[#This Row],[FECHA DE PAGO]]-PROVEEDORES[[#This Row],[FECHA DE FACTURACIÓN]])&gt;PROVEEDORES[[#This Row],[PLAZO Días]],"PAGO VENCIDO")</f>
        <v>0</v>
      </c>
      <c r="C319" s="20">
        <f>+VLOOKUP(PROVEEDORES[[#This Row],[PROVEEDOR]],TERCEROS_INFO[#All],2,FALSE)</f>
        <v>30</v>
      </c>
      <c r="D319" s="25">
        <f>+SUMIFS(PROVEEDORES[Total],PROVEEDORES[PROVEEDOR],PROVEEDORES[[#This Row],[PROVEEDOR]],PROVEEDORES[FECHA DE PAGO],"")</f>
        <v>0</v>
      </c>
      <c r="E319" s="25"/>
      <c r="F319" s="58" t="str">
        <f>+VLOOKUP(PROVEEDORES[[#This Row],[PROVEEDOR]],
                       Terceros!$A:$F,
                       5,
                       FALSE)</f>
        <v/>
      </c>
      <c r="G319" s="161">
        <v>44316</v>
      </c>
      <c r="H319" s="26" t="s">
        <v>644</v>
      </c>
      <c r="I319" s="161">
        <v>44316</v>
      </c>
      <c r="J319" s="35" t="s">
        <v>598</v>
      </c>
      <c r="K319" s="21">
        <v>166000</v>
      </c>
      <c r="L319" s="21"/>
      <c r="M319" s="22">
        <f>(PROVEEDORES[[#This Row],[SUBTOTAL]]-PROVEEDORES[[#This Row],[descuento sobre subtotal]])*VLOOKUP(PROVEEDORES[[#This Row],[PROVEEDOR]],TERCEROS_INFO[#All],3,FALSE)</f>
        <v>0</v>
      </c>
      <c r="N319" s="23"/>
      <c r="O319" s="22">
        <f>+PROVEEDORES[[#This Row],[Descuento sobre subtotal %]]*(PROVEEDORES[[#This Row],[SUBTOTAL]]-PROVEEDORES[[#This Row],[descuento sobre subtotal]])</f>
        <v>0</v>
      </c>
      <c r="P319" s="83">
        <f>+IF(PROVEEDORES[[#This Row],[SUBTOTAL]]&lt;PROVEEDORES[[#This Row],[base retencion]],0,PROVEEDORES[[#This Row],[retención aplicada]])</f>
        <v>0</v>
      </c>
      <c r="Q319" s="22">
        <f>+PROVEEDORES[[#This Row],[Rete Fuente %]]*(PROVEEDORES[[#This Row],[SUBTOTAL]]-PROVEEDORES[[#This Row],[descuento sobre subtotal]])</f>
        <v>0</v>
      </c>
      <c r="R319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3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68">
        <f ca="1">IF(PROVEEDORES[[#This Row],[FECHA DE PAGO]]=0,TODAY()-PROVEEDORES[[#This Row],[FECHA DE FACTURACIÓN]]-PROVEEDORES[[#This Row],[PLAZO Días]],0)</f>
        <v>0</v>
      </c>
      <c r="U319" s="96">
        <f>+VLOOKUP(PROVEEDORES[[#This Row],[PROVEEDOR]],Terceros!$A:$D,4,FALSE)</f>
        <v>0</v>
      </c>
      <c r="V319" s="97">
        <f>+YEAR(PROVEEDORES[[#This Row],[FECHA DE FACTURACIÓN]])</f>
        <v>2021</v>
      </c>
      <c r="W319" s="97">
        <f>+MATCH(PROVEEDORES[[#This Row],[año facturado]],Retenciones!$1:$1,0)</f>
        <v>4</v>
      </c>
      <c r="X319" s="98">
        <f>+VLOOKUP(PROVEEDORES[[#This Row],[ID RETENCION]],Retenciones!$A$1:$O$25,PROVEEDORES[[#This Row],[indicador de columna]],FALSE)</f>
        <v>0</v>
      </c>
      <c r="Y319" s="99">
        <f>+VLOOKUP(PROVEEDORES[[#This Row],[ID RETENCION]],Retenciones!$A$1:$O$25,2,FALSE)</f>
        <v>0</v>
      </c>
      <c r="Z319" s="125" t="b">
        <f>OR(COUNTIF(PROVEEDORES[[#This Row],[PROVEEDOR]],"*"&amp;'Palabra no opera'!$A$2&amp;"*"))</f>
        <v>0</v>
      </c>
      <c r="AA319" s="24"/>
      <c r="AB319" s="24"/>
      <c r="AC319" s="24"/>
      <c r="AD319" s="24"/>
      <c r="AE319" s="24"/>
    </row>
    <row r="320" spans="1:31" ht="22.2" customHeight="1" x14ac:dyDescent="0.3">
      <c r="A320" s="66" t="str">
        <f>+IF(PROVEEDORES[[#This Row],[FECHA DE PAGO]]=PROVEEDORES[[#This Row],[FECHA DE FACTURACIÓN]],"DE CONTADO","CRÉDITO")</f>
        <v>DE CONTADO</v>
      </c>
      <c r="B320" s="38" t="b">
        <f>+IF((PROVEEDORES[[#This Row],[FECHA DE PAGO]]-PROVEEDORES[[#This Row],[FECHA DE FACTURACIÓN]])&gt;PROVEEDORES[[#This Row],[PLAZO Días]],"PAGO VENCIDO")</f>
        <v>0</v>
      </c>
      <c r="C320" s="20">
        <f>+VLOOKUP(PROVEEDORES[[#This Row],[PROVEEDOR]],TERCEROS_INFO[#All],2,FALSE)</f>
        <v>30</v>
      </c>
      <c r="D320" s="25">
        <f>+SUMIFS(PROVEEDORES[Total],PROVEEDORES[PROVEEDOR],PROVEEDORES[[#This Row],[PROVEEDOR]],PROVEEDORES[FECHA DE PAGO],"")</f>
        <v>0</v>
      </c>
      <c r="E320" s="25"/>
      <c r="F320" s="58" t="str">
        <f>+VLOOKUP(PROVEEDORES[[#This Row],[PROVEEDOR]],
                       Terceros!$A:$F,
                       5,
                       FALSE)</f>
        <v/>
      </c>
      <c r="G320" s="161">
        <v>44204</v>
      </c>
      <c r="H320" s="26" t="s">
        <v>37</v>
      </c>
      <c r="I320" s="161">
        <v>44204</v>
      </c>
      <c r="J320" s="35">
        <v>8935</v>
      </c>
      <c r="K320" s="21">
        <v>139700</v>
      </c>
      <c r="L320" s="21"/>
      <c r="M320" s="22">
        <f>(PROVEEDORES[[#This Row],[SUBTOTAL]]-PROVEEDORES[[#This Row],[descuento sobre subtotal]])*VLOOKUP(PROVEEDORES[[#This Row],[PROVEEDOR]],TERCEROS_INFO[#All],3,FALSE)</f>
        <v>26543</v>
      </c>
      <c r="N320" s="23"/>
      <c r="O320" s="22">
        <f>+PROVEEDORES[[#This Row],[Descuento sobre subtotal %]]*(PROVEEDORES[[#This Row],[SUBTOTAL]]-PROVEEDORES[[#This Row],[descuento sobre subtotal]])</f>
        <v>0</v>
      </c>
      <c r="P320" s="83">
        <f>+IF(PROVEEDORES[[#This Row],[SUBTOTAL]]&lt;PROVEEDORES[[#This Row],[base retencion]],0,PROVEEDORES[[#This Row],[retención aplicada]])</f>
        <v>0</v>
      </c>
      <c r="Q320" s="22">
        <f>+PROVEEDORES[[#This Row],[Rete Fuente %]]*(PROVEEDORES[[#This Row],[SUBTOTAL]]-PROVEEDORES[[#This Row],[descuento sobre subtotal]])</f>
        <v>0</v>
      </c>
      <c r="R320" s="21">
        <f>+PROVEEDORES[[#This Row],[SUBTOTAL]]+PROVEEDORES[[#This Row],[IVA 19%]]-PROVEEDORES[[#This Row],[descuento sobre subtotal]]-PROVEEDORES[[#This Row],[Descuento sobre subtotal $2]]-PROVEEDORES[[#This Row],[Rete Fuente $]]</f>
        <v>166243</v>
      </c>
      <c r="S3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68">
        <f ca="1">IF(PROVEEDORES[[#This Row],[FECHA DE PAGO]]=0,TODAY()-PROVEEDORES[[#This Row],[FECHA DE FACTURACIÓN]]-PROVEEDORES[[#This Row],[PLAZO Días]],0)</f>
        <v>0</v>
      </c>
      <c r="U320" s="96" t="str">
        <f>+VLOOKUP(PROVEEDORES[[#This Row],[PROVEEDOR]],Terceros!$A:$D,4,FALSE)</f>
        <v>2,5% con base</v>
      </c>
      <c r="V320" s="97">
        <f>+YEAR(PROVEEDORES[[#This Row],[FECHA DE FACTURACIÓN]])</f>
        <v>2021</v>
      </c>
      <c r="W320" s="97">
        <f>+MATCH(PROVEEDORES[[#This Row],[año facturado]],Retenciones!$1:$1,0)</f>
        <v>4</v>
      </c>
      <c r="X320" s="98">
        <f>+VLOOKUP(PROVEEDORES[[#This Row],[ID RETENCION]],Retenciones!$A$1:$O$25,PROVEEDORES[[#This Row],[indicador de columna]],FALSE)</f>
        <v>980000</v>
      </c>
      <c r="Y320" s="99">
        <f>+VLOOKUP(PROVEEDORES[[#This Row],[ID RETENCION]],Retenciones!$A$1:$O$25,2,FALSE)</f>
        <v>2.5000000000000001E-2</v>
      </c>
      <c r="Z320" s="125" t="b">
        <f>OR(COUNTIF(PROVEEDORES[[#This Row],[PROVEEDOR]],"*"&amp;'Palabra no opera'!$A$2&amp;"*"))</f>
        <v>0</v>
      </c>
      <c r="AA320" s="24"/>
      <c r="AB320" s="24"/>
      <c r="AC320" s="24"/>
      <c r="AD320" s="24"/>
      <c r="AE320" s="24"/>
    </row>
    <row r="321" spans="1:31" ht="22.2" customHeight="1" x14ac:dyDescent="0.3">
      <c r="A321" s="66" t="str">
        <f>+IF(PROVEEDORES[[#This Row],[FECHA DE PAGO]]=PROVEEDORES[[#This Row],[FECHA DE FACTURACIÓN]],"DE CONTADO","CRÉDITO")</f>
        <v>CRÉDITO</v>
      </c>
      <c r="B321" s="38" t="str">
        <f>+IF((PROVEEDORES[[#This Row],[FECHA DE PAGO]]-PROVEEDORES[[#This Row],[FECHA DE FACTURACIÓN]])&gt;PROVEEDORES[[#This Row],[PLAZO Días]],"PAGO VENCIDO")</f>
        <v>PAGO VENCIDO</v>
      </c>
      <c r="C321" s="20">
        <f>+VLOOKUP(PROVEEDORES[[#This Row],[PROVEEDOR]],TERCEROS_INFO[#All],2,FALSE)</f>
        <v>30</v>
      </c>
      <c r="D321" s="25">
        <f>+SUMIFS(PROVEEDORES[Total],PROVEEDORES[PROVEEDOR],PROVEEDORES[[#This Row],[PROVEEDOR]],PROVEEDORES[FECHA DE PAGO],"")</f>
        <v>0</v>
      </c>
      <c r="E321" s="25"/>
      <c r="F321" s="58" t="str">
        <f>+VLOOKUP(PROVEEDORES[[#This Row],[PROVEEDOR]],
                       Terceros!$A:$F,
                       5,
                       FALSE)</f>
        <v/>
      </c>
      <c r="G321" s="161">
        <v>44557</v>
      </c>
      <c r="H321" s="26" t="s">
        <v>624</v>
      </c>
      <c r="I321" s="161">
        <v>44498</v>
      </c>
      <c r="J321" s="35" t="s">
        <v>1513</v>
      </c>
      <c r="K321" s="21">
        <v>168000</v>
      </c>
      <c r="L321" s="21"/>
      <c r="M321" s="22">
        <f>(PROVEEDORES[[#This Row],[SUBTOTAL]]-PROVEEDORES[[#This Row],[descuento sobre subtotal]])*VLOOKUP(PROVEEDORES[[#This Row],[PROVEEDOR]],TERCEROS_INFO[#All],3,FALSE)</f>
        <v>0</v>
      </c>
      <c r="N321" s="23"/>
      <c r="O321" s="22">
        <f>+PROVEEDORES[[#This Row],[Descuento sobre subtotal %]]*(PROVEEDORES[[#This Row],[SUBTOTAL]]-PROVEEDORES[[#This Row],[descuento sobre subtotal]])</f>
        <v>0</v>
      </c>
      <c r="P321" s="83">
        <f>+IF(PROVEEDORES[[#This Row],[SUBTOTAL]]&lt;PROVEEDORES[[#This Row],[base retencion]],0,PROVEEDORES[[#This Row],[retención aplicada]])</f>
        <v>0</v>
      </c>
      <c r="Q321" s="22">
        <f>+PROVEEDORES[[#This Row],[Rete Fuente %]]*(PROVEEDORES[[#This Row],[SUBTOTAL]]-PROVEEDORES[[#This Row],[descuento sobre subtotal]])</f>
        <v>0</v>
      </c>
      <c r="R321" s="21">
        <f>+PROVEEDORES[[#This Row],[SUBTOTAL]]+PROVEEDORES[[#This Row],[IVA 19%]]-PROVEEDORES[[#This Row],[descuento sobre subtotal]]-PROVEEDORES[[#This Row],[Descuento sobre subtotal $2]]-PROVEEDORES[[#This Row],[Rete Fuente $]]</f>
        <v>168000</v>
      </c>
      <c r="S3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68">
        <f ca="1">IF(PROVEEDORES[[#This Row],[FECHA DE PAGO]]=0,TODAY()-PROVEEDORES[[#This Row],[FECHA DE FACTURACIÓN]]-PROVEEDORES[[#This Row],[PLAZO Días]],0)</f>
        <v>0</v>
      </c>
      <c r="U321" s="96">
        <f>+VLOOKUP(PROVEEDORES[[#This Row],[PROVEEDOR]],Terceros!$A:$D,4,FALSE)</f>
        <v>0</v>
      </c>
      <c r="V321" s="97">
        <f>+YEAR(PROVEEDORES[[#This Row],[FECHA DE FACTURACIÓN]])</f>
        <v>2021</v>
      </c>
      <c r="W321" s="97">
        <f>+MATCH(PROVEEDORES[[#This Row],[año facturado]],Retenciones!$1:$1,0)</f>
        <v>4</v>
      </c>
      <c r="X321" s="98">
        <f>+VLOOKUP(PROVEEDORES[[#This Row],[ID RETENCION]],Retenciones!$A$1:$O$25,PROVEEDORES[[#This Row],[indicador de columna]],FALSE)</f>
        <v>0</v>
      </c>
      <c r="Y321" s="99">
        <f>+VLOOKUP(PROVEEDORES[[#This Row],[ID RETENCION]],Retenciones!$A$1:$O$25,2,FALSE)</f>
        <v>0</v>
      </c>
      <c r="Z321" s="125" t="b">
        <f>OR(COUNTIF(PROVEEDORES[[#This Row],[PROVEEDOR]],"*"&amp;'Palabra no opera'!$A$2&amp;"*"))</f>
        <v>0</v>
      </c>
      <c r="AA321" s="24"/>
      <c r="AB321" s="24"/>
      <c r="AC321" s="24"/>
      <c r="AD321" s="24"/>
      <c r="AE321" s="24"/>
    </row>
    <row r="322" spans="1:31" ht="22.2" customHeight="1" x14ac:dyDescent="0.3">
      <c r="A322" s="66" t="str">
        <f>+IF(PROVEEDORES[[#This Row],[FECHA DE PAGO]]=PROVEEDORES[[#This Row],[FECHA DE FACTURACIÓN]],"DE CONTADO","CRÉDITO")</f>
        <v>CRÉDITO</v>
      </c>
      <c r="B322" s="38" t="str">
        <f>+IF((PROVEEDORES[[#This Row],[FECHA DE PAGO]]-PROVEEDORES[[#This Row],[FECHA DE FACTURACIÓN]])&gt;PROVEEDORES[[#This Row],[PLAZO Días]],"PAGO VENCIDO")</f>
        <v>PAGO VENCIDO</v>
      </c>
      <c r="C322" s="20">
        <f>+VLOOKUP(PROVEEDORES[[#This Row],[PROVEEDOR]],TERCEROS_INFO[#All],2,FALSE)</f>
        <v>30</v>
      </c>
      <c r="D322" s="25">
        <f>+SUMIFS(PROVEEDORES[Total],PROVEEDORES[PROVEEDOR],PROVEEDORES[[#This Row],[PROVEEDOR]],PROVEEDORES[FECHA DE PAGO],"")</f>
        <v>-101001.25</v>
      </c>
      <c r="E322" s="25"/>
      <c r="F322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22" s="161">
        <v>44426</v>
      </c>
      <c r="H322" s="26" t="s">
        <v>14</v>
      </c>
      <c r="I322" s="161">
        <v>44392</v>
      </c>
      <c r="J322" s="35" t="s">
        <v>384</v>
      </c>
      <c r="K322" s="21">
        <v>142856</v>
      </c>
      <c r="L322" s="21"/>
      <c r="M322" s="22">
        <f>(PROVEEDORES[[#This Row],[SUBTOTAL]]-PROVEEDORES[[#This Row],[descuento sobre subtotal]])*VLOOKUP(PROVEEDORES[[#This Row],[PROVEEDOR]],TERCEROS_INFO[#All],3,FALSE)</f>
        <v>27142.639999999999</v>
      </c>
      <c r="N322" s="23"/>
      <c r="O322" s="22">
        <f>+PROVEEDORES[[#This Row],[Descuento sobre subtotal %]]*(PROVEEDORES[[#This Row],[SUBTOTAL]]-PROVEEDORES[[#This Row],[descuento sobre subtotal]])</f>
        <v>0</v>
      </c>
      <c r="P322" s="83">
        <f>+IF(PROVEEDORES[[#This Row],[SUBTOTAL]]&lt;PROVEEDORES[[#This Row],[base retencion]],0,PROVEEDORES[[#This Row],[retención aplicada]])</f>
        <v>0</v>
      </c>
      <c r="Q322" s="22">
        <f>+PROVEEDORES[[#This Row],[Rete Fuente %]]*(PROVEEDORES[[#This Row],[SUBTOTAL]]-PROVEEDORES[[#This Row],[descuento sobre subtotal]])</f>
        <v>0</v>
      </c>
      <c r="R322" s="21">
        <f>+PROVEEDORES[[#This Row],[SUBTOTAL]]+PROVEEDORES[[#This Row],[IVA 19%]]-PROVEEDORES[[#This Row],[descuento sobre subtotal]]-PROVEEDORES[[#This Row],[Descuento sobre subtotal $2]]-PROVEEDORES[[#This Row],[Rete Fuente $]]</f>
        <v>169998.64</v>
      </c>
      <c r="S3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68">
        <f ca="1">IF(PROVEEDORES[[#This Row],[FECHA DE PAGO]]=0,TODAY()-PROVEEDORES[[#This Row],[FECHA DE FACTURACIÓN]]-PROVEEDORES[[#This Row],[PLAZO Días]],0)</f>
        <v>0</v>
      </c>
      <c r="U322" s="96" t="str">
        <f>+VLOOKUP(PROVEEDORES[[#This Row],[PROVEEDOR]],Terceros!$A:$D,4,FALSE)</f>
        <v>2,5% con base</v>
      </c>
      <c r="V322" s="97">
        <f>+YEAR(PROVEEDORES[[#This Row],[FECHA DE FACTURACIÓN]])</f>
        <v>2021</v>
      </c>
      <c r="W322" s="97">
        <f>+MATCH(PROVEEDORES[[#This Row],[año facturado]],Retenciones!$1:$1,0)</f>
        <v>4</v>
      </c>
      <c r="X322" s="98">
        <f>+VLOOKUP(PROVEEDORES[[#This Row],[ID RETENCION]],Retenciones!$A$1:$O$25,PROVEEDORES[[#This Row],[indicador de columna]],FALSE)</f>
        <v>980000</v>
      </c>
      <c r="Y322" s="99">
        <f>+VLOOKUP(PROVEEDORES[[#This Row],[ID RETENCION]],Retenciones!$A$1:$O$25,2,FALSE)</f>
        <v>2.5000000000000001E-2</v>
      </c>
      <c r="Z322" s="125" t="b">
        <f>OR(COUNTIF(PROVEEDORES[[#This Row],[PROVEEDOR]],"*"&amp;'Palabra no opera'!$A$2&amp;"*"))</f>
        <v>0</v>
      </c>
      <c r="AA322" s="24"/>
      <c r="AB322" s="24"/>
      <c r="AC322" s="24"/>
      <c r="AD322" s="24"/>
      <c r="AE322" s="24"/>
    </row>
    <row r="323" spans="1:31" ht="22.2" customHeight="1" x14ac:dyDescent="0.3">
      <c r="A323" s="135" t="str">
        <f>+IF(PROVEEDORES[[#This Row],[FECHA DE PAGO]]=PROVEEDORES[[#This Row],[FECHA DE FACTURACIÓN]],"DE CONTADO","CRÉDITO")</f>
        <v>CRÉDITO</v>
      </c>
      <c r="B323" s="38" t="b">
        <f>+IF((PROVEEDORES[[#This Row],[FECHA DE PAGO]]-PROVEEDORES[[#This Row],[FECHA DE FACTURACIÓN]])&gt;PROVEEDORES[[#This Row],[PLAZO Días]],"PAGO VENCIDO")</f>
        <v>0</v>
      </c>
      <c r="C323" s="20">
        <f>+VLOOKUP(PROVEEDORES[[#This Row],[PROVEEDOR]],TERCEROS_INFO[#All],2,FALSE)</f>
        <v>30</v>
      </c>
      <c r="D323" s="25">
        <f>+SUMIFS(PROVEEDORES[Total],PROVEEDORES[PROVEEDOR],PROVEEDORES[[#This Row],[PROVEEDOR]],PROVEEDORES[FECHA DE PAGO],"")</f>
        <v>1468491.82</v>
      </c>
      <c r="E323" s="25"/>
      <c r="F32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23" s="161">
        <v>44713</v>
      </c>
      <c r="H323" s="26" t="s">
        <v>1638</v>
      </c>
      <c r="I323" s="161">
        <v>44691</v>
      </c>
      <c r="J323" s="35" t="s">
        <v>952</v>
      </c>
      <c r="K323" s="21">
        <v>142857.5</v>
      </c>
      <c r="L323" s="21"/>
      <c r="M323" s="22">
        <f>(PROVEEDORES[[#This Row],[SUBTOTAL]]-PROVEEDORES[[#This Row],[descuento sobre subtotal]])*VLOOKUP(PROVEEDORES[[#This Row],[PROVEEDOR]],TERCEROS_INFO[#All],3,FALSE)</f>
        <v>27142.924999999999</v>
      </c>
      <c r="N323" s="23"/>
      <c r="O323" s="22">
        <f>+PROVEEDORES[[#This Row],[Descuento sobre subtotal %]]*(PROVEEDORES[[#This Row],[SUBTOTAL]]-PROVEEDORES[[#This Row],[descuento sobre subtotal]])</f>
        <v>0</v>
      </c>
      <c r="P323" s="83">
        <f>+IF(PROVEEDORES[[#This Row],[SUBTOTAL]]&lt;PROVEEDORES[[#This Row],[base retencion]],0,PROVEEDORES[[#This Row],[retención aplicada]])</f>
        <v>0</v>
      </c>
      <c r="Q323" s="22">
        <f>+PROVEEDORES[[#This Row],[Rete Fuente %]]*(PROVEEDORES[[#This Row],[SUBTOTAL]]-PROVEEDORES[[#This Row],[descuento sobre subtotal]])</f>
        <v>0</v>
      </c>
      <c r="R323" s="21">
        <f>+PROVEEDORES[[#This Row],[SUBTOTAL]]+PROVEEDORES[[#This Row],[IVA 19%]]-PROVEEDORES[[#This Row],[descuento sobre subtotal]]-PROVEEDORES[[#This Row],[Descuento sobre subtotal $2]]-PROVEEDORES[[#This Row],[Rete Fuente $]]</f>
        <v>170000.42499999999</v>
      </c>
      <c r="S323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68">
        <f ca="1">IF(PROVEEDORES[[#This Row],[FECHA DE PAGO]]=0,TODAY()-PROVEEDORES[[#This Row],[FECHA DE FACTURACIÓN]]-PROVEEDORES[[#This Row],[PLAZO Días]],0)</f>
        <v>0</v>
      </c>
      <c r="U323" s="113" t="str">
        <f>+VLOOKUP(PROVEEDORES[[#This Row],[PROVEEDOR]],Terceros!$A:$D,4,FALSE)</f>
        <v>2,5% con base</v>
      </c>
      <c r="V323" s="114">
        <f>+YEAR(PROVEEDORES[[#This Row],[FECHA DE FACTURACIÓN]])</f>
        <v>2022</v>
      </c>
      <c r="W323" s="114">
        <f>+MATCH(PROVEEDORES[[#This Row],[año facturado]],Retenciones!$1:$1,0)</f>
        <v>5</v>
      </c>
      <c r="X323" s="115">
        <f>+VLOOKUP(PROVEEDORES[[#This Row],[ID RETENCION]],Retenciones!$A$1:$O$25,PROVEEDORES[[#This Row],[indicador de columna]],FALSE)</f>
        <v>1026000</v>
      </c>
      <c r="Y323" s="116">
        <f>+VLOOKUP(PROVEEDORES[[#This Row],[ID RETENCION]],Retenciones!$A$1:$O$25,2,FALSE)</f>
        <v>2.5000000000000001E-2</v>
      </c>
      <c r="Z323" s="125" t="b">
        <f>OR(COUNTIF(PROVEEDORES[[#This Row],[PROVEEDOR]],"*"&amp;'Palabra no opera'!$A$2&amp;"*"))</f>
        <v>0</v>
      </c>
      <c r="AA323" s="24"/>
      <c r="AB323" s="24"/>
      <c r="AC323" s="24"/>
      <c r="AD323" s="24"/>
      <c r="AE323" s="24"/>
    </row>
    <row r="324" spans="1:31" ht="22.2" customHeight="1" x14ac:dyDescent="0.3">
      <c r="A324" s="66" t="str">
        <f>+IF(PROVEEDORES[[#This Row],[FECHA DE PAGO]]=PROVEEDORES[[#This Row],[FECHA DE FACTURACIÓN]],"DE CONTADO","CRÉDITO")</f>
        <v>DE CONTADO</v>
      </c>
      <c r="B324" s="38" t="b">
        <f>+IF((PROVEEDORES[[#This Row],[FECHA DE PAGO]]-PROVEEDORES[[#This Row],[FECHA DE FACTURACIÓN]])&gt;PROVEEDORES[[#This Row],[PLAZO Días]],"PAGO VENCIDO")</f>
        <v>0</v>
      </c>
      <c r="C324" s="20">
        <f>+VLOOKUP(PROVEEDORES[[#This Row],[PROVEEDOR]],TERCEROS_INFO[#All],2,FALSE)</f>
        <v>30</v>
      </c>
      <c r="D324" s="25">
        <f>+SUMIFS(PROVEEDORES[Total],PROVEEDORES[PROVEEDOR],PROVEEDORES[[#This Row],[PROVEEDOR]],PROVEEDORES[FECHA DE PAGO],"")</f>
        <v>0</v>
      </c>
      <c r="E324" s="25"/>
      <c r="F324" s="58" t="str">
        <f>+VLOOKUP(PROVEEDORES[[#This Row],[PROVEEDOR]],
                       Terceros!$A:$F,
                       5,
                       FALSE)</f>
        <v/>
      </c>
      <c r="G324" s="161">
        <v>44557</v>
      </c>
      <c r="H324" s="26" t="s">
        <v>37</v>
      </c>
      <c r="I324" s="161">
        <v>44557</v>
      </c>
      <c r="J324" s="35" t="s">
        <v>573</v>
      </c>
      <c r="K324" s="21">
        <v>143500</v>
      </c>
      <c r="L324" s="21"/>
      <c r="M324" s="22">
        <f>(PROVEEDORES[[#This Row],[SUBTOTAL]]-PROVEEDORES[[#This Row],[descuento sobre subtotal]])*VLOOKUP(PROVEEDORES[[#This Row],[PROVEEDOR]],TERCEROS_INFO[#All],3,FALSE)</f>
        <v>27265</v>
      </c>
      <c r="N324" s="23"/>
      <c r="O324" s="22">
        <f>+PROVEEDORES[[#This Row],[Descuento sobre subtotal %]]*(PROVEEDORES[[#This Row],[SUBTOTAL]]-PROVEEDORES[[#This Row],[descuento sobre subtotal]])</f>
        <v>0</v>
      </c>
      <c r="P324" s="83">
        <f>+IF(PROVEEDORES[[#This Row],[SUBTOTAL]]&lt;PROVEEDORES[[#This Row],[base retencion]],0,PROVEEDORES[[#This Row],[retención aplicada]])</f>
        <v>0</v>
      </c>
      <c r="Q324" s="22">
        <f>+PROVEEDORES[[#This Row],[Rete Fuente %]]*(PROVEEDORES[[#This Row],[SUBTOTAL]]-PROVEEDORES[[#This Row],[descuento sobre subtotal]])</f>
        <v>0</v>
      </c>
      <c r="R324" s="21">
        <f>+PROVEEDORES[[#This Row],[SUBTOTAL]]+PROVEEDORES[[#This Row],[IVA 19%]]-PROVEEDORES[[#This Row],[descuento sobre subtotal]]-PROVEEDORES[[#This Row],[Descuento sobre subtotal $2]]-PROVEEDORES[[#This Row],[Rete Fuente $]]</f>
        <v>170765</v>
      </c>
      <c r="S3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68">
        <f ca="1">IF(PROVEEDORES[[#This Row],[FECHA DE PAGO]]=0,TODAY()-PROVEEDORES[[#This Row],[FECHA DE FACTURACIÓN]]-PROVEEDORES[[#This Row],[PLAZO Días]],0)</f>
        <v>0</v>
      </c>
      <c r="U324" s="96" t="str">
        <f>+VLOOKUP(PROVEEDORES[[#This Row],[PROVEEDOR]],Terceros!$A:$D,4,FALSE)</f>
        <v>2,5% con base</v>
      </c>
      <c r="V324" s="97">
        <f>+YEAR(PROVEEDORES[[#This Row],[FECHA DE FACTURACIÓN]])</f>
        <v>2021</v>
      </c>
      <c r="W324" s="97">
        <f>+MATCH(PROVEEDORES[[#This Row],[año facturado]],Retenciones!$1:$1,0)</f>
        <v>4</v>
      </c>
      <c r="X324" s="98">
        <f>+VLOOKUP(PROVEEDORES[[#This Row],[ID RETENCION]],Retenciones!$A$1:$O$25,PROVEEDORES[[#This Row],[indicador de columna]],FALSE)</f>
        <v>980000</v>
      </c>
      <c r="Y324" s="99">
        <f>+VLOOKUP(PROVEEDORES[[#This Row],[ID RETENCION]],Retenciones!$A$1:$O$25,2,FALSE)</f>
        <v>2.5000000000000001E-2</v>
      </c>
      <c r="Z324" s="125" t="b">
        <f>OR(COUNTIF(PROVEEDORES[[#This Row],[PROVEEDOR]],"*"&amp;'Palabra no opera'!$A$2&amp;"*"))</f>
        <v>0</v>
      </c>
      <c r="AA324" s="24"/>
      <c r="AB324" s="24"/>
      <c r="AC324" s="24"/>
      <c r="AD324" s="24"/>
      <c r="AE324" s="24"/>
    </row>
    <row r="325" spans="1:31" ht="22.2" customHeight="1" x14ac:dyDescent="0.3">
      <c r="A325" s="66" t="str">
        <f>+IF(PROVEEDORES[[#This Row],[FECHA DE PAGO]]=PROVEEDORES[[#This Row],[FECHA DE FACTURACIÓN]],"DE CONTADO","CRÉDITO")</f>
        <v>DE CONTADO</v>
      </c>
      <c r="B325" s="38" t="b">
        <f>+IF((PROVEEDORES[[#This Row],[FECHA DE PAGO]]-PROVEEDORES[[#This Row],[FECHA DE FACTURACIÓN]])&gt;PROVEEDORES[[#This Row],[PLAZO Días]],"PAGO VENCIDO")</f>
        <v>0</v>
      </c>
      <c r="C325" s="20">
        <f>+VLOOKUP(PROVEEDORES[[#This Row],[PROVEEDOR]],TERCEROS_INFO[#All],2,FALSE)</f>
        <v>30</v>
      </c>
      <c r="D325" s="25">
        <f>+SUMIFS(PROVEEDORES[Total],PROVEEDORES[PROVEEDOR],PROVEEDORES[[#This Row],[PROVEEDOR]],PROVEEDORES[FECHA DE PAGO],"")</f>
        <v>0</v>
      </c>
      <c r="E325" s="25"/>
      <c r="F325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325" s="161">
        <v>44222</v>
      </c>
      <c r="H325" s="26" t="s">
        <v>137</v>
      </c>
      <c r="I325" s="161">
        <v>44222</v>
      </c>
      <c r="J325" s="35">
        <v>9721</v>
      </c>
      <c r="K325" s="21">
        <v>172800</v>
      </c>
      <c r="L325" s="21"/>
      <c r="M325" s="22">
        <f>(PROVEEDORES[[#This Row],[SUBTOTAL]]-PROVEEDORES[[#This Row],[descuento sobre subtotal]])*VLOOKUP(PROVEEDORES[[#This Row],[PROVEEDOR]],TERCEROS_INFO[#All],3,FALSE)</f>
        <v>0</v>
      </c>
      <c r="N325" s="23"/>
      <c r="O325" s="22">
        <f>+PROVEEDORES[[#This Row],[Descuento sobre subtotal %]]*(PROVEEDORES[[#This Row],[SUBTOTAL]]-PROVEEDORES[[#This Row],[descuento sobre subtotal]])</f>
        <v>0</v>
      </c>
      <c r="P325" s="83">
        <f>+IF(PROVEEDORES[[#This Row],[SUBTOTAL]]&lt;PROVEEDORES[[#This Row],[base retencion]],0,PROVEEDORES[[#This Row],[retención aplicada]])</f>
        <v>0</v>
      </c>
      <c r="Q325" s="22">
        <f>+PROVEEDORES[[#This Row],[Rete Fuente %]]*(PROVEEDORES[[#This Row],[SUBTOTAL]]-PROVEEDORES[[#This Row],[descuento sobre subtotal]])</f>
        <v>0</v>
      </c>
      <c r="R325" s="21">
        <f>+PROVEEDORES[[#This Row],[SUBTOTAL]]+PROVEEDORES[[#This Row],[IVA 19%]]-PROVEEDORES[[#This Row],[descuento sobre subtotal]]-PROVEEDORES[[#This Row],[Descuento sobre subtotal $2]]-PROVEEDORES[[#This Row],[Rete Fuente $]]</f>
        <v>172800</v>
      </c>
      <c r="S3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68">
        <f ca="1">IF(PROVEEDORES[[#This Row],[FECHA DE PAGO]]=0,TODAY()-PROVEEDORES[[#This Row],[FECHA DE FACTURACIÓN]]-PROVEEDORES[[#This Row],[PLAZO Días]],0)</f>
        <v>0</v>
      </c>
      <c r="U325" s="96">
        <f>+VLOOKUP(PROVEEDORES[[#This Row],[PROVEEDOR]],Terceros!$A:$D,4,FALSE)</f>
        <v>0</v>
      </c>
      <c r="V325" s="97">
        <f>+YEAR(PROVEEDORES[[#This Row],[FECHA DE FACTURACIÓN]])</f>
        <v>2021</v>
      </c>
      <c r="W325" s="97">
        <f>+MATCH(PROVEEDORES[[#This Row],[año facturado]],Retenciones!$1:$1,0)</f>
        <v>4</v>
      </c>
      <c r="X325" s="98">
        <f>+VLOOKUP(PROVEEDORES[[#This Row],[ID RETENCION]],Retenciones!$A$1:$O$25,PROVEEDORES[[#This Row],[indicador de columna]],FALSE)</f>
        <v>0</v>
      </c>
      <c r="Y325" s="99">
        <f>+VLOOKUP(PROVEEDORES[[#This Row],[ID RETENCION]],Retenciones!$A$1:$O$25,2,FALSE)</f>
        <v>0</v>
      </c>
      <c r="Z325" s="125" t="b">
        <f>OR(COUNTIF(PROVEEDORES[[#This Row],[PROVEEDOR]],"*"&amp;'Palabra no opera'!$A$2&amp;"*"))</f>
        <v>0</v>
      </c>
      <c r="AA325" s="24"/>
      <c r="AB325" s="24"/>
      <c r="AC325" s="24"/>
      <c r="AD325" s="24"/>
      <c r="AE325" s="24"/>
    </row>
    <row r="326" spans="1:31" ht="22.2" customHeight="1" x14ac:dyDescent="0.3">
      <c r="A326" s="185" t="str">
        <f>+IF(PROVEEDORES[[#This Row],[FECHA DE PAGO]]=PROVEEDORES[[#This Row],[FECHA DE FACTURACIÓN]],"DE CONTADO","CRÉDITO")</f>
        <v>CRÉDITO</v>
      </c>
      <c r="B326" s="38" t="str">
        <f>+IF((PROVEEDORES[[#This Row],[FECHA DE PAGO]]-PROVEEDORES[[#This Row],[FECHA DE FACTURACIÓN]])&gt;PROVEEDORES[[#This Row],[PLAZO Días]],"PAGO VENCIDO")</f>
        <v>PAGO VENCIDO</v>
      </c>
      <c r="C326" s="20">
        <f>+VLOOKUP(PROVEEDORES[[#This Row],[PROVEEDOR]],TERCEROS_INFO[#All],2,FALSE)</f>
        <v>60</v>
      </c>
      <c r="D326" s="25">
        <f>+SUMIFS(PROVEEDORES[Total],PROVEEDORES[PROVEEDOR],PROVEEDORES[[#This Row],[PROVEEDOR]],PROVEEDORES[FECHA DE PAGO],"")</f>
        <v>1520362</v>
      </c>
      <c r="E326" s="25"/>
      <c r="F32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26" s="161">
        <v>44761</v>
      </c>
      <c r="H326" s="26" t="s">
        <v>528</v>
      </c>
      <c r="I326" s="161">
        <v>44676</v>
      </c>
      <c r="J326" s="35" t="s">
        <v>893</v>
      </c>
      <c r="K326" s="21">
        <v>173460</v>
      </c>
      <c r="L326" s="21"/>
      <c r="M326" s="22">
        <f>(PROVEEDORES[[#This Row],[SUBTOTAL]]-PROVEEDORES[[#This Row],[descuento sobre subtotal]])*VLOOKUP(PROVEEDORES[[#This Row],[PROVEEDOR]],TERCEROS_INFO[#All],3,FALSE)</f>
        <v>0</v>
      </c>
      <c r="N326" s="23"/>
      <c r="O326" s="22">
        <f>+PROVEEDORES[[#This Row],[Descuento sobre subtotal %]]*(PROVEEDORES[[#This Row],[SUBTOTAL]]-PROVEEDORES[[#This Row],[descuento sobre subtotal]])</f>
        <v>0</v>
      </c>
      <c r="P326" s="83">
        <f>+IF(PROVEEDORES[[#This Row],[SUBTOTAL]]&lt;PROVEEDORES[[#This Row],[base retencion]],0,PROVEEDORES[[#This Row],[retención aplicada]])</f>
        <v>0</v>
      </c>
      <c r="Q326" s="22">
        <f>+PROVEEDORES[[#This Row],[Rete Fuente %]]*(PROVEEDORES[[#This Row],[SUBTOTAL]]-PROVEEDORES[[#This Row],[descuento sobre subtotal]])</f>
        <v>0</v>
      </c>
      <c r="R326" s="21">
        <f>+PROVEEDORES[[#This Row],[SUBTOTAL]]+PROVEEDORES[[#This Row],[IVA 19%]]-PROVEEDORES[[#This Row],[descuento sobre subtotal]]-PROVEEDORES[[#This Row],[Descuento sobre subtotal $2]]-PROVEEDORES[[#This Row],[Rete Fuente $]]</f>
        <v>173460</v>
      </c>
      <c r="S326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68">
        <f ca="1">IF(PROVEEDORES[[#This Row],[FECHA DE PAGO]]=0,TODAY()-PROVEEDORES[[#This Row],[FECHA DE FACTURACIÓN]]-PROVEEDORES[[#This Row],[PLAZO Días]],0)</f>
        <v>0</v>
      </c>
      <c r="U326" s="113">
        <f>+VLOOKUP(PROVEEDORES[[#This Row],[PROVEEDOR]],Terceros!$A:$D,4,FALSE)</f>
        <v>0</v>
      </c>
      <c r="V326" s="114">
        <f>+YEAR(PROVEEDORES[[#This Row],[FECHA DE FACTURACIÓN]])</f>
        <v>2022</v>
      </c>
      <c r="W326" s="114">
        <f>+MATCH(PROVEEDORES[[#This Row],[año facturado]],Retenciones!$1:$1,0)</f>
        <v>5</v>
      </c>
      <c r="X326" s="115">
        <f>+VLOOKUP(PROVEEDORES[[#This Row],[ID RETENCION]],Retenciones!$A$1:$O$25,PROVEEDORES[[#This Row],[indicador de columna]],FALSE)</f>
        <v>0</v>
      </c>
      <c r="Y326" s="116">
        <f>+VLOOKUP(PROVEEDORES[[#This Row],[ID RETENCION]],Retenciones!$A$1:$O$25,2,FALSE)</f>
        <v>0</v>
      </c>
      <c r="Z326" s="125" t="b">
        <f>OR(COUNTIF(PROVEEDORES[[#This Row],[PROVEEDOR]],"*"&amp;'Palabra no opera'!$A$2&amp;"*"))</f>
        <v>0</v>
      </c>
      <c r="AA326" s="24"/>
      <c r="AB326" s="24"/>
      <c r="AC326" s="24"/>
      <c r="AD326" s="24"/>
      <c r="AE326" s="24"/>
    </row>
    <row r="327" spans="1:31" ht="22.2" customHeight="1" x14ac:dyDescent="0.3">
      <c r="A327" s="123" t="str">
        <f>+IF(PROVEEDORES[[#This Row],[FECHA DE PAGO]]=PROVEEDORES[[#This Row],[FECHA DE FACTURACIÓN]],"DE CONTADO","CRÉDITO")</f>
        <v>CRÉDITO</v>
      </c>
      <c r="B327" s="38" t="str">
        <f>+IF((PROVEEDORES[[#This Row],[FECHA DE PAGO]]-PROVEEDORES[[#This Row],[FECHA DE FACTURACIÓN]])&gt;PROVEEDORES[[#This Row],[PLAZO Días]],"PAGO VENCIDO")</f>
        <v>PAGO VENCIDO</v>
      </c>
      <c r="C327" s="20">
        <f>+VLOOKUP(PROVEEDORES[[#This Row],[PROVEEDOR]],TERCEROS_INFO[#All],2,FALSE)</f>
        <v>45</v>
      </c>
      <c r="D327" s="25">
        <f>+SUMIFS(PROVEEDORES[Total],PROVEEDORES[PROVEEDOR],PROVEEDORES[[#This Row],[PROVEEDOR]],PROVEEDORES[FECHA DE PAGO],"")</f>
        <v>31891814.359999999</v>
      </c>
      <c r="E327" s="25"/>
      <c r="F32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327" s="161">
        <v>44729</v>
      </c>
      <c r="H327" s="26" t="s">
        <v>19</v>
      </c>
      <c r="I327" s="161">
        <v>44679</v>
      </c>
      <c r="J327" s="35" t="s">
        <v>897</v>
      </c>
      <c r="K327" s="21">
        <v>146240</v>
      </c>
      <c r="L327" s="21"/>
      <c r="M327" s="22">
        <f>(PROVEEDORES[[#This Row],[SUBTOTAL]]-PROVEEDORES[[#This Row],[descuento sobre subtotal]])*VLOOKUP(PROVEEDORES[[#This Row],[PROVEEDOR]],TERCEROS_INFO[#All],3,FALSE)</f>
        <v>27785.599999999999</v>
      </c>
      <c r="N327" s="23"/>
      <c r="O327" s="22">
        <f>+PROVEEDORES[[#This Row],[Descuento sobre subtotal %]]*(PROVEEDORES[[#This Row],[SUBTOTAL]]-PROVEEDORES[[#This Row],[descuento sobre subtotal]])</f>
        <v>0</v>
      </c>
      <c r="P327" s="83">
        <f>+IF(PROVEEDORES[[#This Row],[SUBTOTAL]]&lt;PROVEEDORES[[#This Row],[base retencion]],0,PROVEEDORES[[#This Row],[retención aplicada]])</f>
        <v>0</v>
      </c>
      <c r="Q327" s="22">
        <f>+PROVEEDORES[[#This Row],[Rete Fuente %]]*(PROVEEDORES[[#This Row],[SUBTOTAL]]-PROVEEDORES[[#This Row],[descuento sobre subtotal]])</f>
        <v>0</v>
      </c>
      <c r="R327" s="21">
        <f>+PROVEEDORES[[#This Row],[SUBTOTAL]]+PROVEEDORES[[#This Row],[IVA 19%]]-PROVEEDORES[[#This Row],[descuento sobre subtotal]]-PROVEEDORES[[#This Row],[Descuento sobre subtotal $2]]-PROVEEDORES[[#This Row],[Rete Fuente $]]</f>
        <v>174025.60000000001</v>
      </c>
      <c r="S327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68">
        <f ca="1">IF(PROVEEDORES[[#This Row],[FECHA DE PAGO]]=0,TODAY()-PROVEEDORES[[#This Row],[FECHA DE FACTURACIÓN]]-PROVEEDORES[[#This Row],[PLAZO Días]],0)</f>
        <v>0</v>
      </c>
      <c r="U327" s="113">
        <f>+VLOOKUP(PROVEEDORES[[#This Row],[PROVEEDOR]],Terceros!$A:$D,4,FALSE)</f>
        <v>0</v>
      </c>
      <c r="V327" s="114">
        <f>+YEAR(PROVEEDORES[[#This Row],[FECHA DE FACTURACIÓN]])</f>
        <v>2022</v>
      </c>
      <c r="W327" s="114">
        <f>+MATCH(PROVEEDORES[[#This Row],[año facturado]],Retenciones!$1:$1,0)</f>
        <v>5</v>
      </c>
      <c r="X327" s="115">
        <f>+VLOOKUP(PROVEEDORES[[#This Row],[ID RETENCION]],Retenciones!$A$1:$O$25,PROVEEDORES[[#This Row],[indicador de columna]],FALSE)</f>
        <v>0</v>
      </c>
      <c r="Y327" s="116">
        <f>+VLOOKUP(PROVEEDORES[[#This Row],[ID RETENCION]],Retenciones!$A$1:$O$25,2,FALSE)</f>
        <v>0</v>
      </c>
      <c r="Z327" s="125" t="b">
        <f>OR(COUNTIF(PROVEEDORES[[#This Row],[PROVEEDOR]],"*"&amp;'Palabra no opera'!$A$2&amp;"*"))</f>
        <v>0</v>
      </c>
      <c r="AA327" s="24"/>
      <c r="AB327" s="24"/>
      <c r="AC327" s="24"/>
      <c r="AD327" s="24"/>
      <c r="AE327" s="24"/>
    </row>
    <row r="328" spans="1:31" ht="22.2" customHeight="1" x14ac:dyDescent="0.3">
      <c r="A328" s="66" t="str">
        <f>+IF(PROVEEDORES[[#This Row],[FECHA DE PAGO]]=PROVEEDORES[[#This Row],[FECHA DE FACTURACIÓN]],"DE CONTADO","CRÉDITO")</f>
        <v>DE CONTADO</v>
      </c>
      <c r="B328" s="38" t="b">
        <f>+IF((PROVEEDORES[[#This Row],[FECHA DE PAGO]]-PROVEEDORES[[#This Row],[FECHA DE FACTURACIÓN]])&gt;PROVEEDORES[[#This Row],[PLAZO Días]],"PAGO VENCIDO")</f>
        <v>0</v>
      </c>
      <c r="C328" s="20">
        <f>+VLOOKUP(PROVEEDORES[[#This Row],[PROVEEDOR]],TERCEROS_INFO[#All],2,FALSE)</f>
        <v>30</v>
      </c>
      <c r="D328" s="25">
        <f>+SUMIFS(PROVEEDORES[Total],PROVEEDORES[PROVEEDOR],PROVEEDORES[[#This Row],[PROVEEDOR]],PROVEEDORES[FECHA DE PAGO],"")</f>
        <v>0</v>
      </c>
      <c r="E328" s="25"/>
      <c r="F328" s="58">
        <f>+VLOOKUP(PROVEEDORES[[#This Row],[PROVEEDOR]],
                       Terceros!$A:$F,
                       5,
                       FALSE)</f>
        <v>0</v>
      </c>
      <c r="G328" s="161">
        <v>44449</v>
      </c>
      <c r="H328" s="26" t="s">
        <v>466</v>
      </c>
      <c r="I328" s="161">
        <v>44449</v>
      </c>
      <c r="J328" s="35">
        <v>301659</v>
      </c>
      <c r="K328" s="21">
        <v>146639</v>
      </c>
      <c r="L328" s="21"/>
      <c r="M328" s="22">
        <f>(PROVEEDORES[[#This Row],[SUBTOTAL]]-PROVEEDORES[[#This Row],[descuento sobre subtotal]])*VLOOKUP(PROVEEDORES[[#This Row],[PROVEEDOR]],TERCEROS_INFO[#All],3,FALSE)</f>
        <v>27861.41</v>
      </c>
      <c r="N328" s="23"/>
      <c r="O328" s="22">
        <f>+PROVEEDORES[[#This Row],[Descuento sobre subtotal %]]*(PROVEEDORES[[#This Row],[SUBTOTAL]]-PROVEEDORES[[#This Row],[descuento sobre subtotal]])</f>
        <v>0</v>
      </c>
      <c r="P328" s="83">
        <f>+IF(PROVEEDORES[[#This Row],[SUBTOTAL]]&lt;PROVEEDORES[[#This Row],[base retencion]],0,PROVEEDORES[[#This Row],[retención aplicada]])</f>
        <v>0</v>
      </c>
      <c r="Q328" s="22">
        <f>+PROVEEDORES[[#This Row],[Rete Fuente %]]*(PROVEEDORES[[#This Row],[SUBTOTAL]]-PROVEEDORES[[#This Row],[descuento sobre subtotal]])</f>
        <v>0</v>
      </c>
      <c r="R328" s="21">
        <f>+PROVEEDORES[[#This Row],[SUBTOTAL]]+PROVEEDORES[[#This Row],[IVA 19%]]-PROVEEDORES[[#This Row],[descuento sobre subtotal]]-PROVEEDORES[[#This Row],[Descuento sobre subtotal $2]]-PROVEEDORES[[#This Row],[Rete Fuente $]]</f>
        <v>174500.41</v>
      </c>
      <c r="S3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68">
        <f ca="1">IF(PROVEEDORES[[#This Row],[FECHA DE PAGO]]=0,TODAY()-PROVEEDORES[[#This Row],[FECHA DE FACTURACIÓN]]-PROVEEDORES[[#This Row],[PLAZO Días]],0)</f>
        <v>0</v>
      </c>
      <c r="U328" s="96">
        <f>+VLOOKUP(PROVEEDORES[[#This Row],[PROVEEDOR]],Terceros!$A:$D,4,FALSE)</f>
        <v>0</v>
      </c>
      <c r="V328" s="97">
        <f>+YEAR(PROVEEDORES[[#This Row],[FECHA DE FACTURACIÓN]])</f>
        <v>2021</v>
      </c>
      <c r="W328" s="97">
        <f>+MATCH(PROVEEDORES[[#This Row],[año facturado]],Retenciones!$1:$1,0)</f>
        <v>4</v>
      </c>
      <c r="X328" s="98">
        <f>+VLOOKUP(PROVEEDORES[[#This Row],[ID RETENCION]],Retenciones!$A$1:$O$25,PROVEEDORES[[#This Row],[indicador de columna]],FALSE)</f>
        <v>0</v>
      </c>
      <c r="Y328" s="99">
        <f>+VLOOKUP(PROVEEDORES[[#This Row],[ID RETENCION]],Retenciones!$A$1:$O$25,2,FALSE)</f>
        <v>0</v>
      </c>
      <c r="Z328" s="125" t="b">
        <f>OR(COUNTIF(PROVEEDORES[[#This Row],[PROVEEDOR]],"*"&amp;'Palabra no opera'!$A$2&amp;"*"))</f>
        <v>0</v>
      </c>
      <c r="AA328" s="24"/>
      <c r="AB328" s="24"/>
      <c r="AC328" s="24"/>
      <c r="AD328" s="24"/>
      <c r="AE328" s="24"/>
    </row>
    <row r="329" spans="1:31" ht="22.2" customHeight="1" x14ac:dyDescent="0.3">
      <c r="A329" s="269" t="str">
        <f>+IF(PROVEEDORES[[#This Row],[FECHA DE PAGO]]=PROVEEDORES[[#This Row],[FECHA DE FACTURACIÓN]],"DE CONTADO","CRÉDITO")</f>
        <v>DE CONTADO</v>
      </c>
      <c r="B329" s="38" t="b">
        <f>+IF((PROVEEDORES[[#This Row],[FECHA DE PAGO]]-PROVEEDORES[[#This Row],[FECHA DE FACTURACIÓN]])&gt;PROVEEDORES[[#This Row],[PLAZO Días]],"PAGO VENCIDO")</f>
        <v>0</v>
      </c>
      <c r="C329" s="20">
        <f>+VLOOKUP(PROVEEDORES[[#This Row],[PROVEEDOR]],TERCEROS_INFO[#All],2,FALSE)</f>
        <v>30</v>
      </c>
      <c r="D329" s="25">
        <f>+SUMIFS(PROVEEDORES[Total],PROVEEDORES[PROVEEDOR],PROVEEDORES[[#This Row],[PROVEEDOR]],PROVEEDORES[FECHA DE PAGO],"")</f>
        <v>0</v>
      </c>
      <c r="E329" s="25"/>
      <c r="F329" s="58" t="str">
        <f>+VLOOKUP(PROVEEDORES[[#This Row],[PROVEEDOR]],
                       Terceros!$A:$F,
                       5,
                       FALSE)</f>
        <v/>
      </c>
      <c r="G329" s="161">
        <v>44865</v>
      </c>
      <c r="H329" s="26" t="s">
        <v>644</v>
      </c>
      <c r="I329" s="161">
        <v>44865</v>
      </c>
      <c r="J329" s="35" t="s">
        <v>1751</v>
      </c>
      <c r="K329" s="21">
        <v>176000</v>
      </c>
      <c r="L329" s="21"/>
      <c r="M329" s="22">
        <f>(PROVEEDORES[[#This Row],[SUBTOTAL]]-PROVEEDORES[[#This Row],[descuento sobre subtotal]])*VLOOKUP(PROVEEDORES[[#This Row],[PROVEEDOR]],TERCEROS_INFO[#All],3,FALSE)</f>
        <v>0</v>
      </c>
      <c r="N329" s="23"/>
      <c r="O329" s="22">
        <f>+PROVEEDORES[[#This Row],[Descuento sobre subtotal %]]*(PROVEEDORES[[#This Row],[SUBTOTAL]]-PROVEEDORES[[#This Row],[descuento sobre subtotal]])</f>
        <v>0</v>
      </c>
      <c r="P329" s="83">
        <f>+IF(PROVEEDORES[[#This Row],[SUBTOTAL]]&lt;PROVEEDORES[[#This Row],[base retencion]],0,PROVEEDORES[[#This Row],[retención aplicada]])</f>
        <v>0</v>
      </c>
      <c r="Q329" s="22">
        <f>+PROVEEDORES[[#This Row],[Rete Fuente %]]*(PROVEEDORES[[#This Row],[SUBTOTAL]]-PROVEEDORES[[#This Row],[descuento sobre subtotal]])</f>
        <v>0</v>
      </c>
      <c r="R329" s="21">
        <f>+PROVEEDORES[[#This Row],[SUBTOTAL]]+PROVEEDORES[[#This Row],[IVA 19%]]-PROVEEDORES[[#This Row],[descuento sobre subtotal]]-PROVEEDORES[[#This Row],[Descuento sobre subtotal $2]]-PROVEEDORES[[#This Row],[Rete Fuente $]]</f>
        <v>176000</v>
      </c>
      <c r="S329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68">
        <f ca="1">IF(PROVEEDORES[[#This Row],[FECHA DE PAGO]]=0,TODAY()-PROVEEDORES[[#This Row],[FECHA DE FACTURACIÓN]]-PROVEEDORES[[#This Row],[PLAZO Días]],0)</f>
        <v>0</v>
      </c>
      <c r="U329" s="113">
        <f>+VLOOKUP(PROVEEDORES[[#This Row],[PROVEEDOR]],Terceros!$A:$D,4,FALSE)</f>
        <v>0</v>
      </c>
      <c r="V329" s="114">
        <f>+YEAR(PROVEEDORES[[#This Row],[FECHA DE FACTURACIÓN]])</f>
        <v>2022</v>
      </c>
      <c r="W329" s="114">
        <f>+MATCH(PROVEEDORES[[#This Row],[año facturado]],Retenciones!$1:$1,0)</f>
        <v>5</v>
      </c>
      <c r="X329" s="115">
        <f>+VLOOKUP(PROVEEDORES[[#This Row],[ID RETENCION]],Retenciones!$A$1:$O$25,PROVEEDORES[[#This Row],[indicador de columna]],FALSE)</f>
        <v>0</v>
      </c>
      <c r="Y329" s="116">
        <f>+VLOOKUP(PROVEEDORES[[#This Row],[ID RETENCION]],Retenciones!$A$1:$O$25,2,FALSE)</f>
        <v>0</v>
      </c>
      <c r="Z329" s="125" t="b">
        <f>OR(COUNTIF(PROVEEDORES[[#This Row],[PROVEEDOR]],"*"&amp;'Palabra no opera'!$A$2&amp;"*"))</f>
        <v>0</v>
      </c>
      <c r="AA329" s="24"/>
      <c r="AB329" s="24"/>
      <c r="AC329" s="24"/>
      <c r="AD329" s="24"/>
      <c r="AE329" s="24"/>
    </row>
    <row r="330" spans="1:31" ht="22.2" customHeight="1" x14ac:dyDescent="0.3">
      <c r="A330" s="72" t="str">
        <f>+IF(PROVEEDORES[[#This Row],[FECHA DE PAGO]]=PROVEEDORES[[#This Row],[FECHA DE FACTURACIÓN]],"DE CONTADO","CRÉDITO")</f>
        <v>CRÉDITO</v>
      </c>
      <c r="B330" s="38" t="b">
        <f>+IF((PROVEEDORES[[#This Row],[FECHA DE PAGO]]-PROVEEDORES[[#This Row],[FECHA DE FACTURACIÓN]])&gt;PROVEEDORES[[#This Row],[PLAZO Días]],"PAGO VENCIDO")</f>
        <v>0</v>
      </c>
      <c r="C330" s="20">
        <f>+VLOOKUP(PROVEEDORES[[#This Row],[PROVEEDOR]],TERCEROS_INFO[#All],2,FALSE)</f>
        <v>30</v>
      </c>
      <c r="D330" s="25">
        <f>+SUMIFS(PROVEEDORES[Total],PROVEEDORES[PROVEEDOR],PROVEEDORES[[#This Row],[PROVEEDOR]],PROVEEDORES[FECHA DE PAGO],"")</f>
        <v>0</v>
      </c>
      <c r="E330" s="25"/>
      <c r="F330" s="58">
        <f>+VLOOKUP(PROVEEDORES[[#This Row],[PROVEEDOR]],
                       Terceros!$A:$F,
                       5,
                       FALSE)</f>
        <v>0</v>
      </c>
      <c r="G330" s="161">
        <v>44855</v>
      </c>
      <c r="H330" s="26" t="s">
        <v>1818</v>
      </c>
      <c r="I330" s="161">
        <v>44853</v>
      </c>
      <c r="J330" s="35" t="s">
        <v>1819</v>
      </c>
      <c r="K330" s="21">
        <v>176120</v>
      </c>
      <c r="L330" s="21"/>
      <c r="M330" s="22">
        <f>(PROVEEDORES[[#This Row],[SUBTOTAL]]-PROVEEDORES[[#This Row],[descuento sobre subtotal]])*VLOOKUP(PROVEEDORES[[#This Row],[PROVEEDOR]],TERCEROS_INFO[#All],3,FALSE)</f>
        <v>0</v>
      </c>
      <c r="N330" s="23"/>
      <c r="O330" s="22">
        <f>+PROVEEDORES[[#This Row],[Descuento sobre subtotal %]]*(PROVEEDORES[[#This Row],[SUBTOTAL]]-PROVEEDORES[[#This Row],[descuento sobre subtotal]])</f>
        <v>0</v>
      </c>
      <c r="P330" s="83">
        <f>+IF(PROVEEDORES[[#This Row],[SUBTOTAL]]&lt;PROVEEDORES[[#This Row],[base retencion]],0,PROVEEDORES[[#This Row],[retención aplicada]])</f>
        <v>0</v>
      </c>
      <c r="Q330" s="22">
        <f>+PROVEEDORES[[#This Row],[Rete Fuente %]]*(PROVEEDORES[[#This Row],[SUBTOTAL]]-PROVEEDORES[[#This Row],[descuento sobre subtotal]])</f>
        <v>0</v>
      </c>
      <c r="R330" s="21">
        <f>+PROVEEDORES[[#This Row],[SUBTOTAL]]+PROVEEDORES[[#This Row],[IVA 19%]]-PROVEEDORES[[#This Row],[descuento sobre subtotal]]-PROVEEDORES[[#This Row],[Descuento sobre subtotal $2]]-PROVEEDORES[[#This Row],[Rete Fuente $]]</f>
        <v>176120</v>
      </c>
      <c r="S33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68">
        <f ca="1">IF(PROVEEDORES[[#This Row],[FECHA DE PAGO]]=0,TODAY()-PROVEEDORES[[#This Row],[FECHA DE FACTURACIÓN]]-PROVEEDORES[[#This Row],[PLAZO Días]],0)</f>
        <v>0</v>
      </c>
      <c r="U330" s="113">
        <f>+VLOOKUP(PROVEEDORES[[#This Row],[PROVEEDOR]],Terceros!$A:$D,4,FALSE)</f>
        <v>0</v>
      </c>
      <c r="V330" s="114">
        <f>+YEAR(PROVEEDORES[[#This Row],[FECHA DE FACTURACIÓN]])</f>
        <v>2022</v>
      </c>
      <c r="W330" s="114">
        <f>+MATCH(PROVEEDORES[[#This Row],[año facturado]],Retenciones!$1:$1,0)</f>
        <v>5</v>
      </c>
      <c r="X330" s="115">
        <f>+VLOOKUP(PROVEEDORES[[#This Row],[ID RETENCION]],Retenciones!$A$1:$O$25,PROVEEDORES[[#This Row],[indicador de columna]],FALSE)</f>
        <v>0</v>
      </c>
      <c r="Y330" s="116">
        <f>+VLOOKUP(PROVEEDORES[[#This Row],[ID RETENCION]],Retenciones!$A$1:$O$25,2,FALSE)</f>
        <v>0</v>
      </c>
      <c r="Z330" s="125" t="b">
        <f>OR(COUNTIF(PROVEEDORES[[#This Row],[PROVEEDOR]],"*"&amp;'Palabra no opera'!$A$2&amp;"*"))</f>
        <v>0</v>
      </c>
      <c r="AA330" s="24"/>
      <c r="AB330" s="24"/>
      <c r="AC330" s="24"/>
      <c r="AD330" s="24"/>
      <c r="AE330" s="24"/>
    </row>
    <row r="331" spans="1:31" ht="22.2" customHeight="1" x14ac:dyDescent="0.3">
      <c r="A331" s="140" t="str">
        <f>+IF(PROVEEDORES[[#This Row],[FECHA DE PAGO]]=PROVEEDORES[[#This Row],[FECHA DE FACTURACIÓN]],"DE CONTADO","CRÉDITO")</f>
        <v>CRÉDITO</v>
      </c>
      <c r="B331" s="38" t="b">
        <f>+IF((PROVEEDORES[[#This Row],[FECHA DE PAGO]]-PROVEEDORES[[#This Row],[FECHA DE FACTURACIÓN]])&gt;PROVEEDORES[[#This Row],[PLAZO Días]],"PAGO VENCIDO")</f>
        <v>0</v>
      </c>
      <c r="C331" s="20">
        <f>+VLOOKUP(PROVEEDORES[[#This Row],[PROVEEDOR]],TERCEROS_INFO[#All],2,FALSE)</f>
        <v>30</v>
      </c>
      <c r="D331" s="25">
        <f>+SUMIFS(PROVEEDORES[Total],PROVEEDORES[PROVEEDOR],PROVEEDORES[[#This Row],[PROVEEDOR]],PROVEEDORES[FECHA DE PAGO],"")</f>
        <v>1194849.25</v>
      </c>
      <c r="E331" s="25"/>
      <c r="F331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331" s="161">
        <v>44718</v>
      </c>
      <c r="H331" s="26" t="s">
        <v>32</v>
      </c>
      <c r="I331" s="161">
        <v>44697</v>
      </c>
      <c r="J331" s="35" t="s">
        <v>972</v>
      </c>
      <c r="K331" s="21">
        <v>149369.75</v>
      </c>
      <c r="L331" s="21"/>
      <c r="M331" s="22">
        <f>(PROVEEDORES[[#This Row],[SUBTOTAL]]-PROVEEDORES[[#This Row],[descuento sobre subtotal]])*VLOOKUP(PROVEEDORES[[#This Row],[PROVEEDOR]],TERCEROS_INFO[#All],3,FALSE)</f>
        <v>28380.252499999999</v>
      </c>
      <c r="N331" s="23"/>
      <c r="O331" s="22">
        <f>+PROVEEDORES[[#This Row],[Descuento sobre subtotal %]]*(PROVEEDORES[[#This Row],[SUBTOTAL]]-PROVEEDORES[[#This Row],[descuento sobre subtotal]])</f>
        <v>0</v>
      </c>
      <c r="P331" s="83">
        <f>+IF(PROVEEDORES[[#This Row],[SUBTOTAL]]&lt;PROVEEDORES[[#This Row],[base retencion]],0,PROVEEDORES[[#This Row],[retención aplicada]])</f>
        <v>0</v>
      </c>
      <c r="Q331" s="22">
        <f>+PROVEEDORES[[#This Row],[Rete Fuente %]]*(PROVEEDORES[[#This Row],[SUBTOTAL]]-PROVEEDORES[[#This Row],[descuento sobre subtotal]])</f>
        <v>0</v>
      </c>
      <c r="R331" s="21">
        <f>+PROVEEDORES[[#This Row],[SUBTOTAL]]+PROVEEDORES[[#This Row],[IVA 19%]]-PROVEEDORES[[#This Row],[descuento sobre subtotal]]-PROVEEDORES[[#This Row],[Descuento sobre subtotal $2]]-PROVEEDORES[[#This Row],[Rete Fuente $]]</f>
        <v>177750.0025</v>
      </c>
      <c r="S331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68">
        <f ca="1">IF(PROVEEDORES[[#This Row],[FECHA DE PAGO]]=0,TODAY()-PROVEEDORES[[#This Row],[FECHA DE FACTURACIÓN]]-PROVEEDORES[[#This Row],[PLAZO Días]],0)</f>
        <v>0</v>
      </c>
      <c r="U331" s="113" t="str">
        <f>+VLOOKUP(PROVEEDORES[[#This Row],[PROVEEDOR]],Terceros!$A:$D,4,FALSE)</f>
        <v>2,5% con base</v>
      </c>
      <c r="V331" s="114">
        <f>+YEAR(PROVEEDORES[[#This Row],[FECHA DE FACTURACIÓN]])</f>
        <v>2022</v>
      </c>
      <c r="W331" s="114">
        <f>+MATCH(PROVEEDORES[[#This Row],[año facturado]],Retenciones!$1:$1,0)</f>
        <v>5</v>
      </c>
      <c r="X331" s="115">
        <f>+VLOOKUP(PROVEEDORES[[#This Row],[ID RETENCION]],Retenciones!$A$1:$O$25,PROVEEDORES[[#This Row],[indicador de columna]],FALSE)</f>
        <v>1026000</v>
      </c>
      <c r="Y331" s="116">
        <f>+VLOOKUP(PROVEEDORES[[#This Row],[ID RETENCION]],Retenciones!$A$1:$O$25,2,FALSE)</f>
        <v>2.5000000000000001E-2</v>
      </c>
      <c r="Z331" s="125" t="b">
        <f>OR(COUNTIF(PROVEEDORES[[#This Row],[PROVEEDOR]],"*"&amp;'Palabra no opera'!$A$2&amp;"*"))</f>
        <v>0</v>
      </c>
      <c r="AA331" s="24"/>
      <c r="AB331" s="24"/>
      <c r="AC331" s="24"/>
      <c r="AD331" s="24"/>
      <c r="AE331" s="24"/>
    </row>
    <row r="332" spans="1:31" ht="22.2" customHeight="1" x14ac:dyDescent="0.3">
      <c r="A332" s="66" t="str">
        <f>+IF(PROVEEDORES[[#This Row],[FECHA DE PAGO]]=PROVEEDORES[[#This Row],[FECHA DE FACTURACIÓN]],"DE CONTADO","CRÉDITO")</f>
        <v>CRÉDITO</v>
      </c>
      <c r="B332" s="38" t="str">
        <f>+IF((PROVEEDORES[[#This Row],[FECHA DE PAGO]]-PROVEEDORES[[#This Row],[FECHA DE FACTURACIÓN]])&gt;PROVEEDORES[[#This Row],[PLAZO Días]],"PAGO VENCIDO")</f>
        <v>PAGO VENCIDO</v>
      </c>
      <c r="C332" s="20">
        <f>+VLOOKUP(PROVEEDORES[[#This Row],[PROVEEDOR]],TERCEROS_INFO[#All],2,FALSE)</f>
        <v>30</v>
      </c>
      <c r="D332" s="25">
        <f>+SUMIFS(PROVEEDORES[Total],PROVEEDORES[PROVEEDOR],PROVEEDORES[[#This Row],[PROVEEDOR]],PROVEEDORES[FECHA DE PAGO],"")</f>
        <v>5430852.9800000004</v>
      </c>
      <c r="E332" s="25"/>
      <c r="F332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332" s="161">
        <v>44452</v>
      </c>
      <c r="H332" s="26" t="s">
        <v>408</v>
      </c>
      <c r="I332" s="161">
        <v>44420</v>
      </c>
      <c r="J332" s="35" t="s">
        <v>469</v>
      </c>
      <c r="K332" s="21">
        <v>149794.67500000002</v>
      </c>
      <c r="L332" s="21"/>
      <c r="M332" s="22">
        <f>(PROVEEDORES[[#This Row],[SUBTOTAL]]-PROVEEDORES[[#This Row],[descuento sobre subtotal]])*VLOOKUP(PROVEEDORES[[#This Row],[PROVEEDOR]],TERCEROS_INFO[#All],3,FALSE)</f>
        <v>28460.988250000002</v>
      </c>
      <c r="N332" s="23"/>
      <c r="O332" s="22">
        <f>+PROVEEDORES[[#This Row],[Descuento sobre subtotal %]]*(PROVEEDORES[[#This Row],[SUBTOTAL]]-PROVEEDORES[[#This Row],[descuento sobre subtotal]])</f>
        <v>0</v>
      </c>
      <c r="P332" s="83">
        <f>+IF(PROVEEDORES[[#This Row],[SUBTOTAL]]&lt;PROVEEDORES[[#This Row],[base retencion]],0,PROVEEDORES[[#This Row],[retención aplicada]])</f>
        <v>0</v>
      </c>
      <c r="Q332" s="22">
        <f>+PROVEEDORES[[#This Row],[Rete Fuente %]]*(PROVEEDORES[[#This Row],[SUBTOTAL]]-PROVEEDORES[[#This Row],[descuento sobre subtotal]])</f>
        <v>0</v>
      </c>
      <c r="R332" s="21">
        <f>+PROVEEDORES[[#This Row],[SUBTOTAL]]+PROVEEDORES[[#This Row],[IVA 19%]]-PROVEEDORES[[#This Row],[descuento sobre subtotal]]-PROVEEDORES[[#This Row],[Descuento sobre subtotal $2]]-PROVEEDORES[[#This Row],[Rete Fuente $]]</f>
        <v>178255.66325000001</v>
      </c>
      <c r="S3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68">
        <f ca="1">IF(PROVEEDORES[[#This Row],[FECHA DE PAGO]]=0,TODAY()-PROVEEDORES[[#This Row],[FECHA DE FACTURACIÓN]]-PROVEEDORES[[#This Row],[PLAZO Días]],0)</f>
        <v>0</v>
      </c>
      <c r="U332" s="96">
        <f>+VLOOKUP(PROVEEDORES[[#This Row],[PROVEEDOR]],Terceros!$A:$D,4,FALSE)</f>
        <v>0</v>
      </c>
      <c r="V332" s="97">
        <f>+YEAR(PROVEEDORES[[#This Row],[FECHA DE FACTURACIÓN]])</f>
        <v>2021</v>
      </c>
      <c r="W332" s="97">
        <f>+MATCH(PROVEEDORES[[#This Row],[año facturado]],Retenciones!$1:$1,0)</f>
        <v>4</v>
      </c>
      <c r="X332" s="98">
        <f>+VLOOKUP(PROVEEDORES[[#This Row],[ID RETENCION]],Retenciones!$A$1:$O$25,PROVEEDORES[[#This Row],[indicador de columna]],FALSE)</f>
        <v>0</v>
      </c>
      <c r="Y332" s="99">
        <f>+VLOOKUP(PROVEEDORES[[#This Row],[ID RETENCION]],Retenciones!$A$1:$O$25,2,FALSE)</f>
        <v>0</v>
      </c>
      <c r="Z332" s="125" t="b">
        <f>OR(COUNTIF(PROVEEDORES[[#This Row],[PROVEEDOR]],"*"&amp;'Palabra no opera'!$A$2&amp;"*"))</f>
        <v>0</v>
      </c>
      <c r="AA332" s="24"/>
      <c r="AB332" s="24"/>
      <c r="AC332" s="24"/>
      <c r="AD332" s="24"/>
      <c r="AE332" s="24"/>
    </row>
    <row r="333" spans="1:31" ht="22.2" customHeight="1" x14ac:dyDescent="0.3">
      <c r="A333" s="199" t="str">
        <f>+IF(PROVEEDORES[[#This Row],[FECHA DE PAGO]]=PROVEEDORES[[#This Row],[FECHA DE FACTURACIÓN]],"DE CONTADO","CRÉDITO")</f>
        <v>CRÉDITO</v>
      </c>
      <c r="B333" s="38" t="b">
        <f>+IF((PROVEEDORES[[#This Row],[FECHA DE PAGO]]-PROVEEDORES[[#This Row],[FECHA DE FACTURACIÓN]])&gt;PROVEEDORES[[#This Row],[PLAZO Días]],"PAGO VENCIDO")</f>
        <v>0</v>
      </c>
      <c r="C333" s="20">
        <f>+VLOOKUP(PROVEEDORES[[#This Row],[PROVEEDOR]],TERCEROS_INFO[#All],2,FALSE)</f>
        <v>30</v>
      </c>
      <c r="D333" s="25">
        <f>+SUMIFS(PROVEEDORES[Total],PROVEEDORES[PROVEEDOR],PROVEEDORES[[#This Row],[PROVEEDOR]],PROVEEDORES[FECHA DE PAGO],"")</f>
        <v>0</v>
      </c>
      <c r="E333" s="25"/>
      <c r="F333" s="58" t="str">
        <f>+VLOOKUP(PROVEEDORES[[#This Row],[PROVEEDOR]],
                       Terceros!$A:$F,
                       5,
                       FALSE)</f>
        <v/>
      </c>
      <c r="G333" s="161">
        <v>44796</v>
      </c>
      <c r="H333" s="26" t="s">
        <v>1130</v>
      </c>
      <c r="I333" s="161">
        <v>44790</v>
      </c>
      <c r="J333" s="35" t="s">
        <v>1401</v>
      </c>
      <c r="K333" s="21">
        <v>178500</v>
      </c>
      <c r="L333" s="21"/>
      <c r="M333" s="22">
        <f>(PROVEEDORES[[#This Row],[SUBTOTAL]]-PROVEEDORES[[#This Row],[descuento sobre subtotal]])*VLOOKUP(PROVEEDORES[[#This Row],[PROVEEDOR]],TERCEROS_INFO[#All],3,FALSE)</f>
        <v>0</v>
      </c>
      <c r="N333" s="23"/>
      <c r="O333" s="22">
        <f>+PROVEEDORES[[#This Row],[Descuento sobre subtotal %]]*(PROVEEDORES[[#This Row],[SUBTOTAL]]-PROVEEDORES[[#This Row],[descuento sobre subtotal]])</f>
        <v>0</v>
      </c>
      <c r="P333" s="83">
        <f>+IF(PROVEEDORES[[#This Row],[SUBTOTAL]]&lt;PROVEEDORES[[#This Row],[base retencion]],0,PROVEEDORES[[#This Row],[retención aplicada]])</f>
        <v>0</v>
      </c>
      <c r="Q333" s="22">
        <f>+PROVEEDORES[[#This Row],[Rete Fuente %]]*(PROVEEDORES[[#This Row],[SUBTOTAL]]-PROVEEDORES[[#This Row],[descuento sobre subtotal]])</f>
        <v>0</v>
      </c>
      <c r="R333" s="21">
        <f>+PROVEEDORES[[#This Row],[SUBTOTAL]]+PROVEEDORES[[#This Row],[IVA 19%]]-PROVEEDORES[[#This Row],[descuento sobre subtotal]]-PROVEEDORES[[#This Row],[Descuento sobre subtotal $2]]-PROVEEDORES[[#This Row],[Rete Fuente $]]</f>
        <v>178500</v>
      </c>
      <c r="S333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68">
        <f ca="1">IF(PROVEEDORES[[#This Row],[FECHA DE PAGO]]=0,TODAY()-PROVEEDORES[[#This Row],[FECHA DE FACTURACIÓN]]-PROVEEDORES[[#This Row],[PLAZO Días]],0)</f>
        <v>0</v>
      </c>
      <c r="U333" s="113">
        <f>+VLOOKUP(PROVEEDORES[[#This Row],[PROVEEDOR]],Terceros!$A:$D,4,FALSE)</f>
        <v>0</v>
      </c>
      <c r="V333" s="114">
        <f>+YEAR(PROVEEDORES[[#This Row],[FECHA DE FACTURACIÓN]])</f>
        <v>2022</v>
      </c>
      <c r="W333" s="114">
        <f>+MATCH(PROVEEDORES[[#This Row],[año facturado]],Retenciones!$1:$1,0)</f>
        <v>5</v>
      </c>
      <c r="X333" s="115">
        <f>+VLOOKUP(PROVEEDORES[[#This Row],[ID RETENCION]],Retenciones!$A$1:$O$25,PROVEEDORES[[#This Row],[indicador de columna]],FALSE)</f>
        <v>0</v>
      </c>
      <c r="Y333" s="116">
        <f>+VLOOKUP(PROVEEDORES[[#This Row],[ID RETENCION]],Retenciones!$A$1:$O$25,2,FALSE)</f>
        <v>0</v>
      </c>
      <c r="Z333" s="125" t="b">
        <f>OR(COUNTIF(PROVEEDORES[[#This Row],[PROVEEDOR]],"*"&amp;'Palabra no opera'!$A$2&amp;"*"))</f>
        <v>1</v>
      </c>
      <c r="AA333" s="24"/>
      <c r="AB333" s="24"/>
      <c r="AC333" s="24"/>
      <c r="AD333" s="24"/>
      <c r="AE333" s="24"/>
    </row>
    <row r="334" spans="1:31" ht="22.2" customHeight="1" x14ac:dyDescent="0.3">
      <c r="A334" s="66" t="str">
        <f>+IF(PROVEEDORES[[#This Row],[FECHA DE PAGO]]=PROVEEDORES[[#This Row],[FECHA DE FACTURACIÓN]],"DE CONTADO","CRÉDITO")</f>
        <v>CRÉDITO</v>
      </c>
      <c r="B334" s="38" t="b">
        <f>+IF((PROVEEDORES[[#This Row],[FECHA DE PAGO]]-PROVEEDORES[[#This Row],[FECHA DE FACTURACIÓN]])&gt;PROVEEDORES[[#This Row],[PLAZO Días]],"PAGO VENCIDO")</f>
        <v>0</v>
      </c>
      <c r="C334" s="20">
        <f>+VLOOKUP(PROVEEDORES[[#This Row],[PROVEEDOR]],TERCEROS_INFO[#All],2,FALSE)</f>
        <v>30</v>
      </c>
      <c r="D334" s="25">
        <f>+SUMIFS(PROVEEDORES[Total],PROVEEDORES[PROVEEDOR],PROVEEDORES[[#This Row],[PROVEEDOR]],PROVEEDORES[FECHA DE PAGO],"")</f>
        <v>0</v>
      </c>
      <c r="E334" s="25"/>
      <c r="F334" s="58" t="str">
        <f>+VLOOKUP(PROVEEDORES[[#This Row],[PROVEEDOR]],
                       Terceros!$A:$F,
                       5,
                       FALSE)</f>
        <v/>
      </c>
      <c r="G334" s="161">
        <v>44313</v>
      </c>
      <c r="H334" s="26" t="s">
        <v>682</v>
      </c>
      <c r="I334" s="161">
        <v>44312</v>
      </c>
      <c r="J334" s="35" t="s">
        <v>1212</v>
      </c>
      <c r="K334" s="21">
        <v>180000</v>
      </c>
      <c r="L334" s="21"/>
      <c r="M334" s="22">
        <f>(PROVEEDORES[[#This Row],[SUBTOTAL]]-PROVEEDORES[[#This Row],[descuento sobre subtotal]])*VLOOKUP(PROVEEDORES[[#This Row],[PROVEEDOR]],TERCEROS_INFO[#All],3,FALSE)</f>
        <v>0</v>
      </c>
      <c r="N334" s="23"/>
      <c r="O334" s="22">
        <f>+PROVEEDORES[[#This Row],[Descuento sobre subtotal %]]*(PROVEEDORES[[#This Row],[SUBTOTAL]]-PROVEEDORES[[#This Row],[descuento sobre subtotal]])</f>
        <v>0</v>
      </c>
      <c r="P334" s="83">
        <f>+IF(PROVEEDORES[[#This Row],[SUBTOTAL]]&lt;PROVEEDORES[[#This Row],[base retencion]],0,PROVEEDORES[[#This Row],[retención aplicada]])</f>
        <v>0</v>
      </c>
      <c r="Q334" s="22">
        <f>+PROVEEDORES[[#This Row],[Rete Fuente %]]*(PROVEEDORES[[#This Row],[SUBTOTAL]]-PROVEEDORES[[#This Row],[descuento sobre subtotal]])</f>
        <v>0</v>
      </c>
      <c r="R334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3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68">
        <f ca="1">IF(PROVEEDORES[[#This Row],[FECHA DE PAGO]]=0,TODAY()-PROVEEDORES[[#This Row],[FECHA DE FACTURACIÓN]]-PROVEEDORES[[#This Row],[PLAZO Días]],0)</f>
        <v>0</v>
      </c>
      <c r="U334" s="96">
        <f>+VLOOKUP(PROVEEDORES[[#This Row],[PROVEEDOR]],Terceros!$A:$D,4,FALSE)</f>
        <v>0</v>
      </c>
      <c r="V334" s="97">
        <f>+YEAR(PROVEEDORES[[#This Row],[FECHA DE FACTURACIÓN]])</f>
        <v>2021</v>
      </c>
      <c r="W334" s="97">
        <f>+MATCH(PROVEEDORES[[#This Row],[año facturado]],Retenciones!$1:$1,0)</f>
        <v>4</v>
      </c>
      <c r="X334" s="98">
        <f>+VLOOKUP(PROVEEDORES[[#This Row],[ID RETENCION]],Retenciones!$A$1:$O$25,PROVEEDORES[[#This Row],[indicador de columna]],FALSE)</f>
        <v>0</v>
      </c>
      <c r="Y334" s="99">
        <f>+VLOOKUP(PROVEEDORES[[#This Row],[ID RETENCION]],Retenciones!$A$1:$O$25,2,FALSE)</f>
        <v>0</v>
      </c>
      <c r="Z334" s="125" t="b">
        <f>OR(COUNTIF(PROVEEDORES[[#This Row],[PROVEEDOR]],"*"&amp;'Palabra no opera'!$A$2&amp;"*"))</f>
        <v>0</v>
      </c>
      <c r="AA334" s="24"/>
      <c r="AB334" s="24"/>
      <c r="AC334" s="24"/>
      <c r="AD334" s="24"/>
      <c r="AE334" s="24"/>
    </row>
    <row r="335" spans="1:31" ht="22.2" customHeight="1" x14ac:dyDescent="0.3">
      <c r="A335" s="120" t="str">
        <f>+IF(PROVEEDORES[[#This Row],[FECHA DE PAGO]]=PROVEEDORES[[#This Row],[FECHA DE FACTURACIÓN]],"DE CONTADO","CRÉDITO")</f>
        <v>CRÉDITO</v>
      </c>
      <c r="B335" s="38" t="str">
        <f>+IF((PROVEEDORES[[#This Row],[FECHA DE PAGO]]-PROVEEDORES[[#This Row],[FECHA DE FACTURACIÓN]])&gt;PROVEEDORES[[#This Row],[PLAZO Días]],"PAGO VENCIDO")</f>
        <v>PAGO VENCIDO</v>
      </c>
      <c r="C335" s="20">
        <f>+VLOOKUP(PROVEEDORES[[#This Row],[PROVEEDOR]],TERCEROS_INFO[#All],2,FALSE)</f>
        <v>30</v>
      </c>
      <c r="D335" s="25">
        <f>+SUMIFS(PROVEEDORES[Total],PROVEEDORES[PROVEEDOR],PROVEEDORES[[#This Row],[PROVEEDOR]],PROVEEDORES[FECHA DE PAGO],"")</f>
        <v>0</v>
      </c>
      <c r="E335" s="25" t="s">
        <v>1164</v>
      </c>
      <c r="F335" s="58" t="str">
        <f>+VLOOKUP(PROVEEDORES[[#This Row],[PROVEEDOR]],
                       Terceros!$A:$F,
                       5,
                       FALSE)</f>
        <v/>
      </c>
      <c r="G335" s="161">
        <v>44782</v>
      </c>
      <c r="H335" s="26" t="s">
        <v>679</v>
      </c>
      <c r="I335" s="161">
        <v>44674</v>
      </c>
      <c r="J335" s="35" t="s">
        <v>892</v>
      </c>
      <c r="K335" s="21">
        <v>180000</v>
      </c>
      <c r="L335" s="21"/>
      <c r="M335" s="22">
        <f>(PROVEEDORES[[#This Row],[SUBTOTAL]]-PROVEEDORES[[#This Row],[descuento sobre subtotal]])*VLOOKUP(PROVEEDORES[[#This Row],[PROVEEDOR]],TERCEROS_INFO[#All],3,FALSE)</f>
        <v>0</v>
      </c>
      <c r="N335" s="23"/>
      <c r="O335" s="22">
        <f>+PROVEEDORES[[#This Row],[Descuento sobre subtotal %]]*(PROVEEDORES[[#This Row],[SUBTOTAL]]-PROVEEDORES[[#This Row],[descuento sobre subtotal]])</f>
        <v>0</v>
      </c>
      <c r="P335" s="83">
        <f>+IF(PROVEEDORES[[#This Row],[SUBTOTAL]]&lt;PROVEEDORES[[#This Row],[base retencion]],0,PROVEEDORES[[#This Row],[retención aplicada]])</f>
        <v>0</v>
      </c>
      <c r="Q335" s="22">
        <f>+PROVEEDORES[[#This Row],[Rete Fuente %]]*(PROVEEDORES[[#This Row],[SUBTOTAL]]-PROVEEDORES[[#This Row],[descuento sobre subtotal]])</f>
        <v>0</v>
      </c>
      <c r="R335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33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68">
        <f ca="1">IF(PROVEEDORES[[#This Row],[FECHA DE PAGO]]=0,TODAY()-PROVEEDORES[[#This Row],[FECHA DE FACTURACIÓN]]-PROVEEDORES[[#This Row],[PLAZO Días]],0)</f>
        <v>0</v>
      </c>
      <c r="U335" s="113">
        <f>+VLOOKUP(PROVEEDORES[[#This Row],[PROVEEDOR]],Terceros!$A:$D,4,FALSE)</f>
        <v>0</v>
      </c>
      <c r="V335" s="114">
        <f>+YEAR(PROVEEDORES[[#This Row],[FECHA DE FACTURACIÓN]])</f>
        <v>2022</v>
      </c>
      <c r="W335" s="114">
        <f>+MATCH(PROVEEDORES[[#This Row],[año facturado]],Retenciones!$1:$1,0)</f>
        <v>5</v>
      </c>
      <c r="X335" s="115">
        <f>+VLOOKUP(PROVEEDORES[[#This Row],[ID RETENCION]],Retenciones!$A$1:$O$25,PROVEEDORES[[#This Row],[indicador de columna]],FALSE)</f>
        <v>0</v>
      </c>
      <c r="Y335" s="116">
        <f>+VLOOKUP(PROVEEDORES[[#This Row],[ID RETENCION]],Retenciones!$A$1:$O$25,2,FALSE)</f>
        <v>0</v>
      </c>
      <c r="Z335" s="125" t="b">
        <f>OR(COUNTIF(PROVEEDORES[[#This Row],[PROVEEDOR]],"*"&amp;'Palabra no opera'!$A$2&amp;"*"))</f>
        <v>0</v>
      </c>
      <c r="AA335" s="24"/>
      <c r="AB335" s="24"/>
      <c r="AC335" s="24"/>
      <c r="AD335" s="24"/>
      <c r="AE335" s="24"/>
    </row>
    <row r="336" spans="1:31" ht="22.2" customHeight="1" x14ac:dyDescent="0.3">
      <c r="A336" s="135" t="str">
        <f>+IF(PROVEEDORES[[#This Row],[FECHA DE PAGO]]=PROVEEDORES[[#This Row],[FECHA DE FACTURACIÓN]],"DE CONTADO","CRÉDITO")</f>
        <v>CRÉDITO</v>
      </c>
      <c r="B336" s="38" t="str">
        <f>+IF((PROVEEDORES[[#This Row],[FECHA DE PAGO]]-PROVEEDORES[[#This Row],[FECHA DE FACTURACIÓN]])&gt;PROVEEDORES[[#This Row],[PLAZO Días]],"PAGO VENCIDO")</f>
        <v>PAGO VENCIDO</v>
      </c>
      <c r="C336" s="20">
        <f>+VLOOKUP(PROVEEDORES[[#This Row],[PROVEEDOR]],TERCEROS_INFO[#All],2,FALSE)</f>
        <v>30</v>
      </c>
      <c r="D336" s="25">
        <f>+SUMIFS(PROVEEDORES[Total],PROVEEDORES[PROVEEDOR],PROVEEDORES[[#This Row],[PROVEEDOR]],PROVEEDORES[FECHA DE PAGO],"")</f>
        <v>5272763.2050000001</v>
      </c>
      <c r="E336" s="25"/>
      <c r="F33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36" s="161">
        <v>44725</v>
      </c>
      <c r="H336" s="26" t="s">
        <v>11</v>
      </c>
      <c r="I336" s="161">
        <v>44685</v>
      </c>
      <c r="J336" s="35" t="s">
        <v>950</v>
      </c>
      <c r="K336" s="21">
        <v>151261</v>
      </c>
      <c r="L336" s="21"/>
      <c r="M336" s="22">
        <f>(PROVEEDORES[[#This Row],[SUBTOTAL]]-PROVEEDORES[[#This Row],[descuento sobre subtotal]])*VLOOKUP(PROVEEDORES[[#This Row],[PROVEEDOR]],TERCEROS_INFO[#All],3,FALSE)</f>
        <v>28739.59</v>
      </c>
      <c r="N336" s="23"/>
      <c r="O336" s="22">
        <f>+PROVEEDORES[[#This Row],[Descuento sobre subtotal %]]*(PROVEEDORES[[#This Row],[SUBTOTAL]]-PROVEEDORES[[#This Row],[descuento sobre subtotal]])</f>
        <v>0</v>
      </c>
      <c r="P336" s="83">
        <f>+IF(PROVEEDORES[[#This Row],[SUBTOTAL]]&lt;PROVEEDORES[[#This Row],[base retencion]],0,PROVEEDORES[[#This Row],[retención aplicada]])</f>
        <v>0</v>
      </c>
      <c r="Q336" s="22">
        <f>+PROVEEDORES[[#This Row],[Rete Fuente %]]*(PROVEEDORES[[#This Row],[SUBTOTAL]]-PROVEEDORES[[#This Row],[descuento sobre subtotal]])</f>
        <v>0</v>
      </c>
      <c r="R336" s="21">
        <f>+PROVEEDORES[[#This Row],[SUBTOTAL]]+PROVEEDORES[[#This Row],[IVA 19%]]-PROVEEDORES[[#This Row],[descuento sobre subtotal]]-PROVEEDORES[[#This Row],[Descuento sobre subtotal $2]]-PROVEEDORES[[#This Row],[Rete Fuente $]]</f>
        <v>180000.59</v>
      </c>
      <c r="S33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68">
        <f ca="1">IF(PROVEEDORES[[#This Row],[FECHA DE PAGO]]=0,TODAY()-PROVEEDORES[[#This Row],[FECHA DE FACTURACIÓN]]-PROVEEDORES[[#This Row],[PLAZO Días]],0)</f>
        <v>0</v>
      </c>
      <c r="U336" s="113" t="str">
        <f>+VLOOKUP(PROVEEDORES[[#This Row],[PROVEEDOR]],Terceros!$A:$D,4,FALSE)</f>
        <v>2,5% con base</v>
      </c>
      <c r="V336" s="114">
        <f>+YEAR(PROVEEDORES[[#This Row],[FECHA DE FACTURACIÓN]])</f>
        <v>2022</v>
      </c>
      <c r="W336" s="114">
        <f>+MATCH(PROVEEDORES[[#This Row],[año facturado]],Retenciones!$1:$1,0)</f>
        <v>5</v>
      </c>
      <c r="X336" s="115">
        <f>+VLOOKUP(PROVEEDORES[[#This Row],[ID RETENCION]],Retenciones!$A$1:$O$25,PROVEEDORES[[#This Row],[indicador de columna]],FALSE)</f>
        <v>1026000</v>
      </c>
      <c r="Y336" s="116">
        <f>+VLOOKUP(PROVEEDORES[[#This Row],[ID RETENCION]],Retenciones!$A$1:$O$25,2,FALSE)</f>
        <v>2.5000000000000001E-2</v>
      </c>
      <c r="Z336" s="125" t="b">
        <f>OR(COUNTIF(PROVEEDORES[[#This Row],[PROVEEDOR]],"*"&amp;'Palabra no opera'!$A$2&amp;"*"))</f>
        <v>0</v>
      </c>
      <c r="AA336" s="24"/>
      <c r="AB336" s="24"/>
      <c r="AC336" s="24"/>
      <c r="AD336" s="24"/>
      <c r="AE336" s="24"/>
    </row>
    <row r="337" spans="1:31" ht="22.2" customHeight="1" x14ac:dyDescent="0.3">
      <c r="A337" s="66" t="str">
        <f>+IF(PROVEEDORES[[#This Row],[FECHA DE PAGO]]=PROVEEDORES[[#This Row],[FECHA DE FACTURACIÓN]],"DE CONTADO","CRÉDITO")</f>
        <v>DE CONTADO</v>
      </c>
      <c r="B337" s="38" t="b">
        <f>+IF((PROVEEDORES[[#This Row],[FECHA DE PAGO]]-PROVEEDORES[[#This Row],[FECHA DE FACTURACIÓN]])&gt;PROVEEDORES[[#This Row],[PLAZO Días]],"PAGO VENCIDO")</f>
        <v>0</v>
      </c>
      <c r="C337" s="20">
        <f>+VLOOKUP(PROVEEDORES[[#This Row],[PROVEEDOR]],TERCEROS_INFO[#All],2,FALSE)</f>
        <v>30</v>
      </c>
      <c r="D337" s="25">
        <f>+SUMIFS(PROVEEDORES[Total],PROVEEDORES[PROVEEDOR],PROVEEDORES[[#This Row],[PROVEEDOR]],PROVEEDORES[FECHA DE PAGO],"")</f>
        <v>0</v>
      </c>
      <c r="E337" s="25"/>
      <c r="F337" s="58" t="str">
        <f>+VLOOKUP(PROVEEDORES[[#This Row],[PROVEEDOR]],
                       Terceros!$A:$F,
                       5,
                       FALSE)</f>
        <v/>
      </c>
      <c r="G337" s="161">
        <v>44425</v>
      </c>
      <c r="H337" s="26" t="s">
        <v>644</v>
      </c>
      <c r="I337" s="161">
        <v>44425</v>
      </c>
      <c r="J337" s="35" t="s">
        <v>1285</v>
      </c>
      <c r="K337" s="21">
        <v>180050</v>
      </c>
      <c r="L337" s="21"/>
      <c r="M337" s="22">
        <f>(PROVEEDORES[[#This Row],[SUBTOTAL]]-PROVEEDORES[[#This Row],[descuento sobre subtotal]])*VLOOKUP(PROVEEDORES[[#This Row],[PROVEEDOR]],TERCEROS_INFO[#All],3,FALSE)</f>
        <v>0</v>
      </c>
      <c r="N337" s="23"/>
      <c r="O337" s="22">
        <f>+PROVEEDORES[[#This Row],[Descuento sobre subtotal %]]*(PROVEEDORES[[#This Row],[SUBTOTAL]]-PROVEEDORES[[#This Row],[descuento sobre subtotal]])</f>
        <v>0</v>
      </c>
      <c r="P337" s="83">
        <f>+IF(PROVEEDORES[[#This Row],[SUBTOTAL]]&lt;PROVEEDORES[[#This Row],[base retencion]],0,PROVEEDORES[[#This Row],[retención aplicada]])</f>
        <v>0</v>
      </c>
      <c r="Q337" s="22">
        <f>+PROVEEDORES[[#This Row],[Rete Fuente %]]*(PROVEEDORES[[#This Row],[SUBTOTAL]]-PROVEEDORES[[#This Row],[descuento sobre subtotal]])</f>
        <v>0</v>
      </c>
      <c r="R337" s="21">
        <f>+PROVEEDORES[[#This Row],[SUBTOTAL]]+PROVEEDORES[[#This Row],[IVA 19%]]-PROVEEDORES[[#This Row],[descuento sobre subtotal]]-PROVEEDORES[[#This Row],[Descuento sobre subtotal $2]]-PROVEEDORES[[#This Row],[Rete Fuente $]]</f>
        <v>180050</v>
      </c>
      <c r="S3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68">
        <f ca="1">IF(PROVEEDORES[[#This Row],[FECHA DE PAGO]]=0,TODAY()-PROVEEDORES[[#This Row],[FECHA DE FACTURACIÓN]]-PROVEEDORES[[#This Row],[PLAZO Días]],0)</f>
        <v>0</v>
      </c>
      <c r="U337" s="96">
        <f>+VLOOKUP(PROVEEDORES[[#This Row],[PROVEEDOR]],Terceros!$A:$D,4,FALSE)</f>
        <v>0</v>
      </c>
      <c r="V337" s="97">
        <f>+YEAR(PROVEEDORES[[#This Row],[FECHA DE FACTURACIÓN]])</f>
        <v>2021</v>
      </c>
      <c r="W337" s="97">
        <f>+MATCH(PROVEEDORES[[#This Row],[año facturado]],Retenciones!$1:$1,0)</f>
        <v>4</v>
      </c>
      <c r="X337" s="98">
        <f>+VLOOKUP(PROVEEDORES[[#This Row],[ID RETENCION]],Retenciones!$A$1:$O$25,PROVEEDORES[[#This Row],[indicador de columna]],FALSE)</f>
        <v>0</v>
      </c>
      <c r="Y337" s="99">
        <f>+VLOOKUP(PROVEEDORES[[#This Row],[ID RETENCION]],Retenciones!$A$1:$O$25,2,FALSE)</f>
        <v>0</v>
      </c>
      <c r="Z337" s="125" t="b">
        <f>OR(COUNTIF(PROVEEDORES[[#This Row],[PROVEEDOR]],"*"&amp;'Palabra no opera'!$A$2&amp;"*"))</f>
        <v>0</v>
      </c>
      <c r="AA337" s="24"/>
      <c r="AB337" s="24"/>
      <c r="AC337" s="24"/>
      <c r="AD337" s="24"/>
      <c r="AE337" s="24"/>
    </row>
    <row r="338" spans="1:31" ht="22.2" customHeight="1" x14ac:dyDescent="0.3">
      <c r="A338" s="66" t="str">
        <f>+IF(PROVEEDORES[[#This Row],[FECHA DE PAGO]]=PROVEEDORES[[#This Row],[FECHA DE FACTURACIÓN]],"DE CONTADO","CRÉDITO")</f>
        <v>CRÉDITO</v>
      </c>
      <c r="B338" s="38" t="b">
        <f>+IF((PROVEEDORES[[#This Row],[FECHA DE PAGO]]-PROVEEDORES[[#This Row],[FECHA DE FACTURACIÓN]])&gt;PROVEEDORES[[#This Row],[PLAZO Días]],"PAGO VENCIDO")</f>
        <v>0</v>
      </c>
      <c r="C338" s="20">
        <f>+VLOOKUP(PROVEEDORES[[#This Row],[PROVEEDOR]],TERCEROS_INFO[#All],2,FALSE)</f>
        <v>60</v>
      </c>
      <c r="D338" s="25">
        <f>+SUMIFS(PROVEEDORES[Total],PROVEEDORES[PROVEEDOR],PROVEEDORES[[#This Row],[PROVEEDOR]],PROVEEDORES[FECHA DE PAGO],"")</f>
        <v>1520362</v>
      </c>
      <c r="E338" s="25"/>
      <c r="F33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38" s="161">
        <v>44623</v>
      </c>
      <c r="H338" s="26" t="s">
        <v>528</v>
      </c>
      <c r="I338" s="161">
        <v>44586</v>
      </c>
      <c r="J338" s="35" t="s">
        <v>1563</v>
      </c>
      <c r="K338" s="21">
        <v>180400</v>
      </c>
      <c r="L338" s="21"/>
      <c r="M338" s="22">
        <f>(PROVEEDORES[[#This Row],[SUBTOTAL]]-PROVEEDORES[[#This Row],[descuento sobre subtotal]])*VLOOKUP(PROVEEDORES[[#This Row],[PROVEEDOR]],TERCEROS_INFO[#All],3,FALSE)</f>
        <v>0</v>
      </c>
      <c r="N338" s="23"/>
      <c r="O338" s="22">
        <v>0</v>
      </c>
      <c r="P338" s="83">
        <f>+IF(PROVEEDORES[[#This Row],[SUBTOTAL]]&lt;PROVEEDORES[[#This Row],[base retencion]],0,PROVEEDORES[[#This Row],[retención aplicada]])</f>
        <v>0</v>
      </c>
      <c r="Q338" s="22">
        <f>+PROVEEDORES[[#This Row],[Rete Fuente %]]*(PROVEEDORES[[#This Row],[SUBTOTAL]]-PROVEEDORES[[#This Row],[descuento sobre subtotal]])</f>
        <v>0</v>
      </c>
      <c r="R338" s="21">
        <v>180400</v>
      </c>
      <c r="S3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68">
        <f ca="1">IF(PROVEEDORES[[#This Row],[FECHA DE PAGO]]=0,TODAY()-PROVEEDORES[[#This Row],[FECHA DE FACTURACIÓN]]-PROVEEDORES[[#This Row],[PLAZO Días]],0)</f>
        <v>0</v>
      </c>
      <c r="U338" s="96">
        <f>+VLOOKUP(PROVEEDORES[[#This Row],[PROVEEDOR]],Terceros!$A:$D,4,FALSE)</f>
        <v>0</v>
      </c>
      <c r="V338" s="97">
        <f>+YEAR(PROVEEDORES[[#This Row],[FECHA DE FACTURACIÓN]])</f>
        <v>2022</v>
      </c>
      <c r="W338" s="97">
        <f>+MATCH(PROVEEDORES[[#This Row],[año facturado]],Retenciones!$1:$1,0)</f>
        <v>5</v>
      </c>
      <c r="X338" s="98">
        <f>+VLOOKUP(PROVEEDORES[[#This Row],[ID RETENCION]],Retenciones!$A$1:$O$25,PROVEEDORES[[#This Row],[indicador de columna]],FALSE)</f>
        <v>0</v>
      </c>
      <c r="Y338" s="99">
        <f>+VLOOKUP(PROVEEDORES[[#This Row],[ID RETENCION]],Retenciones!$A$1:$O$25,2,FALSE)</f>
        <v>0</v>
      </c>
      <c r="Z338" s="125" t="b">
        <f>OR(COUNTIF(PROVEEDORES[[#This Row],[PROVEEDOR]],"*"&amp;'Palabra no opera'!$A$2&amp;"*"))</f>
        <v>0</v>
      </c>
      <c r="AA338" s="24"/>
      <c r="AB338" s="24"/>
      <c r="AC338" s="24"/>
      <c r="AD338" s="24"/>
      <c r="AE338" s="24"/>
    </row>
    <row r="339" spans="1:31" ht="22.2" customHeight="1" x14ac:dyDescent="0.3">
      <c r="A339" s="66" t="str">
        <f>+IF(PROVEEDORES[[#This Row],[FECHA DE PAGO]]=PROVEEDORES[[#This Row],[FECHA DE FACTURACIÓN]],"DE CONTADO","CRÉDITO")</f>
        <v>CRÉDITO</v>
      </c>
      <c r="B339" s="38" t="str">
        <f>+IF((PROVEEDORES[[#This Row],[FECHA DE PAGO]]-PROVEEDORES[[#This Row],[FECHA DE FACTURACIÓN]])&gt;PROVEEDORES[[#This Row],[PLAZO Días]],"PAGO VENCIDO")</f>
        <v>PAGO VENCIDO</v>
      </c>
      <c r="C339" s="20">
        <f>+VLOOKUP(PROVEEDORES[[#This Row],[PROVEEDOR]],TERCEROS_INFO[#All],2,FALSE)</f>
        <v>30</v>
      </c>
      <c r="D339" s="25">
        <f>+SUMIFS(PROVEEDORES[Total],PROVEEDORES[PROVEEDOR],PROVEEDORES[[#This Row],[PROVEEDOR]],PROVEEDORES[FECHA DE PAGO],"")</f>
        <v>0</v>
      </c>
      <c r="E339" s="25"/>
      <c r="F339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339" s="161">
        <v>44546</v>
      </c>
      <c r="H339" s="26" t="s">
        <v>633</v>
      </c>
      <c r="I339" s="161">
        <v>44498</v>
      </c>
      <c r="J339" s="35" t="s">
        <v>1514</v>
      </c>
      <c r="K339" s="21">
        <v>180800</v>
      </c>
      <c r="L339" s="21"/>
      <c r="M339" s="22">
        <f>(PROVEEDORES[[#This Row],[SUBTOTAL]]-PROVEEDORES[[#This Row],[descuento sobre subtotal]])*VLOOKUP(PROVEEDORES[[#This Row],[PROVEEDOR]],TERCEROS_INFO[#All],3,FALSE)</f>
        <v>0</v>
      </c>
      <c r="N339" s="23"/>
      <c r="O339" s="22">
        <f>+PROVEEDORES[[#This Row],[Descuento sobre subtotal %]]*(PROVEEDORES[[#This Row],[SUBTOTAL]]-PROVEEDORES[[#This Row],[descuento sobre subtotal]])</f>
        <v>0</v>
      </c>
      <c r="P339" s="83">
        <f>+IF(PROVEEDORES[[#This Row],[SUBTOTAL]]&lt;PROVEEDORES[[#This Row],[base retencion]],0,PROVEEDORES[[#This Row],[retención aplicada]])</f>
        <v>0</v>
      </c>
      <c r="Q339" s="22">
        <f>+PROVEEDORES[[#This Row],[Rete Fuente %]]*(PROVEEDORES[[#This Row],[SUBTOTAL]]-PROVEEDORES[[#This Row],[descuento sobre subtotal]])</f>
        <v>0</v>
      </c>
      <c r="R339" s="21">
        <f>+PROVEEDORES[[#This Row],[SUBTOTAL]]+PROVEEDORES[[#This Row],[IVA 19%]]-PROVEEDORES[[#This Row],[descuento sobre subtotal]]-PROVEEDORES[[#This Row],[Descuento sobre subtotal $2]]-PROVEEDORES[[#This Row],[Rete Fuente $]]</f>
        <v>180800</v>
      </c>
      <c r="S3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68">
        <f ca="1">IF(PROVEEDORES[[#This Row],[FECHA DE PAGO]]=0,TODAY()-PROVEEDORES[[#This Row],[FECHA DE FACTURACIÓN]]-PROVEEDORES[[#This Row],[PLAZO Días]],0)</f>
        <v>0</v>
      </c>
      <c r="U339" s="96">
        <f>+VLOOKUP(PROVEEDORES[[#This Row],[PROVEEDOR]],Terceros!$A:$D,4,FALSE)</f>
        <v>0</v>
      </c>
      <c r="V339" s="97">
        <f>+YEAR(PROVEEDORES[[#This Row],[FECHA DE FACTURACIÓN]])</f>
        <v>2021</v>
      </c>
      <c r="W339" s="97">
        <f>+MATCH(PROVEEDORES[[#This Row],[año facturado]],Retenciones!$1:$1,0)</f>
        <v>4</v>
      </c>
      <c r="X339" s="98">
        <f>+VLOOKUP(PROVEEDORES[[#This Row],[ID RETENCION]],Retenciones!$A$1:$O$25,PROVEEDORES[[#This Row],[indicador de columna]],FALSE)</f>
        <v>0</v>
      </c>
      <c r="Y339" s="99">
        <f>+VLOOKUP(PROVEEDORES[[#This Row],[ID RETENCION]],Retenciones!$A$1:$O$25,2,FALSE)</f>
        <v>0</v>
      </c>
      <c r="Z339" s="125" t="b">
        <f>OR(COUNTIF(PROVEEDORES[[#This Row],[PROVEEDOR]],"*"&amp;'Palabra no opera'!$A$2&amp;"*"))</f>
        <v>0</v>
      </c>
      <c r="AA339" s="24"/>
      <c r="AB339" s="24"/>
      <c r="AC339" s="24"/>
      <c r="AD339" s="24"/>
      <c r="AE339" s="24"/>
    </row>
    <row r="340" spans="1:31" ht="22.2" customHeight="1" x14ac:dyDescent="0.3">
      <c r="A340" s="66" t="str">
        <f>+IF(PROVEEDORES[[#This Row],[FECHA DE PAGO]]=PROVEEDORES[[#This Row],[FECHA DE FACTURACIÓN]],"DE CONTADO","CRÉDITO")</f>
        <v>DE CONTADO</v>
      </c>
      <c r="B340" s="38" t="b">
        <f>+IF((PROVEEDORES[[#This Row],[FECHA DE PAGO]]-PROVEEDORES[[#This Row],[FECHA DE FACTURACIÓN]])&gt;PROVEEDORES[[#This Row],[PLAZO Días]],"PAGO VENCIDO")</f>
        <v>0</v>
      </c>
      <c r="C340" s="20">
        <f>+VLOOKUP(PROVEEDORES[[#This Row],[PROVEEDOR]],TERCEROS_INFO[#All],2,FALSE)</f>
        <v>30</v>
      </c>
      <c r="D340" s="25">
        <f>+SUMIFS(PROVEEDORES[Total],PROVEEDORES[PROVEEDOR],PROVEEDORES[[#This Row],[PROVEEDOR]],PROVEEDORES[FECHA DE PAGO],"")</f>
        <v>0</v>
      </c>
      <c r="E340" s="25"/>
      <c r="F340" s="58" t="str">
        <f>+VLOOKUP(PROVEEDORES[[#This Row],[PROVEEDOR]],
                       Terceros!$A:$F,
                       5,
                       FALSE)</f>
        <v/>
      </c>
      <c r="G340" s="161">
        <v>44447</v>
      </c>
      <c r="H340" s="26" t="s">
        <v>693</v>
      </c>
      <c r="I340" s="161">
        <v>44447</v>
      </c>
      <c r="J340" s="35" t="s">
        <v>1494</v>
      </c>
      <c r="K340" s="21">
        <v>182000</v>
      </c>
      <c r="L340" s="21"/>
      <c r="M340" s="22">
        <f>(PROVEEDORES[[#This Row],[SUBTOTAL]]-PROVEEDORES[[#This Row],[descuento sobre subtotal]])*VLOOKUP(PROVEEDORES[[#This Row],[PROVEEDOR]],TERCEROS_INFO[#All],3,FALSE)</f>
        <v>0</v>
      </c>
      <c r="N340" s="23"/>
      <c r="O340" s="22">
        <f>+PROVEEDORES[[#This Row],[Descuento sobre subtotal %]]*(PROVEEDORES[[#This Row],[SUBTOTAL]]-PROVEEDORES[[#This Row],[descuento sobre subtotal]])</f>
        <v>0</v>
      </c>
      <c r="P340" s="83">
        <f>+IF(PROVEEDORES[[#This Row],[SUBTOTAL]]&lt;PROVEEDORES[[#This Row],[base retencion]],0,PROVEEDORES[[#This Row],[retención aplicada]])</f>
        <v>0</v>
      </c>
      <c r="Q340" s="22">
        <f>+PROVEEDORES[[#This Row],[Rete Fuente %]]*(PROVEEDORES[[#This Row],[SUBTOTAL]]-PROVEEDORES[[#This Row],[descuento sobre subtotal]])</f>
        <v>0</v>
      </c>
      <c r="R340" s="21">
        <f>+PROVEEDORES[[#This Row],[SUBTOTAL]]+PROVEEDORES[[#This Row],[IVA 19%]]-PROVEEDORES[[#This Row],[descuento sobre subtotal]]-PROVEEDORES[[#This Row],[Descuento sobre subtotal $2]]-PROVEEDORES[[#This Row],[Rete Fuente $]]</f>
        <v>182000</v>
      </c>
      <c r="S3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68">
        <f ca="1">IF(PROVEEDORES[[#This Row],[FECHA DE PAGO]]=0,TODAY()-PROVEEDORES[[#This Row],[FECHA DE FACTURACIÓN]]-PROVEEDORES[[#This Row],[PLAZO Días]],0)</f>
        <v>0</v>
      </c>
      <c r="U340" s="96">
        <f>+VLOOKUP(PROVEEDORES[[#This Row],[PROVEEDOR]],Terceros!$A:$D,4,FALSE)</f>
        <v>0</v>
      </c>
      <c r="V340" s="97">
        <f>+YEAR(PROVEEDORES[[#This Row],[FECHA DE FACTURACIÓN]])</f>
        <v>2021</v>
      </c>
      <c r="W340" s="97">
        <f>+MATCH(PROVEEDORES[[#This Row],[año facturado]],Retenciones!$1:$1,0)</f>
        <v>4</v>
      </c>
      <c r="X340" s="98">
        <f>+VLOOKUP(PROVEEDORES[[#This Row],[ID RETENCION]],Retenciones!$A$1:$O$25,PROVEEDORES[[#This Row],[indicador de columna]],FALSE)</f>
        <v>0</v>
      </c>
      <c r="Y340" s="99">
        <f>+VLOOKUP(PROVEEDORES[[#This Row],[ID RETENCION]],Retenciones!$A$1:$O$25,2,FALSE)</f>
        <v>0</v>
      </c>
      <c r="Z340" s="125" t="b">
        <f>OR(COUNTIF(PROVEEDORES[[#This Row],[PROVEEDOR]],"*"&amp;'Palabra no opera'!$A$2&amp;"*"))</f>
        <v>0</v>
      </c>
      <c r="AA340" s="24"/>
      <c r="AB340" s="24"/>
      <c r="AC340" s="24"/>
      <c r="AD340" s="24"/>
      <c r="AE340" s="24"/>
    </row>
    <row r="341" spans="1:31" ht="22.2" customHeight="1" x14ac:dyDescent="0.3">
      <c r="A341" s="66" t="str">
        <f>+IF(PROVEEDORES[[#This Row],[FECHA DE PAGO]]=PROVEEDORES[[#This Row],[FECHA DE FACTURACIÓN]],"DE CONTADO","CRÉDITO")</f>
        <v>CRÉDITO</v>
      </c>
      <c r="B341" s="38" t="b">
        <f>+IF((PROVEEDORES[[#This Row],[FECHA DE PAGO]]-PROVEEDORES[[#This Row],[FECHA DE FACTURACIÓN]])&gt;PROVEEDORES[[#This Row],[PLAZO Días]],"PAGO VENCIDO")</f>
        <v>0</v>
      </c>
      <c r="C341" s="20">
        <f>+VLOOKUP(PROVEEDORES[[#This Row],[PROVEEDOR]],TERCEROS_INFO[#All],2,FALSE)</f>
        <v>30</v>
      </c>
      <c r="D341" s="25">
        <f>+SUMIFS(PROVEEDORES[Total],PROVEEDORES[PROVEEDOR],PROVEEDORES[[#This Row],[PROVEEDOR]],PROVEEDORES[FECHA DE PAGO],"")</f>
        <v>0</v>
      </c>
      <c r="E341" s="25"/>
      <c r="F34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41" s="161">
        <v>44624</v>
      </c>
      <c r="H341" s="26" t="s">
        <v>615</v>
      </c>
      <c r="I341" s="161">
        <v>44603</v>
      </c>
      <c r="J341" s="35" t="s">
        <v>744</v>
      </c>
      <c r="K341" s="21">
        <v>182658.72</v>
      </c>
      <c r="L341" s="21"/>
      <c r="M341" s="22">
        <f>(PROVEEDORES[[#This Row],[SUBTOTAL]]-PROVEEDORES[[#This Row],[descuento sobre subtotal]])*VLOOKUP(PROVEEDORES[[#This Row],[PROVEEDOR]],TERCEROS_INFO[#All],3,FALSE)</f>
        <v>0</v>
      </c>
      <c r="N341" s="23"/>
      <c r="O341" s="22">
        <f>+PROVEEDORES[[#This Row],[Descuento sobre subtotal %]]*(PROVEEDORES[[#This Row],[SUBTOTAL]]-PROVEEDORES[[#This Row],[descuento sobre subtotal]])</f>
        <v>0</v>
      </c>
      <c r="P341" s="83">
        <f>+IF(PROVEEDORES[[#This Row],[SUBTOTAL]]&lt;PROVEEDORES[[#This Row],[base retencion]],0,PROVEEDORES[[#This Row],[retención aplicada]])</f>
        <v>0</v>
      </c>
      <c r="Q341" s="22">
        <f>+PROVEEDORES[[#This Row],[Rete Fuente %]]*(PROVEEDORES[[#This Row],[SUBTOTAL]]-PROVEEDORES[[#This Row],[descuento sobre subtotal]])</f>
        <v>0</v>
      </c>
      <c r="R341" s="21">
        <f>+PROVEEDORES[[#This Row],[SUBTOTAL]]+PROVEEDORES[[#This Row],[IVA 19%]]-PROVEEDORES[[#This Row],[descuento sobre subtotal]]-PROVEEDORES[[#This Row],[Descuento sobre subtotal $2]]-PROVEEDORES[[#This Row],[Rete Fuente $]]</f>
        <v>182658.72</v>
      </c>
      <c r="S3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68">
        <f ca="1">IF(PROVEEDORES[[#This Row],[FECHA DE PAGO]]=0,TODAY()-PROVEEDORES[[#This Row],[FECHA DE FACTURACIÓN]]-PROVEEDORES[[#This Row],[PLAZO Días]],0)</f>
        <v>0</v>
      </c>
      <c r="U341" s="96">
        <f>+VLOOKUP(PROVEEDORES[[#This Row],[PROVEEDOR]],Terceros!$A:$D,4,FALSE)</f>
        <v>0</v>
      </c>
      <c r="V341" s="97">
        <f>+YEAR(PROVEEDORES[[#This Row],[FECHA DE FACTURACIÓN]])</f>
        <v>2022</v>
      </c>
      <c r="W341" s="97">
        <f>+MATCH(PROVEEDORES[[#This Row],[año facturado]],Retenciones!$1:$1,0)</f>
        <v>5</v>
      </c>
      <c r="X341" s="98">
        <f>+VLOOKUP(PROVEEDORES[[#This Row],[ID RETENCION]],Retenciones!$A$1:$O$25,PROVEEDORES[[#This Row],[indicador de columna]],FALSE)</f>
        <v>0</v>
      </c>
      <c r="Y341" s="99">
        <f>+VLOOKUP(PROVEEDORES[[#This Row],[ID RETENCION]],Retenciones!$A$1:$O$25,2,FALSE)</f>
        <v>0</v>
      </c>
      <c r="Z341" s="125" t="b">
        <f>OR(COUNTIF(PROVEEDORES[[#This Row],[PROVEEDOR]],"*"&amp;'Palabra no opera'!$A$2&amp;"*"))</f>
        <v>0</v>
      </c>
      <c r="AA341" s="24"/>
      <c r="AB341" s="24"/>
      <c r="AC341" s="24"/>
      <c r="AD341" s="24"/>
      <c r="AE341" s="24"/>
    </row>
    <row r="342" spans="1:31" ht="22.2" customHeight="1" x14ac:dyDescent="0.3">
      <c r="A342" s="66" t="str">
        <f>+IF(PROVEEDORES[[#This Row],[FECHA DE PAGO]]=PROVEEDORES[[#This Row],[FECHA DE FACTURACIÓN]],"DE CONTADO","CRÉDITO")</f>
        <v>CRÉDITO</v>
      </c>
      <c r="B342" s="38" t="b">
        <f>+IF((PROVEEDORES[[#This Row],[FECHA DE PAGO]]-PROVEEDORES[[#This Row],[FECHA DE FACTURACIÓN]])&gt;PROVEEDORES[[#This Row],[PLAZO Días]],"PAGO VENCIDO")</f>
        <v>0</v>
      </c>
      <c r="C342" s="20">
        <f>+VLOOKUP(PROVEEDORES[[#This Row],[PROVEEDOR]],TERCEROS_INFO[#All],2,FALSE)</f>
        <v>30</v>
      </c>
      <c r="D342" s="25">
        <f>+SUMIFS(PROVEEDORES[Total],PROVEEDORES[PROVEEDOR],PROVEEDORES[[#This Row],[PROVEEDOR]],PROVEEDORES[FECHA DE PAGO],"")</f>
        <v>0</v>
      </c>
      <c r="E342" s="25"/>
      <c r="F342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342" s="161">
        <v>44449</v>
      </c>
      <c r="H342" s="26" t="s">
        <v>930</v>
      </c>
      <c r="I342" s="161">
        <v>44442</v>
      </c>
      <c r="J342" s="35">
        <v>642</v>
      </c>
      <c r="K342" s="21">
        <v>190000</v>
      </c>
      <c r="L342" s="21"/>
      <c r="M342" s="22">
        <f>(PROVEEDORES[[#This Row],[SUBTOTAL]]-PROVEEDORES[[#This Row],[descuento sobre subtotal]])*VLOOKUP(PROVEEDORES[[#This Row],[PROVEEDOR]],TERCEROS_INFO[#All],3,FALSE)</f>
        <v>0</v>
      </c>
      <c r="N342" s="23"/>
      <c r="O342" s="22">
        <f>+PROVEEDORES[[#This Row],[Descuento sobre subtotal %]]*(PROVEEDORES[[#This Row],[SUBTOTAL]]-PROVEEDORES[[#This Row],[descuento sobre subtotal]])</f>
        <v>0</v>
      </c>
      <c r="P342" s="83">
        <f>+IF(PROVEEDORES[[#This Row],[SUBTOTAL]]&lt;PROVEEDORES[[#This Row],[base retencion]],0,PROVEEDORES[[#This Row],[retención aplicada]])</f>
        <v>3.5000000000000003E-2</v>
      </c>
      <c r="Q342" s="22">
        <f>+PROVEEDORES[[#This Row],[Rete Fuente %]]*(PROVEEDORES[[#This Row],[SUBTOTAL]]-PROVEEDORES[[#This Row],[descuento sobre subtotal]])</f>
        <v>6650.0000000000009</v>
      </c>
      <c r="R342" s="21">
        <f>+PROVEEDORES[[#This Row],[SUBTOTAL]]+PROVEEDORES[[#This Row],[IVA 19%]]-PROVEEDORES[[#This Row],[descuento sobre subtotal]]-PROVEEDORES[[#This Row],[Descuento sobre subtotal $2]]-PROVEEDORES[[#This Row],[Rete Fuente $]]</f>
        <v>183350</v>
      </c>
      <c r="S3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68">
        <f ca="1">IF(PROVEEDORES[[#This Row],[FECHA DE PAGO]]=0,TODAY()-PROVEEDORES[[#This Row],[FECHA DE FACTURACIÓN]]-PROVEEDORES[[#This Row],[PLAZO Días]],0)</f>
        <v>0</v>
      </c>
      <c r="U342" s="96" t="str">
        <f>+VLOOKUP(PROVEEDORES[[#This Row],[PROVEEDOR]],Terceros!$A:$D,4,FALSE)</f>
        <v>3,5% sin base</v>
      </c>
      <c r="V342" s="97">
        <f>+YEAR(PROVEEDORES[[#This Row],[FECHA DE FACTURACIÓN]])</f>
        <v>2021</v>
      </c>
      <c r="W342" s="97">
        <f>+MATCH(PROVEEDORES[[#This Row],[año facturado]],Retenciones!$1:$1,0)</f>
        <v>4</v>
      </c>
      <c r="X342" s="98">
        <f>+VLOOKUP(PROVEEDORES[[#This Row],[ID RETENCION]],Retenciones!$A$1:$O$25,PROVEEDORES[[#This Row],[indicador de columna]],FALSE)</f>
        <v>0</v>
      </c>
      <c r="Y342" s="99">
        <f>+VLOOKUP(PROVEEDORES[[#This Row],[ID RETENCION]],Retenciones!$A$1:$O$25,2,FALSE)</f>
        <v>3.5000000000000003E-2</v>
      </c>
      <c r="Z342" s="125" t="b">
        <f>OR(COUNTIF(PROVEEDORES[[#This Row],[PROVEEDOR]],"*"&amp;'Palabra no opera'!$A$2&amp;"*"))</f>
        <v>1</v>
      </c>
      <c r="AA342" s="24"/>
      <c r="AB342" s="24"/>
      <c r="AC342" s="24"/>
      <c r="AD342" s="24"/>
      <c r="AE342" s="24"/>
    </row>
    <row r="343" spans="1:31" ht="22.2" customHeight="1" x14ac:dyDescent="0.3">
      <c r="A343" s="66" t="str">
        <f>+IF(PROVEEDORES[[#This Row],[FECHA DE PAGO]]=PROVEEDORES[[#This Row],[FECHA DE FACTURACIÓN]],"DE CONTADO","CRÉDITO")</f>
        <v>CRÉDITO</v>
      </c>
      <c r="B343" s="38" t="b">
        <f>+IF((PROVEEDORES[[#This Row],[FECHA DE PAGO]]-PROVEEDORES[[#This Row],[FECHA DE FACTURACIÓN]])&gt;PROVEEDORES[[#This Row],[PLAZO Días]],"PAGO VENCIDO")</f>
        <v>0</v>
      </c>
      <c r="C343" s="20">
        <f>+VLOOKUP(PROVEEDORES[[#This Row],[PROVEEDOR]],TERCEROS_INFO[#All],2,FALSE)</f>
        <v>30</v>
      </c>
      <c r="D343" s="25">
        <f>+SUMIFS(PROVEEDORES[Total],PROVEEDORES[PROVEEDOR],PROVEEDORES[[#This Row],[PROVEEDOR]],PROVEEDORES[FECHA DE PAGO],"")</f>
        <v>-101001.25</v>
      </c>
      <c r="E343" s="25"/>
      <c r="F343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43" s="161">
        <v>44389</v>
      </c>
      <c r="H343" s="26" t="s">
        <v>14</v>
      </c>
      <c r="I343" s="161">
        <v>44363</v>
      </c>
      <c r="J343" s="35">
        <v>14498</v>
      </c>
      <c r="K343" s="21">
        <v>154542</v>
      </c>
      <c r="L343" s="21"/>
      <c r="M343" s="22">
        <f>(PROVEEDORES[[#This Row],[SUBTOTAL]]-PROVEEDORES[[#This Row],[descuento sobre subtotal]])*VLOOKUP(PROVEEDORES[[#This Row],[PROVEEDOR]],TERCEROS_INFO[#All],3,FALSE)</f>
        <v>29362.98</v>
      </c>
      <c r="N343" s="23"/>
      <c r="O343" s="22">
        <f>+PROVEEDORES[[#This Row],[Descuento sobre subtotal %]]*(PROVEEDORES[[#This Row],[SUBTOTAL]]-PROVEEDORES[[#This Row],[descuento sobre subtotal]])</f>
        <v>0</v>
      </c>
      <c r="P343" s="83">
        <f>+IF(PROVEEDORES[[#This Row],[SUBTOTAL]]&lt;PROVEEDORES[[#This Row],[base retencion]],0,PROVEEDORES[[#This Row],[retención aplicada]])</f>
        <v>0</v>
      </c>
      <c r="Q343" s="22">
        <f>+PROVEEDORES[[#This Row],[Rete Fuente %]]*(PROVEEDORES[[#This Row],[SUBTOTAL]]-PROVEEDORES[[#This Row],[descuento sobre subtotal]])</f>
        <v>0</v>
      </c>
      <c r="R343" s="21">
        <f>+PROVEEDORES[[#This Row],[SUBTOTAL]]+PROVEEDORES[[#This Row],[IVA 19%]]-PROVEEDORES[[#This Row],[descuento sobre subtotal]]-PROVEEDORES[[#This Row],[Descuento sobre subtotal $2]]-PROVEEDORES[[#This Row],[Rete Fuente $]]</f>
        <v>183904.98</v>
      </c>
      <c r="S3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68">
        <f ca="1">IF(PROVEEDORES[[#This Row],[FECHA DE PAGO]]=0,TODAY()-PROVEEDORES[[#This Row],[FECHA DE FACTURACIÓN]]-PROVEEDORES[[#This Row],[PLAZO Días]],0)</f>
        <v>0</v>
      </c>
      <c r="U343" s="96" t="str">
        <f>+VLOOKUP(PROVEEDORES[[#This Row],[PROVEEDOR]],Terceros!$A:$D,4,FALSE)</f>
        <v>2,5% con base</v>
      </c>
      <c r="V343" s="97">
        <f>+YEAR(PROVEEDORES[[#This Row],[FECHA DE FACTURACIÓN]])</f>
        <v>2021</v>
      </c>
      <c r="W343" s="97">
        <f>+MATCH(PROVEEDORES[[#This Row],[año facturado]],Retenciones!$1:$1,0)</f>
        <v>4</v>
      </c>
      <c r="X343" s="98">
        <f>+VLOOKUP(PROVEEDORES[[#This Row],[ID RETENCION]],Retenciones!$A$1:$O$25,PROVEEDORES[[#This Row],[indicador de columna]],FALSE)</f>
        <v>980000</v>
      </c>
      <c r="Y343" s="99">
        <f>+VLOOKUP(PROVEEDORES[[#This Row],[ID RETENCION]],Retenciones!$A$1:$O$25,2,FALSE)</f>
        <v>2.5000000000000001E-2</v>
      </c>
      <c r="Z343" s="125" t="b">
        <f>OR(COUNTIF(PROVEEDORES[[#This Row],[PROVEEDOR]],"*"&amp;'Palabra no opera'!$A$2&amp;"*"))</f>
        <v>0</v>
      </c>
      <c r="AA343" s="24"/>
      <c r="AB343" s="24"/>
      <c r="AC343" s="24"/>
      <c r="AD343" s="24"/>
      <c r="AE343" s="24"/>
    </row>
    <row r="344" spans="1:31" ht="22.2" customHeight="1" x14ac:dyDescent="0.3">
      <c r="A344" s="66" t="str">
        <f>+IF(PROVEEDORES[[#This Row],[FECHA DE PAGO]]=PROVEEDORES[[#This Row],[FECHA DE FACTURACIÓN]],"DE CONTADO","CRÉDITO")</f>
        <v>CRÉDITO</v>
      </c>
      <c r="B344" s="38" t="b">
        <f>+IF((PROVEEDORES[[#This Row],[FECHA DE PAGO]]-PROVEEDORES[[#This Row],[FECHA DE FACTURACIÓN]])&gt;PROVEEDORES[[#This Row],[PLAZO Días]],"PAGO VENCIDO")</f>
        <v>0</v>
      </c>
      <c r="C344" s="20">
        <f>+VLOOKUP(PROVEEDORES[[#This Row],[PROVEEDOR]],TERCEROS_INFO[#All],2,FALSE)</f>
        <v>30</v>
      </c>
      <c r="D344" s="25">
        <f>+SUMIFS(PROVEEDORES[Total],PROVEEDORES[PROVEEDOR],PROVEEDORES[[#This Row],[PROVEEDOR]],PROVEEDORES[FECHA DE PAGO],"")</f>
        <v>0</v>
      </c>
      <c r="E344" s="25"/>
      <c r="F34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44" s="161">
        <v>44235</v>
      </c>
      <c r="H344" s="26" t="s">
        <v>1450</v>
      </c>
      <c r="I344" s="161">
        <v>44228</v>
      </c>
      <c r="J344" s="35">
        <v>263</v>
      </c>
      <c r="K344" s="21">
        <v>184000</v>
      </c>
      <c r="L344" s="21"/>
      <c r="M344" s="22">
        <f>(PROVEEDORES[[#This Row],[SUBTOTAL]]-PROVEEDORES[[#This Row],[descuento sobre subtotal]])*VLOOKUP(PROVEEDORES[[#This Row],[PROVEEDOR]],TERCEROS_INFO[#All],3,FALSE)</f>
        <v>0</v>
      </c>
      <c r="N344" s="23"/>
      <c r="O344" s="22">
        <f>+PROVEEDORES[[#This Row],[Descuento sobre subtotal %]]*(PROVEEDORES[[#This Row],[SUBTOTAL]]-PROVEEDORES[[#This Row],[descuento sobre subtotal]])</f>
        <v>0</v>
      </c>
      <c r="P344" s="83">
        <f>+IF(PROVEEDORES[[#This Row],[SUBTOTAL]]&lt;PROVEEDORES[[#This Row],[base retencion]],0,PROVEEDORES[[#This Row],[retención aplicada]])</f>
        <v>0</v>
      </c>
      <c r="Q344" s="22">
        <f>+PROVEEDORES[[#This Row],[Rete Fuente %]]*(PROVEEDORES[[#This Row],[SUBTOTAL]]-PROVEEDORES[[#This Row],[descuento sobre subtotal]])</f>
        <v>0</v>
      </c>
      <c r="R344" s="21">
        <f>+PROVEEDORES[[#This Row],[SUBTOTAL]]+PROVEEDORES[[#This Row],[IVA 19%]]-PROVEEDORES[[#This Row],[descuento sobre subtotal]]-PROVEEDORES[[#This Row],[Descuento sobre subtotal $2]]-PROVEEDORES[[#This Row],[Rete Fuente $]]</f>
        <v>184000</v>
      </c>
      <c r="S3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68">
        <f ca="1">IF(PROVEEDORES[[#This Row],[FECHA DE PAGO]]=0,TODAY()-PROVEEDORES[[#This Row],[FECHA DE FACTURACIÓN]]-PROVEEDORES[[#This Row],[PLAZO Días]],0)</f>
        <v>0</v>
      </c>
      <c r="U344" s="96">
        <f>+VLOOKUP(PROVEEDORES[[#This Row],[PROVEEDOR]],Terceros!$A:$D,4,FALSE)</f>
        <v>0</v>
      </c>
      <c r="V344" s="97">
        <f>+YEAR(PROVEEDORES[[#This Row],[FECHA DE FACTURACIÓN]])</f>
        <v>2021</v>
      </c>
      <c r="W344" s="97">
        <f>+MATCH(PROVEEDORES[[#This Row],[año facturado]],Retenciones!$1:$1,0)</f>
        <v>4</v>
      </c>
      <c r="X344" s="98">
        <f>+VLOOKUP(PROVEEDORES[[#This Row],[ID RETENCION]],Retenciones!$A$1:$O$25,PROVEEDORES[[#This Row],[indicador de columna]],FALSE)</f>
        <v>0</v>
      </c>
      <c r="Y344" s="99">
        <f>+VLOOKUP(PROVEEDORES[[#This Row],[ID RETENCION]],Retenciones!$A$1:$O$25,2,FALSE)</f>
        <v>0</v>
      </c>
      <c r="Z344" s="125" t="b">
        <f>OR(COUNTIF(PROVEEDORES[[#This Row],[PROVEEDOR]],"*"&amp;'Palabra no opera'!$A$2&amp;"*"))</f>
        <v>0</v>
      </c>
      <c r="AA344" s="24"/>
      <c r="AB344" s="24"/>
      <c r="AC344" s="24"/>
      <c r="AD344" s="24"/>
      <c r="AE344" s="24"/>
    </row>
    <row r="345" spans="1:31" ht="22.2" customHeight="1" x14ac:dyDescent="0.3">
      <c r="A345" s="66" t="str">
        <f>+IF(PROVEEDORES[[#This Row],[FECHA DE PAGO]]=PROVEEDORES[[#This Row],[FECHA DE FACTURACIÓN]],"DE CONTADO","CRÉDITO")</f>
        <v>CRÉDITO</v>
      </c>
      <c r="B345" s="38" t="b">
        <f>+IF((PROVEEDORES[[#This Row],[FECHA DE PAGO]]-PROVEEDORES[[#This Row],[FECHA DE FACTURACIÓN]])&gt;PROVEEDORES[[#This Row],[PLAZO Días]],"PAGO VENCIDO")</f>
        <v>0</v>
      </c>
      <c r="C345" s="20">
        <f>+VLOOKUP(PROVEEDORES[[#This Row],[PROVEEDOR]],TERCEROS_INFO[#All],2,FALSE)</f>
        <v>60</v>
      </c>
      <c r="D345" s="25">
        <f>+SUMIFS(PROVEEDORES[Total],PROVEEDORES[PROVEEDOR],PROVEEDORES[[#This Row],[PROVEEDOR]],PROVEEDORES[FECHA DE PAGO],"")</f>
        <v>1520362</v>
      </c>
      <c r="E345" s="25"/>
      <c r="F34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45" s="161">
        <v>44503</v>
      </c>
      <c r="H345" s="26" t="s">
        <v>528</v>
      </c>
      <c r="I345" s="161">
        <v>44470</v>
      </c>
      <c r="J345" s="35" t="s">
        <v>1317</v>
      </c>
      <c r="K345" s="21">
        <v>184752</v>
      </c>
      <c r="L345" s="21"/>
      <c r="M345" s="22">
        <f>(PROVEEDORES[[#This Row],[SUBTOTAL]]-PROVEEDORES[[#This Row],[descuento sobre subtotal]])*VLOOKUP(PROVEEDORES[[#This Row],[PROVEEDOR]],TERCEROS_INFO[#All],3,FALSE)</f>
        <v>0</v>
      </c>
      <c r="N345" s="23"/>
      <c r="O345" s="22">
        <f>+PROVEEDORES[[#This Row],[Descuento sobre subtotal %]]*(PROVEEDORES[[#This Row],[SUBTOTAL]]-PROVEEDORES[[#This Row],[descuento sobre subtotal]])</f>
        <v>0</v>
      </c>
      <c r="P345" s="83">
        <f>+IF(PROVEEDORES[[#This Row],[SUBTOTAL]]&lt;PROVEEDORES[[#This Row],[base retencion]],0,PROVEEDORES[[#This Row],[retención aplicada]])</f>
        <v>0</v>
      </c>
      <c r="Q345" s="22">
        <f>+PROVEEDORES[[#This Row],[Rete Fuente %]]*(PROVEEDORES[[#This Row],[SUBTOTAL]]-PROVEEDORES[[#This Row],[descuento sobre subtotal]])</f>
        <v>0</v>
      </c>
      <c r="R345" s="21">
        <f>+PROVEEDORES[[#This Row],[SUBTOTAL]]+PROVEEDORES[[#This Row],[IVA 19%]]-PROVEEDORES[[#This Row],[descuento sobre subtotal]]-PROVEEDORES[[#This Row],[Descuento sobre subtotal $2]]-PROVEEDORES[[#This Row],[Rete Fuente $]]</f>
        <v>184752</v>
      </c>
      <c r="S3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68">
        <f ca="1">IF(PROVEEDORES[[#This Row],[FECHA DE PAGO]]=0,TODAY()-PROVEEDORES[[#This Row],[FECHA DE FACTURACIÓN]]-PROVEEDORES[[#This Row],[PLAZO Días]],0)</f>
        <v>0</v>
      </c>
      <c r="U345" s="96">
        <f>+VLOOKUP(PROVEEDORES[[#This Row],[PROVEEDOR]],Terceros!$A:$D,4,FALSE)</f>
        <v>0</v>
      </c>
      <c r="V345" s="97">
        <f>+YEAR(PROVEEDORES[[#This Row],[FECHA DE FACTURACIÓN]])</f>
        <v>2021</v>
      </c>
      <c r="W345" s="97">
        <f>+MATCH(PROVEEDORES[[#This Row],[año facturado]],Retenciones!$1:$1,0)</f>
        <v>4</v>
      </c>
      <c r="X345" s="98">
        <f>+VLOOKUP(PROVEEDORES[[#This Row],[ID RETENCION]],Retenciones!$A$1:$O$25,PROVEEDORES[[#This Row],[indicador de columna]],FALSE)</f>
        <v>0</v>
      </c>
      <c r="Y345" s="99">
        <f>+VLOOKUP(PROVEEDORES[[#This Row],[ID RETENCION]],Retenciones!$A$1:$O$25,2,FALSE)</f>
        <v>0</v>
      </c>
      <c r="Z345" s="125" t="b">
        <f>OR(COUNTIF(PROVEEDORES[[#This Row],[PROVEEDOR]],"*"&amp;'Palabra no opera'!$A$2&amp;"*"))</f>
        <v>0</v>
      </c>
      <c r="AA345" s="24"/>
      <c r="AB345" s="24"/>
      <c r="AC345" s="24"/>
      <c r="AD345" s="24"/>
      <c r="AE345" s="24"/>
    </row>
    <row r="346" spans="1:31" ht="22.2" customHeight="1" x14ac:dyDescent="0.3">
      <c r="A346" s="120" t="str">
        <f>+IF(PROVEEDORES[[#This Row],[FECHA DE PAGO]]=PROVEEDORES[[#This Row],[FECHA DE FACTURACIÓN]],"DE CONTADO","CRÉDITO")</f>
        <v>CRÉDITO</v>
      </c>
      <c r="B346" s="38" t="b">
        <f>+IF((PROVEEDORES[[#This Row],[FECHA DE PAGO]]-PROVEEDORES[[#This Row],[FECHA DE FACTURACIÓN]])&gt;PROVEEDORES[[#This Row],[PLAZO Días]],"PAGO VENCIDO")</f>
        <v>0</v>
      </c>
      <c r="C346" s="20">
        <v>90</v>
      </c>
      <c r="D346" s="25">
        <f>+SUMIFS(PROVEEDORES[Total],PROVEEDORES[PROVEEDOR],PROVEEDORES[[#This Row],[PROVEEDOR]],PROVEEDORES[FECHA DE PAGO],"")</f>
        <v>0</v>
      </c>
      <c r="E346" s="25"/>
      <c r="F346" s="58">
        <f>+VLOOKUP(PROVEEDORES[[#This Row],[PROVEEDOR]],
                       Terceros!$A:$F,
                       5,
                       FALSE)</f>
        <v>0</v>
      </c>
      <c r="G346" s="161">
        <v>44725</v>
      </c>
      <c r="H346" s="26" t="s">
        <v>932</v>
      </c>
      <c r="I346" s="161">
        <v>44671</v>
      </c>
      <c r="J346" s="35" t="s">
        <v>885</v>
      </c>
      <c r="K346" s="21">
        <v>188646</v>
      </c>
      <c r="L346" s="21"/>
      <c r="M346" s="22">
        <f>(PROVEEDORES[[#This Row],[SUBTOTAL]]-PROVEEDORES[[#This Row],[descuento sobre subtotal]])*VLOOKUP(PROVEEDORES[[#This Row],[PROVEEDOR]],TERCEROS_INFO[#All],3,FALSE)</f>
        <v>0</v>
      </c>
      <c r="N346" s="23"/>
      <c r="O346" s="22">
        <f>+PROVEEDORES[[#This Row],[Descuento sobre subtotal %]]*(PROVEEDORES[[#This Row],[SUBTOTAL]]-PROVEEDORES[[#This Row],[descuento sobre subtotal]])</f>
        <v>0</v>
      </c>
      <c r="P346" s="83">
        <f>+IF(PROVEEDORES[[#This Row],[SUBTOTAL]]&lt;PROVEEDORES[[#This Row],[base retencion]],0,PROVEEDORES[[#This Row],[retención aplicada]])</f>
        <v>0</v>
      </c>
      <c r="Q346" s="22">
        <f>+PROVEEDORES[[#This Row],[Rete Fuente %]]*(PROVEEDORES[[#This Row],[SUBTOTAL]]-PROVEEDORES[[#This Row],[descuento sobre subtotal]])</f>
        <v>0</v>
      </c>
      <c r="R346" s="21">
        <f>+PROVEEDORES[[#This Row],[SUBTOTAL]]+PROVEEDORES[[#This Row],[IVA 19%]]-PROVEEDORES[[#This Row],[descuento sobre subtotal]]-PROVEEDORES[[#This Row],[Descuento sobre subtotal $2]]-PROVEEDORES[[#This Row],[Rete Fuente $]]</f>
        <v>188646</v>
      </c>
      <c r="S3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68">
        <f ca="1">IF(PROVEEDORES[[#This Row],[FECHA DE PAGO]]=0,TODAY()-PROVEEDORES[[#This Row],[FECHA DE FACTURACIÓN]]-PROVEEDORES[[#This Row],[PLAZO Días]],0)</f>
        <v>0</v>
      </c>
      <c r="U346" s="113">
        <f>+VLOOKUP(PROVEEDORES[[#This Row],[PROVEEDOR]],Terceros!$A:$D,4,FALSE)</f>
        <v>0</v>
      </c>
      <c r="V346" s="114">
        <f>+YEAR(PROVEEDORES[[#This Row],[FECHA DE FACTURACIÓN]])</f>
        <v>2022</v>
      </c>
      <c r="W346" s="114">
        <f>+MATCH(PROVEEDORES[[#This Row],[año facturado]],Retenciones!$1:$1,0)</f>
        <v>5</v>
      </c>
      <c r="X346" s="115">
        <f>+VLOOKUP(PROVEEDORES[[#This Row],[ID RETENCION]],Retenciones!$A$1:$O$25,PROVEEDORES[[#This Row],[indicador de columna]],FALSE)</f>
        <v>0</v>
      </c>
      <c r="Y346" s="116">
        <f>+VLOOKUP(PROVEEDORES[[#This Row],[ID RETENCION]],Retenciones!$A$1:$O$25,2,FALSE)</f>
        <v>0</v>
      </c>
      <c r="Z346" s="125" t="b">
        <f>OR(COUNTIF(PROVEEDORES[[#This Row],[PROVEEDOR]],"*"&amp;'Palabra no opera'!$A$2&amp;"*"))</f>
        <v>1</v>
      </c>
      <c r="AA346" s="24"/>
      <c r="AB346" s="24"/>
      <c r="AC346" s="24"/>
      <c r="AD346" s="24"/>
      <c r="AE346" s="24"/>
    </row>
    <row r="347" spans="1:31" ht="22.2" customHeight="1" x14ac:dyDescent="0.3">
      <c r="A347" s="66" t="str">
        <f>+IF(PROVEEDORES[[#This Row],[FECHA DE PAGO]]=PROVEEDORES[[#This Row],[FECHA DE FACTURACIÓN]],"DE CONTADO","CRÉDITO")</f>
        <v>DE CONTADO</v>
      </c>
      <c r="B347" s="38" t="b">
        <f>+IF((PROVEEDORES[[#This Row],[FECHA DE PAGO]]-PROVEEDORES[[#This Row],[FECHA DE FACTURACIÓN]])&gt;PROVEEDORES[[#This Row],[PLAZO Días]],"PAGO VENCIDO")</f>
        <v>0</v>
      </c>
      <c r="C347" s="20">
        <f>+VLOOKUP(PROVEEDORES[[#This Row],[PROVEEDOR]],TERCEROS_INFO[#All],2,FALSE)</f>
        <v>30</v>
      </c>
      <c r="D347" s="25">
        <f>+SUMIFS(PROVEEDORES[Total],PROVEEDORES[PROVEEDOR],PROVEEDORES[[#This Row],[PROVEEDOR]],PROVEEDORES[FECHA DE PAGO],"")</f>
        <v>0</v>
      </c>
      <c r="E347" s="25"/>
      <c r="F347" s="58" t="str">
        <f>+VLOOKUP(PROVEEDORES[[#This Row],[PROVEEDOR]],
                       Terceros!$A:$F,
                       5,
                       FALSE)</f>
        <v/>
      </c>
      <c r="G347" s="161">
        <v>44227</v>
      </c>
      <c r="H347" s="26" t="s">
        <v>644</v>
      </c>
      <c r="I347" s="161">
        <v>44227</v>
      </c>
      <c r="J347" s="35" t="s">
        <v>1187</v>
      </c>
      <c r="K347" s="21">
        <v>190000</v>
      </c>
      <c r="L347" s="21"/>
      <c r="M347" s="22">
        <f>(PROVEEDORES[[#This Row],[SUBTOTAL]]-PROVEEDORES[[#This Row],[descuento sobre subtotal]])*VLOOKUP(PROVEEDORES[[#This Row],[PROVEEDOR]],TERCEROS_INFO[#All],3,FALSE)</f>
        <v>0</v>
      </c>
      <c r="N347" s="23"/>
      <c r="O347" s="22">
        <f>+PROVEEDORES[[#This Row],[Descuento sobre subtotal %]]*(PROVEEDORES[[#This Row],[SUBTOTAL]]-PROVEEDORES[[#This Row],[descuento sobre subtotal]])</f>
        <v>0</v>
      </c>
      <c r="P347" s="83">
        <f>+IF(PROVEEDORES[[#This Row],[SUBTOTAL]]&lt;PROVEEDORES[[#This Row],[base retencion]],0,PROVEEDORES[[#This Row],[retención aplicada]])</f>
        <v>0</v>
      </c>
      <c r="Q347" s="22">
        <f>+PROVEEDORES[[#This Row],[Rete Fuente %]]*(PROVEEDORES[[#This Row],[SUBTOTAL]]-PROVEEDORES[[#This Row],[descuento sobre subtotal]])</f>
        <v>0</v>
      </c>
      <c r="R347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3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68">
        <f ca="1">IF(PROVEEDORES[[#This Row],[FECHA DE PAGO]]=0,TODAY()-PROVEEDORES[[#This Row],[FECHA DE FACTURACIÓN]]-PROVEEDORES[[#This Row],[PLAZO Días]],0)</f>
        <v>0</v>
      </c>
      <c r="U347" s="96">
        <f>+VLOOKUP(PROVEEDORES[[#This Row],[PROVEEDOR]],Terceros!$A:$D,4,FALSE)</f>
        <v>0</v>
      </c>
      <c r="V347" s="97">
        <f>+YEAR(PROVEEDORES[[#This Row],[FECHA DE FACTURACIÓN]])</f>
        <v>2021</v>
      </c>
      <c r="W347" s="97">
        <f>+MATCH(PROVEEDORES[[#This Row],[año facturado]],Retenciones!$1:$1,0)</f>
        <v>4</v>
      </c>
      <c r="X347" s="98">
        <f>+VLOOKUP(PROVEEDORES[[#This Row],[ID RETENCION]],Retenciones!$A$1:$O$25,PROVEEDORES[[#This Row],[indicador de columna]],FALSE)</f>
        <v>0</v>
      </c>
      <c r="Y347" s="99">
        <f>+VLOOKUP(PROVEEDORES[[#This Row],[ID RETENCION]],Retenciones!$A$1:$O$25,2,FALSE)</f>
        <v>0</v>
      </c>
      <c r="Z347" s="125" t="b">
        <f>OR(COUNTIF(PROVEEDORES[[#This Row],[PROVEEDOR]],"*"&amp;'Palabra no opera'!$A$2&amp;"*"))</f>
        <v>0</v>
      </c>
      <c r="AA347" s="24"/>
      <c r="AB347" s="24"/>
      <c r="AC347" s="24"/>
      <c r="AD347" s="24"/>
      <c r="AE347" s="24"/>
    </row>
    <row r="348" spans="1:31" ht="22.2" customHeight="1" x14ac:dyDescent="0.3">
      <c r="A348" s="72" t="str">
        <f>+IF(PROVEEDORES[[#This Row],[FECHA DE PAGO]]=PROVEEDORES[[#This Row],[FECHA DE FACTURACIÓN]],"DE CONTADO","CRÉDITO")</f>
        <v>CRÉDITO</v>
      </c>
      <c r="B348" s="38" t="str">
        <f>+IF((PROVEEDORES[[#This Row],[FECHA DE PAGO]]-PROVEEDORES[[#This Row],[FECHA DE FACTURACIÓN]])&gt;PROVEEDORES[[#This Row],[PLAZO Días]],"PAGO VENCIDO")</f>
        <v>PAGO VENCIDO</v>
      </c>
      <c r="C348" s="20">
        <f>+VLOOKUP(PROVEEDORES[[#This Row],[PROVEEDOR]],TERCEROS_INFO[#All],2,FALSE)</f>
        <v>30</v>
      </c>
      <c r="D348" s="25">
        <f>+SUMIFS(PROVEEDORES[Total],PROVEEDORES[PROVEEDOR],PROVEEDORES[[#This Row],[PROVEEDOR]],PROVEEDORES[FECHA DE PAGO],"")</f>
        <v>1354000</v>
      </c>
      <c r="E348" s="25"/>
      <c r="F34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48" s="161">
        <v>44853</v>
      </c>
      <c r="H348" s="266" t="s">
        <v>699</v>
      </c>
      <c r="I348" s="161">
        <v>44765</v>
      </c>
      <c r="J348" s="35" t="s">
        <v>1623</v>
      </c>
      <c r="K348" s="21">
        <v>190000</v>
      </c>
      <c r="L348" s="21"/>
      <c r="M348" s="22">
        <f>(PROVEEDORES[[#This Row],[SUBTOTAL]]-PROVEEDORES[[#This Row],[descuento sobre subtotal]])*VLOOKUP(PROVEEDORES[[#This Row],[PROVEEDOR]],TERCEROS_INFO[#All],3,FALSE)</f>
        <v>0</v>
      </c>
      <c r="N348" s="23"/>
      <c r="O348" s="22">
        <f>+PROVEEDORES[[#This Row],[Descuento sobre subtotal %]]*(PROVEEDORES[[#This Row],[SUBTOTAL]]-PROVEEDORES[[#This Row],[descuento sobre subtotal]])</f>
        <v>0</v>
      </c>
      <c r="P348" s="83">
        <f>+IF(PROVEEDORES[[#This Row],[SUBTOTAL]]&lt;PROVEEDORES[[#This Row],[base retencion]],0,PROVEEDORES[[#This Row],[retención aplicada]])</f>
        <v>0</v>
      </c>
      <c r="Q348" s="22">
        <f>+PROVEEDORES[[#This Row],[Rete Fuente %]]*(PROVEEDORES[[#This Row],[SUBTOTAL]]-PROVEEDORES[[#This Row],[descuento sobre subtotal]])</f>
        <v>0</v>
      </c>
      <c r="R348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34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68">
        <f ca="1">IF(PROVEEDORES[[#This Row],[FECHA DE PAGO]]=0,TODAY()-PROVEEDORES[[#This Row],[FECHA DE FACTURACIÓN]]-PROVEEDORES[[#This Row],[PLAZO Días]],0)</f>
        <v>0</v>
      </c>
      <c r="U348" s="113">
        <f>+VLOOKUP(PROVEEDORES[[#This Row],[PROVEEDOR]],Terceros!$A:$D,4,FALSE)</f>
        <v>0</v>
      </c>
      <c r="V348" s="114">
        <f>+YEAR(PROVEEDORES[[#This Row],[FECHA DE FACTURACIÓN]])</f>
        <v>2022</v>
      </c>
      <c r="W348" s="114">
        <f>+MATCH(PROVEEDORES[[#This Row],[año facturado]],Retenciones!$1:$1,0)</f>
        <v>5</v>
      </c>
      <c r="X348" s="115">
        <f>+VLOOKUP(PROVEEDORES[[#This Row],[ID RETENCION]],Retenciones!$A$1:$O$25,PROVEEDORES[[#This Row],[indicador de columna]],FALSE)</f>
        <v>0</v>
      </c>
      <c r="Y348" s="116">
        <f>+VLOOKUP(PROVEEDORES[[#This Row],[ID RETENCION]],Retenciones!$A$1:$O$25,2,FALSE)</f>
        <v>0</v>
      </c>
      <c r="Z348" s="125" t="b">
        <f>OR(COUNTIF(PROVEEDORES[[#This Row],[PROVEEDOR]],"*"&amp;'Palabra no opera'!$A$2&amp;"*"))</f>
        <v>0</v>
      </c>
      <c r="AA348" s="24"/>
      <c r="AB348" s="24"/>
      <c r="AC348" s="24"/>
      <c r="AD348" s="24"/>
      <c r="AE348" s="24"/>
    </row>
    <row r="349" spans="1:31" ht="22.2" customHeight="1" x14ac:dyDescent="0.3">
      <c r="A349" s="146" t="str">
        <f>+IF(PROVEEDORES[[#This Row],[FECHA DE PAGO]]=PROVEEDORES[[#This Row],[FECHA DE FACTURACIÓN]],"DE CONTADO","CRÉDITO")</f>
        <v>DE CONTADO</v>
      </c>
      <c r="B349" s="38" t="b">
        <f>+IF((PROVEEDORES[[#This Row],[FECHA DE PAGO]]-PROVEEDORES[[#This Row],[FECHA DE FACTURACIÓN]])&gt;PROVEEDORES[[#This Row],[PLAZO Días]],"PAGO VENCIDO")</f>
        <v>0</v>
      </c>
      <c r="C349" s="20">
        <f>+VLOOKUP(PROVEEDORES[[#This Row],[PROVEEDOR]],TERCEROS_INFO[#All],2,FALSE)</f>
        <v>0</v>
      </c>
      <c r="D349" s="25">
        <f>+SUMIFS(PROVEEDORES[Total],PROVEEDORES[PROVEEDOR],PROVEEDORES[[#This Row],[PROVEEDOR]],PROVEEDORES[FECHA DE PAGO],"")</f>
        <v>0</v>
      </c>
      <c r="E349" s="25"/>
      <c r="F349" s="58">
        <f>+VLOOKUP(PROVEEDORES[[#This Row],[PROVEEDOR]],
                       Terceros!$A:$F,
                       5,
                       FALSE)</f>
        <v>0</v>
      </c>
      <c r="G349" s="161">
        <v>44713</v>
      </c>
      <c r="H349" s="26" t="s">
        <v>1002</v>
      </c>
      <c r="I349" s="161">
        <v>44713</v>
      </c>
      <c r="J349" s="35" t="s">
        <v>1386</v>
      </c>
      <c r="K349" s="21">
        <v>159663.87</v>
      </c>
      <c r="L349" s="21"/>
      <c r="M349" s="22">
        <f>(PROVEEDORES[[#This Row],[SUBTOTAL]]-PROVEEDORES[[#This Row],[descuento sobre subtotal]])*VLOOKUP(PROVEEDORES[[#This Row],[PROVEEDOR]],TERCEROS_INFO[#All],3,FALSE)</f>
        <v>30336.135299999998</v>
      </c>
      <c r="N349" s="23"/>
      <c r="O349" s="22">
        <f>+PROVEEDORES[[#This Row],[Descuento sobre subtotal %]]*(PROVEEDORES[[#This Row],[SUBTOTAL]]-PROVEEDORES[[#This Row],[descuento sobre subtotal]])</f>
        <v>0</v>
      </c>
      <c r="P349" s="83">
        <f>+IF(PROVEEDORES[[#This Row],[SUBTOTAL]]&lt;PROVEEDORES[[#This Row],[base retencion]],0,PROVEEDORES[[#This Row],[retención aplicada]])</f>
        <v>0</v>
      </c>
      <c r="Q349" s="22">
        <f>+PROVEEDORES[[#This Row],[Rete Fuente %]]*(PROVEEDORES[[#This Row],[SUBTOTAL]]-PROVEEDORES[[#This Row],[descuento sobre subtotal]])</f>
        <v>0</v>
      </c>
      <c r="R349" s="21">
        <f>+PROVEEDORES[[#This Row],[SUBTOTAL]]+PROVEEDORES[[#This Row],[IVA 19%]]-PROVEEDORES[[#This Row],[descuento sobre subtotal]]-PROVEEDORES[[#This Row],[Descuento sobre subtotal $2]]-PROVEEDORES[[#This Row],[Rete Fuente $]]</f>
        <v>190000.00529999999</v>
      </c>
      <c r="S349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68">
        <f ca="1">IF(PROVEEDORES[[#This Row],[FECHA DE PAGO]]=0,TODAY()-PROVEEDORES[[#This Row],[FECHA DE FACTURACIÓN]]-PROVEEDORES[[#This Row],[PLAZO Días]],0)</f>
        <v>0</v>
      </c>
      <c r="U349" s="113">
        <f>+VLOOKUP(PROVEEDORES[[#This Row],[PROVEEDOR]],Terceros!$A:$D,4,FALSE)</f>
        <v>0</v>
      </c>
      <c r="V349" s="114">
        <f>+YEAR(PROVEEDORES[[#This Row],[FECHA DE FACTURACIÓN]])</f>
        <v>2022</v>
      </c>
      <c r="W349" s="114">
        <f>+MATCH(PROVEEDORES[[#This Row],[año facturado]],Retenciones!$1:$1,0)</f>
        <v>5</v>
      </c>
      <c r="X349" s="115">
        <f>+VLOOKUP(PROVEEDORES[[#This Row],[ID RETENCION]],Retenciones!$A$1:$O$25,PROVEEDORES[[#This Row],[indicador de columna]],FALSE)</f>
        <v>0</v>
      </c>
      <c r="Y349" s="116">
        <f>+VLOOKUP(PROVEEDORES[[#This Row],[ID RETENCION]],Retenciones!$A$1:$O$25,2,FALSE)</f>
        <v>0</v>
      </c>
      <c r="Z349" s="125" t="b">
        <f>OR(COUNTIF(PROVEEDORES[[#This Row],[PROVEEDOR]],"*"&amp;'Palabra no opera'!$A$2&amp;"*"))</f>
        <v>1</v>
      </c>
      <c r="AA349" s="24"/>
      <c r="AB349" s="24"/>
      <c r="AC349" s="24"/>
      <c r="AD349" s="24"/>
      <c r="AE349" s="24"/>
    </row>
    <row r="350" spans="1:31" ht="22.2" customHeight="1" x14ac:dyDescent="0.3">
      <c r="A350" s="66" t="str">
        <f>+IF(PROVEEDORES[[#This Row],[FECHA DE PAGO]]=PROVEEDORES[[#This Row],[FECHA DE FACTURACIÓN]],"DE CONTADO","CRÉDITO")</f>
        <v>DE CONTADO</v>
      </c>
      <c r="B350" s="38" t="b">
        <f>+IF((PROVEEDORES[[#This Row],[FECHA DE PAGO]]-PROVEEDORES[[#This Row],[FECHA DE FACTURACIÓN]])&gt;PROVEEDORES[[#This Row],[PLAZO Días]],"PAGO VENCIDO")</f>
        <v>0</v>
      </c>
      <c r="C350" s="20">
        <f>+VLOOKUP(PROVEEDORES[[#This Row],[PROVEEDOR]],TERCEROS_INFO[#All],2,FALSE)</f>
        <v>30</v>
      </c>
      <c r="D350" s="25">
        <f>+SUMIFS(PROVEEDORES[Total],PROVEEDORES[PROVEEDOR],PROVEEDORES[[#This Row],[PROVEEDOR]],PROVEEDORES[FECHA DE PAGO],"")</f>
        <v>0</v>
      </c>
      <c r="E350" s="25"/>
      <c r="F350" s="58" t="str">
        <f>+VLOOKUP(PROVEEDORES[[#This Row],[PROVEEDOR]],
                       Terceros!$A:$F,
                       5,
                       FALSE)</f>
        <v/>
      </c>
      <c r="G350" s="161">
        <v>44651</v>
      </c>
      <c r="H350" s="26" t="s">
        <v>644</v>
      </c>
      <c r="I350" s="161">
        <v>44651</v>
      </c>
      <c r="J350" s="35" t="s">
        <v>598</v>
      </c>
      <c r="K350" s="21">
        <v>190500</v>
      </c>
      <c r="L350" s="21"/>
      <c r="M350" s="22">
        <f>(PROVEEDORES[[#This Row],[SUBTOTAL]]-PROVEEDORES[[#This Row],[descuento sobre subtotal]])*VLOOKUP(PROVEEDORES[[#This Row],[PROVEEDOR]],TERCEROS_INFO[#All],3,FALSE)</f>
        <v>0</v>
      </c>
      <c r="N350" s="23"/>
      <c r="O350" s="22">
        <f>+PROVEEDORES[[#This Row],[Descuento sobre subtotal %]]*(PROVEEDORES[[#This Row],[SUBTOTAL]]-PROVEEDORES[[#This Row],[descuento sobre subtotal]])</f>
        <v>0</v>
      </c>
      <c r="P350" s="83">
        <f>+IF(PROVEEDORES[[#This Row],[SUBTOTAL]]&lt;PROVEEDORES[[#This Row],[base retencion]],0,PROVEEDORES[[#This Row],[retención aplicada]])</f>
        <v>0</v>
      </c>
      <c r="Q350" s="22">
        <f>+PROVEEDORES[[#This Row],[Rete Fuente %]]*(PROVEEDORES[[#This Row],[SUBTOTAL]]-PROVEEDORES[[#This Row],[descuento sobre subtotal]])</f>
        <v>0</v>
      </c>
      <c r="R350" s="21">
        <v>190500</v>
      </c>
      <c r="S3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0" s="68">
        <f ca="1">IF(PROVEEDORES[[#This Row],[FECHA DE PAGO]]=0,TODAY()-PROVEEDORES[[#This Row],[FECHA DE FACTURACIÓN]]-PROVEEDORES[[#This Row],[PLAZO Días]],0)</f>
        <v>0</v>
      </c>
      <c r="U350" s="96">
        <f>+VLOOKUP(PROVEEDORES[[#This Row],[PROVEEDOR]],Terceros!$A:$D,4,FALSE)</f>
        <v>0</v>
      </c>
      <c r="V350" s="97">
        <f>+YEAR(PROVEEDORES[[#This Row],[FECHA DE FACTURACIÓN]])</f>
        <v>2022</v>
      </c>
      <c r="W350" s="97">
        <f>+MATCH(PROVEEDORES[[#This Row],[año facturado]],Retenciones!$1:$1,0)</f>
        <v>5</v>
      </c>
      <c r="X350" s="98">
        <f>+VLOOKUP(PROVEEDORES[[#This Row],[ID RETENCION]],Retenciones!$A$1:$O$25,PROVEEDORES[[#This Row],[indicador de columna]],FALSE)</f>
        <v>0</v>
      </c>
      <c r="Y350" s="99">
        <f>+VLOOKUP(PROVEEDORES[[#This Row],[ID RETENCION]],Retenciones!$A$1:$O$25,2,FALSE)</f>
        <v>0</v>
      </c>
      <c r="Z350" s="125" t="b">
        <f>OR(COUNTIF(PROVEEDORES[[#This Row],[PROVEEDOR]],"*"&amp;'Palabra no opera'!$A$2&amp;"*"))</f>
        <v>0</v>
      </c>
      <c r="AA350" s="24"/>
      <c r="AB350" s="24"/>
      <c r="AC350" s="24"/>
      <c r="AD350" s="24"/>
      <c r="AE350" s="24"/>
    </row>
    <row r="351" spans="1:31" ht="22.2" customHeight="1" x14ac:dyDescent="0.3">
      <c r="A351" s="66" t="str">
        <f>+IF(PROVEEDORES[[#This Row],[FECHA DE PAGO]]=PROVEEDORES[[#This Row],[FECHA DE FACTURACIÓN]],"DE CONTADO","CRÉDITO")</f>
        <v>CRÉDITO</v>
      </c>
      <c r="B351" s="38" t="b">
        <f>+IF((PROVEEDORES[[#This Row],[FECHA DE PAGO]]-PROVEEDORES[[#This Row],[FECHA DE FACTURACIÓN]])&gt;PROVEEDORES[[#This Row],[PLAZO Días]],"PAGO VENCIDO")</f>
        <v>0</v>
      </c>
      <c r="C351" s="20">
        <f>+VLOOKUP(PROVEEDORES[[#This Row],[PROVEEDOR]],TERCEROS_INFO[#All],2,FALSE)</f>
        <v>30</v>
      </c>
      <c r="D351" s="25">
        <f>+SUMIFS(PROVEEDORES[Total],PROVEEDORES[PROVEEDOR],PROVEEDORES[[#This Row],[PROVEEDOR]],PROVEEDORES[FECHA DE PAGO],"")</f>
        <v>-101001.25</v>
      </c>
      <c r="E351" s="25"/>
      <c r="F351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51" s="161">
        <v>44533</v>
      </c>
      <c r="H351" s="26" t="s">
        <v>14</v>
      </c>
      <c r="I351" s="161">
        <v>44516</v>
      </c>
      <c r="J351" s="35" t="s">
        <v>534</v>
      </c>
      <c r="K351" s="21">
        <v>160672</v>
      </c>
      <c r="L351" s="21"/>
      <c r="M351" s="22">
        <f>(PROVEEDORES[[#This Row],[SUBTOTAL]]-PROVEEDORES[[#This Row],[descuento sobre subtotal]])*VLOOKUP(PROVEEDORES[[#This Row],[PROVEEDOR]],TERCEROS_INFO[#All],3,FALSE)</f>
        <v>30527.68</v>
      </c>
      <c r="N351" s="23"/>
      <c r="O351" s="22">
        <f>+PROVEEDORES[[#This Row],[Descuento sobre subtotal %]]*(PROVEEDORES[[#This Row],[SUBTOTAL]]-PROVEEDORES[[#This Row],[descuento sobre subtotal]])</f>
        <v>0</v>
      </c>
      <c r="P351" s="83">
        <f>+IF(PROVEEDORES[[#This Row],[SUBTOTAL]]&lt;PROVEEDORES[[#This Row],[base retencion]],0,PROVEEDORES[[#This Row],[retención aplicada]])</f>
        <v>0</v>
      </c>
      <c r="Q351" s="22">
        <f>+PROVEEDORES[[#This Row],[Rete Fuente %]]*(PROVEEDORES[[#This Row],[SUBTOTAL]]-PROVEEDORES[[#This Row],[descuento sobre subtotal]])</f>
        <v>0</v>
      </c>
      <c r="R351" s="21">
        <f>+PROVEEDORES[[#This Row],[SUBTOTAL]]+PROVEEDORES[[#This Row],[IVA 19%]]-PROVEEDORES[[#This Row],[descuento sobre subtotal]]-PROVEEDORES[[#This Row],[Descuento sobre subtotal $2]]-PROVEEDORES[[#This Row],[Rete Fuente $]]</f>
        <v>191199.68</v>
      </c>
      <c r="S3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1" s="68">
        <f ca="1">IF(PROVEEDORES[[#This Row],[FECHA DE PAGO]]=0,TODAY()-PROVEEDORES[[#This Row],[FECHA DE FACTURACIÓN]]-PROVEEDORES[[#This Row],[PLAZO Días]],0)</f>
        <v>0</v>
      </c>
      <c r="U351" s="96" t="str">
        <f>+VLOOKUP(PROVEEDORES[[#This Row],[PROVEEDOR]],Terceros!$A:$D,4,FALSE)</f>
        <v>2,5% con base</v>
      </c>
      <c r="V351" s="97">
        <f>+YEAR(PROVEEDORES[[#This Row],[FECHA DE FACTURACIÓN]])</f>
        <v>2021</v>
      </c>
      <c r="W351" s="97">
        <f>+MATCH(PROVEEDORES[[#This Row],[año facturado]],Retenciones!$1:$1,0)</f>
        <v>4</v>
      </c>
      <c r="X351" s="98">
        <f>+VLOOKUP(PROVEEDORES[[#This Row],[ID RETENCION]],Retenciones!$A$1:$O$25,PROVEEDORES[[#This Row],[indicador de columna]],FALSE)</f>
        <v>980000</v>
      </c>
      <c r="Y351" s="99">
        <f>+VLOOKUP(PROVEEDORES[[#This Row],[ID RETENCION]],Retenciones!$A$1:$O$25,2,FALSE)</f>
        <v>2.5000000000000001E-2</v>
      </c>
      <c r="Z351" s="125" t="b">
        <f>OR(COUNTIF(PROVEEDORES[[#This Row],[PROVEEDOR]],"*"&amp;'Palabra no opera'!$A$2&amp;"*"))</f>
        <v>0</v>
      </c>
      <c r="AA351" s="24"/>
      <c r="AB351" s="24"/>
      <c r="AC351" s="24"/>
      <c r="AD351" s="24"/>
      <c r="AE351" s="24"/>
    </row>
    <row r="352" spans="1:31" ht="22.2" customHeight="1" x14ac:dyDescent="0.3">
      <c r="A352" s="66" t="str">
        <f>+IF(PROVEEDORES[[#This Row],[FECHA DE PAGO]]=PROVEEDORES[[#This Row],[FECHA DE FACTURACIÓN]],"DE CONTADO","CRÉDITO")</f>
        <v>CRÉDITO</v>
      </c>
      <c r="B352" s="38" t="b">
        <f>+IF((PROVEEDORES[[#This Row],[FECHA DE PAGO]]-PROVEEDORES[[#This Row],[FECHA DE FACTURACIÓN]])&gt;PROVEEDORES[[#This Row],[PLAZO Días]],"PAGO VENCIDO")</f>
        <v>0</v>
      </c>
      <c r="C352" s="20">
        <f>+VLOOKUP(PROVEEDORES[[#This Row],[PROVEEDOR]],TERCEROS_INFO[#All],2,FALSE)</f>
        <v>30</v>
      </c>
      <c r="D352" s="25">
        <f>+SUMIFS(PROVEEDORES[Total],PROVEEDORES[PROVEEDOR],PROVEEDORES[[#This Row],[PROVEEDOR]],PROVEEDORES[FECHA DE PAGO],"")</f>
        <v>0</v>
      </c>
      <c r="E352" s="25"/>
      <c r="F35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52" s="161">
        <v>44279</v>
      </c>
      <c r="H352" s="26" t="s">
        <v>1450</v>
      </c>
      <c r="I352" s="161">
        <v>44273</v>
      </c>
      <c r="J352" s="35">
        <v>270</v>
      </c>
      <c r="K352" s="21">
        <v>192000</v>
      </c>
      <c r="L352" s="21"/>
      <c r="M352" s="22">
        <f>(PROVEEDORES[[#This Row],[SUBTOTAL]]-PROVEEDORES[[#This Row],[descuento sobre subtotal]])*VLOOKUP(PROVEEDORES[[#This Row],[PROVEEDOR]],TERCEROS_INFO[#All],3,FALSE)</f>
        <v>0</v>
      </c>
      <c r="N352" s="23"/>
      <c r="O352" s="22">
        <f>+PROVEEDORES[[#This Row],[Descuento sobre subtotal %]]*(PROVEEDORES[[#This Row],[SUBTOTAL]]-PROVEEDORES[[#This Row],[descuento sobre subtotal]])</f>
        <v>0</v>
      </c>
      <c r="P352" s="83">
        <f>+IF(PROVEEDORES[[#This Row],[SUBTOTAL]]&lt;PROVEEDORES[[#This Row],[base retencion]],0,PROVEEDORES[[#This Row],[retención aplicada]])</f>
        <v>0</v>
      </c>
      <c r="Q352" s="22">
        <f>+PROVEEDORES[[#This Row],[Rete Fuente %]]*(PROVEEDORES[[#This Row],[SUBTOTAL]]-PROVEEDORES[[#This Row],[descuento sobre subtotal]])</f>
        <v>0</v>
      </c>
      <c r="R352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3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68">
        <f ca="1">IF(PROVEEDORES[[#This Row],[FECHA DE PAGO]]=0,TODAY()-PROVEEDORES[[#This Row],[FECHA DE FACTURACIÓN]]-PROVEEDORES[[#This Row],[PLAZO Días]],0)</f>
        <v>0</v>
      </c>
      <c r="U352" s="96">
        <f>+VLOOKUP(PROVEEDORES[[#This Row],[PROVEEDOR]],Terceros!$A:$D,4,FALSE)</f>
        <v>0</v>
      </c>
      <c r="V352" s="97">
        <f>+YEAR(PROVEEDORES[[#This Row],[FECHA DE FACTURACIÓN]])</f>
        <v>2021</v>
      </c>
      <c r="W352" s="97">
        <f>+MATCH(PROVEEDORES[[#This Row],[año facturado]],Retenciones!$1:$1,0)</f>
        <v>4</v>
      </c>
      <c r="X352" s="98">
        <f>+VLOOKUP(PROVEEDORES[[#This Row],[ID RETENCION]],Retenciones!$A$1:$O$25,PROVEEDORES[[#This Row],[indicador de columna]],FALSE)</f>
        <v>0</v>
      </c>
      <c r="Y352" s="99">
        <f>+VLOOKUP(PROVEEDORES[[#This Row],[ID RETENCION]],Retenciones!$A$1:$O$25,2,FALSE)</f>
        <v>0</v>
      </c>
      <c r="Z352" s="125" t="b">
        <f>OR(COUNTIF(PROVEEDORES[[#This Row],[PROVEEDOR]],"*"&amp;'Palabra no opera'!$A$2&amp;"*"))</f>
        <v>0</v>
      </c>
      <c r="AA352" s="24"/>
      <c r="AB352" s="24"/>
      <c r="AC352" s="24"/>
      <c r="AD352" s="24"/>
      <c r="AE352" s="24"/>
    </row>
    <row r="353" spans="1:31" ht="22.2" customHeight="1" x14ac:dyDescent="0.3">
      <c r="A353" s="120" t="str">
        <f>+IF(PROVEEDORES[[#This Row],[FECHA DE PAGO]]=PROVEEDORES[[#This Row],[FECHA DE FACTURACIÓN]],"DE CONTADO","CRÉDITO")</f>
        <v>CRÉDITO</v>
      </c>
      <c r="B353" s="38" t="str">
        <f>+IF((PROVEEDORES[[#This Row],[FECHA DE PAGO]]-PROVEEDORES[[#This Row],[FECHA DE FACTURACIÓN]])&gt;PROVEEDORES[[#This Row],[PLAZO Días]],"PAGO VENCIDO")</f>
        <v>PAGO VENCIDO</v>
      </c>
      <c r="C353" s="20">
        <f>+VLOOKUP(PROVEEDORES[[#This Row],[PROVEEDOR]],TERCEROS_INFO[#All],2,FALSE)</f>
        <v>30</v>
      </c>
      <c r="D353" s="25">
        <f>+SUMIFS(PROVEEDORES[Total],PROVEEDORES[PROVEEDOR],PROVEEDORES[[#This Row],[PROVEEDOR]],PROVEEDORES[FECHA DE PAGO],"")</f>
        <v>1468491.82</v>
      </c>
      <c r="E353" s="25"/>
      <c r="F35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53" s="161">
        <v>44704</v>
      </c>
      <c r="H353" s="26" t="s">
        <v>1638</v>
      </c>
      <c r="I353" s="161">
        <v>44672</v>
      </c>
      <c r="J353" s="35" t="s">
        <v>888</v>
      </c>
      <c r="K353" s="21">
        <v>161344.56</v>
      </c>
      <c r="L353" s="21"/>
      <c r="M353" s="22">
        <f>(PROVEEDORES[[#This Row],[SUBTOTAL]]-PROVEEDORES[[#This Row],[descuento sobre subtotal]])*VLOOKUP(PROVEEDORES[[#This Row],[PROVEEDOR]],TERCEROS_INFO[#All],3,FALSE)</f>
        <v>30655.466400000001</v>
      </c>
      <c r="N353" s="23"/>
      <c r="O353" s="22">
        <f>+PROVEEDORES[[#This Row],[Descuento sobre subtotal %]]*(PROVEEDORES[[#This Row],[SUBTOTAL]]-PROVEEDORES[[#This Row],[descuento sobre subtotal]])</f>
        <v>0</v>
      </c>
      <c r="P353" s="83">
        <f>+IF(PROVEEDORES[[#This Row],[SUBTOTAL]]&lt;PROVEEDORES[[#This Row],[base retencion]],0,PROVEEDORES[[#This Row],[retención aplicada]])</f>
        <v>0</v>
      </c>
      <c r="Q353" s="22">
        <f>+PROVEEDORES[[#This Row],[Rete Fuente %]]*(PROVEEDORES[[#This Row],[SUBTOTAL]]-PROVEEDORES[[#This Row],[descuento sobre subtotal]])</f>
        <v>0</v>
      </c>
      <c r="R353" s="21">
        <f>+PROVEEDORES[[#This Row],[SUBTOTAL]]+PROVEEDORES[[#This Row],[IVA 19%]]-PROVEEDORES[[#This Row],[descuento sobre subtotal]]-PROVEEDORES[[#This Row],[Descuento sobre subtotal $2]]-PROVEEDORES[[#This Row],[Rete Fuente $]]</f>
        <v>192000.0264</v>
      </c>
      <c r="S3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68">
        <f ca="1">IF(PROVEEDORES[[#This Row],[FECHA DE PAGO]]=0,TODAY()-PROVEEDORES[[#This Row],[FECHA DE FACTURACIÓN]]-PROVEEDORES[[#This Row],[PLAZO Días]],0)</f>
        <v>0</v>
      </c>
      <c r="U353" s="113" t="str">
        <f>+VLOOKUP(PROVEEDORES[[#This Row],[PROVEEDOR]],Terceros!$A:$D,4,FALSE)</f>
        <v>2,5% con base</v>
      </c>
      <c r="V353" s="114">
        <f>+YEAR(PROVEEDORES[[#This Row],[FECHA DE FACTURACIÓN]])</f>
        <v>2022</v>
      </c>
      <c r="W353" s="114">
        <f>+MATCH(PROVEEDORES[[#This Row],[año facturado]],Retenciones!$1:$1,0)</f>
        <v>5</v>
      </c>
      <c r="X353" s="115">
        <f>+VLOOKUP(PROVEEDORES[[#This Row],[ID RETENCION]],Retenciones!$A$1:$O$25,PROVEEDORES[[#This Row],[indicador de columna]],FALSE)</f>
        <v>1026000</v>
      </c>
      <c r="Y353" s="116">
        <f>+VLOOKUP(PROVEEDORES[[#This Row],[ID RETENCION]],Retenciones!$A$1:$O$25,2,FALSE)</f>
        <v>2.5000000000000001E-2</v>
      </c>
      <c r="Z353" s="125" t="b">
        <f>OR(COUNTIF(PROVEEDORES[[#This Row],[PROVEEDOR]],"*"&amp;'Palabra no opera'!$A$2&amp;"*"))</f>
        <v>0</v>
      </c>
      <c r="AA353" s="24"/>
      <c r="AB353" s="24"/>
      <c r="AC353" s="24"/>
      <c r="AD353" s="24"/>
      <c r="AE353" s="24"/>
    </row>
    <row r="354" spans="1:31" ht="22.2" customHeight="1" x14ac:dyDescent="0.3">
      <c r="A354" s="66" t="str">
        <f>+IF(PROVEEDORES[[#This Row],[FECHA DE PAGO]]=PROVEEDORES[[#This Row],[FECHA DE FACTURACIÓN]],"DE CONTADO","CRÉDITO")</f>
        <v>DE CONTADO</v>
      </c>
      <c r="B354" s="38" t="b">
        <f>+IF((PROVEEDORES[[#This Row],[FECHA DE PAGO]]-PROVEEDORES[[#This Row],[FECHA DE FACTURACIÓN]])&gt;PROVEEDORES[[#This Row],[PLAZO Días]],"PAGO VENCIDO")</f>
        <v>0</v>
      </c>
      <c r="C354" s="20">
        <f>+VLOOKUP(PROVEEDORES[[#This Row],[PROVEEDOR]],TERCEROS_INFO[#All],2,FALSE)</f>
        <v>30</v>
      </c>
      <c r="D354" s="25">
        <f>+SUMIFS(PROVEEDORES[Total],PROVEEDORES[PROVEEDOR],PROVEEDORES[[#This Row],[PROVEEDOR]],PROVEEDORES[FECHA DE PAGO],"")</f>
        <v>0</v>
      </c>
      <c r="E354" s="25"/>
      <c r="F354" s="58" t="str">
        <f>+VLOOKUP(PROVEEDORES[[#This Row],[PROVEEDOR]],
                       Terceros!$A:$F,
                       5,
                       FALSE)</f>
        <v/>
      </c>
      <c r="G354" s="161">
        <v>44216</v>
      </c>
      <c r="H354" s="26" t="s">
        <v>684</v>
      </c>
      <c r="I354" s="161">
        <v>44216</v>
      </c>
      <c r="J354" s="35">
        <v>1410</v>
      </c>
      <c r="K354" s="21">
        <v>192050</v>
      </c>
      <c r="L354" s="21"/>
      <c r="M354" s="22">
        <f>(PROVEEDORES[[#This Row],[SUBTOTAL]]-PROVEEDORES[[#This Row],[descuento sobre subtotal]])*VLOOKUP(PROVEEDORES[[#This Row],[PROVEEDOR]],TERCEROS_INFO[#All],3,FALSE)</f>
        <v>0</v>
      </c>
      <c r="N354" s="23"/>
      <c r="O354" s="22">
        <f>+PROVEEDORES[[#This Row],[Descuento sobre subtotal %]]*(PROVEEDORES[[#This Row],[SUBTOTAL]]-PROVEEDORES[[#This Row],[descuento sobre subtotal]])</f>
        <v>0</v>
      </c>
      <c r="P354" s="83">
        <f>+IF(PROVEEDORES[[#This Row],[SUBTOTAL]]&lt;PROVEEDORES[[#This Row],[base retencion]],0,PROVEEDORES[[#This Row],[retención aplicada]])</f>
        <v>0</v>
      </c>
      <c r="Q354" s="22">
        <f>+PROVEEDORES[[#This Row],[Rete Fuente %]]*(PROVEEDORES[[#This Row],[SUBTOTAL]]-PROVEEDORES[[#This Row],[descuento sobre subtotal]])</f>
        <v>0</v>
      </c>
      <c r="R354" s="21">
        <f>+PROVEEDORES[[#This Row],[SUBTOTAL]]+PROVEEDORES[[#This Row],[IVA 19%]]-PROVEEDORES[[#This Row],[descuento sobre subtotal]]-PROVEEDORES[[#This Row],[Descuento sobre subtotal $2]]-PROVEEDORES[[#This Row],[Rete Fuente $]]</f>
        <v>192050</v>
      </c>
      <c r="S3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68">
        <f ca="1">IF(PROVEEDORES[[#This Row],[FECHA DE PAGO]]=0,TODAY()-PROVEEDORES[[#This Row],[FECHA DE FACTURACIÓN]]-PROVEEDORES[[#This Row],[PLAZO Días]],0)</f>
        <v>0</v>
      </c>
      <c r="U354" s="96">
        <f>+VLOOKUP(PROVEEDORES[[#This Row],[PROVEEDOR]],Terceros!$A:$D,4,FALSE)</f>
        <v>0</v>
      </c>
      <c r="V354" s="97">
        <f>+YEAR(PROVEEDORES[[#This Row],[FECHA DE FACTURACIÓN]])</f>
        <v>2021</v>
      </c>
      <c r="W354" s="97">
        <f>+MATCH(PROVEEDORES[[#This Row],[año facturado]],Retenciones!$1:$1,0)</f>
        <v>4</v>
      </c>
      <c r="X354" s="98">
        <f>+VLOOKUP(PROVEEDORES[[#This Row],[ID RETENCION]],Retenciones!$A$1:$O$25,PROVEEDORES[[#This Row],[indicador de columna]],FALSE)</f>
        <v>0</v>
      </c>
      <c r="Y354" s="99">
        <f>+VLOOKUP(PROVEEDORES[[#This Row],[ID RETENCION]],Retenciones!$A$1:$O$25,2,FALSE)</f>
        <v>0</v>
      </c>
      <c r="Z354" s="125" t="b">
        <f>OR(COUNTIF(PROVEEDORES[[#This Row],[PROVEEDOR]],"*"&amp;'Palabra no opera'!$A$2&amp;"*"))</f>
        <v>0</v>
      </c>
      <c r="AA354" s="24"/>
      <c r="AB354" s="24"/>
      <c r="AC354" s="24"/>
      <c r="AD354" s="24"/>
      <c r="AE354" s="24"/>
    </row>
    <row r="355" spans="1:31" ht="22.2" customHeight="1" x14ac:dyDescent="0.3">
      <c r="A355" s="66" t="str">
        <f>+IF(PROVEEDORES[[#This Row],[FECHA DE PAGO]]=PROVEEDORES[[#This Row],[FECHA DE FACTURACIÓN]],"DE CONTADO","CRÉDITO")</f>
        <v>CRÉDITO</v>
      </c>
      <c r="B355" s="38" t="str">
        <f>+IF((PROVEEDORES[[#This Row],[FECHA DE PAGO]]-PROVEEDORES[[#This Row],[FECHA DE FACTURACIÓN]])&gt;PROVEEDORES[[#This Row],[PLAZO Días]],"PAGO VENCIDO")</f>
        <v>PAGO VENCIDO</v>
      </c>
      <c r="C355" s="20">
        <f>+VLOOKUP(PROVEEDORES[[#This Row],[PROVEEDOR]],TERCEROS_INFO[#All],2,FALSE)</f>
        <v>45</v>
      </c>
      <c r="D355" s="25">
        <f>+SUMIFS(PROVEEDORES[Total],PROVEEDORES[PROVEEDOR],PROVEEDORES[[#This Row],[PROVEEDOR]],PROVEEDORES[FECHA DE PAGO],"")</f>
        <v>2604910</v>
      </c>
      <c r="E355" s="25"/>
      <c r="F35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55" s="161">
        <v>44414</v>
      </c>
      <c r="H355" s="26" t="s">
        <v>10</v>
      </c>
      <c r="I355" s="161">
        <v>44363</v>
      </c>
      <c r="J355" s="35" t="s">
        <v>353</v>
      </c>
      <c r="K355" s="21">
        <v>162000</v>
      </c>
      <c r="L355" s="21"/>
      <c r="M355" s="22">
        <f>(PROVEEDORES[[#This Row],[SUBTOTAL]]-PROVEEDORES[[#This Row],[descuento sobre subtotal]])*VLOOKUP(PROVEEDORES[[#This Row],[PROVEEDOR]],TERCEROS_INFO[#All],3,FALSE)</f>
        <v>30780</v>
      </c>
      <c r="N355" s="23"/>
      <c r="O355" s="22">
        <f>+PROVEEDORES[[#This Row],[Descuento sobre subtotal %]]*(PROVEEDORES[[#This Row],[SUBTOTAL]]-PROVEEDORES[[#This Row],[descuento sobre subtotal]])</f>
        <v>0</v>
      </c>
      <c r="P355" s="83">
        <f>+IF(PROVEEDORES[[#This Row],[SUBTOTAL]]&lt;PROVEEDORES[[#This Row],[base retencion]],0,PROVEEDORES[[#This Row],[retención aplicada]])</f>
        <v>0</v>
      </c>
      <c r="Q355" s="22">
        <f>+PROVEEDORES[[#This Row],[Rete Fuente %]]*(PROVEEDORES[[#This Row],[SUBTOTAL]]-PROVEEDORES[[#This Row],[descuento sobre subtotal]])</f>
        <v>0</v>
      </c>
      <c r="R355" s="21">
        <f>+PROVEEDORES[[#This Row],[SUBTOTAL]]+PROVEEDORES[[#This Row],[IVA 19%]]-PROVEEDORES[[#This Row],[descuento sobre subtotal]]-PROVEEDORES[[#This Row],[Descuento sobre subtotal $2]]-PROVEEDORES[[#This Row],[Rete Fuente $]]</f>
        <v>192780</v>
      </c>
      <c r="S3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68">
        <f ca="1">IF(PROVEEDORES[[#This Row],[FECHA DE PAGO]]=0,TODAY()-PROVEEDORES[[#This Row],[FECHA DE FACTURACIÓN]]-PROVEEDORES[[#This Row],[PLAZO Días]],0)</f>
        <v>0</v>
      </c>
      <c r="U355" s="96">
        <f>+VLOOKUP(PROVEEDORES[[#This Row],[PROVEEDOR]],Terceros!$A:$D,4,FALSE)</f>
        <v>0</v>
      </c>
      <c r="V355" s="97">
        <f>+YEAR(PROVEEDORES[[#This Row],[FECHA DE FACTURACIÓN]])</f>
        <v>2021</v>
      </c>
      <c r="W355" s="97">
        <f>+MATCH(PROVEEDORES[[#This Row],[año facturado]],Retenciones!$1:$1,0)</f>
        <v>4</v>
      </c>
      <c r="X355" s="98">
        <f>+VLOOKUP(PROVEEDORES[[#This Row],[ID RETENCION]],Retenciones!$A$1:$O$25,PROVEEDORES[[#This Row],[indicador de columna]],FALSE)</f>
        <v>0</v>
      </c>
      <c r="Y355" s="99">
        <f>+VLOOKUP(PROVEEDORES[[#This Row],[ID RETENCION]],Retenciones!$A$1:$O$25,2,FALSE)</f>
        <v>0</v>
      </c>
      <c r="Z355" s="125" t="b">
        <f>OR(COUNTIF(PROVEEDORES[[#This Row],[PROVEEDOR]],"*"&amp;'Palabra no opera'!$A$2&amp;"*"))</f>
        <v>0</v>
      </c>
      <c r="AA355" s="24"/>
      <c r="AB355" s="24"/>
      <c r="AC355" s="24"/>
      <c r="AD355" s="24"/>
      <c r="AE355" s="24"/>
    </row>
    <row r="356" spans="1:31" ht="22.2" customHeight="1" x14ac:dyDescent="0.3">
      <c r="A356" s="159" t="str">
        <f>+IF(PROVEEDORES[[#This Row],[FECHA DE PAGO]]=PROVEEDORES[[#This Row],[FECHA DE FACTURACIÓN]],"DE CONTADO","CRÉDITO")</f>
        <v>DE CONTADO</v>
      </c>
      <c r="B356" s="38" t="b">
        <f>+IF((PROVEEDORES[[#This Row],[FECHA DE PAGO]]-PROVEEDORES[[#This Row],[FECHA DE FACTURACIÓN]])&gt;PROVEEDORES[[#This Row],[PLAZO Días]],"PAGO VENCIDO")</f>
        <v>0</v>
      </c>
      <c r="C356" s="20">
        <f>+VLOOKUP(PROVEEDORES[[#This Row],[PROVEEDOR]],TERCEROS_INFO[#All],2,FALSE)</f>
        <v>30</v>
      </c>
      <c r="D356" s="25">
        <f>+SUMIFS(PROVEEDORES[Total],PROVEEDORES[PROVEEDOR],PROVEEDORES[[#This Row],[PROVEEDOR]],PROVEEDORES[FECHA DE PAGO],"")</f>
        <v>4024829</v>
      </c>
      <c r="E356" s="25"/>
      <c r="F35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56" s="161">
        <v>44729</v>
      </c>
      <c r="H356" s="26" t="s">
        <v>345</v>
      </c>
      <c r="I356" s="161">
        <v>44729</v>
      </c>
      <c r="J356" s="35" t="s">
        <v>1103</v>
      </c>
      <c r="K356" s="21">
        <v>195297.47</v>
      </c>
      <c r="L356" s="21"/>
      <c r="M356" s="22">
        <f>(PROVEEDORES[[#This Row],[SUBTOTAL]]-PROVEEDORES[[#This Row],[descuento sobre subtotal]])*VLOOKUP(PROVEEDORES[[#This Row],[PROVEEDOR]],TERCEROS_INFO[#All],3,FALSE)</f>
        <v>0</v>
      </c>
      <c r="N356" s="23"/>
      <c r="O356" s="22">
        <f>+PROVEEDORES[[#This Row],[Descuento sobre subtotal %]]*(PROVEEDORES[[#This Row],[SUBTOTAL]]-PROVEEDORES[[#This Row],[descuento sobre subtotal]])</f>
        <v>0</v>
      </c>
      <c r="P356" s="83">
        <f>+IF(PROVEEDORES[[#This Row],[SUBTOTAL]]&lt;PROVEEDORES[[#This Row],[base retencion]],0,PROVEEDORES[[#This Row],[retención aplicada]])</f>
        <v>0</v>
      </c>
      <c r="Q356" s="22">
        <f>+PROVEEDORES[[#This Row],[Rete Fuente %]]*(PROVEEDORES[[#This Row],[SUBTOTAL]]-PROVEEDORES[[#This Row],[descuento sobre subtotal]])</f>
        <v>0</v>
      </c>
      <c r="R356" s="21">
        <f>+PROVEEDORES[[#This Row],[SUBTOTAL]]+PROVEEDORES[[#This Row],[IVA 19%]]-PROVEEDORES[[#This Row],[descuento sobre subtotal]]-PROVEEDORES[[#This Row],[Descuento sobre subtotal $2]]-PROVEEDORES[[#This Row],[Rete Fuente $]]</f>
        <v>195297.47</v>
      </c>
      <c r="S35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68">
        <f ca="1">IF(PROVEEDORES[[#This Row],[FECHA DE PAGO]]=0,TODAY()-PROVEEDORES[[#This Row],[FECHA DE FACTURACIÓN]]-PROVEEDORES[[#This Row],[PLAZO Días]],0)</f>
        <v>0</v>
      </c>
      <c r="U356" s="113">
        <f>+VLOOKUP(PROVEEDORES[[#This Row],[PROVEEDOR]],Terceros!$A:$D,4,FALSE)</f>
        <v>0</v>
      </c>
      <c r="V356" s="114">
        <f>+YEAR(PROVEEDORES[[#This Row],[FECHA DE FACTURACIÓN]])</f>
        <v>2022</v>
      </c>
      <c r="W356" s="114">
        <f>+MATCH(PROVEEDORES[[#This Row],[año facturado]],Retenciones!$1:$1,0)</f>
        <v>5</v>
      </c>
      <c r="X356" s="115">
        <f>+VLOOKUP(PROVEEDORES[[#This Row],[ID RETENCION]],Retenciones!$A$1:$O$25,PROVEEDORES[[#This Row],[indicador de columna]],FALSE)</f>
        <v>0</v>
      </c>
      <c r="Y356" s="116">
        <f>+VLOOKUP(PROVEEDORES[[#This Row],[ID RETENCION]],Retenciones!$A$1:$O$25,2,FALSE)</f>
        <v>0</v>
      </c>
      <c r="Z356" s="125" t="b">
        <f>OR(COUNTIF(PROVEEDORES[[#This Row],[PROVEEDOR]],"*"&amp;'Palabra no opera'!$A$2&amp;"*"))</f>
        <v>0</v>
      </c>
      <c r="AA356" s="24"/>
      <c r="AB356" s="24"/>
      <c r="AC356" s="24"/>
      <c r="AD356" s="24"/>
      <c r="AE356" s="24"/>
    </row>
    <row r="357" spans="1:31" ht="22.2" customHeight="1" x14ac:dyDescent="0.3">
      <c r="A357" s="72" t="str">
        <f>+IF(PROVEEDORES[[#This Row],[FECHA DE PAGO]]=PROVEEDORES[[#This Row],[FECHA DE FACTURACIÓN]],"DE CONTADO","CRÉDITO")</f>
        <v>DE CONTADO</v>
      </c>
      <c r="B357" s="38" t="b">
        <f>+IF((PROVEEDORES[[#This Row],[FECHA DE PAGO]]-PROVEEDORES[[#This Row],[FECHA DE FACTURACIÓN]])&gt;PROVEEDORES[[#This Row],[PLAZO Días]],"PAGO VENCIDO")</f>
        <v>0</v>
      </c>
      <c r="C357" s="20">
        <f>+VLOOKUP(PROVEEDORES[[#This Row],[PROVEEDOR]],TERCEROS_INFO[#All],2,FALSE)</f>
        <v>0</v>
      </c>
      <c r="D357" s="25">
        <f>+SUMIFS(PROVEEDORES[Total],PROVEEDORES[PROVEEDOR],PROVEEDORES[[#This Row],[PROVEEDOR]],PROVEEDORES[FECHA DE PAGO],"")</f>
        <v>0</v>
      </c>
      <c r="E357" s="25"/>
      <c r="F357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357" s="161">
        <v>44817</v>
      </c>
      <c r="H357" s="26" t="s">
        <v>1136</v>
      </c>
      <c r="I357" s="161">
        <v>44817</v>
      </c>
      <c r="J357" s="35" t="s">
        <v>1657</v>
      </c>
      <c r="K357" s="21">
        <v>170000</v>
      </c>
      <c r="L357" s="21"/>
      <c r="M357" s="22">
        <f>(PROVEEDORES[[#This Row],[SUBTOTAL]]-PROVEEDORES[[#This Row],[descuento sobre subtotal]])*VLOOKUP(PROVEEDORES[[#This Row],[PROVEEDOR]],TERCEROS_INFO[#All],3,FALSE)</f>
        <v>32300</v>
      </c>
      <c r="N357" s="23"/>
      <c r="O357" s="22">
        <f>+PROVEEDORES[[#This Row],[Descuento sobre subtotal %]]*(PROVEEDORES[[#This Row],[SUBTOTAL]]-PROVEEDORES[[#This Row],[descuento sobre subtotal]])</f>
        <v>0</v>
      </c>
      <c r="P357" s="83">
        <f>+IF(PROVEEDORES[[#This Row],[SUBTOTAL]]&lt;PROVEEDORES[[#This Row],[base retencion]],0,PROVEEDORES[[#This Row],[retención aplicada]])</f>
        <v>0.04</v>
      </c>
      <c r="Q357" s="22">
        <f>+PROVEEDORES[[#This Row],[Rete Fuente %]]*(PROVEEDORES[[#This Row],[SUBTOTAL]]-PROVEEDORES[[#This Row],[descuento sobre subtotal]])</f>
        <v>6800</v>
      </c>
      <c r="R357" s="21">
        <f>+PROVEEDORES[[#This Row],[SUBTOTAL]]+PROVEEDORES[[#This Row],[IVA 19%]]-PROVEEDORES[[#This Row],[descuento sobre subtotal]]-PROVEEDORES[[#This Row],[Descuento sobre subtotal $2]]-PROVEEDORES[[#This Row],[Rete Fuente $]]</f>
        <v>195500</v>
      </c>
      <c r="S35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68">
        <f ca="1">IF(PROVEEDORES[[#This Row],[FECHA DE PAGO]]=0,TODAY()-PROVEEDORES[[#This Row],[FECHA DE FACTURACIÓN]]-PROVEEDORES[[#This Row],[PLAZO Días]],0)</f>
        <v>0</v>
      </c>
      <c r="U357" s="113" t="str">
        <f>+VLOOKUP(PROVEEDORES[[#This Row],[PROVEEDOR]],Terceros!$A:$D,4,FALSE)</f>
        <v>4% con base</v>
      </c>
      <c r="V357" s="114">
        <f>+YEAR(PROVEEDORES[[#This Row],[FECHA DE FACTURACIÓN]])</f>
        <v>2022</v>
      </c>
      <c r="W357" s="114">
        <f>+MATCH(PROVEEDORES[[#This Row],[año facturado]],Retenciones!$1:$1,0)</f>
        <v>5</v>
      </c>
      <c r="X357" s="115">
        <f>+VLOOKUP(PROVEEDORES[[#This Row],[ID RETENCION]],Retenciones!$A$1:$O$25,PROVEEDORES[[#This Row],[indicador de columna]],FALSE)</f>
        <v>150000</v>
      </c>
      <c r="Y357" s="116">
        <f>+VLOOKUP(PROVEEDORES[[#This Row],[ID RETENCION]],Retenciones!$A$1:$O$25,2,FALSE)</f>
        <v>0.04</v>
      </c>
      <c r="Z357" s="125" t="b">
        <f>OR(COUNTIF(PROVEEDORES[[#This Row],[PROVEEDOR]],"*"&amp;'Palabra no opera'!$A$2&amp;"*"))</f>
        <v>1</v>
      </c>
      <c r="AA357" s="24"/>
      <c r="AB357" s="24"/>
      <c r="AC357" s="24"/>
      <c r="AD357" s="24"/>
      <c r="AE357" s="24"/>
    </row>
    <row r="358" spans="1:31" ht="22.2" customHeight="1" x14ac:dyDescent="0.3">
      <c r="A358" s="66" t="str">
        <f>+IF(PROVEEDORES[[#This Row],[FECHA DE PAGO]]=PROVEEDORES[[#This Row],[FECHA DE FACTURACIÓN]],"DE CONTADO","CRÉDITO")</f>
        <v>CRÉDITO</v>
      </c>
      <c r="B358" s="38" t="b">
        <f>+IF((PROVEEDORES[[#This Row],[FECHA DE PAGO]]-PROVEEDORES[[#This Row],[FECHA DE FACTURACIÓN]])&gt;PROVEEDORES[[#This Row],[PLAZO Días]],"PAGO VENCIDO")</f>
        <v>0</v>
      </c>
      <c r="C358" s="20">
        <f>+VLOOKUP(PROVEEDORES[[#This Row],[PROVEEDOR]],TERCEROS_INFO[#All],2,FALSE)</f>
        <v>30</v>
      </c>
      <c r="D358" s="25">
        <f>+SUMIFS(PROVEEDORES[Total],PROVEEDORES[PROVEEDOR],PROVEEDORES[[#This Row],[PROVEEDOR]],PROVEEDORES[FECHA DE PAGO],"")</f>
        <v>23124164.219999999</v>
      </c>
      <c r="E358" s="25"/>
      <c r="F35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58" s="161">
        <v>44558</v>
      </c>
      <c r="H358" s="26" t="s">
        <v>18</v>
      </c>
      <c r="I358" s="161">
        <v>44532</v>
      </c>
      <c r="J358" s="35">
        <v>1046843</v>
      </c>
      <c r="K358" s="21">
        <v>164571.6</v>
      </c>
      <c r="L358" s="21"/>
      <c r="M358" s="22">
        <f>(PROVEEDORES[[#This Row],[SUBTOTAL]]-PROVEEDORES[[#This Row],[descuento sobre subtotal]])*VLOOKUP(PROVEEDORES[[#This Row],[PROVEEDOR]],TERCEROS_INFO[#All],3,FALSE)</f>
        <v>31268.604000000003</v>
      </c>
      <c r="N358" s="23"/>
      <c r="O358" s="22">
        <f>+PROVEEDORES[[#This Row],[Descuento sobre subtotal %]]*(PROVEEDORES[[#This Row],[SUBTOTAL]]-PROVEEDORES[[#This Row],[descuento sobre subtotal]])</f>
        <v>0</v>
      </c>
      <c r="P358" s="83">
        <f>+IF(PROVEEDORES[[#This Row],[SUBTOTAL]]&lt;PROVEEDORES[[#This Row],[base retencion]],0,PROVEEDORES[[#This Row],[retención aplicada]])</f>
        <v>0</v>
      </c>
      <c r="Q358" s="22">
        <f>+PROVEEDORES[[#This Row],[Rete Fuente %]]*(PROVEEDORES[[#This Row],[SUBTOTAL]]-PROVEEDORES[[#This Row],[descuento sobre subtotal]])</f>
        <v>0</v>
      </c>
      <c r="R358" s="21">
        <f>+PROVEEDORES[[#This Row],[SUBTOTAL]]+PROVEEDORES[[#This Row],[IVA 19%]]-PROVEEDORES[[#This Row],[descuento sobre subtotal]]-PROVEEDORES[[#This Row],[Descuento sobre subtotal $2]]-PROVEEDORES[[#This Row],[Rete Fuente $]]</f>
        <v>195840.204</v>
      </c>
      <c r="S3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68">
        <f ca="1">IF(PROVEEDORES[[#This Row],[FECHA DE PAGO]]=0,TODAY()-PROVEEDORES[[#This Row],[FECHA DE FACTURACIÓN]]-PROVEEDORES[[#This Row],[PLAZO Días]],0)</f>
        <v>0</v>
      </c>
      <c r="U358" s="96" t="str">
        <f>+VLOOKUP(PROVEEDORES[[#This Row],[PROVEEDOR]],Terceros!$A:$D,4,FALSE)</f>
        <v>2,5% con base</v>
      </c>
      <c r="V358" s="97">
        <f>+YEAR(PROVEEDORES[[#This Row],[FECHA DE FACTURACIÓN]])</f>
        <v>2021</v>
      </c>
      <c r="W358" s="97">
        <f>+MATCH(PROVEEDORES[[#This Row],[año facturado]],Retenciones!$1:$1,0)</f>
        <v>4</v>
      </c>
      <c r="X358" s="98">
        <f>+VLOOKUP(PROVEEDORES[[#This Row],[ID RETENCION]],Retenciones!$A$1:$O$25,PROVEEDORES[[#This Row],[indicador de columna]],FALSE)</f>
        <v>980000</v>
      </c>
      <c r="Y358" s="99">
        <f>+VLOOKUP(PROVEEDORES[[#This Row],[ID RETENCION]],Retenciones!$A$1:$O$25,2,FALSE)</f>
        <v>2.5000000000000001E-2</v>
      </c>
      <c r="Z358" s="125" t="b">
        <f>OR(COUNTIF(PROVEEDORES[[#This Row],[PROVEEDOR]],"*"&amp;'Palabra no opera'!$A$2&amp;"*"))</f>
        <v>0</v>
      </c>
      <c r="AA358" s="24"/>
      <c r="AB358" s="24"/>
      <c r="AC358" s="24"/>
      <c r="AD358" s="24"/>
      <c r="AE358" s="24"/>
    </row>
    <row r="359" spans="1:31" ht="22.2" customHeight="1" x14ac:dyDescent="0.3">
      <c r="A359" s="66" t="str">
        <f>+IF(PROVEEDORES[[#This Row],[FECHA DE PAGO]]=PROVEEDORES[[#This Row],[FECHA DE FACTURACIÓN]],"DE CONTADO","CRÉDITO")</f>
        <v>CRÉDITO</v>
      </c>
      <c r="B359" s="38" t="b">
        <f>+IF((PROVEEDORES[[#This Row],[FECHA DE PAGO]]-PROVEEDORES[[#This Row],[FECHA DE FACTURACIÓN]])&gt;PROVEEDORES[[#This Row],[PLAZO Días]],"PAGO VENCIDO")</f>
        <v>0</v>
      </c>
      <c r="C359" s="20">
        <f>+VLOOKUP(PROVEEDORES[[#This Row],[PROVEEDOR]],TERCEROS_INFO[#All],2,FALSE)</f>
        <v>45</v>
      </c>
      <c r="D359" s="25">
        <f>+SUMIFS(PROVEEDORES[Total],PROVEEDORES[PROVEEDOR],PROVEEDORES[[#This Row],[PROVEEDOR]],PROVEEDORES[FECHA DE PAGO],"")</f>
        <v>0</v>
      </c>
      <c r="E359" s="25"/>
      <c r="F359" s="58">
        <f>+VLOOKUP(PROVEEDORES[[#This Row],[PROVEEDOR]],
                       Terceros!$A:$F,
                       5,
                       FALSE)</f>
        <v>0</v>
      </c>
      <c r="G359" s="161">
        <v>44484</v>
      </c>
      <c r="H359" s="26" t="s">
        <v>922</v>
      </c>
      <c r="I359" s="161">
        <v>44470</v>
      </c>
      <c r="J359" s="35" t="s">
        <v>1321</v>
      </c>
      <c r="K359" s="21">
        <v>199164</v>
      </c>
      <c r="L359" s="21"/>
      <c r="M359" s="22">
        <f>(PROVEEDORES[[#This Row],[SUBTOTAL]]-PROVEEDORES[[#This Row],[descuento sobre subtotal]])*VLOOKUP(PROVEEDORES[[#This Row],[PROVEEDOR]],TERCEROS_INFO[#All],3,FALSE)</f>
        <v>0</v>
      </c>
      <c r="N359" s="23"/>
      <c r="O359" s="22">
        <f>+PROVEEDORES[[#This Row],[Descuento sobre subtotal %]]*(PROVEEDORES[[#This Row],[SUBTOTAL]]-PROVEEDORES[[#This Row],[descuento sobre subtotal]])</f>
        <v>0</v>
      </c>
      <c r="P359" s="83">
        <f>+IF(PROVEEDORES[[#This Row],[SUBTOTAL]]&lt;PROVEEDORES[[#This Row],[base retencion]],0,PROVEEDORES[[#This Row],[retención aplicada]])</f>
        <v>0</v>
      </c>
      <c r="Q359" s="22">
        <f>+PROVEEDORES[[#This Row],[Rete Fuente %]]*(PROVEEDORES[[#This Row],[SUBTOTAL]]-PROVEEDORES[[#This Row],[descuento sobre subtotal]])</f>
        <v>0</v>
      </c>
      <c r="R359" s="21">
        <f>+PROVEEDORES[[#This Row],[SUBTOTAL]]+PROVEEDORES[[#This Row],[IVA 19%]]-PROVEEDORES[[#This Row],[descuento sobre subtotal]]-PROVEEDORES[[#This Row],[Descuento sobre subtotal $2]]-PROVEEDORES[[#This Row],[Rete Fuente $]]</f>
        <v>199164</v>
      </c>
      <c r="S35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68">
        <f ca="1">IF(PROVEEDORES[[#This Row],[FECHA DE PAGO]]=0,TODAY()-PROVEEDORES[[#This Row],[FECHA DE FACTURACIÓN]]-PROVEEDORES[[#This Row],[PLAZO Días]],0)</f>
        <v>0</v>
      </c>
      <c r="U359" s="96">
        <f>+VLOOKUP(PROVEEDORES[[#This Row],[PROVEEDOR]],Terceros!$A:$D,4,FALSE)</f>
        <v>0</v>
      </c>
      <c r="V359" s="97">
        <f>+YEAR(PROVEEDORES[[#This Row],[FECHA DE FACTURACIÓN]])</f>
        <v>2021</v>
      </c>
      <c r="W359" s="97">
        <f>+MATCH(PROVEEDORES[[#This Row],[año facturado]],Retenciones!$1:$1,0)</f>
        <v>4</v>
      </c>
      <c r="X359" s="98">
        <f>+VLOOKUP(PROVEEDORES[[#This Row],[ID RETENCION]],Retenciones!$A$1:$O$25,PROVEEDORES[[#This Row],[indicador de columna]],FALSE)</f>
        <v>0</v>
      </c>
      <c r="Y359" s="99">
        <f>+VLOOKUP(PROVEEDORES[[#This Row],[ID RETENCION]],Retenciones!$A$1:$O$25,2,FALSE)</f>
        <v>0</v>
      </c>
      <c r="Z359" s="125" t="b">
        <f>OR(COUNTIF(PROVEEDORES[[#This Row],[PROVEEDOR]],"*"&amp;'Palabra no opera'!$A$2&amp;"*"))</f>
        <v>1</v>
      </c>
      <c r="AA359" s="24"/>
      <c r="AB359" s="24"/>
      <c r="AC359" s="24"/>
      <c r="AD359" s="24"/>
      <c r="AE359" s="24"/>
    </row>
    <row r="360" spans="1:31" ht="22.2" customHeight="1" x14ac:dyDescent="0.3">
      <c r="A360" s="66" t="str">
        <f>+IF(PROVEEDORES[[#This Row],[FECHA DE PAGO]]=PROVEEDORES[[#This Row],[FECHA DE FACTURACIÓN]],"DE CONTADO","CRÉDITO")</f>
        <v>CRÉDITO</v>
      </c>
      <c r="B360" s="38" t="b">
        <f>+IF((PROVEEDORES[[#This Row],[FECHA DE PAGO]]-PROVEEDORES[[#This Row],[FECHA DE FACTURACIÓN]])&gt;PROVEEDORES[[#This Row],[PLAZO Días]],"PAGO VENCIDO")</f>
        <v>0</v>
      </c>
      <c r="C360" s="20">
        <f>+VLOOKUP(PROVEEDORES[[#This Row],[PROVEEDOR]],TERCEROS_INFO[#All],2,FALSE)</f>
        <v>30</v>
      </c>
      <c r="D360" s="25">
        <f>+SUMIFS(PROVEEDORES[Total],PROVEEDORES[PROVEEDOR],PROVEEDORES[[#This Row],[PROVEEDOR]],PROVEEDORES[FECHA DE PAGO],"")</f>
        <v>0</v>
      </c>
      <c r="E360" s="25"/>
      <c r="F360" s="58" t="str">
        <f>+VLOOKUP(PROVEEDORES[[#This Row],[PROVEEDOR]],
                       Terceros!$A:$F,
                       5,
                       FALSE)</f>
        <v/>
      </c>
      <c r="G360" s="161">
        <v>44466</v>
      </c>
      <c r="H360" s="26" t="s">
        <v>1130</v>
      </c>
      <c r="I360" s="161">
        <v>44452</v>
      </c>
      <c r="J360" s="35" t="s">
        <v>1304</v>
      </c>
      <c r="K360" s="21">
        <v>199600</v>
      </c>
      <c r="L360" s="21"/>
      <c r="M360" s="22">
        <f>(PROVEEDORES[[#This Row],[SUBTOTAL]]-PROVEEDORES[[#This Row],[descuento sobre subtotal]])*VLOOKUP(PROVEEDORES[[#This Row],[PROVEEDOR]],TERCEROS_INFO[#All],3,FALSE)</f>
        <v>0</v>
      </c>
      <c r="N360" s="23"/>
      <c r="O360" s="22">
        <f>+PROVEEDORES[[#This Row],[Descuento sobre subtotal %]]*(PROVEEDORES[[#This Row],[SUBTOTAL]]-PROVEEDORES[[#This Row],[descuento sobre subtotal]])</f>
        <v>0</v>
      </c>
      <c r="P360" s="83">
        <f>+IF(PROVEEDORES[[#This Row],[SUBTOTAL]]&lt;PROVEEDORES[[#This Row],[base retencion]],0,PROVEEDORES[[#This Row],[retención aplicada]])</f>
        <v>0</v>
      </c>
      <c r="Q360" s="22">
        <f>+PROVEEDORES[[#This Row],[Rete Fuente %]]*(PROVEEDORES[[#This Row],[SUBTOTAL]]-PROVEEDORES[[#This Row],[descuento sobre subtotal]])</f>
        <v>0</v>
      </c>
      <c r="R360" s="21">
        <f>+PROVEEDORES[[#This Row],[SUBTOTAL]]+PROVEEDORES[[#This Row],[IVA 19%]]-PROVEEDORES[[#This Row],[descuento sobre subtotal]]-PROVEEDORES[[#This Row],[Descuento sobre subtotal $2]]-PROVEEDORES[[#This Row],[Rete Fuente $]]</f>
        <v>199600</v>
      </c>
      <c r="S3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68">
        <f ca="1">IF(PROVEEDORES[[#This Row],[FECHA DE PAGO]]=0,TODAY()-PROVEEDORES[[#This Row],[FECHA DE FACTURACIÓN]]-PROVEEDORES[[#This Row],[PLAZO Días]],0)</f>
        <v>0</v>
      </c>
      <c r="U360" s="96">
        <f>+VLOOKUP(PROVEEDORES[[#This Row],[PROVEEDOR]],Terceros!$A:$D,4,FALSE)</f>
        <v>0</v>
      </c>
      <c r="V360" s="97">
        <f>+YEAR(PROVEEDORES[[#This Row],[FECHA DE FACTURACIÓN]])</f>
        <v>2021</v>
      </c>
      <c r="W360" s="97">
        <f>+MATCH(PROVEEDORES[[#This Row],[año facturado]],Retenciones!$1:$1,0)</f>
        <v>4</v>
      </c>
      <c r="X360" s="98">
        <f>+VLOOKUP(PROVEEDORES[[#This Row],[ID RETENCION]],Retenciones!$A$1:$O$25,PROVEEDORES[[#This Row],[indicador de columna]],FALSE)</f>
        <v>0</v>
      </c>
      <c r="Y360" s="99">
        <f>+VLOOKUP(PROVEEDORES[[#This Row],[ID RETENCION]],Retenciones!$A$1:$O$25,2,FALSE)</f>
        <v>0</v>
      </c>
      <c r="Z360" s="125" t="b">
        <f>OR(COUNTIF(PROVEEDORES[[#This Row],[PROVEEDOR]],"*"&amp;'Palabra no opera'!$A$2&amp;"*"))</f>
        <v>1</v>
      </c>
      <c r="AA360" s="24"/>
      <c r="AB360" s="24"/>
      <c r="AC360" s="24"/>
      <c r="AD360" s="24"/>
      <c r="AE360" s="24"/>
    </row>
    <row r="361" spans="1:31" ht="22.2" customHeight="1" x14ac:dyDescent="0.3">
      <c r="A361" s="66" t="str">
        <f>+IF(PROVEEDORES[[#This Row],[FECHA DE PAGO]]=PROVEEDORES[[#This Row],[FECHA DE FACTURACIÓN]],"DE CONTADO","CRÉDITO")</f>
        <v>DE CONTADO</v>
      </c>
      <c r="B361" s="38" t="b">
        <f>+IF((PROVEEDORES[[#This Row],[FECHA DE PAGO]]-PROVEEDORES[[#This Row],[FECHA DE FACTURACIÓN]])&gt;PROVEEDORES[[#This Row],[PLAZO Días]],"PAGO VENCIDO")</f>
        <v>0</v>
      </c>
      <c r="C361" s="20">
        <f>+VLOOKUP(PROVEEDORES[[#This Row],[PROVEEDOR]],TERCEROS_INFO[#All],2,FALSE)</f>
        <v>30</v>
      </c>
      <c r="D361" s="25">
        <f>+SUMIFS(PROVEEDORES[Total],PROVEEDORES[PROVEEDOR],PROVEEDORES[[#This Row],[PROVEEDOR]],PROVEEDORES[FECHA DE PAGO],"")</f>
        <v>0</v>
      </c>
      <c r="E361" s="25"/>
      <c r="F361" s="58" t="str">
        <f>+VLOOKUP(PROVEEDORES[[#This Row],[PROVEEDOR]],
                       Terceros!$A:$F,
                       5,
                       FALSE)</f>
        <v/>
      </c>
      <c r="G361" s="161">
        <v>44470</v>
      </c>
      <c r="H361" s="26" t="s">
        <v>683</v>
      </c>
      <c r="I361" s="161">
        <v>44470</v>
      </c>
      <c r="J361" s="35" t="s">
        <v>1316</v>
      </c>
      <c r="K361" s="21">
        <v>200000</v>
      </c>
      <c r="L361" s="21"/>
      <c r="M361" s="22">
        <f>(PROVEEDORES[[#This Row],[SUBTOTAL]]-PROVEEDORES[[#This Row],[descuento sobre subtotal]])*VLOOKUP(PROVEEDORES[[#This Row],[PROVEEDOR]],TERCEROS_INFO[#All],3,FALSE)</f>
        <v>0</v>
      </c>
      <c r="N361" s="23"/>
      <c r="O361" s="22">
        <f>+PROVEEDORES[[#This Row],[Descuento sobre subtotal %]]*(PROVEEDORES[[#This Row],[SUBTOTAL]]-PROVEEDORES[[#This Row],[descuento sobre subtotal]])</f>
        <v>0</v>
      </c>
      <c r="P361" s="83">
        <f>+IF(PROVEEDORES[[#This Row],[SUBTOTAL]]&lt;PROVEEDORES[[#This Row],[base retencion]],0,PROVEEDORES[[#This Row],[retención aplicada]])</f>
        <v>0</v>
      </c>
      <c r="Q361" s="22">
        <f>+PROVEEDORES[[#This Row],[Rete Fuente %]]*(PROVEEDORES[[#This Row],[SUBTOTAL]]-PROVEEDORES[[#This Row],[descuento sobre subtotal]])</f>
        <v>0</v>
      </c>
      <c r="R361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3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68">
        <f ca="1">IF(PROVEEDORES[[#This Row],[FECHA DE PAGO]]=0,TODAY()-PROVEEDORES[[#This Row],[FECHA DE FACTURACIÓN]]-PROVEEDORES[[#This Row],[PLAZO Días]],0)</f>
        <v>0</v>
      </c>
      <c r="U361" s="96">
        <f>+VLOOKUP(PROVEEDORES[[#This Row],[PROVEEDOR]],Terceros!$A:$D,4,FALSE)</f>
        <v>0</v>
      </c>
      <c r="V361" s="97">
        <f>+YEAR(PROVEEDORES[[#This Row],[FECHA DE FACTURACIÓN]])</f>
        <v>2021</v>
      </c>
      <c r="W361" s="97">
        <f>+MATCH(PROVEEDORES[[#This Row],[año facturado]],Retenciones!$1:$1,0)</f>
        <v>4</v>
      </c>
      <c r="X361" s="98">
        <f>+VLOOKUP(PROVEEDORES[[#This Row],[ID RETENCION]],Retenciones!$A$1:$O$25,PROVEEDORES[[#This Row],[indicador de columna]],FALSE)</f>
        <v>0</v>
      </c>
      <c r="Y361" s="99">
        <f>+VLOOKUP(PROVEEDORES[[#This Row],[ID RETENCION]],Retenciones!$A$1:$O$25,2,FALSE)</f>
        <v>0</v>
      </c>
      <c r="Z361" s="125" t="b">
        <f>OR(COUNTIF(PROVEEDORES[[#This Row],[PROVEEDOR]],"*"&amp;'Palabra no opera'!$A$2&amp;"*"))</f>
        <v>0</v>
      </c>
      <c r="AA361" s="24"/>
      <c r="AB361" s="24"/>
      <c r="AC361" s="24"/>
      <c r="AD361" s="24"/>
      <c r="AE361" s="24"/>
    </row>
    <row r="362" spans="1:31" ht="22.2" customHeight="1" x14ac:dyDescent="0.3">
      <c r="A362" s="66" t="str">
        <f>+IF(PROVEEDORES[[#This Row],[FECHA DE PAGO]]=PROVEEDORES[[#This Row],[FECHA DE FACTURACIÓN]],"DE CONTADO","CRÉDITO")</f>
        <v>CRÉDITO</v>
      </c>
      <c r="B362" s="38" t="b">
        <f>+IF((PROVEEDORES[[#This Row],[FECHA DE PAGO]]-PROVEEDORES[[#This Row],[FECHA DE FACTURACIÓN]])&gt;PROVEEDORES[[#This Row],[PLAZO Días]],"PAGO VENCIDO")</f>
        <v>0</v>
      </c>
      <c r="C362" s="20">
        <f>+VLOOKUP(PROVEEDORES[[#This Row],[PROVEEDOR]],TERCEROS_INFO[#All],2,FALSE)</f>
        <v>30</v>
      </c>
      <c r="D362" s="25">
        <f>+SUMIFS(PROVEEDORES[Total],PROVEEDORES[PROVEEDOR],PROVEEDORES[[#This Row],[PROVEEDOR]],PROVEEDORES[FECHA DE PAGO],"")</f>
        <v>0</v>
      </c>
      <c r="E362" s="25"/>
      <c r="F362" s="58">
        <f>+VLOOKUP(PROVEEDORES[[#This Row],[PROVEEDOR]],
                       Terceros!$A:$F,
                       5,
                       FALSE)</f>
        <v>0</v>
      </c>
      <c r="G362" s="161">
        <v>44477</v>
      </c>
      <c r="H362" s="26" t="s">
        <v>906</v>
      </c>
      <c r="I362" s="161">
        <v>44470</v>
      </c>
      <c r="J362" s="35" t="s">
        <v>1315</v>
      </c>
      <c r="K362" s="21">
        <v>200000</v>
      </c>
      <c r="L362" s="21"/>
      <c r="M362" s="22">
        <f>(PROVEEDORES[[#This Row],[SUBTOTAL]]-PROVEEDORES[[#This Row],[descuento sobre subtotal]])*VLOOKUP(PROVEEDORES[[#This Row],[PROVEEDOR]],TERCEROS_INFO[#All],3,FALSE)</f>
        <v>0</v>
      </c>
      <c r="N362" s="23"/>
      <c r="O362" s="22">
        <f>+PROVEEDORES[[#This Row],[Descuento sobre subtotal %]]*(PROVEEDORES[[#This Row],[SUBTOTAL]]-PROVEEDORES[[#This Row],[descuento sobre subtotal]])</f>
        <v>0</v>
      </c>
      <c r="P362" s="83">
        <f>+IF(PROVEEDORES[[#This Row],[SUBTOTAL]]&lt;PROVEEDORES[[#This Row],[base retencion]],0,PROVEEDORES[[#This Row],[retención aplicada]])</f>
        <v>0</v>
      </c>
      <c r="Q362" s="22">
        <f>+PROVEEDORES[[#This Row],[Rete Fuente %]]*(PROVEEDORES[[#This Row],[SUBTOTAL]]-PROVEEDORES[[#This Row],[descuento sobre subtotal]])</f>
        <v>0</v>
      </c>
      <c r="R362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3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68">
        <f ca="1">IF(PROVEEDORES[[#This Row],[FECHA DE PAGO]]=0,TODAY()-PROVEEDORES[[#This Row],[FECHA DE FACTURACIÓN]]-PROVEEDORES[[#This Row],[PLAZO Días]],0)</f>
        <v>0</v>
      </c>
      <c r="U362" s="96">
        <f>+VLOOKUP(PROVEEDORES[[#This Row],[PROVEEDOR]],Terceros!$A:$D,4,FALSE)</f>
        <v>0</v>
      </c>
      <c r="V362" s="97">
        <f>+YEAR(PROVEEDORES[[#This Row],[FECHA DE FACTURACIÓN]])</f>
        <v>2021</v>
      </c>
      <c r="W362" s="97">
        <f>+MATCH(PROVEEDORES[[#This Row],[año facturado]],Retenciones!$1:$1,0)</f>
        <v>4</v>
      </c>
      <c r="X362" s="98">
        <f>+VLOOKUP(PROVEEDORES[[#This Row],[ID RETENCION]],Retenciones!$A$1:$O$25,PROVEEDORES[[#This Row],[indicador de columna]],FALSE)</f>
        <v>0</v>
      </c>
      <c r="Y362" s="99">
        <f>+VLOOKUP(PROVEEDORES[[#This Row],[ID RETENCION]],Retenciones!$A$1:$O$25,2,FALSE)</f>
        <v>0</v>
      </c>
      <c r="Z362" s="125" t="b">
        <f>OR(COUNTIF(PROVEEDORES[[#This Row],[PROVEEDOR]],"*"&amp;'Palabra no opera'!$A$2&amp;"*"))</f>
        <v>1</v>
      </c>
      <c r="AA362" s="24"/>
      <c r="AB362" s="24"/>
      <c r="AC362" s="24"/>
      <c r="AD362" s="24"/>
      <c r="AE362" s="24"/>
    </row>
    <row r="363" spans="1:31" ht="22.2" customHeight="1" x14ac:dyDescent="0.3">
      <c r="A363" s="66" t="str">
        <f>+IF(PROVEEDORES[[#This Row],[FECHA DE PAGO]]=PROVEEDORES[[#This Row],[FECHA DE FACTURACIÓN]],"DE CONTADO","CRÉDITO")</f>
        <v>CRÉDITO</v>
      </c>
      <c r="B363" s="38" t="b">
        <f>+IF((PROVEEDORES[[#This Row],[FECHA DE PAGO]]-PROVEEDORES[[#This Row],[FECHA DE FACTURACIÓN]])&gt;PROVEEDORES[[#This Row],[PLAZO Días]],"PAGO VENCIDO")</f>
        <v>0</v>
      </c>
      <c r="C363" s="20">
        <f>+VLOOKUP(PROVEEDORES[[#This Row],[PROVEEDOR]],TERCEROS_INFO[#All],2,FALSE)</f>
        <v>30</v>
      </c>
      <c r="D363" s="25">
        <f>+SUMIFS(PROVEEDORES[Total],PROVEEDORES[PROVEEDOR],PROVEEDORES[[#This Row],[PROVEEDOR]],PROVEEDORES[FECHA DE PAGO],"")</f>
        <v>0</v>
      </c>
      <c r="E363" s="25"/>
      <c r="F363" s="5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363" s="161">
        <v>44509</v>
      </c>
      <c r="H363" s="26" t="s">
        <v>1112</v>
      </c>
      <c r="I363" s="161">
        <v>44504</v>
      </c>
      <c r="J363" s="35"/>
      <c r="K363" s="21">
        <v>168360</v>
      </c>
      <c r="L363" s="21"/>
      <c r="M363" s="22">
        <f>(PROVEEDORES[[#This Row],[SUBTOTAL]]-PROVEEDORES[[#This Row],[descuento sobre subtotal]])*VLOOKUP(PROVEEDORES[[#This Row],[PROVEEDOR]],TERCEROS_INFO[#All],3,FALSE)</f>
        <v>31988.400000000001</v>
      </c>
      <c r="N363" s="23"/>
      <c r="O363" s="22">
        <f>+PROVEEDORES[[#This Row],[Descuento sobre subtotal %]]*(PROVEEDORES[[#This Row],[SUBTOTAL]]-PROVEEDORES[[#This Row],[descuento sobre subtotal]])</f>
        <v>0</v>
      </c>
      <c r="P363" s="83">
        <f>+IF(PROVEEDORES[[#This Row],[SUBTOTAL]]&lt;PROVEEDORES[[#This Row],[base retencion]],0,PROVEEDORES[[#This Row],[retención aplicada]])</f>
        <v>0</v>
      </c>
      <c r="Q363" s="22">
        <f>+PROVEEDORES[[#This Row],[Rete Fuente %]]*(PROVEEDORES[[#This Row],[SUBTOTAL]]-PROVEEDORES[[#This Row],[descuento sobre subtotal]])</f>
        <v>0</v>
      </c>
      <c r="R363" s="21">
        <f>+PROVEEDORES[[#This Row],[SUBTOTAL]]+PROVEEDORES[[#This Row],[IVA 19%]]-PROVEEDORES[[#This Row],[descuento sobre subtotal]]-PROVEEDORES[[#This Row],[Descuento sobre subtotal $2]]-PROVEEDORES[[#This Row],[Rete Fuente $]]</f>
        <v>200348.4</v>
      </c>
      <c r="S3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68">
        <f ca="1">IF(PROVEEDORES[[#This Row],[FECHA DE PAGO]]=0,TODAY()-PROVEEDORES[[#This Row],[FECHA DE FACTURACIÓN]]-PROVEEDORES[[#This Row],[PLAZO Días]],0)</f>
        <v>0</v>
      </c>
      <c r="U363" s="96">
        <f>+VLOOKUP(PROVEEDORES[[#This Row],[PROVEEDOR]],Terceros!$A:$D,4,FALSE)</f>
        <v>0</v>
      </c>
      <c r="V363" s="97">
        <f>+YEAR(PROVEEDORES[[#This Row],[FECHA DE FACTURACIÓN]])</f>
        <v>2021</v>
      </c>
      <c r="W363" s="97">
        <f>+MATCH(PROVEEDORES[[#This Row],[año facturado]],Retenciones!$1:$1,0)</f>
        <v>4</v>
      </c>
      <c r="X363" s="98">
        <f>+VLOOKUP(PROVEEDORES[[#This Row],[ID RETENCION]],Retenciones!$A$1:$O$25,PROVEEDORES[[#This Row],[indicador de columna]],FALSE)</f>
        <v>0</v>
      </c>
      <c r="Y363" s="99">
        <f>+VLOOKUP(PROVEEDORES[[#This Row],[ID RETENCION]],Retenciones!$A$1:$O$25,2,FALSE)</f>
        <v>0</v>
      </c>
      <c r="Z363" s="125" t="b">
        <f>OR(COUNTIF(PROVEEDORES[[#This Row],[PROVEEDOR]],"*"&amp;'Palabra no opera'!$A$2&amp;"*"))</f>
        <v>1</v>
      </c>
      <c r="AA363" s="24"/>
      <c r="AB363" s="24"/>
      <c r="AC363" s="24"/>
      <c r="AD363" s="24"/>
      <c r="AE363" s="24"/>
    </row>
    <row r="364" spans="1:31" ht="22.2" customHeight="1" x14ac:dyDescent="0.3">
      <c r="A364" s="66" t="str">
        <f>+IF(PROVEEDORES[[#This Row],[FECHA DE PAGO]]=PROVEEDORES[[#This Row],[FECHA DE FACTURACIÓN]],"DE CONTADO","CRÉDITO")</f>
        <v>CRÉDITO</v>
      </c>
      <c r="B364" s="38" t="b">
        <f>+IF((PROVEEDORES[[#This Row],[FECHA DE PAGO]]-PROVEEDORES[[#This Row],[FECHA DE FACTURACIÓN]])&gt;PROVEEDORES[[#This Row],[PLAZO Días]],"PAGO VENCIDO")</f>
        <v>0</v>
      </c>
      <c r="C364" s="20">
        <f>+VLOOKUP(PROVEEDORES[[#This Row],[PROVEEDOR]],TERCEROS_INFO[#All],2,FALSE)</f>
        <v>60</v>
      </c>
      <c r="D364" s="25">
        <f>+SUMIFS(PROVEEDORES[Total],PROVEEDORES[PROVEEDOR],PROVEEDORES[[#This Row],[PROVEEDOR]],PROVEEDORES[FECHA DE PAGO],"")</f>
        <v>1520362</v>
      </c>
      <c r="E364" s="25"/>
      <c r="F36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64" s="161">
        <v>44586</v>
      </c>
      <c r="H364" s="26" t="s">
        <v>528</v>
      </c>
      <c r="I364" s="161">
        <v>44533</v>
      </c>
      <c r="J364" s="35" t="s">
        <v>1537</v>
      </c>
      <c r="K364" s="21">
        <v>201600</v>
      </c>
      <c r="L364" s="21"/>
      <c r="M364" s="22">
        <v>0</v>
      </c>
      <c r="N364" s="23"/>
      <c r="O364" s="22">
        <v>0</v>
      </c>
      <c r="P364" s="83">
        <f>+IF(PROVEEDORES[[#This Row],[SUBTOTAL]]&lt;PROVEEDORES[[#This Row],[base retencion]],0,PROVEEDORES[[#This Row],[retención aplicada]])</f>
        <v>0</v>
      </c>
      <c r="Q364" s="22">
        <f>+PROVEEDORES[[#This Row],[Rete Fuente %]]*(PROVEEDORES[[#This Row],[SUBTOTAL]]-PROVEEDORES[[#This Row],[descuento sobre subtotal]])</f>
        <v>0</v>
      </c>
      <c r="R364" s="21">
        <v>201600</v>
      </c>
      <c r="S3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68">
        <f ca="1">IF(PROVEEDORES[[#This Row],[FECHA DE PAGO]]=0,TODAY()-PROVEEDORES[[#This Row],[FECHA DE FACTURACIÓN]]-PROVEEDORES[[#This Row],[PLAZO Días]],0)</f>
        <v>0</v>
      </c>
      <c r="U364" s="96">
        <f>+VLOOKUP(PROVEEDORES[[#This Row],[PROVEEDOR]],Terceros!$A:$D,4,FALSE)</f>
        <v>0</v>
      </c>
      <c r="V364" s="97">
        <f>+YEAR(PROVEEDORES[[#This Row],[FECHA DE FACTURACIÓN]])</f>
        <v>2021</v>
      </c>
      <c r="W364" s="97">
        <f>+MATCH(PROVEEDORES[[#This Row],[año facturado]],Retenciones!$1:$1,0)</f>
        <v>4</v>
      </c>
      <c r="X364" s="98">
        <f>+VLOOKUP(PROVEEDORES[[#This Row],[ID RETENCION]],Retenciones!$A$1:$O$25,PROVEEDORES[[#This Row],[indicador de columna]],FALSE)</f>
        <v>0</v>
      </c>
      <c r="Y364" s="99">
        <f>+VLOOKUP(PROVEEDORES[[#This Row],[ID RETENCION]],Retenciones!$A$1:$O$25,2,FALSE)</f>
        <v>0</v>
      </c>
      <c r="Z364" s="125" t="b">
        <f>OR(COUNTIF(PROVEEDORES[[#This Row],[PROVEEDOR]],"*"&amp;'Palabra no opera'!$A$2&amp;"*"))</f>
        <v>0</v>
      </c>
      <c r="AA364" s="24"/>
      <c r="AB364" s="24"/>
      <c r="AC364" s="24"/>
      <c r="AD364" s="24"/>
      <c r="AE364" s="24"/>
    </row>
    <row r="365" spans="1:31" ht="22.2" customHeight="1" x14ac:dyDescent="0.3">
      <c r="A365" s="66" t="str">
        <f>+IF(PROVEEDORES[[#This Row],[FECHA DE PAGO]]=PROVEEDORES[[#This Row],[FECHA DE FACTURACIÓN]],"DE CONTADO","CRÉDITO")</f>
        <v>CRÉDITO</v>
      </c>
      <c r="B365" s="38" t="b">
        <f>+IF((PROVEEDORES[[#This Row],[FECHA DE PAGO]]-PROVEEDORES[[#This Row],[FECHA DE FACTURACIÓN]])&gt;PROVEEDORES[[#This Row],[PLAZO Días]],"PAGO VENCIDO")</f>
        <v>0</v>
      </c>
      <c r="C365" s="20">
        <f>+VLOOKUP(PROVEEDORES[[#This Row],[PROVEEDOR]],TERCEROS_INFO[#All],2,FALSE)</f>
        <v>20</v>
      </c>
      <c r="D365" s="25">
        <f>+SUMIFS(PROVEEDORES[Total],PROVEEDORES[PROVEEDOR],PROVEEDORES[[#This Row],[PROVEEDOR]],PROVEEDORES[FECHA DE PAGO],"")</f>
        <v>0</v>
      </c>
      <c r="E365" s="25"/>
      <c r="F365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365" s="161">
        <v>44341</v>
      </c>
      <c r="H365" s="26" t="s">
        <v>397</v>
      </c>
      <c r="I365" s="161">
        <v>44334</v>
      </c>
      <c r="J365" s="35" t="s">
        <v>1226</v>
      </c>
      <c r="K365" s="21">
        <v>205300</v>
      </c>
      <c r="L365" s="21"/>
      <c r="M365" s="22">
        <f>(PROVEEDORES[[#This Row],[SUBTOTAL]]-PROVEEDORES[[#This Row],[descuento sobre subtotal]])*VLOOKUP(PROVEEDORES[[#This Row],[PROVEEDOR]],TERCEROS_INFO[#All],3,FALSE)</f>
        <v>0</v>
      </c>
      <c r="N365" s="23"/>
      <c r="O365" s="22">
        <f>+PROVEEDORES[[#This Row],[Descuento sobre subtotal %]]*(PROVEEDORES[[#This Row],[SUBTOTAL]]-PROVEEDORES[[#This Row],[descuento sobre subtotal]])</f>
        <v>0</v>
      </c>
      <c r="P365" s="83">
        <f>+IF(PROVEEDORES[[#This Row],[SUBTOTAL]]&lt;PROVEEDORES[[#This Row],[base retencion]],0,PROVEEDORES[[#This Row],[retención aplicada]])</f>
        <v>0.01</v>
      </c>
      <c r="Q365" s="22">
        <f>+PROVEEDORES[[#This Row],[Rete Fuente %]]*(PROVEEDORES[[#This Row],[SUBTOTAL]]-PROVEEDORES[[#This Row],[descuento sobre subtotal]])</f>
        <v>2053</v>
      </c>
      <c r="R365" s="21">
        <f>+PROVEEDORES[[#This Row],[SUBTOTAL]]+PROVEEDORES[[#This Row],[IVA 19%]]-PROVEEDORES[[#This Row],[descuento sobre subtotal]]-PROVEEDORES[[#This Row],[Descuento sobre subtotal $2]]-PROVEEDORES[[#This Row],[Rete Fuente $]]</f>
        <v>203247</v>
      </c>
      <c r="S3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68">
        <f ca="1">IF(PROVEEDORES[[#This Row],[FECHA DE PAGO]]=0,TODAY()-PROVEEDORES[[#This Row],[FECHA DE FACTURACIÓN]]-PROVEEDORES[[#This Row],[PLAZO Días]],0)</f>
        <v>0</v>
      </c>
      <c r="U365" s="96" t="str">
        <f>+VLOOKUP(PROVEEDORES[[#This Row],[PROVEEDOR]],Terceros!$A:$D,4,FALSE)</f>
        <v>1% con base</v>
      </c>
      <c r="V365" s="97">
        <f>+YEAR(PROVEEDORES[[#This Row],[FECHA DE FACTURACIÓN]])</f>
        <v>2021</v>
      </c>
      <c r="W365" s="97">
        <f>+MATCH(PROVEEDORES[[#This Row],[año facturado]],Retenciones!$1:$1,0)</f>
        <v>4</v>
      </c>
      <c r="X365" s="98">
        <f>+VLOOKUP(PROVEEDORES[[#This Row],[ID RETENCION]],Retenciones!$A$1:$O$25,PROVEEDORES[[#This Row],[indicador de columna]],FALSE)</f>
        <v>145000</v>
      </c>
      <c r="Y365" s="99">
        <f>+VLOOKUP(PROVEEDORES[[#This Row],[ID RETENCION]],Retenciones!$A$1:$O$25,2,FALSE)</f>
        <v>0.01</v>
      </c>
      <c r="Z365" s="125" t="b">
        <f>OR(COUNTIF(PROVEEDORES[[#This Row],[PROVEEDOR]],"*"&amp;'Palabra no opera'!$A$2&amp;"*"))</f>
        <v>0</v>
      </c>
      <c r="AA365" s="24"/>
      <c r="AB365" s="24"/>
      <c r="AC365" s="24"/>
      <c r="AD365" s="24"/>
      <c r="AE365" s="24"/>
    </row>
    <row r="366" spans="1:31" ht="22.2" customHeight="1" x14ac:dyDescent="0.3">
      <c r="A366" s="66" t="str">
        <f>+IF(PROVEEDORES[[#This Row],[FECHA DE PAGO]]=PROVEEDORES[[#This Row],[FECHA DE FACTURACIÓN]],"DE CONTADO","CRÉDITO")</f>
        <v>DE CONTADO</v>
      </c>
      <c r="B366" s="38" t="b">
        <f>+IF((PROVEEDORES[[#This Row],[FECHA DE PAGO]]-PROVEEDORES[[#This Row],[FECHA DE FACTURACIÓN]])&gt;PROVEEDORES[[#This Row],[PLAZO Días]],"PAGO VENCIDO")</f>
        <v>0</v>
      </c>
      <c r="C366" s="20">
        <f>+VLOOKUP(PROVEEDORES[[#This Row],[PROVEEDOR]],TERCEROS_INFO[#All],2,FALSE)</f>
        <v>30</v>
      </c>
      <c r="D366" s="25">
        <f>+SUMIFS(PROVEEDORES[Total],PROVEEDORES[PROVEEDOR],PROVEEDORES[[#This Row],[PROVEEDOR]],PROVEEDORES[FECHA DE PAGO],"")</f>
        <v>0</v>
      </c>
      <c r="E366" s="25"/>
      <c r="F366" s="58" t="str">
        <f>+VLOOKUP(PROVEEDORES[[#This Row],[PROVEEDOR]],
                       Terceros!$A:$F,
                       5,
                       FALSE)</f>
        <v/>
      </c>
      <c r="G366" s="161">
        <v>44363</v>
      </c>
      <c r="H366" s="26" t="s">
        <v>37</v>
      </c>
      <c r="I366" s="161">
        <v>44363</v>
      </c>
      <c r="J366" s="35">
        <v>12592</v>
      </c>
      <c r="K366" s="21">
        <v>172000</v>
      </c>
      <c r="L366" s="21"/>
      <c r="M366" s="22">
        <f>(PROVEEDORES[[#This Row],[SUBTOTAL]]-PROVEEDORES[[#This Row],[descuento sobre subtotal]])*VLOOKUP(PROVEEDORES[[#This Row],[PROVEEDOR]],TERCEROS_INFO[#All],3,FALSE)</f>
        <v>32680</v>
      </c>
      <c r="N366" s="23"/>
      <c r="O366" s="22">
        <f>+PROVEEDORES[[#This Row],[Descuento sobre subtotal %]]*(PROVEEDORES[[#This Row],[SUBTOTAL]]-PROVEEDORES[[#This Row],[descuento sobre subtotal]])</f>
        <v>0</v>
      </c>
      <c r="P366" s="83">
        <f>+IF(PROVEEDORES[[#This Row],[SUBTOTAL]]&lt;PROVEEDORES[[#This Row],[base retencion]],0,PROVEEDORES[[#This Row],[retención aplicada]])</f>
        <v>0</v>
      </c>
      <c r="Q366" s="22">
        <f>+PROVEEDORES[[#This Row],[Rete Fuente %]]*(PROVEEDORES[[#This Row],[SUBTOTAL]]-PROVEEDORES[[#This Row],[descuento sobre subtotal]])</f>
        <v>0</v>
      </c>
      <c r="R366" s="21">
        <f>+PROVEEDORES[[#This Row],[SUBTOTAL]]+PROVEEDORES[[#This Row],[IVA 19%]]-PROVEEDORES[[#This Row],[descuento sobre subtotal]]-PROVEEDORES[[#This Row],[Descuento sobre subtotal $2]]-PROVEEDORES[[#This Row],[Rete Fuente $]]</f>
        <v>204680</v>
      </c>
      <c r="S3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68">
        <f ca="1">IF(PROVEEDORES[[#This Row],[FECHA DE PAGO]]=0,TODAY()-PROVEEDORES[[#This Row],[FECHA DE FACTURACIÓN]]-PROVEEDORES[[#This Row],[PLAZO Días]],0)</f>
        <v>0</v>
      </c>
      <c r="U366" s="96" t="str">
        <f>+VLOOKUP(PROVEEDORES[[#This Row],[PROVEEDOR]],Terceros!$A:$D,4,FALSE)</f>
        <v>2,5% con base</v>
      </c>
      <c r="V366" s="97">
        <f>+YEAR(PROVEEDORES[[#This Row],[FECHA DE FACTURACIÓN]])</f>
        <v>2021</v>
      </c>
      <c r="W366" s="97">
        <f>+MATCH(PROVEEDORES[[#This Row],[año facturado]],Retenciones!$1:$1,0)</f>
        <v>4</v>
      </c>
      <c r="X366" s="98">
        <f>+VLOOKUP(PROVEEDORES[[#This Row],[ID RETENCION]],Retenciones!$A$1:$O$25,PROVEEDORES[[#This Row],[indicador de columna]],FALSE)</f>
        <v>980000</v>
      </c>
      <c r="Y366" s="99">
        <f>+VLOOKUP(PROVEEDORES[[#This Row],[ID RETENCION]],Retenciones!$A$1:$O$25,2,FALSE)</f>
        <v>2.5000000000000001E-2</v>
      </c>
      <c r="Z366" s="125" t="b">
        <f>OR(COUNTIF(PROVEEDORES[[#This Row],[PROVEEDOR]],"*"&amp;'Palabra no opera'!$A$2&amp;"*"))</f>
        <v>0</v>
      </c>
      <c r="AA366" s="24"/>
      <c r="AB366" s="24"/>
      <c r="AC366" s="24"/>
      <c r="AD366" s="24"/>
      <c r="AE366" s="24"/>
    </row>
    <row r="367" spans="1:31" ht="22.2" customHeight="1" x14ac:dyDescent="0.3">
      <c r="A367" s="66" t="str">
        <f>+IF(PROVEEDORES[[#This Row],[FECHA DE PAGO]]=PROVEEDORES[[#This Row],[FECHA DE FACTURACIÓN]],"DE CONTADO","CRÉDITO")</f>
        <v>CRÉDITO</v>
      </c>
      <c r="B367" s="38" t="str">
        <f>+IF((PROVEEDORES[[#This Row],[FECHA DE PAGO]]-PROVEEDORES[[#This Row],[FECHA DE FACTURACIÓN]])&gt;PROVEEDORES[[#This Row],[PLAZO Días]],"PAGO VENCIDO")</f>
        <v>PAGO VENCIDO</v>
      </c>
      <c r="C367" s="20">
        <f>+VLOOKUP(PROVEEDORES[[#This Row],[PROVEEDOR]],TERCEROS_INFO[#All],2,FALSE)</f>
        <v>30</v>
      </c>
      <c r="D367" s="25">
        <f>+SUMIFS(PROVEEDORES[Total],PROVEEDORES[PROVEEDOR],PROVEEDORES[[#This Row],[PROVEEDOR]],PROVEEDORES[FECHA DE PAGO],"")</f>
        <v>-101001.25</v>
      </c>
      <c r="E367" s="25"/>
      <c r="F367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67" s="161">
        <v>44271</v>
      </c>
      <c r="H367" s="26" t="s">
        <v>14</v>
      </c>
      <c r="I367" s="161">
        <v>44237</v>
      </c>
      <c r="J367" s="35" t="s">
        <v>237</v>
      </c>
      <c r="K367" s="21">
        <v>174202</v>
      </c>
      <c r="L367" s="21"/>
      <c r="M367" s="22">
        <f>(PROVEEDORES[[#This Row],[SUBTOTAL]]-PROVEEDORES[[#This Row],[descuento sobre subtotal]])*VLOOKUP(PROVEEDORES[[#This Row],[PROVEEDOR]],TERCEROS_INFO[#All],3,FALSE)</f>
        <v>33098.379999999997</v>
      </c>
      <c r="N367" s="23"/>
      <c r="O367" s="22">
        <f>+PROVEEDORES[[#This Row],[Descuento sobre subtotal %]]*(PROVEEDORES[[#This Row],[SUBTOTAL]]-PROVEEDORES[[#This Row],[descuento sobre subtotal]])</f>
        <v>0</v>
      </c>
      <c r="P367" s="83">
        <f>+IF(PROVEEDORES[[#This Row],[SUBTOTAL]]&lt;PROVEEDORES[[#This Row],[base retencion]],0,PROVEEDORES[[#This Row],[retención aplicada]])</f>
        <v>0</v>
      </c>
      <c r="Q367" s="22">
        <f>+PROVEEDORES[[#This Row],[Rete Fuente %]]*(PROVEEDORES[[#This Row],[SUBTOTAL]]-PROVEEDORES[[#This Row],[descuento sobre subtotal]])</f>
        <v>0</v>
      </c>
      <c r="R367" s="21">
        <f>+PROVEEDORES[[#This Row],[SUBTOTAL]]+PROVEEDORES[[#This Row],[IVA 19%]]-PROVEEDORES[[#This Row],[descuento sobre subtotal]]-PROVEEDORES[[#This Row],[Descuento sobre subtotal $2]]-PROVEEDORES[[#This Row],[Rete Fuente $]]</f>
        <v>207300.38</v>
      </c>
      <c r="S3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68">
        <f ca="1">IF(PROVEEDORES[[#This Row],[FECHA DE PAGO]]=0,TODAY()-PROVEEDORES[[#This Row],[FECHA DE FACTURACIÓN]]-PROVEEDORES[[#This Row],[PLAZO Días]],0)</f>
        <v>0</v>
      </c>
      <c r="U367" s="96" t="str">
        <f>+VLOOKUP(PROVEEDORES[[#This Row],[PROVEEDOR]],Terceros!$A:$D,4,FALSE)</f>
        <v>2,5% con base</v>
      </c>
      <c r="V367" s="97">
        <f>+YEAR(PROVEEDORES[[#This Row],[FECHA DE FACTURACIÓN]])</f>
        <v>2021</v>
      </c>
      <c r="W367" s="97">
        <f>+MATCH(PROVEEDORES[[#This Row],[año facturado]],Retenciones!$1:$1,0)</f>
        <v>4</v>
      </c>
      <c r="X367" s="98">
        <f>+VLOOKUP(PROVEEDORES[[#This Row],[ID RETENCION]],Retenciones!$A$1:$O$25,PROVEEDORES[[#This Row],[indicador de columna]],FALSE)</f>
        <v>980000</v>
      </c>
      <c r="Y367" s="99">
        <f>+VLOOKUP(PROVEEDORES[[#This Row],[ID RETENCION]],Retenciones!$A$1:$O$25,2,FALSE)</f>
        <v>2.5000000000000001E-2</v>
      </c>
      <c r="Z367" s="125" t="b">
        <f>OR(COUNTIF(PROVEEDORES[[#This Row],[PROVEEDOR]],"*"&amp;'Palabra no opera'!$A$2&amp;"*"))</f>
        <v>0</v>
      </c>
      <c r="AA367" s="24"/>
      <c r="AB367" s="24"/>
      <c r="AC367" s="24"/>
      <c r="AD367" s="24"/>
      <c r="AE367" s="24"/>
    </row>
    <row r="368" spans="1:31" ht="22.2" customHeight="1" x14ac:dyDescent="0.3">
      <c r="A368" s="66" t="str">
        <f>+IF(PROVEEDORES[[#This Row],[FECHA DE PAGO]]=PROVEEDORES[[#This Row],[FECHA DE FACTURACIÓN]],"DE CONTADO","CRÉDITO")</f>
        <v>DE CONTADO</v>
      </c>
      <c r="B368" s="38" t="b">
        <f>+IF((PROVEEDORES[[#This Row],[FECHA DE PAGO]]-PROVEEDORES[[#This Row],[FECHA DE FACTURACIÓN]])&gt;PROVEEDORES[[#This Row],[PLAZO Días]],"PAGO VENCIDO")</f>
        <v>0</v>
      </c>
      <c r="C368" s="20">
        <f>+VLOOKUP(PROVEEDORES[[#This Row],[PROVEEDOR]],TERCEROS_INFO[#All],2,FALSE)</f>
        <v>30</v>
      </c>
      <c r="D368" s="25">
        <f>+SUMIFS(PROVEEDORES[Total],PROVEEDORES[PROVEEDOR],PROVEEDORES[[#This Row],[PROVEEDOR]],PROVEEDORES[FECHA DE PAGO],"")</f>
        <v>0</v>
      </c>
      <c r="E368" s="25"/>
      <c r="F368" s="58" t="str">
        <f>+VLOOKUP(PROVEEDORES[[#This Row],[PROVEEDOR]],
                       Terceros!$A:$F,
                       5,
                       FALSE)</f>
        <v/>
      </c>
      <c r="G368" s="161">
        <v>44227</v>
      </c>
      <c r="H368" s="26" t="s">
        <v>644</v>
      </c>
      <c r="I368" s="161">
        <v>44227</v>
      </c>
      <c r="J368" s="35" t="s">
        <v>174</v>
      </c>
      <c r="K368" s="21">
        <v>208000</v>
      </c>
      <c r="L368" s="21"/>
      <c r="M368" s="22">
        <f>(PROVEEDORES[[#This Row],[SUBTOTAL]]-PROVEEDORES[[#This Row],[descuento sobre subtotal]])*VLOOKUP(PROVEEDORES[[#This Row],[PROVEEDOR]],TERCEROS_INFO[#All],3,FALSE)</f>
        <v>0</v>
      </c>
      <c r="N368" s="23"/>
      <c r="O368" s="22">
        <f>+PROVEEDORES[[#This Row],[Descuento sobre subtotal %]]*(PROVEEDORES[[#This Row],[SUBTOTAL]]-PROVEEDORES[[#This Row],[descuento sobre subtotal]])</f>
        <v>0</v>
      </c>
      <c r="P368" s="83">
        <f>+IF(PROVEEDORES[[#This Row],[SUBTOTAL]]&lt;PROVEEDORES[[#This Row],[base retencion]],0,PROVEEDORES[[#This Row],[retención aplicada]])</f>
        <v>0</v>
      </c>
      <c r="Q368" s="22">
        <f>+PROVEEDORES[[#This Row],[Rete Fuente %]]*(PROVEEDORES[[#This Row],[SUBTOTAL]]-PROVEEDORES[[#This Row],[descuento sobre subtotal]])</f>
        <v>0</v>
      </c>
      <c r="R368" s="21">
        <f>+PROVEEDORES[[#This Row],[SUBTOTAL]]+PROVEEDORES[[#This Row],[IVA 19%]]-PROVEEDORES[[#This Row],[descuento sobre subtotal]]-PROVEEDORES[[#This Row],[Descuento sobre subtotal $2]]-PROVEEDORES[[#This Row],[Rete Fuente $]]</f>
        <v>208000</v>
      </c>
      <c r="S3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68">
        <f ca="1">IF(PROVEEDORES[[#This Row],[FECHA DE PAGO]]=0,TODAY()-PROVEEDORES[[#This Row],[FECHA DE FACTURACIÓN]]-PROVEEDORES[[#This Row],[PLAZO Días]],0)</f>
        <v>0</v>
      </c>
      <c r="U368" s="96">
        <f>+VLOOKUP(PROVEEDORES[[#This Row],[PROVEEDOR]],Terceros!$A:$D,4,FALSE)</f>
        <v>0</v>
      </c>
      <c r="V368" s="97">
        <f>+YEAR(PROVEEDORES[[#This Row],[FECHA DE FACTURACIÓN]])</f>
        <v>2021</v>
      </c>
      <c r="W368" s="97">
        <f>+MATCH(PROVEEDORES[[#This Row],[año facturado]],Retenciones!$1:$1,0)</f>
        <v>4</v>
      </c>
      <c r="X368" s="98">
        <f>+VLOOKUP(PROVEEDORES[[#This Row],[ID RETENCION]],Retenciones!$A$1:$O$25,PROVEEDORES[[#This Row],[indicador de columna]],FALSE)</f>
        <v>0</v>
      </c>
      <c r="Y368" s="99">
        <f>+VLOOKUP(PROVEEDORES[[#This Row],[ID RETENCION]],Retenciones!$A$1:$O$25,2,FALSE)</f>
        <v>0</v>
      </c>
      <c r="Z368" s="125" t="b">
        <f>OR(COUNTIF(PROVEEDORES[[#This Row],[PROVEEDOR]],"*"&amp;'Palabra no opera'!$A$2&amp;"*"))</f>
        <v>0</v>
      </c>
      <c r="AA368" s="24"/>
      <c r="AB368" s="24"/>
      <c r="AC368" s="24"/>
      <c r="AD368" s="24"/>
      <c r="AE368" s="24"/>
    </row>
    <row r="369" spans="1:31" ht="22.2" customHeight="1" x14ac:dyDescent="0.3">
      <c r="A369" s="185" t="str">
        <f>+IF(PROVEEDORES[[#This Row],[FECHA DE PAGO]]=PROVEEDORES[[#This Row],[FECHA DE FACTURACIÓN]],"DE CONTADO","CRÉDITO")</f>
        <v>CRÉDITO</v>
      </c>
      <c r="B369" s="38" t="str">
        <f>+IF((PROVEEDORES[[#This Row],[FECHA DE PAGO]]-PROVEEDORES[[#This Row],[FECHA DE FACTURACIÓN]])&gt;PROVEEDORES[[#This Row],[PLAZO Días]],"PAGO VENCIDO")</f>
        <v>PAGO VENCIDO</v>
      </c>
      <c r="C369" s="20">
        <f>+VLOOKUP(PROVEEDORES[[#This Row],[PROVEEDOR]],TERCEROS_INFO[#All],2,FALSE)</f>
        <v>60</v>
      </c>
      <c r="D369" s="25">
        <f>+SUMIFS(PROVEEDORES[Total],PROVEEDORES[PROVEEDOR],PROVEEDORES[[#This Row],[PROVEEDOR]],PROVEEDORES[FECHA DE PAGO],"")</f>
        <v>1520362</v>
      </c>
      <c r="E369" s="25"/>
      <c r="F36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69" s="161">
        <v>44761</v>
      </c>
      <c r="H369" s="26" t="s">
        <v>528</v>
      </c>
      <c r="I369" s="161">
        <v>44607</v>
      </c>
      <c r="J369" s="35" t="s">
        <v>1572</v>
      </c>
      <c r="K369" s="21">
        <v>208152</v>
      </c>
      <c r="L369" s="21"/>
      <c r="M369" s="22">
        <f>(PROVEEDORES[[#This Row],[SUBTOTAL]]-PROVEEDORES[[#This Row],[descuento sobre subtotal]])*VLOOKUP(PROVEEDORES[[#This Row],[PROVEEDOR]],TERCEROS_INFO[#All],3,FALSE)</f>
        <v>0</v>
      </c>
      <c r="N369" s="23"/>
      <c r="O369" s="22">
        <f>+PROVEEDORES[[#This Row],[Descuento sobre subtotal %]]*(PROVEEDORES[[#This Row],[SUBTOTAL]]-PROVEEDORES[[#This Row],[descuento sobre subtotal]])</f>
        <v>0</v>
      </c>
      <c r="P369" s="83">
        <f>+IF(PROVEEDORES[[#This Row],[SUBTOTAL]]&lt;PROVEEDORES[[#This Row],[base retencion]],0,PROVEEDORES[[#This Row],[retención aplicada]])</f>
        <v>0</v>
      </c>
      <c r="Q369" s="22">
        <f>+PROVEEDORES[[#This Row],[Rete Fuente %]]*(PROVEEDORES[[#This Row],[SUBTOTAL]]-PROVEEDORES[[#This Row],[descuento sobre subtotal]])</f>
        <v>0</v>
      </c>
      <c r="R369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369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68">
        <f ca="1">IF(PROVEEDORES[[#This Row],[FECHA DE PAGO]]=0,TODAY()-PROVEEDORES[[#This Row],[FECHA DE FACTURACIÓN]]-PROVEEDORES[[#This Row],[PLAZO Días]],0)</f>
        <v>0</v>
      </c>
      <c r="U369" s="113">
        <f>+VLOOKUP(PROVEEDORES[[#This Row],[PROVEEDOR]],Terceros!$A:$D,4,FALSE)</f>
        <v>0</v>
      </c>
      <c r="V369" s="114">
        <f>+YEAR(PROVEEDORES[[#This Row],[FECHA DE FACTURACIÓN]])</f>
        <v>2022</v>
      </c>
      <c r="W369" s="114">
        <f>+MATCH(PROVEEDORES[[#This Row],[año facturado]],Retenciones!$1:$1,0)</f>
        <v>5</v>
      </c>
      <c r="X369" s="115">
        <f>+VLOOKUP(PROVEEDORES[[#This Row],[ID RETENCION]],Retenciones!$A$1:$O$25,PROVEEDORES[[#This Row],[indicador de columna]],FALSE)</f>
        <v>0</v>
      </c>
      <c r="Y369" s="116">
        <f>+VLOOKUP(PROVEEDORES[[#This Row],[ID RETENCION]],Retenciones!$A$1:$O$25,2,FALSE)</f>
        <v>0</v>
      </c>
      <c r="Z369" s="125" t="b">
        <f>OR(COUNTIF(PROVEEDORES[[#This Row],[PROVEEDOR]],"*"&amp;'Palabra no opera'!$A$2&amp;"*"))</f>
        <v>0</v>
      </c>
      <c r="AA369" s="24"/>
      <c r="AB369" s="24"/>
      <c r="AC369" s="24"/>
      <c r="AD369" s="24"/>
      <c r="AE369" s="24"/>
    </row>
    <row r="370" spans="1:31" ht="22.2" customHeight="1" x14ac:dyDescent="0.3">
      <c r="A370" s="185" t="str">
        <f>+IF(PROVEEDORES[[#This Row],[FECHA DE PAGO]]=PROVEEDORES[[#This Row],[FECHA DE FACTURACIÓN]],"DE CONTADO","CRÉDITO")</f>
        <v>CRÉDITO</v>
      </c>
      <c r="B370" s="38" t="b">
        <f>+IF((PROVEEDORES[[#This Row],[FECHA DE PAGO]]-PROVEEDORES[[#This Row],[FECHA DE FACTURACIÓN]])&gt;PROVEEDORES[[#This Row],[PLAZO Días]],"PAGO VENCIDO")</f>
        <v>0</v>
      </c>
      <c r="C370" s="20">
        <f>+VLOOKUP(PROVEEDORES[[#This Row],[PROVEEDOR]],TERCEROS_INFO[#All],2,FALSE)</f>
        <v>60</v>
      </c>
      <c r="D370" s="25">
        <f>+SUMIFS(PROVEEDORES[Total],PROVEEDORES[PROVEEDOR],PROVEEDORES[[#This Row],[PROVEEDOR]],PROVEEDORES[FECHA DE PAGO],"")</f>
        <v>1520362</v>
      </c>
      <c r="E370" s="25"/>
      <c r="F37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70" s="161">
        <v>44761</v>
      </c>
      <c r="H370" s="26" t="s">
        <v>528</v>
      </c>
      <c r="I370" s="161">
        <v>44742</v>
      </c>
      <c r="J370" s="35" t="s">
        <v>1613</v>
      </c>
      <c r="K370" s="21">
        <v>208152</v>
      </c>
      <c r="L370" s="21"/>
      <c r="M370" s="22">
        <f>(PROVEEDORES[[#This Row],[SUBTOTAL]]-PROVEEDORES[[#This Row],[descuento sobre subtotal]])*VLOOKUP(PROVEEDORES[[#This Row],[PROVEEDOR]],TERCEROS_INFO[#All],3,FALSE)</f>
        <v>0</v>
      </c>
      <c r="N370" s="23"/>
      <c r="O370" s="22">
        <f>+PROVEEDORES[[#This Row],[Descuento sobre subtotal %]]*(PROVEEDORES[[#This Row],[SUBTOTAL]]-PROVEEDORES[[#This Row],[descuento sobre subtotal]])</f>
        <v>0</v>
      </c>
      <c r="P370" s="83">
        <f>+IF(PROVEEDORES[[#This Row],[SUBTOTAL]]&lt;PROVEEDORES[[#This Row],[base retencion]],0,PROVEEDORES[[#This Row],[retención aplicada]])</f>
        <v>0</v>
      </c>
      <c r="Q370" s="22">
        <f>+PROVEEDORES[[#This Row],[Rete Fuente %]]*(PROVEEDORES[[#This Row],[SUBTOTAL]]-PROVEEDORES[[#This Row],[descuento sobre subtotal]])</f>
        <v>0</v>
      </c>
      <c r="R370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370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68">
        <f ca="1">IF(PROVEEDORES[[#This Row],[FECHA DE PAGO]]=0,TODAY()-PROVEEDORES[[#This Row],[FECHA DE FACTURACIÓN]]-PROVEEDORES[[#This Row],[PLAZO Días]],0)</f>
        <v>0</v>
      </c>
      <c r="U370" s="113">
        <f>+VLOOKUP(PROVEEDORES[[#This Row],[PROVEEDOR]],Terceros!$A:$D,4,FALSE)</f>
        <v>0</v>
      </c>
      <c r="V370" s="114">
        <f>+YEAR(PROVEEDORES[[#This Row],[FECHA DE FACTURACIÓN]])</f>
        <v>2022</v>
      </c>
      <c r="W370" s="114">
        <f>+MATCH(PROVEEDORES[[#This Row],[año facturado]],Retenciones!$1:$1,0)</f>
        <v>5</v>
      </c>
      <c r="X370" s="115">
        <f>+VLOOKUP(PROVEEDORES[[#This Row],[ID RETENCION]],Retenciones!$A$1:$O$25,PROVEEDORES[[#This Row],[indicador de columna]],FALSE)</f>
        <v>0</v>
      </c>
      <c r="Y370" s="116">
        <f>+VLOOKUP(PROVEEDORES[[#This Row],[ID RETENCION]],Retenciones!$A$1:$O$25,2,FALSE)</f>
        <v>0</v>
      </c>
      <c r="Z370" s="125" t="b">
        <f>OR(COUNTIF(PROVEEDORES[[#This Row],[PROVEEDOR]],"*"&amp;'Palabra no opera'!$A$2&amp;"*"))</f>
        <v>0</v>
      </c>
      <c r="AA370" s="24"/>
      <c r="AB370" s="24"/>
      <c r="AC370" s="24"/>
      <c r="AD370" s="24"/>
      <c r="AE370" s="24"/>
    </row>
    <row r="371" spans="1:31" ht="22.2" customHeight="1" x14ac:dyDescent="0.3">
      <c r="A371" s="66" t="str">
        <f>+IF(PROVEEDORES[[#This Row],[FECHA DE PAGO]]=PROVEEDORES[[#This Row],[FECHA DE FACTURACIÓN]],"DE CONTADO","CRÉDITO")</f>
        <v>CRÉDITO</v>
      </c>
      <c r="B371" s="38" t="b">
        <f>+IF((PROVEEDORES[[#This Row],[FECHA DE PAGO]]-PROVEEDORES[[#This Row],[FECHA DE FACTURACIÓN]])&gt;PROVEEDORES[[#This Row],[PLAZO Días]],"PAGO VENCIDO")</f>
        <v>0</v>
      </c>
      <c r="C371" s="20">
        <f>+VLOOKUP(PROVEEDORES[[#This Row],[PROVEEDOR]],TERCEROS_INFO[#All],2,FALSE)</f>
        <v>30</v>
      </c>
      <c r="D371" s="25">
        <f>+SUMIFS(PROVEEDORES[Total],PROVEEDORES[PROVEEDOR],PROVEEDORES[[#This Row],[PROVEEDOR]],PROVEEDORES[FECHA DE PAGO],"")</f>
        <v>1354000</v>
      </c>
      <c r="E371" s="25"/>
      <c r="F37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71" s="161">
        <v>44335</v>
      </c>
      <c r="H371" s="26" t="s">
        <v>699</v>
      </c>
      <c r="I371" s="161">
        <v>44320</v>
      </c>
      <c r="J371" s="35" t="s">
        <v>1222</v>
      </c>
      <c r="K371" s="21">
        <v>210000</v>
      </c>
      <c r="L371" s="21"/>
      <c r="M371" s="22">
        <f>(PROVEEDORES[[#This Row],[SUBTOTAL]]-PROVEEDORES[[#This Row],[descuento sobre subtotal]])*VLOOKUP(PROVEEDORES[[#This Row],[PROVEEDOR]],TERCEROS_INFO[#All],3,FALSE)</f>
        <v>0</v>
      </c>
      <c r="N371" s="23"/>
      <c r="O371" s="22">
        <f>+PROVEEDORES[[#This Row],[Descuento sobre subtotal %]]*(PROVEEDORES[[#This Row],[SUBTOTAL]]-PROVEEDORES[[#This Row],[descuento sobre subtotal]])</f>
        <v>0</v>
      </c>
      <c r="P371" s="83">
        <f>+IF(PROVEEDORES[[#This Row],[SUBTOTAL]]&lt;PROVEEDORES[[#This Row],[base retencion]],0,PROVEEDORES[[#This Row],[retención aplicada]])</f>
        <v>0</v>
      </c>
      <c r="Q371" s="22">
        <f>+PROVEEDORES[[#This Row],[Rete Fuente %]]*(PROVEEDORES[[#This Row],[SUBTOTAL]]-PROVEEDORES[[#This Row],[descuento sobre subtotal]])</f>
        <v>0</v>
      </c>
      <c r="R371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3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68">
        <f ca="1">IF(PROVEEDORES[[#This Row],[FECHA DE PAGO]]=0,TODAY()-PROVEEDORES[[#This Row],[FECHA DE FACTURACIÓN]]-PROVEEDORES[[#This Row],[PLAZO Días]],0)</f>
        <v>0</v>
      </c>
      <c r="U371" s="96">
        <f>+VLOOKUP(PROVEEDORES[[#This Row],[PROVEEDOR]],Terceros!$A:$D,4,FALSE)</f>
        <v>0</v>
      </c>
      <c r="V371" s="97">
        <f>+YEAR(PROVEEDORES[[#This Row],[FECHA DE FACTURACIÓN]])</f>
        <v>2021</v>
      </c>
      <c r="W371" s="97">
        <f>+MATCH(PROVEEDORES[[#This Row],[año facturado]],Retenciones!$1:$1,0)</f>
        <v>4</v>
      </c>
      <c r="X371" s="98">
        <f>+VLOOKUP(PROVEEDORES[[#This Row],[ID RETENCION]],Retenciones!$A$1:$O$25,PROVEEDORES[[#This Row],[indicador de columna]],FALSE)</f>
        <v>0</v>
      </c>
      <c r="Y371" s="99">
        <f>+VLOOKUP(PROVEEDORES[[#This Row],[ID RETENCION]],Retenciones!$A$1:$O$25,2,FALSE)</f>
        <v>0</v>
      </c>
      <c r="Z371" s="125" t="b">
        <f>OR(COUNTIF(PROVEEDORES[[#This Row],[PROVEEDOR]],"*"&amp;'Palabra no opera'!$A$2&amp;"*"))</f>
        <v>0</v>
      </c>
      <c r="AA371" s="24"/>
      <c r="AB371" s="24"/>
      <c r="AC371" s="24"/>
      <c r="AD371" s="24"/>
      <c r="AE371" s="24"/>
    </row>
    <row r="372" spans="1:31" ht="22.2" customHeight="1" x14ac:dyDescent="0.3">
      <c r="A372" s="66" t="str">
        <f>+IF(PROVEEDORES[[#This Row],[FECHA DE PAGO]]=PROVEEDORES[[#This Row],[FECHA DE FACTURACIÓN]],"DE CONTADO","CRÉDITO")</f>
        <v>DE CONTADO</v>
      </c>
      <c r="B372" s="38" t="b">
        <f>+IF((PROVEEDORES[[#This Row],[FECHA DE PAGO]]-PROVEEDORES[[#This Row],[FECHA DE FACTURACIÓN]])&gt;PROVEEDORES[[#This Row],[PLAZO Días]],"PAGO VENCIDO")</f>
        <v>0</v>
      </c>
      <c r="C372" s="20">
        <f>+VLOOKUP(PROVEEDORES[[#This Row],[PROVEEDOR]],TERCEROS_INFO[#All],2,FALSE)</f>
        <v>30</v>
      </c>
      <c r="D372" s="25">
        <f>+SUMIFS(PROVEEDORES[Total],PROVEEDORES[PROVEEDOR],PROVEEDORES[[#This Row],[PROVEEDOR]],PROVEEDORES[FECHA DE PAGO],"")</f>
        <v>0</v>
      </c>
      <c r="E372" s="25"/>
      <c r="F372" s="58" t="str">
        <f>+VLOOKUP(PROVEEDORES[[#This Row],[PROVEEDOR]],
                       Terceros!$A:$F,
                       5,
                       FALSE)</f>
        <v/>
      </c>
      <c r="G372" s="161">
        <v>44500</v>
      </c>
      <c r="H372" s="26" t="s">
        <v>644</v>
      </c>
      <c r="I372" s="161">
        <v>44500</v>
      </c>
      <c r="J372" s="35" t="s">
        <v>1186</v>
      </c>
      <c r="K372" s="21">
        <v>213000</v>
      </c>
      <c r="L372" s="21"/>
      <c r="M372" s="22">
        <f>(PROVEEDORES[[#This Row],[SUBTOTAL]]-PROVEEDORES[[#This Row],[descuento sobre subtotal]])*VLOOKUP(PROVEEDORES[[#This Row],[PROVEEDOR]],TERCEROS_INFO[#All],3,FALSE)</f>
        <v>0</v>
      </c>
      <c r="N372" s="23"/>
      <c r="O372" s="22">
        <f>+PROVEEDORES[[#This Row],[Descuento sobre subtotal %]]*(PROVEEDORES[[#This Row],[SUBTOTAL]]-PROVEEDORES[[#This Row],[descuento sobre subtotal]])</f>
        <v>0</v>
      </c>
      <c r="P372" s="83">
        <f>+IF(PROVEEDORES[[#This Row],[SUBTOTAL]]&lt;PROVEEDORES[[#This Row],[base retencion]],0,PROVEEDORES[[#This Row],[retención aplicada]])</f>
        <v>0</v>
      </c>
      <c r="Q372" s="22">
        <f>+PROVEEDORES[[#This Row],[Rete Fuente %]]*(PROVEEDORES[[#This Row],[SUBTOTAL]]-PROVEEDORES[[#This Row],[descuento sobre subtotal]])</f>
        <v>0</v>
      </c>
      <c r="R372" s="21">
        <f>+PROVEEDORES[[#This Row],[SUBTOTAL]]+PROVEEDORES[[#This Row],[IVA 19%]]-PROVEEDORES[[#This Row],[descuento sobre subtotal]]-PROVEEDORES[[#This Row],[Descuento sobre subtotal $2]]-PROVEEDORES[[#This Row],[Rete Fuente $]]</f>
        <v>213000</v>
      </c>
      <c r="S3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68">
        <f ca="1">IF(PROVEEDORES[[#This Row],[FECHA DE PAGO]]=0,TODAY()-PROVEEDORES[[#This Row],[FECHA DE FACTURACIÓN]]-PROVEEDORES[[#This Row],[PLAZO Días]],0)</f>
        <v>0</v>
      </c>
      <c r="U372" s="96">
        <f>+VLOOKUP(PROVEEDORES[[#This Row],[PROVEEDOR]],Terceros!$A:$D,4,FALSE)</f>
        <v>0</v>
      </c>
      <c r="V372" s="97">
        <f>+YEAR(PROVEEDORES[[#This Row],[FECHA DE FACTURACIÓN]])</f>
        <v>2021</v>
      </c>
      <c r="W372" s="97">
        <f>+MATCH(PROVEEDORES[[#This Row],[año facturado]],Retenciones!$1:$1,0)</f>
        <v>4</v>
      </c>
      <c r="X372" s="98">
        <f>+VLOOKUP(PROVEEDORES[[#This Row],[ID RETENCION]],Retenciones!$A$1:$O$25,PROVEEDORES[[#This Row],[indicador de columna]],FALSE)</f>
        <v>0</v>
      </c>
      <c r="Y372" s="99">
        <f>+VLOOKUP(PROVEEDORES[[#This Row],[ID RETENCION]],Retenciones!$A$1:$O$25,2,FALSE)</f>
        <v>0</v>
      </c>
      <c r="Z372" s="125" t="b">
        <f>OR(COUNTIF(PROVEEDORES[[#This Row],[PROVEEDOR]],"*"&amp;'Palabra no opera'!$A$2&amp;"*"))</f>
        <v>0</v>
      </c>
      <c r="AA372" s="24"/>
      <c r="AB372" s="24"/>
      <c r="AC372" s="24"/>
      <c r="AD372" s="24"/>
      <c r="AE372" s="24"/>
    </row>
    <row r="373" spans="1:31" ht="22.2" customHeight="1" x14ac:dyDescent="0.3">
      <c r="A373" s="66" t="str">
        <f>+IF(PROVEEDORES[[#This Row],[FECHA DE PAGO]]=PROVEEDORES[[#This Row],[FECHA DE FACTURACIÓN]],"DE CONTADO","CRÉDITO")</f>
        <v>CRÉDITO</v>
      </c>
      <c r="B373" s="38" t="b">
        <f>+IF((PROVEEDORES[[#This Row],[FECHA DE PAGO]]-PROVEEDORES[[#This Row],[FECHA DE FACTURACIÓN]])&gt;PROVEEDORES[[#This Row],[PLAZO Días]],"PAGO VENCIDO")</f>
        <v>0</v>
      </c>
      <c r="C373" s="20">
        <f>+VLOOKUP(PROVEEDORES[[#This Row],[PROVEEDOR]],TERCEROS_INFO[#All],2,FALSE)</f>
        <v>30</v>
      </c>
      <c r="D373" s="25">
        <f>+SUMIFS(PROVEEDORES[Total],PROVEEDORES[PROVEEDOR],PROVEEDORES[[#This Row],[PROVEEDOR]],PROVEEDORES[FECHA DE PAGO],"")</f>
        <v>0</v>
      </c>
      <c r="E373" s="25"/>
      <c r="F37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373" s="161">
        <v>44414</v>
      </c>
      <c r="H373" s="26" t="s">
        <v>670</v>
      </c>
      <c r="I373" s="161">
        <v>44411</v>
      </c>
      <c r="J373" s="35" t="s">
        <v>1477</v>
      </c>
      <c r="K373" s="21">
        <v>213600</v>
      </c>
      <c r="L373" s="21"/>
      <c r="M373" s="22">
        <f>(PROVEEDORES[[#This Row],[SUBTOTAL]]-PROVEEDORES[[#This Row],[descuento sobre subtotal]])*VLOOKUP(PROVEEDORES[[#This Row],[PROVEEDOR]],TERCEROS_INFO[#All],3,FALSE)</f>
        <v>0</v>
      </c>
      <c r="N373" s="23"/>
      <c r="O373" s="22">
        <f>+PROVEEDORES[[#This Row],[Descuento sobre subtotal %]]*(PROVEEDORES[[#This Row],[SUBTOTAL]]-PROVEEDORES[[#This Row],[descuento sobre subtotal]])</f>
        <v>0</v>
      </c>
      <c r="P373" s="83">
        <f>+IF(PROVEEDORES[[#This Row],[SUBTOTAL]]&lt;PROVEEDORES[[#This Row],[base retencion]],0,PROVEEDORES[[#This Row],[retención aplicada]])</f>
        <v>0</v>
      </c>
      <c r="Q373" s="22">
        <f>+PROVEEDORES[[#This Row],[Rete Fuente %]]*(PROVEEDORES[[#This Row],[SUBTOTAL]]-PROVEEDORES[[#This Row],[descuento sobre subtotal]])</f>
        <v>0</v>
      </c>
      <c r="R373" s="21">
        <f>+PROVEEDORES[[#This Row],[SUBTOTAL]]+PROVEEDORES[[#This Row],[IVA 19%]]-PROVEEDORES[[#This Row],[descuento sobre subtotal]]-PROVEEDORES[[#This Row],[Descuento sobre subtotal $2]]-PROVEEDORES[[#This Row],[Rete Fuente $]]</f>
        <v>213600</v>
      </c>
      <c r="S3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68">
        <f ca="1">IF(PROVEEDORES[[#This Row],[FECHA DE PAGO]]=0,TODAY()-PROVEEDORES[[#This Row],[FECHA DE FACTURACIÓN]]-PROVEEDORES[[#This Row],[PLAZO Días]],0)</f>
        <v>0</v>
      </c>
      <c r="U373" s="96">
        <f>+VLOOKUP(PROVEEDORES[[#This Row],[PROVEEDOR]],Terceros!$A:$D,4,FALSE)</f>
        <v>0</v>
      </c>
      <c r="V373" s="97">
        <f>+YEAR(PROVEEDORES[[#This Row],[FECHA DE FACTURACIÓN]])</f>
        <v>2021</v>
      </c>
      <c r="W373" s="97">
        <f>+MATCH(PROVEEDORES[[#This Row],[año facturado]],Retenciones!$1:$1,0)</f>
        <v>4</v>
      </c>
      <c r="X373" s="98">
        <f>+VLOOKUP(PROVEEDORES[[#This Row],[ID RETENCION]],Retenciones!$A$1:$O$25,PROVEEDORES[[#This Row],[indicador de columna]],FALSE)</f>
        <v>0</v>
      </c>
      <c r="Y373" s="99">
        <f>+VLOOKUP(PROVEEDORES[[#This Row],[ID RETENCION]],Retenciones!$A$1:$O$25,2,FALSE)</f>
        <v>0</v>
      </c>
      <c r="Z373" s="125" t="b">
        <f>OR(COUNTIF(PROVEEDORES[[#This Row],[PROVEEDOR]],"*"&amp;'Palabra no opera'!$A$2&amp;"*"))</f>
        <v>0</v>
      </c>
      <c r="AA373" s="24"/>
      <c r="AB373" s="24"/>
      <c r="AC373" s="24"/>
      <c r="AD373" s="24"/>
      <c r="AE373" s="24"/>
    </row>
    <row r="374" spans="1:31" ht="22.2" customHeight="1" x14ac:dyDescent="0.3">
      <c r="A374" s="66" t="str">
        <f>+IF(PROVEEDORES[[#This Row],[FECHA DE PAGO]]=PROVEEDORES[[#This Row],[FECHA DE FACTURACIÓN]],"DE CONTADO","CRÉDITO")</f>
        <v>DE CONTADO</v>
      </c>
      <c r="B374" s="38" t="b">
        <f>+IF((PROVEEDORES[[#This Row],[FECHA DE PAGO]]-PROVEEDORES[[#This Row],[FECHA DE FACTURACIÓN]])&gt;PROVEEDORES[[#This Row],[PLAZO Días]],"PAGO VENCIDO")</f>
        <v>0</v>
      </c>
      <c r="C374" s="20">
        <f>+VLOOKUP(PROVEEDORES[[#This Row],[PROVEEDOR]],TERCEROS_INFO[#All],2,FALSE)</f>
        <v>90</v>
      </c>
      <c r="D374" s="25">
        <f>+SUMIFS(PROVEEDORES[Total],PROVEEDORES[PROVEEDOR],PROVEEDORES[[#This Row],[PROVEEDOR]],PROVEEDORES[FECHA DE PAGO],"")</f>
        <v>0</v>
      </c>
      <c r="E374" s="25"/>
      <c r="F37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374" s="161">
        <v>44629</v>
      </c>
      <c r="H374" s="26" t="s">
        <v>9</v>
      </c>
      <c r="I374" s="161">
        <v>44629</v>
      </c>
      <c r="J374" s="35">
        <v>75251</v>
      </c>
      <c r="K374" s="21">
        <v>180307</v>
      </c>
      <c r="L374" s="21"/>
      <c r="M374" s="22">
        <f>(PROVEEDORES[[#This Row],[SUBTOTAL]]-PROVEEDORES[[#This Row],[descuento sobre subtotal]])*VLOOKUP(PROVEEDORES[[#This Row],[PROVEEDOR]],TERCEROS_INFO[#All],3,FALSE)</f>
        <v>34258.33</v>
      </c>
      <c r="N374" s="23"/>
      <c r="O374" s="22">
        <f>+PROVEEDORES[[#This Row],[Descuento sobre subtotal %]]*(PROVEEDORES[[#This Row],[SUBTOTAL]]-PROVEEDORES[[#This Row],[descuento sobre subtotal]])</f>
        <v>0</v>
      </c>
      <c r="P374" s="83">
        <f>+IF(PROVEEDORES[[#This Row],[SUBTOTAL]]&lt;PROVEEDORES[[#This Row],[base retencion]],0,PROVEEDORES[[#This Row],[retención aplicada]])</f>
        <v>0</v>
      </c>
      <c r="Q374" s="22">
        <f>+PROVEEDORES[[#This Row],[Rete Fuente %]]*(PROVEEDORES[[#This Row],[SUBTOTAL]]-PROVEEDORES[[#This Row],[descuento sobre subtotal]])</f>
        <v>0</v>
      </c>
      <c r="R374" s="21">
        <v>214565.33000000002</v>
      </c>
      <c r="S3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68">
        <f ca="1">IF(PROVEEDORES[[#This Row],[FECHA DE PAGO]]=0,TODAY()-PROVEEDORES[[#This Row],[FECHA DE FACTURACIÓN]]-PROVEEDORES[[#This Row],[PLAZO Días]],0)</f>
        <v>0</v>
      </c>
      <c r="U374" s="96" t="str">
        <f>+VLOOKUP(PROVEEDORES[[#This Row],[PROVEEDOR]],Terceros!$A:$D,4,FALSE)</f>
        <v>2,5% con base</v>
      </c>
      <c r="V374" s="97">
        <f>+YEAR(PROVEEDORES[[#This Row],[FECHA DE FACTURACIÓN]])</f>
        <v>2022</v>
      </c>
      <c r="W374" s="97">
        <f>+MATCH(PROVEEDORES[[#This Row],[año facturado]],Retenciones!$1:$1,0)</f>
        <v>5</v>
      </c>
      <c r="X374" s="98">
        <f>+VLOOKUP(PROVEEDORES[[#This Row],[ID RETENCION]],Retenciones!$A$1:$O$25,PROVEEDORES[[#This Row],[indicador de columna]],FALSE)</f>
        <v>1026000</v>
      </c>
      <c r="Y374" s="99">
        <f>+VLOOKUP(PROVEEDORES[[#This Row],[ID RETENCION]],Retenciones!$A$1:$O$25,2,FALSE)</f>
        <v>2.5000000000000001E-2</v>
      </c>
      <c r="Z374" s="125" t="b">
        <f>OR(COUNTIF(PROVEEDORES[[#This Row],[PROVEEDOR]],"*"&amp;'Palabra no opera'!$A$2&amp;"*"))</f>
        <v>0</v>
      </c>
      <c r="AA374" s="24"/>
      <c r="AB374" s="24"/>
      <c r="AC374" s="24"/>
      <c r="AD374" s="24"/>
      <c r="AE374" s="24"/>
    </row>
    <row r="375" spans="1:31" ht="22.2" customHeight="1" x14ac:dyDescent="0.3">
      <c r="A375" s="123" t="str">
        <f>+IF(PROVEEDORES[[#This Row],[FECHA DE PAGO]]=PROVEEDORES[[#This Row],[FECHA DE FACTURACIÓN]],"DE CONTADO","CRÉDITO")</f>
        <v>CRÉDITO</v>
      </c>
      <c r="B375" s="38" t="b">
        <f>+IF((PROVEEDORES[[#This Row],[FECHA DE PAGO]]-PROVEEDORES[[#This Row],[FECHA DE FACTURACIÓN]])&gt;PROVEEDORES[[#This Row],[PLAZO Días]],"PAGO VENCIDO")</f>
        <v>0</v>
      </c>
      <c r="C375" s="20">
        <f>+VLOOKUP(PROVEEDORES[[#This Row],[PROVEEDOR]],TERCEROS_INFO[#All],2,FALSE)</f>
        <v>30</v>
      </c>
      <c r="D375" s="25">
        <f>+SUMIFS(PROVEEDORES[Total],PROVEEDORES[PROVEEDOR],PROVEEDORES[[#This Row],[PROVEEDOR]],PROVEEDORES[FECHA DE PAGO],"")</f>
        <v>0</v>
      </c>
      <c r="E375" s="25"/>
      <c r="F375" s="58" t="str">
        <f>+VLOOKUP(PROVEEDORES[[#This Row],[PROVEEDOR]],
                       Terceros!$A:$F,
                       5,
                       FALSE)</f>
        <v/>
      </c>
      <c r="G375" s="161">
        <v>44687</v>
      </c>
      <c r="H375" s="26" t="s">
        <v>686</v>
      </c>
      <c r="I375" s="161">
        <v>44672</v>
      </c>
      <c r="J375" s="35" t="s">
        <v>1589</v>
      </c>
      <c r="K375" s="21">
        <v>215500</v>
      </c>
      <c r="L375" s="21"/>
      <c r="M375" s="22">
        <f>(PROVEEDORES[[#This Row],[SUBTOTAL]]-PROVEEDORES[[#This Row],[descuento sobre subtotal]])*VLOOKUP(PROVEEDORES[[#This Row],[PROVEEDOR]],TERCEROS_INFO[#All],3,FALSE)</f>
        <v>0</v>
      </c>
      <c r="N375" s="23"/>
      <c r="O375" s="22">
        <f>+PROVEEDORES[[#This Row],[Descuento sobre subtotal %]]*(PROVEEDORES[[#This Row],[SUBTOTAL]]-PROVEEDORES[[#This Row],[descuento sobre subtotal]])</f>
        <v>0</v>
      </c>
      <c r="P375" s="83">
        <f>+IF(PROVEEDORES[[#This Row],[SUBTOTAL]]&lt;PROVEEDORES[[#This Row],[base retencion]],0,PROVEEDORES[[#This Row],[retención aplicada]])</f>
        <v>0</v>
      </c>
      <c r="Q375" s="22">
        <f>+PROVEEDORES[[#This Row],[Rete Fuente %]]*(PROVEEDORES[[#This Row],[SUBTOTAL]]-PROVEEDORES[[#This Row],[descuento sobre subtotal]])</f>
        <v>0</v>
      </c>
      <c r="R375" s="21">
        <f>+PROVEEDORES[[#This Row],[SUBTOTAL]]+PROVEEDORES[[#This Row],[IVA 19%]]-PROVEEDORES[[#This Row],[descuento sobre subtotal]]-PROVEEDORES[[#This Row],[Descuento sobre subtotal $2]]-PROVEEDORES[[#This Row],[Rete Fuente $]]</f>
        <v>215500</v>
      </c>
      <c r="S375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68">
        <f ca="1">IF(PROVEEDORES[[#This Row],[FECHA DE PAGO]]=0,TODAY()-PROVEEDORES[[#This Row],[FECHA DE FACTURACIÓN]]-PROVEEDORES[[#This Row],[PLAZO Días]],0)</f>
        <v>0</v>
      </c>
      <c r="U375" s="113">
        <f>+VLOOKUP(PROVEEDORES[[#This Row],[PROVEEDOR]],Terceros!$A:$D,4,FALSE)</f>
        <v>0</v>
      </c>
      <c r="V375" s="114">
        <f>+YEAR(PROVEEDORES[[#This Row],[FECHA DE FACTURACIÓN]])</f>
        <v>2022</v>
      </c>
      <c r="W375" s="114">
        <f>+MATCH(PROVEEDORES[[#This Row],[año facturado]],Retenciones!$1:$1,0)</f>
        <v>5</v>
      </c>
      <c r="X375" s="115">
        <f>+VLOOKUP(PROVEEDORES[[#This Row],[ID RETENCION]],Retenciones!$A$1:$O$25,PROVEEDORES[[#This Row],[indicador de columna]],FALSE)</f>
        <v>0</v>
      </c>
      <c r="Y375" s="116">
        <f>+VLOOKUP(PROVEEDORES[[#This Row],[ID RETENCION]],Retenciones!$A$1:$O$25,2,FALSE)</f>
        <v>0</v>
      </c>
      <c r="Z375" s="125" t="b">
        <f>OR(COUNTIF(PROVEEDORES[[#This Row],[PROVEEDOR]],"*"&amp;'Palabra no opera'!$A$2&amp;"*"))</f>
        <v>0</v>
      </c>
      <c r="AA375" s="24"/>
      <c r="AB375" s="24"/>
      <c r="AC375" s="24"/>
      <c r="AD375" s="24"/>
      <c r="AE375" s="24"/>
    </row>
    <row r="376" spans="1:31" ht="22.2" customHeight="1" x14ac:dyDescent="0.3">
      <c r="A376" s="66" t="str">
        <f>+IF(PROVEEDORES[[#This Row],[FECHA DE PAGO]]=PROVEEDORES[[#This Row],[FECHA DE FACTURACIÓN]],"DE CONTADO","CRÉDITO")</f>
        <v>CRÉDITO</v>
      </c>
      <c r="B376" s="38" t="str">
        <f>+IF((PROVEEDORES[[#This Row],[FECHA DE PAGO]]-PROVEEDORES[[#This Row],[FECHA DE FACTURACIÓN]])&gt;PROVEEDORES[[#This Row],[PLAZO Días]],"PAGO VENCIDO")</f>
        <v>PAGO VENCIDO</v>
      </c>
      <c r="C376" s="20">
        <f>+VLOOKUP(PROVEEDORES[[#This Row],[PROVEEDOR]],TERCEROS_INFO[#All],2,FALSE)</f>
        <v>20</v>
      </c>
      <c r="D376" s="25">
        <f>+SUMIFS(PROVEEDORES[Total],PROVEEDORES[PROVEEDOR],PROVEEDORES[[#This Row],[PROVEEDOR]],PROVEEDORES[FECHA DE PAGO],"")</f>
        <v>0</v>
      </c>
      <c r="E376" s="25"/>
      <c r="F376" s="58">
        <f>+VLOOKUP(PROVEEDORES[[#This Row],[PROVEEDOR]],
                       Terceros!$A:$F,
                       5,
                       FALSE)</f>
        <v>0</v>
      </c>
      <c r="G376" s="161">
        <v>44334</v>
      </c>
      <c r="H376" s="26" t="s">
        <v>692</v>
      </c>
      <c r="I376" s="161">
        <v>44281</v>
      </c>
      <c r="J376" s="35"/>
      <c r="K376" s="21">
        <v>216000</v>
      </c>
      <c r="L376" s="21"/>
      <c r="M376" s="22">
        <f>(PROVEEDORES[[#This Row],[SUBTOTAL]]-PROVEEDORES[[#This Row],[descuento sobre subtotal]])*VLOOKUP(PROVEEDORES[[#This Row],[PROVEEDOR]],TERCEROS_INFO[#All],3,FALSE)</f>
        <v>0</v>
      </c>
      <c r="N376" s="23"/>
      <c r="O376" s="22">
        <f>+PROVEEDORES[[#This Row],[Descuento sobre subtotal %]]*(PROVEEDORES[[#This Row],[SUBTOTAL]]-PROVEEDORES[[#This Row],[descuento sobre subtotal]])</f>
        <v>0</v>
      </c>
      <c r="P376" s="83">
        <f>+IF(PROVEEDORES[[#This Row],[SUBTOTAL]]&lt;PROVEEDORES[[#This Row],[base retencion]],0,PROVEEDORES[[#This Row],[retención aplicada]])</f>
        <v>0</v>
      </c>
      <c r="Q376" s="22">
        <f>+PROVEEDORES[[#This Row],[Rete Fuente %]]*(PROVEEDORES[[#This Row],[SUBTOTAL]]-PROVEEDORES[[#This Row],[descuento sobre subtotal]])</f>
        <v>0</v>
      </c>
      <c r="R376" s="21">
        <f>+PROVEEDORES[[#This Row],[SUBTOTAL]]+PROVEEDORES[[#This Row],[IVA 19%]]-PROVEEDORES[[#This Row],[descuento sobre subtotal]]-PROVEEDORES[[#This Row],[Descuento sobre subtotal $2]]-PROVEEDORES[[#This Row],[Rete Fuente $]]</f>
        <v>216000</v>
      </c>
      <c r="S3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68">
        <f ca="1">IF(PROVEEDORES[[#This Row],[FECHA DE PAGO]]=0,TODAY()-PROVEEDORES[[#This Row],[FECHA DE FACTURACIÓN]]-PROVEEDORES[[#This Row],[PLAZO Días]],0)</f>
        <v>0</v>
      </c>
      <c r="U376" s="96">
        <f>+VLOOKUP(PROVEEDORES[[#This Row],[PROVEEDOR]],Terceros!$A:$D,4,FALSE)</f>
        <v>0</v>
      </c>
      <c r="V376" s="97">
        <f>+YEAR(PROVEEDORES[[#This Row],[FECHA DE FACTURACIÓN]])</f>
        <v>2021</v>
      </c>
      <c r="W376" s="97">
        <f>+MATCH(PROVEEDORES[[#This Row],[año facturado]],Retenciones!$1:$1,0)</f>
        <v>4</v>
      </c>
      <c r="X376" s="98">
        <f>+VLOOKUP(PROVEEDORES[[#This Row],[ID RETENCION]],Retenciones!$A$1:$O$25,PROVEEDORES[[#This Row],[indicador de columna]],FALSE)</f>
        <v>0</v>
      </c>
      <c r="Y376" s="99">
        <f>+VLOOKUP(PROVEEDORES[[#This Row],[ID RETENCION]],Retenciones!$A$1:$O$25,2,FALSE)</f>
        <v>0</v>
      </c>
      <c r="Z376" s="125" t="b">
        <f>OR(COUNTIF(PROVEEDORES[[#This Row],[PROVEEDOR]],"*"&amp;'Palabra no opera'!$A$2&amp;"*"))</f>
        <v>0</v>
      </c>
      <c r="AA376" s="24"/>
      <c r="AB376" s="24"/>
      <c r="AC376" s="24"/>
      <c r="AD376" s="24"/>
      <c r="AE376" s="24"/>
    </row>
    <row r="377" spans="1:31" ht="22.2" customHeight="1" x14ac:dyDescent="0.3">
      <c r="A377" s="66" t="str">
        <f>+IF(PROVEEDORES[[#This Row],[FECHA DE PAGO]]=PROVEEDORES[[#This Row],[FECHA DE FACTURACIÓN]],"DE CONTADO","CRÉDITO")</f>
        <v>DE CONTADO</v>
      </c>
      <c r="B377" s="38" t="b">
        <f>+IF((PROVEEDORES[[#This Row],[FECHA DE PAGO]]-PROVEEDORES[[#This Row],[FECHA DE FACTURACIÓN]])&gt;PROVEEDORES[[#This Row],[PLAZO Días]],"PAGO VENCIDO")</f>
        <v>0</v>
      </c>
      <c r="C377" s="20">
        <f>+VLOOKUP(PROVEEDORES[[#This Row],[PROVEEDOR]],TERCEROS_INFO[#All],2,FALSE)</f>
        <v>30</v>
      </c>
      <c r="D377" s="25">
        <f>+SUMIFS(PROVEEDORES[Total],PROVEEDORES[PROVEEDOR],PROVEEDORES[[#This Row],[PROVEEDOR]],PROVEEDORES[FECHA DE PAGO],"")</f>
        <v>0</v>
      </c>
      <c r="E377" s="25"/>
      <c r="F377" s="58" t="str">
        <f>+VLOOKUP(PROVEEDORES[[#This Row],[PROVEEDOR]],
                       Terceros!$A:$F,
                       5,
                       FALSE)</f>
        <v/>
      </c>
      <c r="G377" s="161">
        <v>44438</v>
      </c>
      <c r="H377" s="26" t="s">
        <v>644</v>
      </c>
      <c r="I377" s="161">
        <v>44438</v>
      </c>
      <c r="J377" s="35" t="s">
        <v>1187</v>
      </c>
      <c r="K377" s="21">
        <v>216000</v>
      </c>
      <c r="L377" s="21"/>
      <c r="M377" s="22">
        <f>(PROVEEDORES[[#This Row],[SUBTOTAL]]-PROVEEDORES[[#This Row],[descuento sobre subtotal]])*VLOOKUP(PROVEEDORES[[#This Row],[PROVEEDOR]],TERCEROS_INFO[#All],3,FALSE)</f>
        <v>0</v>
      </c>
      <c r="N377" s="23"/>
      <c r="O377" s="22">
        <f>+PROVEEDORES[[#This Row],[Descuento sobre subtotal %]]*(PROVEEDORES[[#This Row],[SUBTOTAL]]-PROVEEDORES[[#This Row],[descuento sobre subtotal]])</f>
        <v>0</v>
      </c>
      <c r="P377" s="83">
        <f>+IF(PROVEEDORES[[#This Row],[SUBTOTAL]]&lt;PROVEEDORES[[#This Row],[base retencion]],0,PROVEEDORES[[#This Row],[retención aplicada]])</f>
        <v>0</v>
      </c>
      <c r="Q377" s="22">
        <f>+PROVEEDORES[[#This Row],[Rete Fuente %]]*(PROVEEDORES[[#This Row],[SUBTOTAL]]-PROVEEDORES[[#This Row],[descuento sobre subtotal]])</f>
        <v>0</v>
      </c>
      <c r="R377" s="21">
        <f>+PROVEEDORES[[#This Row],[SUBTOTAL]]+PROVEEDORES[[#This Row],[IVA 19%]]-PROVEEDORES[[#This Row],[descuento sobre subtotal]]-PROVEEDORES[[#This Row],[Descuento sobre subtotal $2]]-PROVEEDORES[[#This Row],[Rete Fuente $]]</f>
        <v>216000</v>
      </c>
      <c r="S3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68">
        <f ca="1">IF(PROVEEDORES[[#This Row],[FECHA DE PAGO]]=0,TODAY()-PROVEEDORES[[#This Row],[FECHA DE FACTURACIÓN]]-PROVEEDORES[[#This Row],[PLAZO Días]],0)</f>
        <v>0</v>
      </c>
      <c r="U377" s="96">
        <f>+VLOOKUP(PROVEEDORES[[#This Row],[PROVEEDOR]],Terceros!$A:$D,4,FALSE)</f>
        <v>0</v>
      </c>
      <c r="V377" s="97">
        <f>+YEAR(PROVEEDORES[[#This Row],[FECHA DE FACTURACIÓN]])</f>
        <v>2021</v>
      </c>
      <c r="W377" s="97">
        <f>+MATCH(PROVEEDORES[[#This Row],[año facturado]],Retenciones!$1:$1,0)</f>
        <v>4</v>
      </c>
      <c r="X377" s="98">
        <f>+VLOOKUP(PROVEEDORES[[#This Row],[ID RETENCION]],Retenciones!$A$1:$O$25,PROVEEDORES[[#This Row],[indicador de columna]],FALSE)</f>
        <v>0</v>
      </c>
      <c r="Y377" s="99">
        <f>+VLOOKUP(PROVEEDORES[[#This Row],[ID RETENCION]],Retenciones!$A$1:$O$25,2,FALSE)</f>
        <v>0</v>
      </c>
      <c r="Z377" s="125" t="b">
        <f>OR(COUNTIF(PROVEEDORES[[#This Row],[PROVEEDOR]],"*"&amp;'Palabra no opera'!$A$2&amp;"*"))</f>
        <v>0</v>
      </c>
      <c r="AA377" s="24"/>
      <c r="AB377" s="24"/>
      <c r="AC377" s="24"/>
      <c r="AD377" s="24"/>
      <c r="AE377" s="24"/>
    </row>
    <row r="378" spans="1:31" ht="22.2" customHeight="1" x14ac:dyDescent="0.3">
      <c r="A378" s="66" t="str">
        <f>+IF(PROVEEDORES[[#This Row],[FECHA DE PAGO]]=PROVEEDORES[[#This Row],[FECHA DE FACTURACIÓN]],"DE CONTADO","CRÉDITO")</f>
        <v>CRÉDITO</v>
      </c>
      <c r="B378" s="38" t="str">
        <f>+IF((PROVEEDORES[[#This Row],[FECHA DE PAGO]]-PROVEEDORES[[#This Row],[FECHA DE FACTURACIÓN]])&gt;PROVEEDORES[[#This Row],[PLAZO Días]],"PAGO VENCIDO")</f>
        <v>PAGO VENCIDO</v>
      </c>
      <c r="C378" s="20">
        <f>+VLOOKUP(PROVEEDORES[[#This Row],[PROVEEDOR]],TERCEROS_INFO[#All],2,FALSE)</f>
        <v>30</v>
      </c>
      <c r="D378" s="25">
        <f>+SUMIFS(PROVEEDORES[Total],PROVEEDORES[PROVEEDOR],PROVEEDORES[[#This Row],[PROVEEDOR]],PROVEEDORES[FECHA DE PAGO],"")</f>
        <v>0</v>
      </c>
      <c r="E378" s="25"/>
      <c r="F37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378" s="161">
        <v>44389</v>
      </c>
      <c r="H378" s="26" t="s">
        <v>746</v>
      </c>
      <c r="I378" s="161">
        <v>44341</v>
      </c>
      <c r="J378" s="35">
        <v>1216</v>
      </c>
      <c r="K378" s="21">
        <v>182352.94</v>
      </c>
      <c r="L378" s="21"/>
      <c r="M378" s="22">
        <f>(PROVEEDORES[[#This Row],[SUBTOTAL]]-PROVEEDORES[[#This Row],[descuento sobre subtotal]])*VLOOKUP(PROVEEDORES[[#This Row],[PROVEEDOR]],TERCEROS_INFO[#All],3,FALSE)</f>
        <v>34647.058600000004</v>
      </c>
      <c r="N378" s="23"/>
      <c r="O378" s="22">
        <f>+PROVEEDORES[[#This Row],[Descuento sobre subtotal %]]*(PROVEEDORES[[#This Row],[SUBTOTAL]]-PROVEEDORES[[#This Row],[descuento sobre subtotal]])</f>
        <v>0</v>
      </c>
      <c r="P378" s="83">
        <f>+IF(PROVEEDORES[[#This Row],[SUBTOTAL]]&lt;PROVEEDORES[[#This Row],[base retencion]],0,PROVEEDORES[[#This Row],[retención aplicada]])</f>
        <v>0</v>
      </c>
      <c r="Q378" s="22">
        <f>+PROVEEDORES[[#This Row],[Rete Fuente %]]*(PROVEEDORES[[#This Row],[SUBTOTAL]]-PROVEEDORES[[#This Row],[descuento sobre subtotal]])</f>
        <v>0</v>
      </c>
      <c r="R378" s="21">
        <f>+PROVEEDORES[[#This Row],[SUBTOTAL]]+PROVEEDORES[[#This Row],[IVA 19%]]-PROVEEDORES[[#This Row],[descuento sobre subtotal]]-PROVEEDORES[[#This Row],[Descuento sobre subtotal $2]]-PROVEEDORES[[#This Row],[Rete Fuente $]]</f>
        <v>216999.99859999999</v>
      </c>
      <c r="S3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68">
        <f ca="1">IF(PROVEEDORES[[#This Row],[FECHA DE PAGO]]=0,TODAY()-PROVEEDORES[[#This Row],[FECHA DE FACTURACIÓN]]-PROVEEDORES[[#This Row],[PLAZO Días]],0)</f>
        <v>0</v>
      </c>
      <c r="U378" s="96" t="str">
        <f>+VLOOKUP(PROVEEDORES[[#This Row],[PROVEEDOR]],Terceros!$A:$D,4,FALSE)</f>
        <v>2,5% con base</v>
      </c>
      <c r="V378" s="97">
        <f>+YEAR(PROVEEDORES[[#This Row],[FECHA DE FACTURACIÓN]])</f>
        <v>2021</v>
      </c>
      <c r="W378" s="97">
        <f>+MATCH(PROVEEDORES[[#This Row],[año facturado]],Retenciones!$1:$1,0)</f>
        <v>4</v>
      </c>
      <c r="X378" s="98">
        <f>+VLOOKUP(PROVEEDORES[[#This Row],[ID RETENCION]],Retenciones!$A$1:$O$25,PROVEEDORES[[#This Row],[indicador de columna]],FALSE)</f>
        <v>980000</v>
      </c>
      <c r="Y378" s="99">
        <f>+VLOOKUP(PROVEEDORES[[#This Row],[ID RETENCION]],Retenciones!$A$1:$O$25,2,FALSE)</f>
        <v>2.5000000000000001E-2</v>
      </c>
      <c r="Z378" s="125" t="b">
        <f>OR(COUNTIF(PROVEEDORES[[#This Row],[PROVEEDOR]],"*"&amp;'Palabra no opera'!$A$2&amp;"*"))</f>
        <v>0</v>
      </c>
      <c r="AA378" s="24"/>
      <c r="AB378" s="24"/>
      <c r="AC378" s="24"/>
      <c r="AD378" s="24"/>
      <c r="AE378" s="24"/>
    </row>
    <row r="379" spans="1:31" ht="22.2" customHeight="1" x14ac:dyDescent="0.3">
      <c r="A379" s="66" t="str">
        <f>+IF(PROVEEDORES[[#This Row],[FECHA DE PAGO]]=PROVEEDORES[[#This Row],[FECHA DE FACTURACIÓN]],"DE CONTADO","CRÉDITO")</f>
        <v>DE CONTADO</v>
      </c>
      <c r="B379" s="38" t="b">
        <f>+IF((PROVEEDORES[[#This Row],[FECHA DE PAGO]]-PROVEEDORES[[#This Row],[FECHA DE FACTURACIÓN]])&gt;PROVEEDORES[[#This Row],[PLAZO Días]],"PAGO VENCIDO")</f>
        <v>0</v>
      </c>
      <c r="C379" s="20">
        <f>+VLOOKUP(PROVEEDORES[[#This Row],[PROVEEDOR]],TERCEROS_INFO[#All],2,FALSE)</f>
        <v>30</v>
      </c>
      <c r="D379" s="25">
        <f>+SUMIFS(PROVEEDORES[Total],PROVEEDORES[PROVEEDOR],PROVEEDORES[[#This Row],[PROVEEDOR]],PROVEEDORES[FECHA DE PAGO],"")</f>
        <v>0</v>
      </c>
      <c r="E379" s="25"/>
      <c r="F379" s="58" t="str">
        <f>+VLOOKUP(PROVEEDORES[[#This Row],[PROVEEDOR]],
                       Terceros!$A:$F,
                       5,
                       FALSE)</f>
        <v/>
      </c>
      <c r="G379" s="161">
        <v>44620</v>
      </c>
      <c r="H379" s="26" t="s">
        <v>644</v>
      </c>
      <c r="I379" s="161">
        <v>44620</v>
      </c>
      <c r="J379" s="35" t="s">
        <v>598</v>
      </c>
      <c r="K379" s="21">
        <v>218000</v>
      </c>
      <c r="L379" s="21"/>
      <c r="M379" s="22">
        <f>(PROVEEDORES[[#This Row],[SUBTOTAL]]-PROVEEDORES[[#This Row],[descuento sobre subtotal]])*VLOOKUP(PROVEEDORES[[#This Row],[PROVEEDOR]],TERCEROS_INFO[#All],3,FALSE)</f>
        <v>0</v>
      </c>
      <c r="N379" s="23"/>
      <c r="O379" s="22">
        <f>+PROVEEDORES[[#This Row],[Descuento sobre subtotal %]]*(PROVEEDORES[[#This Row],[SUBTOTAL]]-PROVEEDORES[[#This Row],[descuento sobre subtotal]])</f>
        <v>0</v>
      </c>
      <c r="P379" s="83">
        <f>+IF(PROVEEDORES[[#This Row],[SUBTOTAL]]&lt;PROVEEDORES[[#This Row],[base retencion]],0,PROVEEDORES[[#This Row],[retención aplicada]])</f>
        <v>0</v>
      </c>
      <c r="Q379" s="22">
        <f>+PROVEEDORES[[#This Row],[Rete Fuente %]]*(PROVEEDORES[[#This Row],[SUBTOTAL]]-PROVEEDORES[[#This Row],[descuento sobre subtotal]])</f>
        <v>0</v>
      </c>
      <c r="R379" s="21">
        <v>218000</v>
      </c>
      <c r="S3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68">
        <f ca="1">IF(PROVEEDORES[[#This Row],[FECHA DE PAGO]]=0,TODAY()-PROVEEDORES[[#This Row],[FECHA DE FACTURACIÓN]]-PROVEEDORES[[#This Row],[PLAZO Días]],0)</f>
        <v>0</v>
      </c>
      <c r="U379" s="96">
        <f>+VLOOKUP(PROVEEDORES[[#This Row],[PROVEEDOR]],Terceros!$A:$D,4,FALSE)</f>
        <v>0</v>
      </c>
      <c r="V379" s="97">
        <f>+YEAR(PROVEEDORES[[#This Row],[FECHA DE FACTURACIÓN]])</f>
        <v>2022</v>
      </c>
      <c r="W379" s="97">
        <f>+MATCH(PROVEEDORES[[#This Row],[año facturado]],Retenciones!$1:$1,0)</f>
        <v>5</v>
      </c>
      <c r="X379" s="98">
        <f>+VLOOKUP(PROVEEDORES[[#This Row],[ID RETENCION]],Retenciones!$A$1:$O$25,PROVEEDORES[[#This Row],[indicador de columna]],FALSE)</f>
        <v>0</v>
      </c>
      <c r="Y379" s="99">
        <f>+VLOOKUP(PROVEEDORES[[#This Row],[ID RETENCION]],Retenciones!$A$1:$O$25,2,FALSE)</f>
        <v>0</v>
      </c>
      <c r="Z379" s="125" t="b">
        <f>OR(COUNTIF(PROVEEDORES[[#This Row],[PROVEEDOR]],"*"&amp;'Palabra no opera'!$A$2&amp;"*"))</f>
        <v>0</v>
      </c>
      <c r="AA379" s="24"/>
      <c r="AB379" s="24"/>
      <c r="AC379" s="24"/>
      <c r="AD379" s="24"/>
      <c r="AE379" s="24"/>
    </row>
    <row r="380" spans="1:31" ht="22.2" customHeight="1" x14ac:dyDescent="0.3">
      <c r="A380" s="269" t="str">
        <f>+IF(PROVEEDORES[[#This Row],[FECHA DE PAGO]]=PROVEEDORES[[#This Row],[FECHA DE FACTURACIÓN]],"DE CONTADO","CRÉDITO")</f>
        <v>DE CONTADO</v>
      </c>
      <c r="B380" s="38" t="b">
        <f>+IF((PROVEEDORES[[#This Row],[FECHA DE PAGO]]-PROVEEDORES[[#This Row],[FECHA DE FACTURACIÓN]])&gt;PROVEEDORES[[#This Row],[PLAZO Días]],"PAGO VENCIDO")</f>
        <v>0</v>
      </c>
      <c r="C380" s="20">
        <f>+VLOOKUP(PROVEEDORES[[#This Row],[PROVEEDOR]],TERCEROS_INFO[#All],2,FALSE)</f>
        <v>30</v>
      </c>
      <c r="D380" s="25">
        <f>+SUMIFS(PROVEEDORES[Total],PROVEEDORES[PROVEEDOR],PROVEEDORES[[#This Row],[PROVEEDOR]],PROVEEDORES[FECHA DE PAGO],"")</f>
        <v>1957800</v>
      </c>
      <c r="E380" s="25"/>
      <c r="F380" s="58">
        <f>+VLOOKUP(PROVEEDORES[[#This Row],[PROVEEDOR]],
                       Terceros!$A:$F,
                       5,
                       FALSE)</f>
        <v>0</v>
      </c>
      <c r="G380" s="161">
        <v>44853</v>
      </c>
      <c r="H380" s="26" t="s">
        <v>994</v>
      </c>
      <c r="I380" s="161">
        <v>44853</v>
      </c>
      <c r="J380" s="35">
        <v>5108</v>
      </c>
      <c r="K380" s="21">
        <v>218000</v>
      </c>
      <c r="L380" s="21"/>
      <c r="M380" s="22">
        <f>(PROVEEDORES[[#This Row],[SUBTOTAL]]-PROVEEDORES[[#This Row],[descuento sobre subtotal]])*VLOOKUP(PROVEEDORES[[#This Row],[PROVEEDOR]],TERCEROS_INFO[#All],3,FALSE)</f>
        <v>0</v>
      </c>
      <c r="N380" s="23"/>
      <c r="O380" s="22">
        <f>+PROVEEDORES[[#This Row],[Descuento sobre subtotal %]]*(PROVEEDORES[[#This Row],[SUBTOTAL]]-PROVEEDORES[[#This Row],[descuento sobre subtotal]])</f>
        <v>0</v>
      </c>
      <c r="P380" s="83">
        <f>+IF(PROVEEDORES[[#This Row],[SUBTOTAL]]&lt;PROVEEDORES[[#This Row],[base retencion]],0,PROVEEDORES[[#This Row],[retención aplicada]])</f>
        <v>0</v>
      </c>
      <c r="Q380" s="22">
        <f>+PROVEEDORES[[#This Row],[Rete Fuente %]]*(PROVEEDORES[[#This Row],[SUBTOTAL]]-PROVEEDORES[[#This Row],[descuento sobre subtotal]])</f>
        <v>0</v>
      </c>
      <c r="R380" s="21">
        <f>+PROVEEDORES[[#This Row],[SUBTOTAL]]+PROVEEDORES[[#This Row],[IVA 19%]]-PROVEEDORES[[#This Row],[descuento sobre subtotal]]-PROVEEDORES[[#This Row],[Descuento sobre subtotal $2]]-PROVEEDORES[[#This Row],[Rete Fuente $]]</f>
        <v>218000</v>
      </c>
      <c r="S380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68">
        <f ca="1">IF(PROVEEDORES[[#This Row],[FECHA DE PAGO]]=0,TODAY()-PROVEEDORES[[#This Row],[FECHA DE FACTURACIÓN]]-PROVEEDORES[[#This Row],[PLAZO Días]],0)</f>
        <v>0</v>
      </c>
      <c r="U380" s="113">
        <f>+VLOOKUP(PROVEEDORES[[#This Row],[PROVEEDOR]],Terceros!$A:$D,4,FALSE)</f>
        <v>0</v>
      </c>
      <c r="V380" s="114">
        <f>+YEAR(PROVEEDORES[[#This Row],[FECHA DE FACTURACIÓN]])</f>
        <v>2022</v>
      </c>
      <c r="W380" s="114">
        <f>+MATCH(PROVEEDORES[[#This Row],[año facturado]],Retenciones!$1:$1,0)</f>
        <v>5</v>
      </c>
      <c r="X380" s="115">
        <f>+VLOOKUP(PROVEEDORES[[#This Row],[ID RETENCION]],Retenciones!$A$1:$O$25,PROVEEDORES[[#This Row],[indicador de columna]],FALSE)</f>
        <v>0</v>
      </c>
      <c r="Y380" s="116">
        <f>+VLOOKUP(PROVEEDORES[[#This Row],[ID RETENCION]],Retenciones!$A$1:$O$25,2,FALSE)</f>
        <v>0</v>
      </c>
      <c r="Z380" s="125" t="b">
        <f>OR(COUNTIF(PROVEEDORES[[#This Row],[PROVEEDOR]],"*"&amp;'Palabra no opera'!$A$2&amp;"*"))</f>
        <v>0</v>
      </c>
      <c r="AA380" s="24"/>
      <c r="AB380" s="24"/>
      <c r="AC380" s="24"/>
      <c r="AD380" s="24"/>
      <c r="AE380" s="24"/>
    </row>
    <row r="381" spans="1:31" ht="22.2" customHeight="1" x14ac:dyDescent="0.3">
      <c r="A381" s="66" t="str">
        <f>+IF(PROVEEDORES[[#This Row],[FECHA DE PAGO]]=PROVEEDORES[[#This Row],[FECHA DE FACTURACIÓN]],"DE CONTADO","CRÉDITO")</f>
        <v>DE CONTADO</v>
      </c>
      <c r="B381" s="38" t="b">
        <f>+IF((PROVEEDORES[[#This Row],[FECHA DE PAGO]]-PROVEEDORES[[#This Row],[FECHA DE FACTURACIÓN]])&gt;PROVEEDORES[[#This Row],[PLAZO Días]],"PAGO VENCIDO")</f>
        <v>0</v>
      </c>
      <c r="C381" s="20">
        <f>+VLOOKUP(PROVEEDORES[[#This Row],[PROVEEDOR]],TERCEROS_INFO[#All],2,FALSE)</f>
        <v>30</v>
      </c>
      <c r="D381" s="25">
        <f>+SUMIFS(PROVEEDORES[Total],PROVEEDORES[PROVEEDOR],PROVEEDORES[[#This Row],[PROVEEDOR]],PROVEEDORES[FECHA DE PAGO],"")</f>
        <v>0</v>
      </c>
      <c r="E381" s="25"/>
      <c r="F381" s="58" t="str">
        <f>+VLOOKUP(PROVEEDORES[[#This Row],[PROVEEDOR]],
                       Terceros!$A:$F,
                       5,
                       FALSE)</f>
        <v/>
      </c>
      <c r="G381" s="161">
        <v>44620</v>
      </c>
      <c r="H381" s="26" t="s">
        <v>644</v>
      </c>
      <c r="I381" s="161">
        <v>44620</v>
      </c>
      <c r="J381" s="35" t="s">
        <v>645</v>
      </c>
      <c r="K381" s="21">
        <v>220000</v>
      </c>
      <c r="L381" s="21"/>
      <c r="M381" s="22">
        <f>(PROVEEDORES[[#This Row],[SUBTOTAL]]-PROVEEDORES[[#This Row],[descuento sobre subtotal]])*VLOOKUP(PROVEEDORES[[#This Row],[PROVEEDOR]],TERCEROS_INFO[#All],3,FALSE)</f>
        <v>0</v>
      </c>
      <c r="N381" s="23"/>
      <c r="O381" s="22">
        <f>+PROVEEDORES[[#This Row],[Descuento sobre subtotal %]]*(PROVEEDORES[[#This Row],[SUBTOTAL]]-PROVEEDORES[[#This Row],[descuento sobre subtotal]])</f>
        <v>0</v>
      </c>
      <c r="P381" s="83">
        <f>+IF(PROVEEDORES[[#This Row],[SUBTOTAL]]&lt;PROVEEDORES[[#This Row],[base retencion]],0,PROVEEDORES[[#This Row],[retención aplicada]])</f>
        <v>0</v>
      </c>
      <c r="Q381" s="22">
        <f>+PROVEEDORES[[#This Row],[Rete Fuente %]]*(PROVEEDORES[[#This Row],[SUBTOTAL]]-PROVEEDORES[[#This Row],[descuento sobre subtotal]])</f>
        <v>0</v>
      </c>
      <c r="R381" s="21">
        <v>220000</v>
      </c>
      <c r="S3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68">
        <f ca="1">IF(PROVEEDORES[[#This Row],[FECHA DE PAGO]]=0,TODAY()-PROVEEDORES[[#This Row],[FECHA DE FACTURACIÓN]]-PROVEEDORES[[#This Row],[PLAZO Días]],0)</f>
        <v>0</v>
      </c>
      <c r="U381" s="96">
        <f>+VLOOKUP(PROVEEDORES[[#This Row],[PROVEEDOR]],Terceros!$A:$D,4,FALSE)</f>
        <v>0</v>
      </c>
      <c r="V381" s="97">
        <f>+YEAR(PROVEEDORES[[#This Row],[FECHA DE FACTURACIÓN]])</f>
        <v>2022</v>
      </c>
      <c r="W381" s="97">
        <f>+MATCH(PROVEEDORES[[#This Row],[año facturado]],Retenciones!$1:$1,0)</f>
        <v>5</v>
      </c>
      <c r="X381" s="98">
        <f>+VLOOKUP(PROVEEDORES[[#This Row],[ID RETENCION]],Retenciones!$A$1:$O$25,PROVEEDORES[[#This Row],[indicador de columna]],FALSE)</f>
        <v>0</v>
      </c>
      <c r="Y381" s="99">
        <f>+VLOOKUP(PROVEEDORES[[#This Row],[ID RETENCION]],Retenciones!$A$1:$O$25,2,FALSE)</f>
        <v>0</v>
      </c>
      <c r="Z381" s="125" t="b">
        <f>OR(COUNTIF(PROVEEDORES[[#This Row],[PROVEEDOR]],"*"&amp;'Palabra no opera'!$A$2&amp;"*"))</f>
        <v>0</v>
      </c>
      <c r="AA381" s="24"/>
      <c r="AB381" s="24"/>
      <c r="AC381" s="24"/>
      <c r="AD381" s="24"/>
      <c r="AE381" s="24"/>
    </row>
    <row r="382" spans="1:31" ht="22.2" customHeight="1" x14ac:dyDescent="0.3">
      <c r="A382" s="66" t="str">
        <f>+IF(PROVEEDORES[[#This Row],[FECHA DE PAGO]]=PROVEEDORES[[#This Row],[FECHA DE FACTURACIÓN]],"DE CONTADO","CRÉDITO")</f>
        <v>DE CONTADO</v>
      </c>
      <c r="B382" s="38" t="b">
        <f>+IF((PROVEEDORES[[#This Row],[FECHA DE PAGO]]-PROVEEDORES[[#This Row],[FECHA DE FACTURACIÓN]])&gt;PROVEEDORES[[#This Row],[PLAZO Días]],"PAGO VENCIDO")</f>
        <v>0</v>
      </c>
      <c r="C382" s="20">
        <f>+VLOOKUP(PROVEEDORES[[#This Row],[PROVEEDOR]],TERCEROS_INFO[#All],2,FALSE)</f>
        <v>30</v>
      </c>
      <c r="D382" s="25">
        <f>+SUMIFS(PROVEEDORES[Total],PROVEEDORES[PROVEEDOR],PROVEEDORES[[#This Row],[PROVEEDOR]],PROVEEDORES[FECHA DE PAGO],"")</f>
        <v>0</v>
      </c>
      <c r="E382" s="25"/>
      <c r="F382" s="58" t="str">
        <f>+VLOOKUP(PROVEEDORES[[#This Row],[PROVEEDOR]],
                       Terceros!$A:$F,
                       5,
                       FALSE)</f>
        <v/>
      </c>
      <c r="G382" s="161">
        <v>44469</v>
      </c>
      <c r="H382" s="26" t="s">
        <v>644</v>
      </c>
      <c r="I382" s="161">
        <v>44469</v>
      </c>
      <c r="J382" s="35" t="s">
        <v>75</v>
      </c>
      <c r="K382" s="21">
        <v>222000</v>
      </c>
      <c r="L382" s="21"/>
      <c r="M382" s="22">
        <f>(PROVEEDORES[[#This Row],[SUBTOTAL]]-PROVEEDORES[[#This Row],[descuento sobre subtotal]])*VLOOKUP(PROVEEDORES[[#This Row],[PROVEEDOR]],TERCEROS_INFO[#All],3,FALSE)</f>
        <v>0</v>
      </c>
      <c r="N382" s="23"/>
      <c r="O382" s="22">
        <f>+PROVEEDORES[[#This Row],[Descuento sobre subtotal %]]*(PROVEEDORES[[#This Row],[SUBTOTAL]]-PROVEEDORES[[#This Row],[descuento sobre subtotal]])</f>
        <v>0</v>
      </c>
      <c r="P382" s="83">
        <f>+IF(PROVEEDORES[[#This Row],[SUBTOTAL]]&lt;PROVEEDORES[[#This Row],[base retencion]],0,PROVEEDORES[[#This Row],[retención aplicada]])</f>
        <v>0</v>
      </c>
      <c r="Q382" s="22">
        <f>+PROVEEDORES[[#This Row],[Rete Fuente %]]*(PROVEEDORES[[#This Row],[SUBTOTAL]]-PROVEEDORES[[#This Row],[descuento sobre subtotal]])</f>
        <v>0</v>
      </c>
      <c r="R382" s="21">
        <f>+PROVEEDORES[[#This Row],[SUBTOTAL]]+PROVEEDORES[[#This Row],[IVA 19%]]-PROVEEDORES[[#This Row],[descuento sobre subtotal]]-PROVEEDORES[[#This Row],[Descuento sobre subtotal $2]]-PROVEEDORES[[#This Row],[Rete Fuente $]]</f>
        <v>222000</v>
      </c>
      <c r="S3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68">
        <f ca="1">IF(PROVEEDORES[[#This Row],[FECHA DE PAGO]]=0,TODAY()-PROVEEDORES[[#This Row],[FECHA DE FACTURACIÓN]]-PROVEEDORES[[#This Row],[PLAZO Días]],0)</f>
        <v>0</v>
      </c>
      <c r="U382" s="96">
        <f>+VLOOKUP(PROVEEDORES[[#This Row],[PROVEEDOR]],Terceros!$A:$D,4,FALSE)</f>
        <v>0</v>
      </c>
      <c r="V382" s="97">
        <f>+YEAR(PROVEEDORES[[#This Row],[FECHA DE FACTURACIÓN]])</f>
        <v>2021</v>
      </c>
      <c r="W382" s="97">
        <f>+MATCH(PROVEEDORES[[#This Row],[año facturado]],Retenciones!$1:$1,0)</f>
        <v>4</v>
      </c>
      <c r="X382" s="98">
        <f>+VLOOKUP(PROVEEDORES[[#This Row],[ID RETENCION]],Retenciones!$A$1:$O$25,PROVEEDORES[[#This Row],[indicador de columna]],FALSE)</f>
        <v>0</v>
      </c>
      <c r="Y382" s="99">
        <f>+VLOOKUP(PROVEEDORES[[#This Row],[ID RETENCION]],Retenciones!$A$1:$O$25,2,FALSE)</f>
        <v>0</v>
      </c>
      <c r="Z382" s="125" t="b">
        <f>OR(COUNTIF(PROVEEDORES[[#This Row],[PROVEEDOR]],"*"&amp;'Palabra no opera'!$A$2&amp;"*"))</f>
        <v>0</v>
      </c>
      <c r="AA382" s="24"/>
      <c r="AB382" s="24"/>
      <c r="AC382" s="24"/>
      <c r="AD382" s="24"/>
      <c r="AE382" s="24"/>
    </row>
    <row r="383" spans="1:31" ht="22.2" customHeight="1" x14ac:dyDescent="0.3">
      <c r="A383" s="72" t="str">
        <f>+IF(PROVEEDORES[[#This Row],[FECHA DE PAGO]]=PROVEEDORES[[#This Row],[FECHA DE FACTURACIÓN]],"DE CONTADO","CRÉDITO")</f>
        <v>CRÉDITO</v>
      </c>
      <c r="B383" s="38" t="b">
        <f>+IF((PROVEEDORES[[#This Row],[FECHA DE PAGO]]-PROVEEDORES[[#This Row],[FECHA DE FACTURACIÓN]])&gt;PROVEEDORES[[#This Row],[PLAZO Días]],"PAGO VENCIDO")</f>
        <v>0</v>
      </c>
      <c r="C383" s="20">
        <f>+VLOOKUP(PROVEEDORES[[#This Row],[PROVEEDOR]],TERCEROS_INFO[#All],2,FALSE)</f>
        <v>30</v>
      </c>
      <c r="D383" s="25">
        <f>+SUMIFS(PROVEEDORES[Total],PROVEEDORES[PROVEEDOR],PROVEEDORES[[#This Row],[PROVEEDOR]],PROVEEDORES[FECHA DE PAGO],"")</f>
        <v>2223034.2400000002</v>
      </c>
      <c r="E383" s="25"/>
      <c r="F38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383" s="26" t="s">
        <v>216</v>
      </c>
      <c r="I383" s="161">
        <v>44862</v>
      </c>
      <c r="J383" s="35">
        <v>546704</v>
      </c>
      <c r="K383" s="21">
        <v>187500</v>
      </c>
      <c r="L383" s="21"/>
      <c r="M383" s="22">
        <f>(PROVEEDORES[[#This Row],[SUBTOTAL]]-PROVEEDORES[[#This Row],[descuento sobre subtotal]])*VLOOKUP(PROVEEDORES[[#This Row],[PROVEEDOR]],TERCEROS_INFO[#All],3,FALSE)</f>
        <v>35625</v>
      </c>
      <c r="N383" s="23"/>
      <c r="O383" s="22">
        <f>+PROVEEDORES[[#This Row],[Descuento sobre subtotal %]]*(PROVEEDORES[[#This Row],[SUBTOTAL]]-PROVEEDORES[[#This Row],[descuento sobre subtotal]])</f>
        <v>0</v>
      </c>
      <c r="P383" s="83">
        <f>+IF(PROVEEDORES[[#This Row],[SUBTOTAL]]&lt;PROVEEDORES[[#This Row],[base retencion]],0,PROVEEDORES[[#This Row],[retención aplicada]])</f>
        <v>0</v>
      </c>
      <c r="Q383" s="22">
        <f>+PROVEEDORES[[#This Row],[Rete Fuente %]]*(PROVEEDORES[[#This Row],[SUBTOTAL]]-PROVEEDORES[[#This Row],[descuento sobre subtotal]])</f>
        <v>0</v>
      </c>
      <c r="R383" s="21">
        <f>+PROVEEDORES[[#This Row],[SUBTOTAL]]+PROVEEDORES[[#This Row],[IVA 19%]]-PROVEEDORES[[#This Row],[descuento sobre subtotal]]-PROVEEDORES[[#This Row],[Descuento sobre subtotal $2]]-PROVEEDORES[[#This Row],[Rete Fuente $]]</f>
        <v>223125</v>
      </c>
      <c r="S383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383" s="68">
        <f ca="1">IF(PROVEEDORES[[#This Row],[FECHA DE PAGO]]=0,TODAY()-PROVEEDORES[[#This Row],[FECHA DE FACTURACIÓN]]-PROVEEDORES[[#This Row],[PLAZO Días]],0)</f>
        <v>-17</v>
      </c>
      <c r="U383" s="113" t="str">
        <f>+VLOOKUP(PROVEEDORES[[#This Row],[PROVEEDOR]],Terceros!$A:$D,4,FALSE)</f>
        <v>2,5% con base</v>
      </c>
      <c r="V383" s="114">
        <f>+YEAR(PROVEEDORES[[#This Row],[FECHA DE FACTURACIÓN]])</f>
        <v>2022</v>
      </c>
      <c r="W383" s="114">
        <f>+MATCH(PROVEEDORES[[#This Row],[año facturado]],Retenciones!$1:$1,0)</f>
        <v>5</v>
      </c>
      <c r="X383" s="115">
        <f>+VLOOKUP(PROVEEDORES[[#This Row],[ID RETENCION]],Retenciones!$A$1:$O$25,PROVEEDORES[[#This Row],[indicador de columna]],FALSE)</f>
        <v>1026000</v>
      </c>
      <c r="Y383" s="116">
        <f>+VLOOKUP(PROVEEDORES[[#This Row],[ID RETENCION]],Retenciones!$A$1:$O$25,2,FALSE)</f>
        <v>2.5000000000000001E-2</v>
      </c>
      <c r="Z383" s="125" t="b">
        <f>OR(COUNTIF(PROVEEDORES[[#This Row],[PROVEEDOR]],"*"&amp;'Palabra no opera'!$A$2&amp;"*"))</f>
        <v>0</v>
      </c>
      <c r="AA383" s="24"/>
      <c r="AB383" s="24"/>
      <c r="AC383" s="24"/>
      <c r="AD383" s="24"/>
      <c r="AE383" s="24"/>
    </row>
    <row r="384" spans="1:31" ht="22.2" customHeight="1" x14ac:dyDescent="0.3">
      <c r="A384" s="72" t="str">
        <f>+IF(PROVEEDORES[[#This Row],[FECHA DE PAGO]]=PROVEEDORES[[#This Row],[FECHA DE FACTURACIÓN]],"DE CONTADO","CRÉDITO")</f>
        <v>DE CONTADO</v>
      </c>
      <c r="B384" s="38" t="b">
        <f>+IF((PROVEEDORES[[#This Row],[FECHA DE PAGO]]-PROVEEDORES[[#This Row],[FECHA DE FACTURACIÓN]])&gt;PROVEEDORES[[#This Row],[PLAZO Días]],"PAGO VENCIDO")</f>
        <v>0</v>
      </c>
      <c r="C384" s="20">
        <f>+VLOOKUP(PROVEEDORES[[#This Row],[PROVEEDOR]],TERCEROS_INFO[#All],2,FALSE)</f>
        <v>30</v>
      </c>
      <c r="D384" s="25">
        <f>+SUMIFS(PROVEEDORES[Total],PROVEEDORES[PROVEEDOR],PROVEEDORES[[#This Row],[PROVEEDOR]],PROVEEDORES[FECHA DE PAGO],"")</f>
        <v>0</v>
      </c>
      <c r="E384" s="25"/>
      <c r="F384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384" s="161">
        <v>44764</v>
      </c>
      <c r="H384" s="26" t="s">
        <v>21</v>
      </c>
      <c r="I384" s="161">
        <v>44764</v>
      </c>
      <c r="J384" s="35">
        <v>22710</v>
      </c>
      <c r="K384" s="21">
        <v>188235</v>
      </c>
      <c r="L384" s="21"/>
      <c r="M384" s="22">
        <f>(PROVEEDORES[[#This Row],[SUBTOTAL]]-PROVEEDORES[[#This Row],[descuento sobre subtotal]])*VLOOKUP(PROVEEDORES[[#This Row],[PROVEEDOR]],TERCEROS_INFO[#All],3,FALSE)</f>
        <v>35764.65</v>
      </c>
      <c r="N384" s="23"/>
      <c r="O384" s="22">
        <f>+PROVEEDORES[[#This Row],[Descuento sobre subtotal %]]*(PROVEEDORES[[#This Row],[SUBTOTAL]]-PROVEEDORES[[#This Row],[descuento sobre subtotal]])</f>
        <v>0</v>
      </c>
      <c r="P384" s="83">
        <f>+IF(PROVEEDORES[[#This Row],[SUBTOTAL]]&lt;PROVEEDORES[[#This Row],[base retencion]],0,PROVEEDORES[[#This Row],[retención aplicada]])</f>
        <v>0</v>
      </c>
      <c r="Q384" s="22">
        <f>+PROVEEDORES[[#This Row],[Rete Fuente %]]*(PROVEEDORES[[#This Row],[SUBTOTAL]]-PROVEEDORES[[#This Row],[descuento sobre subtotal]])</f>
        <v>0</v>
      </c>
      <c r="R384" s="21">
        <f>+PROVEEDORES[[#This Row],[SUBTOTAL]]+PROVEEDORES[[#This Row],[IVA 19%]]-PROVEEDORES[[#This Row],[descuento sobre subtotal]]-PROVEEDORES[[#This Row],[Descuento sobre subtotal $2]]-PROVEEDORES[[#This Row],[Rete Fuente $]]</f>
        <v>223999.65</v>
      </c>
      <c r="S38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68">
        <f ca="1">IF(PROVEEDORES[[#This Row],[FECHA DE PAGO]]=0,TODAY()-PROVEEDORES[[#This Row],[FECHA DE FACTURACIÓN]]-PROVEEDORES[[#This Row],[PLAZO Días]],0)</f>
        <v>0</v>
      </c>
      <c r="U384" s="113" t="str">
        <f>+VLOOKUP(PROVEEDORES[[#This Row],[PROVEEDOR]],Terceros!$A:$D,4,FALSE)</f>
        <v>2,5% con base</v>
      </c>
      <c r="V384" s="114">
        <f>+YEAR(PROVEEDORES[[#This Row],[FECHA DE FACTURACIÓN]])</f>
        <v>2022</v>
      </c>
      <c r="W384" s="114">
        <f>+MATCH(PROVEEDORES[[#This Row],[año facturado]],Retenciones!$1:$1,0)</f>
        <v>5</v>
      </c>
      <c r="X384" s="115">
        <f>+VLOOKUP(PROVEEDORES[[#This Row],[ID RETENCION]],Retenciones!$A$1:$O$25,PROVEEDORES[[#This Row],[indicador de columna]],FALSE)</f>
        <v>1026000</v>
      </c>
      <c r="Y384" s="116">
        <f>+VLOOKUP(PROVEEDORES[[#This Row],[ID RETENCION]],Retenciones!$A$1:$O$25,2,FALSE)</f>
        <v>2.5000000000000001E-2</v>
      </c>
      <c r="Z384" s="125" t="b">
        <f>OR(COUNTIF(PROVEEDORES[[#This Row],[PROVEEDOR]],"*"&amp;'Palabra no opera'!$A$2&amp;"*"))</f>
        <v>0</v>
      </c>
      <c r="AA384" s="24"/>
      <c r="AB384" s="24"/>
      <c r="AC384" s="24"/>
      <c r="AD384" s="24"/>
      <c r="AE384" s="24"/>
    </row>
    <row r="385" spans="1:31" ht="22.2" customHeight="1" x14ac:dyDescent="0.3">
      <c r="A385" s="66" t="str">
        <f>+IF(PROVEEDORES[[#This Row],[FECHA DE PAGO]]=PROVEEDORES[[#This Row],[FECHA DE FACTURACIÓN]],"DE CONTADO","CRÉDITO")</f>
        <v>DE CONTADO</v>
      </c>
      <c r="B385" s="38" t="b">
        <f>+IF((PROVEEDORES[[#This Row],[FECHA DE PAGO]]-PROVEEDORES[[#This Row],[FECHA DE FACTURACIÓN]])&gt;PROVEEDORES[[#This Row],[PLAZO Días]],"PAGO VENCIDO")</f>
        <v>0</v>
      </c>
      <c r="C385" s="20">
        <f>+VLOOKUP(PROVEEDORES[[#This Row],[PROVEEDOR]],TERCEROS_INFO[#All],2,FALSE)</f>
        <v>30</v>
      </c>
      <c r="D385" s="25">
        <f>+SUMIFS(PROVEEDORES[Total],PROVEEDORES[PROVEEDOR],PROVEEDORES[[#This Row],[PROVEEDOR]],PROVEEDORES[FECHA DE PAGO],"")</f>
        <v>0</v>
      </c>
      <c r="E385" s="25"/>
      <c r="F385" s="58" t="str">
        <f>+VLOOKUP(PROVEEDORES[[#This Row],[PROVEEDOR]],
                       Terceros!$A:$F,
                       5,
                       FALSE)</f>
        <v/>
      </c>
      <c r="G385" s="161">
        <v>44227</v>
      </c>
      <c r="H385" s="26" t="s">
        <v>644</v>
      </c>
      <c r="I385" s="161">
        <v>44227</v>
      </c>
      <c r="J385" s="35" t="s">
        <v>75</v>
      </c>
      <c r="K385" s="21">
        <v>224000</v>
      </c>
      <c r="L385" s="21"/>
      <c r="M385" s="22">
        <f>(PROVEEDORES[[#This Row],[SUBTOTAL]]-PROVEEDORES[[#This Row],[descuento sobre subtotal]])*VLOOKUP(PROVEEDORES[[#This Row],[PROVEEDOR]],TERCEROS_INFO[#All],3,FALSE)</f>
        <v>0</v>
      </c>
      <c r="N385" s="23"/>
      <c r="O385" s="22">
        <f>+PROVEEDORES[[#This Row],[Descuento sobre subtotal %]]*(PROVEEDORES[[#This Row],[SUBTOTAL]]-PROVEEDORES[[#This Row],[descuento sobre subtotal]])</f>
        <v>0</v>
      </c>
      <c r="P385" s="83">
        <f>+IF(PROVEEDORES[[#This Row],[SUBTOTAL]]&lt;PROVEEDORES[[#This Row],[base retencion]],0,PROVEEDORES[[#This Row],[retención aplicada]])</f>
        <v>0</v>
      </c>
      <c r="Q385" s="22">
        <f>+PROVEEDORES[[#This Row],[Rete Fuente %]]*(PROVEEDORES[[#This Row],[SUBTOTAL]]-PROVEEDORES[[#This Row],[descuento sobre subtotal]])</f>
        <v>0</v>
      </c>
      <c r="R385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3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68">
        <f ca="1">IF(PROVEEDORES[[#This Row],[FECHA DE PAGO]]=0,TODAY()-PROVEEDORES[[#This Row],[FECHA DE FACTURACIÓN]]-PROVEEDORES[[#This Row],[PLAZO Días]],0)</f>
        <v>0</v>
      </c>
      <c r="U385" s="96">
        <f>+VLOOKUP(PROVEEDORES[[#This Row],[PROVEEDOR]],Terceros!$A:$D,4,FALSE)</f>
        <v>0</v>
      </c>
      <c r="V385" s="97">
        <f>+YEAR(PROVEEDORES[[#This Row],[FECHA DE FACTURACIÓN]])</f>
        <v>2021</v>
      </c>
      <c r="W385" s="97">
        <f>+MATCH(PROVEEDORES[[#This Row],[año facturado]],Retenciones!$1:$1,0)</f>
        <v>4</v>
      </c>
      <c r="X385" s="98">
        <f>+VLOOKUP(PROVEEDORES[[#This Row],[ID RETENCION]],Retenciones!$A$1:$O$25,PROVEEDORES[[#This Row],[indicador de columna]],FALSE)</f>
        <v>0</v>
      </c>
      <c r="Y385" s="99">
        <f>+VLOOKUP(PROVEEDORES[[#This Row],[ID RETENCION]],Retenciones!$A$1:$O$25,2,FALSE)</f>
        <v>0</v>
      </c>
      <c r="Z385" s="125" t="b">
        <f>OR(COUNTIF(PROVEEDORES[[#This Row],[PROVEEDOR]],"*"&amp;'Palabra no opera'!$A$2&amp;"*"))</f>
        <v>0</v>
      </c>
      <c r="AA385" s="24"/>
      <c r="AB385" s="24"/>
      <c r="AC385" s="24"/>
      <c r="AD385" s="24"/>
      <c r="AE385" s="24"/>
    </row>
    <row r="386" spans="1:31" ht="22.2" customHeight="1" x14ac:dyDescent="0.3">
      <c r="A386" s="66" t="str">
        <f>+IF(PROVEEDORES[[#This Row],[FECHA DE PAGO]]=PROVEEDORES[[#This Row],[FECHA DE FACTURACIÓN]],"DE CONTADO","CRÉDITO")</f>
        <v>DE CONTADO</v>
      </c>
      <c r="B386" s="38" t="b">
        <f>+IF((PROVEEDORES[[#This Row],[FECHA DE PAGO]]-PROVEEDORES[[#This Row],[FECHA DE FACTURACIÓN]])&gt;PROVEEDORES[[#This Row],[PLAZO Días]],"PAGO VENCIDO")</f>
        <v>0</v>
      </c>
      <c r="C386" s="20">
        <f>+VLOOKUP(PROVEEDORES[[#This Row],[PROVEEDOR]],TERCEROS_INFO[#All],2,FALSE)</f>
        <v>30</v>
      </c>
      <c r="D386" s="25">
        <f>+SUMIFS(PROVEEDORES[Total],PROVEEDORES[PROVEEDOR],PROVEEDORES[[#This Row],[PROVEEDOR]],PROVEEDORES[FECHA DE PAGO],"")</f>
        <v>0</v>
      </c>
      <c r="E386" s="25"/>
      <c r="F386" s="58"/>
      <c r="G386" s="161">
        <v>44329</v>
      </c>
      <c r="H386" s="26" t="s">
        <v>628</v>
      </c>
      <c r="I386" s="161">
        <v>44329</v>
      </c>
      <c r="J386" s="35" t="s">
        <v>1224</v>
      </c>
      <c r="K386" s="21">
        <v>224000</v>
      </c>
      <c r="L386" s="21"/>
      <c r="M386" s="22">
        <f>(PROVEEDORES[[#This Row],[SUBTOTAL]]-PROVEEDORES[[#This Row],[descuento sobre subtotal]])*VLOOKUP(PROVEEDORES[[#This Row],[PROVEEDOR]],TERCEROS_INFO[#All],3,FALSE)</f>
        <v>0</v>
      </c>
      <c r="N386" s="23"/>
      <c r="O386" s="22">
        <f>+PROVEEDORES[[#This Row],[Descuento sobre subtotal %]]*(PROVEEDORES[[#This Row],[SUBTOTAL]]-PROVEEDORES[[#This Row],[descuento sobre subtotal]])</f>
        <v>0</v>
      </c>
      <c r="P386" s="83">
        <f>+IF(PROVEEDORES[[#This Row],[SUBTOTAL]]&lt;PROVEEDORES[[#This Row],[base retencion]],0,PROVEEDORES[[#This Row],[retención aplicada]])</f>
        <v>0</v>
      </c>
      <c r="Q386" s="22">
        <f>+PROVEEDORES[[#This Row],[Rete Fuente %]]*(PROVEEDORES[[#This Row],[SUBTOTAL]]-PROVEEDORES[[#This Row],[descuento sobre subtotal]])</f>
        <v>0</v>
      </c>
      <c r="R386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3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68">
        <f ca="1">IF(PROVEEDORES[[#This Row],[FECHA DE PAGO]]=0,TODAY()-PROVEEDORES[[#This Row],[FECHA DE FACTURACIÓN]]-PROVEEDORES[[#This Row],[PLAZO Días]],0)</f>
        <v>0</v>
      </c>
      <c r="U386" s="96">
        <f>+VLOOKUP(PROVEEDORES[[#This Row],[PROVEEDOR]],Terceros!$A:$D,4,FALSE)</f>
        <v>0</v>
      </c>
      <c r="V386" s="97">
        <f>+YEAR(PROVEEDORES[[#This Row],[FECHA DE FACTURACIÓN]])</f>
        <v>2021</v>
      </c>
      <c r="W386" s="97">
        <f>+MATCH(PROVEEDORES[[#This Row],[año facturado]],Retenciones!$1:$1,0)</f>
        <v>4</v>
      </c>
      <c r="X386" s="98">
        <f>+VLOOKUP(PROVEEDORES[[#This Row],[ID RETENCION]],Retenciones!$A$1:$O$25,PROVEEDORES[[#This Row],[indicador de columna]],FALSE)</f>
        <v>0</v>
      </c>
      <c r="Y386" s="99">
        <f>+VLOOKUP(PROVEEDORES[[#This Row],[ID RETENCION]],Retenciones!$A$1:$O$25,2,FALSE)</f>
        <v>0</v>
      </c>
      <c r="Z386" s="125" t="b">
        <f>OR(COUNTIF(PROVEEDORES[[#This Row],[PROVEEDOR]],"*"&amp;'Palabra no opera'!$A$2&amp;"*"))</f>
        <v>0</v>
      </c>
      <c r="AA386" s="24"/>
      <c r="AB386" s="24"/>
      <c r="AC386" s="24"/>
      <c r="AD386" s="24"/>
      <c r="AE386" s="24"/>
    </row>
    <row r="387" spans="1:31" ht="22.2" customHeight="1" x14ac:dyDescent="0.3">
      <c r="A387" s="185" t="str">
        <f>+IF(PROVEEDORES[[#This Row],[FECHA DE PAGO]]=PROVEEDORES[[#This Row],[FECHA DE FACTURACIÓN]],"DE CONTADO","CRÉDITO")</f>
        <v>CRÉDITO</v>
      </c>
      <c r="B387" s="38" t="str">
        <f>+IF((PROVEEDORES[[#This Row],[FECHA DE PAGO]]-PROVEEDORES[[#This Row],[FECHA DE FACTURACIÓN]])&gt;PROVEEDORES[[#This Row],[PLAZO Días]],"PAGO VENCIDO")</f>
        <v>PAGO VENCIDO</v>
      </c>
      <c r="C387" s="20">
        <f>+VLOOKUP(PROVEEDORES[[#This Row],[PROVEEDOR]],TERCEROS_INFO[#All],2,FALSE)</f>
        <v>60</v>
      </c>
      <c r="D387" s="25">
        <f>+SUMIFS(PROVEEDORES[Total],PROVEEDORES[PROVEEDOR],PROVEEDORES[[#This Row],[PROVEEDOR]],PROVEEDORES[FECHA DE PAGO],"")</f>
        <v>1520362</v>
      </c>
      <c r="E387" s="25"/>
      <c r="F387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87" s="161">
        <v>44761</v>
      </c>
      <c r="H387" s="26" t="s">
        <v>528</v>
      </c>
      <c r="I387" s="161">
        <v>44617</v>
      </c>
      <c r="J387" s="35" t="s">
        <v>1575</v>
      </c>
      <c r="K387" s="21">
        <v>225498</v>
      </c>
      <c r="L387" s="21"/>
      <c r="M387" s="22">
        <f>(PROVEEDORES[[#This Row],[SUBTOTAL]]-PROVEEDORES[[#This Row],[descuento sobre subtotal]])*VLOOKUP(PROVEEDORES[[#This Row],[PROVEEDOR]],TERCEROS_INFO[#All],3,FALSE)</f>
        <v>0</v>
      </c>
      <c r="N387" s="23"/>
      <c r="O387" s="22">
        <f>+PROVEEDORES[[#This Row],[Descuento sobre subtotal %]]*(PROVEEDORES[[#This Row],[SUBTOTAL]]-PROVEEDORES[[#This Row],[descuento sobre subtotal]])</f>
        <v>0</v>
      </c>
      <c r="P387" s="83">
        <f>+IF(PROVEEDORES[[#This Row],[SUBTOTAL]]&lt;PROVEEDORES[[#This Row],[base retencion]],0,PROVEEDORES[[#This Row],[retención aplicada]])</f>
        <v>0</v>
      </c>
      <c r="Q387" s="22">
        <f>+PROVEEDORES[[#This Row],[Rete Fuente %]]*(PROVEEDORES[[#This Row],[SUBTOTAL]]-PROVEEDORES[[#This Row],[descuento sobre subtotal]])</f>
        <v>0</v>
      </c>
      <c r="R387" s="21">
        <f>+PROVEEDORES[[#This Row],[SUBTOTAL]]+PROVEEDORES[[#This Row],[IVA 19%]]-PROVEEDORES[[#This Row],[descuento sobre subtotal]]-PROVEEDORES[[#This Row],[Descuento sobre subtotal $2]]-PROVEEDORES[[#This Row],[Rete Fuente $]]</f>
        <v>225498</v>
      </c>
      <c r="S387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68">
        <f ca="1">IF(PROVEEDORES[[#This Row],[FECHA DE PAGO]]=0,TODAY()-PROVEEDORES[[#This Row],[FECHA DE FACTURACIÓN]]-PROVEEDORES[[#This Row],[PLAZO Días]],0)</f>
        <v>0</v>
      </c>
      <c r="U387" s="113">
        <f>+VLOOKUP(PROVEEDORES[[#This Row],[PROVEEDOR]],Terceros!$A:$D,4,FALSE)</f>
        <v>0</v>
      </c>
      <c r="V387" s="114">
        <f>+YEAR(PROVEEDORES[[#This Row],[FECHA DE FACTURACIÓN]])</f>
        <v>2022</v>
      </c>
      <c r="W387" s="114">
        <f>+MATCH(PROVEEDORES[[#This Row],[año facturado]],Retenciones!$1:$1,0)</f>
        <v>5</v>
      </c>
      <c r="X387" s="115">
        <f>+VLOOKUP(PROVEEDORES[[#This Row],[ID RETENCION]],Retenciones!$A$1:$O$25,PROVEEDORES[[#This Row],[indicador de columna]],FALSE)</f>
        <v>0</v>
      </c>
      <c r="Y387" s="116">
        <f>+VLOOKUP(PROVEEDORES[[#This Row],[ID RETENCION]],Retenciones!$A$1:$O$25,2,FALSE)</f>
        <v>0</v>
      </c>
      <c r="Z387" s="125" t="b">
        <f>OR(COUNTIF(PROVEEDORES[[#This Row],[PROVEEDOR]],"*"&amp;'Palabra no opera'!$A$2&amp;"*"))</f>
        <v>0</v>
      </c>
      <c r="AA387" s="24"/>
      <c r="AB387" s="24"/>
      <c r="AC387" s="24"/>
      <c r="AD387" s="24"/>
      <c r="AE387" s="24"/>
    </row>
    <row r="388" spans="1:31" ht="22.2" customHeight="1" x14ac:dyDescent="0.3">
      <c r="A388" s="66" t="str">
        <f>+IF(PROVEEDORES[[#This Row],[FECHA DE PAGO]]=PROVEEDORES[[#This Row],[FECHA DE FACTURACIÓN]],"DE CONTADO","CRÉDITO")</f>
        <v>CRÉDITO</v>
      </c>
      <c r="B388" s="38" t="b">
        <f>+IF((PROVEEDORES[[#This Row],[FECHA DE PAGO]]-PROVEEDORES[[#This Row],[FECHA DE FACTURACIÓN]])&gt;PROVEEDORES[[#This Row],[PLAZO Días]],"PAGO VENCIDO")</f>
        <v>0</v>
      </c>
      <c r="C388" s="20">
        <f>+VLOOKUP(PROVEEDORES[[#This Row],[PROVEEDOR]],TERCEROS_INFO[#All],2,FALSE)</f>
        <v>30</v>
      </c>
      <c r="D388" s="25">
        <f>+SUMIFS(PROVEEDORES[Total],PROVEEDORES[PROVEEDOR],PROVEEDORES[[#This Row],[PROVEEDOR]],PROVEEDORES[FECHA DE PAGO],"")</f>
        <v>0</v>
      </c>
      <c r="E388" s="25"/>
      <c r="F388" s="58" t="str">
        <f>+VLOOKUP(PROVEEDORES[[#This Row],[PROVEEDOR]],
                       Terceros!$A:$F,
                       5,
                       FALSE)</f>
        <v/>
      </c>
      <c r="G388" s="161">
        <v>44466</v>
      </c>
      <c r="H388" s="26" t="s">
        <v>1130</v>
      </c>
      <c r="I388" s="161">
        <v>44448</v>
      </c>
      <c r="J388" s="35" t="s">
        <v>1303</v>
      </c>
      <c r="K388" s="21">
        <v>227900</v>
      </c>
      <c r="L388" s="21"/>
      <c r="M388" s="22">
        <f>(PROVEEDORES[[#This Row],[SUBTOTAL]]-PROVEEDORES[[#This Row],[descuento sobre subtotal]])*VLOOKUP(PROVEEDORES[[#This Row],[PROVEEDOR]],TERCEROS_INFO[#All],3,FALSE)</f>
        <v>0</v>
      </c>
      <c r="N388" s="23"/>
      <c r="O388" s="22">
        <f>+PROVEEDORES[[#This Row],[Descuento sobre subtotal %]]*(PROVEEDORES[[#This Row],[SUBTOTAL]]-PROVEEDORES[[#This Row],[descuento sobre subtotal]])</f>
        <v>0</v>
      </c>
      <c r="P388" s="83">
        <f>+IF(PROVEEDORES[[#This Row],[SUBTOTAL]]&lt;PROVEEDORES[[#This Row],[base retencion]],0,PROVEEDORES[[#This Row],[retención aplicada]])</f>
        <v>0</v>
      </c>
      <c r="Q388" s="22">
        <f>+PROVEEDORES[[#This Row],[Rete Fuente %]]*(PROVEEDORES[[#This Row],[SUBTOTAL]]-PROVEEDORES[[#This Row],[descuento sobre subtotal]])</f>
        <v>0</v>
      </c>
      <c r="R388" s="21">
        <f>+PROVEEDORES[[#This Row],[SUBTOTAL]]+PROVEEDORES[[#This Row],[IVA 19%]]-PROVEEDORES[[#This Row],[descuento sobre subtotal]]-PROVEEDORES[[#This Row],[Descuento sobre subtotal $2]]-PROVEEDORES[[#This Row],[Rete Fuente $]]</f>
        <v>227900</v>
      </c>
      <c r="S3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68">
        <f ca="1">IF(PROVEEDORES[[#This Row],[FECHA DE PAGO]]=0,TODAY()-PROVEEDORES[[#This Row],[FECHA DE FACTURACIÓN]]-PROVEEDORES[[#This Row],[PLAZO Días]],0)</f>
        <v>0</v>
      </c>
      <c r="U388" s="96">
        <f>+VLOOKUP(PROVEEDORES[[#This Row],[PROVEEDOR]],Terceros!$A:$D,4,FALSE)</f>
        <v>0</v>
      </c>
      <c r="V388" s="97">
        <f>+YEAR(PROVEEDORES[[#This Row],[FECHA DE FACTURACIÓN]])</f>
        <v>2021</v>
      </c>
      <c r="W388" s="97">
        <f>+MATCH(PROVEEDORES[[#This Row],[año facturado]],Retenciones!$1:$1,0)</f>
        <v>4</v>
      </c>
      <c r="X388" s="98">
        <f>+VLOOKUP(PROVEEDORES[[#This Row],[ID RETENCION]],Retenciones!$A$1:$O$25,PROVEEDORES[[#This Row],[indicador de columna]],FALSE)</f>
        <v>0</v>
      </c>
      <c r="Y388" s="99">
        <f>+VLOOKUP(PROVEEDORES[[#This Row],[ID RETENCION]],Retenciones!$A$1:$O$25,2,FALSE)</f>
        <v>0</v>
      </c>
      <c r="Z388" s="125" t="b">
        <f>OR(COUNTIF(PROVEEDORES[[#This Row],[PROVEEDOR]],"*"&amp;'Palabra no opera'!$A$2&amp;"*"))</f>
        <v>1</v>
      </c>
      <c r="AA388" s="24"/>
      <c r="AB388" s="24"/>
      <c r="AC388" s="24"/>
      <c r="AD388" s="24"/>
      <c r="AE388" s="24"/>
    </row>
    <row r="389" spans="1:31" ht="22.2" customHeight="1" x14ac:dyDescent="0.3">
      <c r="A389" s="66" t="str">
        <f>+IF(PROVEEDORES[[#This Row],[FECHA DE PAGO]]=PROVEEDORES[[#This Row],[FECHA DE FACTURACIÓN]],"DE CONTADO","CRÉDITO")</f>
        <v>DE CONTADO</v>
      </c>
      <c r="B389" s="38" t="b">
        <f>+IF((PROVEEDORES[[#This Row],[FECHA DE PAGO]]-PROVEEDORES[[#This Row],[FECHA DE FACTURACIÓN]])&gt;PROVEEDORES[[#This Row],[PLAZO Días]],"PAGO VENCIDO")</f>
        <v>0</v>
      </c>
      <c r="C389" s="20">
        <f>+VLOOKUP(PROVEEDORES[[#This Row],[PROVEEDOR]],TERCEROS_INFO[#All],2,FALSE)</f>
        <v>30</v>
      </c>
      <c r="D389" s="25">
        <f>+SUMIFS(PROVEEDORES[Total],PROVEEDORES[PROVEEDOR],PROVEEDORES[[#This Row],[PROVEEDOR]],PROVEEDORES[FECHA DE PAGO],"")</f>
        <v>0</v>
      </c>
      <c r="E389" s="25"/>
      <c r="F389" s="58" t="str">
        <f>+VLOOKUP(PROVEEDORES[[#This Row],[PROVEEDOR]],
                       Terceros!$A:$F,
                       5,
                       FALSE)</f>
        <v/>
      </c>
      <c r="G389" s="161">
        <v>44342</v>
      </c>
      <c r="H389" s="26" t="s">
        <v>683</v>
      </c>
      <c r="I389" s="161">
        <v>44342</v>
      </c>
      <c r="J389" s="35" t="s">
        <v>1236</v>
      </c>
      <c r="K389" s="21">
        <v>228000</v>
      </c>
      <c r="L389" s="21"/>
      <c r="M389" s="22">
        <f>(PROVEEDORES[[#This Row],[SUBTOTAL]]-PROVEEDORES[[#This Row],[descuento sobre subtotal]])*VLOOKUP(PROVEEDORES[[#This Row],[PROVEEDOR]],TERCEROS_INFO[#All],3,FALSE)</f>
        <v>0</v>
      </c>
      <c r="N389" s="23"/>
      <c r="O389" s="22">
        <f>+PROVEEDORES[[#This Row],[Descuento sobre subtotal %]]*(PROVEEDORES[[#This Row],[SUBTOTAL]]-PROVEEDORES[[#This Row],[descuento sobre subtotal]])</f>
        <v>0</v>
      </c>
      <c r="P389" s="83">
        <f>+IF(PROVEEDORES[[#This Row],[SUBTOTAL]]&lt;PROVEEDORES[[#This Row],[base retencion]],0,PROVEEDORES[[#This Row],[retención aplicada]])</f>
        <v>0</v>
      </c>
      <c r="Q389" s="22">
        <f>+PROVEEDORES[[#This Row],[Rete Fuente %]]*(PROVEEDORES[[#This Row],[SUBTOTAL]]-PROVEEDORES[[#This Row],[descuento sobre subtotal]])</f>
        <v>0</v>
      </c>
      <c r="R389" s="21">
        <f>+PROVEEDORES[[#This Row],[SUBTOTAL]]+PROVEEDORES[[#This Row],[IVA 19%]]-PROVEEDORES[[#This Row],[descuento sobre subtotal]]-PROVEEDORES[[#This Row],[Descuento sobre subtotal $2]]-PROVEEDORES[[#This Row],[Rete Fuente $]]</f>
        <v>228000</v>
      </c>
      <c r="S3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68">
        <f ca="1">IF(PROVEEDORES[[#This Row],[FECHA DE PAGO]]=0,TODAY()-PROVEEDORES[[#This Row],[FECHA DE FACTURACIÓN]]-PROVEEDORES[[#This Row],[PLAZO Días]],0)</f>
        <v>0</v>
      </c>
      <c r="U389" s="96">
        <f>+VLOOKUP(PROVEEDORES[[#This Row],[PROVEEDOR]],Terceros!$A:$D,4,FALSE)</f>
        <v>0</v>
      </c>
      <c r="V389" s="97">
        <f>+YEAR(PROVEEDORES[[#This Row],[FECHA DE FACTURACIÓN]])</f>
        <v>2021</v>
      </c>
      <c r="W389" s="97">
        <f>+MATCH(PROVEEDORES[[#This Row],[año facturado]],Retenciones!$1:$1,0)</f>
        <v>4</v>
      </c>
      <c r="X389" s="98">
        <f>+VLOOKUP(PROVEEDORES[[#This Row],[ID RETENCION]],Retenciones!$A$1:$O$25,PROVEEDORES[[#This Row],[indicador de columna]],FALSE)</f>
        <v>0</v>
      </c>
      <c r="Y389" s="99">
        <f>+VLOOKUP(PROVEEDORES[[#This Row],[ID RETENCION]],Retenciones!$A$1:$O$25,2,FALSE)</f>
        <v>0</v>
      </c>
      <c r="Z389" s="125" t="b">
        <f>OR(COUNTIF(PROVEEDORES[[#This Row],[PROVEEDOR]],"*"&amp;'Palabra no opera'!$A$2&amp;"*"))</f>
        <v>0</v>
      </c>
      <c r="AA389" s="24"/>
      <c r="AB389" s="24"/>
      <c r="AC389" s="24"/>
      <c r="AD389" s="24"/>
      <c r="AE389" s="24"/>
    </row>
    <row r="390" spans="1:31" ht="22.2" customHeight="1" x14ac:dyDescent="0.3">
      <c r="A390" s="66" t="str">
        <f>+IF(PROVEEDORES[[#This Row],[FECHA DE PAGO]]=PROVEEDORES[[#This Row],[FECHA DE FACTURACIÓN]],"DE CONTADO","CRÉDITO")</f>
        <v>CRÉDITO</v>
      </c>
      <c r="B390" s="38" t="b">
        <f>+IF((PROVEEDORES[[#This Row],[FECHA DE PAGO]]-PROVEEDORES[[#This Row],[FECHA DE FACTURACIÓN]])&gt;PROVEEDORES[[#This Row],[PLAZO Días]],"PAGO VENCIDO")</f>
        <v>0</v>
      </c>
      <c r="C390" s="20">
        <f>+VLOOKUP(PROVEEDORES[[#This Row],[PROVEEDOR]],TERCEROS_INFO[#All],2,FALSE)</f>
        <v>30</v>
      </c>
      <c r="D390" s="25">
        <f>+SUMIFS(PROVEEDORES[Total],PROVEEDORES[PROVEEDOR],PROVEEDORES[[#This Row],[PROVEEDOR]],PROVEEDORES[FECHA DE PAGO],"")</f>
        <v>0</v>
      </c>
      <c r="E390" s="25"/>
      <c r="F390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390" s="161">
        <v>44433</v>
      </c>
      <c r="H390" s="26" t="s">
        <v>34</v>
      </c>
      <c r="I390" s="161">
        <v>44406</v>
      </c>
      <c r="J390" s="35">
        <v>2174</v>
      </c>
      <c r="K390" s="21">
        <v>193122</v>
      </c>
      <c r="L390" s="21"/>
      <c r="M390" s="22">
        <f>(PROVEEDORES[[#This Row],[SUBTOTAL]]-PROVEEDORES[[#This Row],[descuento sobre subtotal]])*VLOOKUP(PROVEEDORES[[#This Row],[PROVEEDOR]],TERCEROS_INFO[#All],3,FALSE)</f>
        <v>36693.18</v>
      </c>
      <c r="N390" s="23"/>
      <c r="O390" s="22">
        <f>+PROVEEDORES[[#This Row],[Descuento sobre subtotal %]]*(PROVEEDORES[[#This Row],[SUBTOTAL]]-PROVEEDORES[[#This Row],[descuento sobre subtotal]])</f>
        <v>0</v>
      </c>
      <c r="P390" s="83">
        <f>+IF(PROVEEDORES[[#This Row],[SUBTOTAL]]&lt;PROVEEDORES[[#This Row],[base retencion]],0,PROVEEDORES[[#This Row],[retención aplicada]])</f>
        <v>0</v>
      </c>
      <c r="Q390" s="22">
        <f>+PROVEEDORES[[#This Row],[Rete Fuente %]]*(PROVEEDORES[[#This Row],[SUBTOTAL]]-PROVEEDORES[[#This Row],[descuento sobre subtotal]])</f>
        <v>0</v>
      </c>
      <c r="R390" s="21">
        <f>+PROVEEDORES[[#This Row],[SUBTOTAL]]+PROVEEDORES[[#This Row],[IVA 19%]]-PROVEEDORES[[#This Row],[descuento sobre subtotal]]-PROVEEDORES[[#This Row],[Descuento sobre subtotal $2]]-PROVEEDORES[[#This Row],[Rete Fuente $]]</f>
        <v>229815.18</v>
      </c>
      <c r="S3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68">
        <f ca="1">IF(PROVEEDORES[[#This Row],[FECHA DE PAGO]]=0,TODAY()-PROVEEDORES[[#This Row],[FECHA DE FACTURACIÓN]]-PROVEEDORES[[#This Row],[PLAZO Días]],0)</f>
        <v>0</v>
      </c>
      <c r="U390" s="96" t="str">
        <f>+VLOOKUP(PROVEEDORES[[#This Row],[PROVEEDOR]],Terceros!$A:$D,4,FALSE)</f>
        <v>2,5% con base</v>
      </c>
      <c r="V390" s="97">
        <f>+YEAR(PROVEEDORES[[#This Row],[FECHA DE FACTURACIÓN]])</f>
        <v>2021</v>
      </c>
      <c r="W390" s="97">
        <f>+MATCH(PROVEEDORES[[#This Row],[año facturado]],Retenciones!$1:$1,0)</f>
        <v>4</v>
      </c>
      <c r="X390" s="98">
        <f>+VLOOKUP(PROVEEDORES[[#This Row],[ID RETENCION]],Retenciones!$A$1:$O$25,PROVEEDORES[[#This Row],[indicador de columna]],FALSE)</f>
        <v>980000</v>
      </c>
      <c r="Y390" s="99">
        <f>+VLOOKUP(PROVEEDORES[[#This Row],[ID RETENCION]],Retenciones!$A$1:$O$25,2,FALSE)</f>
        <v>2.5000000000000001E-2</v>
      </c>
      <c r="Z390" s="125" t="b">
        <f>OR(COUNTIF(PROVEEDORES[[#This Row],[PROVEEDOR]],"*"&amp;'Palabra no opera'!$A$2&amp;"*"))</f>
        <v>0</v>
      </c>
      <c r="AA390" s="24"/>
      <c r="AB390" s="24"/>
      <c r="AC390" s="24"/>
      <c r="AD390" s="24"/>
      <c r="AE390" s="24"/>
    </row>
    <row r="391" spans="1:31" ht="22.2" customHeight="1" x14ac:dyDescent="0.3">
      <c r="A391" s="72" t="str">
        <f>+IF(PROVEEDORES[[#This Row],[FECHA DE PAGO]]=PROVEEDORES[[#This Row],[FECHA DE FACTURACIÓN]],"DE CONTADO","CRÉDITO")</f>
        <v>CRÉDITO</v>
      </c>
      <c r="B391" s="38" t="b">
        <f>+IF((PROVEEDORES[[#This Row],[FECHA DE PAGO]]-PROVEEDORES[[#This Row],[FECHA DE FACTURACIÓN]])&gt;PROVEEDORES[[#This Row],[PLAZO Días]],"PAGO VENCIDO")</f>
        <v>0</v>
      </c>
      <c r="C391" s="20">
        <f>+VLOOKUP(PROVEEDORES[[#This Row],[PROVEEDOR]],TERCEROS_INFO[#All],2,FALSE)</f>
        <v>30</v>
      </c>
      <c r="D391" s="25">
        <f>+SUMIFS(PROVEEDORES[Total],PROVEEDORES[PROVEEDOR],PROVEEDORES[[#This Row],[PROVEEDOR]],PROVEEDORES[FECHA DE PAGO],"")</f>
        <v>430000</v>
      </c>
      <c r="E391" s="25"/>
      <c r="F391" s="58" t="str">
        <f>+VLOOKUP(PROVEEDORES[[#This Row],[PROVEEDOR]],
                       Terceros!$A:$F,
                       5,
                       FALSE)</f>
        <v/>
      </c>
      <c r="H391" s="26" t="s">
        <v>695</v>
      </c>
      <c r="I391" s="161">
        <v>44797</v>
      </c>
      <c r="J391" s="35">
        <v>15</v>
      </c>
      <c r="K391" s="21">
        <v>230000</v>
      </c>
      <c r="L391" s="21"/>
      <c r="M391" s="22">
        <f>(PROVEEDORES[[#This Row],[SUBTOTAL]]-PROVEEDORES[[#This Row],[descuento sobre subtotal]])*VLOOKUP(PROVEEDORES[[#This Row],[PROVEEDOR]],TERCEROS_INFO[#All],3,FALSE)</f>
        <v>0</v>
      </c>
      <c r="N391" s="23"/>
      <c r="O391" s="22">
        <f>+PROVEEDORES[[#This Row],[Descuento sobre subtotal %]]*(PROVEEDORES[[#This Row],[SUBTOTAL]]-PROVEEDORES[[#This Row],[descuento sobre subtotal]])</f>
        <v>0</v>
      </c>
      <c r="P391" s="83">
        <f>+IF(PROVEEDORES[[#This Row],[SUBTOTAL]]&lt;PROVEEDORES[[#This Row],[base retencion]],0,PROVEEDORES[[#This Row],[retención aplicada]])</f>
        <v>0</v>
      </c>
      <c r="Q391" s="22">
        <f>+PROVEEDORES[[#This Row],[Rete Fuente %]]*(PROVEEDORES[[#This Row],[SUBTOTAL]]-PROVEEDORES[[#This Row],[descuento sobre subtotal]])</f>
        <v>0</v>
      </c>
      <c r="R391" s="21">
        <f>+PROVEEDORES[[#This Row],[SUBTOTAL]]+PROVEEDORES[[#This Row],[IVA 19%]]-PROVEEDORES[[#This Row],[descuento sobre subtotal]]-PROVEEDORES[[#This Row],[Descuento sobre subtotal $2]]-PROVEEDORES[[#This Row],[Rete Fuente $]]</f>
        <v>230000</v>
      </c>
      <c r="S391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391" s="68">
        <f ca="1">IF(PROVEEDORES[[#This Row],[FECHA DE PAGO]]=0,TODAY()-PROVEEDORES[[#This Row],[FECHA DE FACTURACIÓN]]-PROVEEDORES[[#This Row],[PLAZO Días]],0)</f>
        <v>48</v>
      </c>
      <c r="U391" s="113">
        <f>+VLOOKUP(PROVEEDORES[[#This Row],[PROVEEDOR]],Terceros!$A:$D,4,FALSE)</f>
        <v>0</v>
      </c>
      <c r="V391" s="114">
        <f>+YEAR(PROVEEDORES[[#This Row],[FECHA DE FACTURACIÓN]])</f>
        <v>2022</v>
      </c>
      <c r="W391" s="114">
        <f>+MATCH(PROVEEDORES[[#This Row],[año facturado]],Retenciones!$1:$1,0)</f>
        <v>5</v>
      </c>
      <c r="X391" s="115">
        <f>+VLOOKUP(PROVEEDORES[[#This Row],[ID RETENCION]],Retenciones!$A$1:$O$25,PROVEEDORES[[#This Row],[indicador de columna]],FALSE)</f>
        <v>0</v>
      </c>
      <c r="Y391" s="116">
        <f>+VLOOKUP(PROVEEDORES[[#This Row],[ID RETENCION]],Retenciones!$A$1:$O$25,2,FALSE)</f>
        <v>0</v>
      </c>
      <c r="Z391" s="125" t="b">
        <f>OR(COUNTIF(PROVEEDORES[[#This Row],[PROVEEDOR]],"*"&amp;'Palabra no opera'!$A$2&amp;"*"))</f>
        <v>0</v>
      </c>
      <c r="AA391" s="24"/>
      <c r="AB391" s="24"/>
      <c r="AC391" s="24"/>
      <c r="AD391" s="24"/>
      <c r="AE391" s="24"/>
    </row>
    <row r="392" spans="1:31" ht="22.2" customHeight="1" x14ac:dyDescent="0.3">
      <c r="A392" s="66" t="str">
        <f>+IF(PROVEEDORES[[#This Row],[FECHA DE PAGO]]=PROVEEDORES[[#This Row],[FECHA DE FACTURACIÓN]],"DE CONTADO","CRÉDITO")</f>
        <v>CRÉDITO</v>
      </c>
      <c r="B392" s="38" t="b">
        <f>+IF((PROVEEDORES[[#This Row],[FECHA DE PAGO]]-PROVEEDORES[[#This Row],[FECHA DE FACTURACIÓN]])&gt;PROVEEDORES[[#This Row],[PLAZO Días]],"PAGO VENCIDO")</f>
        <v>0</v>
      </c>
      <c r="C392" s="20">
        <f>+VLOOKUP(PROVEEDORES[[#This Row],[PROVEEDOR]],TERCEROS_INFO[#All],2,FALSE)</f>
        <v>10</v>
      </c>
      <c r="D392" s="25">
        <f>+SUMIFS(PROVEEDORES[Total],PROVEEDORES[PROVEEDOR],PROVEEDORES[[#This Row],[PROVEEDOR]],PROVEEDORES[FECHA DE PAGO],"")</f>
        <v>0</v>
      </c>
      <c r="E392" s="25"/>
      <c r="F392" s="58" t="str">
        <f>+VLOOKUP(PROVEEDORES[[#This Row],[PROVEEDOR]],
                       Terceros!$A:$F,
                       5,
                       FALSE)</f>
        <v>carterabogota@aintercarga.com;girlesa.ruiz@servipilas.com;joriescobar64@gmail.com</v>
      </c>
      <c r="G392" s="161">
        <v>44426</v>
      </c>
      <c r="H392" s="26" t="s">
        <v>420</v>
      </c>
      <c r="I392" s="161">
        <v>44421</v>
      </c>
      <c r="J392" s="35" t="s">
        <v>421</v>
      </c>
      <c r="K392" s="21">
        <v>195000</v>
      </c>
      <c r="L392" s="21"/>
      <c r="M392" s="22">
        <f>(PROVEEDORES[[#This Row],[SUBTOTAL]]-PROVEEDORES[[#This Row],[descuento sobre subtotal]])*VLOOKUP(PROVEEDORES[[#This Row],[PROVEEDOR]],TERCEROS_INFO[#All],3,FALSE)</f>
        <v>37050</v>
      </c>
      <c r="N392" s="23"/>
      <c r="O392" s="22">
        <f>+PROVEEDORES[[#This Row],[Descuento sobre subtotal %]]*(PROVEEDORES[[#This Row],[SUBTOTAL]]-PROVEEDORES[[#This Row],[descuento sobre subtotal]])</f>
        <v>0</v>
      </c>
      <c r="P392" s="83">
        <f>+IF(PROVEEDORES[[#This Row],[SUBTOTAL]]&lt;PROVEEDORES[[#This Row],[base retencion]],0,PROVEEDORES[[#This Row],[retención aplicada]])</f>
        <v>0</v>
      </c>
      <c r="Q392" s="22">
        <f>+PROVEEDORES[[#This Row],[Rete Fuente %]]*(PROVEEDORES[[#This Row],[SUBTOTAL]]-PROVEEDORES[[#This Row],[descuento sobre subtotal]])</f>
        <v>0</v>
      </c>
      <c r="R392" s="21">
        <f>+PROVEEDORES[[#This Row],[SUBTOTAL]]+PROVEEDORES[[#This Row],[IVA 19%]]-PROVEEDORES[[#This Row],[descuento sobre subtotal]]-PROVEEDORES[[#This Row],[Descuento sobre subtotal $2]]-PROVEEDORES[[#This Row],[Rete Fuente $]]</f>
        <v>232050</v>
      </c>
      <c r="S3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68">
        <f ca="1">IF(PROVEEDORES[[#This Row],[FECHA DE PAGO]]=0,TODAY()-PROVEEDORES[[#This Row],[FECHA DE FACTURACIÓN]]-PROVEEDORES[[#This Row],[PLAZO Días]],0)</f>
        <v>0</v>
      </c>
      <c r="U392" s="96" t="str">
        <f>+VLOOKUP(PROVEEDORES[[#This Row],[PROVEEDOR]],Terceros!$A:$D,4,FALSE)</f>
        <v>2,5% con base</v>
      </c>
      <c r="V392" s="97">
        <f>+YEAR(PROVEEDORES[[#This Row],[FECHA DE FACTURACIÓN]])</f>
        <v>2021</v>
      </c>
      <c r="W392" s="97">
        <f>+MATCH(PROVEEDORES[[#This Row],[año facturado]],Retenciones!$1:$1,0)</f>
        <v>4</v>
      </c>
      <c r="X392" s="98">
        <f>+VLOOKUP(PROVEEDORES[[#This Row],[ID RETENCION]],Retenciones!$A$1:$O$25,PROVEEDORES[[#This Row],[indicador de columna]],FALSE)</f>
        <v>980000</v>
      </c>
      <c r="Y392" s="99">
        <f>+VLOOKUP(PROVEEDORES[[#This Row],[ID RETENCION]],Retenciones!$A$1:$O$25,2,FALSE)</f>
        <v>2.5000000000000001E-2</v>
      </c>
      <c r="Z392" s="125" t="b">
        <f>OR(COUNTIF(PROVEEDORES[[#This Row],[PROVEEDOR]],"*"&amp;'Palabra no opera'!$A$2&amp;"*"))</f>
        <v>0</v>
      </c>
      <c r="AA392" s="24"/>
      <c r="AB392" s="24"/>
      <c r="AC392" s="24"/>
      <c r="AD392" s="24"/>
      <c r="AE392" s="24"/>
    </row>
    <row r="393" spans="1:31" ht="22.2" customHeight="1" x14ac:dyDescent="0.3">
      <c r="A393" s="135" t="str">
        <f>+IF(PROVEEDORES[[#This Row],[FECHA DE PAGO]]=PROVEEDORES[[#This Row],[FECHA DE FACTURACIÓN]],"DE CONTADO","CRÉDITO")</f>
        <v>CRÉDITO</v>
      </c>
      <c r="B393" s="38" t="str">
        <f>+IF((PROVEEDORES[[#This Row],[FECHA DE PAGO]]-PROVEEDORES[[#This Row],[FECHA DE FACTURACIÓN]])&gt;PROVEEDORES[[#This Row],[PLAZO Días]],"PAGO VENCIDO")</f>
        <v>PAGO VENCIDO</v>
      </c>
      <c r="C393" s="20">
        <f>+VLOOKUP(PROVEEDORES[[#This Row],[PROVEEDOR]],TERCEROS_INFO[#All],2,FALSE)</f>
        <v>30</v>
      </c>
      <c r="D393" s="25">
        <f>+SUMIFS(PROVEEDORES[Total],PROVEEDORES[PROVEEDOR],PROVEEDORES[[#This Row],[PROVEEDOR]],PROVEEDORES[FECHA DE PAGO],"")</f>
        <v>0</v>
      </c>
      <c r="E393" s="25"/>
      <c r="F39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93" s="161">
        <v>44725</v>
      </c>
      <c r="H393" s="26" t="s">
        <v>691</v>
      </c>
      <c r="I393" s="161">
        <v>44684</v>
      </c>
      <c r="J393" s="35" t="s">
        <v>1442</v>
      </c>
      <c r="K393" s="21">
        <v>233700</v>
      </c>
      <c r="L393" s="21"/>
      <c r="M393" s="22">
        <f>(PROVEEDORES[[#This Row],[SUBTOTAL]]-PROVEEDORES[[#This Row],[descuento sobre subtotal]])*VLOOKUP(PROVEEDORES[[#This Row],[PROVEEDOR]],TERCEROS_INFO[#All],3,FALSE)</f>
        <v>0</v>
      </c>
      <c r="N393" s="23"/>
      <c r="O393" s="22">
        <f>+PROVEEDORES[[#This Row],[Descuento sobre subtotal %]]*(PROVEEDORES[[#This Row],[SUBTOTAL]]-PROVEEDORES[[#This Row],[descuento sobre subtotal]])</f>
        <v>0</v>
      </c>
      <c r="P393" s="83">
        <f>+IF(PROVEEDORES[[#This Row],[SUBTOTAL]]&lt;PROVEEDORES[[#This Row],[base retencion]],0,PROVEEDORES[[#This Row],[retención aplicada]])</f>
        <v>0</v>
      </c>
      <c r="Q393" s="22">
        <f>+PROVEEDORES[[#This Row],[Rete Fuente %]]*(PROVEEDORES[[#This Row],[SUBTOTAL]]-PROVEEDORES[[#This Row],[descuento sobre subtotal]])</f>
        <v>0</v>
      </c>
      <c r="R393" s="21">
        <f>+PROVEEDORES[[#This Row],[SUBTOTAL]]+PROVEEDORES[[#This Row],[IVA 19%]]-PROVEEDORES[[#This Row],[descuento sobre subtotal]]-PROVEEDORES[[#This Row],[Descuento sobre subtotal $2]]-PROVEEDORES[[#This Row],[Rete Fuente $]]</f>
        <v>233700</v>
      </c>
      <c r="S393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68">
        <f ca="1">IF(PROVEEDORES[[#This Row],[FECHA DE PAGO]]=0,TODAY()-PROVEEDORES[[#This Row],[FECHA DE FACTURACIÓN]]-PROVEEDORES[[#This Row],[PLAZO Días]],0)</f>
        <v>0</v>
      </c>
      <c r="U393" s="113">
        <f>+VLOOKUP(PROVEEDORES[[#This Row],[PROVEEDOR]],Terceros!$A:$D,4,FALSE)</f>
        <v>0</v>
      </c>
      <c r="V393" s="114">
        <f>+YEAR(PROVEEDORES[[#This Row],[FECHA DE FACTURACIÓN]])</f>
        <v>2022</v>
      </c>
      <c r="W393" s="114">
        <f>+MATCH(PROVEEDORES[[#This Row],[año facturado]],Retenciones!$1:$1,0)</f>
        <v>5</v>
      </c>
      <c r="X393" s="115">
        <f>+VLOOKUP(PROVEEDORES[[#This Row],[ID RETENCION]],Retenciones!$A$1:$O$25,PROVEEDORES[[#This Row],[indicador de columna]],FALSE)</f>
        <v>0</v>
      </c>
      <c r="Y393" s="116">
        <f>+VLOOKUP(PROVEEDORES[[#This Row],[ID RETENCION]],Retenciones!$A$1:$O$25,2,FALSE)</f>
        <v>0</v>
      </c>
      <c r="Z393" s="125" t="b">
        <f>OR(COUNTIF(PROVEEDORES[[#This Row],[PROVEEDOR]],"*"&amp;'Palabra no opera'!$A$2&amp;"*"))</f>
        <v>0</v>
      </c>
      <c r="AA393" s="24"/>
      <c r="AB393" s="24"/>
      <c r="AC393" s="24"/>
      <c r="AD393" s="24"/>
      <c r="AE393" s="24"/>
    </row>
    <row r="394" spans="1:31" ht="22.2" customHeight="1" x14ac:dyDescent="0.3">
      <c r="A394" s="66" t="str">
        <f>+IF(PROVEEDORES[[#This Row],[FECHA DE PAGO]]=PROVEEDORES[[#This Row],[FECHA DE FACTURACIÓN]],"DE CONTADO","CRÉDITO")</f>
        <v>CRÉDITO</v>
      </c>
      <c r="B394" s="38" t="str">
        <f>+IF((PROVEEDORES[[#This Row],[FECHA DE PAGO]]-PROVEEDORES[[#This Row],[FECHA DE FACTURACIÓN]])&gt;PROVEEDORES[[#This Row],[PLAZO Días]],"PAGO VENCIDO")</f>
        <v>PAGO VENCIDO</v>
      </c>
      <c r="C394" s="20">
        <f>+VLOOKUP(PROVEEDORES[[#This Row],[PROVEEDOR]],TERCEROS_INFO[#All],2,FALSE)</f>
        <v>60</v>
      </c>
      <c r="D394" s="25">
        <f>+SUMIFS(PROVEEDORES[Total],PROVEEDORES[PROVEEDOR],PROVEEDORES[[#This Row],[PROVEEDOR]],PROVEEDORES[FECHA DE PAGO],"")</f>
        <v>1520362</v>
      </c>
      <c r="E394" s="25"/>
      <c r="F39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94" s="161">
        <v>44586</v>
      </c>
      <c r="H394" s="26" t="s">
        <v>528</v>
      </c>
      <c r="I394" s="161">
        <v>44501</v>
      </c>
      <c r="J394" s="35" t="s">
        <v>1515</v>
      </c>
      <c r="K394" s="21">
        <v>235200</v>
      </c>
      <c r="L394" s="21"/>
      <c r="M394" s="22">
        <v>0</v>
      </c>
      <c r="N394" s="23"/>
      <c r="O394" s="22">
        <v>0</v>
      </c>
      <c r="P394" s="83">
        <f>+IF(PROVEEDORES[[#This Row],[SUBTOTAL]]&lt;PROVEEDORES[[#This Row],[base retencion]],0,PROVEEDORES[[#This Row],[retención aplicada]])</f>
        <v>0</v>
      </c>
      <c r="Q394" s="22">
        <f>+PROVEEDORES[[#This Row],[Rete Fuente %]]*(PROVEEDORES[[#This Row],[SUBTOTAL]]-PROVEEDORES[[#This Row],[descuento sobre subtotal]])</f>
        <v>0</v>
      </c>
      <c r="R394" s="21">
        <v>235200</v>
      </c>
      <c r="S3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68">
        <f ca="1">IF(PROVEEDORES[[#This Row],[FECHA DE PAGO]]=0,TODAY()-PROVEEDORES[[#This Row],[FECHA DE FACTURACIÓN]]-PROVEEDORES[[#This Row],[PLAZO Días]],0)</f>
        <v>0</v>
      </c>
      <c r="U394" s="96">
        <f>+VLOOKUP(PROVEEDORES[[#This Row],[PROVEEDOR]],Terceros!$A:$D,4,FALSE)</f>
        <v>0</v>
      </c>
      <c r="V394" s="97">
        <f>+YEAR(PROVEEDORES[[#This Row],[FECHA DE FACTURACIÓN]])</f>
        <v>2021</v>
      </c>
      <c r="W394" s="97">
        <f>+MATCH(PROVEEDORES[[#This Row],[año facturado]],Retenciones!$1:$1,0)</f>
        <v>4</v>
      </c>
      <c r="X394" s="98">
        <f>+VLOOKUP(PROVEEDORES[[#This Row],[ID RETENCION]],Retenciones!$A$1:$O$25,PROVEEDORES[[#This Row],[indicador de columna]],FALSE)</f>
        <v>0</v>
      </c>
      <c r="Y394" s="99">
        <f>+VLOOKUP(PROVEEDORES[[#This Row],[ID RETENCION]],Retenciones!$A$1:$O$25,2,FALSE)</f>
        <v>0</v>
      </c>
      <c r="Z394" s="125" t="b">
        <f>OR(COUNTIF(PROVEEDORES[[#This Row],[PROVEEDOR]],"*"&amp;'Palabra no opera'!$A$2&amp;"*"))</f>
        <v>0</v>
      </c>
      <c r="AA394" s="24"/>
      <c r="AB394" s="24"/>
      <c r="AC394" s="24"/>
      <c r="AD394" s="24"/>
      <c r="AE394" s="24"/>
    </row>
    <row r="395" spans="1:31" ht="22.2" customHeight="1" x14ac:dyDescent="0.3">
      <c r="A395" s="66" t="str">
        <f>+IF(PROVEEDORES[[#This Row],[FECHA DE PAGO]]=PROVEEDORES[[#This Row],[FECHA DE FACTURACIÓN]],"DE CONTADO","CRÉDITO")</f>
        <v>CRÉDITO</v>
      </c>
      <c r="B395" s="38" t="str">
        <f>+IF((PROVEEDORES[[#This Row],[FECHA DE PAGO]]-PROVEEDORES[[#This Row],[FECHA DE FACTURACIÓN]])&gt;PROVEEDORES[[#This Row],[PLAZO Días]],"PAGO VENCIDO")</f>
        <v>PAGO VENCIDO</v>
      </c>
      <c r="C395" s="20">
        <f>+VLOOKUP(PROVEEDORES[[#This Row],[PROVEEDOR]],TERCEROS_INFO[#All],2,FALSE)</f>
        <v>60</v>
      </c>
      <c r="D395" s="25">
        <f>+SUMIFS(PROVEEDORES[Total],PROVEEDORES[PROVEEDOR],PROVEEDORES[[#This Row],[PROVEEDOR]],PROVEEDORES[FECHA DE PAGO],"")</f>
        <v>1520362</v>
      </c>
      <c r="E395" s="25"/>
      <c r="F39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95" s="161">
        <v>44623</v>
      </c>
      <c r="H395" s="26" t="s">
        <v>528</v>
      </c>
      <c r="I395" s="161">
        <v>44557</v>
      </c>
      <c r="J395" s="35">
        <v>1293</v>
      </c>
      <c r="K395" s="21">
        <v>235200</v>
      </c>
      <c r="L395" s="21"/>
      <c r="M395" s="22">
        <v>0</v>
      </c>
      <c r="N395" s="23"/>
      <c r="O395" s="22">
        <v>0</v>
      </c>
      <c r="P395" s="83">
        <f>+IF(PROVEEDORES[[#This Row],[SUBTOTAL]]&lt;PROVEEDORES[[#This Row],[base retencion]],0,PROVEEDORES[[#This Row],[retención aplicada]])</f>
        <v>0</v>
      </c>
      <c r="Q395" s="22">
        <f>+PROVEEDORES[[#This Row],[Rete Fuente %]]*(PROVEEDORES[[#This Row],[SUBTOTAL]]-PROVEEDORES[[#This Row],[descuento sobre subtotal]])</f>
        <v>0</v>
      </c>
      <c r="R395" s="21">
        <v>235200</v>
      </c>
      <c r="S3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68">
        <f ca="1">IF(PROVEEDORES[[#This Row],[FECHA DE PAGO]]=0,TODAY()-PROVEEDORES[[#This Row],[FECHA DE FACTURACIÓN]]-PROVEEDORES[[#This Row],[PLAZO Días]],0)</f>
        <v>0</v>
      </c>
      <c r="U395" s="96">
        <f>+VLOOKUP(PROVEEDORES[[#This Row],[PROVEEDOR]],Terceros!$A:$D,4,FALSE)</f>
        <v>0</v>
      </c>
      <c r="V395" s="97">
        <f>+YEAR(PROVEEDORES[[#This Row],[FECHA DE FACTURACIÓN]])</f>
        <v>2021</v>
      </c>
      <c r="W395" s="97">
        <f>+MATCH(PROVEEDORES[[#This Row],[año facturado]],Retenciones!$1:$1,0)</f>
        <v>4</v>
      </c>
      <c r="X395" s="98">
        <f>+VLOOKUP(PROVEEDORES[[#This Row],[ID RETENCION]],Retenciones!$A$1:$O$25,PROVEEDORES[[#This Row],[indicador de columna]],FALSE)</f>
        <v>0</v>
      </c>
      <c r="Y395" s="99">
        <f>+VLOOKUP(PROVEEDORES[[#This Row],[ID RETENCION]],Retenciones!$A$1:$O$25,2,FALSE)</f>
        <v>0</v>
      </c>
      <c r="Z395" s="125" t="b">
        <f>OR(COUNTIF(PROVEEDORES[[#This Row],[PROVEEDOR]],"*"&amp;'Palabra no opera'!$A$2&amp;"*"))</f>
        <v>0</v>
      </c>
      <c r="AA395" s="24"/>
      <c r="AB395" s="24"/>
      <c r="AC395" s="24"/>
      <c r="AD395" s="24"/>
      <c r="AE395" s="24"/>
    </row>
    <row r="396" spans="1:31" ht="22.2" customHeight="1" x14ac:dyDescent="0.3">
      <c r="A396" s="66" t="str">
        <f>+IF(PROVEEDORES[[#This Row],[FECHA DE PAGO]]=PROVEEDORES[[#This Row],[FECHA DE FACTURACIÓN]],"DE CONTADO","CRÉDITO")</f>
        <v>CRÉDITO</v>
      </c>
      <c r="B396" s="38" t="b">
        <f>+IF((PROVEEDORES[[#This Row],[FECHA DE PAGO]]-PROVEEDORES[[#This Row],[FECHA DE FACTURACIÓN]])&gt;PROVEEDORES[[#This Row],[PLAZO Días]],"PAGO VENCIDO")</f>
        <v>0</v>
      </c>
      <c r="C396" s="20">
        <f>+VLOOKUP(PROVEEDORES[[#This Row],[PROVEEDOR]],TERCEROS_INFO[#All],2,FALSE)</f>
        <v>30</v>
      </c>
      <c r="D396" s="25">
        <f>+SUMIFS(PROVEEDORES[Total],PROVEEDORES[PROVEEDOR],PROVEEDORES[[#This Row],[PROVEEDOR]],PROVEEDORES[FECHA DE PAGO],"")</f>
        <v>0</v>
      </c>
      <c r="E396" s="25"/>
      <c r="F39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96" s="161">
        <v>44250</v>
      </c>
      <c r="H396" s="26" t="s">
        <v>941</v>
      </c>
      <c r="I396" s="161">
        <v>44228</v>
      </c>
      <c r="J396" s="35">
        <v>1350</v>
      </c>
      <c r="K396" s="21">
        <v>203897</v>
      </c>
      <c r="L396" s="21"/>
      <c r="M396" s="22">
        <f>(PROVEEDORES[[#This Row],[SUBTOTAL]]-PROVEEDORES[[#This Row],[descuento sobre subtotal]])*VLOOKUP(PROVEEDORES[[#This Row],[PROVEEDOR]],TERCEROS_INFO[#All],3,FALSE)</f>
        <v>38740.43</v>
      </c>
      <c r="N396" s="23"/>
      <c r="O396" s="22">
        <f>+PROVEEDORES[[#This Row],[Descuento sobre subtotal %]]*(PROVEEDORES[[#This Row],[SUBTOTAL]]-PROVEEDORES[[#This Row],[descuento sobre subtotal]])</f>
        <v>0</v>
      </c>
      <c r="P396" s="83">
        <f>+IF(PROVEEDORES[[#This Row],[SUBTOTAL]]&lt;PROVEEDORES[[#This Row],[base retencion]],0,PROVEEDORES[[#This Row],[retención aplicada]])</f>
        <v>3.5000000000000003E-2</v>
      </c>
      <c r="Q396" s="22">
        <f>+PROVEEDORES[[#This Row],[Rete Fuente %]]*(PROVEEDORES[[#This Row],[SUBTOTAL]]-PROVEEDORES[[#This Row],[descuento sobre subtotal]])</f>
        <v>7136.3950000000004</v>
      </c>
      <c r="R396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68">
        <f ca="1">IF(PROVEEDORES[[#This Row],[FECHA DE PAGO]]=0,TODAY()-PROVEEDORES[[#This Row],[FECHA DE FACTURACIÓN]]-PROVEEDORES[[#This Row],[PLAZO Días]],0)</f>
        <v>0</v>
      </c>
      <c r="U396" s="96" t="str">
        <f>+VLOOKUP(PROVEEDORES[[#This Row],[PROVEEDOR]],Terceros!$A:$D,4,FALSE)</f>
        <v>3,5% sin base</v>
      </c>
      <c r="V396" s="97">
        <f>+YEAR(PROVEEDORES[[#This Row],[FECHA DE FACTURACIÓN]])</f>
        <v>2021</v>
      </c>
      <c r="W396" s="97">
        <f>+MATCH(PROVEEDORES[[#This Row],[año facturado]],Retenciones!$1:$1,0)</f>
        <v>4</v>
      </c>
      <c r="X396" s="98">
        <f>+VLOOKUP(PROVEEDORES[[#This Row],[ID RETENCION]],Retenciones!$A$1:$O$25,PROVEEDORES[[#This Row],[indicador de columna]],FALSE)</f>
        <v>0</v>
      </c>
      <c r="Y396" s="99">
        <f>+VLOOKUP(PROVEEDORES[[#This Row],[ID RETENCION]],Retenciones!$A$1:$O$25,2,FALSE)</f>
        <v>3.5000000000000003E-2</v>
      </c>
      <c r="Z396" s="125" t="b">
        <f>OR(COUNTIF(PROVEEDORES[[#This Row],[PROVEEDOR]],"*"&amp;'Palabra no opera'!$A$2&amp;"*"))</f>
        <v>1</v>
      </c>
      <c r="AA396" s="24"/>
      <c r="AB396" s="24"/>
      <c r="AC396" s="24"/>
      <c r="AD396" s="24"/>
      <c r="AE396" s="24"/>
    </row>
    <row r="397" spans="1:31" ht="22.2" customHeight="1" x14ac:dyDescent="0.3">
      <c r="A397" s="66" t="str">
        <f>+IF(PROVEEDORES[[#This Row],[FECHA DE PAGO]]=PROVEEDORES[[#This Row],[FECHA DE FACTURACIÓN]],"DE CONTADO","CRÉDITO")</f>
        <v>CRÉDITO</v>
      </c>
      <c r="B397" s="38" t="b">
        <f>+IF((PROVEEDORES[[#This Row],[FECHA DE PAGO]]-PROVEEDORES[[#This Row],[FECHA DE FACTURACIÓN]])&gt;PROVEEDORES[[#This Row],[PLAZO Días]],"PAGO VENCIDO")</f>
        <v>0</v>
      </c>
      <c r="C397" s="20">
        <f>+VLOOKUP(PROVEEDORES[[#This Row],[PROVEEDOR]],TERCEROS_INFO[#All],2,FALSE)</f>
        <v>30</v>
      </c>
      <c r="D397" s="25">
        <f>+SUMIFS(PROVEEDORES[Total],PROVEEDORES[PROVEEDOR],PROVEEDORES[[#This Row],[PROVEEDOR]],PROVEEDORES[FECHA DE PAGO],"")</f>
        <v>0</v>
      </c>
      <c r="E397" s="25"/>
      <c r="F39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97" s="161">
        <v>44284</v>
      </c>
      <c r="H397" s="26" t="s">
        <v>941</v>
      </c>
      <c r="I397" s="161">
        <v>44256</v>
      </c>
      <c r="J397" s="35">
        <v>1554</v>
      </c>
      <c r="K397" s="21">
        <v>203897</v>
      </c>
      <c r="L397" s="21"/>
      <c r="M397" s="22">
        <f>(PROVEEDORES[[#This Row],[SUBTOTAL]]-PROVEEDORES[[#This Row],[descuento sobre subtotal]])*VLOOKUP(PROVEEDORES[[#This Row],[PROVEEDOR]],TERCEROS_INFO[#All],3,FALSE)</f>
        <v>38740.43</v>
      </c>
      <c r="N397" s="23"/>
      <c r="O397" s="22">
        <f>+PROVEEDORES[[#This Row],[Descuento sobre subtotal %]]*(PROVEEDORES[[#This Row],[SUBTOTAL]]-PROVEEDORES[[#This Row],[descuento sobre subtotal]])</f>
        <v>0</v>
      </c>
      <c r="P397" s="83">
        <f>+IF(PROVEEDORES[[#This Row],[SUBTOTAL]]&lt;PROVEEDORES[[#This Row],[base retencion]],0,PROVEEDORES[[#This Row],[retención aplicada]])</f>
        <v>3.5000000000000003E-2</v>
      </c>
      <c r="Q397" s="22">
        <f>+PROVEEDORES[[#This Row],[Rete Fuente %]]*(PROVEEDORES[[#This Row],[SUBTOTAL]]-PROVEEDORES[[#This Row],[descuento sobre subtotal]])</f>
        <v>7136.3950000000004</v>
      </c>
      <c r="R39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68">
        <f ca="1">IF(PROVEEDORES[[#This Row],[FECHA DE PAGO]]=0,TODAY()-PROVEEDORES[[#This Row],[FECHA DE FACTURACIÓN]]-PROVEEDORES[[#This Row],[PLAZO Días]],0)</f>
        <v>0</v>
      </c>
      <c r="U397" s="96" t="str">
        <f>+VLOOKUP(PROVEEDORES[[#This Row],[PROVEEDOR]],Terceros!$A:$D,4,FALSE)</f>
        <v>3,5% sin base</v>
      </c>
      <c r="V397" s="97">
        <f>+YEAR(PROVEEDORES[[#This Row],[FECHA DE FACTURACIÓN]])</f>
        <v>2021</v>
      </c>
      <c r="W397" s="97">
        <f>+MATCH(PROVEEDORES[[#This Row],[año facturado]],Retenciones!$1:$1,0)</f>
        <v>4</v>
      </c>
      <c r="X397" s="98">
        <f>+VLOOKUP(PROVEEDORES[[#This Row],[ID RETENCION]],Retenciones!$A$1:$O$25,PROVEEDORES[[#This Row],[indicador de columna]],FALSE)</f>
        <v>0</v>
      </c>
      <c r="Y397" s="99">
        <f>+VLOOKUP(PROVEEDORES[[#This Row],[ID RETENCION]],Retenciones!$A$1:$O$25,2,FALSE)</f>
        <v>3.5000000000000003E-2</v>
      </c>
      <c r="Z397" s="125" t="b">
        <f>OR(COUNTIF(PROVEEDORES[[#This Row],[PROVEEDOR]],"*"&amp;'Palabra no opera'!$A$2&amp;"*"))</f>
        <v>1</v>
      </c>
      <c r="AA397" s="24"/>
      <c r="AB397" s="24"/>
      <c r="AC397" s="24"/>
      <c r="AD397" s="24"/>
      <c r="AE397" s="24"/>
    </row>
    <row r="398" spans="1:31" ht="22.2" customHeight="1" x14ac:dyDescent="0.3">
      <c r="A398" s="66" t="str">
        <f>+IF(PROVEEDORES[[#This Row],[FECHA DE PAGO]]=PROVEEDORES[[#This Row],[FECHA DE FACTURACIÓN]],"DE CONTADO","CRÉDITO")</f>
        <v>CRÉDITO</v>
      </c>
      <c r="B398" s="38" t="b">
        <f>+IF((PROVEEDORES[[#This Row],[FECHA DE PAGO]]-PROVEEDORES[[#This Row],[FECHA DE FACTURACIÓN]])&gt;PROVEEDORES[[#This Row],[PLAZO Días]],"PAGO VENCIDO")</f>
        <v>0</v>
      </c>
      <c r="C398" s="20">
        <f>+VLOOKUP(PROVEEDORES[[#This Row],[PROVEEDOR]],TERCEROS_INFO[#All],2,FALSE)</f>
        <v>30</v>
      </c>
      <c r="D398" s="25">
        <f>+SUMIFS(PROVEEDORES[Total],PROVEEDORES[PROVEEDOR],PROVEEDORES[[#This Row],[PROVEEDOR]],PROVEEDORES[FECHA DE PAGO],"")</f>
        <v>0</v>
      </c>
      <c r="E398" s="25"/>
      <c r="F398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98" s="161">
        <v>44314</v>
      </c>
      <c r="H398" s="26" t="s">
        <v>941</v>
      </c>
      <c r="I398" s="161">
        <v>44287</v>
      </c>
      <c r="J398" s="35">
        <v>1764</v>
      </c>
      <c r="K398" s="21">
        <v>203897</v>
      </c>
      <c r="L398" s="21"/>
      <c r="M398" s="22">
        <f>(PROVEEDORES[[#This Row],[SUBTOTAL]]-PROVEEDORES[[#This Row],[descuento sobre subtotal]])*VLOOKUP(PROVEEDORES[[#This Row],[PROVEEDOR]],TERCEROS_INFO[#All],3,FALSE)</f>
        <v>38740.43</v>
      </c>
      <c r="N398" s="23"/>
      <c r="O398" s="22">
        <f>+PROVEEDORES[[#This Row],[Descuento sobre subtotal %]]*(PROVEEDORES[[#This Row],[SUBTOTAL]]-PROVEEDORES[[#This Row],[descuento sobre subtotal]])</f>
        <v>0</v>
      </c>
      <c r="P398" s="83">
        <f>+IF(PROVEEDORES[[#This Row],[SUBTOTAL]]&lt;PROVEEDORES[[#This Row],[base retencion]],0,PROVEEDORES[[#This Row],[retención aplicada]])</f>
        <v>3.5000000000000003E-2</v>
      </c>
      <c r="Q398" s="22">
        <f>+PROVEEDORES[[#This Row],[Rete Fuente %]]*(PROVEEDORES[[#This Row],[SUBTOTAL]]-PROVEEDORES[[#This Row],[descuento sobre subtotal]])</f>
        <v>7136.3950000000004</v>
      </c>
      <c r="R398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68">
        <f ca="1">IF(PROVEEDORES[[#This Row],[FECHA DE PAGO]]=0,TODAY()-PROVEEDORES[[#This Row],[FECHA DE FACTURACIÓN]]-PROVEEDORES[[#This Row],[PLAZO Días]],0)</f>
        <v>0</v>
      </c>
      <c r="U398" s="96" t="str">
        <f>+VLOOKUP(PROVEEDORES[[#This Row],[PROVEEDOR]],Terceros!$A:$D,4,FALSE)</f>
        <v>3,5% sin base</v>
      </c>
      <c r="V398" s="97">
        <f>+YEAR(PROVEEDORES[[#This Row],[FECHA DE FACTURACIÓN]])</f>
        <v>2021</v>
      </c>
      <c r="W398" s="97">
        <f>+MATCH(PROVEEDORES[[#This Row],[año facturado]],Retenciones!$1:$1,0)</f>
        <v>4</v>
      </c>
      <c r="X398" s="98">
        <f>+VLOOKUP(PROVEEDORES[[#This Row],[ID RETENCION]],Retenciones!$A$1:$O$25,PROVEEDORES[[#This Row],[indicador de columna]],FALSE)</f>
        <v>0</v>
      </c>
      <c r="Y398" s="99">
        <f>+VLOOKUP(PROVEEDORES[[#This Row],[ID RETENCION]],Retenciones!$A$1:$O$25,2,FALSE)</f>
        <v>3.5000000000000003E-2</v>
      </c>
      <c r="Z398" s="125" t="b">
        <f>OR(COUNTIF(PROVEEDORES[[#This Row],[PROVEEDOR]],"*"&amp;'Palabra no opera'!$A$2&amp;"*"))</f>
        <v>1</v>
      </c>
      <c r="AA398" s="24"/>
      <c r="AB398" s="24"/>
      <c r="AC398" s="24"/>
      <c r="AD398" s="24"/>
      <c r="AE398" s="24"/>
    </row>
    <row r="399" spans="1:31" ht="22.2" customHeight="1" x14ac:dyDescent="0.3">
      <c r="A399" s="66" t="str">
        <f>+IF(PROVEEDORES[[#This Row],[FECHA DE PAGO]]=PROVEEDORES[[#This Row],[FECHA DE FACTURACIÓN]],"DE CONTADO","CRÉDITO")</f>
        <v>CRÉDITO</v>
      </c>
      <c r="B399" s="38" t="b">
        <f>+IF((PROVEEDORES[[#This Row],[FECHA DE PAGO]]-PROVEEDORES[[#This Row],[FECHA DE FACTURACIÓN]])&gt;PROVEEDORES[[#This Row],[PLAZO Días]],"PAGO VENCIDO")</f>
        <v>0</v>
      </c>
      <c r="C399" s="20">
        <f>+VLOOKUP(PROVEEDORES[[#This Row],[PROVEEDOR]],TERCEROS_INFO[#All],2,FALSE)</f>
        <v>30</v>
      </c>
      <c r="D399" s="25">
        <f>+SUMIFS(PROVEEDORES[Total],PROVEEDORES[PROVEEDOR],PROVEEDORES[[#This Row],[PROVEEDOR]],PROVEEDORES[FECHA DE PAGO],"")</f>
        <v>0</v>
      </c>
      <c r="E399" s="25"/>
      <c r="F39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99" s="161">
        <v>44314</v>
      </c>
      <c r="H399" s="26" t="s">
        <v>941</v>
      </c>
      <c r="I399" s="161">
        <v>44287</v>
      </c>
      <c r="J399" s="35" t="s">
        <v>289</v>
      </c>
      <c r="K399" s="21">
        <v>203897</v>
      </c>
      <c r="L399" s="21"/>
      <c r="M399" s="22">
        <f>(PROVEEDORES[[#This Row],[SUBTOTAL]]-PROVEEDORES[[#This Row],[descuento sobre subtotal]])*VLOOKUP(PROVEEDORES[[#This Row],[PROVEEDOR]],TERCEROS_INFO[#All],3,FALSE)</f>
        <v>38740.43</v>
      </c>
      <c r="N399" s="23"/>
      <c r="O399" s="22">
        <f>+PROVEEDORES[[#This Row],[Descuento sobre subtotal %]]*(PROVEEDORES[[#This Row],[SUBTOTAL]]-PROVEEDORES[[#This Row],[descuento sobre subtotal]])</f>
        <v>0</v>
      </c>
      <c r="P399" s="83">
        <f>+IF(PROVEEDORES[[#This Row],[SUBTOTAL]]&lt;PROVEEDORES[[#This Row],[base retencion]],0,PROVEEDORES[[#This Row],[retención aplicada]])</f>
        <v>3.5000000000000003E-2</v>
      </c>
      <c r="Q399" s="22">
        <f>+PROVEEDORES[[#This Row],[Rete Fuente %]]*(PROVEEDORES[[#This Row],[SUBTOTAL]]-PROVEEDORES[[#This Row],[descuento sobre subtotal]])</f>
        <v>7136.3950000000004</v>
      </c>
      <c r="R399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68">
        <f ca="1">IF(PROVEEDORES[[#This Row],[FECHA DE PAGO]]=0,TODAY()-PROVEEDORES[[#This Row],[FECHA DE FACTURACIÓN]]-PROVEEDORES[[#This Row],[PLAZO Días]],0)</f>
        <v>0</v>
      </c>
      <c r="U399" s="96" t="str">
        <f>+VLOOKUP(PROVEEDORES[[#This Row],[PROVEEDOR]],Terceros!$A:$D,4,FALSE)</f>
        <v>3,5% sin base</v>
      </c>
      <c r="V399" s="97">
        <f>+YEAR(PROVEEDORES[[#This Row],[FECHA DE FACTURACIÓN]])</f>
        <v>2021</v>
      </c>
      <c r="W399" s="97">
        <f>+MATCH(PROVEEDORES[[#This Row],[año facturado]],Retenciones!$1:$1,0)</f>
        <v>4</v>
      </c>
      <c r="X399" s="98">
        <f>+VLOOKUP(PROVEEDORES[[#This Row],[ID RETENCION]],Retenciones!$A$1:$O$25,PROVEEDORES[[#This Row],[indicador de columna]],FALSE)</f>
        <v>0</v>
      </c>
      <c r="Y399" s="99">
        <f>+VLOOKUP(PROVEEDORES[[#This Row],[ID RETENCION]],Retenciones!$A$1:$O$25,2,FALSE)</f>
        <v>3.5000000000000003E-2</v>
      </c>
      <c r="Z399" s="125" t="b">
        <f>OR(COUNTIF(PROVEEDORES[[#This Row],[PROVEEDOR]],"*"&amp;'Palabra no opera'!$A$2&amp;"*"))</f>
        <v>1</v>
      </c>
      <c r="AA399" s="24"/>
      <c r="AB399" s="24"/>
      <c r="AC399" s="24"/>
      <c r="AD399" s="24"/>
      <c r="AE399" s="24"/>
    </row>
    <row r="400" spans="1:31" ht="22.2" customHeight="1" x14ac:dyDescent="0.3">
      <c r="A400" s="66" t="str">
        <f>+IF(PROVEEDORES[[#This Row],[FECHA DE PAGO]]=PROVEEDORES[[#This Row],[FECHA DE FACTURACIÓN]],"DE CONTADO","CRÉDITO")</f>
        <v>CRÉDITO</v>
      </c>
      <c r="B400" s="38" t="b">
        <f>+IF((PROVEEDORES[[#This Row],[FECHA DE PAGO]]-PROVEEDORES[[#This Row],[FECHA DE FACTURACIÓN]])&gt;PROVEEDORES[[#This Row],[PLAZO Días]],"PAGO VENCIDO")</f>
        <v>0</v>
      </c>
      <c r="C400" s="20">
        <f>+VLOOKUP(PROVEEDORES[[#This Row],[PROVEEDOR]],TERCEROS_INFO[#All],2,FALSE)</f>
        <v>30</v>
      </c>
      <c r="D400" s="25">
        <f>+SUMIFS(PROVEEDORES[Total],PROVEEDORES[PROVEEDOR],PROVEEDORES[[#This Row],[PROVEEDOR]],PROVEEDORES[FECHA DE PAGO],"")</f>
        <v>0</v>
      </c>
      <c r="E400" s="25"/>
      <c r="F40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0" s="161">
        <v>44341</v>
      </c>
      <c r="H400" s="26" t="s">
        <v>941</v>
      </c>
      <c r="I400" s="161">
        <v>44317</v>
      </c>
      <c r="J400" s="35">
        <v>1976</v>
      </c>
      <c r="K400" s="21">
        <v>203897</v>
      </c>
      <c r="L400" s="21"/>
      <c r="M400" s="22">
        <f>(PROVEEDORES[[#This Row],[SUBTOTAL]]-PROVEEDORES[[#This Row],[descuento sobre subtotal]])*VLOOKUP(PROVEEDORES[[#This Row],[PROVEEDOR]],TERCEROS_INFO[#All],3,FALSE)</f>
        <v>38740.43</v>
      </c>
      <c r="N400" s="23"/>
      <c r="O400" s="22">
        <f>+PROVEEDORES[[#This Row],[Descuento sobre subtotal %]]*(PROVEEDORES[[#This Row],[SUBTOTAL]]-PROVEEDORES[[#This Row],[descuento sobre subtotal]])</f>
        <v>0</v>
      </c>
      <c r="P400" s="83">
        <f>+IF(PROVEEDORES[[#This Row],[SUBTOTAL]]&lt;PROVEEDORES[[#This Row],[base retencion]],0,PROVEEDORES[[#This Row],[retención aplicada]])</f>
        <v>3.5000000000000003E-2</v>
      </c>
      <c r="Q400" s="22">
        <f>+PROVEEDORES[[#This Row],[Rete Fuente %]]*(PROVEEDORES[[#This Row],[SUBTOTAL]]-PROVEEDORES[[#This Row],[descuento sobre subtotal]])</f>
        <v>7136.3950000000004</v>
      </c>
      <c r="R400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68">
        <f ca="1">IF(PROVEEDORES[[#This Row],[FECHA DE PAGO]]=0,TODAY()-PROVEEDORES[[#This Row],[FECHA DE FACTURACIÓN]]-PROVEEDORES[[#This Row],[PLAZO Días]],0)</f>
        <v>0</v>
      </c>
      <c r="U400" s="96" t="str">
        <f>+VLOOKUP(PROVEEDORES[[#This Row],[PROVEEDOR]],Terceros!$A:$D,4,FALSE)</f>
        <v>3,5% sin base</v>
      </c>
      <c r="V400" s="97">
        <f>+YEAR(PROVEEDORES[[#This Row],[FECHA DE FACTURACIÓN]])</f>
        <v>2021</v>
      </c>
      <c r="W400" s="97">
        <f>+MATCH(PROVEEDORES[[#This Row],[año facturado]],Retenciones!$1:$1,0)</f>
        <v>4</v>
      </c>
      <c r="X400" s="98">
        <f>+VLOOKUP(PROVEEDORES[[#This Row],[ID RETENCION]],Retenciones!$A$1:$O$25,PROVEEDORES[[#This Row],[indicador de columna]],FALSE)</f>
        <v>0</v>
      </c>
      <c r="Y400" s="99">
        <f>+VLOOKUP(PROVEEDORES[[#This Row],[ID RETENCION]],Retenciones!$A$1:$O$25,2,FALSE)</f>
        <v>3.5000000000000003E-2</v>
      </c>
      <c r="Z400" s="125" t="b">
        <f>OR(COUNTIF(PROVEEDORES[[#This Row],[PROVEEDOR]],"*"&amp;'Palabra no opera'!$A$2&amp;"*"))</f>
        <v>1</v>
      </c>
      <c r="AA400" s="24"/>
      <c r="AB400" s="24"/>
      <c r="AC400" s="24"/>
      <c r="AD400" s="24"/>
      <c r="AE400" s="24"/>
    </row>
    <row r="401" spans="1:31" ht="22.2" customHeight="1" x14ac:dyDescent="0.3">
      <c r="A401" s="66" t="str">
        <f>+IF(PROVEEDORES[[#This Row],[FECHA DE PAGO]]=PROVEEDORES[[#This Row],[FECHA DE FACTURACIÓN]],"DE CONTADO","CRÉDITO")</f>
        <v>CRÉDITO</v>
      </c>
      <c r="B401" s="38" t="b">
        <f>+IF((PROVEEDORES[[#This Row],[FECHA DE PAGO]]-PROVEEDORES[[#This Row],[FECHA DE FACTURACIÓN]])&gt;PROVEEDORES[[#This Row],[PLAZO Días]],"PAGO VENCIDO")</f>
        <v>0</v>
      </c>
      <c r="C401" s="20">
        <f>+VLOOKUP(PROVEEDORES[[#This Row],[PROVEEDOR]],TERCEROS_INFO[#All],2,FALSE)</f>
        <v>30</v>
      </c>
      <c r="D401" s="25">
        <f>+SUMIFS(PROVEEDORES[Total],PROVEEDORES[PROVEEDOR],PROVEEDORES[[#This Row],[PROVEEDOR]],PROVEEDORES[FECHA DE PAGO],"")</f>
        <v>0</v>
      </c>
      <c r="E401" s="25"/>
      <c r="F401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1" s="161">
        <v>44370</v>
      </c>
      <c r="H401" s="26" t="s">
        <v>941</v>
      </c>
      <c r="I401" s="161">
        <v>44366</v>
      </c>
      <c r="J401" s="35" t="s">
        <v>334</v>
      </c>
      <c r="K401" s="21">
        <v>203897</v>
      </c>
      <c r="L401" s="21"/>
      <c r="M401" s="22">
        <f>(PROVEEDORES[[#This Row],[SUBTOTAL]]-PROVEEDORES[[#This Row],[descuento sobre subtotal]])*VLOOKUP(PROVEEDORES[[#This Row],[PROVEEDOR]],TERCEROS_INFO[#All],3,FALSE)</f>
        <v>38740.43</v>
      </c>
      <c r="N401" s="23"/>
      <c r="O401" s="22">
        <f>+PROVEEDORES[[#This Row],[Descuento sobre subtotal %]]*(PROVEEDORES[[#This Row],[SUBTOTAL]]-PROVEEDORES[[#This Row],[descuento sobre subtotal]])</f>
        <v>0</v>
      </c>
      <c r="P401" s="83">
        <f>+IF(PROVEEDORES[[#This Row],[SUBTOTAL]]&lt;PROVEEDORES[[#This Row],[base retencion]],0,PROVEEDORES[[#This Row],[retención aplicada]])</f>
        <v>3.5000000000000003E-2</v>
      </c>
      <c r="Q401" s="22">
        <f>+PROVEEDORES[[#This Row],[Rete Fuente %]]*(PROVEEDORES[[#This Row],[SUBTOTAL]]-PROVEEDORES[[#This Row],[descuento sobre subtotal]])</f>
        <v>7136.3950000000004</v>
      </c>
      <c r="R401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68">
        <f ca="1">IF(PROVEEDORES[[#This Row],[FECHA DE PAGO]]=0,TODAY()-PROVEEDORES[[#This Row],[FECHA DE FACTURACIÓN]]-PROVEEDORES[[#This Row],[PLAZO Días]],0)</f>
        <v>0</v>
      </c>
      <c r="U401" s="96" t="str">
        <f>+VLOOKUP(PROVEEDORES[[#This Row],[PROVEEDOR]],Terceros!$A:$D,4,FALSE)</f>
        <v>3,5% sin base</v>
      </c>
      <c r="V401" s="97">
        <f>+YEAR(PROVEEDORES[[#This Row],[FECHA DE FACTURACIÓN]])</f>
        <v>2021</v>
      </c>
      <c r="W401" s="97">
        <f>+MATCH(PROVEEDORES[[#This Row],[año facturado]],Retenciones!$1:$1,0)</f>
        <v>4</v>
      </c>
      <c r="X401" s="98">
        <f>+VLOOKUP(PROVEEDORES[[#This Row],[ID RETENCION]],Retenciones!$A$1:$O$25,PROVEEDORES[[#This Row],[indicador de columna]],FALSE)</f>
        <v>0</v>
      </c>
      <c r="Y401" s="99">
        <f>+VLOOKUP(PROVEEDORES[[#This Row],[ID RETENCION]],Retenciones!$A$1:$O$25,2,FALSE)</f>
        <v>3.5000000000000003E-2</v>
      </c>
      <c r="Z401" s="125" t="b">
        <f>OR(COUNTIF(PROVEEDORES[[#This Row],[PROVEEDOR]],"*"&amp;'Palabra no opera'!$A$2&amp;"*"))</f>
        <v>1</v>
      </c>
      <c r="AA401" s="24"/>
      <c r="AB401" s="24"/>
      <c r="AC401" s="24"/>
      <c r="AD401" s="24"/>
      <c r="AE401" s="24"/>
    </row>
    <row r="402" spans="1:31" ht="22.2" customHeight="1" x14ac:dyDescent="0.3">
      <c r="A402" s="66" t="str">
        <f>+IF(PROVEEDORES[[#This Row],[FECHA DE PAGO]]=PROVEEDORES[[#This Row],[FECHA DE FACTURACIÓN]],"DE CONTADO","CRÉDITO")</f>
        <v>CRÉDITO</v>
      </c>
      <c r="B402" s="38" t="b">
        <f>+IF((PROVEEDORES[[#This Row],[FECHA DE PAGO]]-PROVEEDORES[[#This Row],[FECHA DE FACTURACIÓN]])&gt;PROVEEDORES[[#This Row],[PLAZO Días]],"PAGO VENCIDO")</f>
        <v>0</v>
      </c>
      <c r="C402" s="20">
        <f>+VLOOKUP(PROVEEDORES[[#This Row],[PROVEEDOR]],TERCEROS_INFO[#All],2,FALSE)</f>
        <v>30</v>
      </c>
      <c r="D402" s="25">
        <f>+SUMIFS(PROVEEDORES[Total],PROVEEDORES[PROVEEDOR],PROVEEDORES[[#This Row],[PROVEEDOR]],PROVEEDORES[FECHA DE PAGO],"")</f>
        <v>0</v>
      </c>
      <c r="E402" s="25"/>
      <c r="F40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2" s="161">
        <v>44396</v>
      </c>
      <c r="H402" s="26" t="s">
        <v>941</v>
      </c>
      <c r="I402" s="161">
        <v>44378</v>
      </c>
      <c r="J402" s="35" t="s">
        <v>374</v>
      </c>
      <c r="K402" s="21">
        <v>203897</v>
      </c>
      <c r="L402" s="21"/>
      <c r="M402" s="22">
        <f>(PROVEEDORES[[#This Row],[SUBTOTAL]]-PROVEEDORES[[#This Row],[descuento sobre subtotal]])*VLOOKUP(PROVEEDORES[[#This Row],[PROVEEDOR]],TERCEROS_INFO[#All],3,FALSE)</f>
        <v>38740.43</v>
      </c>
      <c r="N402" s="23"/>
      <c r="O402" s="22">
        <f>+PROVEEDORES[[#This Row],[Descuento sobre subtotal %]]*(PROVEEDORES[[#This Row],[SUBTOTAL]]-PROVEEDORES[[#This Row],[descuento sobre subtotal]])</f>
        <v>0</v>
      </c>
      <c r="P402" s="83">
        <f>+IF(PROVEEDORES[[#This Row],[SUBTOTAL]]&lt;PROVEEDORES[[#This Row],[base retencion]],0,PROVEEDORES[[#This Row],[retención aplicada]])</f>
        <v>3.5000000000000003E-2</v>
      </c>
      <c r="Q402" s="22">
        <f>+PROVEEDORES[[#This Row],[Rete Fuente %]]*(PROVEEDORES[[#This Row],[SUBTOTAL]]-PROVEEDORES[[#This Row],[descuento sobre subtotal]])</f>
        <v>7136.3950000000004</v>
      </c>
      <c r="R402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68">
        <f ca="1">IF(PROVEEDORES[[#This Row],[FECHA DE PAGO]]=0,TODAY()-PROVEEDORES[[#This Row],[FECHA DE FACTURACIÓN]]-PROVEEDORES[[#This Row],[PLAZO Días]],0)</f>
        <v>0</v>
      </c>
      <c r="U402" s="96" t="str">
        <f>+VLOOKUP(PROVEEDORES[[#This Row],[PROVEEDOR]],Terceros!$A:$D,4,FALSE)</f>
        <v>3,5% sin base</v>
      </c>
      <c r="V402" s="97">
        <f>+YEAR(PROVEEDORES[[#This Row],[FECHA DE FACTURACIÓN]])</f>
        <v>2021</v>
      </c>
      <c r="W402" s="97">
        <f>+MATCH(PROVEEDORES[[#This Row],[año facturado]],Retenciones!$1:$1,0)</f>
        <v>4</v>
      </c>
      <c r="X402" s="98">
        <f>+VLOOKUP(PROVEEDORES[[#This Row],[ID RETENCION]],Retenciones!$A$1:$O$25,PROVEEDORES[[#This Row],[indicador de columna]],FALSE)</f>
        <v>0</v>
      </c>
      <c r="Y402" s="99">
        <f>+VLOOKUP(PROVEEDORES[[#This Row],[ID RETENCION]],Retenciones!$A$1:$O$25,2,FALSE)</f>
        <v>3.5000000000000003E-2</v>
      </c>
      <c r="Z402" s="125" t="b">
        <f>OR(COUNTIF(PROVEEDORES[[#This Row],[PROVEEDOR]],"*"&amp;'Palabra no opera'!$A$2&amp;"*"))</f>
        <v>1</v>
      </c>
      <c r="AA402" s="24"/>
      <c r="AB402" s="24"/>
      <c r="AC402" s="24"/>
      <c r="AD402" s="24"/>
      <c r="AE402" s="24"/>
    </row>
    <row r="403" spans="1:31" ht="22.2" customHeight="1" x14ac:dyDescent="0.3">
      <c r="A403" s="66" t="str">
        <f>+IF(PROVEEDORES[[#This Row],[FECHA DE PAGO]]=PROVEEDORES[[#This Row],[FECHA DE FACTURACIÓN]],"DE CONTADO","CRÉDITO")</f>
        <v>CRÉDITO</v>
      </c>
      <c r="B403" s="38" t="b">
        <f>+IF((PROVEEDORES[[#This Row],[FECHA DE PAGO]]-PROVEEDORES[[#This Row],[FECHA DE FACTURACIÓN]])&gt;PROVEEDORES[[#This Row],[PLAZO Días]],"PAGO VENCIDO")</f>
        <v>0</v>
      </c>
      <c r="C403" s="20">
        <f>+VLOOKUP(PROVEEDORES[[#This Row],[PROVEEDOR]],TERCEROS_INFO[#All],2,FALSE)</f>
        <v>30</v>
      </c>
      <c r="D403" s="25">
        <f>+SUMIFS(PROVEEDORES[Total],PROVEEDORES[PROVEEDOR],PROVEEDORES[[#This Row],[PROVEEDOR]],PROVEEDORES[FECHA DE PAGO],"")</f>
        <v>0</v>
      </c>
      <c r="E403" s="25"/>
      <c r="F40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3" s="161">
        <v>44432</v>
      </c>
      <c r="H403" s="26" t="s">
        <v>941</v>
      </c>
      <c r="I403" s="161">
        <v>44409</v>
      </c>
      <c r="J403" s="35" t="s">
        <v>401</v>
      </c>
      <c r="K403" s="21">
        <v>203897</v>
      </c>
      <c r="L403" s="21"/>
      <c r="M403" s="22">
        <f>(PROVEEDORES[[#This Row],[SUBTOTAL]]-PROVEEDORES[[#This Row],[descuento sobre subtotal]])*VLOOKUP(PROVEEDORES[[#This Row],[PROVEEDOR]],TERCEROS_INFO[#All],3,FALSE)</f>
        <v>38740.43</v>
      </c>
      <c r="N403" s="23"/>
      <c r="O403" s="22">
        <f>+PROVEEDORES[[#This Row],[Descuento sobre subtotal %]]*(PROVEEDORES[[#This Row],[SUBTOTAL]]-PROVEEDORES[[#This Row],[descuento sobre subtotal]])</f>
        <v>0</v>
      </c>
      <c r="P403" s="83">
        <f>+IF(PROVEEDORES[[#This Row],[SUBTOTAL]]&lt;PROVEEDORES[[#This Row],[base retencion]],0,PROVEEDORES[[#This Row],[retención aplicada]])</f>
        <v>3.5000000000000003E-2</v>
      </c>
      <c r="Q403" s="22">
        <f>+PROVEEDORES[[#This Row],[Rete Fuente %]]*(PROVEEDORES[[#This Row],[SUBTOTAL]]-PROVEEDORES[[#This Row],[descuento sobre subtotal]])</f>
        <v>7136.3950000000004</v>
      </c>
      <c r="R403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68">
        <f ca="1">IF(PROVEEDORES[[#This Row],[FECHA DE PAGO]]=0,TODAY()-PROVEEDORES[[#This Row],[FECHA DE FACTURACIÓN]]-PROVEEDORES[[#This Row],[PLAZO Días]],0)</f>
        <v>0</v>
      </c>
      <c r="U403" s="96" t="str">
        <f>+VLOOKUP(PROVEEDORES[[#This Row],[PROVEEDOR]],Terceros!$A:$D,4,FALSE)</f>
        <v>3,5% sin base</v>
      </c>
      <c r="V403" s="97">
        <f>+YEAR(PROVEEDORES[[#This Row],[FECHA DE FACTURACIÓN]])</f>
        <v>2021</v>
      </c>
      <c r="W403" s="97">
        <f>+MATCH(PROVEEDORES[[#This Row],[año facturado]],Retenciones!$1:$1,0)</f>
        <v>4</v>
      </c>
      <c r="X403" s="98">
        <f>+VLOOKUP(PROVEEDORES[[#This Row],[ID RETENCION]],Retenciones!$A$1:$O$25,PROVEEDORES[[#This Row],[indicador de columna]],FALSE)</f>
        <v>0</v>
      </c>
      <c r="Y403" s="99">
        <f>+VLOOKUP(PROVEEDORES[[#This Row],[ID RETENCION]],Retenciones!$A$1:$O$25,2,FALSE)</f>
        <v>3.5000000000000003E-2</v>
      </c>
      <c r="Z403" s="125" t="b">
        <f>OR(COUNTIF(PROVEEDORES[[#This Row],[PROVEEDOR]],"*"&amp;'Palabra no opera'!$A$2&amp;"*"))</f>
        <v>1</v>
      </c>
      <c r="AA403" s="24"/>
      <c r="AB403" s="24"/>
      <c r="AC403" s="24"/>
      <c r="AD403" s="24"/>
      <c r="AE403" s="24"/>
    </row>
    <row r="404" spans="1:31" ht="22.2" customHeight="1" x14ac:dyDescent="0.3">
      <c r="A404" s="66" t="str">
        <f>+IF(PROVEEDORES[[#This Row],[FECHA DE PAGO]]=PROVEEDORES[[#This Row],[FECHA DE FACTURACIÓN]],"DE CONTADO","CRÉDITO")</f>
        <v>CRÉDITO</v>
      </c>
      <c r="B404" s="38" t="b">
        <f>+IF((PROVEEDORES[[#This Row],[FECHA DE PAGO]]-PROVEEDORES[[#This Row],[FECHA DE FACTURACIÓN]])&gt;PROVEEDORES[[#This Row],[PLAZO Días]],"PAGO VENCIDO")</f>
        <v>0</v>
      </c>
      <c r="C404" s="20">
        <f>+VLOOKUP(PROVEEDORES[[#This Row],[PROVEEDOR]],TERCEROS_INFO[#All],2,FALSE)</f>
        <v>30</v>
      </c>
      <c r="D404" s="25">
        <f>+SUMIFS(PROVEEDORES[Total],PROVEEDORES[PROVEEDOR],PROVEEDORES[[#This Row],[PROVEEDOR]],PROVEEDORES[FECHA DE PAGO],"")</f>
        <v>0</v>
      </c>
      <c r="E404" s="25"/>
      <c r="F404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4" s="161">
        <v>44461</v>
      </c>
      <c r="H404" s="26" t="s">
        <v>941</v>
      </c>
      <c r="I404" s="161">
        <v>44440</v>
      </c>
      <c r="J404" s="35" t="s">
        <v>456</v>
      </c>
      <c r="K404" s="21">
        <v>203897</v>
      </c>
      <c r="L404" s="21"/>
      <c r="M404" s="22">
        <f>(PROVEEDORES[[#This Row],[SUBTOTAL]]-PROVEEDORES[[#This Row],[descuento sobre subtotal]])*VLOOKUP(PROVEEDORES[[#This Row],[PROVEEDOR]],TERCEROS_INFO[#All],3,FALSE)</f>
        <v>38740.43</v>
      </c>
      <c r="N404" s="23"/>
      <c r="O404" s="22">
        <f>+PROVEEDORES[[#This Row],[Descuento sobre subtotal %]]*(PROVEEDORES[[#This Row],[SUBTOTAL]]-PROVEEDORES[[#This Row],[descuento sobre subtotal]])</f>
        <v>0</v>
      </c>
      <c r="P404" s="83">
        <f>+IF(PROVEEDORES[[#This Row],[SUBTOTAL]]&lt;PROVEEDORES[[#This Row],[base retencion]],0,PROVEEDORES[[#This Row],[retención aplicada]])</f>
        <v>3.5000000000000003E-2</v>
      </c>
      <c r="Q404" s="22">
        <f>+PROVEEDORES[[#This Row],[Rete Fuente %]]*(PROVEEDORES[[#This Row],[SUBTOTAL]]-PROVEEDORES[[#This Row],[descuento sobre subtotal]])</f>
        <v>7136.3950000000004</v>
      </c>
      <c r="R404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68">
        <f ca="1">IF(PROVEEDORES[[#This Row],[FECHA DE PAGO]]=0,TODAY()-PROVEEDORES[[#This Row],[FECHA DE FACTURACIÓN]]-PROVEEDORES[[#This Row],[PLAZO Días]],0)</f>
        <v>0</v>
      </c>
      <c r="U404" s="96" t="str">
        <f>+VLOOKUP(PROVEEDORES[[#This Row],[PROVEEDOR]],Terceros!$A:$D,4,FALSE)</f>
        <v>3,5% sin base</v>
      </c>
      <c r="V404" s="97">
        <f>+YEAR(PROVEEDORES[[#This Row],[FECHA DE FACTURACIÓN]])</f>
        <v>2021</v>
      </c>
      <c r="W404" s="97">
        <f>+MATCH(PROVEEDORES[[#This Row],[año facturado]],Retenciones!$1:$1,0)</f>
        <v>4</v>
      </c>
      <c r="X404" s="98">
        <f>+VLOOKUP(PROVEEDORES[[#This Row],[ID RETENCION]],Retenciones!$A$1:$O$25,PROVEEDORES[[#This Row],[indicador de columna]],FALSE)</f>
        <v>0</v>
      </c>
      <c r="Y404" s="99">
        <f>+VLOOKUP(PROVEEDORES[[#This Row],[ID RETENCION]],Retenciones!$A$1:$O$25,2,FALSE)</f>
        <v>3.5000000000000003E-2</v>
      </c>
      <c r="Z404" s="125" t="b">
        <f>OR(COUNTIF(PROVEEDORES[[#This Row],[PROVEEDOR]],"*"&amp;'Palabra no opera'!$A$2&amp;"*"))</f>
        <v>1</v>
      </c>
      <c r="AA404" s="24"/>
      <c r="AB404" s="24"/>
      <c r="AC404" s="24"/>
      <c r="AD404" s="24"/>
      <c r="AE404" s="24"/>
    </row>
    <row r="405" spans="1:31" ht="22.2" customHeight="1" x14ac:dyDescent="0.3">
      <c r="A405" s="66" t="str">
        <f>+IF(PROVEEDORES[[#This Row],[FECHA DE PAGO]]=PROVEEDORES[[#This Row],[FECHA DE FACTURACIÓN]],"DE CONTADO","CRÉDITO")</f>
        <v>CRÉDITO</v>
      </c>
      <c r="B405" s="38" t="b">
        <f>+IF((PROVEEDORES[[#This Row],[FECHA DE PAGO]]-PROVEEDORES[[#This Row],[FECHA DE FACTURACIÓN]])&gt;PROVEEDORES[[#This Row],[PLAZO Días]],"PAGO VENCIDO")</f>
        <v>0</v>
      </c>
      <c r="C405" s="20">
        <f>+VLOOKUP(PROVEEDORES[[#This Row],[PROVEEDOR]],TERCEROS_INFO[#All],2,FALSE)</f>
        <v>30</v>
      </c>
      <c r="D405" s="25">
        <f>+SUMIFS(PROVEEDORES[Total],PROVEEDORES[PROVEEDOR],PROVEEDORES[[#This Row],[PROVEEDOR]],PROVEEDORES[FECHA DE PAGO],"")</f>
        <v>0</v>
      </c>
      <c r="E405" s="25"/>
      <c r="F405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5" s="161">
        <v>44496</v>
      </c>
      <c r="H405" s="26" t="s">
        <v>941</v>
      </c>
      <c r="I405" s="161">
        <v>44470</v>
      </c>
      <c r="J405" s="35" t="s">
        <v>504</v>
      </c>
      <c r="K405" s="21">
        <v>203897</v>
      </c>
      <c r="L405" s="21"/>
      <c r="M405" s="22">
        <f>(PROVEEDORES[[#This Row],[SUBTOTAL]]-PROVEEDORES[[#This Row],[descuento sobre subtotal]])*VLOOKUP(PROVEEDORES[[#This Row],[PROVEEDOR]],TERCEROS_INFO[#All],3,FALSE)</f>
        <v>38740.43</v>
      </c>
      <c r="N405" s="23"/>
      <c r="O405" s="22">
        <f>+PROVEEDORES[[#This Row],[Descuento sobre subtotal %]]*(PROVEEDORES[[#This Row],[SUBTOTAL]]-PROVEEDORES[[#This Row],[descuento sobre subtotal]])</f>
        <v>0</v>
      </c>
      <c r="P405" s="83">
        <f>+IF(PROVEEDORES[[#This Row],[SUBTOTAL]]&lt;PROVEEDORES[[#This Row],[base retencion]],0,PROVEEDORES[[#This Row],[retención aplicada]])</f>
        <v>3.5000000000000003E-2</v>
      </c>
      <c r="Q405" s="22">
        <f>+PROVEEDORES[[#This Row],[Rete Fuente %]]*(PROVEEDORES[[#This Row],[SUBTOTAL]]-PROVEEDORES[[#This Row],[descuento sobre subtotal]])</f>
        <v>7136.3950000000004</v>
      </c>
      <c r="R405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68">
        <f ca="1">IF(PROVEEDORES[[#This Row],[FECHA DE PAGO]]=0,TODAY()-PROVEEDORES[[#This Row],[FECHA DE FACTURACIÓN]]-PROVEEDORES[[#This Row],[PLAZO Días]],0)</f>
        <v>0</v>
      </c>
      <c r="U405" s="96" t="str">
        <f>+VLOOKUP(PROVEEDORES[[#This Row],[PROVEEDOR]],Terceros!$A:$D,4,FALSE)</f>
        <v>3,5% sin base</v>
      </c>
      <c r="V405" s="97">
        <f>+YEAR(PROVEEDORES[[#This Row],[FECHA DE FACTURACIÓN]])</f>
        <v>2021</v>
      </c>
      <c r="W405" s="97">
        <f>+MATCH(PROVEEDORES[[#This Row],[año facturado]],Retenciones!$1:$1,0)</f>
        <v>4</v>
      </c>
      <c r="X405" s="98">
        <f>+VLOOKUP(PROVEEDORES[[#This Row],[ID RETENCION]],Retenciones!$A$1:$O$25,PROVEEDORES[[#This Row],[indicador de columna]],FALSE)</f>
        <v>0</v>
      </c>
      <c r="Y405" s="99">
        <f>+VLOOKUP(PROVEEDORES[[#This Row],[ID RETENCION]],Retenciones!$A$1:$O$25,2,FALSE)</f>
        <v>3.5000000000000003E-2</v>
      </c>
      <c r="Z405" s="125" t="b">
        <f>OR(COUNTIF(PROVEEDORES[[#This Row],[PROVEEDOR]],"*"&amp;'Palabra no opera'!$A$2&amp;"*"))</f>
        <v>1</v>
      </c>
      <c r="AA405" s="24"/>
      <c r="AB405" s="24"/>
      <c r="AC405" s="24"/>
      <c r="AD405" s="24"/>
      <c r="AE405" s="24"/>
    </row>
    <row r="406" spans="1:31" ht="22.2" customHeight="1" x14ac:dyDescent="0.3">
      <c r="A406" s="66" t="str">
        <f>+IF(PROVEEDORES[[#This Row],[FECHA DE PAGO]]=PROVEEDORES[[#This Row],[FECHA DE FACTURACIÓN]],"DE CONTADO","CRÉDITO")</f>
        <v>CRÉDITO</v>
      </c>
      <c r="B406" s="38" t="b">
        <f>+IF((PROVEEDORES[[#This Row],[FECHA DE PAGO]]-PROVEEDORES[[#This Row],[FECHA DE FACTURACIÓN]])&gt;PROVEEDORES[[#This Row],[PLAZO Días]],"PAGO VENCIDO")</f>
        <v>0</v>
      </c>
      <c r="C406" s="20">
        <f>+VLOOKUP(PROVEEDORES[[#This Row],[PROVEEDOR]],TERCEROS_INFO[#All],2,FALSE)</f>
        <v>30</v>
      </c>
      <c r="D406" s="25">
        <f>+SUMIFS(PROVEEDORES[Total],PROVEEDORES[PROVEEDOR],PROVEEDORES[[#This Row],[PROVEEDOR]],PROVEEDORES[FECHA DE PAGO],"")</f>
        <v>0</v>
      </c>
      <c r="E406" s="25"/>
      <c r="F40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6" s="161">
        <v>44527</v>
      </c>
      <c r="H406" s="26" t="s">
        <v>941</v>
      </c>
      <c r="I406" s="161">
        <v>44501</v>
      </c>
      <c r="J406" s="35" t="s">
        <v>517</v>
      </c>
      <c r="K406" s="21">
        <v>203897</v>
      </c>
      <c r="L406" s="21"/>
      <c r="M406" s="22">
        <f>(PROVEEDORES[[#This Row],[SUBTOTAL]]-PROVEEDORES[[#This Row],[descuento sobre subtotal]])*VLOOKUP(PROVEEDORES[[#This Row],[PROVEEDOR]],TERCEROS_INFO[#All],3,FALSE)</f>
        <v>38740.43</v>
      </c>
      <c r="N406" s="23"/>
      <c r="O406" s="22">
        <f>+PROVEEDORES[[#This Row],[Descuento sobre subtotal %]]*(PROVEEDORES[[#This Row],[SUBTOTAL]]-PROVEEDORES[[#This Row],[descuento sobre subtotal]])</f>
        <v>0</v>
      </c>
      <c r="P406" s="83">
        <f>+IF(PROVEEDORES[[#This Row],[SUBTOTAL]]&lt;PROVEEDORES[[#This Row],[base retencion]],0,PROVEEDORES[[#This Row],[retención aplicada]])</f>
        <v>3.5000000000000003E-2</v>
      </c>
      <c r="Q406" s="22">
        <f>+PROVEEDORES[[#This Row],[Rete Fuente %]]*(PROVEEDORES[[#This Row],[SUBTOTAL]]-PROVEEDORES[[#This Row],[descuento sobre subtotal]])</f>
        <v>7136.3950000000004</v>
      </c>
      <c r="R406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68">
        <f ca="1">IF(PROVEEDORES[[#This Row],[FECHA DE PAGO]]=0,TODAY()-PROVEEDORES[[#This Row],[FECHA DE FACTURACIÓN]]-PROVEEDORES[[#This Row],[PLAZO Días]],0)</f>
        <v>0</v>
      </c>
      <c r="U406" s="96" t="str">
        <f>+VLOOKUP(PROVEEDORES[[#This Row],[PROVEEDOR]],Terceros!$A:$D,4,FALSE)</f>
        <v>3,5% sin base</v>
      </c>
      <c r="V406" s="97">
        <f>+YEAR(PROVEEDORES[[#This Row],[FECHA DE FACTURACIÓN]])</f>
        <v>2021</v>
      </c>
      <c r="W406" s="97">
        <f>+MATCH(PROVEEDORES[[#This Row],[año facturado]],Retenciones!$1:$1,0)</f>
        <v>4</v>
      </c>
      <c r="X406" s="98">
        <f>+VLOOKUP(PROVEEDORES[[#This Row],[ID RETENCION]],Retenciones!$A$1:$O$25,PROVEEDORES[[#This Row],[indicador de columna]],FALSE)</f>
        <v>0</v>
      </c>
      <c r="Y406" s="99">
        <f>+VLOOKUP(PROVEEDORES[[#This Row],[ID RETENCION]],Retenciones!$A$1:$O$25,2,FALSE)</f>
        <v>3.5000000000000003E-2</v>
      </c>
      <c r="Z406" s="125" t="b">
        <f>OR(COUNTIF(PROVEEDORES[[#This Row],[PROVEEDOR]],"*"&amp;'Palabra no opera'!$A$2&amp;"*"))</f>
        <v>1</v>
      </c>
      <c r="AA406" s="24"/>
      <c r="AB406" s="24"/>
      <c r="AC406" s="24"/>
      <c r="AD406" s="24"/>
      <c r="AE406" s="24"/>
    </row>
    <row r="407" spans="1:31" ht="22.2" customHeight="1" x14ac:dyDescent="0.3">
      <c r="A407" s="66" t="str">
        <f>+IF(PROVEEDORES[[#This Row],[FECHA DE PAGO]]=PROVEEDORES[[#This Row],[FECHA DE FACTURACIÓN]],"DE CONTADO","CRÉDITO")</f>
        <v>CRÉDITO</v>
      </c>
      <c r="B407" s="38" t="b">
        <f>+IF((PROVEEDORES[[#This Row],[FECHA DE PAGO]]-PROVEEDORES[[#This Row],[FECHA DE FACTURACIÓN]])&gt;PROVEEDORES[[#This Row],[PLAZO Días]],"PAGO VENCIDO")</f>
        <v>0</v>
      </c>
      <c r="C407" s="20">
        <f>+VLOOKUP(PROVEEDORES[[#This Row],[PROVEEDOR]],TERCEROS_INFO[#All],2,FALSE)</f>
        <v>30</v>
      </c>
      <c r="D407" s="25">
        <f>+SUMIFS(PROVEEDORES[Total],PROVEEDORES[PROVEEDOR],PROVEEDORES[[#This Row],[PROVEEDOR]],PROVEEDORES[FECHA DE PAGO],"")</f>
        <v>0</v>
      </c>
      <c r="E407" s="25"/>
      <c r="F40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7" s="161">
        <v>44554</v>
      </c>
      <c r="H407" s="26" t="s">
        <v>941</v>
      </c>
      <c r="I407" s="161">
        <v>44557</v>
      </c>
      <c r="J407" s="35" t="s">
        <v>551</v>
      </c>
      <c r="K407" s="21">
        <v>203897</v>
      </c>
      <c r="L407" s="21"/>
      <c r="M407" s="22">
        <f>(PROVEEDORES[[#This Row],[SUBTOTAL]]-PROVEEDORES[[#This Row],[descuento sobre subtotal]])*VLOOKUP(PROVEEDORES[[#This Row],[PROVEEDOR]],TERCEROS_INFO[#All],3,FALSE)</f>
        <v>38740.43</v>
      </c>
      <c r="N407" s="23"/>
      <c r="O407" s="22">
        <f>+PROVEEDORES[[#This Row],[Descuento sobre subtotal %]]*(PROVEEDORES[[#This Row],[SUBTOTAL]]-PROVEEDORES[[#This Row],[descuento sobre subtotal]])</f>
        <v>0</v>
      </c>
      <c r="P407" s="83">
        <f>+IF(PROVEEDORES[[#This Row],[SUBTOTAL]]&lt;PROVEEDORES[[#This Row],[base retencion]],0,PROVEEDORES[[#This Row],[retención aplicada]])</f>
        <v>3.5000000000000003E-2</v>
      </c>
      <c r="Q407" s="22">
        <f>+PROVEEDORES[[#This Row],[Rete Fuente %]]*(PROVEEDORES[[#This Row],[SUBTOTAL]]-PROVEEDORES[[#This Row],[descuento sobre subtotal]])</f>
        <v>7136.3950000000004</v>
      </c>
      <c r="R40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7" s="68">
        <f ca="1">IF(PROVEEDORES[[#This Row],[FECHA DE PAGO]]=0,TODAY()-PROVEEDORES[[#This Row],[FECHA DE FACTURACIÓN]]-PROVEEDORES[[#This Row],[PLAZO Días]],0)</f>
        <v>0</v>
      </c>
      <c r="U407" s="96" t="str">
        <f>+VLOOKUP(PROVEEDORES[[#This Row],[PROVEEDOR]],Terceros!$A:$D,4,FALSE)</f>
        <v>3,5% sin base</v>
      </c>
      <c r="V407" s="97">
        <f>+YEAR(PROVEEDORES[[#This Row],[FECHA DE FACTURACIÓN]])</f>
        <v>2021</v>
      </c>
      <c r="W407" s="97">
        <f>+MATCH(PROVEEDORES[[#This Row],[año facturado]],Retenciones!$1:$1,0)</f>
        <v>4</v>
      </c>
      <c r="X407" s="98">
        <f>+VLOOKUP(PROVEEDORES[[#This Row],[ID RETENCION]],Retenciones!$A$1:$O$25,PROVEEDORES[[#This Row],[indicador de columna]],FALSE)</f>
        <v>0</v>
      </c>
      <c r="Y407" s="99">
        <f>+VLOOKUP(PROVEEDORES[[#This Row],[ID RETENCION]],Retenciones!$A$1:$O$25,2,FALSE)</f>
        <v>3.5000000000000003E-2</v>
      </c>
      <c r="Z407" s="125" t="b">
        <f>OR(COUNTIF(PROVEEDORES[[#This Row],[PROVEEDOR]],"*"&amp;'Palabra no opera'!$A$2&amp;"*"))</f>
        <v>1</v>
      </c>
      <c r="AA407" s="24"/>
      <c r="AB407" s="24"/>
      <c r="AC407" s="24"/>
      <c r="AD407" s="24"/>
      <c r="AE407" s="24"/>
    </row>
    <row r="408" spans="1:31" ht="22.2" customHeight="1" x14ac:dyDescent="0.3">
      <c r="A408" s="146" t="str">
        <f>+IF(PROVEEDORES[[#This Row],[FECHA DE PAGO]]=PROVEEDORES[[#This Row],[FECHA DE FACTURACIÓN]],"DE CONTADO","CRÉDITO")</f>
        <v>CRÉDITO</v>
      </c>
      <c r="B408" s="38" t="b">
        <f>+IF((PROVEEDORES[[#This Row],[FECHA DE PAGO]]-PROVEEDORES[[#This Row],[FECHA DE FACTURACIÓN]])&gt;PROVEEDORES[[#This Row],[PLAZO Días]],"PAGO VENCIDO")</f>
        <v>0</v>
      </c>
      <c r="C408" s="20">
        <f>+VLOOKUP(PROVEEDORES[[#This Row],[PROVEEDOR]],TERCEROS_INFO[#All],2,FALSE)</f>
        <v>30</v>
      </c>
      <c r="D408" s="25">
        <f>+SUMIFS(PROVEEDORES[Total],PROVEEDORES[PROVEEDOR],PROVEEDORES[[#This Row],[PROVEEDOR]],PROVEEDORES[FECHA DE PAGO],"")</f>
        <v>0</v>
      </c>
      <c r="E408" s="25"/>
      <c r="F408" s="58" t="str">
        <f>+VLOOKUP(PROVEEDORES[[#This Row],[PROVEEDOR]],
                       Terceros!$A:$F,
                       5,
                       FALSE)</f>
        <v/>
      </c>
      <c r="G408" s="161">
        <v>44727</v>
      </c>
      <c r="H408" s="26" t="s">
        <v>1130</v>
      </c>
      <c r="I408" s="161">
        <v>44713</v>
      </c>
      <c r="J408" s="35" t="s">
        <v>1009</v>
      </c>
      <c r="K408" s="21">
        <v>239600</v>
      </c>
      <c r="L408" s="21"/>
      <c r="M408" s="22">
        <f>(PROVEEDORES[[#This Row],[SUBTOTAL]]-PROVEEDORES[[#This Row],[descuento sobre subtotal]])*VLOOKUP(PROVEEDORES[[#This Row],[PROVEEDOR]],TERCEROS_INFO[#All],3,FALSE)</f>
        <v>0</v>
      </c>
      <c r="N408" s="23"/>
      <c r="O408" s="22">
        <f>+PROVEEDORES[[#This Row],[Descuento sobre subtotal %]]*(PROVEEDORES[[#This Row],[SUBTOTAL]]-PROVEEDORES[[#This Row],[descuento sobre subtotal]])</f>
        <v>0</v>
      </c>
      <c r="P408" s="83">
        <f>+IF(PROVEEDORES[[#This Row],[SUBTOTAL]]&lt;PROVEEDORES[[#This Row],[base retencion]],0,PROVEEDORES[[#This Row],[retención aplicada]])</f>
        <v>0</v>
      </c>
      <c r="Q408" s="22">
        <f>+PROVEEDORES[[#This Row],[Rete Fuente %]]*(PROVEEDORES[[#This Row],[SUBTOTAL]]-PROVEEDORES[[#This Row],[descuento sobre subtotal]])</f>
        <v>0</v>
      </c>
      <c r="R408" s="21">
        <f>+PROVEEDORES[[#This Row],[SUBTOTAL]]+PROVEEDORES[[#This Row],[IVA 19%]]-PROVEEDORES[[#This Row],[descuento sobre subtotal]]-PROVEEDORES[[#This Row],[Descuento sobre subtotal $2]]-PROVEEDORES[[#This Row],[Rete Fuente $]]</f>
        <v>239600</v>
      </c>
      <c r="S408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68">
        <f ca="1">IF(PROVEEDORES[[#This Row],[FECHA DE PAGO]]=0,TODAY()-PROVEEDORES[[#This Row],[FECHA DE FACTURACIÓN]]-PROVEEDORES[[#This Row],[PLAZO Días]],0)</f>
        <v>0</v>
      </c>
      <c r="U408" s="113">
        <f>+VLOOKUP(PROVEEDORES[[#This Row],[PROVEEDOR]],Terceros!$A:$D,4,FALSE)</f>
        <v>0</v>
      </c>
      <c r="V408" s="114">
        <f>+YEAR(PROVEEDORES[[#This Row],[FECHA DE FACTURACIÓN]])</f>
        <v>2022</v>
      </c>
      <c r="W408" s="114">
        <f>+MATCH(PROVEEDORES[[#This Row],[año facturado]],Retenciones!$1:$1,0)</f>
        <v>5</v>
      </c>
      <c r="X408" s="115">
        <f>+VLOOKUP(PROVEEDORES[[#This Row],[ID RETENCION]],Retenciones!$A$1:$O$25,PROVEEDORES[[#This Row],[indicador de columna]],FALSE)</f>
        <v>0</v>
      </c>
      <c r="Y408" s="116">
        <f>+VLOOKUP(PROVEEDORES[[#This Row],[ID RETENCION]],Retenciones!$A$1:$O$25,2,FALSE)</f>
        <v>0</v>
      </c>
      <c r="Z408" s="125" t="b">
        <f>OR(COUNTIF(PROVEEDORES[[#This Row],[PROVEEDOR]],"*"&amp;'Palabra no opera'!$A$2&amp;"*"))</f>
        <v>1</v>
      </c>
      <c r="AA408" s="24"/>
      <c r="AB408" s="24"/>
      <c r="AC408" s="24"/>
      <c r="AD408" s="24"/>
      <c r="AE408" s="24"/>
    </row>
    <row r="409" spans="1:31" ht="22.2" customHeight="1" x14ac:dyDescent="0.3">
      <c r="A409" s="66" t="str">
        <f>+IF(PROVEEDORES[[#This Row],[FECHA DE PAGO]]=PROVEEDORES[[#This Row],[FECHA DE FACTURACIÓN]],"DE CONTADO","CRÉDITO")</f>
        <v>DE CONTADO</v>
      </c>
      <c r="B409" s="38" t="b">
        <f>+IF((PROVEEDORES[[#This Row],[FECHA DE PAGO]]-PROVEEDORES[[#This Row],[FECHA DE FACTURACIÓN]])&gt;PROVEEDORES[[#This Row],[PLAZO Días]],"PAGO VENCIDO")</f>
        <v>0</v>
      </c>
      <c r="C409" s="20">
        <f>+VLOOKUP(PROVEEDORES[[#This Row],[PROVEEDOR]],TERCEROS_INFO[#All],2,FALSE)</f>
        <v>30</v>
      </c>
      <c r="D409" s="25">
        <f>+SUMIFS(PROVEEDORES[Total],PROVEEDORES[PROVEEDOR],PROVEEDORES[[#This Row],[PROVEEDOR]],PROVEEDORES[FECHA DE PAGO],"")</f>
        <v>0</v>
      </c>
      <c r="E409" s="25"/>
      <c r="F409" s="58" t="str">
        <f>+VLOOKUP(PROVEEDORES[[#This Row],[PROVEEDOR]],
                       Terceros!$A:$F,
                       5,
                       FALSE)</f>
        <v/>
      </c>
      <c r="G409" s="161">
        <v>44643</v>
      </c>
      <c r="H409" s="26" t="s">
        <v>661</v>
      </c>
      <c r="I409" s="161">
        <v>44643</v>
      </c>
      <c r="J409" s="35" t="s">
        <v>664</v>
      </c>
      <c r="K409" s="21">
        <v>240000</v>
      </c>
      <c r="L409" s="21"/>
      <c r="M409" s="22">
        <f>(PROVEEDORES[[#This Row],[SUBTOTAL]]-PROVEEDORES[[#This Row],[descuento sobre subtotal]])*VLOOKUP(PROVEEDORES[[#This Row],[PROVEEDOR]],TERCEROS_INFO[#All],3,FALSE)</f>
        <v>0</v>
      </c>
      <c r="N409" s="23"/>
      <c r="O409" s="22">
        <f>+PROVEEDORES[[#This Row],[Descuento sobre subtotal %]]*(PROVEEDORES[[#This Row],[SUBTOTAL]]-PROVEEDORES[[#This Row],[descuento sobre subtotal]])</f>
        <v>0</v>
      </c>
      <c r="P409" s="83">
        <f>+IF(PROVEEDORES[[#This Row],[SUBTOTAL]]&lt;PROVEEDORES[[#This Row],[base retencion]],0,PROVEEDORES[[#This Row],[retención aplicada]])</f>
        <v>0</v>
      </c>
      <c r="Q409" s="22">
        <f>+PROVEEDORES[[#This Row],[Rete Fuente %]]*(PROVEEDORES[[#This Row],[SUBTOTAL]]-PROVEEDORES[[#This Row],[descuento sobre subtotal]])</f>
        <v>0</v>
      </c>
      <c r="R409" s="21">
        <v>240000</v>
      </c>
      <c r="S4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68">
        <f ca="1">IF(PROVEEDORES[[#This Row],[FECHA DE PAGO]]=0,TODAY()-PROVEEDORES[[#This Row],[FECHA DE FACTURACIÓN]]-PROVEEDORES[[#This Row],[PLAZO Días]],0)</f>
        <v>0</v>
      </c>
      <c r="U409" s="96">
        <f>+VLOOKUP(PROVEEDORES[[#This Row],[PROVEEDOR]],Terceros!$A:$D,4,FALSE)</f>
        <v>0</v>
      </c>
      <c r="V409" s="97">
        <f>+YEAR(PROVEEDORES[[#This Row],[FECHA DE FACTURACIÓN]])</f>
        <v>2022</v>
      </c>
      <c r="W409" s="97">
        <f>+MATCH(PROVEEDORES[[#This Row],[año facturado]],Retenciones!$1:$1,0)</f>
        <v>5</v>
      </c>
      <c r="X409" s="98">
        <f>+VLOOKUP(PROVEEDORES[[#This Row],[ID RETENCION]],Retenciones!$A$1:$O$25,PROVEEDORES[[#This Row],[indicador de columna]],FALSE)</f>
        <v>0</v>
      </c>
      <c r="Y409" s="99">
        <f>+VLOOKUP(PROVEEDORES[[#This Row],[ID RETENCION]],Retenciones!$A$1:$O$25,2,FALSE)</f>
        <v>0</v>
      </c>
      <c r="Z409" s="125" t="b">
        <f>OR(COUNTIF(PROVEEDORES[[#This Row],[PROVEEDOR]],"*"&amp;'Palabra no opera'!$A$2&amp;"*"))</f>
        <v>0</v>
      </c>
      <c r="AA409" s="24"/>
      <c r="AB409" s="24"/>
      <c r="AC409" s="24"/>
      <c r="AD409" s="24"/>
      <c r="AE409" s="24"/>
    </row>
    <row r="410" spans="1:31" ht="22.2" customHeight="1" x14ac:dyDescent="0.3">
      <c r="A410" s="72" t="str">
        <f>+IF(PROVEEDORES[[#This Row],[FECHA DE PAGO]]=PROVEEDORES[[#This Row],[FECHA DE FACTURACIÓN]],"DE CONTADO","CRÉDITO")</f>
        <v>CRÉDITO</v>
      </c>
      <c r="B410" s="38" t="b">
        <f>+IF((PROVEEDORES[[#This Row],[FECHA DE PAGO]]-PROVEEDORES[[#This Row],[FECHA DE FACTURACIÓN]])&gt;PROVEEDORES[[#This Row],[PLAZO Días]],"PAGO VENCIDO")</f>
        <v>0</v>
      </c>
      <c r="C410" s="20">
        <f>+VLOOKUP(PROVEEDORES[[#This Row],[PROVEEDOR]],TERCEROS_INFO[#All],2,FALSE)</f>
        <v>30</v>
      </c>
      <c r="D410" s="25">
        <f>+SUMIFS(PROVEEDORES[Total],PROVEEDORES[PROVEEDOR],PROVEEDORES[[#This Row],[PROVEEDOR]],PROVEEDORES[FECHA DE PAGO],"")</f>
        <v>0</v>
      </c>
      <c r="E410" s="25"/>
      <c r="F410" s="58" t="str">
        <f>+VLOOKUP(PROVEEDORES[[#This Row],[PROVEEDOR]],
                       Terceros!$A:$F,
                       5,
                       FALSE)</f>
        <v/>
      </c>
      <c r="G410" s="161">
        <v>44790</v>
      </c>
      <c r="H410" s="26" t="s">
        <v>1130</v>
      </c>
      <c r="I410" s="161">
        <v>44778</v>
      </c>
      <c r="J410" s="35" t="s">
        <v>1160</v>
      </c>
      <c r="K410" s="21">
        <v>240000</v>
      </c>
      <c r="L410" s="21"/>
      <c r="M410" s="22">
        <f>(PROVEEDORES[[#This Row],[SUBTOTAL]]-PROVEEDORES[[#This Row],[descuento sobre subtotal]])*VLOOKUP(PROVEEDORES[[#This Row],[PROVEEDOR]],TERCEROS_INFO[#All],3,FALSE)</f>
        <v>0</v>
      </c>
      <c r="N410" s="23"/>
      <c r="O410" s="22">
        <f>+PROVEEDORES[[#This Row],[Descuento sobre subtotal %]]*(PROVEEDORES[[#This Row],[SUBTOTAL]]-PROVEEDORES[[#This Row],[descuento sobre subtotal]])</f>
        <v>0</v>
      </c>
      <c r="P410" s="83">
        <f>+IF(PROVEEDORES[[#This Row],[SUBTOTAL]]&lt;PROVEEDORES[[#This Row],[base retencion]],0,PROVEEDORES[[#This Row],[retención aplicada]])</f>
        <v>0</v>
      </c>
      <c r="Q410" s="22">
        <f>+PROVEEDORES[[#This Row],[Rete Fuente %]]*(PROVEEDORES[[#This Row],[SUBTOTAL]]-PROVEEDORES[[#This Row],[descuento sobre subtotal]])</f>
        <v>0</v>
      </c>
      <c r="R410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41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68">
        <f ca="1">IF(PROVEEDORES[[#This Row],[FECHA DE PAGO]]=0,TODAY()-PROVEEDORES[[#This Row],[FECHA DE FACTURACIÓN]]-PROVEEDORES[[#This Row],[PLAZO Días]],0)</f>
        <v>0</v>
      </c>
      <c r="U410" s="113">
        <f>+VLOOKUP(PROVEEDORES[[#This Row],[PROVEEDOR]],Terceros!$A:$D,4,FALSE)</f>
        <v>0</v>
      </c>
      <c r="V410" s="114">
        <f>+YEAR(PROVEEDORES[[#This Row],[FECHA DE FACTURACIÓN]])</f>
        <v>2022</v>
      </c>
      <c r="W410" s="114">
        <f>+MATCH(PROVEEDORES[[#This Row],[año facturado]],Retenciones!$1:$1,0)</f>
        <v>5</v>
      </c>
      <c r="X410" s="115">
        <f>+VLOOKUP(PROVEEDORES[[#This Row],[ID RETENCION]],Retenciones!$A$1:$O$25,PROVEEDORES[[#This Row],[indicador de columna]],FALSE)</f>
        <v>0</v>
      </c>
      <c r="Y410" s="116">
        <f>+VLOOKUP(PROVEEDORES[[#This Row],[ID RETENCION]],Retenciones!$A$1:$O$25,2,FALSE)</f>
        <v>0</v>
      </c>
      <c r="Z410" s="125" t="b">
        <f>OR(COUNTIF(PROVEEDORES[[#This Row],[PROVEEDOR]],"*"&amp;'Palabra no opera'!$A$2&amp;"*"))</f>
        <v>1</v>
      </c>
      <c r="AA410" s="24"/>
      <c r="AB410" s="24"/>
      <c r="AC410" s="24"/>
      <c r="AD410" s="24"/>
      <c r="AE410" s="24"/>
    </row>
    <row r="411" spans="1:31" ht="22.2" customHeight="1" x14ac:dyDescent="0.3">
      <c r="A411" s="112" t="str">
        <f>+IF(PROVEEDORES[[#This Row],[FECHA DE PAGO]]=PROVEEDORES[[#This Row],[FECHA DE FACTURACIÓN]],"DE CONTADO","CRÉDITO")</f>
        <v>DE CONTADO</v>
      </c>
      <c r="B411" s="38" t="b">
        <f>+IF((PROVEEDORES[[#This Row],[FECHA DE PAGO]]-PROVEEDORES[[#This Row],[FECHA DE FACTURACIÓN]])&gt;PROVEEDORES[[#This Row],[PLAZO Días]],"PAGO VENCIDO")</f>
        <v>0</v>
      </c>
      <c r="C411" s="20">
        <f>+VLOOKUP(PROVEEDORES[[#This Row],[PROVEEDOR]],TERCEROS_INFO[#All],2,FALSE)</f>
        <v>30</v>
      </c>
      <c r="D411" s="25">
        <f>+SUMIFS(PROVEEDORES[Total],PROVEEDORES[PROVEEDOR],PROVEEDORES[[#This Row],[PROVEEDOR]],PROVEEDORES[FECHA DE PAGO],"")</f>
        <v>1468491.82</v>
      </c>
      <c r="E411" s="25"/>
      <c r="F411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411" s="161">
        <v>44670</v>
      </c>
      <c r="H411" s="26" t="s">
        <v>1638</v>
      </c>
      <c r="I411" s="161">
        <v>44670</v>
      </c>
      <c r="J411" s="35" t="s">
        <v>882</v>
      </c>
      <c r="K411" s="21">
        <v>201681</v>
      </c>
      <c r="L411" s="21"/>
      <c r="M411" s="22">
        <f>(PROVEEDORES[[#This Row],[SUBTOTAL]]-PROVEEDORES[[#This Row],[descuento sobre subtotal]])*VLOOKUP(PROVEEDORES[[#This Row],[PROVEEDOR]],TERCEROS_INFO[#All],3,FALSE)</f>
        <v>38319.39</v>
      </c>
      <c r="N411" s="23"/>
      <c r="O411" s="22">
        <f>+PROVEEDORES[[#This Row],[Descuento sobre subtotal %]]*(PROVEEDORES[[#This Row],[SUBTOTAL]]-PROVEEDORES[[#This Row],[descuento sobre subtotal]])</f>
        <v>0</v>
      </c>
      <c r="P411" s="83">
        <f>+IF(PROVEEDORES[[#This Row],[SUBTOTAL]]&lt;PROVEEDORES[[#This Row],[base retencion]],0,PROVEEDORES[[#This Row],[retención aplicada]])</f>
        <v>0</v>
      </c>
      <c r="Q411" s="22">
        <f>+PROVEEDORES[[#This Row],[Rete Fuente %]]*(PROVEEDORES[[#This Row],[SUBTOTAL]]-PROVEEDORES[[#This Row],[descuento sobre subtotal]])</f>
        <v>0</v>
      </c>
      <c r="R411" s="21">
        <f>+PROVEEDORES[[#This Row],[SUBTOTAL]]+PROVEEDORES[[#This Row],[IVA 19%]]-PROVEEDORES[[#This Row],[descuento sobre subtotal]]-PROVEEDORES[[#This Row],[Descuento sobre subtotal $2]]-PROVEEDORES[[#This Row],[Rete Fuente $]]</f>
        <v>240000.39</v>
      </c>
      <c r="S411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68">
        <f ca="1">IF(PROVEEDORES[[#This Row],[FECHA DE PAGO]]=0,TODAY()-PROVEEDORES[[#This Row],[FECHA DE FACTURACIÓN]]-PROVEEDORES[[#This Row],[PLAZO Días]],0)</f>
        <v>0</v>
      </c>
      <c r="U411" s="113" t="str">
        <f>+VLOOKUP(PROVEEDORES[[#This Row],[PROVEEDOR]],Terceros!$A:$D,4,FALSE)</f>
        <v>2,5% con base</v>
      </c>
      <c r="V411" s="114">
        <f>+YEAR(PROVEEDORES[[#This Row],[FECHA DE FACTURACIÓN]])</f>
        <v>2022</v>
      </c>
      <c r="W411" s="114">
        <f>+MATCH(PROVEEDORES[[#This Row],[año facturado]],Retenciones!$1:$1,0)</f>
        <v>5</v>
      </c>
      <c r="X411" s="115">
        <f>+VLOOKUP(PROVEEDORES[[#This Row],[ID RETENCION]],Retenciones!$A$1:$O$25,PROVEEDORES[[#This Row],[indicador de columna]],FALSE)</f>
        <v>1026000</v>
      </c>
      <c r="Y411" s="116">
        <f>+VLOOKUP(PROVEEDORES[[#This Row],[ID RETENCION]],Retenciones!$A$1:$O$25,2,FALSE)</f>
        <v>2.5000000000000001E-2</v>
      </c>
      <c r="Z411" s="125" t="b">
        <f>OR(COUNTIF(PROVEEDORES[[#This Row],[PROVEEDOR]],"*"&amp;'Palabra no opera'!$A$2&amp;"*"))</f>
        <v>0</v>
      </c>
      <c r="AA411" s="24"/>
      <c r="AB411" s="24"/>
      <c r="AC411" s="24"/>
      <c r="AD411" s="24"/>
      <c r="AE411" s="24"/>
    </row>
    <row r="412" spans="1:31" ht="22.2" customHeight="1" x14ac:dyDescent="0.3">
      <c r="A412" s="66" t="str">
        <f>+IF(PROVEEDORES[[#This Row],[FECHA DE PAGO]]=PROVEEDORES[[#This Row],[FECHA DE FACTURACIÓN]],"DE CONTADO","CRÉDITO")</f>
        <v>CRÉDITO</v>
      </c>
      <c r="B412" s="38" t="str">
        <f>+IF((PROVEEDORES[[#This Row],[FECHA DE PAGO]]-PROVEEDORES[[#This Row],[FECHA DE FACTURACIÓN]])&gt;PROVEEDORES[[#This Row],[PLAZO Días]],"PAGO VENCIDO")</f>
        <v>PAGO VENCIDO</v>
      </c>
      <c r="C412" s="20">
        <f>+VLOOKUP(PROVEEDORES[[#This Row],[PROVEEDOR]],TERCEROS_INFO[#All],2,FALSE)</f>
        <v>30</v>
      </c>
      <c r="D412" s="25">
        <f>+SUMIFS(PROVEEDORES[Total],PROVEEDORES[PROVEEDOR],PROVEEDORES[[#This Row],[PROVEEDOR]],PROVEEDORES[FECHA DE PAGO],"")</f>
        <v>0</v>
      </c>
      <c r="E412" s="25"/>
      <c r="F41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412" s="161">
        <v>44498</v>
      </c>
      <c r="H412" s="26" t="s">
        <v>918</v>
      </c>
      <c r="I412" s="161">
        <v>44314</v>
      </c>
      <c r="J412" s="35" t="s">
        <v>1213</v>
      </c>
      <c r="K412" s="21">
        <v>240387</v>
      </c>
      <c r="L412" s="21"/>
      <c r="M412" s="22">
        <f>(PROVEEDORES[[#This Row],[SUBTOTAL]]-PROVEEDORES[[#This Row],[descuento sobre subtotal]])*VLOOKUP(PROVEEDORES[[#This Row],[PROVEEDOR]],TERCEROS_INFO[#All],3,FALSE)</f>
        <v>0</v>
      </c>
      <c r="N412" s="23"/>
      <c r="O412" s="22">
        <f>+PROVEEDORES[[#This Row],[Descuento sobre subtotal %]]*(PROVEEDORES[[#This Row],[SUBTOTAL]]-PROVEEDORES[[#This Row],[descuento sobre subtotal]])</f>
        <v>0</v>
      </c>
      <c r="P412" s="83">
        <f>+IF(PROVEEDORES[[#This Row],[SUBTOTAL]]&lt;PROVEEDORES[[#This Row],[base retencion]],0,PROVEEDORES[[#This Row],[retención aplicada]])</f>
        <v>0</v>
      </c>
      <c r="Q412" s="22">
        <f>+PROVEEDORES[[#This Row],[Rete Fuente %]]*(PROVEEDORES[[#This Row],[SUBTOTAL]]-PROVEEDORES[[#This Row],[descuento sobre subtotal]])</f>
        <v>0</v>
      </c>
      <c r="R412" s="21">
        <f>+PROVEEDORES[[#This Row],[SUBTOTAL]]+PROVEEDORES[[#This Row],[IVA 19%]]-PROVEEDORES[[#This Row],[descuento sobre subtotal]]-PROVEEDORES[[#This Row],[Descuento sobre subtotal $2]]-PROVEEDORES[[#This Row],[Rete Fuente $]]</f>
        <v>240387</v>
      </c>
      <c r="S4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68">
        <f ca="1">IF(PROVEEDORES[[#This Row],[FECHA DE PAGO]]=0,TODAY()-PROVEEDORES[[#This Row],[FECHA DE FACTURACIÓN]]-PROVEEDORES[[#This Row],[PLAZO Días]],0)</f>
        <v>0</v>
      </c>
      <c r="U412" s="96">
        <f>+VLOOKUP(PROVEEDORES[[#This Row],[PROVEEDOR]],Terceros!$A:$D,4,FALSE)</f>
        <v>0</v>
      </c>
      <c r="V412" s="97">
        <f>+YEAR(PROVEEDORES[[#This Row],[FECHA DE FACTURACIÓN]])</f>
        <v>2021</v>
      </c>
      <c r="W412" s="97">
        <f>+MATCH(PROVEEDORES[[#This Row],[año facturado]],Retenciones!$1:$1,0)</f>
        <v>4</v>
      </c>
      <c r="X412" s="98">
        <f>+VLOOKUP(PROVEEDORES[[#This Row],[ID RETENCION]],Retenciones!$A$1:$O$25,PROVEEDORES[[#This Row],[indicador de columna]],FALSE)</f>
        <v>0</v>
      </c>
      <c r="Y412" s="99">
        <f>+VLOOKUP(PROVEEDORES[[#This Row],[ID RETENCION]],Retenciones!$A$1:$O$25,2,FALSE)</f>
        <v>0</v>
      </c>
      <c r="Z412" s="125" t="b">
        <f>OR(COUNTIF(PROVEEDORES[[#This Row],[PROVEEDOR]],"*"&amp;'Palabra no opera'!$A$2&amp;"*"))</f>
        <v>1</v>
      </c>
      <c r="AA412" s="24"/>
      <c r="AB412" s="24"/>
      <c r="AC412" s="24"/>
      <c r="AD412" s="24"/>
      <c r="AE412" s="24"/>
    </row>
    <row r="413" spans="1:31" ht="22.2" customHeight="1" x14ac:dyDescent="0.3">
      <c r="A413" s="66" t="str">
        <f>+IF(PROVEEDORES[[#This Row],[FECHA DE PAGO]]=PROVEEDORES[[#This Row],[FECHA DE FACTURACIÓN]],"DE CONTADO","CRÉDITO")</f>
        <v>CRÉDITO</v>
      </c>
      <c r="B413" s="38" t="str">
        <f>+IF((PROVEEDORES[[#This Row],[FECHA DE PAGO]]-PROVEEDORES[[#This Row],[FECHA DE FACTURACIÓN]])&gt;PROVEEDORES[[#This Row],[PLAZO Días]],"PAGO VENCIDO")</f>
        <v>PAGO VENCIDO</v>
      </c>
      <c r="C413" s="20">
        <f>+VLOOKUP(PROVEEDORES[[#This Row],[PROVEEDOR]],TERCEROS_INFO[#All],2,FALSE)</f>
        <v>30</v>
      </c>
      <c r="D413" s="25">
        <f>+SUMIFS(PROVEEDORES[Total],PROVEEDORES[PROVEEDOR],PROVEEDORES[[#This Row],[PROVEEDOR]],PROVEEDORES[FECHA DE PAGO],"")</f>
        <v>-101001.25</v>
      </c>
      <c r="E413" s="25"/>
      <c r="F413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413" s="161">
        <v>44344</v>
      </c>
      <c r="H413" s="26" t="s">
        <v>14</v>
      </c>
      <c r="I413" s="161">
        <v>44308</v>
      </c>
      <c r="J413" s="35" t="s">
        <v>299</v>
      </c>
      <c r="K413" s="21">
        <v>202496</v>
      </c>
      <c r="L413" s="21"/>
      <c r="M413" s="22">
        <f>(PROVEEDORES[[#This Row],[SUBTOTAL]]-PROVEEDORES[[#This Row],[descuento sobre subtotal]])*VLOOKUP(PROVEEDORES[[#This Row],[PROVEEDOR]],TERCEROS_INFO[#All],3,FALSE)</f>
        <v>38474.239999999998</v>
      </c>
      <c r="N413" s="23"/>
      <c r="O413" s="22">
        <f>+PROVEEDORES[[#This Row],[Descuento sobre subtotal %]]*(PROVEEDORES[[#This Row],[SUBTOTAL]]-PROVEEDORES[[#This Row],[descuento sobre subtotal]])</f>
        <v>0</v>
      </c>
      <c r="P413" s="83">
        <f>+IF(PROVEEDORES[[#This Row],[SUBTOTAL]]&lt;PROVEEDORES[[#This Row],[base retencion]],0,PROVEEDORES[[#This Row],[retención aplicada]])</f>
        <v>0</v>
      </c>
      <c r="Q413" s="22">
        <f>+PROVEEDORES[[#This Row],[Rete Fuente %]]*(PROVEEDORES[[#This Row],[SUBTOTAL]]-PROVEEDORES[[#This Row],[descuento sobre subtotal]])</f>
        <v>0</v>
      </c>
      <c r="R413" s="21">
        <f>+PROVEEDORES[[#This Row],[SUBTOTAL]]+PROVEEDORES[[#This Row],[IVA 19%]]-PROVEEDORES[[#This Row],[descuento sobre subtotal]]-PROVEEDORES[[#This Row],[Descuento sobre subtotal $2]]-PROVEEDORES[[#This Row],[Rete Fuente $]]</f>
        <v>240970.23999999999</v>
      </c>
      <c r="S4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68">
        <f ca="1">IF(PROVEEDORES[[#This Row],[FECHA DE PAGO]]=0,TODAY()-PROVEEDORES[[#This Row],[FECHA DE FACTURACIÓN]]-PROVEEDORES[[#This Row],[PLAZO Días]],0)</f>
        <v>0</v>
      </c>
      <c r="U413" s="96" t="str">
        <f>+VLOOKUP(PROVEEDORES[[#This Row],[PROVEEDOR]],Terceros!$A:$D,4,FALSE)</f>
        <v>2,5% con base</v>
      </c>
      <c r="V413" s="97">
        <f>+YEAR(PROVEEDORES[[#This Row],[FECHA DE FACTURACIÓN]])</f>
        <v>2021</v>
      </c>
      <c r="W413" s="97">
        <f>+MATCH(PROVEEDORES[[#This Row],[año facturado]],Retenciones!$1:$1,0)</f>
        <v>4</v>
      </c>
      <c r="X413" s="98">
        <f>+VLOOKUP(PROVEEDORES[[#This Row],[ID RETENCION]],Retenciones!$A$1:$O$25,PROVEEDORES[[#This Row],[indicador de columna]],FALSE)</f>
        <v>980000</v>
      </c>
      <c r="Y413" s="99">
        <f>+VLOOKUP(PROVEEDORES[[#This Row],[ID RETENCION]],Retenciones!$A$1:$O$25,2,FALSE)</f>
        <v>2.5000000000000001E-2</v>
      </c>
      <c r="Z413" s="125" t="b">
        <f>OR(COUNTIF(PROVEEDORES[[#This Row],[PROVEEDOR]],"*"&amp;'Palabra no opera'!$A$2&amp;"*"))</f>
        <v>0</v>
      </c>
      <c r="AA413" s="24"/>
      <c r="AB413" s="24"/>
      <c r="AC413" s="24"/>
      <c r="AD413" s="24"/>
      <c r="AE413" s="24"/>
    </row>
    <row r="414" spans="1:31" ht="22.2" customHeight="1" x14ac:dyDescent="0.3">
      <c r="A414" s="66" t="str">
        <f>+IF(PROVEEDORES[[#This Row],[FECHA DE PAGO]]=PROVEEDORES[[#This Row],[FECHA DE FACTURACIÓN]],"DE CONTADO","CRÉDITO")</f>
        <v>CRÉDITO</v>
      </c>
      <c r="B414" s="38" t="b">
        <f>+IF((PROVEEDORES[[#This Row],[FECHA DE PAGO]]-PROVEEDORES[[#This Row],[FECHA DE FACTURACIÓN]])&gt;PROVEEDORES[[#This Row],[PLAZO Días]],"PAGO VENCIDO")</f>
        <v>0</v>
      </c>
      <c r="C414" s="20">
        <f>+VLOOKUP(PROVEEDORES[[#This Row],[PROVEEDOR]],TERCEROS_INFO[#All],2,FALSE)</f>
        <v>30</v>
      </c>
      <c r="D414" s="25">
        <f>+SUMIFS(PROVEEDORES[Total],PROVEEDORES[PROVEEDOR],PROVEEDORES[[#This Row],[PROVEEDOR]],PROVEEDORES[FECHA DE PAGO],"")</f>
        <v>0</v>
      </c>
      <c r="E414" s="25"/>
      <c r="F41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14" s="161">
        <v>44210</v>
      </c>
      <c r="H414" s="26" t="s">
        <v>1450</v>
      </c>
      <c r="I414" s="161">
        <v>44209</v>
      </c>
      <c r="J414" s="35"/>
      <c r="K414" s="21">
        <v>241000</v>
      </c>
      <c r="L414" s="21"/>
      <c r="M414" s="22">
        <f>(PROVEEDORES[[#This Row],[SUBTOTAL]]-PROVEEDORES[[#This Row],[descuento sobre subtotal]])*VLOOKUP(PROVEEDORES[[#This Row],[PROVEEDOR]],TERCEROS_INFO[#All],3,FALSE)</f>
        <v>0</v>
      </c>
      <c r="N414" s="23"/>
      <c r="O414" s="22">
        <f>+PROVEEDORES[[#This Row],[Descuento sobre subtotal %]]*(PROVEEDORES[[#This Row],[SUBTOTAL]]-PROVEEDORES[[#This Row],[descuento sobre subtotal]])</f>
        <v>0</v>
      </c>
      <c r="P414" s="83">
        <f>+IF(PROVEEDORES[[#This Row],[SUBTOTAL]]&lt;PROVEEDORES[[#This Row],[base retencion]],0,PROVEEDORES[[#This Row],[retención aplicada]])</f>
        <v>0</v>
      </c>
      <c r="Q414" s="22">
        <f>+PROVEEDORES[[#This Row],[Rete Fuente %]]*(PROVEEDORES[[#This Row],[SUBTOTAL]]-PROVEEDORES[[#This Row],[descuento sobre subtotal]])</f>
        <v>0</v>
      </c>
      <c r="R414" s="21">
        <f>+PROVEEDORES[[#This Row],[SUBTOTAL]]+PROVEEDORES[[#This Row],[IVA 19%]]-PROVEEDORES[[#This Row],[descuento sobre subtotal]]-PROVEEDORES[[#This Row],[Descuento sobre subtotal $2]]-PROVEEDORES[[#This Row],[Rete Fuente $]]</f>
        <v>241000</v>
      </c>
      <c r="S4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68">
        <f ca="1">IF(PROVEEDORES[[#This Row],[FECHA DE PAGO]]=0,TODAY()-PROVEEDORES[[#This Row],[FECHA DE FACTURACIÓN]]-PROVEEDORES[[#This Row],[PLAZO Días]],0)</f>
        <v>0</v>
      </c>
      <c r="U414" s="96">
        <f>+VLOOKUP(PROVEEDORES[[#This Row],[PROVEEDOR]],Terceros!$A:$D,4,FALSE)</f>
        <v>0</v>
      </c>
      <c r="V414" s="97">
        <f>+YEAR(PROVEEDORES[[#This Row],[FECHA DE FACTURACIÓN]])</f>
        <v>2021</v>
      </c>
      <c r="W414" s="97">
        <f>+MATCH(PROVEEDORES[[#This Row],[año facturado]],Retenciones!$1:$1,0)</f>
        <v>4</v>
      </c>
      <c r="X414" s="98">
        <f>+VLOOKUP(PROVEEDORES[[#This Row],[ID RETENCION]],Retenciones!$A$1:$O$25,PROVEEDORES[[#This Row],[indicador de columna]],FALSE)</f>
        <v>0</v>
      </c>
      <c r="Y414" s="99">
        <f>+VLOOKUP(PROVEEDORES[[#This Row],[ID RETENCION]],Retenciones!$A$1:$O$25,2,FALSE)</f>
        <v>0</v>
      </c>
      <c r="Z414" s="125" t="b">
        <f>OR(COUNTIF(PROVEEDORES[[#This Row],[PROVEEDOR]],"*"&amp;'Palabra no opera'!$A$2&amp;"*"))</f>
        <v>0</v>
      </c>
      <c r="AA414" s="24"/>
      <c r="AB414" s="24"/>
      <c r="AC414" s="24"/>
      <c r="AD414" s="24"/>
      <c r="AE414" s="24"/>
    </row>
    <row r="415" spans="1:31" ht="22.2" customHeight="1" x14ac:dyDescent="0.3">
      <c r="A415" s="66" t="str">
        <f>+IF(PROVEEDORES[[#This Row],[FECHA DE PAGO]]=PROVEEDORES[[#This Row],[FECHA DE FACTURACIÓN]],"DE CONTADO","CRÉDITO")</f>
        <v>CRÉDITO</v>
      </c>
      <c r="B415" s="38" t="b">
        <f>+IF((PROVEEDORES[[#This Row],[FECHA DE PAGO]]-PROVEEDORES[[#This Row],[FECHA DE FACTURACIÓN]])&gt;PROVEEDORES[[#This Row],[PLAZO Días]],"PAGO VENCIDO")</f>
        <v>0</v>
      </c>
      <c r="C415" s="20">
        <f>+VLOOKUP(PROVEEDORES[[#This Row],[PROVEEDOR]],TERCEROS_INFO[#All],2,FALSE)</f>
        <v>30</v>
      </c>
      <c r="D415" s="25">
        <f>+SUMIFS(PROVEEDORES[Total],PROVEEDORES[PROVEEDOR],PROVEEDORES[[#This Row],[PROVEEDOR]],PROVEEDORES[FECHA DE PAGO],"")</f>
        <v>0</v>
      </c>
      <c r="E415" s="25"/>
      <c r="F415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415" s="161">
        <v>44351</v>
      </c>
      <c r="H415" s="26" t="s">
        <v>930</v>
      </c>
      <c r="I415" s="161">
        <v>44347</v>
      </c>
      <c r="J415" s="35">
        <v>559</v>
      </c>
      <c r="K415" s="21">
        <v>250000</v>
      </c>
      <c r="L415" s="21"/>
      <c r="M415" s="22">
        <f>(PROVEEDORES[[#This Row],[SUBTOTAL]]-PROVEEDORES[[#This Row],[descuento sobre subtotal]])*VLOOKUP(PROVEEDORES[[#This Row],[PROVEEDOR]],TERCEROS_INFO[#All],3,FALSE)</f>
        <v>0</v>
      </c>
      <c r="N415" s="23"/>
      <c r="O415" s="22">
        <f>+PROVEEDORES[[#This Row],[Descuento sobre subtotal %]]*(PROVEEDORES[[#This Row],[SUBTOTAL]]-PROVEEDORES[[#This Row],[descuento sobre subtotal]])</f>
        <v>0</v>
      </c>
      <c r="P415" s="83">
        <f>+IF(PROVEEDORES[[#This Row],[SUBTOTAL]]&lt;PROVEEDORES[[#This Row],[base retencion]],0,PROVEEDORES[[#This Row],[retención aplicada]])</f>
        <v>3.5000000000000003E-2</v>
      </c>
      <c r="Q415" s="22">
        <f>+PROVEEDORES[[#This Row],[Rete Fuente %]]*(PROVEEDORES[[#This Row],[SUBTOTAL]]-PROVEEDORES[[#This Row],[descuento sobre subtotal]])</f>
        <v>8750</v>
      </c>
      <c r="R415" s="21">
        <f>+PROVEEDORES[[#This Row],[SUBTOTAL]]+PROVEEDORES[[#This Row],[IVA 19%]]-PROVEEDORES[[#This Row],[descuento sobre subtotal]]-PROVEEDORES[[#This Row],[Descuento sobre subtotal $2]]-PROVEEDORES[[#This Row],[Rete Fuente $]]</f>
        <v>241250</v>
      </c>
      <c r="S4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68">
        <f ca="1">IF(PROVEEDORES[[#This Row],[FECHA DE PAGO]]=0,TODAY()-PROVEEDORES[[#This Row],[FECHA DE FACTURACIÓN]]-PROVEEDORES[[#This Row],[PLAZO Días]],0)</f>
        <v>0</v>
      </c>
      <c r="U415" s="96" t="str">
        <f>+VLOOKUP(PROVEEDORES[[#This Row],[PROVEEDOR]],Terceros!$A:$D,4,FALSE)</f>
        <v>3,5% sin base</v>
      </c>
      <c r="V415" s="97">
        <f>+YEAR(PROVEEDORES[[#This Row],[FECHA DE FACTURACIÓN]])</f>
        <v>2021</v>
      </c>
      <c r="W415" s="97">
        <f>+MATCH(PROVEEDORES[[#This Row],[año facturado]],Retenciones!$1:$1,0)</f>
        <v>4</v>
      </c>
      <c r="X415" s="98">
        <f>+VLOOKUP(PROVEEDORES[[#This Row],[ID RETENCION]],Retenciones!$A$1:$O$25,PROVEEDORES[[#This Row],[indicador de columna]],FALSE)</f>
        <v>0</v>
      </c>
      <c r="Y415" s="99">
        <f>+VLOOKUP(PROVEEDORES[[#This Row],[ID RETENCION]],Retenciones!$A$1:$O$25,2,FALSE)</f>
        <v>3.5000000000000003E-2</v>
      </c>
      <c r="Z415" s="125" t="b">
        <f>OR(COUNTIF(PROVEEDORES[[#This Row],[PROVEEDOR]],"*"&amp;'Palabra no opera'!$A$2&amp;"*"))</f>
        <v>1</v>
      </c>
      <c r="AA415" s="24"/>
      <c r="AB415" s="24"/>
      <c r="AC415" s="24"/>
      <c r="AD415" s="24"/>
      <c r="AE415" s="24"/>
    </row>
    <row r="416" spans="1:31" ht="22.2" customHeight="1" x14ac:dyDescent="0.3">
      <c r="A416" s="72" t="str">
        <f>+IF(PROVEEDORES[[#This Row],[FECHA DE PAGO]]=PROVEEDORES[[#This Row],[FECHA DE FACTURACIÓN]],"DE CONTADO","CRÉDITO")</f>
        <v>CRÉDITO</v>
      </c>
      <c r="B416" s="38" t="b">
        <f>+IF((PROVEEDORES[[#This Row],[FECHA DE PAGO]]-PROVEEDORES[[#This Row],[FECHA DE FACTURACIÓN]])&gt;PROVEEDORES[[#This Row],[PLAZO Días]],"PAGO VENCIDO")</f>
        <v>0</v>
      </c>
      <c r="C416" s="20">
        <f>+VLOOKUP(PROVEEDORES[[#This Row],[PROVEEDOR]],TERCEROS_INFO[#All],2,FALSE)</f>
        <v>30</v>
      </c>
      <c r="D416" s="25">
        <f>+SUMIFS(PROVEEDORES[Total],PROVEEDORES[PROVEEDOR],PROVEEDORES[[#This Row],[PROVEEDOR]],PROVEEDORES[FECHA DE PAGO],"")</f>
        <v>0</v>
      </c>
      <c r="E416" s="25"/>
      <c r="F416" s="58" t="str">
        <f>+VLOOKUP(PROVEEDORES[[#This Row],[PROVEEDOR]],
                       Terceros!$A:$F,
                       5,
                       FALSE)</f>
        <v/>
      </c>
      <c r="G416" s="161">
        <v>44825</v>
      </c>
      <c r="H416" s="26" t="s">
        <v>644</v>
      </c>
      <c r="I416" s="161">
        <v>44824</v>
      </c>
      <c r="J416" s="35" t="s">
        <v>1702</v>
      </c>
      <c r="K416" s="21">
        <v>243096</v>
      </c>
      <c r="L416" s="21"/>
      <c r="M416" s="22">
        <f>(PROVEEDORES[[#This Row],[SUBTOTAL]]-PROVEEDORES[[#This Row],[descuento sobre subtotal]])*VLOOKUP(PROVEEDORES[[#This Row],[PROVEEDOR]],TERCEROS_INFO[#All],3,FALSE)</f>
        <v>0</v>
      </c>
      <c r="N416" s="23"/>
      <c r="O416" s="22">
        <f>+PROVEEDORES[[#This Row],[Descuento sobre subtotal %]]*(PROVEEDORES[[#This Row],[SUBTOTAL]]-PROVEEDORES[[#This Row],[descuento sobre subtotal]])</f>
        <v>0</v>
      </c>
      <c r="P416" s="83">
        <f>+IF(PROVEEDORES[[#This Row],[SUBTOTAL]]&lt;PROVEEDORES[[#This Row],[base retencion]],0,PROVEEDORES[[#This Row],[retención aplicada]])</f>
        <v>0</v>
      </c>
      <c r="Q416" s="22">
        <f>+PROVEEDORES[[#This Row],[Rete Fuente %]]*(PROVEEDORES[[#This Row],[SUBTOTAL]]-PROVEEDORES[[#This Row],[descuento sobre subtotal]])</f>
        <v>0</v>
      </c>
      <c r="R416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41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68">
        <f ca="1">IF(PROVEEDORES[[#This Row],[FECHA DE PAGO]]=0,TODAY()-PROVEEDORES[[#This Row],[FECHA DE FACTURACIÓN]]-PROVEEDORES[[#This Row],[PLAZO Días]],0)</f>
        <v>0</v>
      </c>
      <c r="U416" s="113">
        <f>+VLOOKUP(PROVEEDORES[[#This Row],[PROVEEDOR]],Terceros!$A:$D,4,FALSE)</f>
        <v>0</v>
      </c>
      <c r="V416" s="114">
        <f>+YEAR(PROVEEDORES[[#This Row],[FECHA DE FACTURACIÓN]])</f>
        <v>2022</v>
      </c>
      <c r="W416" s="114">
        <f>+MATCH(PROVEEDORES[[#This Row],[año facturado]],Retenciones!$1:$1,0)</f>
        <v>5</v>
      </c>
      <c r="X416" s="115">
        <f>+VLOOKUP(PROVEEDORES[[#This Row],[ID RETENCION]],Retenciones!$A$1:$O$25,PROVEEDORES[[#This Row],[indicador de columna]],FALSE)</f>
        <v>0</v>
      </c>
      <c r="Y416" s="116">
        <f>+VLOOKUP(PROVEEDORES[[#This Row],[ID RETENCION]],Retenciones!$A$1:$O$25,2,FALSE)</f>
        <v>0</v>
      </c>
      <c r="Z416" s="125" t="b">
        <f>OR(COUNTIF(PROVEEDORES[[#This Row],[PROVEEDOR]],"*"&amp;'Palabra no opera'!$A$2&amp;"*"))</f>
        <v>0</v>
      </c>
      <c r="AA416" s="24"/>
      <c r="AB416" s="24"/>
      <c r="AC416" s="24"/>
      <c r="AD416" s="24"/>
      <c r="AE416" s="24"/>
    </row>
    <row r="417" spans="1:31" ht="22.2" customHeight="1" x14ac:dyDescent="0.3">
      <c r="A417" s="72" t="str">
        <f>+IF(PROVEEDORES[[#This Row],[FECHA DE PAGO]]=PROVEEDORES[[#This Row],[FECHA DE FACTURACIÓN]],"DE CONTADO","CRÉDITO")</f>
        <v>CRÉDITO</v>
      </c>
      <c r="B417" s="38" t="b">
        <f>+IF((PROVEEDORES[[#This Row],[FECHA DE PAGO]]-PROVEEDORES[[#This Row],[FECHA DE FACTURACIÓN]])&gt;PROVEEDORES[[#This Row],[PLAZO Días]],"PAGO VENCIDO")</f>
        <v>0</v>
      </c>
      <c r="C417" s="20">
        <f>+VLOOKUP(PROVEEDORES[[#This Row],[PROVEEDOR]],TERCEROS_INFO[#All],2,FALSE)</f>
        <v>60</v>
      </c>
      <c r="D417" s="25">
        <f>+SUMIFS(PROVEEDORES[Total],PROVEEDORES[PROVEEDOR],PROVEEDORES[[#This Row],[PROVEEDOR]],PROVEEDORES[FECHA DE PAGO],"")</f>
        <v>1520362</v>
      </c>
      <c r="E417" s="25"/>
      <c r="F417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17" s="161">
        <v>44870</v>
      </c>
      <c r="H417" s="26" t="s">
        <v>528</v>
      </c>
      <c r="I417" s="74">
        <v>44832</v>
      </c>
      <c r="J417" s="35">
        <v>1492</v>
      </c>
      <c r="K417" s="21">
        <v>243096</v>
      </c>
      <c r="L417" s="21"/>
      <c r="M417" s="22">
        <f>(PROVEEDORES[[#This Row],[SUBTOTAL]]-PROVEEDORES[[#This Row],[descuento sobre subtotal]])*VLOOKUP(PROVEEDORES[[#This Row],[PROVEEDOR]],TERCEROS_INFO[#All],3,FALSE)</f>
        <v>0</v>
      </c>
      <c r="N417" s="23"/>
      <c r="O417" s="22">
        <f>+PROVEEDORES[[#This Row],[Descuento sobre subtotal %]]*(PROVEEDORES[[#This Row],[SUBTOTAL]]-PROVEEDORES[[#This Row],[descuento sobre subtotal]])</f>
        <v>0</v>
      </c>
      <c r="P417" s="83">
        <f>+IF(PROVEEDORES[[#This Row],[SUBTOTAL]]&lt;PROVEEDORES[[#This Row],[base retencion]],0,PROVEEDORES[[#This Row],[retención aplicada]])</f>
        <v>0</v>
      </c>
      <c r="Q417" s="22">
        <f>+PROVEEDORES[[#This Row],[Rete Fuente %]]*(PROVEEDORES[[#This Row],[SUBTOTAL]]-PROVEEDORES[[#This Row],[descuento sobre subtotal]])</f>
        <v>0</v>
      </c>
      <c r="R417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41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68">
        <f ca="1">IF(PROVEEDORES[[#This Row],[FECHA DE PAGO]]=0,TODAY()-PROVEEDORES[[#This Row],[FECHA DE FACTURACIÓN]]-PROVEEDORES[[#This Row],[PLAZO Días]],0)</f>
        <v>0</v>
      </c>
      <c r="U417" s="113">
        <f>+VLOOKUP(PROVEEDORES[[#This Row],[PROVEEDOR]],Terceros!$A:$D,4,FALSE)</f>
        <v>0</v>
      </c>
      <c r="V417" s="114">
        <f>+YEAR(PROVEEDORES[[#This Row],[FECHA DE FACTURACIÓN]])</f>
        <v>2022</v>
      </c>
      <c r="W417" s="114">
        <f>+MATCH(PROVEEDORES[[#This Row],[año facturado]],Retenciones!$1:$1,0)</f>
        <v>5</v>
      </c>
      <c r="X417" s="115">
        <f>+VLOOKUP(PROVEEDORES[[#This Row],[ID RETENCION]],Retenciones!$A$1:$O$25,PROVEEDORES[[#This Row],[indicador de columna]],FALSE)</f>
        <v>0</v>
      </c>
      <c r="Y417" s="116">
        <f>+VLOOKUP(PROVEEDORES[[#This Row],[ID RETENCION]],Retenciones!$A$1:$O$25,2,FALSE)</f>
        <v>0</v>
      </c>
      <c r="Z417" s="125" t="b">
        <f>OR(COUNTIF(PROVEEDORES[[#This Row],[PROVEEDOR]],"*"&amp;'Palabra no opera'!$A$2&amp;"*"))</f>
        <v>0</v>
      </c>
      <c r="AA417" s="24"/>
      <c r="AB417" s="24"/>
      <c r="AC417" s="24"/>
      <c r="AD417" s="24"/>
      <c r="AE417" s="24"/>
    </row>
    <row r="418" spans="1:31" ht="22.2" customHeight="1" x14ac:dyDescent="0.3">
      <c r="A418" s="66" t="str">
        <f>+IF(PROVEEDORES[[#This Row],[FECHA DE PAGO]]=PROVEEDORES[[#This Row],[FECHA DE FACTURACIÓN]],"DE CONTADO","CRÉDITO")</f>
        <v>DE CONTADO</v>
      </c>
      <c r="B418" s="38" t="b">
        <f>+IF((PROVEEDORES[[#This Row],[FECHA DE PAGO]]-PROVEEDORES[[#This Row],[FECHA DE FACTURACIÓN]])&gt;PROVEEDORES[[#This Row],[PLAZO Días]],"PAGO VENCIDO")</f>
        <v>0</v>
      </c>
      <c r="C418" s="20">
        <f>+VLOOKUP(PROVEEDORES[[#This Row],[PROVEEDOR]],TERCEROS_INFO[#All],2,FALSE)</f>
        <v>30</v>
      </c>
      <c r="D418" s="25">
        <f>+SUMIFS(PROVEEDORES[Total],PROVEEDORES[PROVEEDOR],PROVEEDORES[[#This Row],[PROVEEDOR]],PROVEEDORES[FECHA DE PAGO],"")</f>
        <v>0</v>
      </c>
      <c r="E418" s="25"/>
      <c r="F418" s="58" t="str">
        <f>+VLOOKUP(PROVEEDORES[[#This Row],[PROVEEDOR]],
                       Terceros!$A:$F,
                       5,
                       FALSE)</f>
        <v/>
      </c>
      <c r="G418" s="161">
        <v>44500</v>
      </c>
      <c r="H418" s="26" t="s">
        <v>644</v>
      </c>
      <c r="I418" s="161">
        <v>44500</v>
      </c>
      <c r="J418" s="35" t="s">
        <v>1295</v>
      </c>
      <c r="K418" s="21">
        <v>244000</v>
      </c>
      <c r="L418" s="21"/>
      <c r="M418" s="22">
        <f>(PROVEEDORES[[#This Row],[SUBTOTAL]]-PROVEEDORES[[#This Row],[descuento sobre subtotal]])*VLOOKUP(PROVEEDORES[[#This Row],[PROVEEDOR]],TERCEROS_INFO[#All],3,FALSE)</f>
        <v>0</v>
      </c>
      <c r="N418" s="23"/>
      <c r="O418" s="22">
        <f>+PROVEEDORES[[#This Row],[Descuento sobre subtotal %]]*(PROVEEDORES[[#This Row],[SUBTOTAL]]-PROVEEDORES[[#This Row],[descuento sobre subtotal]])</f>
        <v>0</v>
      </c>
      <c r="P418" s="83">
        <f>+IF(PROVEEDORES[[#This Row],[SUBTOTAL]]&lt;PROVEEDORES[[#This Row],[base retencion]],0,PROVEEDORES[[#This Row],[retención aplicada]])</f>
        <v>0</v>
      </c>
      <c r="Q418" s="22">
        <f>+PROVEEDORES[[#This Row],[Rete Fuente %]]*(PROVEEDORES[[#This Row],[SUBTOTAL]]-PROVEEDORES[[#This Row],[descuento sobre subtotal]])</f>
        <v>0</v>
      </c>
      <c r="R418" s="21">
        <f>+PROVEEDORES[[#This Row],[SUBTOTAL]]+PROVEEDORES[[#This Row],[IVA 19%]]-PROVEEDORES[[#This Row],[descuento sobre subtotal]]-PROVEEDORES[[#This Row],[Descuento sobre subtotal $2]]-PROVEEDORES[[#This Row],[Rete Fuente $]]</f>
        <v>244000</v>
      </c>
      <c r="S4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68">
        <f ca="1">IF(PROVEEDORES[[#This Row],[FECHA DE PAGO]]=0,TODAY()-PROVEEDORES[[#This Row],[FECHA DE FACTURACIÓN]]-PROVEEDORES[[#This Row],[PLAZO Días]],0)</f>
        <v>0</v>
      </c>
      <c r="U418" s="96">
        <f>+VLOOKUP(PROVEEDORES[[#This Row],[PROVEEDOR]],Terceros!$A:$D,4,FALSE)</f>
        <v>0</v>
      </c>
      <c r="V418" s="97">
        <f>+YEAR(PROVEEDORES[[#This Row],[FECHA DE FACTURACIÓN]])</f>
        <v>2021</v>
      </c>
      <c r="W418" s="97">
        <f>+MATCH(PROVEEDORES[[#This Row],[año facturado]],Retenciones!$1:$1,0)</f>
        <v>4</v>
      </c>
      <c r="X418" s="98">
        <f>+VLOOKUP(PROVEEDORES[[#This Row],[ID RETENCION]],Retenciones!$A$1:$O$25,PROVEEDORES[[#This Row],[indicador de columna]],FALSE)</f>
        <v>0</v>
      </c>
      <c r="Y418" s="99">
        <f>+VLOOKUP(PROVEEDORES[[#This Row],[ID RETENCION]],Retenciones!$A$1:$O$25,2,FALSE)</f>
        <v>0</v>
      </c>
      <c r="Z418" s="125" t="b">
        <f>OR(COUNTIF(PROVEEDORES[[#This Row],[PROVEEDOR]],"*"&amp;'Palabra no opera'!$A$2&amp;"*"))</f>
        <v>0</v>
      </c>
      <c r="AA418" s="24"/>
      <c r="AB418" s="24"/>
      <c r="AC418" s="24"/>
      <c r="AD418" s="24"/>
      <c r="AE418" s="24"/>
    </row>
    <row r="419" spans="1:31" ht="22.2" customHeight="1" x14ac:dyDescent="0.3">
      <c r="A419" s="185" t="str">
        <f>+IF(PROVEEDORES[[#This Row],[FECHA DE PAGO]]=PROVEEDORES[[#This Row],[FECHA DE FACTURACIÓN]],"DE CONTADO","CRÉDITO")</f>
        <v>CRÉDITO</v>
      </c>
      <c r="B419" s="38" t="str">
        <f>+IF((PROVEEDORES[[#This Row],[FECHA DE PAGO]]-PROVEEDORES[[#This Row],[FECHA DE FACTURACIÓN]])&gt;PROVEEDORES[[#This Row],[PLAZO Días]],"PAGO VENCIDO")</f>
        <v>PAGO VENCIDO</v>
      </c>
      <c r="C419" s="20">
        <f>+VLOOKUP(PROVEEDORES[[#This Row],[PROVEEDOR]],TERCEROS_INFO[#All],2,FALSE)</f>
        <v>60</v>
      </c>
      <c r="D419" s="25">
        <f>+SUMIFS(PROVEEDORES[Total],PROVEEDORES[PROVEEDOR],PROVEEDORES[[#This Row],[PROVEEDOR]],PROVEEDORES[FECHA DE PAGO],"")</f>
        <v>1520362</v>
      </c>
      <c r="E419" s="25"/>
      <c r="F41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19" s="161">
        <v>44761</v>
      </c>
      <c r="H419" s="26" t="s">
        <v>528</v>
      </c>
      <c r="I419" s="161">
        <v>44539</v>
      </c>
      <c r="J419" s="35" t="s">
        <v>818</v>
      </c>
      <c r="K419" s="21">
        <v>247180.5</v>
      </c>
      <c r="L419" s="21"/>
      <c r="M419" s="22">
        <f>(PROVEEDORES[[#This Row],[SUBTOTAL]]-PROVEEDORES[[#This Row],[descuento sobre subtotal]])*VLOOKUP(PROVEEDORES[[#This Row],[PROVEEDOR]],TERCEROS_INFO[#All],3,FALSE)</f>
        <v>0</v>
      </c>
      <c r="N419" s="23"/>
      <c r="O419" s="22">
        <f>+PROVEEDORES[[#This Row],[Descuento sobre subtotal %]]*(PROVEEDORES[[#This Row],[SUBTOTAL]]-PROVEEDORES[[#This Row],[descuento sobre subtotal]])</f>
        <v>0</v>
      </c>
      <c r="P419" s="83">
        <f>+IF(PROVEEDORES[[#This Row],[SUBTOTAL]]&lt;PROVEEDORES[[#This Row],[base retencion]],0,PROVEEDORES[[#This Row],[retención aplicada]])</f>
        <v>0</v>
      </c>
      <c r="Q419" s="22">
        <f>+PROVEEDORES[[#This Row],[Rete Fuente %]]*(PROVEEDORES[[#This Row],[SUBTOTAL]]-PROVEEDORES[[#This Row],[descuento sobre subtotal]])</f>
        <v>0</v>
      </c>
      <c r="R419" s="21">
        <f>+PROVEEDORES[[#This Row],[SUBTOTAL]]+PROVEEDORES[[#This Row],[IVA 19%]]-PROVEEDORES[[#This Row],[descuento sobre subtotal]]-PROVEEDORES[[#This Row],[Descuento sobre subtotal $2]]-PROVEEDORES[[#This Row],[Rete Fuente $]]</f>
        <v>247180.5</v>
      </c>
      <c r="S419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68">
        <f ca="1">IF(PROVEEDORES[[#This Row],[FECHA DE PAGO]]=0,TODAY()-PROVEEDORES[[#This Row],[FECHA DE FACTURACIÓN]]-PROVEEDORES[[#This Row],[PLAZO Días]],0)</f>
        <v>0</v>
      </c>
      <c r="U419" s="113">
        <f>+VLOOKUP(PROVEEDORES[[#This Row],[PROVEEDOR]],Terceros!$A:$D,4,FALSE)</f>
        <v>0</v>
      </c>
      <c r="V419" s="114">
        <f>+YEAR(PROVEEDORES[[#This Row],[FECHA DE FACTURACIÓN]])</f>
        <v>2021</v>
      </c>
      <c r="W419" s="114">
        <f>+MATCH(PROVEEDORES[[#This Row],[año facturado]],Retenciones!$1:$1,0)</f>
        <v>4</v>
      </c>
      <c r="X419" s="115">
        <f>+VLOOKUP(PROVEEDORES[[#This Row],[ID RETENCION]],Retenciones!$A$1:$O$25,PROVEEDORES[[#This Row],[indicador de columna]],FALSE)</f>
        <v>0</v>
      </c>
      <c r="Y419" s="116">
        <f>+VLOOKUP(PROVEEDORES[[#This Row],[ID RETENCION]],Retenciones!$A$1:$O$25,2,FALSE)</f>
        <v>0</v>
      </c>
      <c r="Z419" s="125" t="b">
        <f>OR(COUNTIF(PROVEEDORES[[#This Row],[PROVEEDOR]],"*"&amp;'Palabra no opera'!$A$2&amp;"*"))</f>
        <v>0</v>
      </c>
      <c r="AA419" s="24"/>
      <c r="AB419" s="24"/>
      <c r="AC419" s="24"/>
      <c r="AD419" s="24"/>
      <c r="AE419" s="24"/>
    </row>
    <row r="420" spans="1:31" ht="22.2" customHeight="1" x14ac:dyDescent="0.3">
      <c r="A420" s="66" t="str">
        <f>+IF(PROVEEDORES[[#This Row],[FECHA DE PAGO]]=PROVEEDORES[[#This Row],[FECHA DE FACTURACIÓN]],"DE CONTADO","CRÉDITO")</f>
        <v>CRÉDITO</v>
      </c>
      <c r="B420" s="38" t="b">
        <f>+IF((PROVEEDORES[[#This Row],[FECHA DE PAGO]]-PROVEEDORES[[#This Row],[FECHA DE FACTURACIÓN]])&gt;PROVEEDORES[[#This Row],[PLAZO Días]],"PAGO VENCIDO")</f>
        <v>0</v>
      </c>
      <c r="C420" s="20">
        <f>+VLOOKUP(PROVEEDORES[[#This Row],[PROVEEDOR]],TERCEROS_INFO[#All],2,FALSE)</f>
        <v>30</v>
      </c>
      <c r="D420" s="25">
        <f>+SUMIFS(PROVEEDORES[Total],PROVEEDORES[PROVEEDOR],PROVEEDORES[[#This Row],[PROVEEDOR]],PROVEEDORES[FECHA DE PAGO],"")</f>
        <v>0</v>
      </c>
      <c r="E420" s="25"/>
      <c r="F42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0" s="161">
        <v>44588</v>
      </c>
      <c r="H420" s="26" t="s">
        <v>941</v>
      </c>
      <c r="I420" s="161">
        <v>44562</v>
      </c>
      <c r="J420" s="35" t="s">
        <v>577</v>
      </c>
      <c r="K420" s="21">
        <v>214622</v>
      </c>
      <c r="L420" s="21"/>
      <c r="M420" s="22">
        <f>(PROVEEDORES[[#This Row],[SUBTOTAL]]-PROVEEDORES[[#This Row],[descuento sobre subtotal]])*VLOOKUP(PROVEEDORES[[#This Row],[PROVEEDOR]],TERCEROS_INFO[#All],3,FALSE)</f>
        <v>40778.18</v>
      </c>
      <c r="N420" s="23"/>
      <c r="O420" s="22">
        <f>+PROVEEDORES[[#This Row],[Descuento sobre subtotal %]]*(PROVEEDORES[[#This Row],[SUBTOTAL]]-PROVEEDORES[[#This Row],[descuento sobre subtotal]])</f>
        <v>0</v>
      </c>
      <c r="P420" s="83">
        <f>+IF(PROVEEDORES[[#This Row],[SUBTOTAL]]&lt;PROVEEDORES[[#This Row],[base retencion]],0,PROVEEDORES[[#This Row],[retención aplicada]])</f>
        <v>3.5000000000000003E-2</v>
      </c>
      <c r="Q420" s="22">
        <f>+PROVEEDORES[[#This Row],[Rete Fuente %]]*(PROVEEDORES[[#This Row],[SUBTOTAL]]-PROVEEDORES[[#This Row],[descuento sobre subtotal]])</f>
        <v>7511.77</v>
      </c>
      <c r="R420" s="21">
        <v>247888.41</v>
      </c>
      <c r="S4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0" s="68">
        <f ca="1">IF(PROVEEDORES[[#This Row],[FECHA DE PAGO]]=0,TODAY()-PROVEEDORES[[#This Row],[FECHA DE FACTURACIÓN]]-PROVEEDORES[[#This Row],[PLAZO Días]],0)</f>
        <v>0</v>
      </c>
      <c r="U420" s="96" t="str">
        <f>+VLOOKUP(PROVEEDORES[[#This Row],[PROVEEDOR]],Terceros!$A:$D,4,FALSE)</f>
        <v>3,5% sin base</v>
      </c>
      <c r="V420" s="97">
        <f>+YEAR(PROVEEDORES[[#This Row],[FECHA DE FACTURACIÓN]])</f>
        <v>2022</v>
      </c>
      <c r="W420" s="97">
        <f>+MATCH(PROVEEDORES[[#This Row],[año facturado]],Retenciones!$1:$1,0)</f>
        <v>5</v>
      </c>
      <c r="X420" s="98">
        <f>+VLOOKUP(PROVEEDORES[[#This Row],[ID RETENCION]],Retenciones!$A$1:$O$25,PROVEEDORES[[#This Row],[indicador de columna]],FALSE)</f>
        <v>0</v>
      </c>
      <c r="Y420" s="99">
        <f>+VLOOKUP(PROVEEDORES[[#This Row],[ID RETENCION]],Retenciones!$A$1:$O$25,2,FALSE)</f>
        <v>3.5000000000000003E-2</v>
      </c>
      <c r="Z420" s="125" t="b">
        <f>OR(COUNTIF(PROVEEDORES[[#This Row],[PROVEEDOR]],"*"&amp;'Palabra no opera'!$A$2&amp;"*"))</f>
        <v>1</v>
      </c>
      <c r="AA420" s="24"/>
      <c r="AB420" s="24"/>
      <c r="AC420" s="24"/>
      <c r="AD420" s="24"/>
      <c r="AE420" s="24"/>
    </row>
    <row r="421" spans="1:31" ht="22.2" customHeight="1" x14ac:dyDescent="0.3">
      <c r="A421" s="66" t="str">
        <f>+IF(PROVEEDORES[[#This Row],[FECHA DE PAGO]]=PROVEEDORES[[#This Row],[FECHA DE FACTURACIÓN]],"DE CONTADO","CRÉDITO")</f>
        <v>CRÉDITO</v>
      </c>
      <c r="B421" s="38" t="b">
        <f>+IF((PROVEEDORES[[#This Row],[FECHA DE PAGO]]-PROVEEDORES[[#This Row],[FECHA DE FACTURACIÓN]])&gt;PROVEEDORES[[#This Row],[PLAZO Días]],"PAGO VENCIDO")</f>
        <v>0</v>
      </c>
      <c r="C421" s="20">
        <f>+VLOOKUP(PROVEEDORES[[#This Row],[PROVEEDOR]],TERCEROS_INFO[#All],2,FALSE)</f>
        <v>30</v>
      </c>
      <c r="D421" s="25">
        <f>+SUMIFS(PROVEEDORES[Total],PROVEEDORES[PROVEEDOR],PROVEEDORES[[#This Row],[PROVEEDOR]],PROVEEDORES[FECHA DE PAGO],"")</f>
        <v>0</v>
      </c>
      <c r="E421" s="25"/>
      <c r="F421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1" s="161">
        <v>44617</v>
      </c>
      <c r="H421" s="26" t="s">
        <v>941</v>
      </c>
      <c r="I421" s="161">
        <v>44593</v>
      </c>
      <c r="J421" s="35">
        <v>4124</v>
      </c>
      <c r="K421" s="21">
        <v>215356</v>
      </c>
      <c r="L421" s="21"/>
      <c r="M421" s="22">
        <f>(PROVEEDORES[[#This Row],[SUBTOTAL]]-PROVEEDORES[[#This Row],[descuento sobre subtotal]])*VLOOKUP(PROVEEDORES[[#This Row],[PROVEEDOR]],TERCEROS_INFO[#All],3,FALSE)</f>
        <v>40917.64</v>
      </c>
      <c r="N421" s="23"/>
      <c r="O421" s="22">
        <f>+PROVEEDORES[[#This Row],[Descuento sobre subtotal %]]*(PROVEEDORES[[#This Row],[SUBTOTAL]]-PROVEEDORES[[#This Row],[descuento sobre subtotal]])</f>
        <v>0</v>
      </c>
      <c r="P421" s="83">
        <f>+IF(PROVEEDORES[[#This Row],[SUBTOTAL]]&lt;PROVEEDORES[[#This Row],[base retencion]],0,PROVEEDORES[[#This Row],[retención aplicada]])</f>
        <v>3.5000000000000003E-2</v>
      </c>
      <c r="Q421" s="22">
        <f>+PROVEEDORES[[#This Row],[Rete Fuente %]]*(PROVEEDORES[[#This Row],[SUBTOTAL]]-PROVEEDORES[[#This Row],[descuento sobre subtotal]])</f>
        <v>7537.4600000000009</v>
      </c>
      <c r="R421" s="21">
        <v>248736.18000000002</v>
      </c>
      <c r="S4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68">
        <f ca="1">IF(PROVEEDORES[[#This Row],[FECHA DE PAGO]]=0,TODAY()-PROVEEDORES[[#This Row],[FECHA DE FACTURACIÓN]]-PROVEEDORES[[#This Row],[PLAZO Días]],0)</f>
        <v>0</v>
      </c>
      <c r="U421" s="96" t="str">
        <f>+VLOOKUP(PROVEEDORES[[#This Row],[PROVEEDOR]],Terceros!$A:$D,4,FALSE)</f>
        <v>3,5% sin base</v>
      </c>
      <c r="V421" s="97">
        <f>+YEAR(PROVEEDORES[[#This Row],[FECHA DE FACTURACIÓN]])</f>
        <v>2022</v>
      </c>
      <c r="W421" s="97">
        <f>+MATCH(PROVEEDORES[[#This Row],[año facturado]],Retenciones!$1:$1,0)</f>
        <v>5</v>
      </c>
      <c r="X421" s="98">
        <f>+VLOOKUP(PROVEEDORES[[#This Row],[ID RETENCION]],Retenciones!$A$1:$O$25,PROVEEDORES[[#This Row],[indicador de columna]],FALSE)</f>
        <v>0</v>
      </c>
      <c r="Y421" s="99">
        <f>+VLOOKUP(PROVEEDORES[[#This Row],[ID RETENCION]],Retenciones!$A$1:$O$25,2,FALSE)</f>
        <v>3.5000000000000003E-2</v>
      </c>
      <c r="Z421" s="125" t="b">
        <f>OR(COUNTIF(PROVEEDORES[[#This Row],[PROVEEDOR]],"*"&amp;'Palabra no opera'!$A$2&amp;"*"))</f>
        <v>1</v>
      </c>
      <c r="AA421" s="24"/>
      <c r="AB421" s="24"/>
      <c r="AC421" s="24"/>
      <c r="AD421" s="24"/>
      <c r="AE421" s="24"/>
    </row>
    <row r="422" spans="1:31" ht="22.2" customHeight="1" x14ac:dyDescent="0.3">
      <c r="A422" s="66" t="str">
        <f>+IF(PROVEEDORES[[#This Row],[FECHA DE PAGO]]=PROVEEDORES[[#This Row],[FECHA DE FACTURACIÓN]],"DE CONTADO","CRÉDITO")</f>
        <v>CRÉDITO</v>
      </c>
      <c r="B422" s="38" t="b">
        <f>+IF((PROVEEDORES[[#This Row],[FECHA DE PAGO]]-PROVEEDORES[[#This Row],[FECHA DE FACTURACIÓN]])&gt;PROVEEDORES[[#This Row],[PLAZO Días]],"PAGO VENCIDO")</f>
        <v>0</v>
      </c>
      <c r="C422" s="20">
        <f>+VLOOKUP(PROVEEDORES[[#This Row],[PROVEEDOR]],TERCEROS_INFO[#All],2,FALSE)</f>
        <v>30</v>
      </c>
      <c r="D422" s="25">
        <f>+SUMIFS(PROVEEDORES[Total],PROVEEDORES[PROVEEDOR],PROVEEDORES[[#This Row],[PROVEEDOR]],PROVEEDORES[FECHA DE PAGO],"")</f>
        <v>0</v>
      </c>
      <c r="E422" s="25"/>
      <c r="F42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2" s="161">
        <v>44650</v>
      </c>
      <c r="H422" s="26" t="s">
        <v>941</v>
      </c>
      <c r="I422" s="161">
        <v>44621</v>
      </c>
      <c r="J422" s="35">
        <v>4395</v>
      </c>
      <c r="K422" s="21">
        <v>215356</v>
      </c>
      <c r="L422" s="21"/>
      <c r="M422" s="22">
        <f>(PROVEEDORES[[#This Row],[SUBTOTAL]]-PROVEEDORES[[#This Row],[descuento sobre subtotal]])*VLOOKUP(PROVEEDORES[[#This Row],[PROVEEDOR]],TERCEROS_INFO[#All],3,FALSE)</f>
        <v>40917.64</v>
      </c>
      <c r="N422" s="23"/>
      <c r="O422" s="22">
        <f>+PROVEEDORES[[#This Row],[Descuento sobre subtotal %]]*(PROVEEDORES[[#This Row],[SUBTOTAL]]-PROVEEDORES[[#This Row],[descuento sobre subtotal]])</f>
        <v>0</v>
      </c>
      <c r="P422" s="83">
        <f>+IF(PROVEEDORES[[#This Row],[SUBTOTAL]]&lt;PROVEEDORES[[#This Row],[base retencion]],0,PROVEEDORES[[#This Row],[retención aplicada]])</f>
        <v>3.5000000000000003E-2</v>
      </c>
      <c r="Q422" s="22">
        <f>+PROVEEDORES[[#This Row],[Rete Fuente %]]*(PROVEEDORES[[#This Row],[SUBTOTAL]]-PROVEEDORES[[#This Row],[descuento sobre subtotal]])</f>
        <v>7537.4600000000009</v>
      </c>
      <c r="R422" s="21">
        <v>248736.18000000002</v>
      </c>
      <c r="S4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68">
        <f ca="1">IF(PROVEEDORES[[#This Row],[FECHA DE PAGO]]=0,TODAY()-PROVEEDORES[[#This Row],[FECHA DE FACTURACIÓN]]-PROVEEDORES[[#This Row],[PLAZO Días]],0)</f>
        <v>0</v>
      </c>
      <c r="U422" s="96" t="str">
        <f>+VLOOKUP(PROVEEDORES[[#This Row],[PROVEEDOR]],Terceros!$A:$D,4,FALSE)</f>
        <v>3,5% sin base</v>
      </c>
      <c r="V422" s="97">
        <f>+YEAR(PROVEEDORES[[#This Row],[FECHA DE FACTURACIÓN]])</f>
        <v>2022</v>
      </c>
      <c r="W422" s="97">
        <f>+MATCH(PROVEEDORES[[#This Row],[año facturado]],Retenciones!$1:$1,0)</f>
        <v>5</v>
      </c>
      <c r="X422" s="98">
        <f>+VLOOKUP(PROVEEDORES[[#This Row],[ID RETENCION]],Retenciones!$A$1:$O$25,PROVEEDORES[[#This Row],[indicador de columna]],FALSE)</f>
        <v>0</v>
      </c>
      <c r="Y422" s="99">
        <f>+VLOOKUP(PROVEEDORES[[#This Row],[ID RETENCION]],Retenciones!$A$1:$O$25,2,FALSE)</f>
        <v>3.5000000000000003E-2</v>
      </c>
      <c r="Z422" s="125" t="b">
        <f>OR(COUNTIF(PROVEEDORES[[#This Row],[PROVEEDOR]],"*"&amp;'Palabra no opera'!$A$2&amp;"*"))</f>
        <v>1</v>
      </c>
      <c r="AA422" s="24"/>
      <c r="AB422" s="24"/>
      <c r="AC422" s="24"/>
      <c r="AD422" s="24"/>
      <c r="AE422" s="24"/>
    </row>
    <row r="423" spans="1:31" ht="22.2" customHeight="1" x14ac:dyDescent="0.3">
      <c r="A423" s="66" t="str">
        <f>+IF(PROVEEDORES[[#This Row],[FECHA DE PAGO]]=PROVEEDORES[[#This Row],[FECHA DE FACTURACIÓN]],"DE CONTADO","CRÉDITO")</f>
        <v>CRÉDITO</v>
      </c>
      <c r="B423" s="38" t="b">
        <f>+IF((PROVEEDORES[[#This Row],[FECHA DE PAGO]]-PROVEEDORES[[#This Row],[FECHA DE FACTURACIÓN]])&gt;PROVEEDORES[[#This Row],[PLAZO Días]],"PAGO VENCIDO")</f>
        <v>0</v>
      </c>
      <c r="C423" s="20">
        <f>+VLOOKUP(PROVEEDORES[[#This Row],[PROVEEDOR]],TERCEROS_INFO[#All],2,FALSE)</f>
        <v>30</v>
      </c>
      <c r="D423" s="25">
        <f>+SUMIFS(PROVEEDORES[Total],PROVEEDORES[PROVEEDOR],PROVEEDORES[[#This Row],[PROVEEDOR]],PROVEEDORES[FECHA DE PAGO],"")</f>
        <v>0</v>
      </c>
      <c r="E423" s="25"/>
      <c r="F42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3" s="161">
        <v>44678</v>
      </c>
      <c r="H423" s="26" t="s">
        <v>941</v>
      </c>
      <c r="I423" s="161">
        <v>44652</v>
      </c>
      <c r="J423" s="35">
        <v>4651</v>
      </c>
      <c r="K423" s="21">
        <v>215356</v>
      </c>
      <c r="L423" s="21"/>
      <c r="M423" s="22">
        <f>(PROVEEDORES[[#This Row],[SUBTOTAL]]-PROVEEDORES[[#This Row],[descuento sobre subtotal]])*VLOOKUP(PROVEEDORES[[#This Row],[PROVEEDOR]],TERCEROS_INFO[#All],3,FALSE)</f>
        <v>40917.64</v>
      </c>
      <c r="N423" s="23"/>
      <c r="O423" s="22">
        <f>+PROVEEDORES[[#This Row],[Descuento sobre subtotal %]]*(PROVEEDORES[[#This Row],[SUBTOTAL]]-PROVEEDORES[[#This Row],[descuento sobre subtotal]])</f>
        <v>0</v>
      </c>
      <c r="P423" s="83">
        <f>+IF(PROVEEDORES[[#This Row],[SUBTOTAL]]&lt;PROVEEDORES[[#This Row],[base retencion]],0,PROVEEDORES[[#This Row],[retención aplicada]])</f>
        <v>3.5000000000000003E-2</v>
      </c>
      <c r="Q423" s="22">
        <f>+PROVEEDORES[[#This Row],[Rete Fuente %]]*(PROVEEDORES[[#This Row],[SUBTOTAL]]-PROVEEDORES[[#This Row],[descuento sobre subtotal]])</f>
        <v>7537.4600000000009</v>
      </c>
      <c r="R423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68">
        <f ca="1">IF(PROVEEDORES[[#This Row],[FECHA DE PAGO]]=0,TODAY()-PROVEEDORES[[#This Row],[FECHA DE FACTURACIÓN]]-PROVEEDORES[[#This Row],[PLAZO Días]],0)</f>
        <v>0</v>
      </c>
      <c r="U423" s="96" t="str">
        <f>+VLOOKUP(PROVEEDORES[[#This Row],[PROVEEDOR]],Terceros!$A:$D,4,FALSE)</f>
        <v>3,5% sin base</v>
      </c>
      <c r="V423" s="97">
        <f>+YEAR(PROVEEDORES[[#This Row],[FECHA DE FACTURACIÓN]])</f>
        <v>2022</v>
      </c>
      <c r="W423" s="97">
        <f>+MATCH(PROVEEDORES[[#This Row],[año facturado]],Retenciones!$1:$1,0)</f>
        <v>5</v>
      </c>
      <c r="X423" s="98">
        <f>+VLOOKUP(PROVEEDORES[[#This Row],[ID RETENCION]],Retenciones!$A$1:$O$25,PROVEEDORES[[#This Row],[indicador de columna]],FALSE)</f>
        <v>0</v>
      </c>
      <c r="Y423" s="99">
        <f>+VLOOKUP(PROVEEDORES[[#This Row],[ID RETENCION]],Retenciones!$A$1:$O$25,2,FALSE)</f>
        <v>3.5000000000000003E-2</v>
      </c>
      <c r="Z423" s="125" t="b">
        <f>OR(COUNTIF(PROVEEDORES[[#This Row],[PROVEEDOR]],"*"&amp;'Palabra no opera'!$A$2&amp;"*"))</f>
        <v>1</v>
      </c>
      <c r="AA423" s="24"/>
      <c r="AB423" s="24"/>
      <c r="AC423" s="24"/>
      <c r="AD423" s="24"/>
      <c r="AE423" s="24"/>
    </row>
    <row r="424" spans="1:31" ht="22.2" customHeight="1" x14ac:dyDescent="0.3">
      <c r="A424" s="123" t="str">
        <f>+IF(PROVEEDORES[[#This Row],[FECHA DE PAGO]]=PROVEEDORES[[#This Row],[FECHA DE FACTURACIÓN]],"DE CONTADO","CRÉDITO")</f>
        <v>CRÉDITO</v>
      </c>
      <c r="B424" s="38" t="b">
        <f>+IF((PROVEEDORES[[#This Row],[FECHA DE PAGO]]-PROVEEDORES[[#This Row],[FECHA DE FACTURACIÓN]])&gt;PROVEEDORES[[#This Row],[PLAZO Días]],"PAGO VENCIDO")</f>
        <v>0</v>
      </c>
      <c r="C424" s="20">
        <f>+VLOOKUP(PROVEEDORES[[#This Row],[PROVEEDOR]],TERCEROS_INFO[#All],2,FALSE)</f>
        <v>30</v>
      </c>
      <c r="D424" s="25">
        <f>+SUMIFS(PROVEEDORES[Total],PROVEEDORES[PROVEEDOR],PROVEEDORES[[#This Row],[PROVEEDOR]],PROVEEDORES[FECHA DE PAGO],"")</f>
        <v>0</v>
      </c>
      <c r="E424" s="25"/>
      <c r="F424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4" s="161">
        <v>44707</v>
      </c>
      <c r="H424" s="26" t="s">
        <v>941</v>
      </c>
      <c r="I424" s="161">
        <v>44682</v>
      </c>
      <c r="J424" s="35">
        <v>4923</v>
      </c>
      <c r="K424" s="21">
        <v>215356</v>
      </c>
      <c r="L424" s="21"/>
      <c r="M424" s="22">
        <f>(PROVEEDORES[[#This Row],[SUBTOTAL]]-PROVEEDORES[[#This Row],[descuento sobre subtotal]])*VLOOKUP(PROVEEDORES[[#This Row],[PROVEEDOR]],TERCEROS_INFO[#All],3,FALSE)</f>
        <v>40917.64</v>
      </c>
      <c r="N424" s="23"/>
      <c r="O424" s="22">
        <f>+PROVEEDORES[[#This Row],[Descuento sobre subtotal %]]*(PROVEEDORES[[#This Row],[SUBTOTAL]]-PROVEEDORES[[#This Row],[descuento sobre subtotal]])</f>
        <v>0</v>
      </c>
      <c r="P424" s="83">
        <f>+IF(PROVEEDORES[[#This Row],[SUBTOTAL]]&lt;PROVEEDORES[[#This Row],[base retencion]],0,PROVEEDORES[[#This Row],[retención aplicada]])</f>
        <v>3.5000000000000003E-2</v>
      </c>
      <c r="Q424" s="22">
        <f>+PROVEEDORES[[#This Row],[Rete Fuente %]]*(PROVEEDORES[[#This Row],[SUBTOTAL]]-PROVEEDORES[[#This Row],[descuento sobre subtotal]])</f>
        <v>7537.4600000000009</v>
      </c>
      <c r="R424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4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68">
        <f ca="1">IF(PROVEEDORES[[#This Row],[FECHA DE PAGO]]=0,TODAY()-PROVEEDORES[[#This Row],[FECHA DE FACTURACIÓN]]-PROVEEDORES[[#This Row],[PLAZO Días]],0)</f>
        <v>0</v>
      </c>
      <c r="U424" s="113" t="str">
        <f>+VLOOKUP(PROVEEDORES[[#This Row],[PROVEEDOR]],Terceros!$A:$D,4,FALSE)</f>
        <v>3,5% sin base</v>
      </c>
      <c r="V424" s="114">
        <f>+YEAR(PROVEEDORES[[#This Row],[FECHA DE FACTURACIÓN]])</f>
        <v>2022</v>
      </c>
      <c r="W424" s="114">
        <f>+MATCH(PROVEEDORES[[#This Row],[año facturado]],Retenciones!$1:$1,0)</f>
        <v>5</v>
      </c>
      <c r="X424" s="115">
        <f>+VLOOKUP(PROVEEDORES[[#This Row],[ID RETENCION]],Retenciones!$A$1:$O$25,PROVEEDORES[[#This Row],[indicador de columna]],FALSE)</f>
        <v>0</v>
      </c>
      <c r="Y424" s="116">
        <f>+VLOOKUP(PROVEEDORES[[#This Row],[ID RETENCION]],Retenciones!$A$1:$O$25,2,FALSE)</f>
        <v>3.5000000000000003E-2</v>
      </c>
      <c r="Z424" s="125" t="b">
        <f>OR(COUNTIF(PROVEEDORES[[#This Row],[PROVEEDOR]],"*"&amp;'Palabra no opera'!$A$2&amp;"*"))</f>
        <v>1</v>
      </c>
      <c r="AA424" s="24"/>
      <c r="AB424" s="24"/>
      <c r="AC424" s="24"/>
      <c r="AD424" s="24"/>
      <c r="AE424" s="24"/>
    </row>
    <row r="425" spans="1:31" ht="22.2" customHeight="1" x14ac:dyDescent="0.3">
      <c r="A425" s="146" t="str">
        <f>+IF(PROVEEDORES[[#This Row],[FECHA DE PAGO]]=PROVEEDORES[[#This Row],[FECHA DE FACTURACIÓN]],"DE CONTADO","CRÉDITO")</f>
        <v>CRÉDITO</v>
      </c>
      <c r="B425" s="38" t="b">
        <f>+IF((PROVEEDORES[[#This Row],[FECHA DE PAGO]]-PROVEEDORES[[#This Row],[FECHA DE FACTURACIÓN]])&gt;PROVEEDORES[[#This Row],[PLAZO Días]],"PAGO VENCIDO")</f>
        <v>0</v>
      </c>
      <c r="C425" s="20">
        <f>+VLOOKUP(PROVEEDORES[[#This Row],[PROVEEDOR]],TERCEROS_INFO[#All],2,FALSE)</f>
        <v>30</v>
      </c>
      <c r="D425" s="25">
        <f>+SUMIFS(PROVEEDORES[Total],PROVEEDORES[PROVEEDOR],PROVEEDORES[[#This Row],[PROVEEDOR]],PROVEEDORES[FECHA DE PAGO],"")</f>
        <v>0</v>
      </c>
      <c r="E425" s="25"/>
      <c r="F425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5" s="161">
        <v>44741</v>
      </c>
      <c r="H425" s="26" t="s">
        <v>941</v>
      </c>
      <c r="I425" s="161">
        <v>44713</v>
      </c>
      <c r="J425" s="35">
        <v>5204</v>
      </c>
      <c r="K425" s="21">
        <v>215356</v>
      </c>
      <c r="L425" s="21"/>
      <c r="M425" s="22">
        <f>(PROVEEDORES[[#This Row],[SUBTOTAL]]-PROVEEDORES[[#This Row],[descuento sobre subtotal]])*VLOOKUP(PROVEEDORES[[#This Row],[PROVEEDOR]],TERCEROS_INFO[#All],3,FALSE)</f>
        <v>40917.64</v>
      </c>
      <c r="N425" s="23"/>
      <c r="O425" s="22">
        <f>+PROVEEDORES[[#This Row],[Descuento sobre subtotal %]]*(PROVEEDORES[[#This Row],[SUBTOTAL]]-PROVEEDORES[[#This Row],[descuento sobre subtotal]])</f>
        <v>0</v>
      </c>
      <c r="P425" s="83">
        <f>+IF(PROVEEDORES[[#This Row],[SUBTOTAL]]&lt;PROVEEDORES[[#This Row],[base retencion]],0,PROVEEDORES[[#This Row],[retención aplicada]])</f>
        <v>3.5000000000000003E-2</v>
      </c>
      <c r="Q425" s="22">
        <f>+PROVEEDORES[[#This Row],[Rete Fuente %]]*(PROVEEDORES[[#This Row],[SUBTOTAL]]-PROVEEDORES[[#This Row],[descuento sobre subtotal]])</f>
        <v>7537.4600000000009</v>
      </c>
      <c r="R425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5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68">
        <f ca="1">IF(PROVEEDORES[[#This Row],[FECHA DE PAGO]]=0,TODAY()-PROVEEDORES[[#This Row],[FECHA DE FACTURACIÓN]]-PROVEEDORES[[#This Row],[PLAZO Días]],0)</f>
        <v>0</v>
      </c>
      <c r="U425" s="113" t="str">
        <f>+VLOOKUP(PROVEEDORES[[#This Row],[PROVEEDOR]],Terceros!$A:$D,4,FALSE)</f>
        <v>3,5% sin base</v>
      </c>
      <c r="V425" s="114">
        <f>+YEAR(PROVEEDORES[[#This Row],[FECHA DE FACTURACIÓN]])</f>
        <v>2022</v>
      </c>
      <c r="W425" s="114">
        <f>+MATCH(PROVEEDORES[[#This Row],[año facturado]],Retenciones!$1:$1,0)</f>
        <v>5</v>
      </c>
      <c r="X425" s="115">
        <f>+VLOOKUP(PROVEEDORES[[#This Row],[ID RETENCION]],Retenciones!$A$1:$O$25,PROVEEDORES[[#This Row],[indicador de columna]],FALSE)</f>
        <v>0</v>
      </c>
      <c r="Y425" s="116">
        <f>+VLOOKUP(PROVEEDORES[[#This Row],[ID RETENCION]],Retenciones!$A$1:$O$25,2,FALSE)</f>
        <v>3.5000000000000003E-2</v>
      </c>
      <c r="Z425" s="125" t="b">
        <f>OR(COUNTIF(PROVEEDORES[[#This Row],[PROVEEDOR]],"*"&amp;'Palabra no opera'!$A$2&amp;"*"))</f>
        <v>1</v>
      </c>
      <c r="AA425" s="24"/>
      <c r="AB425" s="24"/>
      <c r="AC425" s="24"/>
      <c r="AD425" s="24"/>
      <c r="AE425" s="24"/>
    </row>
    <row r="426" spans="1:31" ht="22.2" customHeight="1" x14ac:dyDescent="0.3">
      <c r="A426" s="72" t="str">
        <f>+IF(PROVEEDORES[[#This Row],[FECHA DE PAGO]]=PROVEEDORES[[#This Row],[FECHA DE FACTURACIÓN]],"DE CONTADO","CRÉDITO")</f>
        <v>CRÉDITO</v>
      </c>
      <c r="B426" s="38" t="str">
        <f>+IF((PROVEEDORES[[#This Row],[FECHA DE PAGO]]-PROVEEDORES[[#This Row],[FECHA DE FACTURACIÓN]])&gt;PROVEEDORES[[#This Row],[PLAZO Días]],"PAGO VENCIDO")</f>
        <v>PAGO VENCIDO</v>
      </c>
      <c r="C426" s="20">
        <f>+VLOOKUP(PROVEEDORES[[#This Row],[PROVEEDOR]],TERCEROS_INFO[#All],2,FALSE)</f>
        <v>30</v>
      </c>
      <c r="D426" s="25">
        <f>+SUMIFS(PROVEEDORES[Total],PROVEEDORES[PROVEEDOR],PROVEEDORES[[#This Row],[PROVEEDOR]],PROVEEDORES[FECHA DE PAGO],"")</f>
        <v>0</v>
      </c>
      <c r="E426" s="25"/>
      <c r="F42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6" s="161">
        <v>44776</v>
      </c>
      <c r="H426" s="26" t="s">
        <v>941</v>
      </c>
      <c r="I426" s="161">
        <v>44743</v>
      </c>
      <c r="J426" s="35">
        <v>5476</v>
      </c>
      <c r="K426" s="21">
        <v>215356</v>
      </c>
      <c r="L426" s="21"/>
      <c r="M426" s="22">
        <f>(PROVEEDORES[[#This Row],[SUBTOTAL]]-PROVEEDORES[[#This Row],[descuento sobre subtotal]])*VLOOKUP(PROVEEDORES[[#This Row],[PROVEEDOR]],TERCEROS_INFO[#All],3,FALSE)</f>
        <v>40917.64</v>
      </c>
      <c r="N426" s="23"/>
      <c r="O426" s="22">
        <f>+PROVEEDORES[[#This Row],[Descuento sobre subtotal %]]*(PROVEEDORES[[#This Row],[SUBTOTAL]]-PROVEEDORES[[#This Row],[descuento sobre subtotal]])</f>
        <v>0</v>
      </c>
      <c r="P426" s="83">
        <f>+IF(PROVEEDORES[[#This Row],[SUBTOTAL]]&lt;PROVEEDORES[[#This Row],[base retencion]],0,PROVEEDORES[[#This Row],[retención aplicada]])</f>
        <v>3.5000000000000003E-2</v>
      </c>
      <c r="Q426" s="22">
        <f>+PROVEEDORES[[#This Row],[Rete Fuente %]]*(PROVEEDORES[[#This Row],[SUBTOTAL]]-PROVEEDORES[[#This Row],[descuento sobre subtotal]])</f>
        <v>7537.4600000000009</v>
      </c>
      <c r="R426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68">
        <f ca="1">IF(PROVEEDORES[[#This Row],[FECHA DE PAGO]]=0,TODAY()-PROVEEDORES[[#This Row],[FECHA DE FACTURACIÓN]]-PROVEEDORES[[#This Row],[PLAZO Días]],0)</f>
        <v>0</v>
      </c>
      <c r="U426" s="113" t="str">
        <f>+VLOOKUP(PROVEEDORES[[#This Row],[PROVEEDOR]],Terceros!$A:$D,4,FALSE)</f>
        <v>3,5% sin base</v>
      </c>
      <c r="V426" s="114">
        <f>+YEAR(PROVEEDORES[[#This Row],[FECHA DE FACTURACIÓN]])</f>
        <v>2022</v>
      </c>
      <c r="W426" s="114">
        <f>+MATCH(PROVEEDORES[[#This Row],[año facturado]],Retenciones!$1:$1,0)</f>
        <v>5</v>
      </c>
      <c r="X426" s="115">
        <f>+VLOOKUP(PROVEEDORES[[#This Row],[ID RETENCION]],Retenciones!$A$1:$O$25,PROVEEDORES[[#This Row],[indicador de columna]],FALSE)</f>
        <v>0</v>
      </c>
      <c r="Y426" s="116">
        <f>+VLOOKUP(PROVEEDORES[[#This Row],[ID RETENCION]],Retenciones!$A$1:$O$25,2,FALSE)</f>
        <v>3.5000000000000003E-2</v>
      </c>
      <c r="Z426" s="125" t="b">
        <f>OR(COUNTIF(PROVEEDORES[[#This Row],[PROVEEDOR]],"*"&amp;'Palabra no opera'!$A$2&amp;"*"))</f>
        <v>1</v>
      </c>
      <c r="AA426" s="24"/>
      <c r="AB426" s="24"/>
      <c r="AC426" s="24"/>
      <c r="AD426" s="24"/>
      <c r="AE426" s="24"/>
    </row>
    <row r="427" spans="1:31" ht="22.2" customHeight="1" x14ac:dyDescent="0.3">
      <c r="A427" s="72" t="str">
        <f>+IF(PROVEEDORES[[#This Row],[FECHA DE PAGO]]=PROVEEDORES[[#This Row],[FECHA DE FACTURACIÓN]],"DE CONTADO","CRÉDITO")</f>
        <v>CRÉDITO</v>
      </c>
      <c r="B427" s="38" t="b">
        <f>+IF((PROVEEDORES[[#This Row],[FECHA DE PAGO]]-PROVEEDORES[[#This Row],[FECHA DE FACTURACIÓN]])&gt;PROVEEDORES[[#This Row],[PLAZO Días]],"PAGO VENCIDO")</f>
        <v>0</v>
      </c>
      <c r="C427" s="20">
        <f>+VLOOKUP(PROVEEDORES[[#This Row],[PROVEEDOR]],TERCEROS_INFO[#All],2,FALSE)</f>
        <v>30</v>
      </c>
      <c r="D427" s="25">
        <f>+SUMIFS(PROVEEDORES[Total],PROVEEDORES[PROVEEDOR],PROVEEDORES[[#This Row],[PROVEEDOR]],PROVEEDORES[FECHA DE PAGO],"")</f>
        <v>0</v>
      </c>
      <c r="E427" s="25"/>
      <c r="F42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7" s="161">
        <v>44802</v>
      </c>
      <c r="H427" s="26" t="s">
        <v>941</v>
      </c>
      <c r="I427" s="161">
        <v>44774</v>
      </c>
      <c r="J427" s="35">
        <v>5753</v>
      </c>
      <c r="K427" s="21">
        <v>215356</v>
      </c>
      <c r="L427" s="21"/>
      <c r="M427" s="22">
        <f>(PROVEEDORES[[#This Row],[SUBTOTAL]]-PROVEEDORES[[#This Row],[descuento sobre subtotal]])*VLOOKUP(PROVEEDORES[[#This Row],[PROVEEDOR]],TERCEROS_INFO[#All],3,FALSE)</f>
        <v>40917.64</v>
      </c>
      <c r="N427" s="23"/>
      <c r="O427" s="22">
        <f>+PROVEEDORES[[#This Row],[Descuento sobre subtotal %]]*(PROVEEDORES[[#This Row],[SUBTOTAL]]-PROVEEDORES[[#This Row],[descuento sobre subtotal]])</f>
        <v>0</v>
      </c>
      <c r="P427" s="83">
        <f>+IF(PROVEEDORES[[#This Row],[SUBTOTAL]]&lt;PROVEEDORES[[#This Row],[base retencion]],0,PROVEEDORES[[#This Row],[retención aplicada]])</f>
        <v>3.5000000000000003E-2</v>
      </c>
      <c r="Q427" s="22">
        <f>+PROVEEDORES[[#This Row],[Rete Fuente %]]*(PROVEEDORES[[#This Row],[SUBTOTAL]]-PROVEEDORES[[#This Row],[descuento sobre subtotal]])</f>
        <v>7537.4600000000009</v>
      </c>
      <c r="R427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68">
        <f ca="1">IF(PROVEEDORES[[#This Row],[FECHA DE PAGO]]=0,TODAY()-PROVEEDORES[[#This Row],[FECHA DE FACTURACIÓN]]-PROVEEDORES[[#This Row],[PLAZO Días]],0)</f>
        <v>0</v>
      </c>
      <c r="U427" s="113" t="str">
        <f>+VLOOKUP(PROVEEDORES[[#This Row],[PROVEEDOR]],Terceros!$A:$D,4,FALSE)</f>
        <v>3,5% sin base</v>
      </c>
      <c r="V427" s="114">
        <f>+YEAR(PROVEEDORES[[#This Row],[FECHA DE FACTURACIÓN]])</f>
        <v>2022</v>
      </c>
      <c r="W427" s="114">
        <f>+MATCH(PROVEEDORES[[#This Row],[año facturado]],Retenciones!$1:$1,0)</f>
        <v>5</v>
      </c>
      <c r="X427" s="115">
        <f>+VLOOKUP(PROVEEDORES[[#This Row],[ID RETENCION]],Retenciones!$A$1:$O$25,PROVEEDORES[[#This Row],[indicador de columna]],FALSE)</f>
        <v>0</v>
      </c>
      <c r="Y427" s="116">
        <f>+VLOOKUP(PROVEEDORES[[#This Row],[ID RETENCION]],Retenciones!$A$1:$O$25,2,FALSE)</f>
        <v>3.5000000000000003E-2</v>
      </c>
      <c r="Z427" s="125" t="b">
        <f>OR(COUNTIF(PROVEEDORES[[#This Row],[PROVEEDOR]],"*"&amp;'Palabra no opera'!$A$2&amp;"*"))</f>
        <v>1</v>
      </c>
      <c r="AA427" s="24"/>
      <c r="AB427" s="24"/>
      <c r="AC427" s="24"/>
      <c r="AD427" s="24"/>
      <c r="AE427" s="24"/>
    </row>
    <row r="428" spans="1:31" ht="22.2" customHeight="1" x14ac:dyDescent="0.3">
      <c r="A428" s="72" t="str">
        <f>+IF(PROVEEDORES[[#This Row],[FECHA DE PAGO]]=PROVEEDORES[[#This Row],[FECHA DE FACTURACIÓN]],"DE CONTADO","CRÉDITO")</f>
        <v>CRÉDITO</v>
      </c>
      <c r="B428" s="38" t="b">
        <f>+IF((PROVEEDORES[[#This Row],[FECHA DE PAGO]]-PROVEEDORES[[#This Row],[FECHA DE FACTURACIÓN]])&gt;PROVEEDORES[[#This Row],[PLAZO Días]],"PAGO VENCIDO")</f>
        <v>0</v>
      </c>
      <c r="C428" s="20">
        <f>+VLOOKUP(PROVEEDORES[[#This Row],[PROVEEDOR]],TERCEROS_INFO[#All],2,FALSE)</f>
        <v>30</v>
      </c>
      <c r="D428" s="25">
        <f>+SUMIFS(PROVEEDORES[Total],PROVEEDORES[PROVEEDOR],PROVEEDORES[[#This Row],[PROVEEDOR]],PROVEEDORES[FECHA DE PAGO],"")</f>
        <v>0</v>
      </c>
      <c r="E428" s="25"/>
      <c r="F428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8" s="161">
        <v>44827</v>
      </c>
      <c r="H428" s="26" t="s">
        <v>941</v>
      </c>
      <c r="I428" s="161">
        <v>44805</v>
      </c>
      <c r="J428" s="35">
        <v>6052</v>
      </c>
      <c r="K428" s="21">
        <v>215356</v>
      </c>
      <c r="L428" s="21"/>
      <c r="M428" s="22">
        <f>(PROVEEDORES[[#This Row],[SUBTOTAL]]-PROVEEDORES[[#This Row],[descuento sobre subtotal]])*VLOOKUP(PROVEEDORES[[#This Row],[PROVEEDOR]],TERCEROS_INFO[#All],3,FALSE)</f>
        <v>40917.64</v>
      </c>
      <c r="N428" s="23"/>
      <c r="O428" s="22">
        <f>+PROVEEDORES[[#This Row],[Descuento sobre subtotal %]]*(PROVEEDORES[[#This Row],[SUBTOTAL]]-PROVEEDORES[[#This Row],[descuento sobre subtotal]])</f>
        <v>0</v>
      </c>
      <c r="P428" s="83">
        <f>+IF(PROVEEDORES[[#This Row],[SUBTOTAL]]&lt;PROVEEDORES[[#This Row],[base retencion]],0,PROVEEDORES[[#This Row],[retención aplicada]])</f>
        <v>3.5000000000000003E-2</v>
      </c>
      <c r="Q428" s="22">
        <f>+PROVEEDORES[[#This Row],[Rete Fuente %]]*(PROVEEDORES[[#This Row],[SUBTOTAL]]-PROVEEDORES[[#This Row],[descuento sobre subtotal]])</f>
        <v>7537.4600000000009</v>
      </c>
      <c r="R428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68">
        <f ca="1">IF(PROVEEDORES[[#This Row],[FECHA DE PAGO]]=0,TODAY()-PROVEEDORES[[#This Row],[FECHA DE FACTURACIÓN]]-PROVEEDORES[[#This Row],[PLAZO Días]],0)</f>
        <v>0</v>
      </c>
      <c r="U428" s="113" t="str">
        <f>+VLOOKUP(PROVEEDORES[[#This Row],[PROVEEDOR]],Terceros!$A:$D,4,FALSE)</f>
        <v>3,5% sin base</v>
      </c>
      <c r="V428" s="114">
        <f>+YEAR(PROVEEDORES[[#This Row],[FECHA DE FACTURACIÓN]])</f>
        <v>2022</v>
      </c>
      <c r="W428" s="114">
        <f>+MATCH(PROVEEDORES[[#This Row],[año facturado]],Retenciones!$1:$1,0)</f>
        <v>5</v>
      </c>
      <c r="X428" s="115">
        <f>+VLOOKUP(PROVEEDORES[[#This Row],[ID RETENCION]],Retenciones!$A$1:$O$25,PROVEEDORES[[#This Row],[indicador de columna]],FALSE)</f>
        <v>0</v>
      </c>
      <c r="Y428" s="116">
        <f>+VLOOKUP(PROVEEDORES[[#This Row],[ID RETENCION]],Retenciones!$A$1:$O$25,2,FALSE)</f>
        <v>3.5000000000000003E-2</v>
      </c>
      <c r="Z428" s="125" t="b">
        <f>OR(COUNTIF(PROVEEDORES[[#This Row],[PROVEEDOR]],"*"&amp;'Palabra no opera'!$A$2&amp;"*"))</f>
        <v>1</v>
      </c>
      <c r="AA428" s="24"/>
      <c r="AB428" s="24"/>
      <c r="AC428" s="24"/>
      <c r="AD428" s="24"/>
      <c r="AE428" s="24"/>
    </row>
    <row r="429" spans="1:31" ht="22.2" customHeight="1" x14ac:dyDescent="0.3">
      <c r="A429" s="72" t="str">
        <f>+IF(PROVEEDORES[[#This Row],[FECHA DE PAGO]]=PROVEEDORES[[#This Row],[FECHA DE FACTURACIÓN]],"DE CONTADO","CRÉDITO")</f>
        <v>CRÉDITO</v>
      </c>
      <c r="B429" s="38" t="b">
        <f>+IF((PROVEEDORES[[#This Row],[FECHA DE PAGO]]-PROVEEDORES[[#This Row],[FECHA DE FACTURACIÓN]])&gt;PROVEEDORES[[#This Row],[PLAZO Días]],"PAGO VENCIDO")</f>
        <v>0</v>
      </c>
      <c r="C429" s="20">
        <f>+VLOOKUP(PROVEEDORES[[#This Row],[PROVEEDOR]],TERCEROS_INFO[#All],2,FALSE)</f>
        <v>30</v>
      </c>
      <c r="D429" s="25">
        <f>+SUMIFS(PROVEEDORES[Total],PROVEEDORES[PROVEEDOR],PROVEEDORES[[#This Row],[PROVEEDOR]],PROVEEDORES[FECHA DE PAGO],"")</f>
        <v>0</v>
      </c>
      <c r="E429" s="25"/>
      <c r="F42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9" s="161">
        <v>44855</v>
      </c>
      <c r="H429" s="26" t="s">
        <v>941</v>
      </c>
      <c r="I429" s="161">
        <v>44837</v>
      </c>
      <c r="J429" s="35" t="s">
        <v>1782</v>
      </c>
      <c r="K429" s="21">
        <v>215356</v>
      </c>
      <c r="L429" s="21"/>
      <c r="M429" s="22">
        <f>(PROVEEDORES[[#This Row],[SUBTOTAL]]-PROVEEDORES[[#This Row],[descuento sobre subtotal]])*VLOOKUP(PROVEEDORES[[#This Row],[PROVEEDOR]],TERCEROS_INFO[#All],3,FALSE)</f>
        <v>40917.64</v>
      </c>
      <c r="N429" s="23"/>
      <c r="O429" s="22">
        <f>+PROVEEDORES[[#This Row],[Descuento sobre subtotal %]]*(PROVEEDORES[[#This Row],[SUBTOTAL]]-PROVEEDORES[[#This Row],[descuento sobre subtotal]])</f>
        <v>0</v>
      </c>
      <c r="P429" s="83">
        <f>+IF(PROVEEDORES[[#This Row],[SUBTOTAL]]&lt;PROVEEDORES[[#This Row],[base retencion]],0,PROVEEDORES[[#This Row],[retención aplicada]])</f>
        <v>3.5000000000000003E-2</v>
      </c>
      <c r="Q429" s="22">
        <f>+PROVEEDORES[[#This Row],[Rete Fuente %]]*(PROVEEDORES[[#This Row],[SUBTOTAL]]-PROVEEDORES[[#This Row],[descuento sobre subtotal]])</f>
        <v>7537.4600000000009</v>
      </c>
      <c r="R429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68">
        <f ca="1">IF(PROVEEDORES[[#This Row],[FECHA DE PAGO]]=0,TODAY()-PROVEEDORES[[#This Row],[FECHA DE FACTURACIÓN]]-PROVEEDORES[[#This Row],[PLAZO Días]],0)</f>
        <v>0</v>
      </c>
      <c r="U429" s="113" t="str">
        <f>+VLOOKUP(PROVEEDORES[[#This Row],[PROVEEDOR]],Terceros!$A:$D,4,FALSE)</f>
        <v>3,5% sin base</v>
      </c>
      <c r="V429" s="114">
        <f>+YEAR(PROVEEDORES[[#This Row],[FECHA DE FACTURACIÓN]])</f>
        <v>2022</v>
      </c>
      <c r="W429" s="114">
        <f>+MATCH(PROVEEDORES[[#This Row],[año facturado]],Retenciones!$1:$1,0)</f>
        <v>5</v>
      </c>
      <c r="X429" s="115">
        <f>+VLOOKUP(PROVEEDORES[[#This Row],[ID RETENCION]],Retenciones!$A$1:$O$25,PROVEEDORES[[#This Row],[indicador de columna]],FALSE)</f>
        <v>0</v>
      </c>
      <c r="Y429" s="116">
        <f>+VLOOKUP(PROVEEDORES[[#This Row],[ID RETENCION]],Retenciones!$A$1:$O$25,2,FALSE)</f>
        <v>3.5000000000000003E-2</v>
      </c>
      <c r="Z429" s="125" t="b">
        <f>OR(COUNTIF(PROVEEDORES[[#This Row],[PROVEEDOR]],"*"&amp;'Palabra no opera'!$A$2&amp;"*"))</f>
        <v>1</v>
      </c>
      <c r="AA429" s="24"/>
      <c r="AB429" s="24"/>
      <c r="AC429" s="24"/>
      <c r="AD429" s="24"/>
      <c r="AE429" s="24"/>
    </row>
    <row r="430" spans="1:31" ht="22.2" customHeight="1" x14ac:dyDescent="0.3">
      <c r="A430" s="207" t="str">
        <f>+IF(PROVEEDORES[[#This Row],[FECHA DE PAGO]]=PROVEEDORES[[#This Row],[FECHA DE FACTURACIÓN]],"DE CONTADO","CRÉDITO")</f>
        <v>CRÉDITO</v>
      </c>
      <c r="B430" s="38" t="b">
        <f>+IF((PROVEEDORES[[#This Row],[FECHA DE PAGO]]-PROVEEDORES[[#This Row],[FECHA DE FACTURACIÓN]])&gt;PROVEEDORES[[#This Row],[PLAZO Días]],"PAGO VENCIDO")</f>
        <v>0</v>
      </c>
      <c r="C430" s="20">
        <f>+VLOOKUP(PROVEEDORES[[#This Row],[PROVEEDOR]],TERCEROS_INFO[#All],2,FALSE)</f>
        <v>30</v>
      </c>
      <c r="D430" s="25">
        <f>+SUMIFS(PROVEEDORES[Total],PROVEEDORES[PROVEEDOR],PROVEEDORES[[#This Row],[PROVEEDOR]],PROVEEDORES[FECHA DE PAGO],"")</f>
        <v>1194849.25</v>
      </c>
      <c r="E430" s="25"/>
      <c r="F430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430" s="161">
        <v>44806</v>
      </c>
      <c r="H430" s="26" t="s">
        <v>32</v>
      </c>
      <c r="I430" s="161">
        <v>44786</v>
      </c>
      <c r="J430" s="35" t="s">
        <v>1414</v>
      </c>
      <c r="K430" s="21">
        <v>209243.7</v>
      </c>
      <c r="L430" s="21"/>
      <c r="M430" s="22">
        <f>(PROVEEDORES[[#This Row],[SUBTOTAL]]-PROVEEDORES[[#This Row],[descuento sobre subtotal]])*VLOOKUP(PROVEEDORES[[#This Row],[PROVEEDOR]],TERCEROS_INFO[#All],3,FALSE)</f>
        <v>39756.303</v>
      </c>
      <c r="N430" s="23"/>
      <c r="O430" s="22">
        <f>+PROVEEDORES[[#This Row],[Descuento sobre subtotal %]]*(PROVEEDORES[[#This Row],[SUBTOTAL]]-PROVEEDORES[[#This Row],[descuento sobre subtotal]])</f>
        <v>0</v>
      </c>
      <c r="P430" s="83">
        <f>+IF(PROVEEDORES[[#This Row],[SUBTOTAL]]&lt;PROVEEDORES[[#This Row],[base retencion]],0,PROVEEDORES[[#This Row],[retención aplicada]])</f>
        <v>0</v>
      </c>
      <c r="Q430" s="22">
        <f>+PROVEEDORES[[#This Row],[Rete Fuente %]]*(PROVEEDORES[[#This Row],[SUBTOTAL]]-PROVEEDORES[[#This Row],[descuento sobre subtotal]])</f>
        <v>0</v>
      </c>
      <c r="R430" s="21">
        <f>+PROVEEDORES[[#This Row],[SUBTOTAL]]+PROVEEDORES[[#This Row],[IVA 19%]]-PROVEEDORES[[#This Row],[descuento sobre subtotal]]-PROVEEDORES[[#This Row],[Descuento sobre subtotal $2]]-PROVEEDORES[[#This Row],[Rete Fuente $]]</f>
        <v>249000.00300000003</v>
      </c>
      <c r="S43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68">
        <f ca="1">IF(PROVEEDORES[[#This Row],[FECHA DE PAGO]]=0,TODAY()-PROVEEDORES[[#This Row],[FECHA DE FACTURACIÓN]]-PROVEEDORES[[#This Row],[PLAZO Días]],0)</f>
        <v>0</v>
      </c>
      <c r="U430" s="113" t="str">
        <f>+VLOOKUP(PROVEEDORES[[#This Row],[PROVEEDOR]],Terceros!$A:$D,4,FALSE)</f>
        <v>2,5% con base</v>
      </c>
      <c r="V430" s="114">
        <f>+YEAR(PROVEEDORES[[#This Row],[FECHA DE FACTURACIÓN]])</f>
        <v>2022</v>
      </c>
      <c r="W430" s="114">
        <f>+MATCH(PROVEEDORES[[#This Row],[año facturado]],Retenciones!$1:$1,0)</f>
        <v>5</v>
      </c>
      <c r="X430" s="115">
        <f>+VLOOKUP(PROVEEDORES[[#This Row],[ID RETENCION]],Retenciones!$A$1:$O$25,PROVEEDORES[[#This Row],[indicador de columna]],FALSE)</f>
        <v>1026000</v>
      </c>
      <c r="Y430" s="116">
        <f>+VLOOKUP(PROVEEDORES[[#This Row],[ID RETENCION]],Retenciones!$A$1:$O$25,2,FALSE)</f>
        <v>2.5000000000000001E-2</v>
      </c>
      <c r="Z430" s="125" t="b">
        <f>OR(COUNTIF(PROVEEDORES[[#This Row],[PROVEEDOR]],"*"&amp;'Palabra no opera'!$A$2&amp;"*"))</f>
        <v>0</v>
      </c>
      <c r="AA430" s="24"/>
      <c r="AB430" s="24"/>
      <c r="AC430" s="24"/>
      <c r="AD430" s="24"/>
      <c r="AE430" s="24"/>
    </row>
    <row r="431" spans="1:31" ht="22.2" customHeight="1" x14ac:dyDescent="0.3">
      <c r="A431" s="66" t="str">
        <f>+IF(PROVEEDORES[[#This Row],[FECHA DE PAGO]]=PROVEEDORES[[#This Row],[FECHA DE FACTURACIÓN]],"DE CONTADO","CRÉDITO")</f>
        <v>CRÉDITO</v>
      </c>
      <c r="B431" s="38" t="str">
        <f>+IF((PROVEEDORES[[#This Row],[FECHA DE PAGO]]-PROVEEDORES[[#This Row],[FECHA DE FACTURACIÓN]])&gt;PROVEEDORES[[#This Row],[PLAZO Días]],"PAGO VENCIDO")</f>
        <v>PAGO VENCIDO</v>
      </c>
      <c r="C431" s="20">
        <f>+VLOOKUP(PROVEEDORES[[#This Row],[PROVEEDOR]],TERCEROS_INFO[#All],2,FALSE)</f>
        <v>30</v>
      </c>
      <c r="D431" s="25">
        <f>+SUMIFS(PROVEEDORES[Total],PROVEEDORES[PROVEEDOR],PROVEEDORES[[#This Row],[PROVEEDOR]],PROVEEDORES[FECHA DE PAGO],"")</f>
        <v>4712021.58</v>
      </c>
      <c r="E431" s="25"/>
      <c r="F43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31" s="161">
        <v>44488</v>
      </c>
      <c r="H431" s="26" t="s">
        <v>17</v>
      </c>
      <c r="I431" s="161">
        <v>44456</v>
      </c>
      <c r="J431" s="35">
        <v>1815050</v>
      </c>
      <c r="K431" s="21">
        <v>210000</v>
      </c>
      <c r="L431" s="21"/>
      <c r="M431" s="22">
        <f>(PROVEEDORES[[#This Row],[SUBTOTAL]]-PROVEEDORES[[#This Row],[descuento sobre subtotal]])*VLOOKUP(PROVEEDORES[[#This Row],[PROVEEDOR]],TERCEROS_INFO[#All],3,FALSE)</f>
        <v>39900</v>
      </c>
      <c r="N431" s="23"/>
      <c r="O431" s="22">
        <f>+PROVEEDORES[[#This Row],[Descuento sobre subtotal %]]*(PROVEEDORES[[#This Row],[SUBTOTAL]]-PROVEEDORES[[#This Row],[descuento sobre subtotal]])</f>
        <v>0</v>
      </c>
      <c r="P431" s="83">
        <f>+IF(PROVEEDORES[[#This Row],[SUBTOTAL]]&lt;PROVEEDORES[[#This Row],[base retencion]],0,PROVEEDORES[[#This Row],[retención aplicada]])</f>
        <v>0</v>
      </c>
      <c r="Q431" s="22">
        <f>+PROVEEDORES[[#This Row],[Rete Fuente %]]*(PROVEEDORES[[#This Row],[SUBTOTAL]]-PROVEEDORES[[#This Row],[descuento sobre subtotal]])</f>
        <v>0</v>
      </c>
      <c r="R431" s="21">
        <f>+PROVEEDORES[[#This Row],[SUBTOTAL]]+PROVEEDORES[[#This Row],[IVA 19%]]-PROVEEDORES[[#This Row],[descuento sobre subtotal]]-PROVEEDORES[[#This Row],[Descuento sobre subtotal $2]]-PROVEEDORES[[#This Row],[Rete Fuente $]]</f>
        <v>249900</v>
      </c>
      <c r="S4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68">
        <f ca="1">IF(PROVEEDORES[[#This Row],[FECHA DE PAGO]]=0,TODAY()-PROVEEDORES[[#This Row],[FECHA DE FACTURACIÓN]]-PROVEEDORES[[#This Row],[PLAZO Días]],0)</f>
        <v>0</v>
      </c>
      <c r="U431" s="96">
        <f>+VLOOKUP(PROVEEDORES[[#This Row],[PROVEEDOR]],Terceros!$A:$D,4,FALSE)</f>
        <v>0</v>
      </c>
      <c r="V431" s="97">
        <f>+YEAR(PROVEEDORES[[#This Row],[FECHA DE FACTURACIÓN]])</f>
        <v>2021</v>
      </c>
      <c r="W431" s="97">
        <f>+MATCH(PROVEEDORES[[#This Row],[año facturado]],Retenciones!$1:$1,0)</f>
        <v>4</v>
      </c>
      <c r="X431" s="98">
        <f>+VLOOKUP(PROVEEDORES[[#This Row],[ID RETENCION]],Retenciones!$A$1:$O$25,PROVEEDORES[[#This Row],[indicador de columna]],FALSE)</f>
        <v>0</v>
      </c>
      <c r="Y431" s="99">
        <f>+VLOOKUP(PROVEEDORES[[#This Row],[ID RETENCION]],Retenciones!$A$1:$O$25,2,FALSE)</f>
        <v>0</v>
      </c>
      <c r="Z431" s="125" t="b">
        <f>OR(COUNTIF(PROVEEDORES[[#This Row],[PROVEEDOR]],"*"&amp;'Palabra no opera'!$A$2&amp;"*"))</f>
        <v>0</v>
      </c>
      <c r="AA431" s="24"/>
      <c r="AB431" s="24"/>
      <c r="AC431" s="24"/>
      <c r="AD431" s="24"/>
      <c r="AE431" s="24"/>
    </row>
    <row r="432" spans="1:31" ht="22.2" customHeight="1" x14ac:dyDescent="0.3">
      <c r="A432" s="72" t="str">
        <f>+IF(PROVEEDORES[[#This Row],[FECHA DE PAGO]]=PROVEEDORES[[#This Row],[FECHA DE FACTURACIÓN]],"DE CONTADO","CRÉDITO")</f>
        <v>CRÉDITO</v>
      </c>
      <c r="B432" s="38" t="b">
        <f>+IF((PROVEEDORES[[#This Row],[FECHA DE PAGO]]-PROVEEDORES[[#This Row],[FECHA DE FACTURACIÓN]])&gt;PROVEEDORES[[#This Row],[PLAZO Días]],"PAGO VENCIDO")</f>
        <v>0</v>
      </c>
      <c r="C432" s="20">
        <f>+VLOOKUP(PROVEEDORES[[#This Row],[PROVEEDOR]],TERCEROS_INFO[#All],2,FALSE)</f>
        <v>30</v>
      </c>
      <c r="D432" s="25">
        <f>+SUMIFS(PROVEEDORES[Total],PROVEEDORES[PROVEEDOR],PROVEEDORES[[#This Row],[PROVEEDOR]],PROVEEDORES[FECHA DE PAGO],"")</f>
        <v>0</v>
      </c>
      <c r="E432" s="25"/>
      <c r="F432" s="58" t="str">
        <f>+VLOOKUP(PROVEEDORES[[#This Row],[PROVEEDOR]],
                       Terceros!$A:$F,
                       5,
                       FALSE)</f>
        <v/>
      </c>
      <c r="G432" s="161">
        <v>44806</v>
      </c>
      <c r="H432" s="26" t="s">
        <v>644</v>
      </c>
      <c r="I432" s="161">
        <v>44805</v>
      </c>
      <c r="J432" s="35" t="s">
        <v>1700</v>
      </c>
      <c r="K432" s="21">
        <v>250000</v>
      </c>
      <c r="L432" s="21"/>
      <c r="M432" s="22">
        <f>(PROVEEDORES[[#This Row],[SUBTOTAL]]-PROVEEDORES[[#This Row],[descuento sobre subtotal]])*VLOOKUP(PROVEEDORES[[#This Row],[PROVEEDOR]],TERCEROS_INFO[#All],3,FALSE)</f>
        <v>0</v>
      </c>
      <c r="N432" s="23"/>
      <c r="O432" s="22">
        <f>+PROVEEDORES[[#This Row],[Descuento sobre subtotal %]]*(PROVEEDORES[[#This Row],[SUBTOTAL]]-PROVEEDORES[[#This Row],[descuento sobre subtotal]])</f>
        <v>0</v>
      </c>
      <c r="P432" s="83">
        <f>+IF(PROVEEDORES[[#This Row],[SUBTOTAL]]&lt;PROVEEDORES[[#This Row],[base retencion]],0,PROVEEDORES[[#This Row],[retención aplicada]])</f>
        <v>0</v>
      </c>
      <c r="Q432" s="22">
        <f>+PROVEEDORES[[#This Row],[Rete Fuente %]]*(PROVEEDORES[[#This Row],[SUBTOTAL]]-PROVEEDORES[[#This Row],[descuento sobre subtotal]])</f>
        <v>0</v>
      </c>
      <c r="R432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43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68">
        <f ca="1">IF(PROVEEDORES[[#This Row],[FECHA DE PAGO]]=0,TODAY()-PROVEEDORES[[#This Row],[FECHA DE FACTURACIÓN]]-PROVEEDORES[[#This Row],[PLAZO Días]],0)</f>
        <v>0</v>
      </c>
      <c r="U432" s="113">
        <f>+VLOOKUP(PROVEEDORES[[#This Row],[PROVEEDOR]],Terceros!$A:$D,4,FALSE)</f>
        <v>0</v>
      </c>
      <c r="V432" s="114">
        <f>+YEAR(PROVEEDORES[[#This Row],[FECHA DE FACTURACIÓN]])</f>
        <v>2022</v>
      </c>
      <c r="W432" s="114">
        <f>+MATCH(PROVEEDORES[[#This Row],[año facturado]],Retenciones!$1:$1,0)</f>
        <v>5</v>
      </c>
      <c r="X432" s="115">
        <f>+VLOOKUP(PROVEEDORES[[#This Row],[ID RETENCION]],Retenciones!$A$1:$O$25,PROVEEDORES[[#This Row],[indicador de columna]],FALSE)</f>
        <v>0</v>
      </c>
      <c r="Y432" s="116">
        <f>+VLOOKUP(PROVEEDORES[[#This Row],[ID RETENCION]],Retenciones!$A$1:$O$25,2,FALSE)</f>
        <v>0</v>
      </c>
      <c r="Z432" s="125" t="b">
        <f>OR(COUNTIF(PROVEEDORES[[#This Row],[PROVEEDOR]],"*"&amp;'Palabra no opera'!$A$2&amp;"*"))</f>
        <v>0</v>
      </c>
      <c r="AA432" s="24"/>
      <c r="AB432" s="24"/>
      <c r="AC432" s="24"/>
      <c r="AD432" s="24"/>
      <c r="AE432" s="24"/>
    </row>
    <row r="433" spans="1:31" ht="22.2" customHeight="1" x14ac:dyDescent="0.3">
      <c r="A433" s="135" t="str">
        <f>+IF(PROVEEDORES[[#This Row],[FECHA DE PAGO]]=PROVEEDORES[[#This Row],[FECHA DE FACTURACIÓN]],"DE CONTADO","CRÉDITO")</f>
        <v>CRÉDITO</v>
      </c>
      <c r="B433" s="38" t="b">
        <f>+IF((PROVEEDORES[[#This Row],[FECHA DE PAGO]]-PROVEEDORES[[#This Row],[FECHA DE FACTURACIÓN]])&gt;PROVEEDORES[[#This Row],[PLAZO Días]],"PAGO VENCIDO")</f>
        <v>0</v>
      </c>
      <c r="C433" s="20">
        <f>+VLOOKUP(PROVEEDORES[[#This Row],[PROVEEDOR]],TERCEROS_INFO[#All],2,FALSE)</f>
        <v>30</v>
      </c>
      <c r="D433" s="25">
        <f>+SUMIFS(PROVEEDORES[Total],PROVEEDORES[PROVEEDOR],PROVEEDORES[[#This Row],[PROVEEDOR]],PROVEEDORES[FECHA DE PAGO],"")</f>
        <v>0</v>
      </c>
      <c r="E433" s="25"/>
      <c r="F43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33" s="161">
        <v>44699</v>
      </c>
      <c r="H433" s="26" t="s">
        <v>1451</v>
      </c>
      <c r="I433" s="161">
        <v>44691</v>
      </c>
      <c r="J433" s="35">
        <v>339</v>
      </c>
      <c r="K433" s="21">
        <v>253000</v>
      </c>
      <c r="L433" s="21"/>
      <c r="M433" s="22">
        <f>(PROVEEDORES[[#This Row],[SUBTOTAL]]-PROVEEDORES[[#This Row],[descuento sobre subtotal]])*VLOOKUP(PROVEEDORES[[#This Row],[PROVEEDOR]],TERCEROS_INFO[#All],3,FALSE)</f>
        <v>0</v>
      </c>
      <c r="N433" s="23"/>
      <c r="O433" s="22">
        <f>+PROVEEDORES[[#This Row],[Descuento sobre subtotal %]]*(PROVEEDORES[[#This Row],[SUBTOTAL]]-PROVEEDORES[[#This Row],[descuento sobre subtotal]])</f>
        <v>0</v>
      </c>
      <c r="P433" s="83">
        <f>+IF(PROVEEDORES[[#This Row],[SUBTOTAL]]&lt;PROVEEDORES[[#This Row],[base retencion]],0,PROVEEDORES[[#This Row],[retención aplicada]])</f>
        <v>0.01</v>
      </c>
      <c r="Q433" s="22">
        <f>+PROVEEDORES[[#This Row],[Rete Fuente %]]*(PROVEEDORES[[#This Row],[SUBTOTAL]]-PROVEEDORES[[#This Row],[descuento sobre subtotal]])</f>
        <v>2530</v>
      </c>
      <c r="R433" s="21">
        <f>+PROVEEDORES[[#This Row],[SUBTOTAL]]+PROVEEDORES[[#This Row],[IVA 19%]]-PROVEEDORES[[#This Row],[descuento sobre subtotal]]-PROVEEDORES[[#This Row],[Descuento sobre subtotal $2]]-PROVEEDORES[[#This Row],[Rete Fuente $]]</f>
        <v>250470</v>
      </c>
      <c r="S433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68">
        <f ca="1">IF(PROVEEDORES[[#This Row],[FECHA DE PAGO]]=0,TODAY()-PROVEEDORES[[#This Row],[FECHA DE FACTURACIÓN]]-PROVEEDORES[[#This Row],[PLAZO Días]],0)</f>
        <v>0</v>
      </c>
      <c r="U433" s="113" t="str">
        <f>+VLOOKUP(PROVEEDORES[[#This Row],[PROVEEDOR]],Terceros!$A:$D,4,FALSE)</f>
        <v>1% con base</v>
      </c>
      <c r="V433" s="114">
        <f>+YEAR(PROVEEDORES[[#This Row],[FECHA DE FACTURACIÓN]])</f>
        <v>2022</v>
      </c>
      <c r="W433" s="114">
        <f>+MATCH(PROVEEDORES[[#This Row],[año facturado]],Retenciones!$1:$1,0)</f>
        <v>5</v>
      </c>
      <c r="X433" s="115">
        <f>+VLOOKUP(PROVEEDORES[[#This Row],[ID RETENCION]],Retenciones!$A$1:$O$25,PROVEEDORES[[#This Row],[indicador de columna]],FALSE)</f>
        <v>152000</v>
      </c>
      <c r="Y433" s="116">
        <f>+VLOOKUP(PROVEEDORES[[#This Row],[ID RETENCION]],Retenciones!$A$1:$O$25,2,FALSE)</f>
        <v>0.01</v>
      </c>
      <c r="Z433" s="125" t="b">
        <f>OR(COUNTIF(PROVEEDORES[[#This Row],[PROVEEDOR]],"*"&amp;'Palabra no opera'!$A$2&amp;"*"))</f>
        <v>0</v>
      </c>
      <c r="AA433" s="24"/>
      <c r="AB433" s="24"/>
      <c r="AC433" s="24"/>
      <c r="AD433" s="24"/>
      <c r="AE433" s="24"/>
    </row>
    <row r="434" spans="1:31" ht="22.2" customHeight="1" x14ac:dyDescent="0.3">
      <c r="A434" s="66" t="str">
        <f>+IF(PROVEEDORES[[#This Row],[FECHA DE PAGO]]=PROVEEDORES[[#This Row],[FECHA DE FACTURACIÓN]],"DE CONTADO","CRÉDITO")</f>
        <v>CRÉDITO</v>
      </c>
      <c r="B434" s="38" t="b">
        <f>+IF((PROVEEDORES[[#This Row],[FECHA DE PAGO]]-PROVEEDORES[[#This Row],[FECHA DE FACTURACIÓN]])&gt;PROVEEDORES[[#This Row],[PLAZO Días]],"PAGO VENCIDO")</f>
        <v>0</v>
      </c>
      <c r="C434" s="20">
        <f>+VLOOKUP(PROVEEDORES[[#This Row],[PROVEEDOR]],TERCEROS_INFO[#All],2,FALSE)</f>
        <v>30</v>
      </c>
      <c r="D434" s="25">
        <f>+SUMIFS(PROVEEDORES[Total],PROVEEDORES[PROVEEDOR],PROVEEDORES[[#This Row],[PROVEEDOR]],PROVEEDORES[FECHA DE PAGO],"")</f>
        <v>0</v>
      </c>
      <c r="E434" s="25"/>
      <c r="F434" s="58" t="str">
        <f>+VLOOKUP(PROVEEDORES[[#This Row],[PROVEEDOR]],
                       Terceros!$A:$F,
                       5,
                       FALSE)</f>
        <v>facturacion@losmolinos.com.co</v>
      </c>
      <c r="G434" s="161">
        <v>44243</v>
      </c>
      <c r="H434" s="26" t="s">
        <v>940</v>
      </c>
      <c r="I434" s="161">
        <v>44228</v>
      </c>
      <c r="J434" s="35"/>
      <c r="K434" s="21">
        <v>250973</v>
      </c>
      <c r="L434" s="21"/>
      <c r="M434" s="22">
        <f>(PROVEEDORES[[#This Row],[SUBTOTAL]]-PROVEEDORES[[#This Row],[descuento sobre subtotal]])*VLOOKUP(PROVEEDORES[[#This Row],[PROVEEDOR]],TERCEROS_INFO[#All],3,FALSE)</f>
        <v>0</v>
      </c>
      <c r="N434" s="23"/>
      <c r="O434" s="22">
        <f>+PROVEEDORES[[#This Row],[Descuento sobre subtotal %]]*(PROVEEDORES[[#This Row],[SUBTOTAL]]-PROVEEDORES[[#This Row],[descuento sobre subtotal]])</f>
        <v>0</v>
      </c>
      <c r="P434" s="83">
        <f>+IF(PROVEEDORES[[#This Row],[SUBTOTAL]]&lt;PROVEEDORES[[#This Row],[base retencion]],0,PROVEEDORES[[#This Row],[retención aplicada]])</f>
        <v>0</v>
      </c>
      <c r="Q434" s="22">
        <f>+PROVEEDORES[[#This Row],[Rete Fuente %]]*(PROVEEDORES[[#This Row],[SUBTOTAL]]-PROVEEDORES[[#This Row],[descuento sobre subtotal]])</f>
        <v>0</v>
      </c>
      <c r="R434" s="21">
        <f>+PROVEEDORES[[#This Row],[SUBTOTAL]]+PROVEEDORES[[#This Row],[IVA 19%]]-PROVEEDORES[[#This Row],[descuento sobre subtotal]]-PROVEEDORES[[#This Row],[Descuento sobre subtotal $2]]-PROVEEDORES[[#This Row],[Rete Fuente $]]</f>
        <v>250973</v>
      </c>
      <c r="S4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4" s="68">
        <f ca="1">IF(PROVEEDORES[[#This Row],[FECHA DE PAGO]]=0,TODAY()-PROVEEDORES[[#This Row],[FECHA DE FACTURACIÓN]]-PROVEEDORES[[#This Row],[PLAZO Días]],0)</f>
        <v>0</v>
      </c>
      <c r="U434" s="96">
        <f>+VLOOKUP(PROVEEDORES[[#This Row],[PROVEEDOR]],Terceros!$A:$D,4,FALSE)</f>
        <v>0</v>
      </c>
      <c r="V434" s="97">
        <f>+YEAR(PROVEEDORES[[#This Row],[FECHA DE FACTURACIÓN]])</f>
        <v>2021</v>
      </c>
      <c r="W434" s="97">
        <f>+MATCH(PROVEEDORES[[#This Row],[año facturado]],Retenciones!$1:$1,0)</f>
        <v>4</v>
      </c>
      <c r="X434" s="98">
        <f>+VLOOKUP(PROVEEDORES[[#This Row],[ID RETENCION]],Retenciones!$A$1:$O$25,PROVEEDORES[[#This Row],[indicador de columna]],FALSE)</f>
        <v>0</v>
      </c>
      <c r="Y434" s="99">
        <f>+VLOOKUP(PROVEEDORES[[#This Row],[ID RETENCION]],Retenciones!$A$1:$O$25,2,FALSE)</f>
        <v>0</v>
      </c>
      <c r="Z434" s="125" t="b">
        <f>OR(COUNTIF(PROVEEDORES[[#This Row],[PROVEEDOR]],"*"&amp;'Palabra no opera'!$A$2&amp;"*"))</f>
        <v>1</v>
      </c>
      <c r="AA434" s="24"/>
      <c r="AB434" s="24"/>
      <c r="AC434" s="24"/>
      <c r="AD434" s="24"/>
      <c r="AE434" s="24"/>
    </row>
    <row r="435" spans="1:31" ht="22.2" customHeight="1" x14ac:dyDescent="0.3">
      <c r="A435" s="66" t="str">
        <f>+IF(PROVEEDORES[[#This Row],[FECHA DE PAGO]]=PROVEEDORES[[#This Row],[FECHA DE FACTURACIÓN]],"DE CONTADO","CRÉDITO")</f>
        <v>CRÉDITO</v>
      </c>
      <c r="B435" s="38" t="b">
        <f>+IF((PROVEEDORES[[#This Row],[FECHA DE PAGO]]-PROVEEDORES[[#This Row],[FECHA DE FACTURACIÓN]])&gt;PROVEEDORES[[#This Row],[PLAZO Días]],"PAGO VENCIDO")</f>
        <v>0</v>
      </c>
      <c r="C435" s="20">
        <f>+VLOOKUP(PROVEEDORES[[#This Row],[PROVEEDOR]],TERCEROS_INFO[#All],2,FALSE)</f>
        <v>30</v>
      </c>
      <c r="D435" s="25">
        <f>+SUMIFS(PROVEEDORES[Total],PROVEEDORES[PROVEEDOR],PROVEEDORES[[#This Row],[PROVEEDOR]],PROVEEDORES[FECHA DE PAGO],"")</f>
        <v>0</v>
      </c>
      <c r="E435" s="25"/>
      <c r="F435" s="58" t="str">
        <f>+VLOOKUP(PROVEEDORES[[#This Row],[PROVEEDOR]],
                       Terceros!$A:$F,
                       5,
                       FALSE)</f>
        <v>facturacion@losmolinos.com.co</v>
      </c>
      <c r="G435" s="161">
        <v>44271</v>
      </c>
      <c r="H435" s="26" t="s">
        <v>940</v>
      </c>
      <c r="I435" s="161">
        <v>44256</v>
      </c>
      <c r="J435" s="35">
        <v>61974</v>
      </c>
      <c r="K435" s="21">
        <v>250973</v>
      </c>
      <c r="L435" s="21"/>
      <c r="M435" s="22">
        <f>(PROVEEDORES[[#This Row],[SUBTOTAL]]-PROVEEDORES[[#This Row],[descuento sobre subtotal]])*VLOOKUP(PROVEEDORES[[#This Row],[PROVEEDOR]],TERCEROS_INFO[#All],3,FALSE)</f>
        <v>0</v>
      </c>
      <c r="N435" s="23"/>
      <c r="O435" s="22">
        <f>+PROVEEDORES[[#This Row],[Descuento sobre subtotal %]]*(PROVEEDORES[[#This Row],[SUBTOTAL]]-PROVEEDORES[[#This Row],[descuento sobre subtotal]])</f>
        <v>0</v>
      </c>
      <c r="P435" s="83">
        <f>+IF(PROVEEDORES[[#This Row],[SUBTOTAL]]&lt;PROVEEDORES[[#This Row],[base retencion]],0,PROVEEDORES[[#This Row],[retención aplicada]])</f>
        <v>0</v>
      </c>
      <c r="Q435" s="22">
        <f>+PROVEEDORES[[#This Row],[Rete Fuente %]]*(PROVEEDORES[[#This Row],[SUBTOTAL]]-PROVEEDORES[[#This Row],[descuento sobre subtotal]])</f>
        <v>0</v>
      </c>
      <c r="R435" s="21">
        <f>+PROVEEDORES[[#This Row],[SUBTOTAL]]+PROVEEDORES[[#This Row],[IVA 19%]]-PROVEEDORES[[#This Row],[descuento sobre subtotal]]-PROVEEDORES[[#This Row],[Descuento sobre subtotal $2]]-PROVEEDORES[[#This Row],[Rete Fuente $]]</f>
        <v>250973</v>
      </c>
      <c r="S4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5" s="68">
        <f ca="1">IF(PROVEEDORES[[#This Row],[FECHA DE PAGO]]=0,TODAY()-PROVEEDORES[[#This Row],[FECHA DE FACTURACIÓN]]-PROVEEDORES[[#This Row],[PLAZO Días]],0)</f>
        <v>0</v>
      </c>
      <c r="U435" s="96">
        <f>+VLOOKUP(PROVEEDORES[[#This Row],[PROVEEDOR]],Terceros!$A:$D,4,FALSE)</f>
        <v>0</v>
      </c>
      <c r="V435" s="97">
        <f>+YEAR(PROVEEDORES[[#This Row],[FECHA DE FACTURACIÓN]])</f>
        <v>2021</v>
      </c>
      <c r="W435" s="97">
        <f>+MATCH(PROVEEDORES[[#This Row],[año facturado]],Retenciones!$1:$1,0)</f>
        <v>4</v>
      </c>
      <c r="X435" s="98">
        <f>+VLOOKUP(PROVEEDORES[[#This Row],[ID RETENCION]],Retenciones!$A$1:$O$25,PROVEEDORES[[#This Row],[indicador de columna]],FALSE)</f>
        <v>0</v>
      </c>
      <c r="Y435" s="99">
        <f>+VLOOKUP(PROVEEDORES[[#This Row],[ID RETENCION]],Retenciones!$A$1:$O$25,2,FALSE)</f>
        <v>0</v>
      </c>
      <c r="Z435" s="125" t="b">
        <f>OR(COUNTIF(PROVEEDORES[[#This Row],[PROVEEDOR]],"*"&amp;'Palabra no opera'!$A$2&amp;"*"))</f>
        <v>1</v>
      </c>
      <c r="AA435" s="24"/>
      <c r="AB435" s="24"/>
      <c r="AC435" s="24"/>
      <c r="AD435" s="24"/>
      <c r="AE435" s="24"/>
    </row>
    <row r="436" spans="1:31" ht="22.2" customHeight="1" x14ac:dyDescent="0.3">
      <c r="A436" s="66" t="str">
        <f>+IF(PROVEEDORES[[#This Row],[FECHA DE PAGO]]=PROVEEDORES[[#This Row],[FECHA DE FACTURACIÓN]],"DE CONTADO","CRÉDITO")</f>
        <v>CRÉDITO</v>
      </c>
      <c r="B436" s="38" t="str">
        <f>+IF((PROVEEDORES[[#This Row],[FECHA DE PAGO]]-PROVEEDORES[[#This Row],[FECHA DE FACTURACIÓN]])&gt;PROVEEDORES[[#This Row],[PLAZO Días]],"PAGO VENCIDO")</f>
        <v>PAGO VENCIDO</v>
      </c>
      <c r="C436" s="20">
        <f>+VLOOKUP(PROVEEDORES[[#This Row],[PROVEEDOR]],TERCEROS_INFO[#All],2,FALSE)</f>
        <v>0</v>
      </c>
      <c r="D436" s="25">
        <f>+SUMIFS(PROVEEDORES[Total],PROVEEDORES[PROVEEDOR],PROVEEDORES[[#This Row],[PROVEEDOR]],PROVEEDORES[FECHA DE PAGO],"")</f>
        <v>0</v>
      </c>
      <c r="E436" s="25"/>
      <c r="F436" s="58"/>
      <c r="G436" s="161">
        <v>44377</v>
      </c>
      <c r="H436" s="26" t="s">
        <v>626</v>
      </c>
      <c r="I436" s="161">
        <v>44364</v>
      </c>
      <c r="J436" s="35"/>
      <c r="K436" s="21">
        <v>250995</v>
      </c>
      <c r="L436" s="21"/>
      <c r="M436" s="22">
        <f>(PROVEEDORES[[#This Row],[SUBTOTAL]]-PROVEEDORES[[#This Row],[descuento sobre subtotal]])*VLOOKUP(PROVEEDORES[[#This Row],[PROVEEDOR]],TERCEROS_INFO[#All],3,FALSE)</f>
        <v>0</v>
      </c>
      <c r="N436" s="23"/>
      <c r="O436" s="22">
        <f>+PROVEEDORES[[#This Row],[Descuento sobre subtotal %]]*(PROVEEDORES[[#This Row],[SUBTOTAL]]-PROVEEDORES[[#This Row],[descuento sobre subtotal]])</f>
        <v>0</v>
      </c>
      <c r="P436" s="83">
        <f>+IF(PROVEEDORES[[#This Row],[SUBTOTAL]]&lt;PROVEEDORES[[#This Row],[base retencion]],0,PROVEEDORES[[#This Row],[retención aplicada]])</f>
        <v>0</v>
      </c>
      <c r="Q436" s="22">
        <f>+PROVEEDORES[[#This Row],[Rete Fuente %]]*(PROVEEDORES[[#This Row],[SUBTOTAL]]-PROVEEDORES[[#This Row],[descuento sobre subtotal]])</f>
        <v>0</v>
      </c>
      <c r="R436" s="21">
        <f>+PROVEEDORES[[#This Row],[SUBTOTAL]]+PROVEEDORES[[#This Row],[IVA 19%]]-PROVEEDORES[[#This Row],[descuento sobre subtotal]]-PROVEEDORES[[#This Row],[Descuento sobre subtotal $2]]-PROVEEDORES[[#This Row],[Rete Fuente $]]</f>
        <v>250995</v>
      </c>
      <c r="S4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68">
        <f ca="1">IF(PROVEEDORES[[#This Row],[FECHA DE PAGO]]=0,TODAY()-PROVEEDORES[[#This Row],[FECHA DE FACTURACIÓN]]-PROVEEDORES[[#This Row],[PLAZO Días]],0)</f>
        <v>0</v>
      </c>
      <c r="U436" s="96">
        <f>+VLOOKUP(PROVEEDORES[[#This Row],[PROVEEDOR]],Terceros!$A:$D,4,FALSE)</f>
        <v>0</v>
      </c>
      <c r="V436" s="97">
        <f>+YEAR(PROVEEDORES[[#This Row],[FECHA DE FACTURACIÓN]])</f>
        <v>2021</v>
      </c>
      <c r="W436" s="97">
        <f>+MATCH(PROVEEDORES[[#This Row],[año facturado]],Retenciones!$1:$1,0)</f>
        <v>4</v>
      </c>
      <c r="X436" s="98">
        <f>+VLOOKUP(PROVEEDORES[[#This Row],[ID RETENCION]],Retenciones!$A$1:$O$25,PROVEEDORES[[#This Row],[indicador de columna]],FALSE)</f>
        <v>0</v>
      </c>
      <c r="Y436" s="99">
        <f>+VLOOKUP(PROVEEDORES[[#This Row],[ID RETENCION]],Retenciones!$A$1:$O$25,2,FALSE)</f>
        <v>0</v>
      </c>
      <c r="Z436" s="125" t="b">
        <f>OR(COUNTIF(PROVEEDORES[[#This Row],[PROVEEDOR]],"*"&amp;'Palabra no opera'!$A$2&amp;"*"))</f>
        <v>0</v>
      </c>
      <c r="AA436" s="24"/>
      <c r="AB436" s="24"/>
      <c r="AC436" s="24"/>
      <c r="AD436" s="24"/>
      <c r="AE436" s="24"/>
    </row>
    <row r="437" spans="1:31" ht="22.2" customHeight="1" x14ac:dyDescent="0.3">
      <c r="A437" s="66" t="str">
        <f>+IF(PROVEEDORES[[#This Row],[FECHA DE PAGO]]=PROVEEDORES[[#This Row],[FECHA DE FACTURACIÓN]],"DE CONTADO","CRÉDITO")</f>
        <v>DE CONTADO</v>
      </c>
      <c r="B437" s="38" t="b">
        <f>+IF((PROVEEDORES[[#This Row],[FECHA DE PAGO]]-PROVEEDORES[[#This Row],[FECHA DE FACTURACIÓN]])&gt;PROVEEDORES[[#This Row],[PLAZO Días]],"PAGO VENCIDO")</f>
        <v>0</v>
      </c>
      <c r="C437" s="20">
        <f>+VLOOKUP(PROVEEDORES[[#This Row],[PROVEEDOR]],TERCEROS_INFO[#All],2,FALSE)</f>
        <v>30</v>
      </c>
      <c r="D437" s="25">
        <f>+SUMIFS(PROVEEDORES[Total],PROVEEDORES[PROVEEDOR],PROVEEDORES[[#This Row],[PROVEEDOR]],PROVEEDORES[FECHA DE PAGO],"")</f>
        <v>0</v>
      </c>
      <c r="E437" s="25"/>
      <c r="F437" s="58" t="str">
        <f>+VLOOKUP(PROVEEDORES[[#This Row],[PROVEEDOR]],
                       Terceros!$A:$F,
                       5,
                       FALSE)</f>
        <v/>
      </c>
      <c r="G437" s="161">
        <v>44469</v>
      </c>
      <c r="H437" s="26" t="s">
        <v>644</v>
      </c>
      <c r="I437" s="161">
        <v>44469</v>
      </c>
      <c r="J437" s="35" t="s">
        <v>1186</v>
      </c>
      <c r="K437" s="21">
        <v>251000</v>
      </c>
      <c r="L437" s="21"/>
      <c r="M437" s="22">
        <f>(PROVEEDORES[[#This Row],[SUBTOTAL]]-PROVEEDORES[[#This Row],[descuento sobre subtotal]])*VLOOKUP(PROVEEDORES[[#This Row],[PROVEEDOR]],TERCEROS_INFO[#All],3,FALSE)</f>
        <v>0</v>
      </c>
      <c r="N437" s="23"/>
      <c r="O437" s="22">
        <f>+PROVEEDORES[[#This Row],[Descuento sobre subtotal %]]*(PROVEEDORES[[#This Row],[SUBTOTAL]]-PROVEEDORES[[#This Row],[descuento sobre subtotal]])</f>
        <v>0</v>
      </c>
      <c r="P437" s="83">
        <f>+IF(PROVEEDORES[[#This Row],[SUBTOTAL]]&lt;PROVEEDORES[[#This Row],[base retencion]],0,PROVEEDORES[[#This Row],[retención aplicada]])</f>
        <v>0</v>
      </c>
      <c r="Q437" s="22">
        <f>+PROVEEDORES[[#This Row],[Rete Fuente %]]*(PROVEEDORES[[#This Row],[SUBTOTAL]]-PROVEEDORES[[#This Row],[descuento sobre subtotal]])</f>
        <v>0</v>
      </c>
      <c r="R437" s="21">
        <f>+PROVEEDORES[[#This Row],[SUBTOTAL]]+PROVEEDORES[[#This Row],[IVA 19%]]-PROVEEDORES[[#This Row],[descuento sobre subtotal]]-PROVEEDORES[[#This Row],[Descuento sobre subtotal $2]]-PROVEEDORES[[#This Row],[Rete Fuente $]]</f>
        <v>251000</v>
      </c>
      <c r="S4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68">
        <f ca="1">IF(PROVEEDORES[[#This Row],[FECHA DE PAGO]]=0,TODAY()-PROVEEDORES[[#This Row],[FECHA DE FACTURACIÓN]]-PROVEEDORES[[#This Row],[PLAZO Días]],0)</f>
        <v>0</v>
      </c>
      <c r="U437" s="96">
        <f>+VLOOKUP(PROVEEDORES[[#This Row],[PROVEEDOR]],Terceros!$A:$D,4,FALSE)</f>
        <v>0</v>
      </c>
      <c r="V437" s="97">
        <f>+YEAR(PROVEEDORES[[#This Row],[FECHA DE FACTURACIÓN]])</f>
        <v>2021</v>
      </c>
      <c r="W437" s="97">
        <f>+MATCH(PROVEEDORES[[#This Row],[año facturado]],Retenciones!$1:$1,0)</f>
        <v>4</v>
      </c>
      <c r="X437" s="98">
        <f>+VLOOKUP(PROVEEDORES[[#This Row],[ID RETENCION]],Retenciones!$A$1:$O$25,PROVEEDORES[[#This Row],[indicador de columna]],FALSE)</f>
        <v>0</v>
      </c>
      <c r="Y437" s="99">
        <f>+VLOOKUP(PROVEEDORES[[#This Row],[ID RETENCION]],Retenciones!$A$1:$O$25,2,FALSE)</f>
        <v>0</v>
      </c>
      <c r="Z437" s="125" t="b">
        <f>OR(COUNTIF(PROVEEDORES[[#This Row],[PROVEEDOR]],"*"&amp;'Palabra no opera'!$A$2&amp;"*"))</f>
        <v>0</v>
      </c>
      <c r="AA437" s="24"/>
      <c r="AB437" s="24"/>
      <c r="AC437" s="24"/>
      <c r="AD437" s="24"/>
      <c r="AE437" s="24"/>
    </row>
    <row r="438" spans="1:31" ht="22.2" customHeight="1" x14ac:dyDescent="0.3">
      <c r="A438" s="159" t="str">
        <f>+IF(PROVEEDORES[[#This Row],[FECHA DE PAGO]]=PROVEEDORES[[#This Row],[FECHA DE FACTURACIÓN]],"DE CONTADO","CRÉDITO")</f>
        <v>CRÉDITO</v>
      </c>
      <c r="B438" s="38" t="str">
        <f>+IF((PROVEEDORES[[#This Row],[FECHA DE PAGO]]-PROVEEDORES[[#This Row],[FECHA DE FACTURACIÓN]])&gt;PROVEEDORES[[#This Row],[PLAZO Días]],"PAGO VENCIDO")</f>
        <v>PAGO VENCIDO</v>
      </c>
      <c r="C438" s="20">
        <f>+VLOOKUP(PROVEEDORES[[#This Row],[PROVEEDOR]],TERCEROS_INFO[#All],2,FALSE)</f>
        <v>30</v>
      </c>
      <c r="D438" s="25">
        <f>+SUMIFS(PROVEEDORES[Total],PROVEEDORES[PROVEEDOR],PROVEEDORES[[#This Row],[PROVEEDOR]],PROVEEDORES[FECHA DE PAGO],"")</f>
        <v>0</v>
      </c>
      <c r="E438" s="25"/>
      <c r="F43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38" s="161">
        <v>44741</v>
      </c>
      <c r="H438" s="26" t="s">
        <v>118</v>
      </c>
      <c r="I438" s="161">
        <v>44680</v>
      </c>
      <c r="J438" s="35" t="s">
        <v>1082</v>
      </c>
      <c r="K438" s="21">
        <v>251093</v>
      </c>
      <c r="L438" s="21"/>
      <c r="M438" s="22">
        <f>(PROVEEDORES[[#This Row],[SUBTOTAL]]-PROVEEDORES[[#This Row],[descuento sobre subtotal]])*VLOOKUP(PROVEEDORES[[#This Row],[PROVEEDOR]],TERCEROS_INFO[#All],3,FALSE)</f>
        <v>0</v>
      </c>
      <c r="N438" s="23"/>
      <c r="O438" s="22">
        <f>+PROVEEDORES[[#This Row],[Descuento sobre subtotal %]]*(PROVEEDORES[[#This Row],[SUBTOTAL]]-PROVEEDORES[[#This Row],[descuento sobre subtotal]])</f>
        <v>0</v>
      </c>
      <c r="P438" s="83">
        <f>+IF(PROVEEDORES[[#This Row],[SUBTOTAL]]&lt;PROVEEDORES[[#This Row],[base retencion]],0,PROVEEDORES[[#This Row],[retención aplicada]])</f>
        <v>0</v>
      </c>
      <c r="Q438" s="22">
        <f>+PROVEEDORES[[#This Row],[Rete Fuente %]]*(PROVEEDORES[[#This Row],[SUBTOTAL]]-PROVEEDORES[[#This Row],[descuento sobre subtotal]])</f>
        <v>0</v>
      </c>
      <c r="R438" s="21">
        <f>+PROVEEDORES[[#This Row],[SUBTOTAL]]+PROVEEDORES[[#This Row],[IVA 19%]]-PROVEEDORES[[#This Row],[descuento sobre subtotal]]-PROVEEDORES[[#This Row],[Descuento sobre subtotal $2]]-PROVEEDORES[[#This Row],[Rete Fuente $]]</f>
        <v>251093</v>
      </c>
      <c r="S438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68">
        <f ca="1">IF(PROVEEDORES[[#This Row],[FECHA DE PAGO]]=0,TODAY()-PROVEEDORES[[#This Row],[FECHA DE FACTURACIÓN]]-PROVEEDORES[[#This Row],[PLAZO Días]],0)</f>
        <v>0</v>
      </c>
      <c r="U438" s="113">
        <f>+VLOOKUP(PROVEEDORES[[#This Row],[PROVEEDOR]],Terceros!$A:$D,4,FALSE)</f>
        <v>0</v>
      </c>
      <c r="V438" s="114">
        <f>+YEAR(PROVEEDORES[[#This Row],[FECHA DE FACTURACIÓN]])</f>
        <v>2022</v>
      </c>
      <c r="W438" s="114">
        <f>+MATCH(PROVEEDORES[[#This Row],[año facturado]],Retenciones!$1:$1,0)</f>
        <v>5</v>
      </c>
      <c r="X438" s="115">
        <f>+VLOOKUP(PROVEEDORES[[#This Row],[ID RETENCION]],Retenciones!$A$1:$O$25,PROVEEDORES[[#This Row],[indicador de columna]],FALSE)</f>
        <v>0</v>
      </c>
      <c r="Y438" s="116">
        <f>+VLOOKUP(PROVEEDORES[[#This Row],[ID RETENCION]],Retenciones!$A$1:$O$25,2,FALSE)</f>
        <v>0</v>
      </c>
      <c r="Z438" s="125" t="b">
        <f>OR(COUNTIF(PROVEEDORES[[#This Row],[PROVEEDOR]],"*"&amp;'Palabra no opera'!$A$2&amp;"*"))</f>
        <v>0</v>
      </c>
      <c r="AA438" s="24"/>
      <c r="AB438" s="24"/>
      <c r="AC438" s="24"/>
      <c r="AD438" s="24"/>
      <c r="AE438" s="24"/>
    </row>
    <row r="439" spans="1:31" ht="22.2" customHeight="1" x14ac:dyDescent="0.3">
      <c r="A439" s="66" t="str">
        <f>+IF(PROVEEDORES[[#This Row],[FECHA DE PAGO]]=PROVEEDORES[[#This Row],[FECHA DE FACTURACIÓN]],"DE CONTADO","CRÉDITO")</f>
        <v>CRÉDITO</v>
      </c>
      <c r="B439" s="38" t="b">
        <f>+IF((PROVEEDORES[[#This Row],[FECHA DE PAGO]]-PROVEEDORES[[#This Row],[FECHA DE FACTURACIÓN]])&gt;PROVEEDORES[[#This Row],[PLAZO Días]],"PAGO VENCIDO")</f>
        <v>0</v>
      </c>
      <c r="C439" s="20">
        <f>+VLOOKUP(PROVEEDORES[[#This Row],[PROVEEDOR]],TERCEROS_INFO[#All],2,FALSE)</f>
        <v>60</v>
      </c>
      <c r="D439" s="25">
        <f>+SUMIFS(PROVEEDORES[Total],PROVEEDORES[PROVEEDOR],PROVEEDORES[[#This Row],[PROVEEDOR]],PROVEEDORES[FECHA DE PAGO],"")</f>
        <v>1520362</v>
      </c>
      <c r="E439" s="25"/>
      <c r="F43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39" s="161">
        <v>44586</v>
      </c>
      <c r="H439" s="26" t="s">
        <v>528</v>
      </c>
      <c r="I439" s="161">
        <v>44537</v>
      </c>
      <c r="J439" s="35" t="s">
        <v>1539</v>
      </c>
      <c r="K439" s="21">
        <v>252000</v>
      </c>
      <c r="L439" s="21"/>
      <c r="M439" s="22">
        <v>0</v>
      </c>
      <c r="N439" s="23"/>
      <c r="O439" s="22">
        <v>0</v>
      </c>
      <c r="P439" s="83">
        <f>+IF(PROVEEDORES[[#This Row],[SUBTOTAL]]&lt;PROVEEDORES[[#This Row],[base retencion]],0,PROVEEDORES[[#This Row],[retención aplicada]])</f>
        <v>0</v>
      </c>
      <c r="Q439" s="22">
        <f>+PROVEEDORES[[#This Row],[Rete Fuente %]]*(PROVEEDORES[[#This Row],[SUBTOTAL]]-PROVEEDORES[[#This Row],[descuento sobre subtotal]])</f>
        <v>0</v>
      </c>
      <c r="R439" s="21">
        <v>252000</v>
      </c>
      <c r="S4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68">
        <f ca="1">IF(PROVEEDORES[[#This Row],[FECHA DE PAGO]]=0,TODAY()-PROVEEDORES[[#This Row],[FECHA DE FACTURACIÓN]]-PROVEEDORES[[#This Row],[PLAZO Días]],0)</f>
        <v>0</v>
      </c>
      <c r="U439" s="96">
        <f>+VLOOKUP(PROVEEDORES[[#This Row],[PROVEEDOR]],Terceros!$A:$D,4,FALSE)</f>
        <v>0</v>
      </c>
      <c r="V439" s="97">
        <f>+YEAR(PROVEEDORES[[#This Row],[FECHA DE FACTURACIÓN]])</f>
        <v>2021</v>
      </c>
      <c r="W439" s="97">
        <f>+MATCH(PROVEEDORES[[#This Row],[año facturado]],Retenciones!$1:$1,0)</f>
        <v>4</v>
      </c>
      <c r="X439" s="98">
        <f>+VLOOKUP(PROVEEDORES[[#This Row],[ID RETENCION]],Retenciones!$A$1:$O$25,PROVEEDORES[[#This Row],[indicador de columna]],FALSE)</f>
        <v>0</v>
      </c>
      <c r="Y439" s="99">
        <f>+VLOOKUP(PROVEEDORES[[#This Row],[ID RETENCION]],Retenciones!$A$1:$O$25,2,FALSE)</f>
        <v>0</v>
      </c>
      <c r="Z439" s="125" t="b">
        <f>OR(COUNTIF(PROVEEDORES[[#This Row],[PROVEEDOR]],"*"&amp;'Palabra no opera'!$A$2&amp;"*"))</f>
        <v>0</v>
      </c>
      <c r="AA439" s="24"/>
      <c r="AB439" s="24"/>
      <c r="AC439" s="24"/>
      <c r="AD439" s="24"/>
      <c r="AE439" s="24"/>
    </row>
    <row r="440" spans="1:31" ht="22.2" customHeight="1" x14ac:dyDescent="0.3">
      <c r="A440" s="66" t="str">
        <f>+IF(PROVEEDORES[[#This Row],[FECHA DE PAGO]]=PROVEEDORES[[#This Row],[FECHA DE FACTURACIÓN]],"DE CONTADO","CRÉDITO")</f>
        <v>CRÉDITO</v>
      </c>
      <c r="B440" s="38" t="str">
        <f>+IF((PROVEEDORES[[#This Row],[FECHA DE PAGO]]-PROVEEDORES[[#This Row],[FECHA DE FACTURACIÓN]])&gt;PROVEEDORES[[#This Row],[PLAZO Días]],"PAGO VENCIDO")</f>
        <v>PAGO VENCIDO</v>
      </c>
      <c r="C440" s="20">
        <f>+VLOOKUP(PROVEEDORES[[#This Row],[PROVEEDOR]],TERCEROS_INFO[#All],2,FALSE)</f>
        <v>60</v>
      </c>
      <c r="D440" s="25">
        <f>+SUMIFS(PROVEEDORES[Total],PROVEEDORES[PROVEEDOR],PROVEEDORES[[#This Row],[PROVEEDOR]],PROVEEDORES[FECHA DE PAGO],"")</f>
        <v>1520362</v>
      </c>
      <c r="E440" s="25"/>
      <c r="F44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40" s="161">
        <v>44623</v>
      </c>
      <c r="H440" s="26" t="s">
        <v>528</v>
      </c>
      <c r="I440" s="161">
        <v>44557</v>
      </c>
      <c r="J440" s="35">
        <v>1294</v>
      </c>
      <c r="K440" s="21">
        <v>252000</v>
      </c>
      <c r="L440" s="21"/>
      <c r="M440" s="22">
        <v>0</v>
      </c>
      <c r="N440" s="23"/>
      <c r="O440" s="22">
        <v>0</v>
      </c>
      <c r="P440" s="83">
        <f>+IF(PROVEEDORES[[#This Row],[SUBTOTAL]]&lt;PROVEEDORES[[#This Row],[base retencion]],0,PROVEEDORES[[#This Row],[retención aplicada]])</f>
        <v>0</v>
      </c>
      <c r="Q440" s="22">
        <f>+PROVEEDORES[[#This Row],[Rete Fuente %]]*(PROVEEDORES[[#This Row],[SUBTOTAL]]-PROVEEDORES[[#This Row],[descuento sobre subtotal]])</f>
        <v>0</v>
      </c>
      <c r="R440" s="21">
        <v>252000</v>
      </c>
      <c r="S4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68">
        <f ca="1">IF(PROVEEDORES[[#This Row],[FECHA DE PAGO]]=0,TODAY()-PROVEEDORES[[#This Row],[FECHA DE FACTURACIÓN]]-PROVEEDORES[[#This Row],[PLAZO Días]],0)</f>
        <v>0</v>
      </c>
      <c r="U440" s="96">
        <f>+VLOOKUP(PROVEEDORES[[#This Row],[PROVEEDOR]],Terceros!$A:$D,4,FALSE)</f>
        <v>0</v>
      </c>
      <c r="V440" s="97">
        <f>+YEAR(PROVEEDORES[[#This Row],[FECHA DE FACTURACIÓN]])</f>
        <v>2021</v>
      </c>
      <c r="W440" s="97">
        <f>+MATCH(PROVEEDORES[[#This Row],[año facturado]],Retenciones!$1:$1,0)</f>
        <v>4</v>
      </c>
      <c r="X440" s="98">
        <f>+VLOOKUP(PROVEEDORES[[#This Row],[ID RETENCION]],Retenciones!$A$1:$O$25,PROVEEDORES[[#This Row],[indicador de columna]],FALSE)</f>
        <v>0</v>
      </c>
      <c r="Y440" s="99">
        <f>+VLOOKUP(PROVEEDORES[[#This Row],[ID RETENCION]],Retenciones!$A$1:$O$25,2,FALSE)</f>
        <v>0</v>
      </c>
      <c r="Z440" s="125" t="b">
        <f>OR(COUNTIF(PROVEEDORES[[#This Row],[PROVEEDOR]],"*"&amp;'Palabra no opera'!$A$2&amp;"*"))</f>
        <v>0</v>
      </c>
      <c r="AA440" s="24"/>
      <c r="AB440" s="24"/>
      <c r="AC440" s="24"/>
      <c r="AD440" s="24"/>
      <c r="AE440" s="24"/>
    </row>
    <row r="441" spans="1:31" ht="22.2" customHeight="1" x14ac:dyDescent="0.3">
      <c r="A441" s="207" t="str">
        <f>+IF(PROVEEDORES[[#This Row],[FECHA DE PAGO]]=PROVEEDORES[[#This Row],[FECHA DE FACTURACIÓN]],"DE CONTADO","CRÉDITO")</f>
        <v>CRÉDITO</v>
      </c>
      <c r="B441" s="38" t="str">
        <f>+IF((PROVEEDORES[[#This Row],[FECHA DE PAGO]]-PROVEEDORES[[#This Row],[FECHA DE FACTURACIÓN]])&gt;PROVEEDORES[[#This Row],[PLAZO Días]],"PAGO VENCIDO")</f>
        <v>PAGO VENCIDO</v>
      </c>
      <c r="C441" s="20">
        <f>+VLOOKUP(PROVEEDORES[[#This Row],[PROVEEDOR]],TERCEROS_INFO[#All],2,FALSE)</f>
        <v>30</v>
      </c>
      <c r="D441" s="25">
        <f>+SUMIFS(PROVEEDORES[Total],PROVEEDORES[PROVEEDOR],PROVEEDORES[[#This Row],[PROVEEDOR]],PROVEEDORES[FECHA DE PAGO],"")</f>
        <v>1127400.05</v>
      </c>
      <c r="E441" s="25"/>
      <c r="F44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441" s="161">
        <v>44839</v>
      </c>
      <c r="H441" s="26" t="s">
        <v>47</v>
      </c>
      <c r="I441" s="161">
        <v>44792</v>
      </c>
      <c r="J441" s="35" t="s">
        <v>1416</v>
      </c>
      <c r="K441" s="21">
        <v>211800</v>
      </c>
      <c r="L441" s="21"/>
      <c r="M441" s="22">
        <f>(PROVEEDORES[[#This Row],[SUBTOTAL]]-PROVEEDORES[[#This Row],[descuento sobre subtotal]])*VLOOKUP(PROVEEDORES[[#This Row],[PROVEEDOR]],TERCEROS_INFO[#All],3,FALSE)</f>
        <v>40242</v>
      </c>
      <c r="N441" s="23"/>
      <c r="O441" s="22">
        <f>+PROVEEDORES[[#This Row],[Descuento sobre subtotal %]]*(PROVEEDORES[[#This Row],[SUBTOTAL]]-PROVEEDORES[[#This Row],[descuento sobre subtotal]])</f>
        <v>0</v>
      </c>
      <c r="P441" s="83">
        <f>+IF(PROVEEDORES[[#This Row],[SUBTOTAL]]&lt;PROVEEDORES[[#This Row],[base retencion]],0,PROVEEDORES[[#This Row],[retención aplicada]])</f>
        <v>0</v>
      </c>
      <c r="Q441" s="22">
        <f>+PROVEEDORES[[#This Row],[Rete Fuente %]]*(PROVEEDORES[[#This Row],[SUBTOTAL]]-PROVEEDORES[[#This Row],[descuento sobre subtotal]])</f>
        <v>0</v>
      </c>
      <c r="R441" s="21">
        <f>+PROVEEDORES[[#This Row],[SUBTOTAL]]+PROVEEDORES[[#This Row],[IVA 19%]]-PROVEEDORES[[#This Row],[descuento sobre subtotal]]-PROVEEDORES[[#This Row],[Descuento sobre subtotal $2]]-PROVEEDORES[[#This Row],[Rete Fuente $]]</f>
        <v>252042</v>
      </c>
      <c r="S441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68">
        <f ca="1">IF(PROVEEDORES[[#This Row],[FECHA DE PAGO]]=0,TODAY()-PROVEEDORES[[#This Row],[FECHA DE FACTURACIÓN]]-PROVEEDORES[[#This Row],[PLAZO Días]],0)</f>
        <v>0</v>
      </c>
      <c r="U441" s="113" t="str">
        <f>+VLOOKUP(PROVEEDORES[[#This Row],[PROVEEDOR]],Terceros!$A:$D,4,FALSE)</f>
        <v>2,5% con base</v>
      </c>
      <c r="V441" s="114">
        <f>+YEAR(PROVEEDORES[[#This Row],[FECHA DE FACTURACIÓN]])</f>
        <v>2022</v>
      </c>
      <c r="W441" s="114">
        <f>+MATCH(PROVEEDORES[[#This Row],[año facturado]],Retenciones!$1:$1,0)</f>
        <v>5</v>
      </c>
      <c r="X441" s="115">
        <f>+VLOOKUP(PROVEEDORES[[#This Row],[ID RETENCION]],Retenciones!$A$1:$O$25,PROVEEDORES[[#This Row],[indicador de columna]],FALSE)</f>
        <v>1026000</v>
      </c>
      <c r="Y441" s="116">
        <f>+VLOOKUP(PROVEEDORES[[#This Row],[ID RETENCION]],Retenciones!$A$1:$O$25,2,FALSE)</f>
        <v>2.5000000000000001E-2</v>
      </c>
      <c r="Z441" s="125" t="b">
        <f>OR(COUNTIF(PROVEEDORES[[#This Row],[PROVEEDOR]],"*"&amp;'Palabra no opera'!$A$2&amp;"*"))</f>
        <v>0</v>
      </c>
      <c r="AA441" s="24"/>
      <c r="AB441" s="24"/>
      <c r="AC441" s="24"/>
      <c r="AD441" s="24"/>
      <c r="AE441" s="24"/>
    </row>
    <row r="442" spans="1:31" ht="22.2" customHeight="1" x14ac:dyDescent="0.3">
      <c r="A442" s="135" t="str">
        <f>+IF(PROVEEDORES[[#This Row],[FECHA DE PAGO]]=PROVEEDORES[[#This Row],[FECHA DE FACTURACIÓN]],"DE CONTADO","CRÉDITO")</f>
        <v>CRÉDITO</v>
      </c>
      <c r="B442" s="38" t="b">
        <f>+IF((PROVEEDORES[[#This Row],[FECHA DE PAGO]]-PROVEEDORES[[#This Row],[FECHA DE FACTURACIÓN]])&gt;PROVEEDORES[[#This Row],[PLAZO Días]],"PAGO VENCIDO")</f>
        <v>0</v>
      </c>
      <c r="C442" s="20">
        <f>+VLOOKUP(PROVEEDORES[[#This Row],[PROVEEDOR]],TERCEROS_INFO[#All],2,FALSE)</f>
        <v>30</v>
      </c>
      <c r="D442" s="25">
        <f>+SUMIFS(PROVEEDORES[Total],PROVEEDORES[PROVEEDOR],PROVEEDORES[[#This Row],[PROVEEDOR]],PROVEEDORES[FECHA DE PAGO],"")</f>
        <v>0</v>
      </c>
      <c r="E442" s="25"/>
      <c r="F44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42" s="161">
        <v>44697</v>
      </c>
      <c r="H442" s="26" t="s">
        <v>1450</v>
      </c>
      <c r="I442" s="161">
        <v>44691</v>
      </c>
      <c r="J442" s="35">
        <v>229</v>
      </c>
      <c r="K442" s="21">
        <v>253000</v>
      </c>
      <c r="L442" s="21"/>
      <c r="M442" s="22">
        <f>(PROVEEDORES[[#This Row],[SUBTOTAL]]-PROVEEDORES[[#This Row],[descuento sobre subtotal]])*VLOOKUP(PROVEEDORES[[#This Row],[PROVEEDOR]],TERCEROS_INFO[#All],3,FALSE)</f>
        <v>0</v>
      </c>
      <c r="N442" s="23"/>
      <c r="O442" s="22">
        <f>+PROVEEDORES[[#This Row],[Descuento sobre subtotal %]]*(PROVEEDORES[[#This Row],[SUBTOTAL]]-PROVEEDORES[[#This Row],[descuento sobre subtotal]])</f>
        <v>0</v>
      </c>
      <c r="P442" s="83">
        <f>+IF(PROVEEDORES[[#This Row],[SUBTOTAL]]&lt;PROVEEDORES[[#This Row],[base retencion]],0,PROVEEDORES[[#This Row],[retención aplicada]])</f>
        <v>0</v>
      </c>
      <c r="Q442" s="22">
        <f>+PROVEEDORES[[#This Row],[Rete Fuente %]]*(PROVEEDORES[[#This Row],[SUBTOTAL]]-PROVEEDORES[[#This Row],[descuento sobre subtotal]])</f>
        <v>0</v>
      </c>
      <c r="R442" s="21">
        <f>+PROVEEDORES[[#This Row],[SUBTOTAL]]+PROVEEDORES[[#This Row],[IVA 19%]]-PROVEEDORES[[#This Row],[descuento sobre subtotal]]-PROVEEDORES[[#This Row],[Descuento sobre subtotal $2]]-PROVEEDORES[[#This Row],[Rete Fuente $]]</f>
        <v>253000</v>
      </c>
      <c r="S44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68">
        <f ca="1">IF(PROVEEDORES[[#This Row],[FECHA DE PAGO]]=0,TODAY()-PROVEEDORES[[#This Row],[FECHA DE FACTURACIÓN]]-PROVEEDORES[[#This Row],[PLAZO Días]],0)</f>
        <v>0</v>
      </c>
      <c r="U442" s="113">
        <f>+VLOOKUP(PROVEEDORES[[#This Row],[PROVEEDOR]],Terceros!$A:$D,4,FALSE)</f>
        <v>0</v>
      </c>
      <c r="V442" s="114">
        <f>+YEAR(PROVEEDORES[[#This Row],[FECHA DE FACTURACIÓN]])</f>
        <v>2022</v>
      </c>
      <c r="W442" s="114">
        <f>+MATCH(PROVEEDORES[[#This Row],[año facturado]],Retenciones!$1:$1,0)</f>
        <v>5</v>
      </c>
      <c r="X442" s="115">
        <f>+VLOOKUP(PROVEEDORES[[#This Row],[ID RETENCION]],Retenciones!$A$1:$O$25,PROVEEDORES[[#This Row],[indicador de columna]],FALSE)</f>
        <v>0</v>
      </c>
      <c r="Y442" s="116">
        <f>+VLOOKUP(PROVEEDORES[[#This Row],[ID RETENCION]],Retenciones!$A$1:$O$25,2,FALSE)</f>
        <v>0</v>
      </c>
      <c r="Z442" s="125" t="b">
        <f>OR(COUNTIF(PROVEEDORES[[#This Row],[PROVEEDOR]],"*"&amp;'Palabra no opera'!$A$2&amp;"*"))</f>
        <v>0</v>
      </c>
      <c r="AA442" s="24"/>
      <c r="AB442" s="24"/>
      <c r="AC442" s="24"/>
      <c r="AD442" s="24"/>
      <c r="AE442" s="24"/>
    </row>
    <row r="443" spans="1:31" ht="22.2" customHeight="1" x14ac:dyDescent="0.3">
      <c r="A443" s="66" t="str">
        <f>+IF(PROVEEDORES[[#This Row],[FECHA DE PAGO]]=PROVEEDORES[[#This Row],[FECHA DE FACTURACIÓN]],"DE CONTADO","CRÉDITO")</f>
        <v>CRÉDITO</v>
      </c>
      <c r="B443" s="38" t="b">
        <f>+IF((PROVEEDORES[[#This Row],[FECHA DE PAGO]]-PROVEEDORES[[#This Row],[FECHA DE FACTURACIÓN]])&gt;PROVEEDORES[[#This Row],[PLAZO Días]],"PAGO VENCIDO")</f>
        <v>0</v>
      </c>
      <c r="C443" s="20">
        <f>+VLOOKUP(PROVEEDORES[[#This Row],[PROVEEDOR]],TERCEROS_INFO[#All],2,FALSE)</f>
        <v>30</v>
      </c>
      <c r="D443" s="25">
        <f>+SUMIFS(PROVEEDORES[Total],PROVEEDORES[PROVEEDOR],PROVEEDORES[[#This Row],[PROVEEDOR]],PROVEEDORES[FECHA DE PAGO],"")</f>
        <v>0</v>
      </c>
      <c r="E443" s="25"/>
      <c r="F44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43" s="161">
        <v>44602</v>
      </c>
      <c r="H443" s="26" t="s">
        <v>615</v>
      </c>
      <c r="I443" s="161">
        <v>44592</v>
      </c>
      <c r="J443" s="35" t="s">
        <v>743</v>
      </c>
      <c r="K443" s="21">
        <v>253315.8</v>
      </c>
      <c r="L443" s="21"/>
      <c r="M443" s="22">
        <f>(PROVEEDORES[[#This Row],[SUBTOTAL]]-PROVEEDORES[[#This Row],[descuento sobre subtotal]])*VLOOKUP(PROVEEDORES[[#This Row],[PROVEEDOR]],TERCEROS_INFO[#All],3,FALSE)</f>
        <v>0</v>
      </c>
      <c r="N443" s="23"/>
      <c r="O443" s="22">
        <f>+PROVEEDORES[[#This Row],[Descuento sobre subtotal %]]*(PROVEEDORES[[#This Row],[SUBTOTAL]]-PROVEEDORES[[#This Row],[descuento sobre subtotal]])</f>
        <v>0</v>
      </c>
      <c r="P443" s="83">
        <f>+IF(PROVEEDORES[[#This Row],[SUBTOTAL]]&lt;PROVEEDORES[[#This Row],[base retencion]],0,PROVEEDORES[[#This Row],[retención aplicada]])</f>
        <v>0</v>
      </c>
      <c r="Q443" s="22">
        <f>+PROVEEDORES[[#This Row],[Rete Fuente %]]*(PROVEEDORES[[#This Row],[SUBTOTAL]]-PROVEEDORES[[#This Row],[descuento sobre subtotal]])</f>
        <v>0</v>
      </c>
      <c r="R443" s="21">
        <f>+PROVEEDORES[[#This Row],[SUBTOTAL]]+PROVEEDORES[[#This Row],[IVA 19%]]-PROVEEDORES[[#This Row],[descuento sobre subtotal]]-PROVEEDORES[[#This Row],[Descuento sobre subtotal $2]]-PROVEEDORES[[#This Row],[Rete Fuente $]]</f>
        <v>253315.8</v>
      </c>
      <c r="S4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68">
        <f ca="1">IF(PROVEEDORES[[#This Row],[FECHA DE PAGO]]=0,TODAY()-PROVEEDORES[[#This Row],[FECHA DE FACTURACIÓN]]-PROVEEDORES[[#This Row],[PLAZO Días]],0)</f>
        <v>0</v>
      </c>
      <c r="U443" s="96">
        <f>+VLOOKUP(PROVEEDORES[[#This Row],[PROVEEDOR]],Terceros!$A:$D,4,FALSE)</f>
        <v>0</v>
      </c>
      <c r="V443" s="97">
        <f>+YEAR(PROVEEDORES[[#This Row],[FECHA DE FACTURACIÓN]])</f>
        <v>2022</v>
      </c>
      <c r="W443" s="97">
        <f>+MATCH(PROVEEDORES[[#This Row],[año facturado]],Retenciones!$1:$1,0)</f>
        <v>5</v>
      </c>
      <c r="X443" s="98">
        <f>+VLOOKUP(PROVEEDORES[[#This Row],[ID RETENCION]],Retenciones!$A$1:$O$25,PROVEEDORES[[#This Row],[indicador de columna]],FALSE)</f>
        <v>0</v>
      </c>
      <c r="Y443" s="99">
        <f>+VLOOKUP(PROVEEDORES[[#This Row],[ID RETENCION]],Retenciones!$A$1:$O$25,2,FALSE)</f>
        <v>0</v>
      </c>
      <c r="Z443" s="125" t="b">
        <f>OR(COUNTIF(PROVEEDORES[[#This Row],[PROVEEDOR]],"*"&amp;'Palabra no opera'!$A$2&amp;"*"))</f>
        <v>0</v>
      </c>
      <c r="AA443" s="24"/>
      <c r="AB443" s="24"/>
      <c r="AC443" s="24"/>
      <c r="AD443" s="24"/>
      <c r="AE443" s="24"/>
    </row>
    <row r="444" spans="1:31" ht="22.2" customHeight="1" x14ac:dyDescent="0.3">
      <c r="A444" s="66" t="str">
        <f>+IF(PROVEEDORES[[#This Row],[FECHA DE PAGO]]=PROVEEDORES[[#This Row],[FECHA DE FACTURACIÓN]],"DE CONTADO","CRÉDITO")</f>
        <v>DE CONTADO</v>
      </c>
      <c r="B444" s="38" t="b">
        <f>+IF((PROVEEDORES[[#This Row],[FECHA DE PAGO]]-PROVEEDORES[[#This Row],[FECHA DE FACTURACIÓN]])&gt;PROVEEDORES[[#This Row],[PLAZO Días]],"PAGO VENCIDO")</f>
        <v>0</v>
      </c>
      <c r="C444" s="20">
        <f>+VLOOKUP(PROVEEDORES[[#This Row],[PROVEEDOR]],TERCEROS_INFO[#All],2,FALSE)</f>
        <v>30</v>
      </c>
      <c r="D444" s="25">
        <f>+SUMIFS(PROVEEDORES[Total],PROVEEDORES[PROVEEDOR],PROVEEDORES[[#This Row],[PROVEEDOR]],PROVEEDORES[FECHA DE PAGO],"")</f>
        <v>0</v>
      </c>
      <c r="E444" s="25"/>
      <c r="F444" s="58" t="str">
        <f>+VLOOKUP(PROVEEDORES[[#This Row],[PROVEEDOR]],
                       Terceros!$A:$F,
                       5,
                       FALSE)</f>
        <v/>
      </c>
      <c r="G444" s="161">
        <v>44364</v>
      </c>
      <c r="H444" s="26" t="s">
        <v>644</v>
      </c>
      <c r="I444" s="161">
        <v>44364</v>
      </c>
      <c r="J444" s="35" t="s">
        <v>1250</v>
      </c>
      <c r="K444" s="21">
        <v>255000</v>
      </c>
      <c r="L444" s="21"/>
      <c r="M444" s="22">
        <f>(PROVEEDORES[[#This Row],[SUBTOTAL]]-PROVEEDORES[[#This Row],[descuento sobre subtotal]])*VLOOKUP(PROVEEDORES[[#This Row],[PROVEEDOR]],TERCEROS_INFO[#All],3,FALSE)</f>
        <v>0</v>
      </c>
      <c r="N444" s="23"/>
      <c r="O444" s="22">
        <f>+PROVEEDORES[[#This Row],[Descuento sobre subtotal %]]*(PROVEEDORES[[#This Row],[SUBTOTAL]]-PROVEEDORES[[#This Row],[descuento sobre subtotal]])</f>
        <v>0</v>
      </c>
      <c r="P444" s="83">
        <f>+IF(PROVEEDORES[[#This Row],[SUBTOTAL]]&lt;PROVEEDORES[[#This Row],[base retencion]],0,PROVEEDORES[[#This Row],[retención aplicada]])</f>
        <v>0</v>
      </c>
      <c r="Q444" s="22">
        <f>+PROVEEDORES[[#This Row],[Rete Fuente %]]*(PROVEEDORES[[#This Row],[SUBTOTAL]]-PROVEEDORES[[#This Row],[descuento sobre subtotal]])</f>
        <v>0</v>
      </c>
      <c r="R444" s="21">
        <f>+PROVEEDORES[[#This Row],[SUBTOTAL]]+PROVEEDORES[[#This Row],[IVA 19%]]-PROVEEDORES[[#This Row],[descuento sobre subtotal]]-PROVEEDORES[[#This Row],[Descuento sobre subtotal $2]]-PROVEEDORES[[#This Row],[Rete Fuente $]]</f>
        <v>255000</v>
      </c>
      <c r="S4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68">
        <f ca="1">IF(PROVEEDORES[[#This Row],[FECHA DE PAGO]]=0,TODAY()-PROVEEDORES[[#This Row],[FECHA DE FACTURACIÓN]]-PROVEEDORES[[#This Row],[PLAZO Días]],0)</f>
        <v>0</v>
      </c>
      <c r="U444" s="96">
        <f>+VLOOKUP(PROVEEDORES[[#This Row],[PROVEEDOR]],Terceros!$A:$D,4,FALSE)</f>
        <v>0</v>
      </c>
      <c r="V444" s="97">
        <f>+YEAR(PROVEEDORES[[#This Row],[FECHA DE FACTURACIÓN]])</f>
        <v>2021</v>
      </c>
      <c r="W444" s="97">
        <f>+MATCH(PROVEEDORES[[#This Row],[año facturado]],Retenciones!$1:$1,0)</f>
        <v>4</v>
      </c>
      <c r="X444" s="98">
        <f>+VLOOKUP(PROVEEDORES[[#This Row],[ID RETENCION]],Retenciones!$A$1:$O$25,PROVEEDORES[[#This Row],[indicador de columna]],FALSE)</f>
        <v>0</v>
      </c>
      <c r="Y444" s="99">
        <f>+VLOOKUP(PROVEEDORES[[#This Row],[ID RETENCION]],Retenciones!$A$1:$O$25,2,FALSE)</f>
        <v>0</v>
      </c>
      <c r="Z444" s="125" t="b">
        <f>OR(COUNTIF(PROVEEDORES[[#This Row],[PROVEEDOR]],"*"&amp;'Palabra no opera'!$A$2&amp;"*"))</f>
        <v>0</v>
      </c>
      <c r="AA444" s="24"/>
      <c r="AB444" s="24"/>
      <c r="AC444" s="24"/>
      <c r="AD444" s="24"/>
      <c r="AE444" s="24"/>
    </row>
    <row r="445" spans="1:31" ht="22.2" customHeight="1" x14ac:dyDescent="0.3">
      <c r="A445" s="66" t="str">
        <f>+IF(PROVEEDORES[[#This Row],[FECHA DE PAGO]]=PROVEEDORES[[#This Row],[FECHA DE FACTURACIÓN]],"DE CONTADO","CRÉDITO")</f>
        <v>CRÉDITO</v>
      </c>
      <c r="B445" s="38" t="str">
        <f>+IF((PROVEEDORES[[#This Row],[FECHA DE PAGO]]-PROVEEDORES[[#This Row],[FECHA DE FACTURACIÓN]])&gt;PROVEEDORES[[#This Row],[PLAZO Días]],"PAGO VENCIDO")</f>
        <v>PAGO VENCIDO</v>
      </c>
      <c r="C445" s="20">
        <f>+VLOOKUP(PROVEEDORES[[#This Row],[PROVEEDOR]],TERCEROS_INFO[#All],2,FALSE)</f>
        <v>30</v>
      </c>
      <c r="D445" s="25">
        <f>+SUMIFS(PROVEEDORES[Total],PROVEEDORES[PROVEEDOR],PROVEEDORES[[#This Row],[PROVEEDOR]],PROVEEDORES[FECHA DE PAGO],"")</f>
        <v>1354000</v>
      </c>
      <c r="E445" s="25"/>
      <c r="F44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45" s="161">
        <v>44411</v>
      </c>
      <c r="H445" s="26" t="s">
        <v>699</v>
      </c>
      <c r="I445" s="161">
        <v>44362</v>
      </c>
      <c r="J445" s="35" t="s">
        <v>1458</v>
      </c>
      <c r="K445" s="21">
        <v>255000</v>
      </c>
      <c r="L445" s="21"/>
      <c r="M445" s="22">
        <f>(PROVEEDORES[[#This Row],[SUBTOTAL]]-PROVEEDORES[[#This Row],[descuento sobre subtotal]])*VLOOKUP(PROVEEDORES[[#This Row],[PROVEEDOR]],TERCEROS_INFO[#All],3,FALSE)</f>
        <v>0</v>
      </c>
      <c r="N445" s="23"/>
      <c r="O445" s="22">
        <f>+PROVEEDORES[[#This Row],[Descuento sobre subtotal %]]*(PROVEEDORES[[#This Row],[SUBTOTAL]]-PROVEEDORES[[#This Row],[descuento sobre subtotal]])</f>
        <v>0</v>
      </c>
      <c r="P445" s="83">
        <f>+IF(PROVEEDORES[[#This Row],[SUBTOTAL]]&lt;PROVEEDORES[[#This Row],[base retencion]],0,PROVEEDORES[[#This Row],[retención aplicada]])</f>
        <v>0</v>
      </c>
      <c r="Q445" s="22">
        <f>+PROVEEDORES[[#This Row],[Rete Fuente %]]*(PROVEEDORES[[#This Row],[SUBTOTAL]]-PROVEEDORES[[#This Row],[descuento sobre subtotal]])</f>
        <v>0</v>
      </c>
      <c r="R445" s="21">
        <f>+PROVEEDORES[[#This Row],[SUBTOTAL]]+PROVEEDORES[[#This Row],[IVA 19%]]-PROVEEDORES[[#This Row],[descuento sobre subtotal]]-PROVEEDORES[[#This Row],[Descuento sobre subtotal $2]]-PROVEEDORES[[#This Row],[Rete Fuente $]]</f>
        <v>255000</v>
      </c>
      <c r="S4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68">
        <f ca="1">IF(PROVEEDORES[[#This Row],[FECHA DE PAGO]]=0,TODAY()-PROVEEDORES[[#This Row],[FECHA DE FACTURACIÓN]]-PROVEEDORES[[#This Row],[PLAZO Días]],0)</f>
        <v>0</v>
      </c>
      <c r="U445" s="96">
        <f>+VLOOKUP(PROVEEDORES[[#This Row],[PROVEEDOR]],Terceros!$A:$D,4,FALSE)</f>
        <v>0</v>
      </c>
      <c r="V445" s="97">
        <f>+YEAR(PROVEEDORES[[#This Row],[FECHA DE FACTURACIÓN]])</f>
        <v>2021</v>
      </c>
      <c r="W445" s="97">
        <f>+MATCH(PROVEEDORES[[#This Row],[año facturado]],Retenciones!$1:$1,0)</f>
        <v>4</v>
      </c>
      <c r="X445" s="98">
        <f>+VLOOKUP(PROVEEDORES[[#This Row],[ID RETENCION]],Retenciones!$A$1:$O$25,PROVEEDORES[[#This Row],[indicador de columna]],FALSE)</f>
        <v>0</v>
      </c>
      <c r="Y445" s="99">
        <f>+VLOOKUP(PROVEEDORES[[#This Row],[ID RETENCION]],Retenciones!$A$1:$O$25,2,FALSE)</f>
        <v>0</v>
      </c>
      <c r="Z445" s="125" t="b">
        <f>OR(COUNTIF(PROVEEDORES[[#This Row],[PROVEEDOR]],"*"&amp;'Palabra no opera'!$A$2&amp;"*"))</f>
        <v>0</v>
      </c>
      <c r="AA445" s="24"/>
      <c r="AB445" s="24"/>
      <c r="AC445" s="24"/>
      <c r="AD445" s="24"/>
      <c r="AE445" s="24"/>
    </row>
    <row r="446" spans="1:31" ht="22.2" customHeight="1" x14ac:dyDescent="0.3">
      <c r="A446" s="66" t="str">
        <f>+IF(PROVEEDORES[[#This Row],[FECHA DE PAGO]]=PROVEEDORES[[#This Row],[FECHA DE FACTURACIÓN]],"DE CONTADO","CRÉDITO")</f>
        <v>DE CONTADO</v>
      </c>
      <c r="B446" s="38" t="b">
        <f>+IF((PROVEEDORES[[#This Row],[FECHA DE PAGO]]-PROVEEDORES[[#This Row],[FECHA DE FACTURACIÓN]])&gt;PROVEEDORES[[#This Row],[PLAZO Días]],"PAGO VENCIDO")</f>
        <v>0</v>
      </c>
      <c r="C446" s="20">
        <f>+VLOOKUP(PROVEEDORES[[#This Row],[PROVEEDOR]],TERCEROS_INFO[#All],2,FALSE)</f>
        <v>30</v>
      </c>
      <c r="D446" s="25">
        <f>+SUMIFS(PROVEEDORES[Total],PROVEEDORES[PROVEEDOR],PROVEEDORES[[#This Row],[PROVEEDOR]],PROVEEDORES[FECHA DE PAGO],"")</f>
        <v>0</v>
      </c>
      <c r="E446" s="25"/>
      <c r="F446" s="58">
        <f>+VLOOKUP(PROVEEDORES[[#This Row],[PROVEEDOR]],
                       Terceros!$A:$F,
                       5,
                       FALSE)</f>
        <v>0</v>
      </c>
      <c r="G446" s="161">
        <v>44644</v>
      </c>
      <c r="H446" s="26" t="s">
        <v>643</v>
      </c>
      <c r="I446" s="161">
        <v>44644</v>
      </c>
      <c r="J446" s="35">
        <v>101134</v>
      </c>
      <c r="K446" s="21">
        <v>255000</v>
      </c>
      <c r="L446" s="21"/>
      <c r="M446" s="22">
        <f>(PROVEEDORES[[#This Row],[SUBTOTAL]]-PROVEEDORES[[#This Row],[descuento sobre subtotal]])*VLOOKUP(PROVEEDORES[[#This Row],[PROVEEDOR]],TERCEROS_INFO[#All],3,FALSE)</f>
        <v>0</v>
      </c>
      <c r="N446" s="23"/>
      <c r="O446" s="22">
        <f>+PROVEEDORES[[#This Row],[Descuento sobre subtotal %]]*(PROVEEDORES[[#This Row],[SUBTOTAL]]-PROVEEDORES[[#This Row],[descuento sobre subtotal]])</f>
        <v>0</v>
      </c>
      <c r="P446" s="83">
        <f>+IF(PROVEEDORES[[#This Row],[SUBTOTAL]]&lt;PROVEEDORES[[#This Row],[base retencion]],0,PROVEEDORES[[#This Row],[retención aplicada]])</f>
        <v>0</v>
      </c>
      <c r="Q446" s="22">
        <f>+PROVEEDORES[[#This Row],[Rete Fuente %]]*(PROVEEDORES[[#This Row],[SUBTOTAL]]-PROVEEDORES[[#This Row],[descuento sobre subtotal]])</f>
        <v>0</v>
      </c>
      <c r="R446" s="21">
        <v>255000</v>
      </c>
      <c r="S4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68">
        <f ca="1">IF(PROVEEDORES[[#This Row],[FECHA DE PAGO]]=0,TODAY()-PROVEEDORES[[#This Row],[FECHA DE FACTURACIÓN]]-PROVEEDORES[[#This Row],[PLAZO Días]],0)</f>
        <v>0</v>
      </c>
      <c r="U446" s="96">
        <f>+VLOOKUP(PROVEEDORES[[#This Row],[PROVEEDOR]],Terceros!$A:$D,4,FALSE)</f>
        <v>0</v>
      </c>
      <c r="V446" s="97">
        <f>+YEAR(PROVEEDORES[[#This Row],[FECHA DE FACTURACIÓN]])</f>
        <v>2022</v>
      </c>
      <c r="W446" s="97">
        <f>+MATCH(PROVEEDORES[[#This Row],[año facturado]],Retenciones!$1:$1,0)</f>
        <v>5</v>
      </c>
      <c r="X446" s="98">
        <f>+VLOOKUP(PROVEEDORES[[#This Row],[ID RETENCION]],Retenciones!$A$1:$O$25,PROVEEDORES[[#This Row],[indicador de columna]],FALSE)</f>
        <v>0</v>
      </c>
      <c r="Y446" s="99">
        <f>+VLOOKUP(PROVEEDORES[[#This Row],[ID RETENCION]],Retenciones!$A$1:$O$25,2,FALSE)</f>
        <v>0</v>
      </c>
      <c r="Z446" s="125" t="b">
        <f>OR(COUNTIF(PROVEEDORES[[#This Row],[PROVEEDOR]],"*"&amp;'Palabra no opera'!$A$2&amp;"*"))</f>
        <v>0</v>
      </c>
      <c r="AA446" s="24"/>
      <c r="AB446" s="24"/>
      <c r="AC446" s="24"/>
      <c r="AD446" s="24"/>
      <c r="AE446" s="24"/>
    </row>
    <row r="447" spans="1:31" ht="22.2" customHeight="1" x14ac:dyDescent="0.3">
      <c r="A447" s="66" t="str">
        <f>+IF(PROVEEDORES[[#This Row],[FECHA DE PAGO]]=PROVEEDORES[[#This Row],[FECHA DE FACTURACIÓN]],"DE CONTADO","CRÉDITO")</f>
        <v>CRÉDITO</v>
      </c>
      <c r="B447" s="38" t="str">
        <f>+IF((PROVEEDORES[[#This Row],[FECHA DE PAGO]]-PROVEEDORES[[#This Row],[FECHA DE FACTURACIÓN]])&gt;PROVEEDORES[[#This Row],[PLAZO Días]],"PAGO VENCIDO")</f>
        <v>PAGO VENCIDO</v>
      </c>
      <c r="C447" s="20">
        <f>+VLOOKUP(PROVEEDORES[[#This Row],[PROVEEDOR]],TERCEROS_INFO[#All],2,FALSE)</f>
        <v>30</v>
      </c>
      <c r="D447" s="25">
        <f>+SUMIFS(PROVEEDORES[Total],PROVEEDORES[PROVEEDOR],PROVEEDORES[[#This Row],[PROVEEDOR]],PROVEEDORES[FECHA DE PAGO],"")</f>
        <v>0</v>
      </c>
      <c r="E447" s="25"/>
      <c r="F447" s="58">
        <f>+VLOOKUP(PROVEEDORES[[#This Row],[PROVEEDOR]],
                       Terceros!$A:$F,
                       5,
                       FALSE)</f>
        <v>0</v>
      </c>
      <c r="G447" s="161">
        <v>44340</v>
      </c>
      <c r="H447" s="26" t="s">
        <v>923</v>
      </c>
      <c r="I447" s="161">
        <v>44293</v>
      </c>
      <c r="J447" s="35" t="s">
        <v>1204</v>
      </c>
      <c r="K447" s="21">
        <v>256261</v>
      </c>
      <c r="L447" s="21"/>
      <c r="M447" s="22">
        <f>(PROVEEDORES[[#This Row],[SUBTOTAL]]-PROVEEDORES[[#This Row],[descuento sobre subtotal]])*VLOOKUP(PROVEEDORES[[#This Row],[PROVEEDOR]],TERCEROS_INFO[#All],3,FALSE)</f>
        <v>0</v>
      </c>
      <c r="N447" s="23"/>
      <c r="O447" s="22">
        <f>+PROVEEDORES[[#This Row],[Descuento sobre subtotal %]]*(PROVEEDORES[[#This Row],[SUBTOTAL]]-PROVEEDORES[[#This Row],[descuento sobre subtotal]])</f>
        <v>0</v>
      </c>
      <c r="P447" s="83">
        <f>+IF(PROVEEDORES[[#This Row],[SUBTOTAL]]&lt;PROVEEDORES[[#This Row],[base retencion]],0,PROVEEDORES[[#This Row],[retención aplicada]])</f>
        <v>0</v>
      </c>
      <c r="Q447" s="22">
        <f>+PROVEEDORES[[#This Row],[Rete Fuente %]]*(PROVEEDORES[[#This Row],[SUBTOTAL]]-PROVEEDORES[[#This Row],[descuento sobre subtotal]])</f>
        <v>0</v>
      </c>
      <c r="R447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4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68">
        <f ca="1">IF(PROVEEDORES[[#This Row],[FECHA DE PAGO]]=0,TODAY()-PROVEEDORES[[#This Row],[FECHA DE FACTURACIÓN]]-PROVEEDORES[[#This Row],[PLAZO Días]],0)</f>
        <v>0</v>
      </c>
      <c r="U447" s="96">
        <f>+VLOOKUP(PROVEEDORES[[#This Row],[PROVEEDOR]],Terceros!$A:$D,4,FALSE)</f>
        <v>0</v>
      </c>
      <c r="V447" s="97">
        <f>+YEAR(PROVEEDORES[[#This Row],[FECHA DE FACTURACIÓN]])</f>
        <v>2021</v>
      </c>
      <c r="W447" s="97">
        <f>+MATCH(PROVEEDORES[[#This Row],[año facturado]],Retenciones!$1:$1,0)</f>
        <v>4</v>
      </c>
      <c r="X447" s="98">
        <f>+VLOOKUP(PROVEEDORES[[#This Row],[ID RETENCION]],Retenciones!$A$1:$O$25,PROVEEDORES[[#This Row],[indicador de columna]],FALSE)</f>
        <v>0</v>
      </c>
      <c r="Y447" s="99">
        <f>+VLOOKUP(PROVEEDORES[[#This Row],[ID RETENCION]],Retenciones!$A$1:$O$25,2,FALSE)</f>
        <v>0</v>
      </c>
      <c r="Z447" s="125" t="b">
        <f>OR(COUNTIF(PROVEEDORES[[#This Row],[PROVEEDOR]],"*"&amp;'Palabra no opera'!$A$2&amp;"*"))</f>
        <v>1</v>
      </c>
      <c r="AA447" s="24"/>
      <c r="AB447" s="24"/>
      <c r="AC447" s="24"/>
      <c r="AD447" s="24"/>
      <c r="AE447" s="24"/>
    </row>
    <row r="448" spans="1:31" ht="22.2" customHeight="1" x14ac:dyDescent="0.3">
      <c r="A448" s="66" t="str">
        <f>+IF(PROVEEDORES[[#This Row],[FECHA DE PAGO]]=PROVEEDORES[[#This Row],[FECHA DE FACTURACIÓN]],"DE CONTADO","CRÉDITO")</f>
        <v>CRÉDITO</v>
      </c>
      <c r="B448" s="38" t="str">
        <f>+IF((PROVEEDORES[[#This Row],[FECHA DE PAGO]]-PROVEEDORES[[#This Row],[FECHA DE FACTURACIÓN]])&gt;PROVEEDORES[[#This Row],[PLAZO Días]],"PAGO VENCIDO")</f>
        <v>PAGO VENCIDO</v>
      </c>
      <c r="C448" s="20">
        <f>+VLOOKUP(PROVEEDORES[[#This Row],[PROVEEDOR]],TERCEROS_INFO[#All],2,FALSE)</f>
        <v>30</v>
      </c>
      <c r="D448" s="25">
        <f>+SUMIFS(PROVEEDORES[Total],PROVEEDORES[PROVEEDOR],PROVEEDORES[[#This Row],[PROVEEDOR]],PROVEEDORES[FECHA DE PAGO],"")</f>
        <v>0</v>
      </c>
      <c r="E448" s="25"/>
      <c r="F448" s="58">
        <f>+VLOOKUP(PROVEEDORES[[#This Row],[PROVEEDOR]],
                       Terceros!$A:$F,
                       5,
                       FALSE)</f>
        <v>0</v>
      </c>
      <c r="G448" s="161">
        <v>44448</v>
      </c>
      <c r="H448" s="26" t="s">
        <v>923</v>
      </c>
      <c r="I448" s="161">
        <v>44378</v>
      </c>
      <c r="J448" s="35" t="s">
        <v>1204</v>
      </c>
      <c r="K448" s="21">
        <v>256261</v>
      </c>
      <c r="L448" s="21"/>
      <c r="M448" s="22">
        <f>(PROVEEDORES[[#This Row],[SUBTOTAL]]-PROVEEDORES[[#This Row],[descuento sobre subtotal]])*VLOOKUP(PROVEEDORES[[#This Row],[PROVEEDOR]],TERCEROS_INFO[#All],3,FALSE)</f>
        <v>0</v>
      </c>
      <c r="N448" s="23"/>
      <c r="O448" s="22">
        <f>+PROVEEDORES[[#This Row],[Descuento sobre subtotal %]]*(PROVEEDORES[[#This Row],[SUBTOTAL]]-PROVEEDORES[[#This Row],[descuento sobre subtotal]])</f>
        <v>0</v>
      </c>
      <c r="P448" s="83">
        <f>+IF(PROVEEDORES[[#This Row],[SUBTOTAL]]&lt;PROVEEDORES[[#This Row],[base retencion]],0,PROVEEDORES[[#This Row],[retención aplicada]])</f>
        <v>0</v>
      </c>
      <c r="Q448" s="22">
        <f>+PROVEEDORES[[#This Row],[Rete Fuente %]]*(PROVEEDORES[[#This Row],[SUBTOTAL]]-PROVEEDORES[[#This Row],[descuento sobre subtotal]])</f>
        <v>0</v>
      </c>
      <c r="R448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4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68">
        <f ca="1">IF(PROVEEDORES[[#This Row],[FECHA DE PAGO]]=0,TODAY()-PROVEEDORES[[#This Row],[FECHA DE FACTURACIÓN]]-PROVEEDORES[[#This Row],[PLAZO Días]],0)</f>
        <v>0</v>
      </c>
      <c r="U448" s="96">
        <f>+VLOOKUP(PROVEEDORES[[#This Row],[PROVEEDOR]],Terceros!$A:$D,4,FALSE)</f>
        <v>0</v>
      </c>
      <c r="V448" s="97">
        <f>+YEAR(PROVEEDORES[[#This Row],[FECHA DE FACTURACIÓN]])</f>
        <v>2021</v>
      </c>
      <c r="W448" s="97">
        <f>+MATCH(PROVEEDORES[[#This Row],[año facturado]],Retenciones!$1:$1,0)</f>
        <v>4</v>
      </c>
      <c r="X448" s="98">
        <f>+VLOOKUP(PROVEEDORES[[#This Row],[ID RETENCION]],Retenciones!$A$1:$O$25,PROVEEDORES[[#This Row],[indicador de columna]],FALSE)</f>
        <v>0</v>
      </c>
      <c r="Y448" s="99">
        <f>+VLOOKUP(PROVEEDORES[[#This Row],[ID RETENCION]],Retenciones!$A$1:$O$25,2,FALSE)</f>
        <v>0</v>
      </c>
      <c r="Z448" s="125" t="b">
        <f>OR(COUNTIF(PROVEEDORES[[#This Row],[PROVEEDOR]],"*"&amp;'Palabra no opera'!$A$2&amp;"*"))</f>
        <v>1</v>
      </c>
      <c r="AA448" s="24"/>
      <c r="AB448" s="24"/>
      <c r="AC448" s="24"/>
      <c r="AD448" s="24"/>
      <c r="AE448" s="24"/>
    </row>
    <row r="449" spans="1:31" ht="22.2" customHeight="1" x14ac:dyDescent="0.3">
      <c r="A449" s="66" t="str">
        <f>+IF(PROVEEDORES[[#This Row],[FECHA DE PAGO]]=PROVEEDORES[[#This Row],[FECHA DE FACTURACIÓN]],"DE CONTADO","CRÉDITO")</f>
        <v>CRÉDITO</v>
      </c>
      <c r="B449" s="38" t="str">
        <f>+IF((PROVEEDORES[[#This Row],[FECHA DE PAGO]]-PROVEEDORES[[#This Row],[FECHA DE FACTURACIÓN]])&gt;PROVEEDORES[[#This Row],[PLAZO Días]],"PAGO VENCIDO")</f>
        <v>PAGO VENCIDO</v>
      </c>
      <c r="C449" s="20">
        <f>+VLOOKUP(PROVEEDORES[[#This Row],[PROVEEDOR]],TERCEROS_INFO[#All],2,FALSE)</f>
        <v>30</v>
      </c>
      <c r="D449" s="25">
        <f>+SUMIFS(PROVEEDORES[Total],PROVEEDORES[PROVEEDOR],PROVEEDORES[[#This Row],[PROVEEDOR]],PROVEEDORES[FECHA DE PAGO],"")</f>
        <v>0</v>
      </c>
      <c r="E449" s="25"/>
      <c r="F449" s="58">
        <f>+VLOOKUP(PROVEEDORES[[#This Row],[PROVEEDOR]],
                       Terceros!$A:$F,
                       5,
                       FALSE)</f>
        <v>0</v>
      </c>
      <c r="G449" s="161">
        <v>44554</v>
      </c>
      <c r="H449" s="26" t="s">
        <v>923</v>
      </c>
      <c r="I449" s="161">
        <v>44470</v>
      </c>
      <c r="J449" s="35" t="s">
        <v>1204</v>
      </c>
      <c r="K449" s="21">
        <v>256261</v>
      </c>
      <c r="L449" s="21"/>
      <c r="M449" s="22">
        <f>(PROVEEDORES[[#This Row],[SUBTOTAL]]-PROVEEDORES[[#This Row],[descuento sobre subtotal]])*VLOOKUP(PROVEEDORES[[#This Row],[PROVEEDOR]],TERCEROS_INFO[#All],3,FALSE)</f>
        <v>0</v>
      </c>
      <c r="N449" s="23"/>
      <c r="O449" s="22">
        <f>+PROVEEDORES[[#This Row],[Descuento sobre subtotal %]]*(PROVEEDORES[[#This Row],[SUBTOTAL]]-PROVEEDORES[[#This Row],[descuento sobre subtotal]])</f>
        <v>0</v>
      </c>
      <c r="P449" s="83">
        <f>+IF(PROVEEDORES[[#This Row],[SUBTOTAL]]&lt;PROVEEDORES[[#This Row],[base retencion]],0,PROVEEDORES[[#This Row],[retención aplicada]])</f>
        <v>0</v>
      </c>
      <c r="Q449" s="22">
        <f>+PROVEEDORES[[#This Row],[Rete Fuente %]]*(PROVEEDORES[[#This Row],[SUBTOTAL]]-PROVEEDORES[[#This Row],[descuento sobre subtotal]])</f>
        <v>0</v>
      </c>
      <c r="R449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4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68">
        <f ca="1">IF(PROVEEDORES[[#This Row],[FECHA DE PAGO]]=0,TODAY()-PROVEEDORES[[#This Row],[FECHA DE FACTURACIÓN]]-PROVEEDORES[[#This Row],[PLAZO Días]],0)</f>
        <v>0</v>
      </c>
      <c r="U449" s="96">
        <f>+VLOOKUP(PROVEEDORES[[#This Row],[PROVEEDOR]],Terceros!$A:$D,4,FALSE)</f>
        <v>0</v>
      </c>
      <c r="V449" s="97">
        <f>+YEAR(PROVEEDORES[[#This Row],[FECHA DE FACTURACIÓN]])</f>
        <v>2021</v>
      </c>
      <c r="W449" s="97">
        <f>+MATCH(PROVEEDORES[[#This Row],[año facturado]],Retenciones!$1:$1,0)</f>
        <v>4</v>
      </c>
      <c r="X449" s="98">
        <f>+VLOOKUP(PROVEEDORES[[#This Row],[ID RETENCION]],Retenciones!$A$1:$O$25,PROVEEDORES[[#This Row],[indicador de columna]],FALSE)</f>
        <v>0</v>
      </c>
      <c r="Y449" s="99">
        <f>+VLOOKUP(PROVEEDORES[[#This Row],[ID RETENCION]],Retenciones!$A$1:$O$25,2,FALSE)</f>
        <v>0</v>
      </c>
      <c r="Z449" s="125" t="b">
        <f>OR(COUNTIF(PROVEEDORES[[#This Row],[PROVEEDOR]],"*"&amp;'Palabra no opera'!$A$2&amp;"*"))</f>
        <v>1</v>
      </c>
      <c r="AA449" s="24"/>
      <c r="AB449" s="24"/>
      <c r="AC449" s="24"/>
      <c r="AD449" s="24"/>
      <c r="AE449" s="24"/>
    </row>
    <row r="450" spans="1:31" ht="22.2" customHeight="1" x14ac:dyDescent="0.3">
      <c r="A450" s="221" t="str">
        <f>+IF(PROVEEDORES[[#This Row],[FECHA DE PAGO]]=PROVEEDORES[[#This Row],[FECHA DE FACTURACIÓN]],"DE CONTADO","CRÉDITO")</f>
        <v>CRÉDITO</v>
      </c>
      <c r="B450" s="38" t="str">
        <f>+IF((PROVEEDORES[[#This Row],[FECHA DE PAGO]]-PROVEEDORES[[#This Row],[FECHA DE FACTURACIÓN]])&gt;PROVEEDORES[[#This Row],[PLAZO Días]],"PAGO VENCIDO")</f>
        <v>PAGO VENCIDO</v>
      </c>
      <c r="C450" s="20">
        <f>+VLOOKUP(PROVEEDORES[[#This Row],[PROVEEDOR]],TERCEROS_INFO[#All],2,FALSE)</f>
        <v>30</v>
      </c>
      <c r="D450" s="25">
        <f>+SUMIFS(PROVEEDORES[Total],PROVEEDORES[PROVEEDOR],PROVEEDORES[[#This Row],[PROVEEDOR]],PROVEEDORES[FECHA DE PAGO],"")</f>
        <v>4712021.58</v>
      </c>
      <c r="E450" s="25"/>
      <c r="F45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50" s="161">
        <v>44844</v>
      </c>
      <c r="H450" s="26" t="s">
        <v>17</v>
      </c>
      <c r="I450" s="161">
        <v>44812</v>
      </c>
      <c r="J450" s="35" t="s">
        <v>1677</v>
      </c>
      <c r="K450" s="21">
        <v>216200</v>
      </c>
      <c r="L450" s="21"/>
      <c r="M450" s="22">
        <f>(PROVEEDORES[[#This Row],[SUBTOTAL]]-PROVEEDORES[[#This Row],[descuento sobre subtotal]])*VLOOKUP(PROVEEDORES[[#This Row],[PROVEEDOR]],TERCEROS_INFO[#All],3,FALSE)</f>
        <v>41078</v>
      </c>
      <c r="N450" s="23"/>
      <c r="O450" s="22">
        <f>+PROVEEDORES[[#This Row],[Descuento sobre subtotal %]]*(PROVEEDORES[[#This Row],[SUBTOTAL]]-PROVEEDORES[[#This Row],[descuento sobre subtotal]])</f>
        <v>0</v>
      </c>
      <c r="P450" s="83">
        <f>+IF(PROVEEDORES[[#This Row],[SUBTOTAL]]&lt;PROVEEDORES[[#This Row],[base retencion]],0,PROVEEDORES[[#This Row],[retención aplicada]])</f>
        <v>0</v>
      </c>
      <c r="Q450" s="22">
        <f>+PROVEEDORES[[#This Row],[Rete Fuente %]]*(PROVEEDORES[[#This Row],[SUBTOTAL]]-PROVEEDORES[[#This Row],[descuento sobre subtotal]])</f>
        <v>0</v>
      </c>
      <c r="R450" s="21">
        <f>+PROVEEDORES[[#This Row],[SUBTOTAL]]+PROVEEDORES[[#This Row],[IVA 19%]]-PROVEEDORES[[#This Row],[descuento sobre subtotal]]-PROVEEDORES[[#This Row],[Descuento sobre subtotal $2]]-PROVEEDORES[[#This Row],[Rete Fuente $]]</f>
        <v>257278</v>
      </c>
      <c r="S450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68">
        <f ca="1">IF(PROVEEDORES[[#This Row],[FECHA DE PAGO]]=0,TODAY()-PROVEEDORES[[#This Row],[FECHA DE FACTURACIÓN]]-PROVEEDORES[[#This Row],[PLAZO Días]],0)</f>
        <v>0</v>
      </c>
      <c r="U450" s="113">
        <f>+VLOOKUP(PROVEEDORES[[#This Row],[PROVEEDOR]],Terceros!$A:$D,4,FALSE)</f>
        <v>0</v>
      </c>
      <c r="V450" s="114">
        <f>+YEAR(PROVEEDORES[[#This Row],[FECHA DE FACTURACIÓN]])</f>
        <v>2022</v>
      </c>
      <c r="W450" s="114">
        <f>+MATCH(PROVEEDORES[[#This Row],[año facturado]],Retenciones!$1:$1,0)</f>
        <v>5</v>
      </c>
      <c r="X450" s="115">
        <f>+VLOOKUP(PROVEEDORES[[#This Row],[ID RETENCION]],Retenciones!$A$1:$O$25,PROVEEDORES[[#This Row],[indicador de columna]],FALSE)</f>
        <v>0</v>
      </c>
      <c r="Y450" s="116">
        <f>+VLOOKUP(PROVEEDORES[[#This Row],[ID RETENCION]],Retenciones!$A$1:$O$25,2,FALSE)</f>
        <v>0</v>
      </c>
      <c r="Z450" s="125" t="b">
        <f>OR(COUNTIF(PROVEEDORES[[#This Row],[PROVEEDOR]],"*"&amp;'Palabra no opera'!$A$2&amp;"*"))</f>
        <v>0</v>
      </c>
      <c r="AA450" s="24"/>
      <c r="AB450" s="24"/>
      <c r="AC450" s="24"/>
      <c r="AD450" s="24"/>
      <c r="AE450" s="24"/>
    </row>
    <row r="451" spans="1:31" ht="22.2" customHeight="1" x14ac:dyDescent="0.3">
      <c r="A451" s="159" t="str">
        <f>+IF(PROVEEDORES[[#This Row],[FECHA DE PAGO]]=PROVEEDORES[[#This Row],[FECHA DE FACTURACIÓN]],"DE CONTADO","CRÉDITO")</f>
        <v>CRÉDITO</v>
      </c>
      <c r="B451" s="38" t="str">
        <f>+IF((PROVEEDORES[[#This Row],[FECHA DE PAGO]]-PROVEEDORES[[#This Row],[FECHA DE FACTURACIÓN]])&gt;PROVEEDORES[[#This Row],[PLAZO Días]],"PAGO VENCIDO")</f>
        <v>PAGO VENCIDO</v>
      </c>
      <c r="C451" s="20">
        <f>+VLOOKUP(PROVEEDORES[[#This Row],[PROVEEDOR]],TERCEROS_INFO[#All],2,FALSE)</f>
        <v>30</v>
      </c>
      <c r="D451" s="25">
        <f>+SUMIFS(PROVEEDORES[Total],PROVEEDORES[PROVEEDOR],PROVEEDORES[[#This Row],[PROVEEDOR]],PROVEEDORES[FECHA DE PAGO],"")</f>
        <v>0</v>
      </c>
      <c r="E451" s="25"/>
      <c r="F451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51" s="161">
        <v>44795</v>
      </c>
      <c r="H451" s="26" t="s">
        <v>670</v>
      </c>
      <c r="I451" s="161">
        <v>44716</v>
      </c>
      <c r="J451" s="35" t="s">
        <v>1069</v>
      </c>
      <c r="K451" s="21">
        <v>258000</v>
      </c>
      <c r="L451" s="21"/>
      <c r="M451" s="22">
        <f>(PROVEEDORES[[#This Row],[SUBTOTAL]]-PROVEEDORES[[#This Row],[descuento sobre subtotal]])*VLOOKUP(PROVEEDORES[[#This Row],[PROVEEDOR]],TERCEROS_INFO[#All],3,FALSE)</f>
        <v>0</v>
      </c>
      <c r="N451" s="23"/>
      <c r="O451" s="22">
        <f>+PROVEEDORES[[#This Row],[Descuento sobre subtotal %]]*(PROVEEDORES[[#This Row],[SUBTOTAL]]-PROVEEDORES[[#This Row],[descuento sobre subtotal]])</f>
        <v>0</v>
      </c>
      <c r="P451" s="83">
        <f>+IF(PROVEEDORES[[#This Row],[SUBTOTAL]]&lt;PROVEEDORES[[#This Row],[base retencion]],0,PROVEEDORES[[#This Row],[retención aplicada]])</f>
        <v>0</v>
      </c>
      <c r="Q451" s="22">
        <f>+PROVEEDORES[[#This Row],[Rete Fuente %]]*(PROVEEDORES[[#This Row],[SUBTOTAL]]-PROVEEDORES[[#This Row],[descuento sobre subtotal]])</f>
        <v>0</v>
      </c>
      <c r="R451" s="21">
        <f>+PROVEEDORES[[#This Row],[SUBTOTAL]]+PROVEEDORES[[#This Row],[IVA 19%]]-PROVEEDORES[[#This Row],[descuento sobre subtotal]]-PROVEEDORES[[#This Row],[Descuento sobre subtotal $2]]-PROVEEDORES[[#This Row],[Rete Fuente $]]</f>
        <v>258000</v>
      </c>
      <c r="S45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68">
        <f ca="1">IF(PROVEEDORES[[#This Row],[FECHA DE PAGO]]=0,TODAY()-PROVEEDORES[[#This Row],[FECHA DE FACTURACIÓN]]-PROVEEDORES[[#This Row],[PLAZO Días]],0)</f>
        <v>0</v>
      </c>
      <c r="U451" s="113">
        <f>+VLOOKUP(PROVEEDORES[[#This Row],[PROVEEDOR]],Terceros!$A:$D,4,FALSE)</f>
        <v>0</v>
      </c>
      <c r="V451" s="114">
        <f>+YEAR(PROVEEDORES[[#This Row],[FECHA DE FACTURACIÓN]])</f>
        <v>2022</v>
      </c>
      <c r="W451" s="114">
        <f>+MATCH(PROVEEDORES[[#This Row],[año facturado]],Retenciones!$1:$1,0)</f>
        <v>5</v>
      </c>
      <c r="X451" s="115">
        <f>+VLOOKUP(PROVEEDORES[[#This Row],[ID RETENCION]],Retenciones!$A$1:$O$25,PROVEEDORES[[#This Row],[indicador de columna]],FALSE)</f>
        <v>0</v>
      </c>
      <c r="Y451" s="116">
        <f>+VLOOKUP(PROVEEDORES[[#This Row],[ID RETENCION]],Retenciones!$A$1:$O$25,2,FALSE)</f>
        <v>0</v>
      </c>
      <c r="Z451" s="125" t="b">
        <f>OR(COUNTIF(PROVEEDORES[[#This Row],[PROVEEDOR]],"*"&amp;'Palabra no opera'!$A$2&amp;"*"))</f>
        <v>0</v>
      </c>
      <c r="AA451" s="24"/>
      <c r="AB451" s="24"/>
      <c r="AC451" s="24"/>
      <c r="AD451" s="24"/>
      <c r="AE451" s="24"/>
    </row>
    <row r="452" spans="1:31" ht="22.2" customHeight="1" x14ac:dyDescent="0.3">
      <c r="A452" s="66" t="str">
        <f>+IF(PROVEEDORES[[#This Row],[FECHA DE PAGO]]=PROVEEDORES[[#This Row],[FECHA DE FACTURACIÓN]],"DE CONTADO","CRÉDITO")</f>
        <v>CRÉDITO</v>
      </c>
      <c r="B452" s="38" t="b">
        <f>+IF((PROVEEDORES[[#This Row],[FECHA DE PAGO]]-PROVEEDORES[[#This Row],[FECHA DE FACTURACIÓN]])&gt;PROVEEDORES[[#This Row],[PLAZO Días]],"PAGO VENCIDO")</f>
        <v>0</v>
      </c>
      <c r="C452" s="20">
        <f>+VLOOKUP(PROVEEDORES[[#This Row],[PROVEEDOR]],TERCEROS_INFO[#All],2,FALSE)</f>
        <v>30</v>
      </c>
      <c r="D452" s="25">
        <f>+SUMIFS(PROVEEDORES[Total],PROVEEDORES[PROVEEDOR],PROVEEDORES[[#This Row],[PROVEEDOR]],PROVEEDORES[FECHA DE PAGO],"")</f>
        <v>0</v>
      </c>
      <c r="E452" s="25"/>
      <c r="F452" s="58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452" s="161">
        <v>44396</v>
      </c>
      <c r="H452" s="26" t="s">
        <v>910</v>
      </c>
      <c r="I452" s="161">
        <v>44392</v>
      </c>
      <c r="J452" s="35">
        <v>2132</v>
      </c>
      <c r="K452" s="21">
        <v>259473</v>
      </c>
      <c r="L452" s="21"/>
      <c r="M452" s="22">
        <f>(PROVEEDORES[[#This Row],[SUBTOTAL]]-PROVEEDORES[[#This Row],[descuento sobre subtotal]])*VLOOKUP(PROVEEDORES[[#This Row],[PROVEEDOR]],TERCEROS_INFO[#All],3,FALSE)</f>
        <v>0</v>
      </c>
      <c r="N452" s="23"/>
      <c r="O452" s="22">
        <f>+PROVEEDORES[[#This Row],[Descuento sobre subtotal %]]*(PROVEEDORES[[#This Row],[SUBTOTAL]]-PROVEEDORES[[#This Row],[descuento sobre subtotal]])</f>
        <v>0</v>
      </c>
      <c r="P452" s="83">
        <f>+IF(PROVEEDORES[[#This Row],[SUBTOTAL]]&lt;PROVEEDORES[[#This Row],[base retencion]],0,PROVEEDORES[[#This Row],[retención aplicada]])</f>
        <v>0</v>
      </c>
      <c r="Q452" s="22">
        <f>+PROVEEDORES[[#This Row],[Rete Fuente %]]*(PROVEEDORES[[#This Row],[SUBTOTAL]]-PROVEEDORES[[#This Row],[descuento sobre subtotal]])</f>
        <v>0</v>
      </c>
      <c r="R452" s="21">
        <f>+PROVEEDORES[[#This Row],[SUBTOTAL]]+PROVEEDORES[[#This Row],[IVA 19%]]-PROVEEDORES[[#This Row],[descuento sobre subtotal]]-PROVEEDORES[[#This Row],[Descuento sobre subtotal $2]]-PROVEEDORES[[#This Row],[Rete Fuente $]]</f>
        <v>259473</v>
      </c>
      <c r="S4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68">
        <f ca="1">IF(PROVEEDORES[[#This Row],[FECHA DE PAGO]]=0,TODAY()-PROVEEDORES[[#This Row],[FECHA DE FACTURACIÓN]]-PROVEEDORES[[#This Row],[PLAZO Días]],0)</f>
        <v>0</v>
      </c>
      <c r="U452" s="96">
        <f>+VLOOKUP(PROVEEDORES[[#This Row],[PROVEEDOR]],Terceros!$A:$D,4,FALSE)</f>
        <v>0</v>
      </c>
      <c r="V452" s="97">
        <f>+YEAR(PROVEEDORES[[#This Row],[FECHA DE FACTURACIÓN]])</f>
        <v>2021</v>
      </c>
      <c r="W452" s="97">
        <f>+MATCH(PROVEEDORES[[#This Row],[año facturado]],Retenciones!$1:$1,0)</f>
        <v>4</v>
      </c>
      <c r="X452" s="98">
        <f>+VLOOKUP(PROVEEDORES[[#This Row],[ID RETENCION]],Retenciones!$A$1:$O$25,PROVEEDORES[[#This Row],[indicador de columna]],FALSE)</f>
        <v>0</v>
      </c>
      <c r="Y452" s="99">
        <f>+VLOOKUP(PROVEEDORES[[#This Row],[ID RETENCION]],Retenciones!$A$1:$O$25,2,FALSE)</f>
        <v>0</v>
      </c>
      <c r="Z452" s="125" t="b">
        <f>OR(COUNTIF(PROVEEDORES[[#This Row],[PROVEEDOR]],"*"&amp;'Palabra no opera'!$A$2&amp;"*"))</f>
        <v>1</v>
      </c>
      <c r="AA452" s="24"/>
      <c r="AB452" s="24"/>
      <c r="AC452" s="24"/>
      <c r="AD452" s="24"/>
      <c r="AE452" s="24"/>
    </row>
    <row r="453" spans="1:31" ht="22.2" customHeight="1" x14ac:dyDescent="0.3">
      <c r="A453" s="144" t="str">
        <f>+IF(PROVEEDORES[[#This Row],[FECHA DE PAGO]]=PROVEEDORES[[#This Row],[FECHA DE FACTURACIÓN]],"DE CONTADO","CRÉDITO")</f>
        <v>CRÉDITO</v>
      </c>
      <c r="B453" s="38" t="str">
        <f>+IF((PROVEEDORES[[#This Row],[FECHA DE PAGO]]-PROVEEDORES[[#This Row],[FECHA DE FACTURACIÓN]])&gt;PROVEEDORES[[#This Row],[PLAZO Días]],"PAGO VENCIDO")</f>
        <v>PAGO VENCIDO</v>
      </c>
      <c r="C453" s="20">
        <f>+VLOOKUP(PROVEEDORES[[#This Row],[PROVEEDOR]],TERCEROS_INFO[#All],2,FALSE)</f>
        <v>30</v>
      </c>
      <c r="D453" s="25">
        <f>+SUMIFS(PROVEEDORES[Total],PROVEEDORES[PROVEEDOR],PROVEEDORES[[#This Row],[PROVEEDOR]],PROVEEDORES[FECHA DE PAGO],"")</f>
        <v>1354000</v>
      </c>
      <c r="E453" s="25"/>
      <c r="F45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53" s="161">
        <v>44775</v>
      </c>
      <c r="H453" s="26" t="s">
        <v>699</v>
      </c>
      <c r="I453" s="161">
        <v>44700</v>
      </c>
      <c r="J453" s="35" t="s">
        <v>1598</v>
      </c>
      <c r="K453" s="21">
        <v>260000</v>
      </c>
      <c r="L453" s="21"/>
      <c r="M453" s="22">
        <f>(PROVEEDORES[[#This Row],[SUBTOTAL]]-PROVEEDORES[[#This Row],[descuento sobre subtotal]])*VLOOKUP(PROVEEDORES[[#This Row],[PROVEEDOR]],TERCEROS_INFO[#All],3,FALSE)</f>
        <v>0</v>
      </c>
      <c r="N453" s="23"/>
      <c r="O453" s="22">
        <f>+PROVEEDORES[[#This Row],[Descuento sobre subtotal %]]*(PROVEEDORES[[#This Row],[SUBTOTAL]]-PROVEEDORES[[#This Row],[descuento sobre subtotal]])</f>
        <v>0</v>
      </c>
      <c r="P453" s="83">
        <f>+IF(PROVEEDORES[[#This Row],[SUBTOTAL]]&lt;PROVEEDORES[[#This Row],[base retencion]],0,PROVEEDORES[[#This Row],[retención aplicada]])</f>
        <v>0</v>
      </c>
      <c r="Q453" s="22">
        <f>+PROVEEDORES[[#This Row],[Rete Fuente %]]*(PROVEEDORES[[#This Row],[SUBTOTAL]]-PROVEEDORES[[#This Row],[descuento sobre subtotal]])</f>
        <v>0</v>
      </c>
      <c r="R453" s="21">
        <f>+PROVEEDORES[[#This Row],[SUBTOTAL]]+PROVEEDORES[[#This Row],[IVA 19%]]-PROVEEDORES[[#This Row],[descuento sobre subtotal]]-PROVEEDORES[[#This Row],[Descuento sobre subtotal $2]]-PROVEEDORES[[#This Row],[Rete Fuente $]]</f>
        <v>260000</v>
      </c>
      <c r="S453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68">
        <f ca="1">IF(PROVEEDORES[[#This Row],[FECHA DE PAGO]]=0,TODAY()-PROVEEDORES[[#This Row],[FECHA DE FACTURACIÓN]]-PROVEEDORES[[#This Row],[PLAZO Días]],0)</f>
        <v>0</v>
      </c>
      <c r="U453" s="113">
        <f>+VLOOKUP(PROVEEDORES[[#This Row],[PROVEEDOR]],Terceros!$A:$D,4,FALSE)</f>
        <v>0</v>
      </c>
      <c r="V453" s="114">
        <f>+YEAR(PROVEEDORES[[#This Row],[FECHA DE FACTURACIÓN]])</f>
        <v>2022</v>
      </c>
      <c r="W453" s="114">
        <f>+MATCH(PROVEEDORES[[#This Row],[año facturado]],Retenciones!$1:$1,0)</f>
        <v>5</v>
      </c>
      <c r="X453" s="115">
        <f>+VLOOKUP(PROVEEDORES[[#This Row],[ID RETENCION]],Retenciones!$A$1:$O$25,PROVEEDORES[[#This Row],[indicador de columna]],FALSE)</f>
        <v>0</v>
      </c>
      <c r="Y453" s="116">
        <f>+VLOOKUP(PROVEEDORES[[#This Row],[ID RETENCION]],Retenciones!$A$1:$O$25,2,FALSE)</f>
        <v>0</v>
      </c>
      <c r="Z453" s="125" t="b">
        <f>OR(COUNTIF(PROVEEDORES[[#This Row],[PROVEEDOR]],"*"&amp;'Palabra no opera'!$A$2&amp;"*"))</f>
        <v>0</v>
      </c>
      <c r="AA453" s="24"/>
      <c r="AB453" s="24"/>
      <c r="AC453" s="24"/>
      <c r="AD453" s="24"/>
      <c r="AE453" s="24"/>
    </row>
    <row r="454" spans="1:31" ht="22.2" customHeight="1" x14ac:dyDescent="0.3">
      <c r="A454" s="66" t="str">
        <f>+IF(PROVEEDORES[[#This Row],[FECHA DE PAGO]]=PROVEEDORES[[#This Row],[FECHA DE FACTURACIÓN]],"DE CONTADO","CRÉDITO")</f>
        <v>CRÉDITO</v>
      </c>
      <c r="B454" s="38" t="str">
        <f>+IF((PROVEEDORES[[#This Row],[FECHA DE PAGO]]-PROVEEDORES[[#This Row],[FECHA DE FACTURACIÓN]])&gt;PROVEEDORES[[#This Row],[PLAZO Días]],"PAGO VENCIDO")</f>
        <v>PAGO VENCIDO</v>
      </c>
      <c r="C454" s="20">
        <f>+VLOOKUP(PROVEEDORES[[#This Row],[PROVEEDOR]],TERCEROS_INFO[#All],2,FALSE)</f>
        <v>30</v>
      </c>
      <c r="D454" s="25">
        <f>+SUMIFS(PROVEEDORES[Total],PROVEEDORES[PROVEEDOR],PROVEEDORES[[#This Row],[PROVEEDOR]],PROVEEDORES[FECHA DE PAGO],"")</f>
        <v>4712021.58</v>
      </c>
      <c r="E454" s="25"/>
      <c r="F45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54" s="161">
        <v>44558</v>
      </c>
      <c r="H454" s="26" t="s">
        <v>17</v>
      </c>
      <c r="I454" s="161">
        <v>44524</v>
      </c>
      <c r="J454" s="35">
        <v>1844279</v>
      </c>
      <c r="K454" s="21">
        <v>219500</v>
      </c>
      <c r="L454" s="21"/>
      <c r="M454" s="22">
        <f>(PROVEEDORES[[#This Row],[SUBTOTAL]]-PROVEEDORES[[#This Row],[descuento sobre subtotal]])*VLOOKUP(PROVEEDORES[[#This Row],[PROVEEDOR]],TERCEROS_INFO[#All],3,FALSE)</f>
        <v>41705</v>
      </c>
      <c r="N454" s="23"/>
      <c r="O454" s="22">
        <f>+PROVEEDORES[[#This Row],[Descuento sobre subtotal %]]*(PROVEEDORES[[#This Row],[SUBTOTAL]]-PROVEEDORES[[#This Row],[descuento sobre subtotal]])</f>
        <v>0</v>
      </c>
      <c r="P454" s="83">
        <f>+IF(PROVEEDORES[[#This Row],[SUBTOTAL]]&lt;PROVEEDORES[[#This Row],[base retencion]],0,PROVEEDORES[[#This Row],[retención aplicada]])</f>
        <v>0</v>
      </c>
      <c r="Q454" s="22">
        <f>+PROVEEDORES[[#This Row],[Rete Fuente %]]*(PROVEEDORES[[#This Row],[SUBTOTAL]]-PROVEEDORES[[#This Row],[descuento sobre subtotal]])</f>
        <v>0</v>
      </c>
      <c r="R454" s="21">
        <f>+PROVEEDORES[[#This Row],[SUBTOTAL]]+PROVEEDORES[[#This Row],[IVA 19%]]-PROVEEDORES[[#This Row],[descuento sobre subtotal]]-PROVEEDORES[[#This Row],[Descuento sobre subtotal $2]]-PROVEEDORES[[#This Row],[Rete Fuente $]]</f>
        <v>261205</v>
      </c>
      <c r="S4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68">
        <f ca="1">IF(PROVEEDORES[[#This Row],[FECHA DE PAGO]]=0,TODAY()-PROVEEDORES[[#This Row],[FECHA DE FACTURACIÓN]]-PROVEEDORES[[#This Row],[PLAZO Días]],0)</f>
        <v>0</v>
      </c>
      <c r="U454" s="96">
        <f>+VLOOKUP(PROVEEDORES[[#This Row],[PROVEEDOR]],Terceros!$A:$D,4,FALSE)</f>
        <v>0</v>
      </c>
      <c r="V454" s="97">
        <f>+YEAR(PROVEEDORES[[#This Row],[FECHA DE FACTURACIÓN]])</f>
        <v>2021</v>
      </c>
      <c r="W454" s="97">
        <f>+MATCH(PROVEEDORES[[#This Row],[año facturado]],Retenciones!$1:$1,0)</f>
        <v>4</v>
      </c>
      <c r="X454" s="98">
        <f>+VLOOKUP(PROVEEDORES[[#This Row],[ID RETENCION]],Retenciones!$A$1:$O$25,PROVEEDORES[[#This Row],[indicador de columna]],FALSE)</f>
        <v>0</v>
      </c>
      <c r="Y454" s="99">
        <f>+VLOOKUP(PROVEEDORES[[#This Row],[ID RETENCION]],Retenciones!$A$1:$O$25,2,FALSE)</f>
        <v>0</v>
      </c>
      <c r="Z454" s="125" t="b">
        <f>OR(COUNTIF(PROVEEDORES[[#This Row],[PROVEEDOR]],"*"&amp;'Palabra no opera'!$A$2&amp;"*"))</f>
        <v>0</v>
      </c>
      <c r="AA454" s="24"/>
      <c r="AB454" s="24"/>
      <c r="AC454" s="24"/>
      <c r="AD454" s="24"/>
      <c r="AE454" s="24"/>
    </row>
    <row r="455" spans="1:31" ht="22.2" customHeight="1" x14ac:dyDescent="0.3">
      <c r="A455" s="66" t="str">
        <f>+IF(PROVEEDORES[[#This Row],[FECHA DE PAGO]]=PROVEEDORES[[#This Row],[FECHA DE FACTURACIÓN]],"DE CONTADO","CRÉDITO")</f>
        <v>CRÉDITO</v>
      </c>
      <c r="B455" s="38" t="b">
        <f>+IF((PROVEEDORES[[#This Row],[FECHA DE PAGO]]-PROVEEDORES[[#This Row],[FECHA DE FACTURACIÓN]])&gt;PROVEEDORES[[#This Row],[PLAZO Días]],"PAGO VENCIDO")</f>
        <v>0</v>
      </c>
      <c r="C455" s="20">
        <f>+VLOOKUP(PROVEEDORES[[#This Row],[PROVEEDOR]],TERCEROS_INFO[#All],2,FALSE)</f>
        <v>20</v>
      </c>
      <c r="D455" s="25">
        <f>+SUMIFS(PROVEEDORES[Total],PROVEEDORES[PROVEEDOR],PROVEEDORES[[#This Row],[PROVEEDOR]],PROVEEDORES[FECHA DE PAGO],"")</f>
        <v>0</v>
      </c>
      <c r="E455" s="25"/>
      <c r="F455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455" s="161">
        <v>44411</v>
      </c>
      <c r="H455" s="26" t="s">
        <v>399</v>
      </c>
      <c r="I455" s="161">
        <v>44410</v>
      </c>
      <c r="J455" s="35" t="s">
        <v>394</v>
      </c>
      <c r="K455" s="21">
        <v>264800</v>
      </c>
      <c r="L455" s="21"/>
      <c r="M455" s="22">
        <f>(PROVEEDORES[[#This Row],[SUBTOTAL]]-PROVEEDORES[[#This Row],[descuento sobre subtotal]])*VLOOKUP(PROVEEDORES[[#This Row],[PROVEEDOR]],TERCEROS_INFO[#All],3,FALSE)</f>
        <v>0</v>
      </c>
      <c r="N455" s="23"/>
      <c r="O455" s="22">
        <f>+PROVEEDORES[[#This Row],[Descuento sobre subtotal %]]*(PROVEEDORES[[#This Row],[SUBTOTAL]]-PROVEEDORES[[#This Row],[descuento sobre subtotal]])</f>
        <v>0</v>
      </c>
      <c r="P455" s="83">
        <f>+IF(PROVEEDORES[[#This Row],[SUBTOTAL]]&lt;PROVEEDORES[[#This Row],[base retencion]],0,PROVEEDORES[[#This Row],[retención aplicada]])</f>
        <v>0.01</v>
      </c>
      <c r="Q455" s="22">
        <f>+PROVEEDORES[[#This Row],[Rete Fuente %]]*(PROVEEDORES[[#This Row],[SUBTOTAL]]-PROVEEDORES[[#This Row],[descuento sobre subtotal]])</f>
        <v>2648</v>
      </c>
      <c r="R455" s="21">
        <f>+PROVEEDORES[[#This Row],[SUBTOTAL]]+PROVEEDORES[[#This Row],[IVA 19%]]-PROVEEDORES[[#This Row],[descuento sobre subtotal]]-PROVEEDORES[[#This Row],[Descuento sobre subtotal $2]]-PROVEEDORES[[#This Row],[Rete Fuente $]]</f>
        <v>262152</v>
      </c>
      <c r="S4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68">
        <f ca="1">IF(PROVEEDORES[[#This Row],[FECHA DE PAGO]]=0,TODAY()-PROVEEDORES[[#This Row],[FECHA DE FACTURACIÓN]]-PROVEEDORES[[#This Row],[PLAZO Días]],0)</f>
        <v>0</v>
      </c>
      <c r="U455" s="96" t="str">
        <f>+VLOOKUP(PROVEEDORES[[#This Row],[PROVEEDOR]],Terceros!$A:$D,4,FALSE)</f>
        <v>1% con base</v>
      </c>
      <c r="V455" s="97">
        <f>+YEAR(PROVEEDORES[[#This Row],[FECHA DE FACTURACIÓN]])</f>
        <v>2021</v>
      </c>
      <c r="W455" s="97">
        <f>+MATCH(PROVEEDORES[[#This Row],[año facturado]],Retenciones!$1:$1,0)</f>
        <v>4</v>
      </c>
      <c r="X455" s="98">
        <f>+VLOOKUP(PROVEEDORES[[#This Row],[ID RETENCION]],Retenciones!$A$1:$O$25,PROVEEDORES[[#This Row],[indicador de columna]],FALSE)</f>
        <v>145000</v>
      </c>
      <c r="Y455" s="99">
        <f>+VLOOKUP(PROVEEDORES[[#This Row],[ID RETENCION]],Retenciones!$A$1:$O$25,2,FALSE)</f>
        <v>0.01</v>
      </c>
      <c r="Z455" s="125" t="b">
        <f>OR(COUNTIF(PROVEEDORES[[#This Row],[PROVEEDOR]],"*"&amp;'Palabra no opera'!$A$2&amp;"*"))</f>
        <v>0</v>
      </c>
      <c r="AA455" s="24"/>
      <c r="AB455" s="24"/>
      <c r="AC455" s="24"/>
      <c r="AD455" s="24"/>
      <c r="AE455" s="24"/>
    </row>
    <row r="456" spans="1:31" ht="22.2" customHeight="1" x14ac:dyDescent="0.3">
      <c r="A456" s="72" t="str">
        <f>+IF(PROVEEDORES[[#This Row],[FECHA DE PAGO]]=PROVEEDORES[[#This Row],[FECHA DE FACTURACIÓN]],"DE CONTADO","CRÉDITO")</f>
        <v>CRÉDITO</v>
      </c>
      <c r="B456" s="38" t="b">
        <f>+IF((PROVEEDORES[[#This Row],[FECHA DE PAGO]]-PROVEEDORES[[#This Row],[FECHA DE FACTURACIÓN]])&gt;PROVEEDORES[[#This Row],[PLAZO Días]],"PAGO VENCIDO")</f>
        <v>0</v>
      </c>
      <c r="C456" s="20">
        <f>+VLOOKUP(PROVEEDORES[[#This Row],[PROVEEDOR]],TERCEROS_INFO[#All],2,FALSE)</f>
        <v>60</v>
      </c>
      <c r="D456" s="25">
        <f>+SUMIFS(PROVEEDORES[Total],PROVEEDORES[PROVEEDOR],PROVEEDORES[[#This Row],[PROVEEDOR]],PROVEEDORES[FECHA DE PAGO],"")</f>
        <v>1520362</v>
      </c>
      <c r="E456" s="25"/>
      <c r="F45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56" s="161">
        <v>44870</v>
      </c>
      <c r="H456" s="26" t="s">
        <v>528</v>
      </c>
      <c r="I456" s="74">
        <v>44824</v>
      </c>
      <c r="J456" s="35">
        <v>1483</v>
      </c>
      <c r="K456" s="21">
        <v>263354</v>
      </c>
      <c r="L456" s="21"/>
      <c r="M456" s="22">
        <f>(PROVEEDORES[[#This Row],[SUBTOTAL]]-PROVEEDORES[[#This Row],[descuento sobre subtotal]])*VLOOKUP(PROVEEDORES[[#This Row],[PROVEEDOR]],TERCEROS_INFO[#All],3,FALSE)</f>
        <v>0</v>
      </c>
      <c r="N456" s="23"/>
      <c r="O456" s="22">
        <f>+PROVEEDORES[[#This Row],[Descuento sobre subtotal %]]*(PROVEEDORES[[#This Row],[SUBTOTAL]]-PROVEEDORES[[#This Row],[descuento sobre subtotal]])</f>
        <v>0</v>
      </c>
      <c r="P456" s="83">
        <f>+IF(PROVEEDORES[[#This Row],[SUBTOTAL]]&lt;PROVEEDORES[[#This Row],[base retencion]],0,PROVEEDORES[[#This Row],[retención aplicada]])</f>
        <v>0</v>
      </c>
      <c r="Q456" s="22">
        <f>+PROVEEDORES[[#This Row],[Rete Fuente %]]*(PROVEEDORES[[#This Row],[SUBTOTAL]]-PROVEEDORES[[#This Row],[descuento sobre subtotal]])</f>
        <v>0</v>
      </c>
      <c r="R456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45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68">
        <f ca="1">IF(PROVEEDORES[[#This Row],[FECHA DE PAGO]]=0,TODAY()-PROVEEDORES[[#This Row],[FECHA DE FACTURACIÓN]]-PROVEEDORES[[#This Row],[PLAZO Días]],0)</f>
        <v>0</v>
      </c>
      <c r="U456" s="113">
        <f>+VLOOKUP(PROVEEDORES[[#This Row],[PROVEEDOR]],Terceros!$A:$D,4,FALSE)</f>
        <v>0</v>
      </c>
      <c r="V456" s="114">
        <f>+YEAR(PROVEEDORES[[#This Row],[FECHA DE FACTURACIÓN]])</f>
        <v>2022</v>
      </c>
      <c r="W456" s="114">
        <f>+MATCH(PROVEEDORES[[#This Row],[año facturado]],Retenciones!$1:$1,0)</f>
        <v>5</v>
      </c>
      <c r="X456" s="115">
        <f>+VLOOKUP(PROVEEDORES[[#This Row],[ID RETENCION]],Retenciones!$A$1:$O$25,PROVEEDORES[[#This Row],[indicador de columna]],FALSE)</f>
        <v>0</v>
      </c>
      <c r="Y456" s="116">
        <f>+VLOOKUP(PROVEEDORES[[#This Row],[ID RETENCION]],Retenciones!$A$1:$O$25,2,FALSE)</f>
        <v>0</v>
      </c>
      <c r="Z456" s="125" t="b">
        <f>OR(COUNTIF(PROVEEDORES[[#This Row],[PROVEEDOR]],"*"&amp;'Palabra no opera'!$A$2&amp;"*"))</f>
        <v>0</v>
      </c>
      <c r="AA456" s="24"/>
      <c r="AB456" s="24"/>
      <c r="AC456" s="24"/>
      <c r="AD456" s="24"/>
      <c r="AE456" s="24"/>
    </row>
    <row r="457" spans="1:31" ht="22.2" customHeight="1" x14ac:dyDescent="0.3">
      <c r="A457" s="269" t="str">
        <f>+IF(PROVEEDORES[[#This Row],[FECHA DE PAGO]]=PROVEEDORES[[#This Row],[FECHA DE FACTURACIÓN]],"DE CONTADO","CRÉDITO")</f>
        <v>CRÉDITO</v>
      </c>
      <c r="B457" s="38" t="b">
        <f>+IF((PROVEEDORES[[#This Row],[FECHA DE PAGO]]-PROVEEDORES[[#This Row],[FECHA DE FACTURACIÓN]])&gt;PROVEEDORES[[#This Row],[PLAZO Días]],"PAGO VENCIDO")</f>
        <v>0</v>
      </c>
      <c r="C457" s="20">
        <f>+VLOOKUP(PROVEEDORES[[#This Row],[PROVEEDOR]],TERCEROS_INFO[#All],2,FALSE)</f>
        <v>60</v>
      </c>
      <c r="D457" s="25">
        <f>+SUMIFS(PROVEEDORES[Total],PROVEEDORES[PROVEEDOR],PROVEEDORES[[#This Row],[PROVEEDOR]],PROVEEDORES[FECHA DE PAGO],"")</f>
        <v>1520362</v>
      </c>
      <c r="E457" s="25"/>
      <c r="F457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57" s="161">
        <v>44870</v>
      </c>
      <c r="H457" s="26" t="s">
        <v>528</v>
      </c>
      <c r="I457" s="161">
        <v>44859</v>
      </c>
      <c r="J457" s="35">
        <v>1509</v>
      </c>
      <c r="K457" s="21">
        <v>263354</v>
      </c>
      <c r="L457" s="21"/>
      <c r="M457" s="22">
        <f>(PROVEEDORES[[#This Row],[SUBTOTAL]]-PROVEEDORES[[#This Row],[descuento sobre subtotal]])*VLOOKUP(PROVEEDORES[[#This Row],[PROVEEDOR]],TERCEROS_INFO[#All],3,FALSE)</f>
        <v>0</v>
      </c>
      <c r="N457" s="23"/>
      <c r="O457" s="22">
        <f>+PROVEEDORES[[#This Row],[Descuento sobre subtotal %]]*(PROVEEDORES[[#This Row],[SUBTOTAL]]-PROVEEDORES[[#This Row],[descuento sobre subtotal]])</f>
        <v>0</v>
      </c>
      <c r="P457" s="83">
        <f>+IF(PROVEEDORES[[#This Row],[SUBTOTAL]]&lt;PROVEEDORES[[#This Row],[base retencion]],0,PROVEEDORES[[#This Row],[retención aplicada]])</f>
        <v>0</v>
      </c>
      <c r="Q457" s="22">
        <f>+PROVEEDORES[[#This Row],[Rete Fuente %]]*(PROVEEDORES[[#This Row],[SUBTOTAL]]-PROVEEDORES[[#This Row],[descuento sobre subtotal]])</f>
        <v>0</v>
      </c>
      <c r="R457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457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68">
        <f ca="1">IF(PROVEEDORES[[#This Row],[FECHA DE PAGO]]=0,TODAY()-PROVEEDORES[[#This Row],[FECHA DE FACTURACIÓN]]-PROVEEDORES[[#This Row],[PLAZO Días]],0)</f>
        <v>0</v>
      </c>
      <c r="U457" s="113">
        <f>+VLOOKUP(PROVEEDORES[[#This Row],[PROVEEDOR]],Terceros!$A:$D,4,FALSE)</f>
        <v>0</v>
      </c>
      <c r="V457" s="114">
        <f>+YEAR(PROVEEDORES[[#This Row],[FECHA DE FACTURACIÓN]])</f>
        <v>2022</v>
      </c>
      <c r="W457" s="114">
        <f>+MATCH(PROVEEDORES[[#This Row],[año facturado]],Retenciones!$1:$1,0)</f>
        <v>5</v>
      </c>
      <c r="X457" s="115">
        <f>+VLOOKUP(PROVEEDORES[[#This Row],[ID RETENCION]],Retenciones!$A$1:$O$25,PROVEEDORES[[#This Row],[indicador de columna]],FALSE)</f>
        <v>0</v>
      </c>
      <c r="Y457" s="116">
        <f>+VLOOKUP(PROVEEDORES[[#This Row],[ID RETENCION]],Retenciones!$A$1:$O$25,2,FALSE)</f>
        <v>0</v>
      </c>
      <c r="Z457" s="125" t="b">
        <f>OR(COUNTIF(PROVEEDORES[[#This Row],[PROVEEDOR]],"*"&amp;'Palabra no opera'!$A$2&amp;"*"))</f>
        <v>0</v>
      </c>
      <c r="AA457" s="24"/>
      <c r="AB457" s="24"/>
      <c r="AC457" s="24"/>
      <c r="AD457" s="24"/>
      <c r="AE457" s="24"/>
    </row>
    <row r="458" spans="1:31" ht="22.2" customHeight="1" x14ac:dyDescent="0.3">
      <c r="A458" s="66" t="str">
        <f>+IF(PROVEEDORES[[#This Row],[FECHA DE PAGO]]=PROVEEDORES[[#This Row],[FECHA DE FACTURACIÓN]],"DE CONTADO","CRÉDITO")</f>
        <v>CRÉDITO</v>
      </c>
      <c r="B458" s="38" t="str">
        <f>+IF((PROVEEDORES[[#This Row],[FECHA DE PAGO]]-PROVEEDORES[[#This Row],[FECHA DE FACTURACIÓN]])&gt;PROVEEDORES[[#This Row],[PLAZO Días]],"PAGO VENCIDO")</f>
        <v>PAGO VENCIDO</v>
      </c>
      <c r="C458" s="20">
        <f>+VLOOKUP(PROVEEDORES[[#This Row],[PROVEEDOR]],TERCEROS_INFO[#All],2,FALSE)</f>
        <v>30</v>
      </c>
      <c r="D458" s="25">
        <f>+SUMIFS(PROVEEDORES[Total],PROVEEDORES[PROVEEDOR],PROVEEDORES[[#This Row],[PROVEEDOR]],PROVEEDORES[FECHA DE PAGO],"")</f>
        <v>0</v>
      </c>
      <c r="E458" s="25"/>
      <c r="F458" s="58">
        <f>+VLOOKUP(PROVEEDORES[[#This Row],[PROVEEDOR]],
                       Terceros!$A:$F,
                       5,
                       FALSE)</f>
        <v>0</v>
      </c>
      <c r="G458" s="161">
        <v>44630</v>
      </c>
      <c r="H458" s="26" t="s">
        <v>923</v>
      </c>
      <c r="I458" s="161">
        <v>44562</v>
      </c>
      <c r="J458" s="35" t="s">
        <v>1204</v>
      </c>
      <c r="K458" s="21">
        <v>263948</v>
      </c>
      <c r="L458" s="21"/>
      <c r="M458" s="22">
        <f>(PROVEEDORES[[#This Row],[SUBTOTAL]]-PROVEEDORES[[#This Row],[descuento sobre subtotal]])*VLOOKUP(PROVEEDORES[[#This Row],[PROVEEDOR]],TERCEROS_INFO[#All],3,FALSE)</f>
        <v>0</v>
      </c>
      <c r="N458" s="23"/>
      <c r="O458" s="22">
        <f>+PROVEEDORES[[#This Row],[Descuento sobre subtotal %]]*(PROVEEDORES[[#This Row],[SUBTOTAL]]-PROVEEDORES[[#This Row],[descuento sobre subtotal]])</f>
        <v>0</v>
      </c>
      <c r="P458" s="83">
        <f>+IF(PROVEEDORES[[#This Row],[SUBTOTAL]]&lt;PROVEEDORES[[#This Row],[base retencion]],0,PROVEEDORES[[#This Row],[retención aplicada]])</f>
        <v>0</v>
      </c>
      <c r="Q458" s="22">
        <f>+PROVEEDORES[[#This Row],[Rete Fuente %]]*(PROVEEDORES[[#This Row],[SUBTOTAL]]-PROVEEDORES[[#This Row],[descuento sobre subtotal]])</f>
        <v>0</v>
      </c>
      <c r="R458" s="21">
        <v>263948</v>
      </c>
      <c r="S4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68">
        <f ca="1">IF(PROVEEDORES[[#This Row],[FECHA DE PAGO]]=0,TODAY()-PROVEEDORES[[#This Row],[FECHA DE FACTURACIÓN]]-PROVEEDORES[[#This Row],[PLAZO Días]],0)</f>
        <v>0</v>
      </c>
      <c r="U458" s="96">
        <f>+VLOOKUP(PROVEEDORES[[#This Row],[PROVEEDOR]],Terceros!$A:$D,4,FALSE)</f>
        <v>0</v>
      </c>
      <c r="V458" s="97">
        <f>+YEAR(PROVEEDORES[[#This Row],[FECHA DE FACTURACIÓN]])</f>
        <v>2022</v>
      </c>
      <c r="W458" s="97">
        <f>+MATCH(PROVEEDORES[[#This Row],[año facturado]],Retenciones!$1:$1,0)</f>
        <v>5</v>
      </c>
      <c r="X458" s="98">
        <f>+VLOOKUP(PROVEEDORES[[#This Row],[ID RETENCION]],Retenciones!$A$1:$O$25,PROVEEDORES[[#This Row],[indicador de columna]],FALSE)</f>
        <v>0</v>
      </c>
      <c r="Y458" s="99">
        <f>+VLOOKUP(PROVEEDORES[[#This Row],[ID RETENCION]],Retenciones!$A$1:$O$25,2,FALSE)</f>
        <v>0</v>
      </c>
      <c r="Z458" s="125" t="b">
        <f>OR(COUNTIF(PROVEEDORES[[#This Row],[PROVEEDOR]],"*"&amp;'Palabra no opera'!$A$2&amp;"*"))</f>
        <v>1</v>
      </c>
      <c r="AA458" s="24"/>
      <c r="AB458" s="24"/>
      <c r="AC458" s="24"/>
      <c r="AD458" s="24"/>
      <c r="AE458" s="24"/>
    </row>
    <row r="459" spans="1:31" ht="22.2" customHeight="1" x14ac:dyDescent="0.3">
      <c r="A459" s="72" t="str">
        <f>+IF(PROVEEDORES[[#This Row],[FECHA DE PAGO]]=PROVEEDORES[[#This Row],[FECHA DE FACTURACIÓN]],"DE CONTADO","CRÉDITO")</f>
        <v>CRÉDITO</v>
      </c>
      <c r="B459" s="38" t="b">
        <f>+IF((PROVEEDORES[[#This Row],[FECHA DE PAGO]]-PROVEEDORES[[#This Row],[FECHA DE FACTURACIÓN]])&gt;PROVEEDORES[[#This Row],[PLAZO Días]],"PAGO VENCIDO")</f>
        <v>0</v>
      </c>
      <c r="C459" s="20">
        <v>60</v>
      </c>
      <c r="D459" s="25">
        <f>+SUMIFS(PROVEEDORES[Total],PROVEEDORES[PROVEEDOR],PROVEEDORES[[#This Row],[PROVEEDOR]],PROVEEDORES[FECHA DE PAGO],"")</f>
        <v>0</v>
      </c>
      <c r="E459" s="25"/>
      <c r="F459" s="58">
        <f>+VLOOKUP(PROVEEDORES[[#This Row],[PROVEEDOR]],
                       Terceros!$A:$F,
                       5,
                       FALSE)</f>
        <v>0</v>
      </c>
      <c r="G459" s="161">
        <v>44802</v>
      </c>
      <c r="H459" s="26" t="s">
        <v>923</v>
      </c>
      <c r="I459" s="161">
        <v>44743</v>
      </c>
      <c r="J459" s="35" t="s">
        <v>1204</v>
      </c>
      <c r="K459" s="21">
        <v>263948</v>
      </c>
      <c r="L459" s="21"/>
      <c r="M459" s="22">
        <f>(PROVEEDORES[[#This Row],[SUBTOTAL]]-PROVEEDORES[[#This Row],[descuento sobre subtotal]])*VLOOKUP(PROVEEDORES[[#This Row],[PROVEEDOR]],TERCEROS_INFO[#All],3,FALSE)</f>
        <v>0</v>
      </c>
      <c r="N459" s="23"/>
      <c r="O459" s="22">
        <f>+PROVEEDORES[[#This Row],[Descuento sobre subtotal %]]*(PROVEEDORES[[#This Row],[SUBTOTAL]]-PROVEEDORES[[#This Row],[descuento sobre subtotal]])</f>
        <v>0</v>
      </c>
      <c r="P459" s="83">
        <f>+IF(PROVEEDORES[[#This Row],[SUBTOTAL]]&lt;PROVEEDORES[[#This Row],[base retencion]],0,PROVEEDORES[[#This Row],[retención aplicada]])</f>
        <v>0</v>
      </c>
      <c r="Q459" s="22">
        <f>+PROVEEDORES[[#This Row],[Rete Fuente %]]*(PROVEEDORES[[#This Row],[SUBTOTAL]]-PROVEEDORES[[#This Row],[descuento sobre subtotal]])</f>
        <v>0</v>
      </c>
      <c r="R459" s="21">
        <f>+PROVEEDORES[[#This Row],[SUBTOTAL]]+PROVEEDORES[[#This Row],[IVA 19%]]-PROVEEDORES[[#This Row],[descuento sobre subtotal]]-PROVEEDORES[[#This Row],[Descuento sobre subtotal $2]]-PROVEEDORES[[#This Row],[Rete Fuente $]]</f>
        <v>263948</v>
      </c>
      <c r="S45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68">
        <f ca="1">IF(PROVEEDORES[[#This Row],[FECHA DE PAGO]]=0,TODAY()-PROVEEDORES[[#This Row],[FECHA DE FACTURACIÓN]]-PROVEEDORES[[#This Row],[PLAZO Días]],0)</f>
        <v>0</v>
      </c>
      <c r="U459" s="113">
        <f>+VLOOKUP(PROVEEDORES[[#This Row],[PROVEEDOR]],Terceros!$A:$D,4,FALSE)</f>
        <v>0</v>
      </c>
      <c r="V459" s="114">
        <f>+YEAR(PROVEEDORES[[#This Row],[FECHA DE FACTURACIÓN]])</f>
        <v>2022</v>
      </c>
      <c r="W459" s="114">
        <f>+MATCH(PROVEEDORES[[#This Row],[año facturado]],Retenciones!$1:$1,0)</f>
        <v>5</v>
      </c>
      <c r="X459" s="115">
        <f>+VLOOKUP(PROVEEDORES[[#This Row],[ID RETENCION]],Retenciones!$A$1:$O$25,PROVEEDORES[[#This Row],[indicador de columna]],FALSE)</f>
        <v>0</v>
      </c>
      <c r="Y459" s="116">
        <f>+VLOOKUP(PROVEEDORES[[#This Row],[ID RETENCION]],Retenciones!$A$1:$O$25,2,FALSE)</f>
        <v>0</v>
      </c>
      <c r="Z459" s="125" t="b">
        <f>OR(COUNTIF(PROVEEDORES[[#This Row],[PROVEEDOR]],"*"&amp;'Palabra no opera'!$A$2&amp;"*"))</f>
        <v>1</v>
      </c>
      <c r="AA459" s="24"/>
      <c r="AB459" s="24"/>
      <c r="AC459" s="24"/>
      <c r="AD459" s="24"/>
      <c r="AE459" s="24"/>
    </row>
    <row r="460" spans="1:31" ht="22.2" customHeight="1" x14ac:dyDescent="0.3">
      <c r="A460" s="66" t="str">
        <f>+IF(PROVEEDORES[[#This Row],[FECHA DE PAGO]]=PROVEEDORES[[#This Row],[FECHA DE FACTURACIÓN]],"DE CONTADO","CRÉDITO")</f>
        <v>CRÉDITO</v>
      </c>
      <c r="B460" s="38" t="b">
        <f>+IF((PROVEEDORES[[#This Row],[FECHA DE PAGO]]-PROVEEDORES[[#This Row],[FECHA DE FACTURACIÓN]])&gt;PROVEEDORES[[#This Row],[PLAZO Días]],"PAGO VENCIDO")</f>
        <v>0</v>
      </c>
      <c r="C460" s="20">
        <f>+VLOOKUP(PROVEEDORES[[#This Row],[PROVEEDOR]],TERCEROS_INFO[#All],2,FALSE)</f>
        <v>30</v>
      </c>
      <c r="D460" s="25">
        <f>+SUMIFS(PROVEEDORES[Total],PROVEEDORES[PROVEEDOR],PROVEEDORES[[#This Row],[PROVEEDOR]],PROVEEDORES[FECHA DE PAGO],"")</f>
        <v>0</v>
      </c>
      <c r="E460" s="25"/>
      <c r="F46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60" s="161">
        <v>44292</v>
      </c>
      <c r="H460" s="26" t="s">
        <v>1450</v>
      </c>
      <c r="I460" s="161">
        <v>44290</v>
      </c>
      <c r="J460" s="35">
        <v>271</v>
      </c>
      <c r="K460" s="21">
        <v>264000</v>
      </c>
      <c r="L460" s="21"/>
      <c r="M460" s="22">
        <f>(PROVEEDORES[[#This Row],[SUBTOTAL]]-PROVEEDORES[[#This Row],[descuento sobre subtotal]])*VLOOKUP(PROVEEDORES[[#This Row],[PROVEEDOR]],TERCEROS_INFO[#All],3,FALSE)</f>
        <v>0</v>
      </c>
      <c r="N460" s="23"/>
      <c r="O460" s="22">
        <f>+PROVEEDORES[[#This Row],[Descuento sobre subtotal %]]*(PROVEEDORES[[#This Row],[SUBTOTAL]]-PROVEEDORES[[#This Row],[descuento sobre subtotal]])</f>
        <v>0</v>
      </c>
      <c r="P460" s="83">
        <f>+IF(PROVEEDORES[[#This Row],[SUBTOTAL]]&lt;PROVEEDORES[[#This Row],[base retencion]],0,PROVEEDORES[[#This Row],[retención aplicada]])</f>
        <v>0</v>
      </c>
      <c r="Q460" s="22">
        <f>+PROVEEDORES[[#This Row],[Rete Fuente %]]*(PROVEEDORES[[#This Row],[SUBTOTAL]]-PROVEEDORES[[#This Row],[descuento sobre subtotal]])</f>
        <v>0</v>
      </c>
      <c r="R460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4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68">
        <f ca="1">IF(PROVEEDORES[[#This Row],[FECHA DE PAGO]]=0,TODAY()-PROVEEDORES[[#This Row],[FECHA DE FACTURACIÓN]]-PROVEEDORES[[#This Row],[PLAZO Días]],0)</f>
        <v>0</v>
      </c>
      <c r="U460" s="96">
        <f>+VLOOKUP(PROVEEDORES[[#This Row],[PROVEEDOR]],Terceros!$A:$D,4,FALSE)</f>
        <v>0</v>
      </c>
      <c r="V460" s="97">
        <f>+YEAR(PROVEEDORES[[#This Row],[FECHA DE FACTURACIÓN]])</f>
        <v>2021</v>
      </c>
      <c r="W460" s="97">
        <f>+MATCH(PROVEEDORES[[#This Row],[año facturado]],Retenciones!$1:$1,0)</f>
        <v>4</v>
      </c>
      <c r="X460" s="98">
        <f>+VLOOKUP(PROVEEDORES[[#This Row],[ID RETENCION]],Retenciones!$A$1:$O$25,PROVEEDORES[[#This Row],[indicador de columna]],FALSE)</f>
        <v>0</v>
      </c>
      <c r="Y460" s="99">
        <f>+VLOOKUP(PROVEEDORES[[#This Row],[ID RETENCION]],Retenciones!$A$1:$O$25,2,FALSE)</f>
        <v>0</v>
      </c>
      <c r="Z460" s="125" t="b">
        <f>OR(COUNTIF(PROVEEDORES[[#This Row],[PROVEEDOR]],"*"&amp;'Palabra no opera'!$A$2&amp;"*"))</f>
        <v>0</v>
      </c>
      <c r="AA460" s="24"/>
      <c r="AB460" s="24"/>
      <c r="AC460" s="24"/>
      <c r="AD460" s="24"/>
      <c r="AE460" s="24"/>
    </row>
    <row r="461" spans="1:31" ht="22.2" customHeight="1" x14ac:dyDescent="0.3">
      <c r="A461" s="66" t="str">
        <f>+IF(PROVEEDORES[[#This Row],[FECHA DE PAGO]]=PROVEEDORES[[#This Row],[FECHA DE FACTURACIÓN]],"DE CONTADO","CRÉDITO")</f>
        <v>CRÉDITO</v>
      </c>
      <c r="B461" s="38" t="str">
        <f>+IF((PROVEEDORES[[#This Row],[FECHA DE PAGO]]-PROVEEDORES[[#This Row],[FECHA DE FACTURACIÓN]])&gt;PROVEEDORES[[#This Row],[PLAZO Días]],"PAGO VENCIDO")</f>
        <v>PAGO VENCIDO</v>
      </c>
      <c r="C461" s="20">
        <f>+VLOOKUP(PROVEEDORES[[#This Row],[PROVEEDOR]],TERCEROS_INFO[#All],2,FALSE)</f>
        <v>30</v>
      </c>
      <c r="D461" s="25">
        <f>+SUMIFS(PROVEEDORES[Total],PROVEEDORES[PROVEEDOR],PROVEEDORES[[#This Row],[PROVEEDOR]],PROVEEDORES[FECHA DE PAGO],"")</f>
        <v>0</v>
      </c>
      <c r="E461" s="25"/>
      <c r="F461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461" s="161">
        <v>44411</v>
      </c>
      <c r="H461" s="26" t="s">
        <v>633</v>
      </c>
      <c r="I461" s="161">
        <v>44380</v>
      </c>
      <c r="J461" s="35" t="s">
        <v>1469</v>
      </c>
      <c r="K461" s="21">
        <v>264000</v>
      </c>
      <c r="L461" s="21"/>
      <c r="M461" s="22">
        <f>(PROVEEDORES[[#This Row],[SUBTOTAL]]-PROVEEDORES[[#This Row],[descuento sobre subtotal]])*VLOOKUP(PROVEEDORES[[#This Row],[PROVEEDOR]],TERCEROS_INFO[#All],3,FALSE)</f>
        <v>0</v>
      </c>
      <c r="N461" s="23"/>
      <c r="O461" s="22">
        <f>+PROVEEDORES[[#This Row],[Descuento sobre subtotal %]]*(PROVEEDORES[[#This Row],[SUBTOTAL]]-PROVEEDORES[[#This Row],[descuento sobre subtotal]])</f>
        <v>0</v>
      </c>
      <c r="P461" s="83">
        <f>+IF(PROVEEDORES[[#This Row],[SUBTOTAL]]&lt;PROVEEDORES[[#This Row],[base retencion]],0,PROVEEDORES[[#This Row],[retención aplicada]])</f>
        <v>0</v>
      </c>
      <c r="Q461" s="22">
        <f>+PROVEEDORES[[#This Row],[Rete Fuente %]]*(PROVEEDORES[[#This Row],[SUBTOTAL]]-PROVEEDORES[[#This Row],[descuento sobre subtotal]])</f>
        <v>0</v>
      </c>
      <c r="R461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4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68">
        <f ca="1">IF(PROVEEDORES[[#This Row],[FECHA DE PAGO]]=0,TODAY()-PROVEEDORES[[#This Row],[FECHA DE FACTURACIÓN]]-PROVEEDORES[[#This Row],[PLAZO Días]],0)</f>
        <v>0</v>
      </c>
      <c r="U461" s="96">
        <f>+VLOOKUP(PROVEEDORES[[#This Row],[PROVEEDOR]],Terceros!$A:$D,4,FALSE)</f>
        <v>0</v>
      </c>
      <c r="V461" s="97">
        <f>+YEAR(PROVEEDORES[[#This Row],[FECHA DE FACTURACIÓN]])</f>
        <v>2021</v>
      </c>
      <c r="W461" s="97">
        <f>+MATCH(PROVEEDORES[[#This Row],[año facturado]],Retenciones!$1:$1,0)</f>
        <v>4</v>
      </c>
      <c r="X461" s="98">
        <f>+VLOOKUP(PROVEEDORES[[#This Row],[ID RETENCION]],Retenciones!$A$1:$O$25,PROVEEDORES[[#This Row],[indicador de columna]],FALSE)</f>
        <v>0</v>
      </c>
      <c r="Y461" s="99">
        <f>+VLOOKUP(PROVEEDORES[[#This Row],[ID RETENCION]],Retenciones!$A$1:$O$25,2,FALSE)</f>
        <v>0</v>
      </c>
      <c r="Z461" s="125" t="b">
        <f>OR(COUNTIF(PROVEEDORES[[#This Row],[PROVEEDOR]],"*"&amp;'Palabra no opera'!$A$2&amp;"*"))</f>
        <v>0</v>
      </c>
      <c r="AA461" s="24"/>
      <c r="AB461" s="24"/>
      <c r="AC461" s="24"/>
      <c r="AD461" s="24"/>
      <c r="AE461" s="24"/>
    </row>
    <row r="462" spans="1:31" ht="22.2" customHeight="1" x14ac:dyDescent="0.3">
      <c r="A462" s="66" t="str">
        <f>+IF(PROVEEDORES[[#This Row],[FECHA DE PAGO]]=PROVEEDORES[[#This Row],[FECHA DE FACTURACIÓN]],"DE CONTADO","CRÉDITO")</f>
        <v>CRÉDITO</v>
      </c>
      <c r="B462" s="38" t="str">
        <f>+IF((PROVEEDORES[[#This Row],[FECHA DE PAGO]]-PROVEEDORES[[#This Row],[FECHA DE FACTURACIÓN]])&gt;PROVEEDORES[[#This Row],[PLAZO Días]],"PAGO VENCIDO")</f>
        <v>PAGO VENCIDO</v>
      </c>
      <c r="C462" s="20">
        <f>+VLOOKUP(PROVEEDORES[[#This Row],[PROVEEDOR]],TERCEROS_INFO[#All],2,FALSE)</f>
        <v>30</v>
      </c>
      <c r="D462" s="25">
        <f>+SUMIFS(PROVEEDORES[Total],PROVEEDORES[PROVEEDOR],PROVEEDORES[[#This Row],[PROVEEDOR]],PROVEEDORES[FECHA DE PAGO],"")</f>
        <v>0</v>
      </c>
      <c r="E462" s="25"/>
      <c r="F462" s="58" t="str">
        <f>+VLOOKUP(PROVEEDORES[[#This Row],[PROVEEDOR]],
                       Terceros!$A:$F,
                       5,
                       FALSE)</f>
        <v/>
      </c>
      <c r="G462" s="161">
        <v>44557</v>
      </c>
      <c r="H462" s="26" t="s">
        <v>624</v>
      </c>
      <c r="I462" s="161">
        <v>44497</v>
      </c>
      <c r="J462" s="35" t="s">
        <v>1512</v>
      </c>
      <c r="K462" s="21">
        <v>264000</v>
      </c>
      <c r="L462" s="21"/>
      <c r="M462" s="22">
        <f>(PROVEEDORES[[#This Row],[SUBTOTAL]]-PROVEEDORES[[#This Row],[descuento sobre subtotal]])*VLOOKUP(PROVEEDORES[[#This Row],[PROVEEDOR]],TERCEROS_INFO[#All],3,FALSE)</f>
        <v>0</v>
      </c>
      <c r="N462" s="23"/>
      <c r="O462" s="22">
        <f>+PROVEEDORES[[#This Row],[Descuento sobre subtotal %]]*(PROVEEDORES[[#This Row],[SUBTOTAL]]-PROVEEDORES[[#This Row],[descuento sobre subtotal]])</f>
        <v>0</v>
      </c>
      <c r="P462" s="83">
        <f>+IF(PROVEEDORES[[#This Row],[SUBTOTAL]]&lt;PROVEEDORES[[#This Row],[base retencion]],0,PROVEEDORES[[#This Row],[retención aplicada]])</f>
        <v>0</v>
      </c>
      <c r="Q462" s="22">
        <f>+PROVEEDORES[[#This Row],[Rete Fuente %]]*(PROVEEDORES[[#This Row],[SUBTOTAL]]-PROVEEDORES[[#This Row],[descuento sobre subtotal]])</f>
        <v>0</v>
      </c>
      <c r="R462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4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68">
        <f ca="1">IF(PROVEEDORES[[#This Row],[FECHA DE PAGO]]=0,TODAY()-PROVEEDORES[[#This Row],[FECHA DE FACTURACIÓN]]-PROVEEDORES[[#This Row],[PLAZO Días]],0)</f>
        <v>0</v>
      </c>
      <c r="U462" s="96">
        <f>+VLOOKUP(PROVEEDORES[[#This Row],[PROVEEDOR]],Terceros!$A:$D,4,FALSE)</f>
        <v>0</v>
      </c>
      <c r="V462" s="97">
        <f>+YEAR(PROVEEDORES[[#This Row],[FECHA DE FACTURACIÓN]])</f>
        <v>2021</v>
      </c>
      <c r="W462" s="97">
        <f>+MATCH(PROVEEDORES[[#This Row],[año facturado]],Retenciones!$1:$1,0)</f>
        <v>4</v>
      </c>
      <c r="X462" s="98">
        <f>+VLOOKUP(PROVEEDORES[[#This Row],[ID RETENCION]],Retenciones!$A$1:$O$25,PROVEEDORES[[#This Row],[indicador de columna]],FALSE)</f>
        <v>0</v>
      </c>
      <c r="Y462" s="99">
        <f>+VLOOKUP(PROVEEDORES[[#This Row],[ID RETENCION]],Retenciones!$A$1:$O$25,2,FALSE)</f>
        <v>0</v>
      </c>
      <c r="Z462" s="125" t="b">
        <f>OR(COUNTIF(PROVEEDORES[[#This Row],[PROVEEDOR]],"*"&amp;'Palabra no opera'!$A$2&amp;"*"))</f>
        <v>0</v>
      </c>
      <c r="AA462" s="24"/>
      <c r="AB462" s="24"/>
      <c r="AC462" s="24"/>
      <c r="AD462" s="24"/>
      <c r="AE462" s="24"/>
    </row>
    <row r="463" spans="1:31" ht="22.2" customHeight="1" x14ac:dyDescent="0.3">
      <c r="A463" s="66" t="str">
        <f>+IF(PROVEEDORES[[#This Row],[FECHA DE PAGO]]=PROVEEDORES[[#This Row],[FECHA DE FACTURACIÓN]],"DE CONTADO","CRÉDITO")</f>
        <v>CRÉDITO</v>
      </c>
      <c r="B463" s="38" t="str">
        <f>+IF((PROVEEDORES[[#This Row],[FECHA DE PAGO]]-PROVEEDORES[[#This Row],[FECHA DE FACTURACIÓN]])&gt;PROVEEDORES[[#This Row],[PLAZO Días]],"PAGO VENCIDO")</f>
        <v>PAGO VENCIDO</v>
      </c>
      <c r="C463" s="20">
        <f>+VLOOKUP(PROVEEDORES[[#This Row],[PROVEEDOR]],TERCEROS_INFO[#All],2,FALSE)</f>
        <v>30</v>
      </c>
      <c r="D463" s="25">
        <f>+SUMIFS(PROVEEDORES[Total],PROVEEDORES[PROVEEDOR],PROVEEDORES[[#This Row],[PROVEEDOR]],PROVEEDORES[FECHA DE PAGO],"")</f>
        <v>0</v>
      </c>
      <c r="E463" s="25"/>
      <c r="F463" s="58">
        <f>+VLOOKUP(PROVEEDORES[[#This Row],[PROVEEDOR]],
                       Terceros!$A:$F,
                       5,
                       FALSE)</f>
        <v>0</v>
      </c>
      <c r="G463" s="161">
        <v>44691</v>
      </c>
      <c r="H463" s="26" t="s">
        <v>923</v>
      </c>
      <c r="I463" s="161">
        <v>44655</v>
      </c>
      <c r="J463" s="35" t="s">
        <v>1204</v>
      </c>
      <c r="K463" s="21">
        <v>264114</v>
      </c>
      <c r="L463" s="21"/>
      <c r="M463" s="22">
        <f>(PROVEEDORES[[#This Row],[SUBTOTAL]]-PROVEEDORES[[#This Row],[descuento sobre subtotal]])*VLOOKUP(PROVEEDORES[[#This Row],[PROVEEDOR]],TERCEROS_INFO[#All],3,FALSE)</f>
        <v>0</v>
      </c>
      <c r="N463" s="23"/>
      <c r="O463" s="22">
        <f>+PROVEEDORES[[#This Row],[Descuento sobre subtotal %]]*(PROVEEDORES[[#This Row],[SUBTOTAL]]-PROVEEDORES[[#This Row],[descuento sobre subtotal]])</f>
        <v>0</v>
      </c>
      <c r="P463" s="83">
        <f>+IF(PROVEEDORES[[#This Row],[SUBTOTAL]]&lt;PROVEEDORES[[#This Row],[base retencion]],0,PROVEEDORES[[#This Row],[retención aplicada]])</f>
        <v>0</v>
      </c>
      <c r="Q463" s="22">
        <f>+PROVEEDORES[[#This Row],[Rete Fuente %]]*(PROVEEDORES[[#This Row],[SUBTOTAL]]-PROVEEDORES[[#This Row],[descuento sobre subtotal]])</f>
        <v>0</v>
      </c>
      <c r="R463" s="21">
        <f>+PROVEEDORES[[#This Row],[SUBTOTAL]]+PROVEEDORES[[#This Row],[IVA 19%]]-PROVEEDORES[[#This Row],[descuento sobre subtotal]]-PROVEEDORES[[#This Row],[Descuento sobre subtotal $2]]-PROVEEDORES[[#This Row],[Rete Fuente $]]</f>
        <v>264114</v>
      </c>
      <c r="S4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68">
        <f ca="1">IF(PROVEEDORES[[#This Row],[FECHA DE PAGO]]=0,TODAY()-PROVEEDORES[[#This Row],[FECHA DE FACTURACIÓN]]-PROVEEDORES[[#This Row],[PLAZO Días]],0)</f>
        <v>0</v>
      </c>
      <c r="U463" s="96">
        <f>+VLOOKUP(PROVEEDORES[[#This Row],[PROVEEDOR]],Terceros!$A:$D,4,FALSE)</f>
        <v>0</v>
      </c>
      <c r="V463" s="97">
        <f>+YEAR(PROVEEDORES[[#This Row],[FECHA DE FACTURACIÓN]])</f>
        <v>2022</v>
      </c>
      <c r="W463" s="97">
        <f>+MATCH(PROVEEDORES[[#This Row],[año facturado]],Retenciones!$1:$1,0)</f>
        <v>5</v>
      </c>
      <c r="X463" s="98">
        <f>+VLOOKUP(PROVEEDORES[[#This Row],[ID RETENCION]],Retenciones!$A$1:$O$25,PROVEEDORES[[#This Row],[indicador de columna]],FALSE)</f>
        <v>0</v>
      </c>
      <c r="Y463" s="99">
        <f>+VLOOKUP(PROVEEDORES[[#This Row],[ID RETENCION]],Retenciones!$A$1:$O$25,2,FALSE)</f>
        <v>0</v>
      </c>
      <c r="Z463" s="125" t="b">
        <f>OR(COUNTIF(PROVEEDORES[[#This Row],[PROVEEDOR]],"*"&amp;'Palabra no opera'!$A$2&amp;"*"))</f>
        <v>1</v>
      </c>
      <c r="AA463" s="24"/>
      <c r="AB463" s="24"/>
      <c r="AC463" s="24"/>
      <c r="AD463" s="24"/>
      <c r="AE463" s="24"/>
    </row>
    <row r="464" spans="1:31" ht="22.2" customHeight="1" x14ac:dyDescent="0.3">
      <c r="A464" s="66" t="str">
        <f>+IF(PROVEEDORES[[#This Row],[FECHA DE PAGO]]=PROVEEDORES[[#This Row],[FECHA DE FACTURACIÓN]],"DE CONTADO","CRÉDITO")</f>
        <v>CRÉDITO</v>
      </c>
      <c r="B464" s="38" t="b">
        <f>+IF((PROVEEDORES[[#This Row],[FECHA DE PAGO]]-PROVEEDORES[[#This Row],[FECHA DE FACTURACIÓN]])&gt;PROVEEDORES[[#This Row],[PLAZO Días]],"PAGO VENCIDO")</f>
        <v>0</v>
      </c>
      <c r="C464" s="20">
        <f>+VLOOKUP(PROVEEDORES[[#This Row],[PROVEEDOR]],TERCEROS_INFO[#All],2,FALSE)</f>
        <v>30</v>
      </c>
      <c r="D464" s="25">
        <f>+SUMIFS(PROVEEDORES[Total],PROVEEDORES[PROVEEDOR],PROVEEDORES[[#This Row],[PROVEEDOR]],PROVEEDORES[FECHA DE PAGO],"")</f>
        <v>4024829</v>
      </c>
      <c r="E464" s="25"/>
      <c r="F46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64" s="161">
        <v>44685</v>
      </c>
      <c r="H464" s="26" t="s">
        <v>345</v>
      </c>
      <c r="I464" s="161">
        <v>44665</v>
      </c>
      <c r="J464" s="35" t="s">
        <v>859</v>
      </c>
      <c r="K464" s="21">
        <v>264406</v>
      </c>
      <c r="L464" s="21"/>
      <c r="M464" s="22">
        <f>(PROVEEDORES[[#This Row],[SUBTOTAL]]-PROVEEDORES[[#This Row],[descuento sobre subtotal]])*VLOOKUP(PROVEEDORES[[#This Row],[PROVEEDOR]],TERCEROS_INFO[#All],3,FALSE)</f>
        <v>0</v>
      </c>
      <c r="N464" s="23"/>
      <c r="O464" s="22">
        <f>+PROVEEDORES[[#This Row],[Descuento sobre subtotal %]]*(PROVEEDORES[[#This Row],[SUBTOTAL]]-PROVEEDORES[[#This Row],[descuento sobre subtotal]])</f>
        <v>0</v>
      </c>
      <c r="P464" s="83">
        <f>+IF(PROVEEDORES[[#This Row],[SUBTOTAL]]&lt;PROVEEDORES[[#This Row],[base retencion]],0,PROVEEDORES[[#This Row],[retención aplicada]])</f>
        <v>0</v>
      </c>
      <c r="Q464" s="22">
        <f>+PROVEEDORES[[#This Row],[Rete Fuente %]]*(PROVEEDORES[[#This Row],[SUBTOTAL]]-PROVEEDORES[[#This Row],[descuento sobre subtotal]])</f>
        <v>0</v>
      </c>
      <c r="R464" s="21">
        <f>+PROVEEDORES[[#This Row],[SUBTOTAL]]+PROVEEDORES[[#This Row],[IVA 19%]]-PROVEEDORES[[#This Row],[descuento sobre subtotal]]-PROVEEDORES[[#This Row],[Descuento sobre subtotal $2]]-PROVEEDORES[[#This Row],[Rete Fuente $]]</f>
        <v>264406</v>
      </c>
      <c r="S4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68">
        <f ca="1">IF(PROVEEDORES[[#This Row],[FECHA DE PAGO]]=0,TODAY()-PROVEEDORES[[#This Row],[FECHA DE FACTURACIÓN]]-PROVEEDORES[[#This Row],[PLAZO Días]],0)</f>
        <v>0</v>
      </c>
      <c r="U464" s="96">
        <f>+VLOOKUP(PROVEEDORES[[#This Row],[PROVEEDOR]],Terceros!$A:$D,4,FALSE)</f>
        <v>0</v>
      </c>
      <c r="V464" s="97">
        <f>+YEAR(PROVEEDORES[[#This Row],[FECHA DE FACTURACIÓN]])</f>
        <v>2022</v>
      </c>
      <c r="W464" s="97">
        <f>+MATCH(PROVEEDORES[[#This Row],[año facturado]],Retenciones!$1:$1,0)</f>
        <v>5</v>
      </c>
      <c r="X464" s="98">
        <f>+VLOOKUP(PROVEEDORES[[#This Row],[ID RETENCION]],Retenciones!$A$1:$O$25,PROVEEDORES[[#This Row],[indicador de columna]],FALSE)</f>
        <v>0</v>
      </c>
      <c r="Y464" s="99">
        <f>+VLOOKUP(PROVEEDORES[[#This Row],[ID RETENCION]],Retenciones!$A$1:$O$25,2,FALSE)</f>
        <v>0</v>
      </c>
      <c r="Z464" s="125" t="b">
        <f>OR(COUNTIF(PROVEEDORES[[#This Row],[PROVEEDOR]],"*"&amp;'Palabra no opera'!$A$2&amp;"*"))</f>
        <v>0</v>
      </c>
      <c r="AA464" s="24"/>
      <c r="AB464" s="24"/>
      <c r="AC464" s="24"/>
      <c r="AD464" s="24"/>
      <c r="AE464" s="24"/>
    </row>
    <row r="465" spans="1:31" ht="22.2" customHeight="1" x14ac:dyDescent="0.3">
      <c r="A465" s="66" t="str">
        <f>+IF(PROVEEDORES[[#This Row],[FECHA DE PAGO]]=PROVEEDORES[[#This Row],[FECHA DE FACTURACIÓN]],"DE CONTADO","CRÉDITO")</f>
        <v>CRÉDITO</v>
      </c>
      <c r="B465" s="38" t="b">
        <f>+IF((PROVEEDORES[[#This Row],[FECHA DE PAGO]]-PROVEEDORES[[#This Row],[FECHA DE FACTURACIÓN]])&gt;PROVEEDORES[[#This Row],[PLAZO Días]],"PAGO VENCIDO")</f>
        <v>0</v>
      </c>
      <c r="C465" s="20">
        <f>+VLOOKUP(PROVEEDORES[[#This Row],[PROVEEDOR]],TERCEROS_INFO[#All],2,FALSE)</f>
        <v>30</v>
      </c>
      <c r="D465" s="25">
        <f>+SUMIFS(PROVEEDORES[Total],PROVEEDORES[PROVEEDOR],PROVEEDORES[[#This Row],[PROVEEDOR]],PROVEEDORES[FECHA DE PAGO],"")</f>
        <v>0</v>
      </c>
      <c r="E465" s="25"/>
      <c r="F465" s="58" t="str">
        <f>+VLOOKUP(PROVEEDORES[[#This Row],[PROVEEDOR]],
                       Terceros!$A:$F,
                       5,
                       FALSE)</f>
        <v/>
      </c>
      <c r="G465" s="161">
        <v>44201</v>
      </c>
      <c r="H465" s="26" t="s">
        <v>636</v>
      </c>
      <c r="I465" s="161">
        <v>44189</v>
      </c>
      <c r="J465" s="35"/>
      <c r="K465" s="21">
        <v>265000</v>
      </c>
      <c r="L465" s="21"/>
      <c r="M465" s="22">
        <f>(PROVEEDORES[[#This Row],[SUBTOTAL]]-PROVEEDORES[[#This Row],[descuento sobre subtotal]])*VLOOKUP(PROVEEDORES[[#This Row],[PROVEEDOR]],TERCEROS_INFO[#All],3,FALSE)</f>
        <v>0</v>
      </c>
      <c r="N465" s="23"/>
      <c r="O465" s="22">
        <f>+PROVEEDORES[[#This Row],[Descuento sobre subtotal %]]*(PROVEEDORES[[#This Row],[SUBTOTAL]]-PROVEEDORES[[#This Row],[descuento sobre subtotal]])</f>
        <v>0</v>
      </c>
      <c r="P465" s="83">
        <f>+IF(PROVEEDORES[[#This Row],[SUBTOTAL]]&lt;PROVEEDORES[[#This Row],[base retencion]],0,PROVEEDORES[[#This Row],[retención aplicada]])</f>
        <v>0</v>
      </c>
      <c r="Q465" s="22">
        <f>+PROVEEDORES[[#This Row],[Rete Fuente %]]*(PROVEEDORES[[#This Row],[SUBTOTAL]]-PROVEEDORES[[#This Row],[descuento sobre subtotal]])</f>
        <v>0</v>
      </c>
      <c r="R465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4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68">
        <f ca="1">IF(PROVEEDORES[[#This Row],[FECHA DE PAGO]]=0,TODAY()-PROVEEDORES[[#This Row],[FECHA DE FACTURACIÓN]]-PROVEEDORES[[#This Row],[PLAZO Días]],0)</f>
        <v>0</v>
      </c>
      <c r="U465" s="96">
        <f>+VLOOKUP(PROVEEDORES[[#This Row],[PROVEEDOR]],Terceros!$A:$D,4,FALSE)</f>
        <v>0</v>
      </c>
      <c r="V465" s="97">
        <f>+YEAR(PROVEEDORES[[#This Row],[FECHA DE FACTURACIÓN]])</f>
        <v>2020</v>
      </c>
      <c r="W465" s="97">
        <f>+MATCH(PROVEEDORES[[#This Row],[año facturado]],Retenciones!$1:$1,0)</f>
        <v>3</v>
      </c>
      <c r="X465" s="98">
        <f>+VLOOKUP(PROVEEDORES[[#This Row],[ID RETENCION]],Retenciones!$A$1:$O$25,PROVEEDORES[[#This Row],[indicador de columna]],FALSE)</f>
        <v>0</v>
      </c>
      <c r="Y465" s="99">
        <f>+VLOOKUP(PROVEEDORES[[#This Row],[ID RETENCION]],Retenciones!$A$1:$O$25,2,FALSE)</f>
        <v>0</v>
      </c>
      <c r="Z465" s="125" t="b">
        <f>OR(COUNTIF(PROVEEDORES[[#This Row],[PROVEEDOR]],"*"&amp;'Palabra no opera'!$A$2&amp;"*"))</f>
        <v>0</v>
      </c>
      <c r="AA465" s="24"/>
      <c r="AB465" s="24"/>
      <c r="AC465" s="24"/>
      <c r="AD465" s="24"/>
      <c r="AE465" s="24"/>
    </row>
    <row r="466" spans="1:31" ht="22.2" customHeight="1" x14ac:dyDescent="0.3">
      <c r="A466" s="159" t="str">
        <f>+IF(PROVEEDORES[[#This Row],[FECHA DE PAGO]]=PROVEEDORES[[#This Row],[FECHA DE FACTURACIÓN]],"DE CONTADO","CRÉDITO")</f>
        <v>CRÉDITO</v>
      </c>
      <c r="B466" s="38" t="str">
        <f>+IF((PROVEEDORES[[#This Row],[FECHA DE PAGO]]-PROVEEDORES[[#This Row],[FECHA DE FACTURACIÓN]])&gt;PROVEEDORES[[#This Row],[PLAZO Días]],"PAGO VENCIDO")</f>
        <v>PAGO VENCIDO</v>
      </c>
      <c r="C466" s="20">
        <f>+VLOOKUP(PROVEEDORES[[#This Row],[PROVEEDOR]],TERCEROS_INFO[#All],2,FALSE)</f>
        <v>30</v>
      </c>
      <c r="D466" s="25">
        <f>+SUMIFS(PROVEEDORES[Total],PROVEEDORES[PROVEEDOR],PROVEEDORES[[#This Row],[PROVEEDOR]],PROVEEDORES[FECHA DE PAGO],"")</f>
        <v>0</v>
      </c>
      <c r="E466" s="25"/>
      <c r="F466" s="58" t="str">
        <f>+VLOOKUP(PROVEEDORES[[#This Row],[PROVEEDOR]],
                       Terceros!$A:$F,
                       5,
                       FALSE)</f>
        <v/>
      </c>
      <c r="G466" s="161">
        <v>44775</v>
      </c>
      <c r="H466" s="26" t="s">
        <v>624</v>
      </c>
      <c r="I466" s="161">
        <v>44740</v>
      </c>
      <c r="J466" s="35" t="s">
        <v>1610</v>
      </c>
      <c r="K466" s="21">
        <v>265000</v>
      </c>
      <c r="L466" s="21"/>
      <c r="M466" s="22">
        <f>(PROVEEDORES[[#This Row],[SUBTOTAL]]-PROVEEDORES[[#This Row],[descuento sobre subtotal]])*VLOOKUP(PROVEEDORES[[#This Row],[PROVEEDOR]],TERCEROS_INFO[#All],3,FALSE)</f>
        <v>0</v>
      </c>
      <c r="N466" s="23"/>
      <c r="O466" s="22">
        <f>+PROVEEDORES[[#This Row],[Descuento sobre subtotal %]]*(PROVEEDORES[[#This Row],[SUBTOTAL]]-PROVEEDORES[[#This Row],[descuento sobre subtotal]])</f>
        <v>0</v>
      </c>
      <c r="P466" s="83">
        <f>+IF(PROVEEDORES[[#This Row],[SUBTOTAL]]&lt;PROVEEDORES[[#This Row],[base retencion]],0,PROVEEDORES[[#This Row],[retención aplicada]])</f>
        <v>0</v>
      </c>
      <c r="Q466" s="22">
        <f>+PROVEEDORES[[#This Row],[Rete Fuente %]]*(PROVEEDORES[[#This Row],[SUBTOTAL]]-PROVEEDORES[[#This Row],[descuento sobre subtotal]])</f>
        <v>0</v>
      </c>
      <c r="R466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46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68">
        <f ca="1">IF(PROVEEDORES[[#This Row],[FECHA DE PAGO]]=0,TODAY()-PROVEEDORES[[#This Row],[FECHA DE FACTURACIÓN]]-PROVEEDORES[[#This Row],[PLAZO Días]],0)</f>
        <v>0</v>
      </c>
      <c r="U466" s="113">
        <f>+VLOOKUP(PROVEEDORES[[#This Row],[PROVEEDOR]],Terceros!$A:$D,4,FALSE)</f>
        <v>0</v>
      </c>
      <c r="V466" s="114">
        <f>+YEAR(PROVEEDORES[[#This Row],[FECHA DE FACTURACIÓN]])</f>
        <v>2022</v>
      </c>
      <c r="W466" s="114">
        <f>+MATCH(PROVEEDORES[[#This Row],[año facturado]],Retenciones!$1:$1,0)</f>
        <v>5</v>
      </c>
      <c r="X466" s="115">
        <f>+VLOOKUP(PROVEEDORES[[#This Row],[ID RETENCION]],Retenciones!$A$1:$O$25,PROVEEDORES[[#This Row],[indicador de columna]],FALSE)</f>
        <v>0</v>
      </c>
      <c r="Y466" s="116">
        <f>+VLOOKUP(PROVEEDORES[[#This Row],[ID RETENCION]],Retenciones!$A$1:$O$25,2,FALSE)</f>
        <v>0</v>
      </c>
      <c r="Z466" s="125" t="b">
        <f>OR(COUNTIF(PROVEEDORES[[#This Row],[PROVEEDOR]],"*"&amp;'Palabra no opera'!$A$2&amp;"*"))</f>
        <v>0</v>
      </c>
      <c r="AA466" s="24"/>
      <c r="AB466" s="24"/>
      <c r="AC466" s="24"/>
      <c r="AD466" s="24"/>
      <c r="AE466" s="24"/>
    </row>
    <row r="467" spans="1:31" ht="22.2" customHeight="1" x14ac:dyDescent="0.3">
      <c r="A467" s="66" t="str">
        <f>+IF(PROVEEDORES[[#This Row],[FECHA DE PAGO]]=PROVEEDORES[[#This Row],[FECHA DE FACTURACIÓN]],"DE CONTADO","CRÉDITO")</f>
        <v>CRÉDITO</v>
      </c>
      <c r="B467" s="38" t="b">
        <f>+IF((PROVEEDORES[[#This Row],[FECHA DE PAGO]]-PROVEEDORES[[#This Row],[FECHA DE FACTURACIÓN]])&gt;PROVEEDORES[[#This Row],[PLAZO Días]],"PAGO VENCIDO")</f>
        <v>0</v>
      </c>
      <c r="C467" s="20">
        <f>+VLOOKUP(PROVEEDORES[[#This Row],[PROVEEDOR]],TERCEROS_INFO[#All],2,FALSE)</f>
        <v>30</v>
      </c>
      <c r="D467" s="25">
        <f>+SUMIFS(PROVEEDORES[Total],PROVEEDORES[PROVEEDOR],PROVEEDORES[[#This Row],[PROVEEDOR]],PROVEEDORES[FECHA DE PAGO],"")</f>
        <v>0</v>
      </c>
      <c r="E467" s="25"/>
      <c r="F467" s="58">
        <f>+VLOOKUP(PROVEEDORES[[#This Row],[PROVEEDOR]],
                       Terceros!$A:$F,
                       5,
                       FALSE)</f>
        <v>0</v>
      </c>
      <c r="G467" s="161">
        <v>44516</v>
      </c>
      <c r="H467" s="26" t="s">
        <v>932</v>
      </c>
      <c r="I467" s="161">
        <v>44501</v>
      </c>
      <c r="J467" s="35" t="s">
        <v>580</v>
      </c>
      <c r="K467" s="21">
        <v>268209</v>
      </c>
      <c r="L467" s="21"/>
      <c r="M467" s="22">
        <f>(PROVEEDORES[[#This Row],[SUBTOTAL]]-PROVEEDORES[[#This Row],[descuento sobre subtotal]])*VLOOKUP(PROVEEDORES[[#This Row],[PROVEEDOR]],TERCEROS_INFO[#All],3,FALSE)</f>
        <v>0</v>
      </c>
      <c r="N467" s="23"/>
      <c r="O467" s="22">
        <f>+PROVEEDORES[[#This Row],[Descuento sobre subtotal %]]*(PROVEEDORES[[#This Row],[SUBTOTAL]]-PROVEEDORES[[#This Row],[descuento sobre subtotal]])</f>
        <v>0</v>
      </c>
      <c r="P467" s="83">
        <f>+IF(PROVEEDORES[[#This Row],[SUBTOTAL]]&lt;PROVEEDORES[[#This Row],[base retencion]],0,PROVEEDORES[[#This Row],[retención aplicada]])</f>
        <v>0</v>
      </c>
      <c r="Q467" s="22">
        <f>+PROVEEDORES[[#This Row],[Rete Fuente %]]*(PROVEEDORES[[#This Row],[SUBTOTAL]]-PROVEEDORES[[#This Row],[descuento sobre subtotal]])</f>
        <v>0</v>
      </c>
      <c r="R467" s="21">
        <f>+PROVEEDORES[[#This Row],[SUBTOTAL]]+PROVEEDORES[[#This Row],[IVA 19%]]-PROVEEDORES[[#This Row],[descuento sobre subtotal]]-PROVEEDORES[[#This Row],[Descuento sobre subtotal $2]]-PROVEEDORES[[#This Row],[Rete Fuente $]]</f>
        <v>268209</v>
      </c>
      <c r="S4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68">
        <f ca="1">IF(PROVEEDORES[[#This Row],[FECHA DE PAGO]]=0,TODAY()-PROVEEDORES[[#This Row],[FECHA DE FACTURACIÓN]]-PROVEEDORES[[#This Row],[PLAZO Días]],0)</f>
        <v>0</v>
      </c>
      <c r="U467" s="96">
        <f>+VLOOKUP(PROVEEDORES[[#This Row],[PROVEEDOR]],Terceros!$A:$D,4,FALSE)</f>
        <v>0</v>
      </c>
      <c r="V467" s="97">
        <f>+YEAR(PROVEEDORES[[#This Row],[FECHA DE FACTURACIÓN]])</f>
        <v>2021</v>
      </c>
      <c r="W467" s="97">
        <f>+MATCH(PROVEEDORES[[#This Row],[año facturado]],Retenciones!$1:$1,0)</f>
        <v>4</v>
      </c>
      <c r="X467" s="98">
        <f>+VLOOKUP(PROVEEDORES[[#This Row],[ID RETENCION]],Retenciones!$A$1:$O$25,PROVEEDORES[[#This Row],[indicador de columna]],FALSE)</f>
        <v>0</v>
      </c>
      <c r="Y467" s="99">
        <f>+VLOOKUP(PROVEEDORES[[#This Row],[ID RETENCION]],Retenciones!$A$1:$O$25,2,FALSE)</f>
        <v>0</v>
      </c>
      <c r="Z467" s="125" t="b">
        <f>OR(COUNTIF(PROVEEDORES[[#This Row],[PROVEEDOR]],"*"&amp;'Palabra no opera'!$A$2&amp;"*"))</f>
        <v>1</v>
      </c>
      <c r="AA467" s="24"/>
      <c r="AB467" s="24"/>
      <c r="AC467" s="24"/>
      <c r="AD467" s="24"/>
      <c r="AE467" s="24"/>
    </row>
    <row r="468" spans="1:31" ht="22.2" customHeight="1" x14ac:dyDescent="0.3">
      <c r="A468" s="144" t="str">
        <f>+IF(PROVEEDORES[[#This Row],[FECHA DE PAGO]]=PROVEEDORES[[#This Row],[FECHA DE FACTURACIÓN]],"DE CONTADO","CRÉDITO")</f>
        <v>CRÉDITO</v>
      </c>
      <c r="B468" s="38" t="str">
        <f>+IF((PROVEEDORES[[#This Row],[FECHA DE PAGO]]-PROVEEDORES[[#This Row],[FECHA DE FACTURACIÓN]])&gt;PROVEEDORES[[#This Row],[PLAZO Días]],"PAGO VENCIDO")</f>
        <v>PAGO VENCIDO</v>
      </c>
      <c r="C468" s="20">
        <f>+VLOOKUP(PROVEEDORES[[#This Row],[PROVEEDOR]],TERCEROS_INFO[#All],2,FALSE)</f>
        <v>30</v>
      </c>
      <c r="D468" s="25">
        <f>+SUMIFS(PROVEEDORES[Total],PROVEEDORES[PROVEEDOR],PROVEEDORES[[#This Row],[PROVEEDOR]],PROVEEDORES[FECHA DE PAGO],"")</f>
        <v>2121000</v>
      </c>
      <c r="E468" s="25"/>
      <c r="F46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468" s="161">
        <v>44743</v>
      </c>
      <c r="H468" s="26" t="s">
        <v>685</v>
      </c>
      <c r="I468" s="161">
        <v>44707</v>
      </c>
      <c r="J468" s="35" t="s">
        <v>1605</v>
      </c>
      <c r="K468" s="21">
        <v>270000</v>
      </c>
      <c r="L468" s="21"/>
      <c r="M468" s="22">
        <f>(PROVEEDORES[[#This Row],[SUBTOTAL]]-PROVEEDORES[[#This Row],[descuento sobre subtotal]])*VLOOKUP(PROVEEDORES[[#This Row],[PROVEEDOR]],TERCEROS_INFO[#All],3,FALSE)</f>
        <v>0</v>
      </c>
      <c r="N468" s="23"/>
      <c r="O468" s="22">
        <f>+PROVEEDORES[[#This Row],[Descuento sobre subtotal %]]*(PROVEEDORES[[#This Row],[SUBTOTAL]]-PROVEEDORES[[#This Row],[descuento sobre subtotal]])</f>
        <v>0</v>
      </c>
      <c r="P468" s="83">
        <f>+IF(PROVEEDORES[[#This Row],[SUBTOTAL]]&lt;PROVEEDORES[[#This Row],[base retencion]],0,PROVEEDORES[[#This Row],[retención aplicada]])</f>
        <v>0</v>
      </c>
      <c r="Q468" s="22">
        <f>+PROVEEDORES[[#This Row],[Rete Fuente %]]*(PROVEEDORES[[#This Row],[SUBTOTAL]]-PROVEEDORES[[#This Row],[descuento sobre subtotal]])</f>
        <v>0</v>
      </c>
      <c r="R468" s="21">
        <f>+PROVEEDORES[[#This Row],[SUBTOTAL]]+PROVEEDORES[[#This Row],[IVA 19%]]-PROVEEDORES[[#This Row],[descuento sobre subtotal]]-PROVEEDORES[[#This Row],[Descuento sobre subtotal $2]]-PROVEEDORES[[#This Row],[Rete Fuente $]]</f>
        <v>270000</v>
      </c>
      <c r="S468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68">
        <f ca="1">IF(PROVEEDORES[[#This Row],[FECHA DE PAGO]]=0,TODAY()-PROVEEDORES[[#This Row],[FECHA DE FACTURACIÓN]]-PROVEEDORES[[#This Row],[PLAZO Días]],0)</f>
        <v>0</v>
      </c>
      <c r="U468" s="113">
        <f>+VLOOKUP(PROVEEDORES[[#This Row],[PROVEEDOR]],Terceros!$A:$D,4,FALSE)</f>
        <v>0</v>
      </c>
      <c r="V468" s="114">
        <f>+YEAR(PROVEEDORES[[#This Row],[FECHA DE FACTURACIÓN]])</f>
        <v>2022</v>
      </c>
      <c r="W468" s="114">
        <f>+MATCH(PROVEEDORES[[#This Row],[año facturado]],Retenciones!$1:$1,0)</f>
        <v>5</v>
      </c>
      <c r="X468" s="115">
        <f>+VLOOKUP(PROVEEDORES[[#This Row],[ID RETENCION]],Retenciones!$A$1:$O$25,PROVEEDORES[[#This Row],[indicador de columna]],FALSE)</f>
        <v>0</v>
      </c>
      <c r="Y468" s="116">
        <f>+VLOOKUP(PROVEEDORES[[#This Row],[ID RETENCION]],Retenciones!$A$1:$O$25,2,FALSE)</f>
        <v>0</v>
      </c>
      <c r="Z468" s="125" t="b">
        <f>OR(COUNTIF(PROVEEDORES[[#This Row],[PROVEEDOR]],"*"&amp;'Palabra no opera'!$A$2&amp;"*"))</f>
        <v>0</v>
      </c>
      <c r="AA468" s="24"/>
      <c r="AB468" s="24"/>
      <c r="AC468" s="24"/>
      <c r="AD468" s="24"/>
      <c r="AE468" s="24"/>
    </row>
    <row r="469" spans="1:31" ht="22.2" customHeight="1" x14ac:dyDescent="0.3">
      <c r="A469" s="66" t="str">
        <f>+IF(PROVEEDORES[[#This Row],[FECHA DE PAGO]]=PROVEEDORES[[#This Row],[FECHA DE FACTURACIÓN]],"DE CONTADO","CRÉDITO")</f>
        <v>CRÉDITO</v>
      </c>
      <c r="B469" s="38" t="str">
        <f>+IF((PROVEEDORES[[#This Row],[FECHA DE PAGO]]-PROVEEDORES[[#This Row],[FECHA DE FACTURACIÓN]])&gt;PROVEEDORES[[#This Row],[PLAZO Días]],"PAGO VENCIDO")</f>
        <v>PAGO VENCIDO</v>
      </c>
      <c r="C469" s="20">
        <f>+VLOOKUP(PROVEEDORES[[#This Row],[PROVEEDOR]],TERCEROS_INFO[#All],2,FALSE)</f>
        <v>30</v>
      </c>
      <c r="D469" s="25">
        <f>+SUMIFS(PROVEEDORES[Total],PROVEEDORES[PROVEEDOR],PROVEEDORES[[#This Row],[PROVEEDOR]],PROVEEDORES[FECHA DE PAGO],"")</f>
        <v>0</v>
      </c>
      <c r="E469" s="25"/>
      <c r="F46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469" s="161">
        <v>44418</v>
      </c>
      <c r="H469" s="26" t="s">
        <v>746</v>
      </c>
      <c r="I469" s="161">
        <v>44364</v>
      </c>
      <c r="J469" s="35">
        <v>1288</v>
      </c>
      <c r="K469" s="21">
        <v>226890.76</v>
      </c>
      <c r="L469" s="21"/>
      <c r="M469" s="22">
        <f>(PROVEEDORES[[#This Row],[SUBTOTAL]]-PROVEEDORES[[#This Row],[descuento sobre subtotal]])*VLOOKUP(PROVEEDORES[[#This Row],[PROVEEDOR]],TERCEROS_INFO[#All],3,FALSE)</f>
        <v>43109.244400000003</v>
      </c>
      <c r="N469" s="23"/>
      <c r="O469" s="22">
        <f>+PROVEEDORES[[#This Row],[Descuento sobre subtotal %]]*(PROVEEDORES[[#This Row],[SUBTOTAL]]-PROVEEDORES[[#This Row],[descuento sobre subtotal]])</f>
        <v>0</v>
      </c>
      <c r="P469" s="83">
        <f>+IF(PROVEEDORES[[#This Row],[SUBTOTAL]]&lt;PROVEEDORES[[#This Row],[base retencion]],0,PROVEEDORES[[#This Row],[retención aplicada]])</f>
        <v>0</v>
      </c>
      <c r="Q469" s="22">
        <f>+PROVEEDORES[[#This Row],[Rete Fuente %]]*(PROVEEDORES[[#This Row],[SUBTOTAL]]-PROVEEDORES[[#This Row],[descuento sobre subtotal]])</f>
        <v>0</v>
      </c>
      <c r="R469" s="21">
        <f>+PROVEEDORES[[#This Row],[SUBTOTAL]]+PROVEEDORES[[#This Row],[IVA 19%]]-PROVEEDORES[[#This Row],[descuento sobre subtotal]]-PROVEEDORES[[#This Row],[Descuento sobre subtotal $2]]-PROVEEDORES[[#This Row],[Rete Fuente $]]</f>
        <v>270000.00440000003</v>
      </c>
      <c r="S4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68">
        <f ca="1">IF(PROVEEDORES[[#This Row],[FECHA DE PAGO]]=0,TODAY()-PROVEEDORES[[#This Row],[FECHA DE FACTURACIÓN]]-PROVEEDORES[[#This Row],[PLAZO Días]],0)</f>
        <v>0</v>
      </c>
      <c r="U469" s="96" t="str">
        <f>+VLOOKUP(PROVEEDORES[[#This Row],[PROVEEDOR]],Terceros!$A:$D,4,FALSE)</f>
        <v>2,5% con base</v>
      </c>
      <c r="V469" s="97">
        <f>+YEAR(PROVEEDORES[[#This Row],[FECHA DE FACTURACIÓN]])</f>
        <v>2021</v>
      </c>
      <c r="W469" s="97">
        <f>+MATCH(PROVEEDORES[[#This Row],[año facturado]],Retenciones!$1:$1,0)</f>
        <v>4</v>
      </c>
      <c r="X469" s="98">
        <f>+VLOOKUP(PROVEEDORES[[#This Row],[ID RETENCION]],Retenciones!$A$1:$O$25,PROVEEDORES[[#This Row],[indicador de columna]],FALSE)</f>
        <v>980000</v>
      </c>
      <c r="Y469" s="99">
        <f>+VLOOKUP(PROVEEDORES[[#This Row],[ID RETENCION]],Retenciones!$A$1:$O$25,2,FALSE)</f>
        <v>2.5000000000000001E-2</v>
      </c>
      <c r="Z469" s="125" t="b">
        <f>OR(COUNTIF(PROVEEDORES[[#This Row],[PROVEEDOR]],"*"&amp;'Palabra no opera'!$A$2&amp;"*"))</f>
        <v>0</v>
      </c>
      <c r="AA469" s="24"/>
      <c r="AB469" s="24"/>
      <c r="AC469" s="24"/>
      <c r="AD469" s="24"/>
      <c r="AE469" s="24"/>
    </row>
    <row r="470" spans="1:31" ht="22.2" customHeight="1" x14ac:dyDescent="0.3">
      <c r="A470" s="66" t="str">
        <f>+IF(PROVEEDORES[[#This Row],[FECHA DE PAGO]]=PROVEEDORES[[#This Row],[FECHA DE FACTURACIÓN]],"DE CONTADO","CRÉDITO")</f>
        <v>CRÉDITO</v>
      </c>
      <c r="B470" s="38" t="b">
        <f>+IF((PROVEEDORES[[#This Row],[FECHA DE PAGO]]-PROVEEDORES[[#This Row],[FECHA DE FACTURACIÓN]])&gt;PROVEEDORES[[#This Row],[PLAZO Días]],"PAGO VENCIDO")</f>
        <v>0</v>
      </c>
      <c r="C470" s="20">
        <f>+VLOOKUP(PROVEEDORES[[#This Row],[PROVEEDOR]],TERCEROS_INFO[#All],2,FALSE)</f>
        <v>30</v>
      </c>
      <c r="D470" s="25">
        <f>+SUMIFS(PROVEEDORES[Total],PROVEEDORES[PROVEEDOR],PROVEEDORES[[#This Row],[PROVEEDOR]],PROVEEDORES[FECHA DE PAGO],"")</f>
        <v>0</v>
      </c>
      <c r="E470" s="25"/>
      <c r="F470" s="58" t="str">
        <f>+VLOOKUP(PROVEEDORES[[#This Row],[PROVEEDOR]],
                       Terceros!$A:$F,
                       5,
                       FALSE)</f>
        <v/>
      </c>
      <c r="G470" s="161">
        <v>44609</v>
      </c>
      <c r="H470" s="26" t="s">
        <v>1130</v>
      </c>
      <c r="I470" s="161">
        <v>44587</v>
      </c>
      <c r="J470" s="35" t="s">
        <v>674</v>
      </c>
      <c r="K470" s="21">
        <v>271500</v>
      </c>
      <c r="L470" s="21"/>
      <c r="M470" s="22">
        <v>0</v>
      </c>
      <c r="N470" s="23"/>
      <c r="O470" s="22">
        <v>0</v>
      </c>
      <c r="P470" s="83">
        <f>+IF(PROVEEDORES[[#This Row],[SUBTOTAL]]&lt;PROVEEDORES[[#This Row],[base retencion]],0,PROVEEDORES[[#This Row],[retención aplicada]])</f>
        <v>0</v>
      </c>
      <c r="Q470" s="22">
        <f>+PROVEEDORES[[#This Row],[Rete Fuente %]]*(PROVEEDORES[[#This Row],[SUBTOTAL]]-PROVEEDORES[[#This Row],[descuento sobre subtotal]])</f>
        <v>0</v>
      </c>
      <c r="R470" s="21">
        <v>271500</v>
      </c>
      <c r="S4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68">
        <f ca="1">IF(PROVEEDORES[[#This Row],[FECHA DE PAGO]]=0,TODAY()-PROVEEDORES[[#This Row],[FECHA DE FACTURACIÓN]]-PROVEEDORES[[#This Row],[PLAZO Días]],0)</f>
        <v>0</v>
      </c>
      <c r="U470" s="96">
        <f>+VLOOKUP(PROVEEDORES[[#This Row],[PROVEEDOR]],Terceros!$A:$D,4,FALSE)</f>
        <v>0</v>
      </c>
      <c r="V470" s="97">
        <f>+YEAR(PROVEEDORES[[#This Row],[FECHA DE FACTURACIÓN]])</f>
        <v>2022</v>
      </c>
      <c r="W470" s="97">
        <f>+MATCH(PROVEEDORES[[#This Row],[año facturado]],Retenciones!$1:$1,0)</f>
        <v>5</v>
      </c>
      <c r="X470" s="98">
        <f>+VLOOKUP(PROVEEDORES[[#This Row],[ID RETENCION]],Retenciones!$A$1:$O$25,PROVEEDORES[[#This Row],[indicador de columna]],FALSE)</f>
        <v>0</v>
      </c>
      <c r="Y470" s="99">
        <f>+VLOOKUP(PROVEEDORES[[#This Row],[ID RETENCION]],Retenciones!$A$1:$O$25,2,FALSE)</f>
        <v>0</v>
      </c>
      <c r="Z470" s="125" t="b">
        <f>OR(COUNTIF(PROVEEDORES[[#This Row],[PROVEEDOR]],"*"&amp;'Palabra no opera'!$A$2&amp;"*"))</f>
        <v>1</v>
      </c>
      <c r="AA470" s="24"/>
      <c r="AB470" s="24"/>
      <c r="AC470" s="24"/>
      <c r="AD470" s="24"/>
      <c r="AE470" s="24"/>
    </row>
    <row r="471" spans="1:31" ht="22.2" customHeight="1" x14ac:dyDescent="0.3">
      <c r="A471" s="269" t="str">
        <f>+IF(PROVEEDORES[[#This Row],[FECHA DE PAGO]]=PROVEEDORES[[#This Row],[FECHA DE FACTURACIÓN]],"DE CONTADO","CRÉDITO")</f>
        <v>CRÉDITO</v>
      </c>
      <c r="B471" s="38" t="b">
        <f>+IF((PROVEEDORES[[#This Row],[FECHA DE PAGO]]-PROVEEDORES[[#This Row],[FECHA DE FACTURACIÓN]])&gt;PROVEEDORES[[#This Row],[PLAZO Días]],"PAGO VENCIDO")</f>
        <v>0</v>
      </c>
      <c r="C471" s="20">
        <f>+VLOOKUP(PROVEEDORES[[#This Row],[PROVEEDOR]],TERCEROS_INFO[#All],2,FALSE)</f>
        <v>30</v>
      </c>
      <c r="D471" s="25">
        <f>+SUMIFS(PROVEEDORES[Total],PROVEEDORES[PROVEEDOR],PROVEEDORES[[#This Row],[PROVEEDOR]],PROVEEDORES[FECHA DE PAGO],"")</f>
        <v>1194849.25</v>
      </c>
      <c r="E471" s="25"/>
      <c r="F471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471" s="26" t="s">
        <v>32</v>
      </c>
      <c r="I471" s="161">
        <v>44848</v>
      </c>
      <c r="J471" s="35" t="s">
        <v>1795</v>
      </c>
      <c r="K471" s="21">
        <v>228571</v>
      </c>
      <c r="L471" s="21"/>
      <c r="M471" s="22">
        <f>(PROVEEDORES[[#This Row],[SUBTOTAL]]-PROVEEDORES[[#This Row],[descuento sobre subtotal]])*VLOOKUP(PROVEEDORES[[#This Row],[PROVEEDOR]],TERCEROS_INFO[#All],3,FALSE)</f>
        <v>43428.49</v>
      </c>
      <c r="N471" s="23"/>
      <c r="O471" s="22">
        <f>+PROVEEDORES[[#This Row],[Descuento sobre subtotal %]]*(PROVEEDORES[[#This Row],[SUBTOTAL]]-PROVEEDORES[[#This Row],[descuento sobre subtotal]])</f>
        <v>0</v>
      </c>
      <c r="P471" s="83">
        <f>+IF(PROVEEDORES[[#This Row],[SUBTOTAL]]&lt;PROVEEDORES[[#This Row],[base retencion]],0,PROVEEDORES[[#This Row],[retención aplicada]])</f>
        <v>0</v>
      </c>
      <c r="Q471" s="22">
        <f>+PROVEEDORES[[#This Row],[Rete Fuente %]]*(PROVEEDORES[[#This Row],[SUBTOTAL]]-PROVEEDORES[[#This Row],[descuento sobre subtotal]])</f>
        <v>0</v>
      </c>
      <c r="R471" s="21">
        <f>+PROVEEDORES[[#This Row],[SUBTOTAL]]+PROVEEDORES[[#This Row],[IVA 19%]]-PROVEEDORES[[#This Row],[descuento sobre subtotal]]-PROVEEDORES[[#This Row],[Descuento sobre subtotal $2]]-PROVEEDORES[[#This Row],[Rete Fuente $]]</f>
        <v>271999.49</v>
      </c>
      <c r="S471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471" s="68">
        <f ca="1">IF(PROVEEDORES[[#This Row],[FECHA DE PAGO]]=0,TODAY()-PROVEEDORES[[#This Row],[FECHA DE FACTURACIÓN]]-PROVEEDORES[[#This Row],[PLAZO Días]],0)</f>
        <v>-3</v>
      </c>
      <c r="U471" s="113" t="str">
        <f>+VLOOKUP(PROVEEDORES[[#This Row],[PROVEEDOR]],Terceros!$A:$D,4,FALSE)</f>
        <v>2,5% con base</v>
      </c>
      <c r="V471" s="114">
        <f>+YEAR(PROVEEDORES[[#This Row],[FECHA DE FACTURACIÓN]])</f>
        <v>2022</v>
      </c>
      <c r="W471" s="114">
        <f>+MATCH(PROVEEDORES[[#This Row],[año facturado]],Retenciones!$1:$1,0)</f>
        <v>5</v>
      </c>
      <c r="X471" s="115">
        <f>+VLOOKUP(PROVEEDORES[[#This Row],[ID RETENCION]],Retenciones!$A$1:$O$25,PROVEEDORES[[#This Row],[indicador de columna]],FALSE)</f>
        <v>1026000</v>
      </c>
      <c r="Y471" s="116">
        <f>+VLOOKUP(PROVEEDORES[[#This Row],[ID RETENCION]],Retenciones!$A$1:$O$25,2,FALSE)</f>
        <v>2.5000000000000001E-2</v>
      </c>
      <c r="Z471" s="125" t="b">
        <f>OR(COUNTIF(PROVEEDORES[[#This Row],[PROVEEDOR]],"*"&amp;'Palabra no opera'!$A$2&amp;"*"))</f>
        <v>0</v>
      </c>
      <c r="AA471" s="24"/>
      <c r="AB471" s="24"/>
      <c r="AC471" s="24"/>
      <c r="AD471" s="24"/>
      <c r="AE471" s="24"/>
    </row>
    <row r="472" spans="1:31" ht="22.2" customHeight="1" x14ac:dyDescent="0.3">
      <c r="A472" s="72" t="str">
        <f>+IF(PROVEEDORES[[#This Row],[FECHA DE PAGO]]=PROVEEDORES[[#This Row],[FECHA DE FACTURACIÓN]],"DE CONTADO","CRÉDITO")</f>
        <v>DE CONTADO</v>
      </c>
      <c r="B472" s="38" t="b">
        <f>+IF((PROVEEDORES[[#This Row],[FECHA DE PAGO]]-PROVEEDORES[[#This Row],[FECHA DE FACTURACIÓN]])&gt;PROVEEDORES[[#This Row],[PLAZO Días]],"PAGO VENCIDO")</f>
        <v>0</v>
      </c>
      <c r="C472" s="20">
        <f>+VLOOKUP(PROVEEDORES[[#This Row],[PROVEEDOR]],TERCEROS_INFO[#All],2,FALSE)</f>
        <v>30</v>
      </c>
      <c r="D472" s="25">
        <f>+SUMIFS(PROVEEDORES[Total],PROVEEDORES[PROVEEDOR],PROVEEDORES[[#This Row],[PROVEEDOR]],PROVEEDORES[FECHA DE PAGO],"")</f>
        <v>0</v>
      </c>
      <c r="E472" s="25"/>
      <c r="F472" s="58" t="str">
        <f>+VLOOKUP(PROVEEDORES[[#This Row],[PROVEEDOR]],
                       Terceros!$A:$F,
                       5,
                       FALSE)</f>
        <v/>
      </c>
      <c r="G472" s="161">
        <v>44712</v>
      </c>
      <c r="H472" s="26" t="s">
        <v>644</v>
      </c>
      <c r="I472" s="161">
        <v>44712</v>
      </c>
      <c r="J472" s="35" t="s">
        <v>597</v>
      </c>
      <c r="K472" s="21">
        <v>274800</v>
      </c>
      <c r="L472" s="21"/>
      <c r="M472" s="22">
        <f>(PROVEEDORES[[#This Row],[SUBTOTAL]]-PROVEEDORES[[#This Row],[descuento sobre subtotal]])*VLOOKUP(PROVEEDORES[[#This Row],[PROVEEDOR]],TERCEROS_INFO[#All],3,FALSE)</f>
        <v>0</v>
      </c>
      <c r="N472" s="23"/>
      <c r="O472" s="22">
        <f>+PROVEEDORES[[#This Row],[Descuento sobre subtotal %]]*(PROVEEDORES[[#This Row],[SUBTOTAL]]-PROVEEDORES[[#This Row],[descuento sobre subtotal]])</f>
        <v>0</v>
      </c>
      <c r="P472" s="83">
        <f>+IF(PROVEEDORES[[#This Row],[SUBTOTAL]]&lt;PROVEEDORES[[#This Row],[base retencion]],0,PROVEEDORES[[#This Row],[retención aplicada]])</f>
        <v>0</v>
      </c>
      <c r="Q472" s="22">
        <f>+PROVEEDORES[[#This Row],[Rete Fuente %]]*(PROVEEDORES[[#This Row],[SUBTOTAL]]-PROVEEDORES[[#This Row],[descuento sobre subtotal]])</f>
        <v>0</v>
      </c>
      <c r="R472" s="21">
        <f>+PROVEEDORES[[#This Row],[SUBTOTAL]]+PROVEEDORES[[#This Row],[IVA 19%]]-PROVEEDORES[[#This Row],[descuento sobre subtotal]]-PROVEEDORES[[#This Row],[Descuento sobre subtotal $2]]-PROVEEDORES[[#This Row],[Rete Fuente $]]</f>
        <v>274800</v>
      </c>
      <c r="S47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68">
        <f ca="1">IF(PROVEEDORES[[#This Row],[FECHA DE PAGO]]=0,TODAY()-PROVEEDORES[[#This Row],[FECHA DE FACTURACIÓN]]-PROVEEDORES[[#This Row],[PLAZO Días]],0)</f>
        <v>0</v>
      </c>
      <c r="U472" s="113">
        <f>+VLOOKUP(PROVEEDORES[[#This Row],[PROVEEDOR]],Terceros!$A:$D,4,FALSE)</f>
        <v>0</v>
      </c>
      <c r="V472" s="114">
        <f>+YEAR(PROVEEDORES[[#This Row],[FECHA DE FACTURACIÓN]])</f>
        <v>2022</v>
      </c>
      <c r="W472" s="114">
        <f>+MATCH(PROVEEDORES[[#This Row],[año facturado]],Retenciones!$1:$1,0)</f>
        <v>5</v>
      </c>
      <c r="X472" s="115">
        <f>+VLOOKUP(PROVEEDORES[[#This Row],[ID RETENCION]],Retenciones!$A$1:$O$25,PROVEEDORES[[#This Row],[indicador de columna]],FALSE)</f>
        <v>0</v>
      </c>
      <c r="Y472" s="116">
        <f>+VLOOKUP(PROVEEDORES[[#This Row],[ID RETENCION]],Retenciones!$A$1:$O$25,2,FALSE)</f>
        <v>0</v>
      </c>
      <c r="Z472" s="125" t="b">
        <f>OR(COUNTIF(PROVEEDORES[[#This Row],[PROVEEDOR]],"*"&amp;'Palabra no opera'!$A$2&amp;"*"))</f>
        <v>0</v>
      </c>
      <c r="AA472" s="24"/>
      <c r="AB472" s="24"/>
      <c r="AC472" s="24"/>
      <c r="AD472" s="24"/>
      <c r="AE472" s="24"/>
    </row>
    <row r="473" spans="1:31" ht="22.2" customHeight="1" x14ac:dyDescent="0.3">
      <c r="A473" s="146" t="str">
        <f>+IF(PROVEEDORES[[#This Row],[FECHA DE PAGO]]=PROVEEDORES[[#This Row],[FECHA DE FACTURACIÓN]],"DE CONTADO","CRÉDITO")</f>
        <v>DE CONTADO</v>
      </c>
      <c r="B473" s="38" t="b">
        <f>+IF((PROVEEDORES[[#This Row],[FECHA DE PAGO]]-PROVEEDORES[[#This Row],[FECHA DE FACTURACIÓN]])&gt;PROVEEDORES[[#This Row],[PLAZO Días]],"PAGO VENCIDO")</f>
        <v>0</v>
      </c>
      <c r="C473" s="20">
        <f>+VLOOKUP(PROVEEDORES[[#This Row],[PROVEEDOR]],TERCEROS_INFO[#All],2,FALSE)</f>
        <v>30</v>
      </c>
      <c r="D473" s="25">
        <f>+SUMIFS(PROVEEDORES[Total],PROVEEDORES[PROVEEDOR],PROVEEDORES[[#This Row],[PROVEEDOR]],PROVEEDORES[FECHA DE PAGO],"")</f>
        <v>0</v>
      </c>
      <c r="E473" s="25"/>
      <c r="F473" s="58" t="str">
        <f>+VLOOKUP(PROVEEDORES[[#This Row],[PROVEEDOR]],
                       Terceros!$A:$F,
                       5,
                       FALSE)</f>
        <v/>
      </c>
      <c r="G473" s="161">
        <v>44707</v>
      </c>
      <c r="H473" s="26" t="s">
        <v>624</v>
      </c>
      <c r="I473" s="161">
        <v>44707</v>
      </c>
      <c r="J473" s="35" t="s">
        <v>1604</v>
      </c>
      <c r="K473" s="21">
        <v>275500</v>
      </c>
      <c r="L473" s="21"/>
      <c r="M473" s="22">
        <f>(PROVEEDORES[[#This Row],[SUBTOTAL]]-PROVEEDORES[[#This Row],[descuento sobre subtotal]])*VLOOKUP(PROVEEDORES[[#This Row],[PROVEEDOR]],TERCEROS_INFO[#All],3,FALSE)</f>
        <v>0</v>
      </c>
      <c r="N473" s="23"/>
      <c r="O473" s="22">
        <f>+PROVEEDORES[[#This Row],[Descuento sobre subtotal %]]*(PROVEEDORES[[#This Row],[SUBTOTAL]]-PROVEEDORES[[#This Row],[descuento sobre subtotal]])</f>
        <v>0</v>
      </c>
      <c r="P473" s="83">
        <f>+IF(PROVEEDORES[[#This Row],[SUBTOTAL]]&lt;PROVEEDORES[[#This Row],[base retencion]],0,PROVEEDORES[[#This Row],[retención aplicada]])</f>
        <v>0</v>
      </c>
      <c r="Q473" s="22">
        <f>+PROVEEDORES[[#This Row],[Rete Fuente %]]*(PROVEEDORES[[#This Row],[SUBTOTAL]]-PROVEEDORES[[#This Row],[descuento sobre subtotal]])</f>
        <v>0</v>
      </c>
      <c r="R473" s="21">
        <f>+PROVEEDORES[[#This Row],[SUBTOTAL]]+PROVEEDORES[[#This Row],[IVA 19%]]-PROVEEDORES[[#This Row],[descuento sobre subtotal]]-PROVEEDORES[[#This Row],[Descuento sobre subtotal $2]]-PROVEEDORES[[#This Row],[Rete Fuente $]]</f>
        <v>275500</v>
      </c>
      <c r="S473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68">
        <f ca="1">IF(PROVEEDORES[[#This Row],[FECHA DE PAGO]]=0,TODAY()-PROVEEDORES[[#This Row],[FECHA DE FACTURACIÓN]]-PROVEEDORES[[#This Row],[PLAZO Días]],0)</f>
        <v>0</v>
      </c>
      <c r="U473" s="113">
        <f>+VLOOKUP(PROVEEDORES[[#This Row],[PROVEEDOR]],Terceros!$A:$D,4,FALSE)</f>
        <v>0</v>
      </c>
      <c r="V473" s="114">
        <f>+YEAR(PROVEEDORES[[#This Row],[FECHA DE FACTURACIÓN]])</f>
        <v>2022</v>
      </c>
      <c r="W473" s="114">
        <f>+MATCH(PROVEEDORES[[#This Row],[año facturado]],Retenciones!$1:$1,0)</f>
        <v>5</v>
      </c>
      <c r="X473" s="115">
        <f>+VLOOKUP(PROVEEDORES[[#This Row],[ID RETENCION]],Retenciones!$A$1:$O$25,PROVEEDORES[[#This Row],[indicador de columna]],FALSE)</f>
        <v>0</v>
      </c>
      <c r="Y473" s="116">
        <f>+VLOOKUP(PROVEEDORES[[#This Row],[ID RETENCION]],Retenciones!$A$1:$O$25,2,FALSE)</f>
        <v>0</v>
      </c>
      <c r="Z473" s="125" t="b">
        <f>OR(COUNTIF(PROVEEDORES[[#This Row],[PROVEEDOR]],"*"&amp;'Palabra no opera'!$A$2&amp;"*"))</f>
        <v>0</v>
      </c>
      <c r="AA473" s="24"/>
      <c r="AB473" s="24"/>
      <c r="AC473" s="24"/>
      <c r="AD473" s="24"/>
      <c r="AE473" s="24"/>
    </row>
    <row r="474" spans="1:31" ht="22.2" customHeight="1" x14ac:dyDescent="0.3">
      <c r="A474" s="66" t="str">
        <f>+IF(PROVEEDORES[[#This Row],[FECHA DE PAGO]]=PROVEEDORES[[#This Row],[FECHA DE FACTURACIÓN]],"DE CONTADO","CRÉDITO")</f>
        <v>CRÉDITO</v>
      </c>
      <c r="B474" s="38" t="b">
        <f>+IF((PROVEEDORES[[#This Row],[FECHA DE PAGO]]-PROVEEDORES[[#This Row],[FECHA DE FACTURACIÓN]])&gt;PROVEEDORES[[#This Row],[PLAZO Días]],"PAGO VENCIDO")</f>
        <v>0</v>
      </c>
      <c r="C474" s="20">
        <f>+VLOOKUP(PROVEEDORES[[#This Row],[PROVEEDOR]],TERCEROS_INFO[#All],2,FALSE)</f>
        <v>30</v>
      </c>
      <c r="D474" s="25">
        <f>+SUMIFS(PROVEEDORES[Total],PROVEEDORES[PROVEEDOR],PROVEEDORES[[#This Row],[PROVEEDOR]],PROVEEDORES[FECHA DE PAGO],"")</f>
        <v>0</v>
      </c>
      <c r="E474" s="25"/>
      <c r="F474" s="58" t="str">
        <f>+VLOOKUP(PROVEEDORES[[#This Row],[PROVEEDOR]],
                       Terceros!$A:$F,
                       5,
                       FALSE)</f>
        <v>facturacion@losmolinos.com.co</v>
      </c>
      <c r="G474" s="161">
        <v>44630</v>
      </c>
      <c r="H474" s="26" t="s">
        <v>940</v>
      </c>
      <c r="I474" s="161">
        <v>44621</v>
      </c>
      <c r="J474" s="35">
        <v>66543</v>
      </c>
      <c r="K474" s="21">
        <v>284467</v>
      </c>
      <c r="L474" s="21"/>
      <c r="M474" s="22">
        <f>(PROVEEDORES[[#This Row],[SUBTOTAL]]-PROVEEDORES[[#This Row],[descuento sobre subtotal]])*VLOOKUP(PROVEEDORES[[#This Row],[PROVEEDOR]],TERCEROS_INFO[#All],3,FALSE)</f>
        <v>0</v>
      </c>
      <c r="N474" s="23"/>
      <c r="O474" s="22">
        <f>+PROVEEDORES[[#This Row],[Descuento sobre subtotal %]]*(PROVEEDORES[[#This Row],[SUBTOTAL]]-PROVEEDORES[[#This Row],[descuento sobre subtotal]])</f>
        <v>0</v>
      </c>
      <c r="P474" s="83">
        <f>+IF(PROVEEDORES[[#This Row],[SUBTOTAL]]&lt;PROVEEDORES[[#This Row],[base retencion]],0,PROVEEDORES[[#This Row],[retención aplicada]])</f>
        <v>0</v>
      </c>
      <c r="Q474" s="22">
        <f>+PROVEEDORES[[#This Row],[Rete Fuente %]]*(PROVEEDORES[[#This Row],[SUBTOTAL]]-PROVEEDORES[[#This Row],[descuento sobre subtotal]])</f>
        <v>0</v>
      </c>
      <c r="R474" s="21">
        <v>275944.33</v>
      </c>
      <c r="S4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68">
        <f ca="1">IF(PROVEEDORES[[#This Row],[FECHA DE PAGO]]=0,TODAY()-PROVEEDORES[[#This Row],[FECHA DE FACTURACIÓN]]-PROVEEDORES[[#This Row],[PLAZO Días]],0)</f>
        <v>0</v>
      </c>
      <c r="U474" s="96">
        <f>+VLOOKUP(PROVEEDORES[[#This Row],[PROVEEDOR]],Terceros!$A:$D,4,FALSE)</f>
        <v>0</v>
      </c>
      <c r="V474" s="97">
        <f>+YEAR(PROVEEDORES[[#This Row],[FECHA DE FACTURACIÓN]])</f>
        <v>2022</v>
      </c>
      <c r="W474" s="97">
        <f>+MATCH(PROVEEDORES[[#This Row],[año facturado]],Retenciones!$1:$1,0)</f>
        <v>5</v>
      </c>
      <c r="X474" s="98">
        <f>+VLOOKUP(PROVEEDORES[[#This Row],[ID RETENCION]],Retenciones!$A$1:$O$25,PROVEEDORES[[#This Row],[indicador de columna]],FALSE)</f>
        <v>0</v>
      </c>
      <c r="Y474" s="99">
        <f>+VLOOKUP(PROVEEDORES[[#This Row],[ID RETENCION]],Retenciones!$A$1:$O$25,2,FALSE)</f>
        <v>0</v>
      </c>
      <c r="Z474" s="125" t="b">
        <f>OR(COUNTIF(PROVEEDORES[[#This Row],[PROVEEDOR]],"*"&amp;'Palabra no opera'!$A$2&amp;"*"))</f>
        <v>1</v>
      </c>
      <c r="AA474" s="24"/>
      <c r="AB474" s="24"/>
      <c r="AC474" s="24"/>
      <c r="AD474" s="24"/>
      <c r="AE474" s="24"/>
    </row>
    <row r="475" spans="1:31" ht="22.2" customHeight="1" x14ac:dyDescent="0.3">
      <c r="A475" s="66" t="str">
        <f>+IF(PROVEEDORES[[#This Row],[FECHA DE PAGO]]=PROVEEDORES[[#This Row],[FECHA DE FACTURACIÓN]],"DE CONTADO","CRÉDITO")</f>
        <v>CRÉDITO</v>
      </c>
      <c r="B475" s="38" t="b">
        <f>+IF((PROVEEDORES[[#This Row],[FECHA DE PAGO]]-PROVEEDORES[[#This Row],[FECHA DE FACTURACIÓN]])&gt;PROVEEDORES[[#This Row],[PLAZO Días]],"PAGO VENCIDO")</f>
        <v>0</v>
      </c>
      <c r="C475" s="20">
        <f>+VLOOKUP(PROVEEDORES[[#This Row],[PROVEEDOR]],TERCEROS_INFO[#All],2,FALSE)</f>
        <v>30</v>
      </c>
      <c r="D475" s="25">
        <f>+SUMIFS(PROVEEDORES[Total],PROVEEDORES[PROVEEDOR],PROVEEDORES[[#This Row],[PROVEEDOR]],PROVEEDORES[FECHA DE PAGO],"")</f>
        <v>0</v>
      </c>
      <c r="E475" s="25"/>
      <c r="F475" s="58" t="str">
        <f>+VLOOKUP(PROVEEDORES[[#This Row],[PROVEEDOR]],
                       Terceros!$A:$F,
                       5,
                       FALSE)</f>
        <v>facturacion@losmolinos.com.co</v>
      </c>
      <c r="G475" s="161">
        <v>44663</v>
      </c>
      <c r="H475" s="26" t="s">
        <v>940</v>
      </c>
      <c r="I475" s="161">
        <v>44652</v>
      </c>
      <c r="J475" s="35">
        <v>66928</v>
      </c>
      <c r="K475" s="21">
        <v>284467</v>
      </c>
      <c r="L475" s="21"/>
      <c r="M475" s="22">
        <f>(PROVEEDORES[[#This Row],[SUBTOTAL]]-PROVEEDORES[[#This Row],[descuento sobre subtotal]])*VLOOKUP(PROVEEDORES[[#This Row],[PROVEEDOR]],TERCEROS_INFO[#All],3,FALSE)</f>
        <v>0</v>
      </c>
      <c r="N475" s="23"/>
      <c r="O475" s="22">
        <f>+PROVEEDORES[[#This Row],[Descuento sobre subtotal %]]*(PROVEEDORES[[#This Row],[SUBTOTAL]]-PROVEEDORES[[#This Row],[descuento sobre subtotal]])</f>
        <v>0</v>
      </c>
      <c r="P475" s="83">
        <f>+IF(PROVEEDORES[[#This Row],[SUBTOTAL]]&lt;PROVEEDORES[[#This Row],[base retencion]],0,PROVEEDORES[[#This Row],[retención aplicada]])</f>
        <v>0</v>
      </c>
      <c r="Q475" s="22">
        <f>+PROVEEDORES[[#This Row],[Rete Fuente %]]*(PROVEEDORES[[#This Row],[SUBTOTAL]]-PROVEEDORES[[#This Row],[descuento sobre subtotal]])</f>
        <v>0</v>
      </c>
      <c r="R475" s="21">
        <v>275944.33</v>
      </c>
      <c r="S4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68">
        <f ca="1">IF(PROVEEDORES[[#This Row],[FECHA DE PAGO]]=0,TODAY()-PROVEEDORES[[#This Row],[FECHA DE FACTURACIÓN]]-PROVEEDORES[[#This Row],[PLAZO Días]],0)</f>
        <v>0</v>
      </c>
      <c r="U475" s="96">
        <f>+VLOOKUP(PROVEEDORES[[#This Row],[PROVEEDOR]],Terceros!$A:$D,4,FALSE)</f>
        <v>0</v>
      </c>
      <c r="V475" s="97">
        <f>+YEAR(PROVEEDORES[[#This Row],[FECHA DE FACTURACIÓN]])</f>
        <v>2022</v>
      </c>
      <c r="W475" s="97">
        <f>+MATCH(PROVEEDORES[[#This Row],[año facturado]],Retenciones!$1:$1,0)</f>
        <v>5</v>
      </c>
      <c r="X475" s="98">
        <f>+VLOOKUP(PROVEEDORES[[#This Row],[ID RETENCION]],Retenciones!$A$1:$O$25,PROVEEDORES[[#This Row],[indicador de columna]],FALSE)</f>
        <v>0</v>
      </c>
      <c r="Y475" s="99">
        <f>+VLOOKUP(PROVEEDORES[[#This Row],[ID RETENCION]],Retenciones!$A$1:$O$25,2,FALSE)</f>
        <v>0</v>
      </c>
      <c r="Z475" s="125" t="b">
        <f>OR(COUNTIF(PROVEEDORES[[#This Row],[PROVEEDOR]],"*"&amp;'Palabra no opera'!$A$2&amp;"*"))</f>
        <v>1</v>
      </c>
      <c r="AA475" s="24"/>
      <c r="AB475" s="24"/>
      <c r="AC475" s="24"/>
      <c r="AD475" s="24"/>
      <c r="AE475" s="24"/>
    </row>
    <row r="476" spans="1:31" ht="22.2" customHeight="1" x14ac:dyDescent="0.3">
      <c r="A476" s="193" t="str">
        <f>+IF(PROVEEDORES[[#This Row],[FECHA DE PAGO]]=PROVEEDORES[[#This Row],[FECHA DE FACTURACIÓN]],"DE CONTADO","CRÉDITO")</f>
        <v>CRÉDITO</v>
      </c>
      <c r="B476" s="38" t="b">
        <f>+IF((PROVEEDORES[[#This Row],[FECHA DE PAGO]]-PROVEEDORES[[#This Row],[FECHA DE FACTURACIÓN]])&gt;PROVEEDORES[[#This Row],[PLAZO Días]],"PAGO VENCIDO")</f>
        <v>0</v>
      </c>
      <c r="C476" s="20">
        <f>+VLOOKUP(PROVEEDORES[[#This Row],[PROVEEDOR]],TERCEROS_INFO[#All],2,FALSE)</f>
        <v>30</v>
      </c>
      <c r="D476" s="25">
        <f>+SUMIFS(PROVEEDORES[Total],PROVEEDORES[PROVEEDOR],PROVEEDORES[[#This Row],[PROVEEDOR]],PROVEEDORES[FECHA DE PAGO],"")</f>
        <v>0</v>
      </c>
      <c r="E476" s="25"/>
      <c r="F476" s="58" t="str">
        <f>+VLOOKUP(PROVEEDORES[[#This Row],[PROVEEDOR]],
                       Terceros!$A:$F,
                       5,
                       FALSE)</f>
        <v>facturacion@losmolinos.com.co</v>
      </c>
      <c r="G476" s="161">
        <v>44784</v>
      </c>
      <c r="H476" s="26" t="s">
        <v>940</v>
      </c>
      <c r="I476" s="161">
        <v>44774</v>
      </c>
      <c r="J476" s="35">
        <v>68476</v>
      </c>
      <c r="K476" s="21">
        <v>284467</v>
      </c>
      <c r="L476" s="21"/>
      <c r="M476" s="22">
        <f>(PROVEEDORES[[#This Row],[SUBTOTAL]]-PROVEEDORES[[#This Row],[descuento sobre subtotal]])*VLOOKUP(PROVEEDORES[[#This Row],[PROVEEDOR]],TERCEROS_INFO[#All],3,FALSE)</f>
        <v>0</v>
      </c>
      <c r="N476" s="23"/>
      <c r="O476" s="22">
        <v>8522.67</v>
      </c>
      <c r="P476" s="83">
        <f>+IF(PROVEEDORES[[#This Row],[SUBTOTAL]]&lt;PROVEEDORES[[#This Row],[base retencion]],0,PROVEEDORES[[#This Row],[retención aplicada]])</f>
        <v>0</v>
      </c>
      <c r="Q476" s="22">
        <f>+PROVEEDORES[[#This Row],[Rete Fuente %]]*(PROVEEDORES[[#This Row],[SUBTOTAL]]-PROVEEDORES[[#This Row],[descuento sobre subtotal]])</f>
        <v>0</v>
      </c>
      <c r="R476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476" s="1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68">
        <f ca="1">IF(PROVEEDORES[[#This Row],[FECHA DE PAGO]]=0,TODAY()-PROVEEDORES[[#This Row],[FECHA DE FACTURACIÓN]]-PROVEEDORES[[#This Row],[PLAZO Días]],0)</f>
        <v>0</v>
      </c>
      <c r="U476" s="113">
        <f>+VLOOKUP(PROVEEDORES[[#This Row],[PROVEEDOR]],Terceros!$A:$D,4,FALSE)</f>
        <v>0</v>
      </c>
      <c r="V476" s="114">
        <f>+YEAR(PROVEEDORES[[#This Row],[FECHA DE FACTURACIÓN]])</f>
        <v>2022</v>
      </c>
      <c r="W476" s="114">
        <f>+MATCH(PROVEEDORES[[#This Row],[año facturado]],Retenciones!$1:$1,0)</f>
        <v>5</v>
      </c>
      <c r="X476" s="115">
        <f>+VLOOKUP(PROVEEDORES[[#This Row],[ID RETENCION]],Retenciones!$A$1:$O$25,PROVEEDORES[[#This Row],[indicador de columna]],FALSE)</f>
        <v>0</v>
      </c>
      <c r="Y476" s="116">
        <f>+VLOOKUP(PROVEEDORES[[#This Row],[ID RETENCION]],Retenciones!$A$1:$O$25,2,FALSE)</f>
        <v>0</v>
      </c>
      <c r="Z476" s="125" t="b">
        <f>OR(COUNTIF(PROVEEDORES[[#This Row],[PROVEEDOR]],"*"&amp;'Palabra no opera'!$A$2&amp;"*"))</f>
        <v>1</v>
      </c>
      <c r="AA476" s="24"/>
      <c r="AB476" s="24"/>
      <c r="AC476" s="24"/>
      <c r="AD476" s="24"/>
      <c r="AE476" s="24"/>
    </row>
    <row r="477" spans="1:31" ht="22.2" customHeight="1" x14ac:dyDescent="0.3">
      <c r="A477" s="72" t="str">
        <f>+IF(PROVEEDORES[[#This Row],[FECHA DE PAGO]]=PROVEEDORES[[#This Row],[FECHA DE FACTURACIÓN]],"DE CONTADO","CRÉDITO")</f>
        <v>CRÉDITO</v>
      </c>
      <c r="B477" s="38" t="b">
        <f>+IF((PROVEEDORES[[#This Row],[FECHA DE PAGO]]-PROVEEDORES[[#This Row],[FECHA DE FACTURACIÓN]])&gt;PROVEEDORES[[#This Row],[PLAZO Días]],"PAGO VENCIDO")</f>
        <v>0</v>
      </c>
      <c r="C477" s="20">
        <f>+VLOOKUP(PROVEEDORES[[#This Row],[PROVEEDOR]],TERCEROS_INFO[#All],2,FALSE)</f>
        <v>30</v>
      </c>
      <c r="D477" s="25">
        <f>+SUMIFS(PROVEEDORES[Total],PROVEEDORES[PROVEEDOR],PROVEEDORES[[#This Row],[PROVEEDOR]],PROVEEDORES[FECHA DE PAGO],"")</f>
        <v>0</v>
      </c>
      <c r="E477" s="25"/>
      <c r="F477" s="58" t="str">
        <f>+VLOOKUP(PROVEEDORES[[#This Row],[PROVEEDOR]],
                       Terceros!$A:$F,
                       5,
                       FALSE)</f>
        <v>facturacion@losmolinos.com.co</v>
      </c>
      <c r="G477" s="161">
        <v>44818</v>
      </c>
      <c r="H477" s="26" t="s">
        <v>940</v>
      </c>
      <c r="I477" s="161">
        <v>44805</v>
      </c>
      <c r="J477" s="35">
        <v>68862</v>
      </c>
      <c r="K477" s="21">
        <v>284467</v>
      </c>
      <c r="L477" s="21"/>
      <c r="M477" s="22">
        <f>(PROVEEDORES[[#This Row],[SUBTOTAL]]-PROVEEDORES[[#This Row],[descuento sobre subtotal]])*VLOOKUP(PROVEEDORES[[#This Row],[PROVEEDOR]],TERCEROS_INFO[#All],3,FALSE)</f>
        <v>0</v>
      </c>
      <c r="N477" s="23"/>
      <c r="O477" s="22">
        <v>8522.67</v>
      </c>
      <c r="P477" s="83">
        <f>+IF(PROVEEDORES[[#This Row],[SUBTOTAL]]&lt;PROVEEDORES[[#This Row],[base retencion]],0,PROVEEDORES[[#This Row],[retención aplicada]])</f>
        <v>0</v>
      </c>
      <c r="Q477" s="22">
        <f>+PROVEEDORES[[#This Row],[Rete Fuente %]]*(PROVEEDORES[[#This Row],[SUBTOTAL]]-PROVEEDORES[[#This Row],[descuento sobre subtotal]])</f>
        <v>0</v>
      </c>
      <c r="R477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47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68">
        <f ca="1">IF(PROVEEDORES[[#This Row],[FECHA DE PAGO]]=0,TODAY()-PROVEEDORES[[#This Row],[FECHA DE FACTURACIÓN]]-PROVEEDORES[[#This Row],[PLAZO Días]],0)</f>
        <v>0</v>
      </c>
      <c r="U477" s="113">
        <f>+VLOOKUP(PROVEEDORES[[#This Row],[PROVEEDOR]],Terceros!$A:$D,4,FALSE)</f>
        <v>0</v>
      </c>
      <c r="V477" s="114">
        <f>+YEAR(PROVEEDORES[[#This Row],[FECHA DE FACTURACIÓN]])</f>
        <v>2022</v>
      </c>
      <c r="W477" s="114">
        <f>+MATCH(PROVEEDORES[[#This Row],[año facturado]],Retenciones!$1:$1,0)</f>
        <v>5</v>
      </c>
      <c r="X477" s="115">
        <f>+VLOOKUP(PROVEEDORES[[#This Row],[ID RETENCION]],Retenciones!$A$1:$O$25,PROVEEDORES[[#This Row],[indicador de columna]],FALSE)</f>
        <v>0</v>
      </c>
      <c r="Y477" s="116">
        <f>+VLOOKUP(PROVEEDORES[[#This Row],[ID RETENCION]],Retenciones!$A$1:$O$25,2,FALSE)</f>
        <v>0</v>
      </c>
      <c r="Z477" s="125" t="b">
        <f>OR(COUNTIF(PROVEEDORES[[#This Row],[PROVEEDOR]],"*"&amp;'Palabra no opera'!$A$2&amp;"*"))</f>
        <v>1</v>
      </c>
      <c r="AA477" s="24"/>
      <c r="AB477" s="24"/>
      <c r="AC477" s="24"/>
      <c r="AD477" s="24"/>
      <c r="AE477" s="24"/>
    </row>
    <row r="478" spans="1:31" ht="22.2" customHeight="1" x14ac:dyDescent="0.3">
      <c r="A478" s="217" t="str">
        <f>+IF(PROVEEDORES[[#This Row],[FECHA DE PAGO]]=PROVEEDORES[[#This Row],[FECHA DE FACTURACIÓN]],"DE CONTADO","CRÉDITO")</f>
        <v>CRÉDITO</v>
      </c>
      <c r="B478" s="38" t="b">
        <f>+IF((PROVEEDORES[[#This Row],[FECHA DE PAGO]]-PROVEEDORES[[#This Row],[FECHA DE FACTURACIÓN]])&gt;PROVEEDORES[[#This Row],[PLAZO Días]],"PAGO VENCIDO")</f>
        <v>0</v>
      </c>
      <c r="C478" s="20">
        <f>+VLOOKUP(PROVEEDORES[[#This Row],[PROVEEDOR]],TERCEROS_INFO[#All],2,FALSE)</f>
        <v>30</v>
      </c>
      <c r="D478" s="25">
        <f>+SUMIFS(PROVEEDORES[Total],PROVEEDORES[PROVEEDOR],PROVEEDORES[[#This Row],[PROVEEDOR]],PROVEEDORES[FECHA DE PAGO],"")</f>
        <v>0</v>
      </c>
      <c r="E478" s="25"/>
      <c r="F478" s="58" t="str">
        <f>+VLOOKUP(PROVEEDORES[[#This Row],[PROVEEDOR]],
                       Terceros!$A:$F,
                       5,
                       FALSE)</f>
        <v>facturacion@losmolinos.com.co</v>
      </c>
      <c r="G478" s="161">
        <v>44818</v>
      </c>
      <c r="H478" s="26" t="s">
        <v>940</v>
      </c>
      <c r="I478" s="161">
        <v>44805</v>
      </c>
      <c r="J478" s="35">
        <v>68862</v>
      </c>
      <c r="K478" s="21">
        <v>284467</v>
      </c>
      <c r="L478" s="21"/>
      <c r="M478" s="22">
        <f>(PROVEEDORES[[#This Row],[SUBTOTAL]]-PROVEEDORES[[#This Row],[descuento sobre subtotal]])*VLOOKUP(PROVEEDORES[[#This Row],[PROVEEDOR]],TERCEROS_INFO[#All],3,FALSE)</f>
        <v>0</v>
      </c>
      <c r="N478" s="23" t="s">
        <v>1658</v>
      </c>
      <c r="O478" s="22">
        <v>8522.67</v>
      </c>
      <c r="P478" s="83">
        <f>+IF(PROVEEDORES[[#This Row],[SUBTOTAL]]&lt;PROVEEDORES[[#This Row],[base retencion]],0,PROVEEDORES[[#This Row],[retención aplicada]])</f>
        <v>0</v>
      </c>
      <c r="Q478" s="22">
        <f>+PROVEEDORES[[#This Row],[Rete Fuente %]]*(PROVEEDORES[[#This Row],[SUBTOTAL]]-PROVEEDORES[[#This Row],[descuento sobre subtotal]])</f>
        <v>0</v>
      </c>
      <c r="R478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478" s="2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68">
        <f ca="1">IF(PROVEEDORES[[#This Row],[FECHA DE PAGO]]=0,TODAY()-PROVEEDORES[[#This Row],[FECHA DE FACTURACIÓN]]-PROVEEDORES[[#This Row],[PLAZO Días]],0)</f>
        <v>0</v>
      </c>
      <c r="U478" s="113">
        <f>+VLOOKUP(PROVEEDORES[[#This Row],[PROVEEDOR]],Terceros!$A:$D,4,FALSE)</f>
        <v>0</v>
      </c>
      <c r="V478" s="114">
        <f>+YEAR(PROVEEDORES[[#This Row],[FECHA DE FACTURACIÓN]])</f>
        <v>2022</v>
      </c>
      <c r="W478" s="114">
        <f>+MATCH(PROVEEDORES[[#This Row],[año facturado]],Retenciones!$1:$1,0)</f>
        <v>5</v>
      </c>
      <c r="X478" s="115">
        <f>+VLOOKUP(PROVEEDORES[[#This Row],[ID RETENCION]],Retenciones!$A$1:$O$25,PROVEEDORES[[#This Row],[indicador de columna]],FALSE)</f>
        <v>0</v>
      </c>
      <c r="Y478" s="116">
        <f>+VLOOKUP(PROVEEDORES[[#This Row],[ID RETENCION]],Retenciones!$A$1:$O$25,2,FALSE)</f>
        <v>0</v>
      </c>
      <c r="Z478" s="125" t="b">
        <f>OR(COUNTIF(PROVEEDORES[[#This Row],[PROVEEDOR]],"*"&amp;'Palabra no opera'!$A$2&amp;"*"))</f>
        <v>1</v>
      </c>
      <c r="AA478" s="24"/>
      <c r="AB478" s="24"/>
      <c r="AC478" s="24"/>
      <c r="AD478" s="24"/>
      <c r="AE478" s="24"/>
    </row>
    <row r="479" spans="1:31" ht="22.2" customHeight="1" x14ac:dyDescent="0.3">
      <c r="A479" s="66" t="str">
        <f>+IF(PROVEEDORES[[#This Row],[FECHA DE PAGO]]=PROVEEDORES[[#This Row],[FECHA DE FACTURACIÓN]],"DE CONTADO","CRÉDITO")</f>
        <v>CRÉDITO</v>
      </c>
      <c r="B479" s="38" t="str">
        <f>+IF((PROVEEDORES[[#This Row],[FECHA DE PAGO]]-PROVEEDORES[[#This Row],[FECHA DE FACTURACIÓN]])&gt;PROVEEDORES[[#This Row],[PLAZO Días]],"PAGO VENCIDO")</f>
        <v>PAGO VENCIDO</v>
      </c>
      <c r="C479" s="20">
        <f>+VLOOKUP(PROVEEDORES[[#This Row],[PROVEEDOR]],TERCEROS_INFO[#All],2,FALSE)</f>
        <v>30</v>
      </c>
      <c r="D479" s="25">
        <f>+SUMIFS(PROVEEDORES[Total],PROVEEDORES[PROVEEDOR],PROVEEDORES[[#This Row],[PROVEEDOR]],PROVEEDORES[FECHA DE PAGO],"")</f>
        <v>0</v>
      </c>
      <c r="E479" s="25"/>
      <c r="F47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79" s="161">
        <v>44442</v>
      </c>
      <c r="H479" s="26" t="s">
        <v>1637</v>
      </c>
      <c r="I479" s="161">
        <v>44400</v>
      </c>
      <c r="J479" s="35">
        <v>21790</v>
      </c>
      <c r="K479" s="21">
        <v>232800</v>
      </c>
      <c r="L479" s="21"/>
      <c r="M479" s="22">
        <f>(PROVEEDORES[[#This Row],[SUBTOTAL]]-PROVEEDORES[[#This Row],[descuento sobre subtotal]])*VLOOKUP(PROVEEDORES[[#This Row],[PROVEEDOR]],TERCEROS_INFO[#All],3,FALSE)</f>
        <v>44232</v>
      </c>
      <c r="N479" s="23"/>
      <c r="O479" s="22">
        <f>+PROVEEDORES[[#This Row],[Descuento sobre subtotal %]]*(PROVEEDORES[[#This Row],[SUBTOTAL]]-PROVEEDORES[[#This Row],[descuento sobre subtotal]])</f>
        <v>0</v>
      </c>
      <c r="P479" s="83">
        <f>+IF(PROVEEDORES[[#This Row],[SUBTOTAL]]&lt;PROVEEDORES[[#This Row],[base retencion]],0,PROVEEDORES[[#This Row],[retención aplicada]])</f>
        <v>0</v>
      </c>
      <c r="Q479" s="22">
        <f>+PROVEEDORES[[#This Row],[Rete Fuente %]]*(PROVEEDORES[[#This Row],[SUBTOTAL]]-PROVEEDORES[[#This Row],[descuento sobre subtotal]])</f>
        <v>0</v>
      </c>
      <c r="R479" s="21">
        <f>+PROVEEDORES[[#This Row],[SUBTOTAL]]+PROVEEDORES[[#This Row],[IVA 19%]]-PROVEEDORES[[#This Row],[descuento sobre subtotal]]-PROVEEDORES[[#This Row],[Descuento sobre subtotal $2]]-PROVEEDORES[[#This Row],[Rete Fuente $]]</f>
        <v>277032</v>
      </c>
      <c r="S4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68">
        <f ca="1">IF(PROVEEDORES[[#This Row],[FECHA DE PAGO]]=0,TODAY()-PROVEEDORES[[#This Row],[FECHA DE FACTURACIÓN]]-PROVEEDORES[[#This Row],[PLAZO Días]],0)</f>
        <v>0</v>
      </c>
      <c r="U479" s="96" t="str">
        <f>+VLOOKUP(PROVEEDORES[[#This Row],[PROVEEDOR]],Terceros!$A:$D,4,FALSE)</f>
        <v>2,5% con base</v>
      </c>
      <c r="V479" s="97">
        <f>+YEAR(PROVEEDORES[[#This Row],[FECHA DE FACTURACIÓN]])</f>
        <v>2021</v>
      </c>
      <c r="W479" s="97">
        <f>+MATCH(PROVEEDORES[[#This Row],[año facturado]],Retenciones!$1:$1,0)</f>
        <v>4</v>
      </c>
      <c r="X479" s="98">
        <f>+VLOOKUP(PROVEEDORES[[#This Row],[ID RETENCION]],Retenciones!$A$1:$O$25,PROVEEDORES[[#This Row],[indicador de columna]],FALSE)</f>
        <v>980000</v>
      </c>
      <c r="Y479" s="99">
        <f>+VLOOKUP(PROVEEDORES[[#This Row],[ID RETENCION]],Retenciones!$A$1:$O$25,2,FALSE)</f>
        <v>2.5000000000000001E-2</v>
      </c>
      <c r="Z479" s="125" t="b">
        <f>OR(COUNTIF(PROVEEDORES[[#This Row],[PROVEEDOR]],"*"&amp;'Palabra no opera'!$A$2&amp;"*"))</f>
        <v>0</v>
      </c>
      <c r="AA479" s="24"/>
      <c r="AB479" s="24"/>
      <c r="AC479" s="24"/>
      <c r="AD479" s="24"/>
      <c r="AE479" s="24"/>
    </row>
    <row r="480" spans="1:31" ht="22.2" customHeight="1" x14ac:dyDescent="0.3">
      <c r="A480" s="66" t="str">
        <f>+IF(PROVEEDORES[[#This Row],[FECHA DE PAGO]]=PROVEEDORES[[#This Row],[FECHA DE FACTURACIÓN]],"DE CONTADO","CRÉDITO")</f>
        <v>DE CONTADO</v>
      </c>
      <c r="B480" s="38" t="b">
        <f>+IF((PROVEEDORES[[#This Row],[FECHA DE PAGO]]-PROVEEDORES[[#This Row],[FECHA DE FACTURACIÓN]])&gt;PROVEEDORES[[#This Row],[PLAZO Días]],"PAGO VENCIDO")</f>
        <v>0</v>
      </c>
      <c r="C480" s="20">
        <f>+VLOOKUP(PROVEEDORES[[#This Row],[PROVEEDOR]],TERCEROS_INFO[#All],2,FALSE)</f>
        <v>30</v>
      </c>
      <c r="D480" s="25">
        <f>+SUMIFS(PROVEEDORES[Total],PROVEEDORES[PROVEEDOR],PROVEEDORES[[#This Row],[PROVEEDOR]],PROVEEDORES[FECHA DE PAGO],"")</f>
        <v>0</v>
      </c>
      <c r="E480" s="25"/>
      <c r="F480" s="58" t="str">
        <f>+VLOOKUP(PROVEEDORES[[#This Row],[PROVEEDOR]],
                       Terceros!$A:$F,
                       5,
                       FALSE)</f>
        <v/>
      </c>
      <c r="G480" s="161">
        <v>44588</v>
      </c>
      <c r="H480" s="26" t="s">
        <v>652</v>
      </c>
      <c r="I480" s="161">
        <v>44588</v>
      </c>
      <c r="J480" s="35" t="s">
        <v>1565</v>
      </c>
      <c r="K480" s="21">
        <v>280000</v>
      </c>
      <c r="L480" s="21"/>
      <c r="M480" s="22">
        <f>(PROVEEDORES[[#This Row],[SUBTOTAL]]-PROVEEDORES[[#This Row],[descuento sobre subtotal]])*VLOOKUP(PROVEEDORES[[#This Row],[PROVEEDOR]],TERCEROS_INFO[#All],3,FALSE)</f>
        <v>0</v>
      </c>
      <c r="N480" s="23"/>
      <c r="O480" s="22">
        <f>+PROVEEDORES[[#This Row],[Descuento sobre subtotal %]]*(PROVEEDORES[[#This Row],[SUBTOTAL]]-PROVEEDORES[[#This Row],[descuento sobre subtotal]])</f>
        <v>0</v>
      </c>
      <c r="P480" s="83">
        <f>+IF(PROVEEDORES[[#This Row],[SUBTOTAL]]&lt;PROVEEDORES[[#This Row],[base retencion]],0,PROVEEDORES[[#This Row],[retención aplicada]])</f>
        <v>0</v>
      </c>
      <c r="Q480" s="22">
        <f>+PROVEEDORES[[#This Row],[Rete Fuente %]]*(PROVEEDORES[[#This Row],[SUBTOTAL]]-PROVEEDORES[[#This Row],[descuento sobre subtotal]])</f>
        <v>0</v>
      </c>
      <c r="R480" s="21">
        <v>280000</v>
      </c>
      <c r="S4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68">
        <f ca="1">IF(PROVEEDORES[[#This Row],[FECHA DE PAGO]]=0,TODAY()-PROVEEDORES[[#This Row],[FECHA DE FACTURACIÓN]]-PROVEEDORES[[#This Row],[PLAZO Días]],0)</f>
        <v>0</v>
      </c>
      <c r="U480" s="96">
        <f>+VLOOKUP(PROVEEDORES[[#This Row],[PROVEEDOR]],Terceros!$A:$D,4,FALSE)</f>
        <v>0</v>
      </c>
      <c r="V480" s="97">
        <f>+YEAR(PROVEEDORES[[#This Row],[FECHA DE FACTURACIÓN]])</f>
        <v>2022</v>
      </c>
      <c r="W480" s="97">
        <f>+MATCH(PROVEEDORES[[#This Row],[año facturado]],Retenciones!$1:$1,0)</f>
        <v>5</v>
      </c>
      <c r="X480" s="98">
        <f>+VLOOKUP(PROVEEDORES[[#This Row],[ID RETENCION]],Retenciones!$A$1:$O$25,PROVEEDORES[[#This Row],[indicador de columna]],FALSE)</f>
        <v>0</v>
      </c>
      <c r="Y480" s="99">
        <f>+VLOOKUP(PROVEEDORES[[#This Row],[ID RETENCION]],Retenciones!$A$1:$O$25,2,FALSE)</f>
        <v>0</v>
      </c>
      <c r="Z480" s="125" t="b">
        <f>OR(COUNTIF(PROVEEDORES[[#This Row],[PROVEEDOR]],"*"&amp;'Palabra no opera'!$A$2&amp;"*"))</f>
        <v>0</v>
      </c>
      <c r="AA480" s="24"/>
      <c r="AB480" s="24"/>
      <c r="AC480" s="24"/>
      <c r="AD480" s="24"/>
      <c r="AE480" s="24"/>
    </row>
    <row r="481" spans="1:31" ht="22.2" customHeight="1" x14ac:dyDescent="0.3">
      <c r="A481" s="66" t="str">
        <f>+IF(PROVEEDORES[[#This Row],[FECHA DE PAGO]]=PROVEEDORES[[#This Row],[FECHA DE FACTURACIÓN]],"DE CONTADO","CRÉDITO")</f>
        <v>CRÉDITO</v>
      </c>
      <c r="B481" s="38" t="b">
        <f>+IF((PROVEEDORES[[#This Row],[FECHA DE PAGO]]-PROVEEDORES[[#This Row],[FECHA DE FACTURACIÓN]])&gt;PROVEEDORES[[#This Row],[PLAZO Días]],"PAGO VENCIDO")</f>
        <v>0</v>
      </c>
      <c r="C481" s="20">
        <f>+VLOOKUP(PROVEEDORES[[#This Row],[PROVEEDOR]],TERCEROS_INFO[#All],2,FALSE)</f>
        <v>30</v>
      </c>
      <c r="D481" s="25">
        <f>+SUMIFS(PROVEEDORES[Total],PROVEEDORES[PROVEEDOR],PROVEEDORES[[#This Row],[PROVEEDOR]],PROVEEDORES[FECHA DE PAGO],"")</f>
        <v>0</v>
      </c>
      <c r="E481" s="25"/>
      <c r="F481" s="58">
        <f>+VLOOKUP(PROVEEDORES[[#This Row],[PROVEEDOR]],
                       Terceros!$A:$F,
                       5,
                       FALSE)</f>
        <v>0</v>
      </c>
      <c r="G481" s="161">
        <v>44630</v>
      </c>
      <c r="H481" s="26" t="s">
        <v>932</v>
      </c>
      <c r="I481" s="161">
        <v>44621</v>
      </c>
      <c r="J481" s="35" t="s">
        <v>307</v>
      </c>
      <c r="K481" s="21">
        <v>282057</v>
      </c>
      <c r="L481" s="21"/>
      <c r="M481" s="22">
        <f>(PROVEEDORES[[#This Row],[SUBTOTAL]]-PROVEEDORES[[#This Row],[descuento sobre subtotal]])*VLOOKUP(PROVEEDORES[[#This Row],[PROVEEDOR]],TERCEROS_INFO[#All],3,FALSE)</f>
        <v>0</v>
      </c>
      <c r="N481" s="23"/>
      <c r="O481" s="22">
        <f>+PROVEEDORES[[#This Row],[Descuento sobre subtotal %]]*(PROVEEDORES[[#This Row],[SUBTOTAL]]-PROVEEDORES[[#This Row],[descuento sobre subtotal]])</f>
        <v>0</v>
      </c>
      <c r="P481" s="83">
        <f>+IF(PROVEEDORES[[#This Row],[SUBTOTAL]]&lt;PROVEEDORES[[#This Row],[base retencion]],0,PROVEEDORES[[#This Row],[retención aplicada]])</f>
        <v>0</v>
      </c>
      <c r="Q481" s="22">
        <f>+PROVEEDORES[[#This Row],[Rete Fuente %]]*(PROVEEDORES[[#This Row],[SUBTOTAL]]-PROVEEDORES[[#This Row],[descuento sobre subtotal]])</f>
        <v>0</v>
      </c>
      <c r="R481" s="21">
        <v>282057</v>
      </c>
      <c r="S4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68">
        <f ca="1">IF(PROVEEDORES[[#This Row],[FECHA DE PAGO]]=0,TODAY()-PROVEEDORES[[#This Row],[FECHA DE FACTURACIÓN]]-PROVEEDORES[[#This Row],[PLAZO Días]],0)</f>
        <v>0</v>
      </c>
      <c r="U481" s="96">
        <f>+VLOOKUP(PROVEEDORES[[#This Row],[PROVEEDOR]],Terceros!$A:$D,4,FALSE)</f>
        <v>0</v>
      </c>
      <c r="V481" s="97">
        <f>+YEAR(PROVEEDORES[[#This Row],[FECHA DE FACTURACIÓN]])</f>
        <v>2022</v>
      </c>
      <c r="W481" s="97">
        <f>+MATCH(PROVEEDORES[[#This Row],[año facturado]],Retenciones!$1:$1,0)</f>
        <v>5</v>
      </c>
      <c r="X481" s="98">
        <f>+VLOOKUP(PROVEEDORES[[#This Row],[ID RETENCION]],Retenciones!$A$1:$O$25,PROVEEDORES[[#This Row],[indicador de columna]],FALSE)</f>
        <v>0</v>
      </c>
      <c r="Y481" s="99">
        <f>+VLOOKUP(PROVEEDORES[[#This Row],[ID RETENCION]],Retenciones!$A$1:$O$25,2,FALSE)</f>
        <v>0</v>
      </c>
      <c r="Z481" s="125" t="b">
        <f>OR(COUNTIF(PROVEEDORES[[#This Row],[PROVEEDOR]],"*"&amp;'Palabra no opera'!$A$2&amp;"*"))</f>
        <v>1</v>
      </c>
      <c r="AA481" s="24"/>
      <c r="AB481" s="24"/>
      <c r="AC481" s="24"/>
      <c r="AD481" s="24"/>
      <c r="AE481" s="24"/>
    </row>
    <row r="482" spans="1:31" ht="22.2" customHeight="1" x14ac:dyDescent="0.3">
      <c r="A482" s="221" t="str">
        <f>+IF(PROVEEDORES[[#This Row],[FECHA DE PAGO]]=PROVEEDORES[[#This Row],[FECHA DE FACTURACIÓN]],"DE CONTADO","CRÉDITO")</f>
        <v>DE CONTADO</v>
      </c>
      <c r="B482" s="38" t="b">
        <f>+IF((PROVEEDORES[[#This Row],[FECHA DE PAGO]]-PROVEEDORES[[#This Row],[FECHA DE FACTURACIÓN]])&gt;PROVEEDORES[[#This Row],[PLAZO Días]],"PAGO VENCIDO")</f>
        <v>0</v>
      </c>
      <c r="C482" s="20">
        <f>+VLOOKUP(PROVEEDORES[[#This Row],[PROVEEDOR]],TERCEROS_INFO[#All],2,FALSE)</f>
        <v>30</v>
      </c>
      <c r="D482" s="25">
        <f>+SUMIFS(PROVEEDORES[Total],PROVEEDORES[PROVEEDOR],PROVEEDORES[[#This Row],[PROVEEDOR]],PROVEEDORES[FECHA DE PAGO],"")</f>
        <v>0</v>
      </c>
      <c r="E482" s="25"/>
      <c r="F482" s="58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482" s="161">
        <v>44824</v>
      </c>
      <c r="H482" s="26" t="s">
        <v>910</v>
      </c>
      <c r="I482" s="161">
        <v>44824</v>
      </c>
      <c r="J482" s="35">
        <v>4281</v>
      </c>
      <c r="K482" s="21">
        <v>283612</v>
      </c>
      <c r="L482" s="21"/>
      <c r="M482" s="22">
        <f>(PROVEEDORES[[#This Row],[SUBTOTAL]]-PROVEEDORES[[#This Row],[descuento sobre subtotal]])*VLOOKUP(PROVEEDORES[[#This Row],[PROVEEDOR]],TERCEROS_INFO[#All],3,FALSE)</f>
        <v>0</v>
      </c>
      <c r="N482" s="23"/>
      <c r="O482" s="22">
        <f>+PROVEEDORES[[#This Row],[Descuento sobre subtotal %]]*(PROVEEDORES[[#This Row],[SUBTOTAL]]-PROVEEDORES[[#This Row],[descuento sobre subtotal]])</f>
        <v>0</v>
      </c>
      <c r="P482" s="83">
        <f>+IF(PROVEEDORES[[#This Row],[SUBTOTAL]]&lt;PROVEEDORES[[#This Row],[base retencion]],0,PROVEEDORES[[#This Row],[retención aplicada]])</f>
        <v>0</v>
      </c>
      <c r="Q482" s="22">
        <f>+PROVEEDORES[[#This Row],[Rete Fuente %]]*(PROVEEDORES[[#This Row],[SUBTOTAL]]-PROVEEDORES[[#This Row],[descuento sobre subtotal]])</f>
        <v>0</v>
      </c>
      <c r="R482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482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68">
        <f ca="1">IF(PROVEEDORES[[#This Row],[FECHA DE PAGO]]=0,TODAY()-PROVEEDORES[[#This Row],[FECHA DE FACTURACIÓN]]-PROVEEDORES[[#This Row],[PLAZO Días]],0)</f>
        <v>0</v>
      </c>
      <c r="U482" s="113">
        <f>+VLOOKUP(PROVEEDORES[[#This Row],[PROVEEDOR]],Terceros!$A:$D,4,FALSE)</f>
        <v>0</v>
      </c>
      <c r="V482" s="114">
        <f>+YEAR(PROVEEDORES[[#This Row],[FECHA DE FACTURACIÓN]])</f>
        <v>2022</v>
      </c>
      <c r="W482" s="114">
        <f>+MATCH(PROVEEDORES[[#This Row],[año facturado]],Retenciones!$1:$1,0)</f>
        <v>5</v>
      </c>
      <c r="X482" s="115">
        <f>+VLOOKUP(PROVEEDORES[[#This Row],[ID RETENCION]],Retenciones!$A$1:$O$25,PROVEEDORES[[#This Row],[indicador de columna]],FALSE)</f>
        <v>0</v>
      </c>
      <c r="Y482" s="116">
        <f>+VLOOKUP(PROVEEDORES[[#This Row],[ID RETENCION]],Retenciones!$A$1:$O$25,2,FALSE)</f>
        <v>0</v>
      </c>
      <c r="Z482" s="125" t="b">
        <f>OR(COUNTIF(PROVEEDORES[[#This Row],[PROVEEDOR]],"*"&amp;'Palabra no opera'!$A$2&amp;"*"))</f>
        <v>1</v>
      </c>
      <c r="AA482" s="24"/>
      <c r="AB482" s="24"/>
      <c r="AC482" s="24"/>
      <c r="AD482" s="24"/>
      <c r="AE482" s="24"/>
    </row>
    <row r="483" spans="1:31" ht="22.2" customHeight="1" x14ac:dyDescent="0.3">
      <c r="A483" s="72" t="str">
        <f>+IF(PROVEEDORES[[#This Row],[FECHA DE PAGO]]=PROVEEDORES[[#This Row],[FECHA DE FACTURACIÓN]],"DE CONTADO","CRÉDITO")</f>
        <v>CRÉDITO</v>
      </c>
      <c r="B483" s="38" t="b">
        <f>+IF((PROVEEDORES[[#This Row],[FECHA DE PAGO]]-PROVEEDORES[[#This Row],[FECHA DE FACTURACIÓN]])&gt;PROVEEDORES[[#This Row],[PLAZO Días]],"PAGO VENCIDO")</f>
        <v>0</v>
      </c>
      <c r="C483" s="20">
        <f>+VLOOKUP(PROVEEDORES[[#This Row],[PROVEEDOR]],TERCEROS_INFO[#All],2,FALSE)</f>
        <v>60</v>
      </c>
      <c r="D483" s="25">
        <f>+SUMIFS(PROVEEDORES[Total],PROVEEDORES[PROVEEDOR],PROVEEDORES[[#This Row],[PROVEEDOR]],PROVEEDORES[FECHA DE PAGO],"")</f>
        <v>1520362</v>
      </c>
      <c r="E483" s="25"/>
      <c r="F48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83" s="161">
        <v>44870</v>
      </c>
      <c r="H483" s="26" t="s">
        <v>528</v>
      </c>
      <c r="I483" s="74">
        <v>44832</v>
      </c>
      <c r="J483" s="35">
        <v>1491</v>
      </c>
      <c r="K483" s="21">
        <v>283612</v>
      </c>
      <c r="L483" s="21"/>
      <c r="M483" s="22">
        <f>(PROVEEDORES[[#This Row],[SUBTOTAL]]-PROVEEDORES[[#This Row],[descuento sobre subtotal]])*VLOOKUP(PROVEEDORES[[#This Row],[PROVEEDOR]],TERCEROS_INFO[#All],3,FALSE)</f>
        <v>0</v>
      </c>
      <c r="N483" s="23"/>
      <c r="O483" s="22">
        <f>+PROVEEDORES[[#This Row],[Descuento sobre subtotal %]]*(PROVEEDORES[[#This Row],[SUBTOTAL]]-PROVEEDORES[[#This Row],[descuento sobre subtotal]])</f>
        <v>0</v>
      </c>
      <c r="P483" s="83">
        <f>+IF(PROVEEDORES[[#This Row],[SUBTOTAL]]&lt;PROVEEDORES[[#This Row],[base retencion]],0,PROVEEDORES[[#This Row],[retención aplicada]])</f>
        <v>0</v>
      </c>
      <c r="Q483" s="22">
        <f>+PROVEEDORES[[#This Row],[Rete Fuente %]]*(PROVEEDORES[[#This Row],[SUBTOTAL]]-PROVEEDORES[[#This Row],[descuento sobre subtotal]])</f>
        <v>0</v>
      </c>
      <c r="R483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48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68">
        <f ca="1">IF(PROVEEDORES[[#This Row],[FECHA DE PAGO]]=0,TODAY()-PROVEEDORES[[#This Row],[FECHA DE FACTURACIÓN]]-PROVEEDORES[[#This Row],[PLAZO Días]],0)</f>
        <v>0</v>
      </c>
      <c r="U483" s="113">
        <f>+VLOOKUP(PROVEEDORES[[#This Row],[PROVEEDOR]],Terceros!$A:$D,4,FALSE)</f>
        <v>0</v>
      </c>
      <c r="V483" s="114">
        <f>+YEAR(PROVEEDORES[[#This Row],[FECHA DE FACTURACIÓN]])</f>
        <v>2022</v>
      </c>
      <c r="W483" s="114">
        <f>+MATCH(PROVEEDORES[[#This Row],[año facturado]],Retenciones!$1:$1,0)</f>
        <v>5</v>
      </c>
      <c r="X483" s="115">
        <f>+VLOOKUP(PROVEEDORES[[#This Row],[ID RETENCION]],Retenciones!$A$1:$O$25,PROVEEDORES[[#This Row],[indicador de columna]],FALSE)</f>
        <v>0</v>
      </c>
      <c r="Y483" s="116">
        <f>+VLOOKUP(PROVEEDORES[[#This Row],[ID RETENCION]],Retenciones!$A$1:$O$25,2,FALSE)</f>
        <v>0</v>
      </c>
      <c r="Z483" s="125" t="b">
        <f>OR(COUNTIF(PROVEEDORES[[#This Row],[PROVEEDOR]],"*"&amp;'Palabra no opera'!$A$2&amp;"*"))</f>
        <v>0</v>
      </c>
      <c r="AA483" s="24"/>
      <c r="AB483" s="24"/>
      <c r="AC483" s="24"/>
      <c r="AD483" s="24"/>
      <c r="AE483" s="24"/>
    </row>
    <row r="484" spans="1:31" ht="22.2" customHeight="1" x14ac:dyDescent="0.3">
      <c r="A484" s="207" t="str">
        <f>+IF(PROVEEDORES[[#This Row],[FECHA DE PAGO]]=PROVEEDORES[[#This Row],[FECHA DE FACTURACIÓN]],"DE CONTADO","CRÉDITO")</f>
        <v>DE CONTADO</v>
      </c>
      <c r="B484" s="38" t="b">
        <f>+IF((PROVEEDORES[[#This Row],[FECHA DE PAGO]]-PROVEEDORES[[#This Row],[FECHA DE FACTURACIÓN]])&gt;PROVEEDORES[[#This Row],[PLAZO Días]],"PAGO VENCIDO")</f>
        <v>0</v>
      </c>
      <c r="C484" s="20">
        <f>+VLOOKUP(PROVEEDORES[[#This Row],[PROVEEDOR]],TERCEROS_INFO[#All],2,FALSE)</f>
        <v>0</v>
      </c>
      <c r="D484" s="25">
        <f>+SUMIFS(PROVEEDORES[Total],PROVEEDORES[PROVEEDOR],PROVEEDORES[[#This Row],[PROVEEDOR]],PROVEEDORES[FECHA DE PAGO],"")</f>
        <v>0</v>
      </c>
      <c r="E484" s="25"/>
      <c r="F484" s="58" t="str">
        <f>+VLOOKUP(PROVEEDORES[[#This Row],[PROVEEDOR]],
                       Terceros!$A:$F,
                       5,
                       FALSE)</f>
        <v>pse</v>
      </c>
      <c r="G484" s="161">
        <v>44797</v>
      </c>
      <c r="H484" s="26" t="s">
        <v>1633</v>
      </c>
      <c r="I484" s="161">
        <v>44797</v>
      </c>
      <c r="J484" s="35" t="s">
        <v>1634</v>
      </c>
      <c r="K484" s="21">
        <v>238655.46</v>
      </c>
      <c r="L484" s="21"/>
      <c r="M484" s="22">
        <f>(PROVEEDORES[[#This Row],[SUBTOTAL]]-PROVEEDORES[[#This Row],[descuento sobre subtotal]])*VLOOKUP(PROVEEDORES[[#This Row],[PROVEEDOR]],TERCEROS_INFO[#All],3,FALSE)</f>
        <v>45344.537400000001</v>
      </c>
      <c r="N484" s="23"/>
      <c r="O484" s="22">
        <f>+PROVEEDORES[[#This Row],[Descuento sobre subtotal %]]*(PROVEEDORES[[#This Row],[SUBTOTAL]]-PROVEEDORES[[#This Row],[descuento sobre subtotal]])</f>
        <v>0</v>
      </c>
      <c r="P484" s="83">
        <f>+IF(PROVEEDORES[[#This Row],[SUBTOTAL]]&lt;PROVEEDORES[[#This Row],[base retencion]],0,PROVEEDORES[[#This Row],[retención aplicada]])</f>
        <v>0</v>
      </c>
      <c r="Q484" s="22">
        <f>+PROVEEDORES[[#This Row],[Rete Fuente %]]*(PROVEEDORES[[#This Row],[SUBTOTAL]]-PROVEEDORES[[#This Row],[descuento sobre subtotal]])</f>
        <v>0</v>
      </c>
      <c r="R484" s="21">
        <f>+PROVEEDORES[[#This Row],[SUBTOTAL]]+PROVEEDORES[[#This Row],[IVA 19%]]-PROVEEDORES[[#This Row],[descuento sobre subtotal]]-PROVEEDORES[[#This Row],[Descuento sobre subtotal $2]]-PROVEEDORES[[#This Row],[Rete Fuente $]]</f>
        <v>283999.99739999999</v>
      </c>
      <c r="S484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68">
        <f ca="1">IF(PROVEEDORES[[#This Row],[FECHA DE PAGO]]=0,TODAY()-PROVEEDORES[[#This Row],[FECHA DE FACTURACIÓN]]-PROVEEDORES[[#This Row],[PLAZO Días]],0)</f>
        <v>0</v>
      </c>
      <c r="U484" s="113" t="str">
        <f>+VLOOKUP(PROVEEDORES[[#This Row],[PROVEEDOR]],Terceros!$A:$D,4,FALSE)</f>
        <v>2,5% con base</v>
      </c>
      <c r="V484" s="114">
        <f>+YEAR(PROVEEDORES[[#This Row],[FECHA DE FACTURACIÓN]])</f>
        <v>2022</v>
      </c>
      <c r="W484" s="114">
        <f>+MATCH(PROVEEDORES[[#This Row],[año facturado]],Retenciones!$1:$1,0)</f>
        <v>5</v>
      </c>
      <c r="X484" s="115">
        <f>+VLOOKUP(PROVEEDORES[[#This Row],[ID RETENCION]],Retenciones!$A$1:$O$25,PROVEEDORES[[#This Row],[indicador de columna]],FALSE)</f>
        <v>1026000</v>
      </c>
      <c r="Y484" s="116">
        <f>+VLOOKUP(PROVEEDORES[[#This Row],[ID RETENCION]],Retenciones!$A$1:$O$25,2,FALSE)</f>
        <v>2.5000000000000001E-2</v>
      </c>
      <c r="Z484" s="125" t="b">
        <f>OR(COUNTIF(PROVEEDORES[[#This Row],[PROVEEDOR]],"*"&amp;'Palabra no opera'!$A$2&amp;"*"))</f>
        <v>1</v>
      </c>
      <c r="AA484" s="24"/>
      <c r="AB484" s="24"/>
      <c r="AC484" s="24"/>
      <c r="AD484" s="24"/>
      <c r="AE484" s="24"/>
    </row>
    <row r="485" spans="1:31" ht="22.2" customHeight="1" x14ac:dyDescent="0.3">
      <c r="A485" s="66" t="str">
        <f>+IF(PROVEEDORES[[#This Row],[FECHA DE PAGO]]=PROVEEDORES[[#This Row],[FECHA DE FACTURACIÓN]],"DE CONTADO","CRÉDITO")</f>
        <v>CRÉDITO</v>
      </c>
      <c r="B485" s="38" t="b">
        <f>+IF((PROVEEDORES[[#This Row],[FECHA DE PAGO]]-PROVEEDORES[[#This Row],[FECHA DE FACTURACIÓN]])&gt;PROVEEDORES[[#This Row],[PLAZO Días]],"PAGO VENCIDO")</f>
        <v>0</v>
      </c>
      <c r="C485" s="20">
        <f>+VLOOKUP(PROVEEDORES[[#This Row],[PROVEEDOR]],TERCEROS_INFO[#All],2,FALSE)</f>
        <v>30</v>
      </c>
      <c r="D485" s="25">
        <f>+SUMIFS(PROVEEDORES[Total],PROVEEDORES[PROVEEDOR],PROVEEDORES[[#This Row],[PROVEEDOR]],PROVEEDORES[FECHA DE PAGO],"")</f>
        <v>0</v>
      </c>
      <c r="E485" s="25"/>
      <c r="F485" s="58" t="str">
        <f>+VLOOKUP(PROVEEDORES[[#This Row],[PROVEEDOR]],
                       Terceros!$A:$F,
                       5,
                       FALSE)</f>
        <v>facturacion@losmolinos.com.co</v>
      </c>
      <c r="G485" s="161">
        <v>44607</v>
      </c>
      <c r="H485" s="26" t="s">
        <v>940</v>
      </c>
      <c r="I485" s="161">
        <v>44593</v>
      </c>
      <c r="J485" s="35">
        <v>66158</v>
      </c>
      <c r="K485" s="21">
        <v>284467</v>
      </c>
      <c r="L485" s="21"/>
      <c r="M485" s="22">
        <f>(PROVEEDORES[[#This Row],[SUBTOTAL]]-PROVEEDORES[[#This Row],[descuento sobre subtotal]])*VLOOKUP(PROVEEDORES[[#This Row],[PROVEEDOR]],TERCEROS_INFO[#All],3,FALSE)</f>
        <v>0</v>
      </c>
      <c r="N485" s="23"/>
      <c r="O485" s="22">
        <f>+PROVEEDORES[[#This Row],[Descuento sobre subtotal %]]*(PROVEEDORES[[#This Row],[SUBTOTAL]]-PROVEEDORES[[#This Row],[descuento sobre subtotal]])</f>
        <v>0</v>
      </c>
      <c r="P485" s="83">
        <f>+IF(PROVEEDORES[[#This Row],[SUBTOTAL]]&lt;PROVEEDORES[[#This Row],[base retencion]],0,PROVEEDORES[[#This Row],[retención aplicada]])</f>
        <v>0</v>
      </c>
      <c r="Q485" s="22">
        <f>+PROVEEDORES[[#This Row],[Rete Fuente %]]*(PROVEEDORES[[#This Row],[SUBTOTAL]]-PROVEEDORES[[#This Row],[descuento sobre subtotal]])</f>
        <v>0</v>
      </c>
      <c r="R485" s="21">
        <v>284467</v>
      </c>
      <c r="S4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68">
        <f ca="1">IF(PROVEEDORES[[#This Row],[FECHA DE PAGO]]=0,TODAY()-PROVEEDORES[[#This Row],[FECHA DE FACTURACIÓN]]-PROVEEDORES[[#This Row],[PLAZO Días]],0)</f>
        <v>0</v>
      </c>
      <c r="U485" s="96">
        <f>+VLOOKUP(PROVEEDORES[[#This Row],[PROVEEDOR]],Terceros!$A:$D,4,FALSE)</f>
        <v>0</v>
      </c>
      <c r="V485" s="97">
        <f>+YEAR(PROVEEDORES[[#This Row],[FECHA DE FACTURACIÓN]])</f>
        <v>2022</v>
      </c>
      <c r="W485" s="97">
        <f>+MATCH(PROVEEDORES[[#This Row],[año facturado]],Retenciones!$1:$1,0)</f>
        <v>5</v>
      </c>
      <c r="X485" s="98">
        <f>+VLOOKUP(PROVEEDORES[[#This Row],[ID RETENCION]],Retenciones!$A$1:$O$25,PROVEEDORES[[#This Row],[indicador de columna]],FALSE)</f>
        <v>0</v>
      </c>
      <c r="Y485" s="99">
        <f>+VLOOKUP(PROVEEDORES[[#This Row],[ID RETENCION]],Retenciones!$A$1:$O$25,2,FALSE)</f>
        <v>0</v>
      </c>
      <c r="Z485" s="125" t="b">
        <f>OR(COUNTIF(PROVEEDORES[[#This Row],[PROVEEDOR]],"*"&amp;'Palabra no opera'!$A$2&amp;"*"))</f>
        <v>1</v>
      </c>
      <c r="AA485" s="24"/>
      <c r="AB485" s="24"/>
      <c r="AC485" s="24"/>
      <c r="AD485" s="24"/>
      <c r="AE485" s="24"/>
    </row>
    <row r="486" spans="1:31" ht="22.2" customHeight="1" x14ac:dyDescent="0.3">
      <c r="A486" s="123" t="str">
        <f>+IF(PROVEEDORES[[#This Row],[FECHA DE PAGO]]=PROVEEDORES[[#This Row],[FECHA DE FACTURACIÓN]],"DE CONTADO","CRÉDITO")</f>
        <v>CRÉDITO</v>
      </c>
      <c r="B486" s="38" t="b">
        <f>+IF((PROVEEDORES[[#This Row],[FECHA DE PAGO]]-PROVEEDORES[[#This Row],[FECHA DE FACTURACIÓN]])&gt;PROVEEDORES[[#This Row],[PLAZO Días]],"PAGO VENCIDO")</f>
        <v>0</v>
      </c>
      <c r="C486" s="20">
        <f>+VLOOKUP(PROVEEDORES[[#This Row],[PROVEEDOR]],TERCEROS_INFO[#All],2,FALSE)</f>
        <v>30</v>
      </c>
      <c r="D486" s="25">
        <f>+SUMIFS(PROVEEDORES[Total],PROVEEDORES[PROVEEDOR],PROVEEDORES[[#This Row],[PROVEEDOR]],PROVEEDORES[FECHA DE PAGO],"")</f>
        <v>0</v>
      </c>
      <c r="E486" s="25"/>
      <c r="F486" s="58" t="str">
        <f>+VLOOKUP(PROVEEDORES[[#This Row],[PROVEEDOR]],
                       Terceros!$A:$F,
                       5,
                       FALSE)</f>
        <v>facturacion@losmolinos.com.co</v>
      </c>
      <c r="G486" s="161">
        <v>44691</v>
      </c>
      <c r="H486" s="26" t="s">
        <v>940</v>
      </c>
      <c r="I486" s="161">
        <v>44682</v>
      </c>
      <c r="J486" s="35">
        <v>67313</v>
      </c>
      <c r="K486" s="21">
        <v>284467</v>
      </c>
      <c r="L486" s="21"/>
      <c r="M486" s="22">
        <f>(PROVEEDORES[[#This Row],[SUBTOTAL]]-PROVEEDORES[[#This Row],[descuento sobre subtotal]])*VLOOKUP(PROVEEDORES[[#This Row],[PROVEEDOR]],TERCEROS_INFO[#All],3,FALSE)</f>
        <v>0</v>
      </c>
      <c r="N486" s="23"/>
      <c r="O486" s="22">
        <f>+PROVEEDORES[[#This Row],[Descuento sobre subtotal %]]*(PROVEEDORES[[#This Row],[SUBTOTAL]]-PROVEEDORES[[#This Row],[descuento sobre subtotal]])</f>
        <v>0</v>
      </c>
      <c r="P486" s="83">
        <f>+IF(PROVEEDORES[[#This Row],[SUBTOTAL]]&lt;PROVEEDORES[[#This Row],[base retencion]],0,PROVEEDORES[[#This Row],[retención aplicada]])</f>
        <v>0</v>
      </c>
      <c r="Q486" s="22">
        <f>+PROVEEDORES[[#This Row],[Rete Fuente %]]*(PROVEEDORES[[#This Row],[SUBTOTAL]]-PROVEEDORES[[#This Row],[descuento sobre subtotal]])</f>
        <v>0</v>
      </c>
      <c r="R486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8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68">
        <f ca="1">IF(PROVEEDORES[[#This Row],[FECHA DE PAGO]]=0,TODAY()-PROVEEDORES[[#This Row],[FECHA DE FACTURACIÓN]]-PROVEEDORES[[#This Row],[PLAZO Días]],0)</f>
        <v>0</v>
      </c>
      <c r="U486" s="113">
        <f>+VLOOKUP(PROVEEDORES[[#This Row],[PROVEEDOR]],Terceros!$A:$D,4,FALSE)</f>
        <v>0</v>
      </c>
      <c r="V486" s="114">
        <f>+YEAR(PROVEEDORES[[#This Row],[FECHA DE FACTURACIÓN]])</f>
        <v>2022</v>
      </c>
      <c r="W486" s="114">
        <f>+MATCH(PROVEEDORES[[#This Row],[año facturado]],Retenciones!$1:$1,0)</f>
        <v>5</v>
      </c>
      <c r="X486" s="115">
        <f>+VLOOKUP(PROVEEDORES[[#This Row],[ID RETENCION]],Retenciones!$A$1:$O$25,PROVEEDORES[[#This Row],[indicador de columna]],FALSE)</f>
        <v>0</v>
      </c>
      <c r="Y486" s="116">
        <f>+VLOOKUP(PROVEEDORES[[#This Row],[ID RETENCION]],Retenciones!$A$1:$O$25,2,FALSE)</f>
        <v>0</v>
      </c>
      <c r="Z486" s="125" t="b">
        <f>OR(COUNTIF(PROVEEDORES[[#This Row],[PROVEEDOR]],"*"&amp;'Palabra no opera'!$A$2&amp;"*"))</f>
        <v>1</v>
      </c>
      <c r="AA486" s="24"/>
      <c r="AB486" s="24"/>
      <c r="AC486" s="24"/>
      <c r="AD486" s="24"/>
      <c r="AE486" s="24"/>
    </row>
    <row r="487" spans="1:31" ht="22.2" customHeight="1" x14ac:dyDescent="0.3">
      <c r="A487" s="146" t="str">
        <f>+IF(PROVEEDORES[[#This Row],[FECHA DE PAGO]]=PROVEEDORES[[#This Row],[FECHA DE FACTURACIÓN]],"DE CONTADO","CRÉDITO")</f>
        <v>CRÉDITO</v>
      </c>
      <c r="B487" s="38" t="b">
        <f>+IF((PROVEEDORES[[#This Row],[FECHA DE PAGO]]-PROVEEDORES[[#This Row],[FECHA DE FACTURACIÓN]])&gt;PROVEEDORES[[#This Row],[PLAZO Días]],"PAGO VENCIDO")</f>
        <v>0</v>
      </c>
      <c r="C487" s="20">
        <f>+VLOOKUP(PROVEEDORES[[#This Row],[PROVEEDOR]],TERCEROS_INFO[#All],2,FALSE)</f>
        <v>30</v>
      </c>
      <c r="D487" s="25">
        <f>+SUMIFS(PROVEEDORES[Total],PROVEEDORES[PROVEEDOR],PROVEEDORES[[#This Row],[PROVEEDOR]],PROVEEDORES[FECHA DE PAGO],"")</f>
        <v>0</v>
      </c>
      <c r="E487" s="25"/>
      <c r="F487" s="58" t="str">
        <f>+VLOOKUP(PROVEEDORES[[#This Row],[PROVEEDOR]],
                       Terceros!$A:$F,
                       5,
                       FALSE)</f>
        <v>facturacion@losmolinos.com.co</v>
      </c>
      <c r="G487" s="161">
        <v>44729</v>
      </c>
      <c r="H487" s="26" t="s">
        <v>940</v>
      </c>
      <c r="I487" s="161">
        <v>44713</v>
      </c>
      <c r="J487" s="35">
        <v>67699</v>
      </c>
      <c r="K487" s="21">
        <v>284467</v>
      </c>
      <c r="L487" s="21"/>
      <c r="M487" s="22">
        <f>(PROVEEDORES[[#This Row],[SUBTOTAL]]-PROVEEDORES[[#This Row],[descuento sobre subtotal]])*VLOOKUP(PROVEEDORES[[#This Row],[PROVEEDOR]],TERCEROS_INFO[#All],3,FALSE)</f>
        <v>0</v>
      </c>
      <c r="N487" s="23"/>
      <c r="O487" s="22">
        <f>+PROVEEDORES[[#This Row],[Descuento sobre subtotal %]]*(PROVEEDORES[[#This Row],[SUBTOTAL]]-PROVEEDORES[[#This Row],[descuento sobre subtotal]])</f>
        <v>0</v>
      </c>
      <c r="P487" s="83">
        <f>+IF(PROVEEDORES[[#This Row],[SUBTOTAL]]&lt;PROVEEDORES[[#This Row],[base retencion]],0,PROVEEDORES[[#This Row],[retención aplicada]])</f>
        <v>0</v>
      </c>
      <c r="Q487" s="22">
        <f>+PROVEEDORES[[#This Row],[Rete Fuente %]]*(PROVEEDORES[[#This Row],[SUBTOTAL]]-PROVEEDORES[[#This Row],[descuento sobre subtotal]])</f>
        <v>0</v>
      </c>
      <c r="R487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87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68">
        <f ca="1">IF(PROVEEDORES[[#This Row],[FECHA DE PAGO]]=0,TODAY()-PROVEEDORES[[#This Row],[FECHA DE FACTURACIÓN]]-PROVEEDORES[[#This Row],[PLAZO Días]],0)</f>
        <v>0</v>
      </c>
      <c r="U487" s="113">
        <f>+VLOOKUP(PROVEEDORES[[#This Row],[PROVEEDOR]],Terceros!$A:$D,4,FALSE)</f>
        <v>0</v>
      </c>
      <c r="V487" s="114">
        <f>+YEAR(PROVEEDORES[[#This Row],[FECHA DE FACTURACIÓN]])</f>
        <v>2022</v>
      </c>
      <c r="W487" s="114">
        <f>+MATCH(PROVEEDORES[[#This Row],[año facturado]],Retenciones!$1:$1,0)</f>
        <v>5</v>
      </c>
      <c r="X487" s="115">
        <f>+VLOOKUP(PROVEEDORES[[#This Row],[ID RETENCION]],Retenciones!$A$1:$O$25,PROVEEDORES[[#This Row],[indicador de columna]],FALSE)</f>
        <v>0</v>
      </c>
      <c r="Y487" s="116">
        <f>+VLOOKUP(PROVEEDORES[[#This Row],[ID RETENCION]],Retenciones!$A$1:$O$25,2,FALSE)</f>
        <v>0</v>
      </c>
      <c r="Z487" s="125" t="b">
        <f>OR(COUNTIF(PROVEEDORES[[#This Row],[PROVEEDOR]],"*"&amp;'Palabra no opera'!$A$2&amp;"*"))</f>
        <v>1</v>
      </c>
      <c r="AA487" s="24"/>
      <c r="AB487" s="24"/>
      <c r="AC487" s="24"/>
      <c r="AD487" s="24"/>
      <c r="AE487" s="24"/>
    </row>
    <row r="488" spans="1:31" ht="22.2" customHeight="1" x14ac:dyDescent="0.3">
      <c r="A488" s="159" t="str">
        <f>+IF(PROVEEDORES[[#This Row],[FECHA DE PAGO]]=PROVEEDORES[[#This Row],[FECHA DE FACTURACIÓN]],"DE CONTADO","CRÉDITO")</f>
        <v>CRÉDITO</v>
      </c>
      <c r="B488" s="38" t="b">
        <f>+IF((PROVEEDORES[[#This Row],[FECHA DE PAGO]]-PROVEEDORES[[#This Row],[FECHA DE FACTURACIÓN]])&gt;PROVEEDORES[[#This Row],[PLAZO Días]],"PAGO VENCIDO")</f>
        <v>0</v>
      </c>
      <c r="C488" s="20">
        <f>+VLOOKUP(PROVEEDORES[[#This Row],[PROVEEDOR]],TERCEROS_INFO[#All],2,FALSE)</f>
        <v>30</v>
      </c>
      <c r="D488" s="25">
        <f>+SUMIFS(PROVEEDORES[Total],PROVEEDORES[PROVEEDOR],PROVEEDORES[[#This Row],[PROVEEDOR]],PROVEEDORES[FECHA DE PAGO],"")</f>
        <v>0</v>
      </c>
      <c r="E488" s="25"/>
      <c r="F488" s="58" t="str">
        <f>+VLOOKUP(PROVEEDORES[[#This Row],[PROVEEDOR]],
                       Terceros!$A:$F,
                       5,
                       FALSE)</f>
        <v>facturacion@losmolinos.com.co</v>
      </c>
      <c r="G488" s="161">
        <v>44751</v>
      </c>
      <c r="H488" s="26" t="s">
        <v>940</v>
      </c>
      <c r="I488" s="161">
        <v>44743</v>
      </c>
      <c r="J488" s="35">
        <v>68089</v>
      </c>
      <c r="K488" s="21">
        <v>284467</v>
      </c>
      <c r="L488" s="21"/>
      <c r="M488" s="22">
        <f>(PROVEEDORES[[#This Row],[SUBTOTAL]]-PROVEEDORES[[#This Row],[descuento sobre subtotal]])*VLOOKUP(PROVEEDORES[[#This Row],[PROVEEDOR]],TERCEROS_INFO[#All],3,FALSE)</f>
        <v>0</v>
      </c>
      <c r="N488" s="23"/>
      <c r="O488" s="22">
        <f>+PROVEEDORES[[#This Row],[Descuento sobre subtotal %]]*(PROVEEDORES[[#This Row],[SUBTOTAL]]-PROVEEDORES[[#This Row],[descuento sobre subtotal]])</f>
        <v>0</v>
      </c>
      <c r="P488" s="83">
        <f>+IF(PROVEEDORES[[#This Row],[SUBTOTAL]]&lt;PROVEEDORES[[#This Row],[base retencion]],0,PROVEEDORES[[#This Row],[retención aplicada]])</f>
        <v>0</v>
      </c>
      <c r="Q488" s="22">
        <f>+PROVEEDORES[[#This Row],[Rete Fuente %]]*(PROVEEDORES[[#This Row],[SUBTOTAL]]-PROVEEDORES[[#This Row],[descuento sobre subtotal]])</f>
        <v>0</v>
      </c>
      <c r="R488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88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68">
        <f ca="1">IF(PROVEEDORES[[#This Row],[FECHA DE PAGO]]=0,TODAY()-PROVEEDORES[[#This Row],[FECHA DE FACTURACIÓN]]-PROVEEDORES[[#This Row],[PLAZO Días]],0)</f>
        <v>0</v>
      </c>
      <c r="U488" s="113">
        <f>+VLOOKUP(PROVEEDORES[[#This Row],[PROVEEDOR]],Terceros!$A:$D,4,FALSE)</f>
        <v>0</v>
      </c>
      <c r="V488" s="114">
        <f>+YEAR(PROVEEDORES[[#This Row],[FECHA DE FACTURACIÓN]])</f>
        <v>2022</v>
      </c>
      <c r="W488" s="114">
        <f>+MATCH(PROVEEDORES[[#This Row],[año facturado]],Retenciones!$1:$1,0)</f>
        <v>5</v>
      </c>
      <c r="X488" s="115">
        <f>+VLOOKUP(PROVEEDORES[[#This Row],[ID RETENCION]],Retenciones!$A$1:$O$25,PROVEEDORES[[#This Row],[indicador de columna]],FALSE)</f>
        <v>0</v>
      </c>
      <c r="Y488" s="116">
        <f>+VLOOKUP(PROVEEDORES[[#This Row],[ID RETENCION]],Retenciones!$A$1:$O$25,2,FALSE)</f>
        <v>0</v>
      </c>
      <c r="Z488" s="125" t="b">
        <f>OR(COUNTIF(PROVEEDORES[[#This Row],[PROVEEDOR]],"*"&amp;'Palabra no opera'!$A$2&amp;"*"))</f>
        <v>1</v>
      </c>
      <c r="AA488" s="24"/>
      <c r="AB488" s="24"/>
      <c r="AC488" s="24"/>
      <c r="AD488" s="24"/>
      <c r="AE488" s="24"/>
    </row>
    <row r="489" spans="1:31" ht="22.2" customHeight="1" x14ac:dyDescent="0.3">
      <c r="A489" s="269" t="str">
        <f>+IF(PROVEEDORES[[#This Row],[FECHA DE PAGO]]=PROVEEDORES[[#This Row],[FECHA DE FACTURACIÓN]],"DE CONTADO","CRÉDITO")</f>
        <v>CRÉDITO</v>
      </c>
      <c r="B489" s="38" t="b">
        <f>+IF((PROVEEDORES[[#This Row],[FECHA DE PAGO]]-PROVEEDORES[[#This Row],[FECHA DE FACTURACIÓN]])&gt;PROVEEDORES[[#This Row],[PLAZO Días]],"PAGO VENCIDO")</f>
        <v>0</v>
      </c>
      <c r="C489" s="20">
        <f>+VLOOKUP(PROVEEDORES[[#This Row],[PROVEEDOR]],TERCEROS_INFO[#All],2,FALSE)</f>
        <v>30</v>
      </c>
      <c r="D489" s="25">
        <f>+SUMIFS(PROVEEDORES[Total],PROVEEDORES[PROVEEDOR],PROVEEDORES[[#This Row],[PROVEEDOR]],PROVEEDORES[FECHA DE PAGO],"")</f>
        <v>0</v>
      </c>
      <c r="E489" s="25"/>
      <c r="F489" s="58" t="str">
        <f>+VLOOKUP(PROVEEDORES[[#This Row],[PROVEEDOR]],
                       Terceros!$A:$F,
                       5,
                       FALSE)</f>
        <v>facturacion@losmolinos.com.co</v>
      </c>
      <c r="G489" s="161">
        <v>44858</v>
      </c>
      <c r="H489" s="26" t="s">
        <v>940</v>
      </c>
      <c r="I489" s="161">
        <v>44837</v>
      </c>
      <c r="J489" s="35" t="s">
        <v>1786</v>
      </c>
      <c r="K489" s="21">
        <v>284467</v>
      </c>
      <c r="L489" s="21"/>
      <c r="M489" s="22">
        <f>(PROVEEDORES[[#This Row],[SUBTOTAL]]-PROVEEDORES[[#This Row],[descuento sobre subtotal]])*VLOOKUP(PROVEEDORES[[#This Row],[PROVEEDOR]],TERCEROS_INFO[#All],3,FALSE)</f>
        <v>0</v>
      </c>
      <c r="N489" s="23"/>
      <c r="O489" s="22">
        <f>+PROVEEDORES[[#This Row],[Descuento sobre subtotal %]]*(PROVEEDORES[[#This Row],[SUBTOTAL]]-PROVEEDORES[[#This Row],[descuento sobre subtotal]])</f>
        <v>0</v>
      </c>
      <c r="P489" s="83">
        <f>+IF(PROVEEDORES[[#This Row],[SUBTOTAL]]&lt;PROVEEDORES[[#This Row],[base retencion]],0,PROVEEDORES[[#This Row],[retención aplicada]])</f>
        <v>0</v>
      </c>
      <c r="Q489" s="22">
        <f>+PROVEEDORES[[#This Row],[Rete Fuente %]]*(PROVEEDORES[[#This Row],[SUBTOTAL]]-PROVEEDORES[[#This Row],[descuento sobre subtotal]])</f>
        <v>0</v>
      </c>
      <c r="R489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89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68">
        <f ca="1">IF(PROVEEDORES[[#This Row],[FECHA DE PAGO]]=0,TODAY()-PROVEEDORES[[#This Row],[FECHA DE FACTURACIÓN]]-PROVEEDORES[[#This Row],[PLAZO Días]],0)</f>
        <v>0</v>
      </c>
      <c r="U489" s="113">
        <f>+VLOOKUP(PROVEEDORES[[#This Row],[PROVEEDOR]],Terceros!$A:$D,4,FALSE)</f>
        <v>0</v>
      </c>
      <c r="V489" s="114">
        <f>+YEAR(PROVEEDORES[[#This Row],[FECHA DE FACTURACIÓN]])</f>
        <v>2022</v>
      </c>
      <c r="W489" s="114">
        <f>+MATCH(PROVEEDORES[[#This Row],[año facturado]],Retenciones!$1:$1,0)</f>
        <v>5</v>
      </c>
      <c r="X489" s="115">
        <f>+VLOOKUP(PROVEEDORES[[#This Row],[ID RETENCION]],Retenciones!$A$1:$O$25,PROVEEDORES[[#This Row],[indicador de columna]],FALSE)</f>
        <v>0</v>
      </c>
      <c r="Y489" s="116">
        <f>+VLOOKUP(PROVEEDORES[[#This Row],[ID RETENCION]],Retenciones!$A$1:$O$25,2,FALSE)</f>
        <v>0</v>
      </c>
      <c r="Z489" s="125" t="b">
        <f>OR(COUNTIF(PROVEEDORES[[#This Row],[PROVEEDOR]],"*"&amp;'Palabra no opera'!$A$2&amp;"*"))</f>
        <v>1</v>
      </c>
      <c r="AA489" s="24"/>
      <c r="AB489" s="24"/>
      <c r="AC489" s="24"/>
      <c r="AD489" s="24"/>
      <c r="AE489" s="24"/>
    </row>
    <row r="490" spans="1:31" ht="22.2" customHeight="1" x14ac:dyDescent="0.3">
      <c r="A490" s="66" t="str">
        <f>+IF(PROVEEDORES[[#This Row],[FECHA DE PAGO]]=PROVEEDORES[[#This Row],[FECHA DE FACTURACIÓN]],"DE CONTADO","CRÉDITO")</f>
        <v>DE CONTADO</v>
      </c>
      <c r="B490" s="38" t="b">
        <f>+IF((PROVEEDORES[[#This Row],[FECHA DE PAGO]]-PROVEEDORES[[#This Row],[FECHA DE FACTURACIÓN]])&gt;PROVEEDORES[[#This Row],[PLAZO Días]],"PAGO VENCIDO")</f>
        <v>0</v>
      </c>
      <c r="C490" s="20">
        <f>+VLOOKUP(PROVEEDORES[[#This Row],[PROVEEDOR]],TERCEROS_INFO[#All],2,FALSE)</f>
        <v>30</v>
      </c>
      <c r="D490" s="25">
        <f>+SUMIFS(PROVEEDORES[Total],PROVEEDORES[PROVEEDOR],PROVEEDORES[[#This Row],[PROVEEDOR]],PROVEEDORES[FECHA DE PAGO],"")</f>
        <v>0</v>
      </c>
      <c r="E490" s="25"/>
      <c r="F490" s="58">
        <f>+VLOOKUP(PROVEEDORES[[#This Row],[PROVEEDOR]],
                       Terceros!$A:$F,
                       5,
                       FALSE)</f>
        <v>0</v>
      </c>
      <c r="G490" s="161">
        <v>44372</v>
      </c>
      <c r="H490" s="26" t="s">
        <v>366</v>
      </c>
      <c r="I490" s="161">
        <v>44372</v>
      </c>
      <c r="J490" s="35" t="s">
        <v>367</v>
      </c>
      <c r="K490" s="21">
        <v>242016</v>
      </c>
      <c r="L490" s="21"/>
      <c r="M490" s="22">
        <f>(PROVEEDORES[[#This Row],[SUBTOTAL]]-PROVEEDORES[[#This Row],[descuento sobre subtotal]])*VLOOKUP(PROVEEDORES[[#This Row],[PROVEEDOR]],TERCEROS_INFO[#All],3,FALSE)</f>
        <v>45983.040000000001</v>
      </c>
      <c r="N490" s="23"/>
      <c r="O490" s="22">
        <f>+PROVEEDORES[[#This Row],[Descuento sobre subtotal %]]*(PROVEEDORES[[#This Row],[SUBTOTAL]]-PROVEEDORES[[#This Row],[descuento sobre subtotal]])</f>
        <v>0</v>
      </c>
      <c r="P490" s="83">
        <f>+IF(PROVEEDORES[[#This Row],[SUBTOTAL]]&lt;PROVEEDORES[[#This Row],[base retencion]],0,PROVEEDORES[[#This Row],[retención aplicada]])</f>
        <v>0</v>
      </c>
      <c r="Q490" s="22">
        <f>+PROVEEDORES[[#This Row],[Rete Fuente %]]*(PROVEEDORES[[#This Row],[SUBTOTAL]]-PROVEEDORES[[#This Row],[descuento sobre subtotal]])</f>
        <v>0</v>
      </c>
      <c r="R490" s="21">
        <f>+PROVEEDORES[[#This Row],[SUBTOTAL]]+PROVEEDORES[[#This Row],[IVA 19%]]-PROVEEDORES[[#This Row],[descuento sobre subtotal]]-PROVEEDORES[[#This Row],[Descuento sobre subtotal $2]]-PROVEEDORES[[#This Row],[Rete Fuente $]]</f>
        <v>287999.03999999998</v>
      </c>
      <c r="S4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68">
        <f ca="1">IF(PROVEEDORES[[#This Row],[FECHA DE PAGO]]=0,TODAY()-PROVEEDORES[[#This Row],[FECHA DE FACTURACIÓN]]-PROVEEDORES[[#This Row],[PLAZO Días]],0)</f>
        <v>0</v>
      </c>
      <c r="U490" s="96" t="str">
        <f>+VLOOKUP(PROVEEDORES[[#This Row],[PROVEEDOR]],Terceros!$A:$D,4,FALSE)</f>
        <v>2,5% con base</v>
      </c>
      <c r="V490" s="97">
        <f>+YEAR(PROVEEDORES[[#This Row],[FECHA DE FACTURACIÓN]])</f>
        <v>2021</v>
      </c>
      <c r="W490" s="97">
        <f>+MATCH(PROVEEDORES[[#This Row],[año facturado]],Retenciones!$1:$1,0)</f>
        <v>4</v>
      </c>
      <c r="X490" s="98">
        <f>+VLOOKUP(PROVEEDORES[[#This Row],[ID RETENCION]],Retenciones!$A$1:$O$25,PROVEEDORES[[#This Row],[indicador de columna]],FALSE)</f>
        <v>980000</v>
      </c>
      <c r="Y490" s="99">
        <f>+VLOOKUP(PROVEEDORES[[#This Row],[ID RETENCION]],Retenciones!$A$1:$O$25,2,FALSE)</f>
        <v>2.5000000000000001E-2</v>
      </c>
      <c r="Z490" s="125" t="b">
        <f>OR(COUNTIF(PROVEEDORES[[#This Row],[PROVEEDOR]],"*"&amp;'Palabra no opera'!$A$2&amp;"*"))</f>
        <v>0</v>
      </c>
      <c r="AA490" s="24"/>
      <c r="AB490" s="24"/>
      <c r="AC490" s="24"/>
      <c r="AD490" s="24"/>
      <c r="AE490" s="24"/>
    </row>
    <row r="491" spans="1:31" ht="22.2" customHeight="1" x14ac:dyDescent="0.3">
      <c r="A491" s="66" t="str">
        <f>+IF(PROVEEDORES[[#This Row],[FECHA DE PAGO]]=PROVEEDORES[[#This Row],[FECHA DE FACTURACIÓN]],"DE CONTADO","CRÉDITO")</f>
        <v>DE CONTADO</v>
      </c>
      <c r="B491" s="38" t="b">
        <f>+IF((PROVEEDORES[[#This Row],[FECHA DE PAGO]]-PROVEEDORES[[#This Row],[FECHA DE FACTURACIÓN]])&gt;PROVEEDORES[[#This Row],[PLAZO Días]],"PAGO VENCIDO")</f>
        <v>0</v>
      </c>
      <c r="C491" s="20">
        <f>+VLOOKUP(PROVEEDORES[[#This Row],[PROVEEDOR]],TERCEROS_INFO[#All],2,FALSE)</f>
        <v>30</v>
      </c>
      <c r="D491" s="25">
        <f>+SUMIFS(PROVEEDORES[Total],PROVEEDORES[PROVEEDOR],PROVEEDORES[[#This Row],[PROVEEDOR]],PROVEEDORES[FECHA DE PAGO],"")</f>
        <v>0</v>
      </c>
      <c r="E491" s="25"/>
      <c r="F491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491" s="161">
        <v>44300</v>
      </c>
      <c r="H491" s="26" t="s">
        <v>56</v>
      </c>
      <c r="I491" s="161">
        <v>44300</v>
      </c>
      <c r="J491" s="35" t="s">
        <v>295</v>
      </c>
      <c r="K491" s="21">
        <v>243496</v>
      </c>
      <c r="L491" s="21"/>
      <c r="M491" s="22">
        <f>(PROVEEDORES[[#This Row],[SUBTOTAL]]-PROVEEDORES[[#This Row],[descuento sobre subtotal]])*VLOOKUP(PROVEEDORES[[#This Row],[PROVEEDOR]],TERCEROS_INFO[#All],3,FALSE)</f>
        <v>46264.24</v>
      </c>
      <c r="N491" s="23"/>
      <c r="O491" s="22">
        <f>+PROVEEDORES[[#This Row],[Descuento sobre subtotal %]]*(PROVEEDORES[[#This Row],[SUBTOTAL]]-PROVEEDORES[[#This Row],[descuento sobre subtotal]])</f>
        <v>0</v>
      </c>
      <c r="P491" s="83">
        <f>+IF(PROVEEDORES[[#This Row],[SUBTOTAL]]&lt;PROVEEDORES[[#This Row],[base retencion]],0,PROVEEDORES[[#This Row],[retención aplicada]])</f>
        <v>0</v>
      </c>
      <c r="Q491" s="22">
        <f>+PROVEEDORES[[#This Row],[Rete Fuente %]]*(PROVEEDORES[[#This Row],[SUBTOTAL]]-PROVEEDORES[[#This Row],[descuento sobre subtotal]])</f>
        <v>0</v>
      </c>
      <c r="R491" s="21">
        <f>+PROVEEDORES[[#This Row],[SUBTOTAL]]+PROVEEDORES[[#This Row],[IVA 19%]]-PROVEEDORES[[#This Row],[descuento sobre subtotal]]-PROVEEDORES[[#This Row],[Descuento sobre subtotal $2]]-PROVEEDORES[[#This Row],[Rete Fuente $]]</f>
        <v>289760.24</v>
      </c>
      <c r="S4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68">
        <f ca="1">IF(PROVEEDORES[[#This Row],[FECHA DE PAGO]]=0,TODAY()-PROVEEDORES[[#This Row],[FECHA DE FACTURACIÓN]]-PROVEEDORES[[#This Row],[PLAZO Días]],0)</f>
        <v>0</v>
      </c>
      <c r="U491" s="96">
        <f>+VLOOKUP(PROVEEDORES[[#This Row],[PROVEEDOR]],Terceros!$A:$D,4,FALSE)</f>
        <v>0</v>
      </c>
      <c r="V491" s="97">
        <f>+YEAR(PROVEEDORES[[#This Row],[FECHA DE FACTURACIÓN]])</f>
        <v>2021</v>
      </c>
      <c r="W491" s="97">
        <f>+MATCH(PROVEEDORES[[#This Row],[año facturado]],Retenciones!$1:$1,0)</f>
        <v>4</v>
      </c>
      <c r="X491" s="98">
        <f>+VLOOKUP(PROVEEDORES[[#This Row],[ID RETENCION]],Retenciones!$A$1:$O$25,PROVEEDORES[[#This Row],[indicador de columna]],FALSE)</f>
        <v>0</v>
      </c>
      <c r="Y491" s="99">
        <f>+VLOOKUP(PROVEEDORES[[#This Row],[ID RETENCION]],Retenciones!$A$1:$O$25,2,FALSE)</f>
        <v>0</v>
      </c>
      <c r="Z491" s="125" t="b">
        <f>OR(COUNTIF(PROVEEDORES[[#This Row],[PROVEEDOR]],"*"&amp;'Palabra no opera'!$A$2&amp;"*"))</f>
        <v>0</v>
      </c>
      <c r="AA491" s="24"/>
      <c r="AB491" s="24"/>
      <c r="AC491" s="24"/>
      <c r="AD491" s="24"/>
      <c r="AE491" s="24"/>
    </row>
    <row r="492" spans="1:31" ht="22.2" customHeight="1" x14ac:dyDescent="0.3">
      <c r="A492" s="66" t="str">
        <f>+IF(PROVEEDORES[[#This Row],[FECHA DE PAGO]]=PROVEEDORES[[#This Row],[FECHA DE FACTURACIÓN]],"DE CONTADO","CRÉDITO")</f>
        <v>CRÉDITO</v>
      </c>
      <c r="B492" s="38" t="str">
        <f>+IF((PROVEEDORES[[#This Row],[FECHA DE PAGO]]-PROVEEDORES[[#This Row],[FECHA DE FACTURACIÓN]])&gt;PROVEEDORES[[#This Row],[PLAZO Días]],"PAGO VENCIDO")</f>
        <v>PAGO VENCIDO</v>
      </c>
      <c r="C492" s="20">
        <f>+VLOOKUP(PROVEEDORES[[#This Row],[PROVEEDOR]],TERCEROS_INFO[#All],2,FALSE)</f>
        <v>30</v>
      </c>
      <c r="D492" s="25">
        <f>+SUMIFS(PROVEEDORES[Total],PROVEEDORES[PROVEEDOR],PROVEEDORES[[#This Row],[PROVEEDOR]],PROVEEDORES[FECHA DE PAGO],"")</f>
        <v>1354000</v>
      </c>
      <c r="E492" s="25"/>
      <c r="F49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92" s="161">
        <v>44335</v>
      </c>
      <c r="H492" s="26" t="s">
        <v>699</v>
      </c>
      <c r="I492" s="161">
        <v>44228</v>
      </c>
      <c r="J492" s="35" t="s">
        <v>1190</v>
      </c>
      <c r="K492" s="21">
        <v>290000</v>
      </c>
      <c r="L492" s="21"/>
      <c r="M492" s="22">
        <f>(PROVEEDORES[[#This Row],[SUBTOTAL]]-PROVEEDORES[[#This Row],[descuento sobre subtotal]])*VLOOKUP(PROVEEDORES[[#This Row],[PROVEEDOR]],TERCEROS_INFO[#All],3,FALSE)</f>
        <v>0</v>
      </c>
      <c r="N492" s="23"/>
      <c r="O492" s="22">
        <f>+PROVEEDORES[[#This Row],[Descuento sobre subtotal %]]*(PROVEEDORES[[#This Row],[SUBTOTAL]]-PROVEEDORES[[#This Row],[descuento sobre subtotal]])</f>
        <v>0</v>
      </c>
      <c r="P492" s="83">
        <f>+IF(PROVEEDORES[[#This Row],[SUBTOTAL]]&lt;PROVEEDORES[[#This Row],[base retencion]],0,PROVEEDORES[[#This Row],[retención aplicada]])</f>
        <v>0</v>
      </c>
      <c r="Q492" s="22">
        <f>+PROVEEDORES[[#This Row],[Rete Fuente %]]*(PROVEEDORES[[#This Row],[SUBTOTAL]]-PROVEEDORES[[#This Row],[descuento sobre subtotal]])</f>
        <v>0</v>
      </c>
      <c r="R492" s="21">
        <f>+PROVEEDORES[[#This Row],[SUBTOTAL]]+PROVEEDORES[[#This Row],[IVA 19%]]-PROVEEDORES[[#This Row],[descuento sobre subtotal]]-PROVEEDORES[[#This Row],[Descuento sobre subtotal $2]]-PROVEEDORES[[#This Row],[Rete Fuente $]]</f>
        <v>290000</v>
      </c>
      <c r="S4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68">
        <f ca="1">IF(PROVEEDORES[[#This Row],[FECHA DE PAGO]]=0,TODAY()-PROVEEDORES[[#This Row],[FECHA DE FACTURACIÓN]]-PROVEEDORES[[#This Row],[PLAZO Días]],0)</f>
        <v>0</v>
      </c>
      <c r="U492" s="96">
        <f>+VLOOKUP(PROVEEDORES[[#This Row],[PROVEEDOR]],Terceros!$A:$D,4,FALSE)</f>
        <v>0</v>
      </c>
      <c r="V492" s="97">
        <f>+YEAR(PROVEEDORES[[#This Row],[FECHA DE FACTURACIÓN]])</f>
        <v>2021</v>
      </c>
      <c r="W492" s="97">
        <f>+MATCH(PROVEEDORES[[#This Row],[año facturado]],Retenciones!$1:$1,0)</f>
        <v>4</v>
      </c>
      <c r="X492" s="98">
        <f>+VLOOKUP(PROVEEDORES[[#This Row],[ID RETENCION]],Retenciones!$A$1:$O$25,PROVEEDORES[[#This Row],[indicador de columna]],FALSE)</f>
        <v>0</v>
      </c>
      <c r="Y492" s="99">
        <f>+VLOOKUP(PROVEEDORES[[#This Row],[ID RETENCION]],Retenciones!$A$1:$O$25,2,FALSE)</f>
        <v>0</v>
      </c>
      <c r="Z492" s="125" t="b">
        <f>OR(COUNTIF(PROVEEDORES[[#This Row],[PROVEEDOR]],"*"&amp;'Palabra no opera'!$A$2&amp;"*"))</f>
        <v>0</v>
      </c>
      <c r="AA492" s="24"/>
      <c r="AB492" s="24"/>
      <c r="AC492" s="24"/>
      <c r="AD492" s="24"/>
      <c r="AE492" s="24"/>
    </row>
    <row r="493" spans="1:31" ht="22.2" customHeight="1" x14ac:dyDescent="0.3">
      <c r="A493" s="199" t="str">
        <f>+IF(PROVEEDORES[[#This Row],[FECHA DE PAGO]]=PROVEEDORES[[#This Row],[FECHA DE FACTURACIÓN]],"DE CONTADO","CRÉDITO")</f>
        <v>CRÉDITO</v>
      </c>
      <c r="B493" s="38" t="b">
        <f>+IF((PROVEEDORES[[#This Row],[FECHA DE PAGO]]-PROVEEDORES[[#This Row],[FECHA DE FACTURACIÓN]])&gt;PROVEEDORES[[#This Row],[PLAZO Días]],"PAGO VENCIDO")</f>
        <v>0</v>
      </c>
      <c r="C493" s="20">
        <f>+VLOOKUP(PROVEEDORES[[#This Row],[PROVEEDOR]],TERCEROS_INFO[#All],2,FALSE)</f>
        <v>30</v>
      </c>
      <c r="D493" s="25">
        <f>+SUMIFS(PROVEEDORES[Total],PROVEEDORES[PROVEEDOR],PROVEEDORES[[#This Row],[PROVEEDOR]],PROVEEDORES[FECHA DE PAGO],"")</f>
        <v>0</v>
      </c>
      <c r="E493" s="25"/>
      <c r="F493" s="58" t="str">
        <f>+VLOOKUP(PROVEEDORES[[#This Row],[PROVEEDOR]],
                       Terceros!$A:$F,
                       5,
                       FALSE)</f>
        <v/>
      </c>
      <c r="G493" s="161">
        <v>44796</v>
      </c>
      <c r="H493" s="26" t="s">
        <v>1130</v>
      </c>
      <c r="I493" s="161">
        <v>44790</v>
      </c>
      <c r="J493" s="35" t="s">
        <v>1160</v>
      </c>
      <c r="K493" s="21">
        <v>293580</v>
      </c>
      <c r="L493" s="21"/>
      <c r="M493" s="22">
        <f>(PROVEEDORES[[#This Row],[SUBTOTAL]]-PROVEEDORES[[#This Row],[descuento sobre subtotal]])*VLOOKUP(PROVEEDORES[[#This Row],[PROVEEDOR]],TERCEROS_INFO[#All],3,FALSE)</f>
        <v>0</v>
      </c>
      <c r="N493" s="23"/>
      <c r="O493" s="22">
        <f>+PROVEEDORES[[#This Row],[Descuento sobre subtotal %]]*(PROVEEDORES[[#This Row],[SUBTOTAL]]-PROVEEDORES[[#This Row],[descuento sobre subtotal]])</f>
        <v>0</v>
      </c>
      <c r="P493" s="83">
        <f>+IF(PROVEEDORES[[#This Row],[SUBTOTAL]]&lt;PROVEEDORES[[#This Row],[base retencion]],0,PROVEEDORES[[#This Row],[retención aplicada]])</f>
        <v>0</v>
      </c>
      <c r="Q493" s="22">
        <f>+PROVEEDORES[[#This Row],[Rete Fuente %]]*(PROVEEDORES[[#This Row],[SUBTOTAL]]-PROVEEDORES[[#This Row],[descuento sobre subtotal]])</f>
        <v>0</v>
      </c>
      <c r="R493" s="21">
        <f>+PROVEEDORES[[#This Row],[SUBTOTAL]]+PROVEEDORES[[#This Row],[IVA 19%]]-PROVEEDORES[[#This Row],[descuento sobre subtotal]]-PROVEEDORES[[#This Row],[Descuento sobre subtotal $2]]-PROVEEDORES[[#This Row],[Rete Fuente $]]</f>
        <v>293580</v>
      </c>
      <c r="S493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68">
        <f ca="1">IF(PROVEEDORES[[#This Row],[FECHA DE PAGO]]=0,TODAY()-PROVEEDORES[[#This Row],[FECHA DE FACTURACIÓN]]-PROVEEDORES[[#This Row],[PLAZO Días]],0)</f>
        <v>0</v>
      </c>
      <c r="U493" s="113">
        <f>+VLOOKUP(PROVEEDORES[[#This Row],[PROVEEDOR]],Terceros!$A:$D,4,FALSE)</f>
        <v>0</v>
      </c>
      <c r="V493" s="114">
        <f>+YEAR(PROVEEDORES[[#This Row],[FECHA DE FACTURACIÓN]])</f>
        <v>2022</v>
      </c>
      <c r="W493" s="114">
        <f>+MATCH(PROVEEDORES[[#This Row],[año facturado]],Retenciones!$1:$1,0)</f>
        <v>5</v>
      </c>
      <c r="X493" s="115">
        <f>+VLOOKUP(PROVEEDORES[[#This Row],[ID RETENCION]],Retenciones!$A$1:$O$25,PROVEEDORES[[#This Row],[indicador de columna]],FALSE)</f>
        <v>0</v>
      </c>
      <c r="Y493" s="116">
        <f>+VLOOKUP(PROVEEDORES[[#This Row],[ID RETENCION]],Retenciones!$A$1:$O$25,2,FALSE)</f>
        <v>0</v>
      </c>
      <c r="Z493" s="125" t="b">
        <f>OR(COUNTIF(PROVEEDORES[[#This Row],[PROVEEDOR]],"*"&amp;'Palabra no opera'!$A$2&amp;"*"))</f>
        <v>1</v>
      </c>
      <c r="AA493" s="24"/>
      <c r="AB493" s="24"/>
      <c r="AC493" s="24"/>
      <c r="AD493" s="24"/>
      <c r="AE493" s="24"/>
    </row>
    <row r="494" spans="1:31" ht="22.2" customHeight="1" x14ac:dyDescent="0.3">
      <c r="A494" s="66" t="str">
        <f>+IF(PROVEEDORES[[#This Row],[FECHA DE PAGO]]=PROVEEDORES[[#This Row],[FECHA DE FACTURACIÓN]],"DE CONTADO","CRÉDITO")</f>
        <v>CRÉDITO</v>
      </c>
      <c r="B494" s="38" t="b">
        <f>+IF((PROVEEDORES[[#This Row],[FECHA DE PAGO]]-PROVEEDORES[[#This Row],[FECHA DE FACTURACIÓN]])&gt;PROVEEDORES[[#This Row],[PLAZO Días]],"PAGO VENCIDO")</f>
        <v>0</v>
      </c>
      <c r="C494" s="20">
        <f>+VLOOKUP(PROVEEDORES[[#This Row],[PROVEEDOR]],TERCEROS_INFO[#All],2,FALSE)</f>
        <v>30</v>
      </c>
      <c r="D494" s="25">
        <f>+SUMIFS(PROVEEDORES[Total],PROVEEDORES[PROVEEDOR],PROVEEDORES[[#This Row],[PROVEEDOR]],PROVEEDORES[FECHA DE PAGO],"")</f>
        <v>0</v>
      </c>
      <c r="E494" s="25"/>
      <c r="F494" s="58">
        <f>+VLOOKUP(PROVEEDORES[[#This Row],[PROVEEDOR]],
                       Terceros!$A:$F,
                       5,
                       FALSE)</f>
        <v>0</v>
      </c>
      <c r="G494" s="161">
        <v>44543</v>
      </c>
      <c r="H494" s="26" t="s">
        <v>932</v>
      </c>
      <c r="I494" s="161">
        <v>44531</v>
      </c>
      <c r="J494" s="35" t="s">
        <v>307</v>
      </c>
      <c r="K494" s="21">
        <v>293847</v>
      </c>
      <c r="L494" s="21"/>
      <c r="M494" s="22">
        <f>(PROVEEDORES[[#This Row],[SUBTOTAL]]-PROVEEDORES[[#This Row],[descuento sobre subtotal]])*VLOOKUP(PROVEEDORES[[#This Row],[PROVEEDOR]],TERCEROS_INFO[#All],3,FALSE)</f>
        <v>0</v>
      </c>
      <c r="N494" s="23"/>
      <c r="O494" s="22">
        <f>+PROVEEDORES[[#This Row],[Descuento sobre subtotal %]]*(PROVEEDORES[[#This Row],[SUBTOTAL]]-PROVEEDORES[[#This Row],[descuento sobre subtotal]])</f>
        <v>0</v>
      </c>
      <c r="P494" s="83">
        <f>+IF(PROVEEDORES[[#This Row],[SUBTOTAL]]&lt;PROVEEDORES[[#This Row],[base retencion]],0,PROVEEDORES[[#This Row],[retención aplicada]])</f>
        <v>0</v>
      </c>
      <c r="Q494" s="22">
        <f>+PROVEEDORES[[#This Row],[Rete Fuente %]]*(PROVEEDORES[[#This Row],[SUBTOTAL]]-PROVEEDORES[[#This Row],[descuento sobre subtotal]])</f>
        <v>0</v>
      </c>
      <c r="R494" s="21">
        <f>+PROVEEDORES[[#This Row],[SUBTOTAL]]+PROVEEDORES[[#This Row],[IVA 19%]]-PROVEEDORES[[#This Row],[descuento sobre subtotal]]-PROVEEDORES[[#This Row],[Descuento sobre subtotal $2]]-PROVEEDORES[[#This Row],[Rete Fuente $]]</f>
        <v>293847</v>
      </c>
      <c r="S4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68">
        <f ca="1">IF(PROVEEDORES[[#This Row],[FECHA DE PAGO]]=0,TODAY()-PROVEEDORES[[#This Row],[FECHA DE FACTURACIÓN]]-PROVEEDORES[[#This Row],[PLAZO Días]],0)</f>
        <v>0</v>
      </c>
      <c r="U494" s="96">
        <f>+VLOOKUP(PROVEEDORES[[#This Row],[PROVEEDOR]],Terceros!$A:$D,4,FALSE)</f>
        <v>0</v>
      </c>
      <c r="V494" s="97">
        <f>+YEAR(PROVEEDORES[[#This Row],[FECHA DE FACTURACIÓN]])</f>
        <v>2021</v>
      </c>
      <c r="W494" s="97">
        <f>+MATCH(PROVEEDORES[[#This Row],[año facturado]],Retenciones!$1:$1,0)</f>
        <v>4</v>
      </c>
      <c r="X494" s="98">
        <f>+VLOOKUP(PROVEEDORES[[#This Row],[ID RETENCION]],Retenciones!$A$1:$O$25,PROVEEDORES[[#This Row],[indicador de columna]],FALSE)</f>
        <v>0</v>
      </c>
      <c r="Y494" s="99">
        <f>+VLOOKUP(PROVEEDORES[[#This Row],[ID RETENCION]],Retenciones!$A$1:$O$25,2,FALSE)</f>
        <v>0</v>
      </c>
      <c r="Z494" s="125" t="b">
        <f>OR(COUNTIF(PROVEEDORES[[#This Row],[PROVEEDOR]],"*"&amp;'Palabra no opera'!$A$2&amp;"*"))</f>
        <v>1</v>
      </c>
      <c r="AA494" s="24"/>
      <c r="AB494" s="24"/>
      <c r="AC494" s="24"/>
      <c r="AD494" s="24"/>
      <c r="AE494" s="24"/>
    </row>
    <row r="495" spans="1:31" ht="22.2" customHeight="1" x14ac:dyDescent="0.3">
      <c r="A495" s="207" t="str">
        <f>+IF(PROVEEDORES[[#This Row],[FECHA DE PAGO]]=PROVEEDORES[[#This Row],[FECHA DE FACTURACIÓN]],"DE CONTADO","CRÉDITO")</f>
        <v>CRÉDITO</v>
      </c>
      <c r="B495" s="38" t="str">
        <f>+IF((PROVEEDORES[[#This Row],[FECHA DE PAGO]]-PROVEEDORES[[#This Row],[FECHA DE FACTURACIÓN]])&gt;PROVEEDORES[[#This Row],[PLAZO Días]],"PAGO VENCIDO")</f>
        <v>PAGO VENCIDO</v>
      </c>
      <c r="C495" s="20">
        <f>+VLOOKUP(PROVEEDORES[[#This Row],[PROVEEDOR]],TERCEROS_INFO[#All],2,FALSE)</f>
        <v>30</v>
      </c>
      <c r="D495" s="25">
        <f>+SUMIFS(PROVEEDORES[Total],PROVEEDORES[PROVEEDOR],PROVEEDORES[[#This Row],[PROVEEDOR]],PROVEEDORES[FECHA DE PAGO],"")</f>
        <v>0</v>
      </c>
      <c r="E495" s="25"/>
      <c r="F495" s="58" t="str">
        <f>+VLOOKUP(PROVEEDORES[[#This Row],[PROVEEDOR]],
                       Terceros!$A:$F,
                       5,
                       FALSE)</f>
        <v/>
      </c>
      <c r="G495" s="161">
        <v>44830</v>
      </c>
      <c r="H495" s="26" t="s">
        <v>686</v>
      </c>
      <c r="I495" s="161">
        <v>44790</v>
      </c>
      <c r="J495" s="35" t="s">
        <v>1423</v>
      </c>
      <c r="K495" s="21">
        <v>294000</v>
      </c>
      <c r="L495" s="21"/>
      <c r="M495" s="22">
        <f>(PROVEEDORES[[#This Row],[SUBTOTAL]]-PROVEEDORES[[#This Row],[descuento sobre subtotal]])*VLOOKUP(PROVEEDORES[[#This Row],[PROVEEDOR]],TERCEROS_INFO[#All],3,FALSE)</f>
        <v>0</v>
      </c>
      <c r="N495" s="23"/>
      <c r="O495" s="22">
        <f>+PROVEEDORES[[#This Row],[Descuento sobre subtotal %]]*(PROVEEDORES[[#This Row],[SUBTOTAL]]-PROVEEDORES[[#This Row],[descuento sobre subtotal]])</f>
        <v>0</v>
      </c>
      <c r="P495" s="83">
        <f>+IF(PROVEEDORES[[#This Row],[SUBTOTAL]]&lt;PROVEEDORES[[#This Row],[base retencion]],0,PROVEEDORES[[#This Row],[retención aplicada]])</f>
        <v>0</v>
      </c>
      <c r="Q495" s="22">
        <f>+PROVEEDORES[[#This Row],[Rete Fuente %]]*(PROVEEDORES[[#This Row],[SUBTOTAL]]-PROVEEDORES[[#This Row],[descuento sobre subtotal]])</f>
        <v>0</v>
      </c>
      <c r="R495" s="21">
        <f>+PROVEEDORES[[#This Row],[SUBTOTAL]]+PROVEEDORES[[#This Row],[IVA 19%]]-PROVEEDORES[[#This Row],[descuento sobre subtotal]]-PROVEEDORES[[#This Row],[Descuento sobre subtotal $2]]-PROVEEDORES[[#This Row],[Rete Fuente $]]</f>
        <v>294000</v>
      </c>
      <c r="S495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68">
        <f ca="1">IF(PROVEEDORES[[#This Row],[FECHA DE PAGO]]=0,TODAY()-PROVEEDORES[[#This Row],[FECHA DE FACTURACIÓN]]-PROVEEDORES[[#This Row],[PLAZO Días]],0)</f>
        <v>0</v>
      </c>
      <c r="U495" s="113">
        <f>+VLOOKUP(PROVEEDORES[[#This Row],[PROVEEDOR]],Terceros!$A:$D,4,FALSE)</f>
        <v>0</v>
      </c>
      <c r="V495" s="114">
        <f>+YEAR(PROVEEDORES[[#This Row],[FECHA DE FACTURACIÓN]])</f>
        <v>2022</v>
      </c>
      <c r="W495" s="114">
        <f>+MATCH(PROVEEDORES[[#This Row],[año facturado]],Retenciones!$1:$1,0)</f>
        <v>5</v>
      </c>
      <c r="X495" s="115">
        <f>+VLOOKUP(PROVEEDORES[[#This Row],[ID RETENCION]],Retenciones!$A$1:$O$25,PROVEEDORES[[#This Row],[indicador de columna]],FALSE)</f>
        <v>0</v>
      </c>
      <c r="Y495" s="116">
        <f>+VLOOKUP(PROVEEDORES[[#This Row],[ID RETENCION]],Retenciones!$A$1:$O$25,2,FALSE)</f>
        <v>0</v>
      </c>
      <c r="Z495" s="125" t="b">
        <f>OR(COUNTIF(PROVEEDORES[[#This Row],[PROVEEDOR]],"*"&amp;'Palabra no opera'!$A$2&amp;"*"))</f>
        <v>0</v>
      </c>
      <c r="AA495" s="24"/>
      <c r="AB495" s="24"/>
      <c r="AC495" s="24"/>
      <c r="AD495" s="24"/>
      <c r="AE495" s="24"/>
    </row>
    <row r="496" spans="1:31" ht="22.2" customHeight="1" x14ac:dyDescent="0.3">
      <c r="A496" s="159" t="str">
        <f>+IF(PROVEEDORES[[#This Row],[FECHA DE PAGO]]=PROVEEDORES[[#This Row],[FECHA DE FACTURACIÓN]],"DE CONTADO","CRÉDITO")</f>
        <v>CRÉDITO</v>
      </c>
      <c r="B496" s="38" t="b">
        <f>+IF((PROVEEDORES[[#This Row],[FECHA DE PAGO]]-PROVEEDORES[[#This Row],[FECHA DE FACTURACIÓN]])&gt;PROVEEDORES[[#This Row],[PLAZO Días]],"PAGO VENCIDO")</f>
        <v>0</v>
      </c>
      <c r="C496" s="20">
        <f>+VLOOKUP(PROVEEDORES[[#This Row],[PROVEEDOR]],TERCEROS_INFO[#All],2,FALSE)</f>
        <v>30</v>
      </c>
      <c r="D496" s="25">
        <f>+SUMIFS(PROVEEDORES[Total],PROVEEDORES[PROVEEDOR],PROVEEDORES[[#This Row],[PROVEEDOR]],PROVEEDORES[FECHA DE PAGO],"")</f>
        <v>0</v>
      </c>
      <c r="E496" s="25"/>
      <c r="F49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96" s="161">
        <v>44729</v>
      </c>
      <c r="H496" s="26" t="s">
        <v>1451</v>
      </c>
      <c r="I496" s="161">
        <v>44727</v>
      </c>
      <c r="J496" s="35">
        <v>237</v>
      </c>
      <c r="K496" s="21">
        <v>300000</v>
      </c>
      <c r="L496" s="21"/>
      <c r="M496" s="22">
        <f>(PROVEEDORES[[#This Row],[SUBTOTAL]]-PROVEEDORES[[#This Row],[descuento sobre subtotal]])*VLOOKUP(PROVEEDORES[[#This Row],[PROVEEDOR]],TERCEROS_INFO[#All],3,FALSE)</f>
        <v>0</v>
      </c>
      <c r="N496" s="23"/>
      <c r="O496" s="22">
        <f>+PROVEEDORES[[#This Row],[Descuento sobre subtotal %]]*(PROVEEDORES[[#This Row],[SUBTOTAL]]-PROVEEDORES[[#This Row],[descuento sobre subtotal]])</f>
        <v>0</v>
      </c>
      <c r="P496" s="83">
        <f>+IF(PROVEEDORES[[#This Row],[SUBTOTAL]]&lt;PROVEEDORES[[#This Row],[base retencion]],0,PROVEEDORES[[#This Row],[retención aplicada]])</f>
        <v>0.01</v>
      </c>
      <c r="Q496" s="22">
        <f>+PROVEEDORES[[#This Row],[Rete Fuente %]]*(PROVEEDORES[[#This Row],[SUBTOTAL]]-PROVEEDORES[[#This Row],[descuento sobre subtotal]])</f>
        <v>3000</v>
      </c>
      <c r="R496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49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68">
        <f ca="1">IF(PROVEEDORES[[#This Row],[FECHA DE PAGO]]=0,TODAY()-PROVEEDORES[[#This Row],[FECHA DE FACTURACIÓN]]-PROVEEDORES[[#This Row],[PLAZO Días]],0)</f>
        <v>0</v>
      </c>
      <c r="U496" s="113" t="str">
        <f>+VLOOKUP(PROVEEDORES[[#This Row],[PROVEEDOR]],Terceros!$A:$D,4,FALSE)</f>
        <v>1% con base</v>
      </c>
      <c r="V496" s="114">
        <f>+YEAR(PROVEEDORES[[#This Row],[FECHA DE FACTURACIÓN]])</f>
        <v>2022</v>
      </c>
      <c r="W496" s="114">
        <f>+MATCH(PROVEEDORES[[#This Row],[año facturado]],Retenciones!$1:$1,0)</f>
        <v>5</v>
      </c>
      <c r="X496" s="115">
        <f>+VLOOKUP(PROVEEDORES[[#This Row],[ID RETENCION]],Retenciones!$A$1:$O$25,PROVEEDORES[[#This Row],[indicador de columna]],FALSE)</f>
        <v>152000</v>
      </c>
      <c r="Y496" s="116">
        <f>+VLOOKUP(PROVEEDORES[[#This Row],[ID RETENCION]],Retenciones!$A$1:$O$25,2,FALSE)</f>
        <v>0.01</v>
      </c>
      <c r="Z496" s="125" t="b">
        <f>OR(COUNTIF(PROVEEDORES[[#This Row],[PROVEEDOR]],"*"&amp;'Palabra no opera'!$A$2&amp;"*"))</f>
        <v>0</v>
      </c>
      <c r="AA496" s="24"/>
      <c r="AB496" s="24"/>
      <c r="AC496" s="24"/>
      <c r="AD496" s="24"/>
      <c r="AE496" s="24"/>
    </row>
    <row r="497" spans="1:31" ht="22.2" customHeight="1" x14ac:dyDescent="0.3">
      <c r="A497" s="183" t="str">
        <f>+IF(PROVEEDORES[[#This Row],[FECHA DE PAGO]]=PROVEEDORES[[#This Row],[FECHA DE FACTURACIÓN]],"DE CONTADO","CRÉDITO")</f>
        <v>CRÉDITO</v>
      </c>
      <c r="B497" s="38" t="b">
        <f>+IF((PROVEEDORES[[#This Row],[FECHA DE PAGO]]-PROVEEDORES[[#This Row],[FECHA DE FACTURACIÓN]])&gt;PROVEEDORES[[#This Row],[PLAZO Días]],"PAGO VENCIDO")</f>
        <v>0</v>
      </c>
      <c r="C497" s="20">
        <f>+VLOOKUP(PROVEEDORES[[#This Row],[PROVEEDOR]],TERCEROS_INFO[#All],2,FALSE)</f>
        <v>30</v>
      </c>
      <c r="D497" s="25">
        <f>+SUMIFS(PROVEEDORES[Total],PROVEEDORES[PROVEEDOR],PROVEEDORES[[#This Row],[PROVEEDOR]],PROVEEDORES[FECHA DE PAGO],"")</f>
        <v>0</v>
      </c>
      <c r="E497" s="25"/>
      <c r="F49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97" s="161">
        <v>44764</v>
      </c>
      <c r="H497" s="26" t="s">
        <v>1451</v>
      </c>
      <c r="I497" s="161">
        <v>44754</v>
      </c>
      <c r="J497" s="35">
        <v>247</v>
      </c>
      <c r="K497" s="21">
        <v>300000</v>
      </c>
      <c r="L497" s="21"/>
      <c r="M497" s="22">
        <f>(PROVEEDORES[[#This Row],[SUBTOTAL]]-PROVEEDORES[[#This Row],[descuento sobre subtotal]])*VLOOKUP(PROVEEDORES[[#This Row],[PROVEEDOR]],TERCEROS_INFO[#All],3,FALSE)</f>
        <v>0</v>
      </c>
      <c r="N497" s="23"/>
      <c r="O497" s="22">
        <f>+PROVEEDORES[[#This Row],[Descuento sobre subtotal %]]*(PROVEEDORES[[#This Row],[SUBTOTAL]]-PROVEEDORES[[#This Row],[descuento sobre subtotal]])</f>
        <v>0</v>
      </c>
      <c r="P497" s="83">
        <f>+IF(PROVEEDORES[[#This Row],[SUBTOTAL]]&lt;PROVEEDORES[[#This Row],[base retencion]],0,PROVEEDORES[[#This Row],[retención aplicada]])</f>
        <v>0.01</v>
      </c>
      <c r="Q497" s="22">
        <f>+PROVEEDORES[[#This Row],[Rete Fuente %]]*(PROVEEDORES[[#This Row],[SUBTOTAL]]-PROVEEDORES[[#This Row],[descuento sobre subtotal]])</f>
        <v>3000</v>
      </c>
      <c r="R497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497" s="1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68">
        <f ca="1">IF(PROVEEDORES[[#This Row],[FECHA DE PAGO]]=0,TODAY()-PROVEEDORES[[#This Row],[FECHA DE FACTURACIÓN]]-PROVEEDORES[[#This Row],[PLAZO Días]],0)</f>
        <v>0</v>
      </c>
      <c r="U497" s="113" t="str">
        <f>+VLOOKUP(PROVEEDORES[[#This Row],[PROVEEDOR]],Terceros!$A:$D,4,FALSE)</f>
        <v>1% con base</v>
      </c>
      <c r="V497" s="114">
        <f>+YEAR(PROVEEDORES[[#This Row],[FECHA DE FACTURACIÓN]])</f>
        <v>2022</v>
      </c>
      <c r="W497" s="114">
        <f>+MATCH(PROVEEDORES[[#This Row],[año facturado]],Retenciones!$1:$1,0)</f>
        <v>5</v>
      </c>
      <c r="X497" s="115">
        <f>+VLOOKUP(PROVEEDORES[[#This Row],[ID RETENCION]],Retenciones!$A$1:$O$25,PROVEEDORES[[#This Row],[indicador de columna]],FALSE)</f>
        <v>152000</v>
      </c>
      <c r="Y497" s="116">
        <f>+VLOOKUP(PROVEEDORES[[#This Row],[ID RETENCION]],Retenciones!$A$1:$O$25,2,FALSE)</f>
        <v>0.01</v>
      </c>
      <c r="Z497" s="125" t="b">
        <f>OR(COUNTIF(PROVEEDORES[[#This Row],[PROVEEDOR]],"*"&amp;'Palabra no opera'!$A$2&amp;"*"))</f>
        <v>0</v>
      </c>
      <c r="AA497" s="24"/>
      <c r="AB497" s="24"/>
      <c r="AC497" s="24"/>
      <c r="AD497" s="24"/>
      <c r="AE497" s="24"/>
    </row>
    <row r="498" spans="1:31" ht="22.2" customHeight="1" x14ac:dyDescent="0.3">
      <c r="A498" s="66" t="str">
        <f>+IF(PROVEEDORES[[#This Row],[FECHA DE PAGO]]=PROVEEDORES[[#This Row],[FECHA DE FACTURACIÓN]],"DE CONTADO","CRÉDITO")</f>
        <v>DE CONTADO</v>
      </c>
      <c r="B498" s="38" t="b">
        <f>+IF((PROVEEDORES[[#This Row],[FECHA DE PAGO]]-PROVEEDORES[[#This Row],[FECHA DE FACTURACIÓN]])&gt;PROVEEDORES[[#This Row],[PLAZO Días]],"PAGO VENCIDO")</f>
        <v>0</v>
      </c>
      <c r="C498" s="20">
        <f>+VLOOKUP(PROVEEDORES[[#This Row],[PROVEEDOR]],TERCEROS_INFO[#All],2,FALSE)</f>
        <v>30</v>
      </c>
      <c r="D498" s="25">
        <f>+SUMIFS(PROVEEDORES[Total],PROVEEDORES[PROVEEDOR],PROVEEDORES[[#This Row],[PROVEEDOR]],PROVEEDORES[FECHA DE PAGO],"")</f>
        <v>0</v>
      </c>
      <c r="E498" s="25"/>
      <c r="F498" s="58" t="str">
        <f>+VLOOKUP(PROVEEDORES[[#This Row],[PROVEEDOR]],
                       Terceros!$A:$F,
                       5,
                       FALSE)</f>
        <v/>
      </c>
      <c r="G498" s="161">
        <v>44215</v>
      </c>
      <c r="H498" s="26" t="s">
        <v>661</v>
      </c>
      <c r="I498" s="161">
        <v>44215</v>
      </c>
      <c r="J498" s="35">
        <v>1408</v>
      </c>
      <c r="K498" s="21">
        <v>300000</v>
      </c>
      <c r="L498" s="21"/>
      <c r="M498" s="22">
        <f>(PROVEEDORES[[#This Row],[SUBTOTAL]]-PROVEEDORES[[#This Row],[descuento sobre subtotal]])*VLOOKUP(PROVEEDORES[[#This Row],[PROVEEDOR]],TERCEROS_INFO[#All],3,FALSE)</f>
        <v>0</v>
      </c>
      <c r="N498" s="23"/>
      <c r="O498" s="22">
        <f>+PROVEEDORES[[#This Row],[Descuento sobre subtotal %]]*(PROVEEDORES[[#This Row],[SUBTOTAL]]-PROVEEDORES[[#This Row],[descuento sobre subtotal]])</f>
        <v>0</v>
      </c>
      <c r="P498" s="83">
        <f>+IF(PROVEEDORES[[#This Row],[SUBTOTAL]]&lt;PROVEEDORES[[#This Row],[base retencion]],0,PROVEEDORES[[#This Row],[retención aplicada]])</f>
        <v>0</v>
      </c>
      <c r="Q498" s="22">
        <f>+PROVEEDORES[[#This Row],[Rete Fuente %]]*(PROVEEDORES[[#This Row],[SUBTOTAL]]-PROVEEDORES[[#This Row],[descuento sobre subtotal]])</f>
        <v>0</v>
      </c>
      <c r="R498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4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68">
        <f ca="1">IF(PROVEEDORES[[#This Row],[FECHA DE PAGO]]=0,TODAY()-PROVEEDORES[[#This Row],[FECHA DE FACTURACIÓN]]-PROVEEDORES[[#This Row],[PLAZO Días]],0)</f>
        <v>0</v>
      </c>
      <c r="U498" s="96">
        <f>+VLOOKUP(PROVEEDORES[[#This Row],[PROVEEDOR]],Terceros!$A:$D,4,FALSE)</f>
        <v>0</v>
      </c>
      <c r="V498" s="97">
        <f>+YEAR(PROVEEDORES[[#This Row],[FECHA DE FACTURACIÓN]])</f>
        <v>2021</v>
      </c>
      <c r="W498" s="97">
        <f>+MATCH(PROVEEDORES[[#This Row],[año facturado]],Retenciones!$1:$1,0)</f>
        <v>4</v>
      </c>
      <c r="X498" s="98">
        <f>+VLOOKUP(PROVEEDORES[[#This Row],[ID RETENCION]],Retenciones!$A$1:$O$25,PROVEEDORES[[#This Row],[indicador de columna]],FALSE)</f>
        <v>0</v>
      </c>
      <c r="Y498" s="99">
        <f>+VLOOKUP(PROVEEDORES[[#This Row],[ID RETENCION]],Retenciones!$A$1:$O$25,2,FALSE)</f>
        <v>0</v>
      </c>
      <c r="Z498" s="125" t="b">
        <f>OR(COUNTIF(PROVEEDORES[[#This Row],[PROVEEDOR]],"*"&amp;'Palabra no opera'!$A$2&amp;"*"))</f>
        <v>0</v>
      </c>
      <c r="AA498" s="24"/>
      <c r="AB498" s="24"/>
      <c r="AC498" s="24"/>
      <c r="AD498" s="24"/>
      <c r="AE498" s="24"/>
    </row>
    <row r="499" spans="1:31" ht="22.2" customHeight="1" x14ac:dyDescent="0.3">
      <c r="A499" s="215" t="str">
        <f>+IF(PROVEEDORES[[#This Row],[FECHA DE PAGO]]=PROVEEDORES[[#This Row],[FECHA DE FACTURACIÓN]],"DE CONTADO","CRÉDITO")</f>
        <v>CRÉDITO</v>
      </c>
      <c r="B499" s="38" t="str">
        <f>+IF((PROVEEDORES[[#This Row],[FECHA DE PAGO]]-PROVEEDORES[[#This Row],[FECHA DE FACTURACIÓN]])&gt;PROVEEDORES[[#This Row],[PLAZO Días]],"PAGO VENCIDO")</f>
        <v>PAGO VENCIDO</v>
      </c>
      <c r="C499" s="20">
        <f>+VLOOKUP(PROVEEDORES[[#This Row],[PROVEEDOR]],TERCEROS_INFO[#All],2,FALSE)</f>
        <v>0</v>
      </c>
      <c r="D499" s="25">
        <f>+SUMIFS(PROVEEDORES[Total],PROVEEDORES[PROVEEDOR],PROVEEDORES[[#This Row],[PROVEEDOR]],PROVEEDORES[FECHA DE PAGO],"")</f>
        <v>0</v>
      </c>
      <c r="E499" s="25"/>
      <c r="F499" s="58">
        <f>+VLOOKUP(PROVEEDORES[[#This Row],[PROVEEDOR]],
                       Terceros!$A:$F,
                       5,
                       FALSE)</f>
        <v>0</v>
      </c>
      <c r="G499" s="161">
        <v>44813</v>
      </c>
      <c r="H499" s="26" t="s">
        <v>1654</v>
      </c>
      <c r="I499" s="161">
        <v>44805</v>
      </c>
      <c r="J499" s="35" t="s">
        <v>1656</v>
      </c>
      <c r="K499" s="21">
        <v>300000</v>
      </c>
      <c r="L499" s="21"/>
      <c r="M499" s="22">
        <f>(PROVEEDORES[[#This Row],[SUBTOTAL]]-PROVEEDORES[[#This Row],[descuento sobre subtotal]])*VLOOKUP(PROVEEDORES[[#This Row],[PROVEEDOR]],TERCEROS_INFO[#All],3,FALSE)</f>
        <v>0</v>
      </c>
      <c r="N499" s="23"/>
      <c r="O499" s="22">
        <f>+PROVEEDORES[[#This Row],[Descuento sobre subtotal %]]*(PROVEEDORES[[#This Row],[SUBTOTAL]]-PROVEEDORES[[#This Row],[descuento sobre subtotal]])</f>
        <v>0</v>
      </c>
      <c r="P499" s="83">
        <f>+IF(PROVEEDORES[[#This Row],[SUBTOTAL]]&lt;PROVEEDORES[[#This Row],[base retencion]],0,PROVEEDORES[[#This Row],[retención aplicada]])</f>
        <v>0</v>
      </c>
      <c r="Q499" s="22">
        <f>+PROVEEDORES[[#This Row],[Rete Fuente %]]*(PROVEEDORES[[#This Row],[SUBTOTAL]]-PROVEEDORES[[#This Row],[descuento sobre subtotal]])</f>
        <v>0</v>
      </c>
      <c r="R499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499" s="2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68">
        <f ca="1">IF(PROVEEDORES[[#This Row],[FECHA DE PAGO]]=0,TODAY()-PROVEEDORES[[#This Row],[FECHA DE FACTURACIÓN]]-PROVEEDORES[[#This Row],[PLAZO Días]],0)</f>
        <v>0</v>
      </c>
      <c r="U499" s="113">
        <f>+VLOOKUP(PROVEEDORES[[#This Row],[PROVEEDOR]],Terceros!$A:$D,4,FALSE)</f>
        <v>0</v>
      </c>
      <c r="V499" s="114">
        <f>+YEAR(PROVEEDORES[[#This Row],[FECHA DE FACTURACIÓN]])</f>
        <v>2022</v>
      </c>
      <c r="W499" s="114">
        <f>+MATCH(PROVEEDORES[[#This Row],[año facturado]],Retenciones!$1:$1,0)</f>
        <v>5</v>
      </c>
      <c r="X499" s="115">
        <f>+VLOOKUP(PROVEEDORES[[#This Row],[ID RETENCION]],Retenciones!$A$1:$O$25,PROVEEDORES[[#This Row],[indicador de columna]],FALSE)</f>
        <v>0</v>
      </c>
      <c r="Y499" s="116">
        <f>+VLOOKUP(PROVEEDORES[[#This Row],[ID RETENCION]],Retenciones!$A$1:$O$25,2,FALSE)</f>
        <v>0</v>
      </c>
      <c r="Z499" s="125" t="b">
        <f>OR(COUNTIF(PROVEEDORES[[#This Row],[PROVEEDOR]],"*"&amp;'Palabra no opera'!$A$2&amp;"*"))</f>
        <v>1</v>
      </c>
      <c r="AA499" s="24"/>
      <c r="AB499" s="24"/>
      <c r="AC499" s="24"/>
      <c r="AD499" s="24"/>
      <c r="AE499" s="24"/>
    </row>
    <row r="500" spans="1:31" ht="22.2" customHeight="1" x14ac:dyDescent="0.3">
      <c r="A500" s="195" t="str">
        <f>+IF(PROVEEDORES[[#This Row],[FECHA DE PAGO]]=PROVEEDORES[[#This Row],[FECHA DE FACTURACIÓN]],"DE CONTADO","CRÉDITO")</f>
        <v>CRÉDITO</v>
      </c>
      <c r="B500" s="38" t="str">
        <f>+IF((PROVEEDORES[[#This Row],[FECHA DE PAGO]]-PROVEEDORES[[#This Row],[FECHA DE FACTURACIÓN]])&gt;PROVEEDORES[[#This Row],[PLAZO Días]],"PAGO VENCIDO")</f>
        <v>PAGO VENCIDO</v>
      </c>
      <c r="C500" s="20">
        <f>+VLOOKUP(PROVEEDORES[[#This Row],[PROVEEDOR]],TERCEROS_INFO[#All],2,FALSE)</f>
        <v>30</v>
      </c>
      <c r="D500" s="25">
        <f>+SUMIFS(PROVEEDORES[Total],PROVEEDORES[PROVEEDOR],PROVEEDORES[[#This Row],[PROVEEDOR]],PROVEEDORES[FECHA DE PAGO],"")</f>
        <v>5272763.2050000001</v>
      </c>
      <c r="E500" s="25"/>
      <c r="F50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500" s="161">
        <v>44839</v>
      </c>
      <c r="H500" s="26" t="s">
        <v>11</v>
      </c>
      <c r="I500" s="161">
        <v>44778</v>
      </c>
      <c r="J500" s="35" t="s">
        <v>1174</v>
      </c>
      <c r="K500" s="21">
        <v>252101</v>
      </c>
      <c r="L500" s="21"/>
      <c r="M500" s="22">
        <f>(PROVEEDORES[[#This Row],[SUBTOTAL]]-PROVEEDORES[[#This Row],[descuento sobre subtotal]])*VLOOKUP(PROVEEDORES[[#This Row],[PROVEEDOR]],TERCEROS_INFO[#All],3,FALSE)</f>
        <v>47899.19</v>
      </c>
      <c r="N500" s="23"/>
      <c r="O500" s="22">
        <f>+PROVEEDORES[[#This Row],[Descuento sobre subtotal %]]*(PROVEEDORES[[#This Row],[SUBTOTAL]]-PROVEEDORES[[#This Row],[descuento sobre subtotal]])</f>
        <v>0</v>
      </c>
      <c r="P500" s="83">
        <f>+IF(PROVEEDORES[[#This Row],[SUBTOTAL]]&lt;PROVEEDORES[[#This Row],[base retencion]],0,PROVEEDORES[[#This Row],[retención aplicada]])</f>
        <v>0</v>
      </c>
      <c r="Q500" s="22">
        <f>+PROVEEDORES[[#This Row],[Rete Fuente %]]*(PROVEEDORES[[#This Row],[SUBTOTAL]]-PROVEEDORES[[#This Row],[descuento sobre subtotal]])</f>
        <v>0</v>
      </c>
      <c r="R500" s="21">
        <f>+PROVEEDORES[[#This Row],[SUBTOTAL]]+PROVEEDORES[[#This Row],[IVA 19%]]-PROVEEDORES[[#This Row],[descuento sobre subtotal]]-PROVEEDORES[[#This Row],[Descuento sobre subtotal $2]]-PROVEEDORES[[#This Row],[Rete Fuente $]]</f>
        <v>300000.19</v>
      </c>
      <c r="S500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68">
        <f ca="1">IF(PROVEEDORES[[#This Row],[FECHA DE PAGO]]=0,TODAY()-PROVEEDORES[[#This Row],[FECHA DE FACTURACIÓN]]-PROVEEDORES[[#This Row],[PLAZO Días]],0)</f>
        <v>0</v>
      </c>
      <c r="U500" s="113" t="str">
        <f>+VLOOKUP(PROVEEDORES[[#This Row],[PROVEEDOR]],Terceros!$A:$D,4,FALSE)</f>
        <v>2,5% con base</v>
      </c>
      <c r="V500" s="114">
        <f>+YEAR(PROVEEDORES[[#This Row],[FECHA DE FACTURACIÓN]])</f>
        <v>2022</v>
      </c>
      <c r="W500" s="114">
        <f>+MATCH(PROVEEDORES[[#This Row],[año facturado]],Retenciones!$1:$1,0)</f>
        <v>5</v>
      </c>
      <c r="X500" s="115">
        <f>+VLOOKUP(PROVEEDORES[[#This Row],[ID RETENCION]],Retenciones!$A$1:$O$25,PROVEEDORES[[#This Row],[indicador de columna]],FALSE)</f>
        <v>1026000</v>
      </c>
      <c r="Y500" s="116">
        <f>+VLOOKUP(PROVEEDORES[[#This Row],[ID RETENCION]],Retenciones!$A$1:$O$25,2,FALSE)</f>
        <v>2.5000000000000001E-2</v>
      </c>
      <c r="Z500" s="125" t="b">
        <f>OR(COUNTIF(PROVEEDORES[[#This Row],[PROVEEDOR]],"*"&amp;'Palabra no opera'!$A$2&amp;"*"))</f>
        <v>0</v>
      </c>
      <c r="AA500" s="24"/>
      <c r="AB500" s="24"/>
      <c r="AC500" s="24"/>
      <c r="AD500" s="24"/>
      <c r="AE500" s="24"/>
    </row>
    <row r="501" spans="1:31" ht="22.2" customHeight="1" x14ac:dyDescent="0.3">
      <c r="A501" s="66" t="str">
        <f>+IF(PROVEEDORES[[#This Row],[FECHA DE PAGO]]=PROVEEDORES[[#This Row],[FECHA DE FACTURACIÓN]],"DE CONTADO","CRÉDITO")</f>
        <v>DE CONTADO</v>
      </c>
      <c r="B501" s="38" t="b">
        <f>+IF((PROVEEDORES[[#This Row],[FECHA DE PAGO]]-PROVEEDORES[[#This Row],[FECHA DE FACTURACIÓN]])&gt;PROVEEDORES[[#This Row],[PLAZO Días]],"PAGO VENCIDO")</f>
        <v>0</v>
      </c>
      <c r="C501" s="20">
        <f>+VLOOKUP(PROVEEDORES[[#This Row],[PROVEEDOR]],TERCEROS_INFO[#All],2,FALSE)</f>
        <v>30</v>
      </c>
      <c r="D501" s="25">
        <f>+SUMIFS(PROVEEDORES[Total],PROVEEDORES[PROVEEDOR],PROVEEDORES[[#This Row],[PROVEEDOR]],PROVEEDORES[FECHA DE PAGO],"")</f>
        <v>0</v>
      </c>
      <c r="E501" s="25"/>
      <c r="F501" s="58" t="str">
        <f>+VLOOKUP(PROVEEDORES[[#This Row],[PROVEEDOR]],
                       Terceros!$A:$F,
                       5,
                       FALSE)</f>
        <v/>
      </c>
      <c r="G501" s="161">
        <v>44561</v>
      </c>
      <c r="H501" s="26" t="s">
        <v>644</v>
      </c>
      <c r="I501" s="161">
        <v>44561</v>
      </c>
      <c r="J501" s="35" t="s">
        <v>1350</v>
      </c>
      <c r="K501" s="21">
        <v>300800</v>
      </c>
      <c r="L501" s="21"/>
      <c r="M501" s="22">
        <f>(PROVEEDORES[[#This Row],[SUBTOTAL]]-PROVEEDORES[[#This Row],[descuento sobre subtotal]])*VLOOKUP(PROVEEDORES[[#This Row],[PROVEEDOR]],TERCEROS_INFO[#All],3,FALSE)</f>
        <v>0</v>
      </c>
      <c r="N501" s="23"/>
      <c r="O501" s="22">
        <f>+PROVEEDORES[[#This Row],[Descuento sobre subtotal %]]*(PROVEEDORES[[#This Row],[SUBTOTAL]]-PROVEEDORES[[#This Row],[descuento sobre subtotal]])</f>
        <v>0</v>
      </c>
      <c r="P501" s="83">
        <f>+IF(PROVEEDORES[[#This Row],[SUBTOTAL]]&lt;PROVEEDORES[[#This Row],[base retencion]],0,PROVEEDORES[[#This Row],[retención aplicada]])</f>
        <v>0</v>
      </c>
      <c r="Q501" s="22">
        <f>+PROVEEDORES[[#This Row],[Rete Fuente %]]*(PROVEEDORES[[#This Row],[SUBTOTAL]]-PROVEEDORES[[#This Row],[descuento sobre subtotal]])</f>
        <v>0</v>
      </c>
      <c r="R501" s="21">
        <f>+PROVEEDORES[[#This Row],[SUBTOTAL]]+PROVEEDORES[[#This Row],[IVA 19%]]-PROVEEDORES[[#This Row],[descuento sobre subtotal]]-PROVEEDORES[[#This Row],[Descuento sobre subtotal $2]]-PROVEEDORES[[#This Row],[Rete Fuente $]]</f>
        <v>300800</v>
      </c>
      <c r="S5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68">
        <f ca="1">IF(PROVEEDORES[[#This Row],[FECHA DE PAGO]]=0,TODAY()-PROVEEDORES[[#This Row],[FECHA DE FACTURACIÓN]]-PROVEEDORES[[#This Row],[PLAZO Días]],0)</f>
        <v>0</v>
      </c>
      <c r="U501" s="96">
        <f>+VLOOKUP(PROVEEDORES[[#This Row],[PROVEEDOR]],Terceros!$A:$D,4,FALSE)</f>
        <v>0</v>
      </c>
      <c r="V501" s="97">
        <f>+YEAR(PROVEEDORES[[#This Row],[FECHA DE FACTURACIÓN]])</f>
        <v>2021</v>
      </c>
      <c r="W501" s="97">
        <f>+MATCH(PROVEEDORES[[#This Row],[año facturado]],Retenciones!$1:$1,0)</f>
        <v>4</v>
      </c>
      <c r="X501" s="98">
        <f>+VLOOKUP(PROVEEDORES[[#This Row],[ID RETENCION]],Retenciones!$A$1:$O$25,PROVEEDORES[[#This Row],[indicador de columna]],FALSE)</f>
        <v>0</v>
      </c>
      <c r="Y501" s="99">
        <f>+VLOOKUP(PROVEEDORES[[#This Row],[ID RETENCION]],Retenciones!$A$1:$O$25,2,FALSE)</f>
        <v>0</v>
      </c>
      <c r="Z501" s="125" t="b">
        <f>OR(COUNTIF(PROVEEDORES[[#This Row],[PROVEEDOR]],"*"&amp;'Palabra no opera'!$A$2&amp;"*"))</f>
        <v>0</v>
      </c>
      <c r="AA501" s="24"/>
      <c r="AB501" s="24"/>
      <c r="AC501" s="24"/>
      <c r="AD501" s="24"/>
      <c r="AE501" s="24"/>
    </row>
    <row r="502" spans="1:31" ht="22.2" customHeight="1" x14ac:dyDescent="0.3">
      <c r="A502" s="72" t="str">
        <f>+IF(PROVEEDORES[[#This Row],[FECHA DE PAGO]]=PROVEEDORES[[#This Row],[FECHA DE FACTURACIÓN]],"DE CONTADO","CRÉDITO")</f>
        <v>DE CONTADO</v>
      </c>
      <c r="B502" s="38" t="b">
        <f>+IF((PROVEEDORES[[#This Row],[FECHA DE PAGO]]-PROVEEDORES[[#This Row],[FECHA DE FACTURACIÓN]])&gt;PROVEEDORES[[#This Row],[PLAZO Días]],"PAGO VENCIDO")</f>
        <v>0</v>
      </c>
      <c r="C502" s="20">
        <f>+VLOOKUP(PROVEEDORES[[#This Row],[PROVEEDOR]],TERCEROS_INFO[#All],2,FALSE)</f>
        <v>30</v>
      </c>
      <c r="D502" s="25">
        <f>+SUMIFS(PROVEEDORES[Total],PROVEEDORES[PROVEEDOR],PROVEEDORES[[#This Row],[PROVEEDOR]],PROVEEDORES[FECHA DE PAGO],"")</f>
        <v>0</v>
      </c>
      <c r="E502" s="25"/>
      <c r="F502" s="5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502" s="161">
        <v>44750</v>
      </c>
      <c r="H502" s="26" t="s">
        <v>1112</v>
      </c>
      <c r="I502" s="161">
        <v>44750</v>
      </c>
      <c r="J502" s="35">
        <v>17198</v>
      </c>
      <c r="K502" s="21">
        <v>252825</v>
      </c>
      <c r="L502" s="21"/>
      <c r="M502" s="22">
        <f>(PROVEEDORES[[#This Row],[SUBTOTAL]]-PROVEEDORES[[#This Row],[descuento sobre subtotal]])*VLOOKUP(PROVEEDORES[[#This Row],[PROVEEDOR]],TERCEROS_INFO[#All],3,FALSE)</f>
        <v>48036.75</v>
      </c>
      <c r="N502" s="23"/>
      <c r="O502" s="22">
        <f>+PROVEEDORES[[#This Row],[Descuento sobre subtotal %]]*(PROVEEDORES[[#This Row],[SUBTOTAL]]-PROVEEDORES[[#This Row],[descuento sobre subtotal]])</f>
        <v>0</v>
      </c>
      <c r="P502" s="83">
        <f>+IF(PROVEEDORES[[#This Row],[SUBTOTAL]]&lt;PROVEEDORES[[#This Row],[base retencion]],0,PROVEEDORES[[#This Row],[retención aplicada]])</f>
        <v>0</v>
      </c>
      <c r="Q502" s="22">
        <f>+PROVEEDORES[[#This Row],[Rete Fuente %]]*(PROVEEDORES[[#This Row],[SUBTOTAL]]-PROVEEDORES[[#This Row],[descuento sobre subtotal]])</f>
        <v>0</v>
      </c>
      <c r="R502" s="21">
        <f>+PROVEEDORES[[#This Row],[SUBTOTAL]]+PROVEEDORES[[#This Row],[IVA 19%]]-PROVEEDORES[[#This Row],[descuento sobre subtotal]]-PROVEEDORES[[#This Row],[Descuento sobre subtotal $2]]-PROVEEDORES[[#This Row],[Rete Fuente $]]</f>
        <v>300861.75</v>
      </c>
      <c r="S50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68">
        <f ca="1">IF(PROVEEDORES[[#This Row],[FECHA DE PAGO]]=0,TODAY()-PROVEEDORES[[#This Row],[FECHA DE FACTURACIÓN]]-PROVEEDORES[[#This Row],[PLAZO Días]],0)</f>
        <v>0</v>
      </c>
      <c r="U502" s="113">
        <f>+VLOOKUP(PROVEEDORES[[#This Row],[PROVEEDOR]],Terceros!$A:$D,4,FALSE)</f>
        <v>0</v>
      </c>
      <c r="V502" s="114">
        <f>+YEAR(PROVEEDORES[[#This Row],[FECHA DE FACTURACIÓN]])</f>
        <v>2022</v>
      </c>
      <c r="W502" s="114">
        <f>+MATCH(PROVEEDORES[[#This Row],[año facturado]],Retenciones!$1:$1,0)</f>
        <v>5</v>
      </c>
      <c r="X502" s="115">
        <f>+VLOOKUP(PROVEEDORES[[#This Row],[ID RETENCION]],Retenciones!$A$1:$O$25,PROVEEDORES[[#This Row],[indicador de columna]],FALSE)</f>
        <v>0</v>
      </c>
      <c r="Y502" s="116">
        <f>+VLOOKUP(PROVEEDORES[[#This Row],[ID RETENCION]],Retenciones!$A$1:$O$25,2,FALSE)</f>
        <v>0</v>
      </c>
      <c r="Z502" s="125" t="b">
        <f>OR(COUNTIF(PROVEEDORES[[#This Row],[PROVEEDOR]],"*"&amp;'Palabra no opera'!$A$2&amp;"*"))</f>
        <v>1</v>
      </c>
      <c r="AA502" s="24"/>
      <c r="AB502" s="24"/>
      <c r="AC502" s="24"/>
      <c r="AD502" s="24"/>
      <c r="AE502" s="24"/>
    </row>
    <row r="503" spans="1:31" ht="22.2" customHeight="1" x14ac:dyDescent="0.3">
      <c r="A503" s="66" t="str">
        <f>+IF(PROVEEDORES[[#This Row],[FECHA DE PAGO]]=PROVEEDORES[[#This Row],[FECHA DE FACTURACIÓN]],"DE CONTADO","CRÉDITO")</f>
        <v>CRÉDITO</v>
      </c>
      <c r="B503" s="38" t="b">
        <f>+IF((PROVEEDORES[[#This Row],[FECHA DE PAGO]]-PROVEEDORES[[#This Row],[FECHA DE FACTURACIÓN]])&gt;PROVEEDORES[[#This Row],[PLAZO Días]],"PAGO VENCIDO")</f>
        <v>0</v>
      </c>
      <c r="C503" s="20">
        <f>+VLOOKUP(PROVEEDORES[[#This Row],[PROVEEDOR]],TERCEROS_INFO[#All],2,FALSE)</f>
        <v>30</v>
      </c>
      <c r="D503" s="25">
        <f>+SUMIFS(PROVEEDORES[Total],PROVEEDORES[PROVEEDOR],PROVEEDORES[[#This Row],[PROVEEDOR]],PROVEEDORES[FECHA DE PAGO],"")</f>
        <v>0</v>
      </c>
      <c r="E503" s="25"/>
      <c r="F503" s="58" t="str">
        <f>+VLOOKUP(PROVEEDORES[[#This Row],[PROVEEDOR]],
                       Terceros!$A:$F,
                       5,
                       FALSE)</f>
        <v>facturacion@losmolinos.com.co</v>
      </c>
      <c r="G503" s="161">
        <v>44391</v>
      </c>
      <c r="H503" s="26" t="s">
        <v>940</v>
      </c>
      <c r="I503" s="161">
        <v>44378</v>
      </c>
      <c r="J503" s="35">
        <v>63475</v>
      </c>
      <c r="K503" s="21">
        <v>302624.74</v>
      </c>
      <c r="L503" s="21"/>
      <c r="M503" s="22">
        <f>(PROVEEDORES[[#This Row],[SUBTOTAL]]-PROVEEDORES[[#This Row],[descuento sobre subtotal]])*VLOOKUP(PROVEEDORES[[#This Row],[PROVEEDOR]],TERCEROS_INFO[#All],3,FALSE)</f>
        <v>0</v>
      </c>
      <c r="N503" s="23"/>
      <c r="O503" s="22">
        <f>+PROVEEDORES[[#This Row],[Descuento sobre subtotal %]]*(PROVEEDORES[[#This Row],[SUBTOTAL]]-PROVEEDORES[[#This Row],[descuento sobre subtotal]])</f>
        <v>0</v>
      </c>
      <c r="P503" s="83">
        <f>+IF(PROVEEDORES[[#This Row],[SUBTOTAL]]&lt;PROVEEDORES[[#This Row],[base retencion]],0,PROVEEDORES[[#This Row],[retención aplicada]])</f>
        <v>0</v>
      </c>
      <c r="Q503" s="22">
        <f>+PROVEEDORES[[#This Row],[Rete Fuente %]]*(PROVEEDORES[[#This Row],[SUBTOTAL]]-PROVEEDORES[[#This Row],[descuento sobre subtotal]])</f>
        <v>0</v>
      </c>
      <c r="R503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68">
        <f ca="1">IF(PROVEEDORES[[#This Row],[FECHA DE PAGO]]=0,TODAY()-PROVEEDORES[[#This Row],[FECHA DE FACTURACIÓN]]-PROVEEDORES[[#This Row],[PLAZO Días]],0)</f>
        <v>0</v>
      </c>
      <c r="U503" s="96">
        <f>+VLOOKUP(PROVEEDORES[[#This Row],[PROVEEDOR]],Terceros!$A:$D,4,FALSE)</f>
        <v>0</v>
      </c>
      <c r="V503" s="97">
        <f>+YEAR(PROVEEDORES[[#This Row],[FECHA DE FACTURACIÓN]])</f>
        <v>2021</v>
      </c>
      <c r="W503" s="97">
        <f>+MATCH(PROVEEDORES[[#This Row],[año facturado]],Retenciones!$1:$1,0)</f>
        <v>4</v>
      </c>
      <c r="X503" s="98">
        <f>+VLOOKUP(PROVEEDORES[[#This Row],[ID RETENCION]],Retenciones!$A$1:$O$25,PROVEEDORES[[#This Row],[indicador de columna]],FALSE)</f>
        <v>0</v>
      </c>
      <c r="Y503" s="99">
        <f>+VLOOKUP(PROVEEDORES[[#This Row],[ID RETENCION]],Retenciones!$A$1:$O$25,2,FALSE)</f>
        <v>0</v>
      </c>
      <c r="Z503" s="125" t="b">
        <f>OR(COUNTIF(PROVEEDORES[[#This Row],[PROVEEDOR]],"*"&amp;'Palabra no opera'!$A$2&amp;"*"))</f>
        <v>1</v>
      </c>
      <c r="AA503" s="24"/>
      <c r="AB503" s="24"/>
      <c r="AC503" s="24"/>
      <c r="AD503" s="24"/>
      <c r="AE503" s="24"/>
    </row>
    <row r="504" spans="1:31" ht="22.2" customHeight="1" x14ac:dyDescent="0.3">
      <c r="A504" s="66" t="str">
        <f>+IF(PROVEEDORES[[#This Row],[FECHA DE PAGO]]=PROVEEDORES[[#This Row],[FECHA DE FACTURACIÓN]],"DE CONTADO","CRÉDITO")</f>
        <v>CRÉDITO</v>
      </c>
      <c r="B504" s="38" t="b">
        <f>+IF((PROVEEDORES[[#This Row],[FECHA DE PAGO]]-PROVEEDORES[[#This Row],[FECHA DE FACTURACIÓN]])&gt;PROVEEDORES[[#This Row],[PLAZO Días]],"PAGO VENCIDO")</f>
        <v>0</v>
      </c>
      <c r="C504" s="20">
        <f>+VLOOKUP(PROVEEDORES[[#This Row],[PROVEEDOR]],TERCEROS_INFO[#All],2,FALSE)</f>
        <v>30</v>
      </c>
      <c r="D504" s="25">
        <f>+SUMIFS(PROVEEDORES[Total],PROVEEDORES[PROVEEDOR],PROVEEDORES[[#This Row],[PROVEEDOR]],PROVEEDORES[FECHA DE PAGO],"")</f>
        <v>0</v>
      </c>
      <c r="E504" s="25"/>
      <c r="F504" s="58" t="str">
        <f>+VLOOKUP(PROVEEDORES[[#This Row],[PROVEEDOR]],
                       Terceros!$A:$F,
                       5,
                       FALSE)</f>
        <v>facturacion@losmolinos.com.co</v>
      </c>
      <c r="G504" s="161">
        <v>44428</v>
      </c>
      <c r="H504" s="26" t="s">
        <v>940</v>
      </c>
      <c r="I504" s="161">
        <v>44409</v>
      </c>
      <c r="J504" s="35">
        <v>63851</v>
      </c>
      <c r="K504" s="21">
        <v>302624.74</v>
      </c>
      <c r="L504" s="21"/>
      <c r="M504" s="22">
        <f>(PROVEEDORES[[#This Row],[SUBTOTAL]]-PROVEEDORES[[#This Row],[descuento sobre subtotal]])*VLOOKUP(PROVEEDORES[[#This Row],[PROVEEDOR]],TERCEROS_INFO[#All],3,FALSE)</f>
        <v>0</v>
      </c>
      <c r="N504" s="23"/>
      <c r="O504" s="22">
        <f>+PROVEEDORES[[#This Row],[Descuento sobre subtotal %]]*(PROVEEDORES[[#This Row],[SUBTOTAL]]-PROVEEDORES[[#This Row],[descuento sobre subtotal]])</f>
        <v>0</v>
      </c>
      <c r="P504" s="83">
        <f>+IF(PROVEEDORES[[#This Row],[SUBTOTAL]]&lt;PROVEEDORES[[#This Row],[base retencion]],0,PROVEEDORES[[#This Row],[retención aplicada]])</f>
        <v>0</v>
      </c>
      <c r="Q504" s="22">
        <f>+PROVEEDORES[[#This Row],[Rete Fuente %]]*(PROVEEDORES[[#This Row],[SUBTOTAL]]-PROVEEDORES[[#This Row],[descuento sobre subtotal]])</f>
        <v>0</v>
      </c>
      <c r="R504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68">
        <f ca="1">IF(PROVEEDORES[[#This Row],[FECHA DE PAGO]]=0,TODAY()-PROVEEDORES[[#This Row],[FECHA DE FACTURACIÓN]]-PROVEEDORES[[#This Row],[PLAZO Días]],0)</f>
        <v>0</v>
      </c>
      <c r="U504" s="96">
        <f>+VLOOKUP(PROVEEDORES[[#This Row],[PROVEEDOR]],Terceros!$A:$D,4,FALSE)</f>
        <v>0</v>
      </c>
      <c r="V504" s="97">
        <f>+YEAR(PROVEEDORES[[#This Row],[FECHA DE FACTURACIÓN]])</f>
        <v>2021</v>
      </c>
      <c r="W504" s="97">
        <f>+MATCH(PROVEEDORES[[#This Row],[año facturado]],Retenciones!$1:$1,0)</f>
        <v>4</v>
      </c>
      <c r="X504" s="98">
        <f>+VLOOKUP(PROVEEDORES[[#This Row],[ID RETENCION]],Retenciones!$A$1:$O$25,PROVEEDORES[[#This Row],[indicador de columna]],FALSE)</f>
        <v>0</v>
      </c>
      <c r="Y504" s="99">
        <f>+VLOOKUP(PROVEEDORES[[#This Row],[ID RETENCION]],Retenciones!$A$1:$O$25,2,FALSE)</f>
        <v>0</v>
      </c>
      <c r="Z504" s="125" t="b">
        <f>OR(COUNTIF(PROVEEDORES[[#This Row],[PROVEEDOR]],"*"&amp;'Palabra no opera'!$A$2&amp;"*"))</f>
        <v>1</v>
      </c>
      <c r="AA504" s="24"/>
      <c r="AB504" s="24"/>
      <c r="AC504" s="24"/>
      <c r="AD504" s="24"/>
      <c r="AE504" s="24"/>
    </row>
    <row r="505" spans="1:31" ht="22.2" customHeight="1" x14ac:dyDescent="0.3">
      <c r="A505" s="66" t="str">
        <f>+IF(PROVEEDORES[[#This Row],[FECHA DE PAGO]]=PROVEEDORES[[#This Row],[FECHA DE FACTURACIÓN]],"DE CONTADO","CRÉDITO")</f>
        <v>CRÉDITO</v>
      </c>
      <c r="B505" s="38" t="b">
        <f>+IF((PROVEEDORES[[#This Row],[FECHA DE PAGO]]-PROVEEDORES[[#This Row],[FECHA DE FACTURACIÓN]])&gt;PROVEEDORES[[#This Row],[PLAZO Días]],"PAGO VENCIDO")</f>
        <v>0</v>
      </c>
      <c r="C505" s="20">
        <f>+VLOOKUP(PROVEEDORES[[#This Row],[PROVEEDOR]],TERCEROS_INFO[#All],2,FALSE)</f>
        <v>30</v>
      </c>
      <c r="D505" s="25">
        <f>+SUMIFS(PROVEEDORES[Total],PROVEEDORES[PROVEEDOR],PROVEEDORES[[#This Row],[PROVEEDOR]],PROVEEDORES[FECHA DE PAGO],"")</f>
        <v>0</v>
      </c>
      <c r="E505" s="25"/>
      <c r="F505" s="58" t="str">
        <f>+VLOOKUP(PROVEEDORES[[#This Row],[PROVEEDOR]],
                       Terceros!$A:$F,
                       5,
                       FALSE)</f>
        <v>facturacion@losmolinos.com.co</v>
      </c>
      <c r="G505" s="161">
        <v>44456</v>
      </c>
      <c r="H505" s="26" t="s">
        <v>940</v>
      </c>
      <c r="I505" s="161">
        <v>44440</v>
      </c>
      <c r="J505" s="35">
        <v>64226</v>
      </c>
      <c r="K505" s="21">
        <v>302624.74</v>
      </c>
      <c r="L505" s="21"/>
      <c r="M505" s="22">
        <f>(PROVEEDORES[[#This Row],[SUBTOTAL]]-PROVEEDORES[[#This Row],[descuento sobre subtotal]])*VLOOKUP(PROVEEDORES[[#This Row],[PROVEEDOR]],TERCEROS_INFO[#All],3,FALSE)</f>
        <v>0</v>
      </c>
      <c r="N505" s="23"/>
      <c r="O505" s="22">
        <f>+PROVEEDORES[[#This Row],[Descuento sobre subtotal %]]*(PROVEEDORES[[#This Row],[SUBTOTAL]]-PROVEEDORES[[#This Row],[descuento sobre subtotal]])</f>
        <v>0</v>
      </c>
      <c r="P505" s="83">
        <f>+IF(PROVEEDORES[[#This Row],[SUBTOTAL]]&lt;PROVEEDORES[[#This Row],[base retencion]],0,PROVEEDORES[[#This Row],[retención aplicada]])</f>
        <v>0</v>
      </c>
      <c r="Q505" s="22">
        <f>+PROVEEDORES[[#This Row],[Rete Fuente %]]*(PROVEEDORES[[#This Row],[SUBTOTAL]]-PROVEEDORES[[#This Row],[descuento sobre subtotal]])</f>
        <v>0</v>
      </c>
      <c r="R505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68">
        <f ca="1">IF(PROVEEDORES[[#This Row],[FECHA DE PAGO]]=0,TODAY()-PROVEEDORES[[#This Row],[FECHA DE FACTURACIÓN]]-PROVEEDORES[[#This Row],[PLAZO Días]],0)</f>
        <v>0</v>
      </c>
      <c r="U505" s="96">
        <f>+VLOOKUP(PROVEEDORES[[#This Row],[PROVEEDOR]],Terceros!$A:$D,4,FALSE)</f>
        <v>0</v>
      </c>
      <c r="V505" s="97">
        <f>+YEAR(PROVEEDORES[[#This Row],[FECHA DE FACTURACIÓN]])</f>
        <v>2021</v>
      </c>
      <c r="W505" s="97">
        <f>+MATCH(PROVEEDORES[[#This Row],[año facturado]],Retenciones!$1:$1,0)</f>
        <v>4</v>
      </c>
      <c r="X505" s="98">
        <f>+VLOOKUP(PROVEEDORES[[#This Row],[ID RETENCION]],Retenciones!$A$1:$O$25,PROVEEDORES[[#This Row],[indicador de columna]],FALSE)</f>
        <v>0</v>
      </c>
      <c r="Y505" s="99">
        <f>+VLOOKUP(PROVEEDORES[[#This Row],[ID RETENCION]],Retenciones!$A$1:$O$25,2,FALSE)</f>
        <v>0</v>
      </c>
      <c r="Z505" s="125" t="b">
        <f>OR(COUNTIF(PROVEEDORES[[#This Row],[PROVEEDOR]],"*"&amp;'Palabra no opera'!$A$2&amp;"*"))</f>
        <v>1</v>
      </c>
      <c r="AA505" s="24"/>
      <c r="AB505" s="24"/>
      <c r="AC505" s="24"/>
      <c r="AD505" s="24"/>
      <c r="AE505" s="24"/>
    </row>
    <row r="506" spans="1:31" ht="22.2" customHeight="1" x14ac:dyDescent="0.3">
      <c r="A506" s="66" t="str">
        <f>+IF(PROVEEDORES[[#This Row],[FECHA DE PAGO]]=PROVEEDORES[[#This Row],[FECHA DE FACTURACIÓN]],"DE CONTADO","CRÉDITO")</f>
        <v>CRÉDITO</v>
      </c>
      <c r="B506" s="38" t="b">
        <f>+IF((PROVEEDORES[[#This Row],[FECHA DE PAGO]]-PROVEEDORES[[#This Row],[FECHA DE FACTURACIÓN]])&gt;PROVEEDORES[[#This Row],[PLAZO Días]],"PAGO VENCIDO")</f>
        <v>0</v>
      </c>
      <c r="C506" s="20">
        <f>+VLOOKUP(PROVEEDORES[[#This Row],[PROVEEDOR]],TERCEROS_INFO[#All],2,FALSE)</f>
        <v>30</v>
      </c>
      <c r="D506" s="25">
        <f>+SUMIFS(PROVEEDORES[Total],PROVEEDORES[PROVEEDOR],PROVEEDORES[[#This Row],[PROVEEDOR]],PROVEEDORES[FECHA DE PAGO],"")</f>
        <v>0</v>
      </c>
      <c r="E506" s="25"/>
      <c r="F506" s="58" t="str">
        <f>+VLOOKUP(PROVEEDORES[[#This Row],[PROVEEDOR]],
                       Terceros!$A:$F,
                       5,
                       FALSE)</f>
        <v>facturacion@losmolinos.com.co</v>
      </c>
      <c r="G506" s="161">
        <v>44483</v>
      </c>
      <c r="H506" s="26" t="s">
        <v>940</v>
      </c>
      <c r="I506" s="161">
        <v>44470</v>
      </c>
      <c r="J506" s="35">
        <v>64608</v>
      </c>
      <c r="K506" s="21">
        <v>302624.74</v>
      </c>
      <c r="L506" s="21"/>
      <c r="M506" s="22">
        <f>(PROVEEDORES[[#This Row],[SUBTOTAL]]-PROVEEDORES[[#This Row],[descuento sobre subtotal]])*VLOOKUP(PROVEEDORES[[#This Row],[PROVEEDOR]],TERCEROS_INFO[#All],3,FALSE)</f>
        <v>0</v>
      </c>
      <c r="N506" s="23"/>
      <c r="O506" s="22">
        <f>+PROVEEDORES[[#This Row],[Descuento sobre subtotal %]]*(PROVEEDORES[[#This Row],[SUBTOTAL]]-PROVEEDORES[[#This Row],[descuento sobre subtotal]])</f>
        <v>0</v>
      </c>
      <c r="P506" s="83">
        <f>+IF(PROVEEDORES[[#This Row],[SUBTOTAL]]&lt;PROVEEDORES[[#This Row],[base retencion]],0,PROVEEDORES[[#This Row],[retención aplicada]])</f>
        <v>0</v>
      </c>
      <c r="Q506" s="22">
        <f>+PROVEEDORES[[#This Row],[Rete Fuente %]]*(PROVEEDORES[[#This Row],[SUBTOTAL]]-PROVEEDORES[[#This Row],[descuento sobre subtotal]])</f>
        <v>0</v>
      </c>
      <c r="R506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6" s="68">
        <f ca="1">IF(PROVEEDORES[[#This Row],[FECHA DE PAGO]]=0,TODAY()-PROVEEDORES[[#This Row],[FECHA DE FACTURACIÓN]]-PROVEEDORES[[#This Row],[PLAZO Días]],0)</f>
        <v>0</v>
      </c>
      <c r="U506" s="96">
        <f>+VLOOKUP(PROVEEDORES[[#This Row],[PROVEEDOR]],Terceros!$A:$D,4,FALSE)</f>
        <v>0</v>
      </c>
      <c r="V506" s="97">
        <f>+YEAR(PROVEEDORES[[#This Row],[FECHA DE FACTURACIÓN]])</f>
        <v>2021</v>
      </c>
      <c r="W506" s="97">
        <f>+MATCH(PROVEEDORES[[#This Row],[año facturado]],Retenciones!$1:$1,0)</f>
        <v>4</v>
      </c>
      <c r="X506" s="98">
        <f>+VLOOKUP(PROVEEDORES[[#This Row],[ID RETENCION]],Retenciones!$A$1:$O$25,PROVEEDORES[[#This Row],[indicador de columna]],FALSE)</f>
        <v>0</v>
      </c>
      <c r="Y506" s="99">
        <f>+VLOOKUP(PROVEEDORES[[#This Row],[ID RETENCION]],Retenciones!$A$1:$O$25,2,FALSE)</f>
        <v>0</v>
      </c>
      <c r="Z506" s="125" t="b">
        <f>OR(COUNTIF(PROVEEDORES[[#This Row],[PROVEEDOR]],"*"&amp;'Palabra no opera'!$A$2&amp;"*"))</f>
        <v>1</v>
      </c>
      <c r="AA506" s="24"/>
      <c r="AB506" s="24"/>
      <c r="AC506" s="24"/>
      <c r="AD506" s="24"/>
      <c r="AE506" s="24"/>
    </row>
    <row r="507" spans="1:31" ht="22.2" customHeight="1" x14ac:dyDescent="0.3">
      <c r="A507" s="66" t="str">
        <f>+IF(PROVEEDORES[[#This Row],[FECHA DE PAGO]]=PROVEEDORES[[#This Row],[FECHA DE FACTURACIÓN]],"DE CONTADO","CRÉDITO")</f>
        <v>CRÉDITO</v>
      </c>
      <c r="B507" s="38" t="b">
        <f>+IF((PROVEEDORES[[#This Row],[FECHA DE PAGO]]-PROVEEDORES[[#This Row],[FECHA DE FACTURACIÓN]])&gt;PROVEEDORES[[#This Row],[PLAZO Días]],"PAGO VENCIDO")</f>
        <v>0</v>
      </c>
      <c r="C507" s="20">
        <f>+VLOOKUP(PROVEEDORES[[#This Row],[PROVEEDOR]],TERCEROS_INFO[#All],2,FALSE)</f>
        <v>30</v>
      </c>
      <c r="D507" s="25">
        <f>+SUMIFS(PROVEEDORES[Total],PROVEEDORES[PROVEEDOR],PROVEEDORES[[#This Row],[PROVEEDOR]],PROVEEDORES[FECHA DE PAGO],"")</f>
        <v>0</v>
      </c>
      <c r="E507" s="25"/>
      <c r="F507" s="58" t="str">
        <f>+VLOOKUP(PROVEEDORES[[#This Row],[PROVEEDOR]],
                       Terceros!$A:$F,
                       5,
                       FALSE)</f>
        <v>facturacion@losmolinos.com.co</v>
      </c>
      <c r="G507" s="161">
        <v>44516</v>
      </c>
      <c r="H507" s="26" t="s">
        <v>940</v>
      </c>
      <c r="I507" s="161">
        <v>44501</v>
      </c>
      <c r="J507" s="35">
        <v>64995</v>
      </c>
      <c r="K507" s="21">
        <v>302624.74</v>
      </c>
      <c r="L507" s="21"/>
      <c r="M507" s="22">
        <f>(PROVEEDORES[[#This Row],[SUBTOTAL]]-PROVEEDORES[[#This Row],[descuento sobre subtotal]])*VLOOKUP(PROVEEDORES[[#This Row],[PROVEEDOR]],TERCEROS_INFO[#All],3,FALSE)</f>
        <v>0</v>
      </c>
      <c r="N507" s="23"/>
      <c r="O507" s="22">
        <f>+PROVEEDORES[[#This Row],[Descuento sobre subtotal %]]*(PROVEEDORES[[#This Row],[SUBTOTAL]]-PROVEEDORES[[#This Row],[descuento sobre subtotal]])</f>
        <v>0</v>
      </c>
      <c r="P507" s="83">
        <f>+IF(PROVEEDORES[[#This Row],[SUBTOTAL]]&lt;PROVEEDORES[[#This Row],[base retencion]],0,PROVEEDORES[[#This Row],[retención aplicada]])</f>
        <v>0</v>
      </c>
      <c r="Q507" s="22">
        <f>+PROVEEDORES[[#This Row],[Rete Fuente %]]*(PROVEEDORES[[#This Row],[SUBTOTAL]]-PROVEEDORES[[#This Row],[descuento sobre subtotal]])</f>
        <v>0</v>
      </c>
      <c r="R507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7" s="68">
        <f ca="1">IF(PROVEEDORES[[#This Row],[FECHA DE PAGO]]=0,TODAY()-PROVEEDORES[[#This Row],[FECHA DE FACTURACIÓN]]-PROVEEDORES[[#This Row],[PLAZO Días]],0)</f>
        <v>0</v>
      </c>
      <c r="U507" s="96">
        <f>+VLOOKUP(PROVEEDORES[[#This Row],[PROVEEDOR]],Terceros!$A:$D,4,FALSE)</f>
        <v>0</v>
      </c>
      <c r="V507" s="97">
        <f>+YEAR(PROVEEDORES[[#This Row],[FECHA DE FACTURACIÓN]])</f>
        <v>2021</v>
      </c>
      <c r="W507" s="97">
        <f>+MATCH(PROVEEDORES[[#This Row],[año facturado]],Retenciones!$1:$1,0)</f>
        <v>4</v>
      </c>
      <c r="X507" s="98">
        <f>+VLOOKUP(PROVEEDORES[[#This Row],[ID RETENCION]],Retenciones!$A$1:$O$25,PROVEEDORES[[#This Row],[indicador de columna]],FALSE)</f>
        <v>0</v>
      </c>
      <c r="Y507" s="99">
        <f>+VLOOKUP(PROVEEDORES[[#This Row],[ID RETENCION]],Retenciones!$A$1:$O$25,2,FALSE)</f>
        <v>0</v>
      </c>
      <c r="Z507" s="125" t="b">
        <f>OR(COUNTIF(PROVEEDORES[[#This Row],[PROVEEDOR]],"*"&amp;'Palabra no opera'!$A$2&amp;"*"))</f>
        <v>1</v>
      </c>
      <c r="AA507" s="24"/>
      <c r="AB507" s="24"/>
      <c r="AC507" s="24"/>
      <c r="AD507" s="24"/>
      <c r="AE507" s="24"/>
    </row>
    <row r="508" spans="1:31" ht="22.2" customHeight="1" x14ac:dyDescent="0.3">
      <c r="A508" s="66" t="str">
        <f>+IF(PROVEEDORES[[#This Row],[FECHA DE PAGO]]=PROVEEDORES[[#This Row],[FECHA DE FACTURACIÓN]],"DE CONTADO","CRÉDITO")</f>
        <v>CRÉDITO</v>
      </c>
      <c r="B508" s="38" t="b">
        <f>+IF((PROVEEDORES[[#This Row],[FECHA DE PAGO]]-PROVEEDORES[[#This Row],[FECHA DE FACTURACIÓN]])&gt;PROVEEDORES[[#This Row],[PLAZO Días]],"PAGO VENCIDO")</f>
        <v>0</v>
      </c>
      <c r="C508" s="20">
        <f>+VLOOKUP(PROVEEDORES[[#This Row],[PROVEEDOR]],TERCEROS_INFO[#All],2,FALSE)</f>
        <v>30</v>
      </c>
      <c r="D508" s="25">
        <f>+SUMIFS(PROVEEDORES[Total],PROVEEDORES[PROVEEDOR],PROVEEDORES[[#This Row],[PROVEEDOR]],PROVEEDORES[FECHA DE PAGO],"")</f>
        <v>0</v>
      </c>
      <c r="E508" s="25"/>
      <c r="F508" s="58" t="str">
        <f>+VLOOKUP(PROVEEDORES[[#This Row],[PROVEEDOR]],
                       Terceros!$A:$F,
                       5,
                       FALSE)</f>
        <v>facturacion@losmolinos.com.co</v>
      </c>
      <c r="G508" s="161">
        <v>44543</v>
      </c>
      <c r="H508" s="26" t="s">
        <v>940</v>
      </c>
      <c r="I508" s="161">
        <v>44531</v>
      </c>
      <c r="J508" s="35">
        <v>65384</v>
      </c>
      <c r="K508" s="21">
        <v>302624.74</v>
      </c>
      <c r="L508" s="21"/>
      <c r="M508" s="22">
        <f>(PROVEEDORES[[#This Row],[SUBTOTAL]]-PROVEEDORES[[#This Row],[descuento sobre subtotal]])*VLOOKUP(PROVEEDORES[[#This Row],[PROVEEDOR]],TERCEROS_INFO[#All],3,FALSE)</f>
        <v>0</v>
      </c>
      <c r="N508" s="23"/>
      <c r="O508" s="22">
        <f>+PROVEEDORES[[#This Row],[Descuento sobre subtotal %]]*(PROVEEDORES[[#This Row],[SUBTOTAL]]-PROVEEDORES[[#This Row],[descuento sobre subtotal]])</f>
        <v>0</v>
      </c>
      <c r="P508" s="83">
        <f>+IF(PROVEEDORES[[#This Row],[SUBTOTAL]]&lt;PROVEEDORES[[#This Row],[base retencion]],0,PROVEEDORES[[#This Row],[retención aplicada]])</f>
        <v>0</v>
      </c>
      <c r="Q508" s="22">
        <f>+PROVEEDORES[[#This Row],[Rete Fuente %]]*(PROVEEDORES[[#This Row],[SUBTOTAL]]-PROVEEDORES[[#This Row],[descuento sobre subtotal]])</f>
        <v>0</v>
      </c>
      <c r="R508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8" s="68">
        <f ca="1">IF(PROVEEDORES[[#This Row],[FECHA DE PAGO]]=0,TODAY()-PROVEEDORES[[#This Row],[FECHA DE FACTURACIÓN]]-PROVEEDORES[[#This Row],[PLAZO Días]],0)</f>
        <v>0</v>
      </c>
      <c r="U508" s="96">
        <f>+VLOOKUP(PROVEEDORES[[#This Row],[PROVEEDOR]],Terceros!$A:$D,4,FALSE)</f>
        <v>0</v>
      </c>
      <c r="V508" s="97">
        <f>+YEAR(PROVEEDORES[[#This Row],[FECHA DE FACTURACIÓN]])</f>
        <v>2021</v>
      </c>
      <c r="W508" s="97">
        <f>+MATCH(PROVEEDORES[[#This Row],[año facturado]],Retenciones!$1:$1,0)</f>
        <v>4</v>
      </c>
      <c r="X508" s="98">
        <f>+VLOOKUP(PROVEEDORES[[#This Row],[ID RETENCION]],Retenciones!$A$1:$O$25,PROVEEDORES[[#This Row],[indicador de columna]],FALSE)</f>
        <v>0</v>
      </c>
      <c r="Y508" s="99">
        <f>+VLOOKUP(PROVEEDORES[[#This Row],[ID RETENCION]],Retenciones!$A$1:$O$25,2,FALSE)</f>
        <v>0</v>
      </c>
      <c r="Z508" s="125" t="b">
        <f>OR(COUNTIF(PROVEEDORES[[#This Row],[PROVEEDOR]],"*"&amp;'Palabra no opera'!$A$2&amp;"*"))</f>
        <v>1</v>
      </c>
      <c r="AA508" s="24"/>
      <c r="AB508" s="24"/>
      <c r="AC508" s="24"/>
      <c r="AD508" s="24"/>
      <c r="AE508" s="24"/>
    </row>
    <row r="509" spans="1:31" ht="22.2" customHeight="1" x14ac:dyDescent="0.3">
      <c r="A509" s="66" t="str">
        <f>+IF(PROVEEDORES[[#This Row],[FECHA DE PAGO]]=PROVEEDORES[[#This Row],[FECHA DE FACTURACIÓN]],"DE CONTADO","CRÉDITO")</f>
        <v>CRÉDITO</v>
      </c>
      <c r="B509" s="38" t="b">
        <f>+IF((PROVEEDORES[[#This Row],[FECHA DE PAGO]]-PROVEEDORES[[#This Row],[FECHA DE FACTURACIÓN]])&gt;PROVEEDORES[[#This Row],[PLAZO Días]],"PAGO VENCIDO")</f>
        <v>0</v>
      </c>
      <c r="C509" s="20">
        <f>+VLOOKUP(PROVEEDORES[[#This Row],[PROVEEDOR]],TERCEROS_INFO[#All],2,FALSE)</f>
        <v>30</v>
      </c>
      <c r="D509" s="25">
        <f>+SUMIFS(PROVEEDORES[Total],PROVEEDORES[PROVEEDOR],PROVEEDORES[[#This Row],[PROVEEDOR]],PROVEEDORES[FECHA DE PAGO],"")</f>
        <v>0</v>
      </c>
      <c r="E509" s="25"/>
      <c r="F509" s="58" t="str">
        <f>+VLOOKUP(PROVEEDORES[[#This Row],[PROVEEDOR]],
                       Terceros!$A:$F,
                       5,
                       FALSE)</f>
        <v>facturacion@losmolinos.com.co</v>
      </c>
      <c r="G509" s="161">
        <v>44302</v>
      </c>
      <c r="H509" s="26" t="s">
        <v>940</v>
      </c>
      <c r="I509" s="161">
        <v>44287</v>
      </c>
      <c r="J509" s="35">
        <v>62349</v>
      </c>
      <c r="K509" s="21">
        <v>302625</v>
      </c>
      <c r="L509" s="21"/>
      <c r="M509" s="22">
        <f>(PROVEEDORES[[#This Row],[SUBTOTAL]]-PROVEEDORES[[#This Row],[descuento sobre subtotal]])*VLOOKUP(PROVEEDORES[[#This Row],[PROVEEDOR]],TERCEROS_INFO[#All],3,FALSE)</f>
        <v>0</v>
      </c>
      <c r="N509" s="23"/>
      <c r="O509" s="22">
        <f>+PROVEEDORES[[#This Row],[Descuento sobre subtotal %]]*(PROVEEDORES[[#This Row],[SUBTOTAL]]-PROVEEDORES[[#This Row],[descuento sobre subtotal]])</f>
        <v>0</v>
      </c>
      <c r="P509" s="83">
        <f>+IF(PROVEEDORES[[#This Row],[SUBTOTAL]]&lt;PROVEEDORES[[#This Row],[base retencion]],0,PROVEEDORES[[#This Row],[retención aplicada]])</f>
        <v>0</v>
      </c>
      <c r="Q509" s="22">
        <f>+PROVEEDORES[[#This Row],[Rete Fuente %]]*(PROVEEDORES[[#This Row],[SUBTOTAL]]-PROVEEDORES[[#This Row],[descuento sobre subtotal]])</f>
        <v>0</v>
      </c>
      <c r="R509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5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9" s="68">
        <f ca="1">IF(PROVEEDORES[[#This Row],[FECHA DE PAGO]]=0,TODAY()-PROVEEDORES[[#This Row],[FECHA DE FACTURACIÓN]]-PROVEEDORES[[#This Row],[PLAZO Días]],0)</f>
        <v>0</v>
      </c>
      <c r="U509" s="96">
        <f>+VLOOKUP(PROVEEDORES[[#This Row],[PROVEEDOR]],Terceros!$A:$D,4,FALSE)</f>
        <v>0</v>
      </c>
      <c r="V509" s="97">
        <f>+YEAR(PROVEEDORES[[#This Row],[FECHA DE FACTURACIÓN]])</f>
        <v>2021</v>
      </c>
      <c r="W509" s="97">
        <f>+MATCH(PROVEEDORES[[#This Row],[año facturado]],Retenciones!$1:$1,0)</f>
        <v>4</v>
      </c>
      <c r="X509" s="98">
        <f>+VLOOKUP(PROVEEDORES[[#This Row],[ID RETENCION]],Retenciones!$A$1:$O$25,PROVEEDORES[[#This Row],[indicador de columna]],FALSE)</f>
        <v>0</v>
      </c>
      <c r="Y509" s="99">
        <f>+VLOOKUP(PROVEEDORES[[#This Row],[ID RETENCION]],Retenciones!$A$1:$O$25,2,FALSE)</f>
        <v>0</v>
      </c>
      <c r="Z509" s="125" t="b">
        <f>OR(COUNTIF(PROVEEDORES[[#This Row],[PROVEEDOR]],"*"&amp;'Palabra no opera'!$A$2&amp;"*"))</f>
        <v>1</v>
      </c>
      <c r="AA509" s="24"/>
      <c r="AB509" s="24"/>
      <c r="AC509" s="24"/>
      <c r="AD509" s="24"/>
      <c r="AE509" s="24"/>
    </row>
    <row r="510" spans="1:31" ht="22.2" customHeight="1" x14ac:dyDescent="0.3">
      <c r="A510" s="66" t="str">
        <f>+IF(PROVEEDORES[[#This Row],[FECHA DE PAGO]]=PROVEEDORES[[#This Row],[FECHA DE FACTURACIÓN]],"DE CONTADO","CRÉDITO")</f>
        <v>CRÉDITO</v>
      </c>
      <c r="B510" s="38" t="b">
        <f>+IF((PROVEEDORES[[#This Row],[FECHA DE PAGO]]-PROVEEDORES[[#This Row],[FECHA DE FACTURACIÓN]])&gt;PROVEEDORES[[#This Row],[PLAZO Días]],"PAGO VENCIDO")</f>
        <v>0</v>
      </c>
      <c r="C510" s="20">
        <f>+VLOOKUP(PROVEEDORES[[#This Row],[PROVEEDOR]],TERCEROS_INFO[#All],2,FALSE)</f>
        <v>30</v>
      </c>
      <c r="D510" s="25">
        <f>+SUMIFS(PROVEEDORES[Total],PROVEEDORES[PROVEEDOR],PROVEEDORES[[#This Row],[PROVEEDOR]],PROVEEDORES[FECHA DE PAGO],"")</f>
        <v>0</v>
      </c>
      <c r="E510" s="25"/>
      <c r="F510" s="58" t="str">
        <f>+VLOOKUP(PROVEEDORES[[#This Row],[PROVEEDOR]],
                       Terceros!$A:$F,
                       5,
                       FALSE)</f>
        <v>facturacion@losmolinos.com.co</v>
      </c>
      <c r="G510" s="161">
        <v>44334</v>
      </c>
      <c r="H510" s="26" t="s">
        <v>940</v>
      </c>
      <c r="I510" s="161">
        <v>44317</v>
      </c>
      <c r="J510" s="35">
        <v>62725</v>
      </c>
      <c r="K510" s="21">
        <v>302625</v>
      </c>
      <c r="L510" s="21"/>
      <c r="M510" s="22">
        <f>(PROVEEDORES[[#This Row],[SUBTOTAL]]-PROVEEDORES[[#This Row],[descuento sobre subtotal]])*VLOOKUP(PROVEEDORES[[#This Row],[PROVEEDOR]],TERCEROS_INFO[#All],3,FALSE)</f>
        <v>0</v>
      </c>
      <c r="N510" s="23"/>
      <c r="O510" s="22">
        <f>+PROVEEDORES[[#This Row],[Descuento sobre subtotal %]]*(PROVEEDORES[[#This Row],[SUBTOTAL]]-PROVEEDORES[[#This Row],[descuento sobre subtotal]])</f>
        <v>0</v>
      </c>
      <c r="P510" s="83">
        <f>+IF(PROVEEDORES[[#This Row],[SUBTOTAL]]&lt;PROVEEDORES[[#This Row],[base retencion]],0,PROVEEDORES[[#This Row],[retención aplicada]])</f>
        <v>0</v>
      </c>
      <c r="Q510" s="22">
        <f>+PROVEEDORES[[#This Row],[Rete Fuente %]]*(PROVEEDORES[[#This Row],[SUBTOTAL]]-PROVEEDORES[[#This Row],[descuento sobre subtotal]])</f>
        <v>0</v>
      </c>
      <c r="R510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5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0" s="68">
        <f ca="1">IF(PROVEEDORES[[#This Row],[FECHA DE PAGO]]=0,TODAY()-PROVEEDORES[[#This Row],[FECHA DE FACTURACIÓN]]-PROVEEDORES[[#This Row],[PLAZO Días]],0)</f>
        <v>0</v>
      </c>
      <c r="U510" s="96">
        <f>+VLOOKUP(PROVEEDORES[[#This Row],[PROVEEDOR]],Terceros!$A:$D,4,FALSE)</f>
        <v>0</v>
      </c>
      <c r="V510" s="97">
        <f>+YEAR(PROVEEDORES[[#This Row],[FECHA DE FACTURACIÓN]])</f>
        <v>2021</v>
      </c>
      <c r="W510" s="97">
        <f>+MATCH(PROVEEDORES[[#This Row],[año facturado]],Retenciones!$1:$1,0)</f>
        <v>4</v>
      </c>
      <c r="X510" s="98">
        <f>+VLOOKUP(PROVEEDORES[[#This Row],[ID RETENCION]],Retenciones!$A$1:$O$25,PROVEEDORES[[#This Row],[indicador de columna]],FALSE)</f>
        <v>0</v>
      </c>
      <c r="Y510" s="99">
        <f>+VLOOKUP(PROVEEDORES[[#This Row],[ID RETENCION]],Retenciones!$A$1:$O$25,2,FALSE)</f>
        <v>0</v>
      </c>
      <c r="Z510" s="125" t="b">
        <f>OR(COUNTIF(PROVEEDORES[[#This Row],[PROVEEDOR]],"*"&amp;'Palabra no opera'!$A$2&amp;"*"))</f>
        <v>1</v>
      </c>
      <c r="AA510" s="24"/>
      <c r="AB510" s="24"/>
      <c r="AC510" s="24"/>
      <c r="AD510" s="24"/>
      <c r="AE510" s="24"/>
    </row>
    <row r="511" spans="1:31" ht="22.2" customHeight="1" x14ac:dyDescent="0.3">
      <c r="A511" s="66" t="str">
        <f>+IF(PROVEEDORES[[#This Row],[FECHA DE PAGO]]=PROVEEDORES[[#This Row],[FECHA DE FACTURACIÓN]],"DE CONTADO","CRÉDITO")</f>
        <v>CRÉDITO</v>
      </c>
      <c r="B511" s="38" t="b">
        <f>+IF((PROVEEDORES[[#This Row],[FECHA DE PAGO]]-PROVEEDORES[[#This Row],[FECHA DE FACTURACIÓN]])&gt;PROVEEDORES[[#This Row],[PLAZO Días]],"PAGO VENCIDO")</f>
        <v>0</v>
      </c>
      <c r="C511" s="20">
        <f>+VLOOKUP(PROVEEDORES[[#This Row],[PROVEEDOR]],TERCEROS_INFO[#All],2,FALSE)</f>
        <v>30</v>
      </c>
      <c r="D511" s="25">
        <f>+SUMIFS(PROVEEDORES[Total],PROVEEDORES[PROVEEDOR],PROVEEDORES[[#This Row],[PROVEEDOR]],PROVEEDORES[FECHA DE PAGO],"")</f>
        <v>0</v>
      </c>
      <c r="E511" s="25"/>
      <c r="F511" s="58" t="str">
        <f>+VLOOKUP(PROVEEDORES[[#This Row],[PROVEEDOR]],
                       Terceros!$A:$F,
                       5,
                       FALSE)</f>
        <v>facturacion@losmolinos.com.co</v>
      </c>
      <c r="G511" s="161">
        <v>44365</v>
      </c>
      <c r="H511" s="26" t="s">
        <v>940</v>
      </c>
      <c r="I511" s="161">
        <v>44348</v>
      </c>
      <c r="J511" s="35">
        <v>63100</v>
      </c>
      <c r="K511" s="21">
        <v>302625</v>
      </c>
      <c r="L511" s="21"/>
      <c r="M511" s="22">
        <f>(PROVEEDORES[[#This Row],[SUBTOTAL]]-PROVEEDORES[[#This Row],[descuento sobre subtotal]])*VLOOKUP(PROVEEDORES[[#This Row],[PROVEEDOR]],TERCEROS_INFO[#All],3,FALSE)</f>
        <v>0</v>
      </c>
      <c r="N511" s="23"/>
      <c r="O511" s="22">
        <f>+PROVEEDORES[[#This Row],[Descuento sobre subtotal %]]*(PROVEEDORES[[#This Row],[SUBTOTAL]]-PROVEEDORES[[#This Row],[descuento sobre subtotal]])</f>
        <v>0</v>
      </c>
      <c r="P511" s="83">
        <f>+IF(PROVEEDORES[[#This Row],[SUBTOTAL]]&lt;PROVEEDORES[[#This Row],[base retencion]],0,PROVEEDORES[[#This Row],[retención aplicada]])</f>
        <v>0</v>
      </c>
      <c r="Q511" s="22">
        <f>+PROVEEDORES[[#This Row],[Rete Fuente %]]*(PROVEEDORES[[#This Row],[SUBTOTAL]]-PROVEEDORES[[#This Row],[descuento sobre subtotal]])</f>
        <v>0</v>
      </c>
      <c r="R511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5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68">
        <f ca="1">IF(PROVEEDORES[[#This Row],[FECHA DE PAGO]]=0,TODAY()-PROVEEDORES[[#This Row],[FECHA DE FACTURACIÓN]]-PROVEEDORES[[#This Row],[PLAZO Días]],0)</f>
        <v>0</v>
      </c>
      <c r="U511" s="96">
        <f>+VLOOKUP(PROVEEDORES[[#This Row],[PROVEEDOR]],Terceros!$A:$D,4,FALSE)</f>
        <v>0</v>
      </c>
      <c r="V511" s="97">
        <f>+YEAR(PROVEEDORES[[#This Row],[FECHA DE FACTURACIÓN]])</f>
        <v>2021</v>
      </c>
      <c r="W511" s="97">
        <f>+MATCH(PROVEEDORES[[#This Row],[año facturado]],Retenciones!$1:$1,0)</f>
        <v>4</v>
      </c>
      <c r="X511" s="98">
        <f>+VLOOKUP(PROVEEDORES[[#This Row],[ID RETENCION]],Retenciones!$A$1:$O$25,PROVEEDORES[[#This Row],[indicador de columna]],FALSE)</f>
        <v>0</v>
      </c>
      <c r="Y511" s="99">
        <f>+VLOOKUP(PROVEEDORES[[#This Row],[ID RETENCION]],Retenciones!$A$1:$O$25,2,FALSE)</f>
        <v>0</v>
      </c>
      <c r="Z511" s="125" t="b">
        <f>OR(COUNTIF(PROVEEDORES[[#This Row],[PROVEEDOR]],"*"&amp;'Palabra no opera'!$A$2&amp;"*"))</f>
        <v>1</v>
      </c>
      <c r="AA511" s="24"/>
      <c r="AB511" s="24"/>
      <c r="AC511" s="24"/>
      <c r="AD511" s="24"/>
      <c r="AE511" s="24"/>
    </row>
    <row r="512" spans="1:31" ht="22.2" customHeight="1" x14ac:dyDescent="0.3">
      <c r="A512" s="183" t="str">
        <f>+IF(PROVEEDORES[[#This Row],[FECHA DE PAGO]]=PROVEEDORES[[#This Row],[FECHA DE FACTURACIÓN]],"DE CONTADO","CRÉDITO")</f>
        <v>CRÉDITO</v>
      </c>
      <c r="B512" s="38" t="b">
        <f>+IF((PROVEEDORES[[#This Row],[FECHA DE PAGO]]-PROVEEDORES[[#This Row],[FECHA DE FACTURACIÓN]])&gt;PROVEEDORES[[#This Row],[PLAZO Días]],"PAGO VENCIDO")</f>
        <v>0</v>
      </c>
      <c r="C512" s="20">
        <f>+VLOOKUP(PROVEEDORES[[#This Row],[PROVEEDOR]],TERCEROS_INFO[#All],2,FALSE)</f>
        <v>30</v>
      </c>
      <c r="D512" s="25">
        <f>+SUMIFS(PROVEEDORES[Total],PROVEEDORES[PROVEEDOR],PROVEEDORES[[#This Row],[PROVEEDOR]],PROVEEDORES[FECHA DE PAGO],"")</f>
        <v>0</v>
      </c>
      <c r="E512" s="25"/>
      <c r="F51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12" s="161">
        <v>44764</v>
      </c>
      <c r="H512" s="26" t="s">
        <v>1450</v>
      </c>
      <c r="I512" s="161">
        <v>44754</v>
      </c>
      <c r="J512" s="35">
        <v>354</v>
      </c>
      <c r="K512" s="21">
        <v>303000</v>
      </c>
      <c r="L512" s="21"/>
      <c r="M512" s="22">
        <f>(PROVEEDORES[[#This Row],[SUBTOTAL]]-PROVEEDORES[[#This Row],[descuento sobre subtotal]])*VLOOKUP(PROVEEDORES[[#This Row],[PROVEEDOR]],TERCEROS_INFO[#All],3,FALSE)</f>
        <v>0</v>
      </c>
      <c r="N512" s="23"/>
      <c r="O512" s="22">
        <f>+PROVEEDORES[[#This Row],[Descuento sobre subtotal %]]*(PROVEEDORES[[#This Row],[SUBTOTAL]]-PROVEEDORES[[#This Row],[descuento sobre subtotal]])</f>
        <v>0</v>
      </c>
      <c r="P512" s="83">
        <f>+IF(PROVEEDORES[[#This Row],[SUBTOTAL]]&lt;PROVEEDORES[[#This Row],[base retencion]],0,PROVEEDORES[[#This Row],[retención aplicada]])</f>
        <v>0</v>
      </c>
      <c r="Q512" s="22">
        <f>+PROVEEDORES[[#This Row],[Rete Fuente %]]*(PROVEEDORES[[#This Row],[SUBTOTAL]]-PROVEEDORES[[#This Row],[descuento sobre subtotal]])</f>
        <v>0</v>
      </c>
      <c r="R512" s="21">
        <f>+PROVEEDORES[[#This Row],[SUBTOTAL]]+PROVEEDORES[[#This Row],[IVA 19%]]-PROVEEDORES[[#This Row],[descuento sobre subtotal]]-PROVEEDORES[[#This Row],[Descuento sobre subtotal $2]]-PROVEEDORES[[#This Row],[Rete Fuente $]]</f>
        <v>303000</v>
      </c>
      <c r="S512" s="1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68">
        <f ca="1">IF(PROVEEDORES[[#This Row],[FECHA DE PAGO]]=0,TODAY()-PROVEEDORES[[#This Row],[FECHA DE FACTURACIÓN]]-PROVEEDORES[[#This Row],[PLAZO Días]],0)</f>
        <v>0</v>
      </c>
      <c r="U512" s="113">
        <f>+VLOOKUP(PROVEEDORES[[#This Row],[PROVEEDOR]],Terceros!$A:$D,4,FALSE)</f>
        <v>0</v>
      </c>
      <c r="V512" s="114">
        <f>+YEAR(PROVEEDORES[[#This Row],[FECHA DE FACTURACIÓN]])</f>
        <v>2022</v>
      </c>
      <c r="W512" s="114">
        <f>+MATCH(PROVEEDORES[[#This Row],[año facturado]],Retenciones!$1:$1,0)</f>
        <v>5</v>
      </c>
      <c r="X512" s="115">
        <f>+VLOOKUP(PROVEEDORES[[#This Row],[ID RETENCION]],Retenciones!$A$1:$O$25,PROVEEDORES[[#This Row],[indicador de columna]],FALSE)</f>
        <v>0</v>
      </c>
      <c r="Y512" s="116">
        <f>+VLOOKUP(PROVEEDORES[[#This Row],[ID RETENCION]],Retenciones!$A$1:$O$25,2,FALSE)</f>
        <v>0</v>
      </c>
      <c r="Z512" s="125" t="b">
        <f>OR(COUNTIF(PROVEEDORES[[#This Row],[PROVEEDOR]],"*"&amp;'Palabra no opera'!$A$2&amp;"*"))</f>
        <v>0</v>
      </c>
      <c r="AA512" s="24"/>
      <c r="AB512" s="24"/>
      <c r="AC512" s="24"/>
      <c r="AD512" s="24"/>
      <c r="AE512" s="24"/>
    </row>
    <row r="513" spans="1:31" ht="22.2" customHeight="1" x14ac:dyDescent="0.3">
      <c r="A513" s="72" t="str">
        <f>+IF(PROVEEDORES[[#This Row],[FECHA DE PAGO]]=PROVEEDORES[[#This Row],[FECHA DE FACTURACIÓN]],"DE CONTADO","CRÉDITO")</f>
        <v>CRÉDITO</v>
      </c>
      <c r="B513" s="38" t="str">
        <f>+IF((PROVEEDORES[[#This Row],[FECHA DE PAGO]]-PROVEEDORES[[#This Row],[FECHA DE FACTURACIÓN]])&gt;PROVEEDORES[[#This Row],[PLAZO Días]],"PAGO VENCIDO")</f>
        <v>PAGO VENCIDO</v>
      </c>
      <c r="C513" s="20">
        <f>+VLOOKUP(PROVEEDORES[[#This Row],[PROVEEDOR]],TERCEROS_INFO[#All],2,FALSE)</f>
        <v>30</v>
      </c>
      <c r="D513" s="25">
        <f>+SUMIFS(PROVEEDORES[Total],PROVEEDORES[PROVEEDOR],PROVEEDORES[[#This Row],[PROVEEDOR]],PROVEEDORES[FECHA DE PAGO],"")</f>
        <v>2318500</v>
      </c>
      <c r="E513" s="25"/>
      <c r="F513" s="58" t="str">
        <f>+VLOOKUP(PROVEEDORES[[#This Row],[PROVEEDOR]],
                       Terceros!$A:$F,
                       5,
                       FALSE)</f>
        <v/>
      </c>
      <c r="G513" s="161">
        <v>44867</v>
      </c>
      <c r="H513" s="267" t="s">
        <v>629</v>
      </c>
      <c r="I513" s="161">
        <v>44824</v>
      </c>
      <c r="J513" s="35" t="s">
        <v>1704</v>
      </c>
      <c r="K513" s="21">
        <v>303870</v>
      </c>
      <c r="L513" s="21"/>
      <c r="M513" s="22">
        <f>(PROVEEDORES[[#This Row],[SUBTOTAL]]-PROVEEDORES[[#This Row],[descuento sobre subtotal]])*VLOOKUP(PROVEEDORES[[#This Row],[PROVEEDOR]],TERCEROS_INFO[#All],3,FALSE)</f>
        <v>0</v>
      </c>
      <c r="N513" s="23"/>
      <c r="O513" s="22">
        <f>+PROVEEDORES[[#This Row],[Descuento sobre subtotal %]]*(PROVEEDORES[[#This Row],[SUBTOTAL]]-PROVEEDORES[[#This Row],[descuento sobre subtotal]])</f>
        <v>0</v>
      </c>
      <c r="P513" s="83">
        <f>+IF(PROVEEDORES[[#This Row],[SUBTOTAL]]&lt;PROVEEDORES[[#This Row],[base retencion]],0,PROVEEDORES[[#This Row],[retención aplicada]])</f>
        <v>0</v>
      </c>
      <c r="Q513" s="22">
        <f>+PROVEEDORES[[#This Row],[Rete Fuente %]]*(PROVEEDORES[[#This Row],[SUBTOTAL]]-PROVEEDORES[[#This Row],[descuento sobre subtotal]])</f>
        <v>0</v>
      </c>
      <c r="R513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51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68">
        <f ca="1">IF(PROVEEDORES[[#This Row],[FECHA DE PAGO]]=0,TODAY()-PROVEEDORES[[#This Row],[FECHA DE FACTURACIÓN]]-PROVEEDORES[[#This Row],[PLAZO Días]],0)</f>
        <v>0</v>
      </c>
      <c r="U513" s="113">
        <f>+VLOOKUP(PROVEEDORES[[#This Row],[PROVEEDOR]],Terceros!$A:$D,4,FALSE)</f>
        <v>0</v>
      </c>
      <c r="V513" s="114">
        <f>+YEAR(PROVEEDORES[[#This Row],[FECHA DE FACTURACIÓN]])</f>
        <v>2022</v>
      </c>
      <c r="W513" s="114">
        <f>+MATCH(PROVEEDORES[[#This Row],[año facturado]],Retenciones!$1:$1,0)</f>
        <v>5</v>
      </c>
      <c r="X513" s="115">
        <f>+VLOOKUP(PROVEEDORES[[#This Row],[ID RETENCION]],Retenciones!$A$1:$O$25,PROVEEDORES[[#This Row],[indicador de columna]],FALSE)</f>
        <v>0</v>
      </c>
      <c r="Y513" s="116">
        <f>+VLOOKUP(PROVEEDORES[[#This Row],[ID RETENCION]],Retenciones!$A$1:$O$25,2,FALSE)</f>
        <v>0</v>
      </c>
      <c r="Z513" s="125" t="b">
        <f>OR(COUNTIF(PROVEEDORES[[#This Row],[PROVEEDOR]],"*"&amp;'Palabra no opera'!$A$2&amp;"*"))</f>
        <v>0</v>
      </c>
      <c r="AA513" s="24"/>
      <c r="AB513" s="24"/>
      <c r="AC513" s="24"/>
      <c r="AD513" s="24"/>
      <c r="AE513" s="24"/>
    </row>
    <row r="514" spans="1:31" ht="22.2" customHeight="1" x14ac:dyDescent="0.3">
      <c r="A514" s="72" t="str">
        <f>+IF(PROVEEDORES[[#This Row],[FECHA DE PAGO]]=PROVEEDORES[[#This Row],[FECHA DE FACTURACIÓN]],"DE CONTADO","CRÉDITO")</f>
        <v>CRÉDITO</v>
      </c>
      <c r="B514" s="38" t="b">
        <f>+IF((PROVEEDORES[[#This Row],[FECHA DE PAGO]]-PROVEEDORES[[#This Row],[FECHA DE FACTURACIÓN]])&gt;PROVEEDORES[[#This Row],[PLAZO Días]],"PAGO VENCIDO")</f>
        <v>0</v>
      </c>
      <c r="C514" s="20">
        <f>+VLOOKUP(PROVEEDORES[[#This Row],[PROVEEDOR]],TERCEROS_INFO[#All],2,FALSE)</f>
        <v>60</v>
      </c>
      <c r="D514" s="25">
        <f>+SUMIFS(PROVEEDORES[Total],PROVEEDORES[PROVEEDOR],PROVEEDORES[[#This Row],[PROVEEDOR]],PROVEEDORES[FECHA DE PAGO],"")</f>
        <v>1520362</v>
      </c>
      <c r="E514" s="25"/>
      <c r="F51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14" s="161">
        <v>44870</v>
      </c>
      <c r="H514" s="26" t="s">
        <v>528</v>
      </c>
      <c r="I514" s="74">
        <v>44841</v>
      </c>
      <c r="J514" s="35">
        <v>1498</v>
      </c>
      <c r="K514" s="21">
        <v>303870</v>
      </c>
      <c r="L514" s="21"/>
      <c r="M514" s="22">
        <f>(PROVEEDORES[[#This Row],[SUBTOTAL]]-PROVEEDORES[[#This Row],[descuento sobre subtotal]])*VLOOKUP(PROVEEDORES[[#This Row],[PROVEEDOR]],TERCEROS_INFO[#All],3,FALSE)</f>
        <v>0</v>
      </c>
      <c r="N514" s="23"/>
      <c r="O514" s="22">
        <f>+PROVEEDORES[[#This Row],[Descuento sobre subtotal %]]*(PROVEEDORES[[#This Row],[SUBTOTAL]]-PROVEEDORES[[#This Row],[descuento sobre subtotal]])</f>
        <v>0</v>
      </c>
      <c r="P514" s="83">
        <f>+IF(PROVEEDORES[[#This Row],[SUBTOTAL]]&lt;PROVEEDORES[[#This Row],[base retencion]],0,PROVEEDORES[[#This Row],[retención aplicada]])</f>
        <v>0</v>
      </c>
      <c r="Q514" s="22">
        <f>+PROVEEDORES[[#This Row],[Rete Fuente %]]*(PROVEEDORES[[#This Row],[SUBTOTAL]]-PROVEEDORES[[#This Row],[descuento sobre subtotal]])</f>
        <v>0</v>
      </c>
      <c r="R514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51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68">
        <f ca="1">IF(PROVEEDORES[[#This Row],[FECHA DE PAGO]]=0,TODAY()-PROVEEDORES[[#This Row],[FECHA DE FACTURACIÓN]]-PROVEEDORES[[#This Row],[PLAZO Días]],0)</f>
        <v>0</v>
      </c>
      <c r="U514" s="113">
        <f>+VLOOKUP(PROVEEDORES[[#This Row],[PROVEEDOR]],Terceros!$A:$D,4,FALSE)</f>
        <v>0</v>
      </c>
      <c r="V514" s="114">
        <f>+YEAR(PROVEEDORES[[#This Row],[FECHA DE FACTURACIÓN]])</f>
        <v>2022</v>
      </c>
      <c r="W514" s="114">
        <f>+MATCH(PROVEEDORES[[#This Row],[año facturado]],Retenciones!$1:$1,0)</f>
        <v>5</v>
      </c>
      <c r="X514" s="115">
        <f>+VLOOKUP(PROVEEDORES[[#This Row],[ID RETENCION]],Retenciones!$A$1:$O$25,PROVEEDORES[[#This Row],[indicador de columna]],FALSE)</f>
        <v>0</v>
      </c>
      <c r="Y514" s="116">
        <f>+VLOOKUP(PROVEEDORES[[#This Row],[ID RETENCION]],Retenciones!$A$1:$O$25,2,FALSE)</f>
        <v>0</v>
      </c>
      <c r="Z514" s="125" t="b">
        <f>OR(COUNTIF(PROVEEDORES[[#This Row],[PROVEEDOR]],"*"&amp;'Palabra no opera'!$A$2&amp;"*"))</f>
        <v>0</v>
      </c>
      <c r="AA514" s="24"/>
      <c r="AB514" s="24"/>
      <c r="AC514" s="24"/>
      <c r="AD514" s="24"/>
      <c r="AE514" s="24"/>
    </row>
    <row r="515" spans="1:31" ht="22.2" customHeight="1" x14ac:dyDescent="0.3">
      <c r="A515" s="66" t="str">
        <f>+IF(PROVEEDORES[[#This Row],[FECHA DE PAGO]]=PROVEEDORES[[#This Row],[FECHA DE FACTURACIÓN]],"DE CONTADO","CRÉDITO")</f>
        <v>CRÉDITO</v>
      </c>
      <c r="B515" s="38" t="str">
        <f>+IF((PROVEEDORES[[#This Row],[FECHA DE PAGO]]-PROVEEDORES[[#This Row],[FECHA DE FACTURACIÓN]])&gt;PROVEEDORES[[#This Row],[PLAZO Días]],"PAGO VENCIDO")</f>
        <v>PAGO VENCIDO</v>
      </c>
      <c r="C515" s="20">
        <f>+VLOOKUP(PROVEEDORES[[#This Row],[PROVEEDOR]],TERCEROS_INFO[#All],2,FALSE)</f>
        <v>30</v>
      </c>
      <c r="D515" s="25">
        <f>+SUMIFS(PROVEEDORES[Total],PROVEEDORES[PROVEEDOR],PROVEEDORES[[#This Row],[PROVEEDOR]],PROVEEDORES[FECHA DE PAGO],"")</f>
        <v>0</v>
      </c>
      <c r="E515" s="25"/>
      <c r="F51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15" s="161">
        <v>44554</v>
      </c>
      <c r="H515" s="26" t="s">
        <v>1637</v>
      </c>
      <c r="I515" s="161">
        <v>44522</v>
      </c>
      <c r="J515" s="35">
        <v>7732</v>
      </c>
      <c r="K515" s="21">
        <v>256000</v>
      </c>
      <c r="L515" s="21"/>
      <c r="M515" s="22">
        <f>(PROVEEDORES[[#This Row],[SUBTOTAL]]-PROVEEDORES[[#This Row],[descuento sobre subtotal]])*VLOOKUP(PROVEEDORES[[#This Row],[PROVEEDOR]],TERCEROS_INFO[#All],3,FALSE)</f>
        <v>48640</v>
      </c>
      <c r="N515" s="23"/>
      <c r="O515" s="22">
        <f>+PROVEEDORES[[#This Row],[Descuento sobre subtotal %]]*(PROVEEDORES[[#This Row],[SUBTOTAL]]-PROVEEDORES[[#This Row],[descuento sobre subtotal]])</f>
        <v>0</v>
      </c>
      <c r="P515" s="83">
        <f>+IF(PROVEEDORES[[#This Row],[SUBTOTAL]]&lt;PROVEEDORES[[#This Row],[base retencion]],0,PROVEEDORES[[#This Row],[retención aplicada]])</f>
        <v>0</v>
      </c>
      <c r="Q515" s="22">
        <f>+PROVEEDORES[[#This Row],[Rete Fuente %]]*(PROVEEDORES[[#This Row],[SUBTOTAL]]-PROVEEDORES[[#This Row],[descuento sobre subtotal]])</f>
        <v>0</v>
      </c>
      <c r="R515" s="21">
        <f>+PROVEEDORES[[#This Row],[SUBTOTAL]]+PROVEEDORES[[#This Row],[IVA 19%]]-PROVEEDORES[[#This Row],[descuento sobre subtotal]]-PROVEEDORES[[#This Row],[Descuento sobre subtotal $2]]-PROVEEDORES[[#This Row],[Rete Fuente $]]</f>
        <v>304640</v>
      </c>
      <c r="S5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68">
        <f ca="1">IF(PROVEEDORES[[#This Row],[FECHA DE PAGO]]=0,TODAY()-PROVEEDORES[[#This Row],[FECHA DE FACTURACIÓN]]-PROVEEDORES[[#This Row],[PLAZO Días]],0)</f>
        <v>0</v>
      </c>
      <c r="U515" s="96" t="str">
        <f>+VLOOKUP(PROVEEDORES[[#This Row],[PROVEEDOR]],Terceros!$A:$D,4,FALSE)</f>
        <v>2,5% con base</v>
      </c>
      <c r="V515" s="97">
        <f>+YEAR(PROVEEDORES[[#This Row],[FECHA DE FACTURACIÓN]])</f>
        <v>2021</v>
      </c>
      <c r="W515" s="97">
        <f>+MATCH(PROVEEDORES[[#This Row],[año facturado]],Retenciones!$1:$1,0)</f>
        <v>4</v>
      </c>
      <c r="X515" s="98">
        <f>+VLOOKUP(PROVEEDORES[[#This Row],[ID RETENCION]],Retenciones!$A$1:$O$25,PROVEEDORES[[#This Row],[indicador de columna]],FALSE)</f>
        <v>980000</v>
      </c>
      <c r="Y515" s="99">
        <f>+VLOOKUP(PROVEEDORES[[#This Row],[ID RETENCION]],Retenciones!$A$1:$O$25,2,FALSE)</f>
        <v>2.5000000000000001E-2</v>
      </c>
      <c r="Z515" s="125" t="b">
        <f>OR(COUNTIF(PROVEEDORES[[#This Row],[PROVEEDOR]],"*"&amp;'Palabra no opera'!$A$2&amp;"*"))</f>
        <v>0</v>
      </c>
      <c r="AA515" s="24"/>
      <c r="AB515" s="24"/>
      <c r="AC515" s="24"/>
      <c r="AD515" s="24"/>
      <c r="AE515" s="24"/>
    </row>
    <row r="516" spans="1:31" ht="22.2" customHeight="1" x14ac:dyDescent="0.3">
      <c r="A516" s="66" t="str">
        <f>+IF(PROVEEDORES[[#This Row],[FECHA DE PAGO]]=PROVEEDORES[[#This Row],[FECHA DE FACTURACIÓN]],"DE CONTADO","CRÉDITO")</f>
        <v>CRÉDITO</v>
      </c>
      <c r="B516" s="38" t="str">
        <f>+IF((PROVEEDORES[[#This Row],[FECHA DE PAGO]]-PROVEEDORES[[#This Row],[FECHA DE FACTURACIÓN]])&gt;PROVEEDORES[[#This Row],[PLAZO Días]],"PAGO VENCIDO")</f>
        <v>PAGO VENCIDO</v>
      </c>
      <c r="C516" s="20">
        <f>+VLOOKUP(PROVEEDORES[[#This Row],[PROVEEDOR]],TERCEROS_INFO[#All],2,FALSE)</f>
        <v>30</v>
      </c>
      <c r="D516" s="25">
        <f>+SUMIFS(PROVEEDORES[Total],PROVEEDORES[PROVEEDOR],PROVEEDORES[[#This Row],[PROVEEDOR]],PROVEEDORES[FECHA DE PAGO],"")</f>
        <v>430000</v>
      </c>
      <c r="E516" s="25"/>
      <c r="F516" s="58" t="str">
        <f>+VLOOKUP(PROVEEDORES[[#This Row],[PROVEEDOR]],
                       Terceros!$A:$F,
                       5,
                       FALSE)</f>
        <v/>
      </c>
      <c r="G516" s="161">
        <v>44565</v>
      </c>
      <c r="H516" s="26" t="s">
        <v>695</v>
      </c>
      <c r="I516" s="161">
        <v>44531</v>
      </c>
      <c r="J516" s="35" t="s">
        <v>576</v>
      </c>
      <c r="K516" s="21">
        <v>304800</v>
      </c>
      <c r="L516" s="21"/>
      <c r="M516" s="22">
        <v>0</v>
      </c>
      <c r="N516" s="23"/>
      <c r="O516" s="22">
        <v>0</v>
      </c>
      <c r="P516" s="83">
        <f>+IF(PROVEEDORES[[#This Row],[SUBTOTAL]]&lt;PROVEEDORES[[#This Row],[base retencion]],0,PROVEEDORES[[#This Row],[retención aplicada]])</f>
        <v>0</v>
      </c>
      <c r="Q516" s="22">
        <f>+PROVEEDORES[[#This Row],[Rete Fuente %]]*(PROVEEDORES[[#This Row],[SUBTOTAL]]-PROVEEDORES[[#This Row],[descuento sobre subtotal]])</f>
        <v>0</v>
      </c>
      <c r="R516" s="21">
        <v>304800</v>
      </c>
      <c r="S5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68">
        <f ca="1">IF(PROVEEDORES[[#This Row],[FECHA DE PAGO]]=0,TODAY()-PROVEEDORES[[#This Row],[FECHA DE FACTURACIÓN]]-PROVEEDORES[[#This Row],[PLAZO Días]],0)</f>
        <v>0</v>
      </c>
      <c r="U516" s="96">
        <f>+VLOOKUP(PROVEEDORES[[#This Row],[PROVEEDOR]],Terceros!$A:$D,4,FALSE)</f>
        <v>0</v>
      </c>
      <c r="V516" s="97">
        <f>+YEAR(PROVEEDORES[[#This Row],[FECHA DE FACTURACIÓN]])</f>
        <v>2021</v>
      </c>
      <c r="W516" s="97">
        <f>+MATCH(PROVEEDORES[[#This Row],[año facturado]],Retenciones!$1:$1,0)</f>
        <v>4</v>
      </c>
      <c r="X516" s="98">
        <f>+VLOOKUP(PROVEEDORES[[#This Row],[ID RETENCION]],Retenciones!$A$1:$O$25,PROVEEDORES[[#This Row],[indicador de columna]],FALSE)</f>
        <v>0</v>
      </c>
      <c r="Y516" s="99">
        <f>+VLOOKUP(PROVEEDORES[[#This Row],[ID RETENCION]],Retenciones!$A$1:$O$25,2,FALSE)</f>
        <v>0</v>
      </c>
      <c r="Z516" s="125" t="b">
        <f>OR(COUNTIF(PROVEEDORES[[#This Row],[PROVEEDOR]],"*"&amp;'Palabra no opera'!$A$2&amp;"*"))</f>
        <v>0</v>
      </c>
      <c r="AA516" s="24"/>
      <c r="AB516" s="24"/>
      <c r="AC516" s="24"/>
      <c r="AD516" s="24"/>
      <c r="AE516" s="24"/>
    </row>
    <row r="517" spans="1:31" ht="22.2" customHeight="1" x14ac:dyDescent="0.3">
      <c r="A517" s="66" t="str">
        <f>+IF(PROVEEDORES[[#This Row],[FECHA DE PAGO]]=PROVEEDORES[[#This Row],[FECHA DE FACTURACIÓN]],"DE CONTADO","CRÉDITO")</f>
        <v>DE CONTADO</v>
      </c>
      <c r="B517" s="38" t="b">
        <f>+IF((PROVEEDORES[[#This Row],[FECHA DE PAGO]]-PROVEEDORES[[#This Row],[FECHA DE FACTURACIÓN]])&gt;PROVEEDORES[[#This Row],[PLAZO Días]],"PAGO VENCIDO")</f>
        <v>0</v>
      </c>
      <c r="C517" s="20">
        <f>+VLOOKUP(PROVEEDORES[[#This Row],[PROVEEDOR]],TERCEROS_INFO[#All],2,FALSE)</f>
        <v>30</v>
      </c>
      <c r="D517" s="25">
        <f>+SUMIFS(PROVEEDORES[Total],PROVEEDORES[PROVEEDOR],PROVEEDORES[[#This Row],[PROVEEDOR]],PROVEEDORES[FECHA DE PAGO],"")</f>
        <v>0</v>
      </c>
      <c r="E517" s="25"/>
      <c r="F517" s="58" t="str">
        <f>+VLOOKUP(PROVEEDORES[[#This Row],[PROVEEDOR]],
                       Terceros!$A:$F,
                       5,
                       FALSE)</f>
        <v/>
      </c>
      <c r="G517" s="161">
        <v>44412</v>
      </c>
      <c r="H517" s="26" t="s">
        <v>644</v>
      </c>
      <c r="I517" s="161">
        <v>44412</v>
      </c>
      <c r="J517" s="35" t="s">
        <v>1479</v>
      </c>
      <c r="K517" s="21">
        <v>306000</v>
      </c>
      <c r="L517" s="21"/>
      <c r="M517" s="22">
        <f>(PROVEEDORES[[#This Row],[SUBTOTAL]]-PROVEEDORES[[#This Row],[descuento sobre subtotal]])*VLOOKUP(PROVEEDORES[[#This Row],[PROVEEDOR]],TERCEROS_INFO[#All],3,FALSE)</f>
        <v>0</v>
      </c>
      <c r="N517" s="23"/>
      <c r="O517" s="22">
        <f>+PROVEEDORES[[#This Row],[Descuento sobre subtotal %]]*(PROVEEDORES[[#This Row],[SUBTOTAL]]-PROVEEDORES[[#This Row],[descuento sobre subtotal]])</f>
        <v>0</v>
      </c>
      <c r="P517" s="83">
        <f>+IF(PROVEEDORES[[#This Row],[SUBTOTAL]]&lt;PROVEEDORES[[#This Row],[base retencion]],0,PROVEEDORES[[#This Row],[retención aplicada]])</f>
        <v>0</v>
      </c>
      <c r="Q517" s="22">
        <f>+PROVEEDORES[[#This Row],[Rete Fuente %]]*(PROVEEDORES[[#This Row],[SUBTOTAL]]-PROVEEDORES[[#This Row],[descuento sobre subtotal]])</f>
        <v>0</v>
      </c>
      <c r="R517" s="21">
        <f>+PROVEEDORES[[#This Row],[SUBTOTAL]]+PROVEEDORES[[#This Row],[IVA 19%]]-PROVEEDORES[[#This Row],[descuento sobre subtotal]]-PROVEEDORES[[#This Row],[Descuento sobre subtotal $2]]-PROVEEDORES[[#This Row],[Rete Fuente $]]</f>
        <v>306000</v>
      </c>
      <c r="S5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68">
        <f ca="1">IF(PROVEEDORES[[#This Row],[FECHA DE PAGO]]=0,TODAY()-PROVEEDORES[[#This Row],[FECHA DE FACTURACIÓN]]-PROVEEDORES[[#This Row],[PLAZO Días]],0)</f>
        <v>0</v>
      </c>
      <c r="U517" s="96">
        <f>+VLOOKUP(PROVEEDORES[[#This Row],[PROVEEDOR]],Terceros!$A:$D,4,FALSE)</f>
        <v>0</v>
      </c>
      <c r="V517" s="97">
        <f>+YEAR(PROVEEDORES[[#This Row],[FECHA DE FACTURACIÓN]])</f>
        <v>2021</v>
      </c>
      <c r="W517" s="97">
        <f>+MATCH(PROVEEDORES[[#This Row],[año facturado]],Retenciones!$1:$1,0)</f>
        <v>4</v>
      </c>
      <c r="X517" s="98">
        <f>+VLOOKUP(PROVEEDORES[[#This Row],[ID RETENCION]],Retenciones!$A$1:$O$25,PROVEEDORES[[#This Row],[indicador de columna]],FALSE)</f>
        <v>0</v>
      </c>
      <c r="Y517" s="99">
        <f>+VLOOKUP(PROVEEDORES[[#This Row],[ID RETENCION]],Retenciones!$A$1:$O$25,2,FALSE)</f>
        <v>0</v>
      </c>
      <c r="Z517" s="125" t="b">
        <f>OR(COUNTIF(PROVEEDORES[[#This Row],[PROVEEDOR]],"*"&amp;'Palabra no opera'!$A$2&amp;"*"))</f>
        <v>0</v>
      </c>
      <c r="AA517" s="24"/>
      <c r="AB517" s="24"/>
      <c r="AC517" s="24"/>
      <c r="AD517" s="24"/>
      <c r="AE517" s="24"/>
    </row>
    <row r="518" spans="1:31" ht="22.2" customHeight="1" x14ac:dyDescent="0.3">
      <c r="A518" s="66" t="str">
        <f>+IF(PROVEEDORES[[#This Row],[FECHA DE PAGO]]=PROVEEDORES[[#This Row],[FECHA DE FACTURACIÓN]],"DE CONTADO","CRÉDITO")</f>
        <v>CRÉDITO</v>
      </c>
      <c r="B518" s="38" t="str">
        <f>+IF((PROVEEDORES[[#This Row],[FECHA DE PAGO]]-PROVEEDORES[[#This Row],[FECHA DE FACTURACIÓN]])&gt;PROVEEDORES[[#This Row],[PLAZO Días]],"PAGO VENCIDO")</f>
        <v>PAGO VENCIDO</v>
      </c>
      <c r="C518" s="20">
        <f>+VLOOKUP(PROVEEDORES[[#This Row],[PROVEEDOR]],TERCEROS_INFO[#All],2,FALSE)</f>
        <v>30</v>
      </c>
      <c r="D518" s="25">
        <f>+SUMIFS(PROVEEDORES[Total],PROVEEDORES[PROVEEDOR],PROVEEDORES[[#This Row],[PROVEEDOR]],PROVEEDORES[FECHA DE PAGO],"")</f>
        <v>2121000</v>
      </c>
      <c r="E518" s="25"/>
      <c r="F51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18" s="161">
        <v>44382</v>
      </c>
      <c r="H518" s="26" t="s">
        <v>685</v>
      </c>
      <c r="I518" s="161">
        <v>44336</v>
      </c>
      <c r="J518" s="35" t="s">
        <v>1229</v>
      </c>
      <c r="K518" s="21">
        <v>312000</v>
      </c>
      <c r="L518" s="21"/>
      <c r="M518" s="22">
        <f>(PROVEEDORES[[#This Row],[SUBTOTAL]]-PROVEEDORES[[#This Row],[descuento sobre subtotal]])*VLOOKUP(PROVEEDORES[[#This Row],[PROVEEDOR]],TERCEROS_INFO[#All],3,FALSE)</f>
        <v>0</v>
      </c>
      <c r="N518" s="23"/>
      <c r="O518" s="22">
        <f>+PROVEEDORES[[#This Row],[Descuento sobre subtotal %]]*(PROVEEDORES[[#This Row],[SUBTOTAL]]-PROVEEDORES[[#This Row],[descuento sobre subtotal]])</f>
        <v>0</v>
      </c>
      <c r="P518" s="83">
        <f>+IF(PROVEEDORES[[#This Row],[SUBTOTAL]]&lt;PROVEEDORES[[#This Row],[base retencion]],0,PROVEEDORES[[#This Row],[retención aplicada]])</f>
        <v>0</v>
      </c>
      <c r="Q518" s="22">
        <f>+PROVEEDORES[[#This Row],[Rete Fuente %]]*(PROVEEDORES[[#This Row],[SUBTOTAL]]-PROVEEDORES[[#This Row],[descuento sobre subtotal]])</f>
        <v>0</v>
      </c>
      <c r="R518" s="21">
        <f>+PROVEEDORES[[#This Row],[SUBTOTAL]]+PROVEEDORES[[#This Row],[IVA 19%]]-PROVEEDORES[[#This Row],[descuento sobre subtotal]]-PROVEEDORES[[#This Row],[Descuento sobre subtotal $2]]-PROVEEDORES[[#This Row],[Rete Fuente $]]</f>
        <v>312000</v>
      </c>
      <c r="S5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68">
        <f ca="1">IF(PROVEEDORES[[#This Row],[FECHA DE PAGO]]=0,TODAY()-PROVEEDORES[[#This Row],[FECHA DE FACTURACIÓN]]-PROVEEDORES[[#This Row],[PLAZO Días]],0)</f>
        <v>0</v>
      </c>
      <c r="U518" s="96">
        <f>+VLOOKUP(PROVEEDORES[[#This Row],[PROVEEDOR]],Terceros!$A:$D,4,FALSE)</f>
        <v>0</v>
      </c>
      <c r="V518" s="97">
        <f>+YEAR(PROVEEDORES[[#This Row],[FECHA DE FACTURACIÓN]])</f>
        <v>2021</v>
      </c>
      <c r="W518" s="97">
        <f>+MATCH(PROVEEDORES[[#This Row],[año facturado]],Retenciones!$1:$1,0)</f>
        <v>4</v>
      </c>
      <c r="X518" s="98">
        <f>+VLOOKUP(PROVEEDORES[[#This Row],[ID RETENCION]],Retenciones!$A$1:$O$25,PROVEEDORES[[#This Row],[indicador de columna]],FALSE)</f>
        <v>0</v>
      </c>
      <c r="Y518" s="99">
        <f>+VLOOKUP(PROVEEDORES[[#This Row],[ID RETENCION]],Retenciones!$A$1:$O$25,2,FALSE)</f>
        <v>0</v>
      </c>
      <c r="Z518" s="125" t="b">
        <f>OR(COUNTIF(PROVEEDORES[[#This Row],[PROVEEDOR]],"*"&amp;'Palabra no opera'!$A$2&amp;"*"))</f>
        <v>0</v>
      </c>
      <c r="AA518" s="24"/>
      <c r="AB518" s="24"/>
      <c r="AC518" s="24"/>
      <c r="AD518" s="24"/>
      <c r="AE518" s="24"/>
    </row>
    <row r="519" spans="1:31" ht="22.2" customHeight="1" x14ac:dyDescent="0.3">
      <c r="A519" s="66" t="str">
        <f>+IF(PROVEEDORES[[#This Row],[FECHA DE PAGO]]=PROVEEDORES[[#This Row],[FECHA DE FACTURACIÓN]],"DE CONTADO","CRÉDITO")</f>
        <v>CRÉDITO</v>
      </c>
      <c r="B519" s="38" t="str">
        <f>+IF((PROVEEDORES[[#This Row],[FECHA DE PAGO]]-PROVEEDORES[[#This Row],[FECHA DE FACTURACIÓN]])&gt;PROVEEDORES[[#This Row],[PLAZO Días]],"PAGO VENCIDO")</f>
        <v>PAGO VENCIDO</v>
      </c>
      <c r="C519" s="20">
        <f>+VLOOKUP(PROVEEDORES[[#This Row],[PROVEEDOR]],TERCEROS_INFO[#All],2,FALSE)</f>
        <v>30</v>
      </c>
      <c r="D519" s="25">
        <f>+SUMIFS(PROVEEDORES[Total],PROVEEDORES[PROVEEDOR],PROVEEDORES[[#This Row],[PROVEEDOR]],PROVEEDORES[FECHA DE PAGO],"")</f>
        <v>0</v>
      </c>
      <c r="E519" s="25"/>
      <c r="F519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519" s="161">
        <v>44258</v>
      </c>
      <c r="H519" s="26" t="s">
        <v>39</v>
      </c>
      <c r="I519" s="161">
        <v>44214</v>
      </c>
      <c r="J519" s="35">
        <v>216</v>
      </c>
      <c r="K519" s="21">
        <v>262800</v>
      </c>
      <c r="L519" s="21"/>
      <c r="M519" s="22">
        <f>(PROVEEDORES[[#This Row],[SUBTOTAL]]-PROVEEDORES[[#This Row],[descuento sobre subtotal]])*VLOOKUP(PROVEEDORES[[#This Row],[PROVEEDOR]],TERCEROS_INFO[#All],3,FALSE)</f>
        <v>49932</v>
      </c>
      <c r="N519" s="23"/>
      <c r="O519" s="22">
        <f>+PROVEEDORES[[#This Row],[Descuento sobre subtotal %]]*(PROVEEDORES[[#This Row],[SUBTOTAL]]-PROVEEDORES[[#This Row],[descuento sobre subtotal]])</f>
        <v>0</v>
      </c>
      <c r="P519" s="83">
        <f>+IF(PROVEEDORES[[#This Row],[SUBTOTAL]]&lt;PROVEEDORES[[#This Row],[base retencion]],0,PROVEEDORES[[#This Row],[retención aplicada]])</f>
        <v>0</v>
      </c>
      <c r="Q519" s="22">
        <f>+PROVEEDORES[[#This Row],[Rete Fuente %]]*(PROVEEDORES[[#This Row],[SUBTOTAL]]-PROVEEDORES[[#This Row],[descuento sobre subtotal]])</f>
        <v>0</v>
      </c>
      <c r="R519" s="21">
        <f>+PROVEEDORES[[#This Row],[SUBTOTAL]]+PROVEEDORES[[#This Row],[IVA 19%]]-PROVEEDORES[[#This Row],[descuento sobre subtotal]]-PROVEEDORES[[#This Row],[Descuento sobre subtotal $2]]-PROVEEDORES[[#This Row],[Rete Fuente $]]</f>
        <v>312732</v>
      </c>
      <c r="S5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68">
        <f ca="1">IF(PROVEEDORES[[#This Row],[FECHA DE PAGO]]=0,TODAY()-PROVEEDORES[[#This Row],[FECHA DE FACTURACIÓN]]-PROVEEDORES[[#This Row],[PLAZO Días]],0)</f>
        <v>0</v>
      </c>
      <c r="U519" s="96" t="str">
        <f>+VLOOKUP(PROVEEDORES[[#This Row],[PROVEEDOR]],Terceros!$A:$D,4,FALSE)</f>
        <v>2,5% con base</v>
      </c>
      <c r="V519" s="97">
        <f>+YEAR(PROVEEDORES[[#This Row],[FECHA DE FACTURACIÓN]])</f>
        <v>2021</v>
      </c>
      <c r="W519" s="97">
        <f>+MATCH(PROVEEDORES[[#This Row],[año facturado]],Retenciones!$1:$1,0)</f>
        <v>4</v>
      </c>
      <c r="X519" s="98">
        <f>+VLOOKUP(PROVEEDORES[[#This Row],[ID RETENCION]],Retenciones!$A$1:$O$25,PROVEEDORES[[#This Row],[indicador de columna]],FALSE)</f>
        <v>980000</v>
      </c>
      <c r="Y519" s="99">
        <f>+VLOOKUP(PROVEEDORES[[#This Row],[ID RETENCION]],Retenciones!$A$1:$O$25,2,FALSE)</f>
        <v>2.5000000000000001E-2</v>
      </c>
      <c r="Z519" s="125" t="b">
        <f>OR(COUNTIF(PROVEEDORES[[#This Row],[PROVEEDOR]],"*"&amp;'Palabra no opera'!$A$2&amp;"*"))</f>
        <v>0</v>
      </c>
      <c r="AA519" s="24"/>
      <c r="AB519" s="24"/>
      <c r="AC519" s="24"/>
      <c r="AD519" s="24"/>
      <c r="AE519" s="24"/>
    </row>
    <row r="520" spans="1:31" ht="22.2" customHeight="1" x14ac:dyDescent="0.3">
      <c r="A520" s="66" t="str">
        <f>+IF(PROVEEDORES[[#This Row],[FECHA DE PAGO]]=PROVEEDORES[[#This Row],[FECHA DE FACTURACIÓN]],"DE CONTADO","CRÉDITO")</f>
        <v>CRÉDITO</v>
      </c>
      <c r="B520" s="38" t="b">
        <f>+IF((PROVEEDORES[[#This Row],[FECHA DE PAGO]]-PROVEEDORES[[#This Row],[FECHA DE FACTURACIÓN]])&gt;PROVEEDORES[[#This Row],[PLAZO Días]],"PAGO VENCIDO")</f>
        <v>0</v>
      </c>
      <c r="C520" s="20">
        <f>+VLOOKUP(PROVEEDORES[[#This Row],[PROVEEDOR]],TERCEROS_INFO[#All],2,FALSE)</f>
        <v>30</v>
      </c>
      <c r="D520" s="25">
        <f>+SUMIFS(PROVEEDORES[Total],PROVEEDORES[PROVEEDOR],PROVEEDORES[[#This Row],[PROVEEDOR]],PROVEEDORES[FECHA DE PAGO],"")</f>
        <v>0</v>
      </c>
      <c r="E520" s="25"/>
      <c r="F520" s="58">
        <f>+VLOOKUP(PROVEEDORES[[#This Row],[PROVEEDOR]],
                       Terceros!$A:$F,
                       5,
                       FALSE)</f>
        <v>0</v>
      </c>
      <c r="G520" s="161">
        <v>44340</v>
      </c>
      <c r="H520" s="26" t="s">
        <v>932</v>
      </c>
      <c r="I520" s="161">
        <v>44331</v>
      </c>
      <c r="J520" s="35" t="s">
        <v>307</v>
      </c>
      <c r="K520" s="21">
        <v>313385</v>
      </c>
      <c r="L520" s="21"/>
      <c r="M520" s="22">
        <f>(PROVEEDORES[[#This Row],[SUBTOTAL]]-PROVEEDORES[[#This Row],[descuento sobre subtotal]])*VLOOKUP(PROVEEDORES[[#This Row],[PROVEEDOR]],TERCEROS_INFO[#All],3,FALSE)</f>
        <v>0</v>
      </c>
      <c r="N520" s="23"/>
      <c r="O520" s="22">
        <f>+PROVEEDORES[[#This Row],[Descuento sobre subtotal %]]*(PROVEEDORES[[#This Row],[SUBTOTAL]]-PROVEEDORES[[#This Row],[descuento sobre subtotal]])</f>
        <v>0</v>
      </c>
      <c r="P520" s="83">
        <f>+IF(PROVEEDORES[[#This Row],[SUBTOTAL]]&lt;PROVEEDORES[[#This Row],[base retencion]],0,PROVEEDORES[[#This Row],[retención aplicada]])</f>
        <v>0</v>
      </c>
      <c r="Q520" s="22">
        <f>+PROVEEDORES[[#This Row],[Rete Fuente %]]*(PROVEEDORES[[#This Row],[SUBTOTAL]]-PROVEEDORES[[#This Row],[descuento sobre subtotal]])</f>
        <v>0</v>
      </c>
      <c r="R520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68">
        <f ca="1">IF(PROVEEDORES[[#This Row],[FECHA DE PAGO]]=0,TODAY()-PROVEEDORES[[#This Row],[FECHA DE FACTURACIÓN]]-PROVEEDORES[[#This Row],[PLAZO Días]],0)</f>
        <v>0</v>
      </c>
      <c r="U520" s="96">
        <f>+VLOOKUP(PROVEEDORES[[#This Row],[PROVEEDOR]],Terceros!$A:$D,4,FALSE)</f>
        <v>0</v>
      </c>
      <c r="V520" s="97">
        <f>+YEAR(PROVEEDORES[[#This Row],[FECHA DE FACTURACIÓN]])</f>
        <v>2021</v>
      </c>
      <c r="W520" s="97">
        <f>+MATCH(PROVEEDORES[[#This Row],[año facturado]],Retenciones!$1:$1,0)</f>
        <v>4</v>
      </c>
      <c r="X520" s="98">
        <f>+VLOOKUP(PROVEEDORES[[#This Row],[ID RETENCION]],Retenciones!$A$1:$O$25,PROVEEDORES[[#This Row],[indicador de columna]],FALSE)</f>
        <v>0</v>
      </c>
      <c r="Y520" s="99">
        <f>+VLOOKUP(PROVEEDORES[[#This Row],[ID RETENCION]],Retenciones!$A$1:$O$25,2,FALSE)</f>
        <v>0</v>
      </c>
      <c r="Z520" s="125" t="b">
        <f>OR(COUNTIF(PROVEEDORES[[#This Row],[PROVEEDOR]],"*"&amp;'Palabra no opera'!$A$2&amp;"*"))</f>
        <v>1</v>
      </c>
      <c r="AA520" s="24"/>
      <c r="AB520" s="24"/>
      <c r="AC520" s="24"/>
      <c r="AD520" s="24"/>
      <c r="AE520" s="24"/>
    </row>
    <row r="521" spans="1:31" ht="22.2" customHeight="1" x14ac:dyDescent="0.3">
      <c r="A521" s="66" t="str">
        <f>+IF(PROVEEDORES[[#This Row],[FECHA DE PAGO]]=PROVEEDORES[[#This Row],[FECHA DE FACTURACIÓN]],"DE CONTADO","CRÉDITO")</f>
        <v>CRÉDITO</v>
      </c>
      <c r="B521" s="38" t="b">
        <f>+IF((PROVEEDORES[[#This Row],[FECHA DE PAGO]]-PROVEEDORES[[#This Row],[FECHA DE FACTURACIÓN]])&gt;PROVEEDORES[[#This Row],[PLAZO Días]],"PAGO VENCIDO")</f>
        <v>0</v>
      </c>
      <c r="C521" s="20">
        <f>+VLOOKUP(PROVEEDORES[[#This Row],[PROVEEDOR]],TERCEROS_INFO[#All],2,FALSE)</f>
        <v>30</v>
      </c>
      <c r="D521" s="25">
        <f>+SUMIFS(PROVEEDORES[Total],PROVEEDORES[PROVEEDOR],PROVEEDORES[[#This Row],[PROVEEDOR]],PROVEEDORES[FECHA DE PAGO],"")</f>
        <v>0</v>
      </c>
      <c r="E521" s="25"/>
      <c r="F521" s="58">
        <f>+VLOOKUP(PROVEEDORES[[#This Row],[PROVEEDOR]],
                       Terceros!$A:$F,
                       5,
                       FALSE)</f>
        <v>0</v>
      </c>
      <c r="G521" s="161">
        <v>44365</v>
      </c>
      <c r="H521" s="26" t="s">
        <v>932</v>
      </c>
      <c r="I521" s="161">
        <v>44366</v>
      </c>
      <c r="J521" s="35" t="s">
        <v>307</v>
      </c>
      <c r="K521" s="21">
        <v>313385</v>
      </c>
      <c r="L521" s="21"/>
      <c r="M521" s="22">
        <f>(PROVEEDORES[[#This Row],[SUBTOTAL]]-PROVEEDORES[[#This Row],[descuento sobre subtotal]])*VLOOKUP(PROVEEDORES[[#This Row],[PROVEEDOR]],TERCEROS_INFO[#All],3,FALSE)</f>
        <v>0</v>
      </c>
      <c r="N521" s="23"/>
      <c r="O521" s="22">
        <f>+PROVEEDORES[[#This Row],[Descuento sobre subtotal %]]*(PROVEEDORES[[#This Row],[SUBTOTAL]]-PROVEEDORES[[#This Row],[descuento sobre subtotal]])</f>
        <v>0</v>
      </c>
      <c r="P521" s="83">
        <f>+IF(PROVEEDORES[[#This Row],[SUBTOTAL]]&lt;PROVEEDORES[[#This Row],[base retencion]],0,PROVEEDORES[[#This Row],[retención aplicada]])</f>
        <v>0</v>
      </c>
      <c r="Q521" s="22">
        <f>+PROVEEDORES[[#This Row],[Rete Fuente %]]*(PROVEEDORES[[#This Row],[SUBTOTAL]]-PROVEEDORES[[#This Row],[descuento sobre subtotal]])</f>
        <v>0</v>
      </c>
      <c r="R521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68">
        <f ca="1">IF(PROVEEDORES[[#This Row],[FECHA DE PAGO]]=0,TODAY()-PROVEEDORES[[#This Row],[FECHA DE FACTURACIÓN]]-PROVEEDORES[[#This Row],[PLAZO Días]],0)</f>
        <v>0</v>
      </c>
      <c r="U521" s="96">
        <f>+VLOOKUP(PROVEEDORES[[#This Row],[PROVEEDOR]],Terceros!$A:$D,4,FALSE)</f>
        <v>0</v>
      </c>
      <c r="V521" s="97">
        <f>+YEAR(PROVEEDORES[[#This Row],[FECHA DE FACTURACIÓN]])</f>
        <v>2021</v>
      </c>
      <c r="W521" s="97">
        <f>+MATCH(PROVEEDORES[[#This Row],[año facturado]],Retenciones!$1:$1,0)</f>
        <v>4</v>
      </c>
      <c r="X521" s="98">
        <f>+VLOOKUP(PROVEEDORES[[#This Row],[ID RETENCION]],Retenciones!$A$1:$O$25,PROVEEDORES[[#This Row],[indicador de columna]],FALSE)</f>
        <v>0</v>
      </c>
      <c r="Y521" s="99">
        <f>+VLOOKUP(PROVEEDORES[[#This Row],[ID RETENCION]],Retenciones!$A$1:$O$25,2,FALSE)</f>
        <v>0</v>
      </c>
      <c r="Z521" s="125" t="b">
        <f>OR(COUNTIF(PROVEEDORES[[#This Row],[PROVEEDOR]],"*"&amp;'Palabra no opera'!$A$2&amp;"*"))</f>
        <v>1</v>
      </c>
      <c r="AA521" s="24"/>
      <c r="AB521" s="24"/>
      <c r="AC521" s="24"/>
      <c r="AD521" s="24"/>
      <c r="AE521" s="24"/>
    </row>
    <row r="522" spans="1:31" ht="22.2" customHeight="1" x14ac:dyDescent="0.3">
      <c r="A522" s="66" t="str">
        <f>+IF(PROVEEDORES[[#This Row],[FECHA DE PAGO]]=PROVEEDORES[[#This Row],[FECHA DE FACTURACIÓN]],"DE CONTADO","CRÉDITO")</f>
        <v>CRÉDITO</v>
      </c>
      <c r="B522" s="38" t="b">
        <f>+IF((PROVEEDORES[[#This Row],[FECHA DE PAGO]]-PROVEEDORES[[#This Row],[FECHA DE FACTURACIÓN]])&gt;PROVEEDORES[[#This Row],[PLAZO Días]],"PAGO VENCIDO")</f>
        <v>0</v>
      </c>
      <c r="C522" s="20">
        <f>+VLOOKUP(PROVEEDORES[[#This Row],[PROVEEDOR]],TERCEROS_INFO[#All],2,FALSE)</f>
        <v>30</v>
      </c>
      <c r="D522" s="25">
        <f>+SUMIFS(PROVEEDORES[Total],PROVEEDORES[PROVEEDOR],PROVEEDORES[[#This Row],[PROVEEDOR]],PROVEEDORES[FECHA DE PAGO],"")</f>
        <v>0</v>
      </c>
      <c r="E522" s="25"/>
      <c r="F522" s="58">
        <f>+VLOOKUP(PROVEEDORES[[#This Row],[PROVEEDOR]],
                       Terceros!$A:$F,
                       5,
                       FALSE)</f>
        <v>0</v>
      </c>
      <c r="G522" s="161">
        <v>44391</v>
      </c>
      <c r="H522" s="26" t="s">
        <v>932</v>
      </c>
      <c r="I522" s="161">
        <v>44378</v>
      </c>
      <c r="J522" s="35" t="s">
        <v>307</v>
      </c>
      <c r="K522" s="21">
        <v>313385</v>
      </c>
      <c r="L522" s="21"/>
      <c r="M522" s="22">
        <f>(PROVEEDORES[[#This Row],[SUBTOTAL]]-PROVEEDORES[[#This Row],[descuento sobre subtotal]])*VLOOKUP(PROVEEDORES[[#This Row],[PROVEEDOR]],TERCEROS_INFO[#All],3,FALSE)</f>
        <v>0</v>
      </c>
      <c r="N522" s="23"/>
      <c r="O522" s="22">
        <f>+PROVEEDORES[[#This Row],[Descuento sobre subtotal %]]*(PROVEEDORES[[#This Row],[SUBTOTAL]]-PROVEEDORES[[#This Row],[descuento sobre subtotal]])</f>
        <v>0</v>
      </c>
      <c r="P522" s="83">
        <f>+IF(PROVEEDORES[[#This Row],[SUBTOTAL]]&lt;PROVEEDORES[[#This Row],[base retencion]],0,PROVEEDORES[[#This Row],[retención aplicada]])</f>
        <v>0</v>
      </c>
      <c r="Q522" s="22">
        <f>+PROVEEDORES[[#This Row],[Rete Fuente %]]*(PROVEEDORES[[#This Row],[SUBTOTAL]]-PROVEEDORES[[#This Row],[descuento sobre subtotal]])</f>
        <v>0</v>
      </c>
      <c r="R522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68">
        <f ca="1">IF(PROVEEDORES[[#This Row],[FECHA DE PAGO]]=0,TODAY()-PROVEEDORES[[#This Row],[FECHA DE FACTURACIÓN]]-PROVEEDORES[[#This Row],[PLAZO Días]],0)</f>
        <v>0</v>
      </c>
      <c r="U522" s="96">
        <f>+VLOOKUP(PROVEEDORES[[#This Row],[PROVEEDOR]],Terceros!$A:$D,4,FALSE)</f>
        <v>0</v>
      </c>
      <c r="V522" s="97">
        <f>+YEAR(PROVEEDORES[[#This Row],[FECHA DE FACTURACIÓN]])</f>
        <v>2021</v>
      </c>
      <c r="W522" s="97">
        <f>+MATCH(PROVEEDORES[[#This Row],[año facturado]],Retenciones!$1:$1,0)</f>
        <v>4</v>
      </c>
      <c r="X522" s="98">
        <f>+VLOOKUP(PROVEEDORES[[#This Row],[ID RETENCION]],Retenciones!$A$1:$O$25,PROVEEDORES[[#This Row],[indicador de columna]],FALSE)</f>
        <v>0</v>
      </c>
      <c r="Y522" s="99">
        <f>+VLOOKUP(PROVEEDORES[[#This Row],[ID RETENCION]],Retenciones!$A$1:$O$25,2,FALSE)</f>
        <v>0</v>
      </c>
      <c r="Z522" s="125" t="b">
        <f>OR(COUNTIF(PROVEEDORES[[#This Row],[PROVEEDOR]],"*"&amp;'Palabra no opera'!$A$2&amp;"*"))</f>
        <v>1</v>
      </c>
      <c r="AA522" s="24"/>
      <c r="AB522" s="24"/>
      <c r="AC522" s="24"/>
      <c r="AD522" s="24"/>
      <c r="AE522" s="24"/>
    </row>
    <row r="523" spans="1:31" ht="22.2" customHeight="1" x14ac:dyDescent="0.3">
      <c r="A523" s="66" t="str">
        <f>+IF(PROVEEDORES[[#This Row],[FECHA DE PAGO]]=PROVEEDORES[[#This Row],[FECHA DE FACTURACIÓN]],"DE CONTADO","CRÉDITO")</f>
        <v>CRÉDITO</v>
      </c>
      <c r="B523" s="38" t="b">
        <f>+IF((PROVEEDORES[[#This Row],[FECHA DE PAGO]]-PROVEEDORES[[#This Row],[FECHA DE FACTURACIÓN]])&gt;PROVEEDORES[[#This Row],[PLAZO Días]],"PAGO VENCIDO")</f>
        <v>0</v>
      </c>
      <c r="C523" s="20">
        <f>+VLOOKUP(PROVEEDORES[[#This Row],[PROVEEDOR]],TERCEROS_INFO[#All],2,FALSE)</f>
        <v>30</v>
      </c>
      <c r="D523" s="25">
        <f>+SUMIFS(PROVEEDORES[Total],PROVEEDORES[PROVEEDOR],PROVEEDORES[[#This Row],[PROVEEDOR]],PROVEEDORES[FECHA DE PAGO],"")</f>
        <v>0</v>
      </c>
      <c r="E523" s="25"/>
      <c r="F523" s="58">
        <f>+VLOOKUP(PROVEEDORES[[#This Row],[PROVEEDOR]],
                       Terceros!$A:$F,
                       5,
                       FALSE)</f>
        <v>0</v>
      </c>
      <c r="G523" s="161">
        <v>44425</v>
      </c>
      <c r="H523" s="26" t="s">
        <v>932</v>
      </c>
      <c r="I523" s="161">
        <v>44409</v>
      </c>
      <c r="J523" s="35" t="s">
        <v>307</v>
      </c>
      <c r="K523" s="21">
        <v>313385</v>
      </c>
      <c r="L523" s="21"/>
      <c r="M523" s="22">
        <f>(PROVEEDORES[[#This Row],[SUBTOTAL]]-PROVEEDORES[[#This Row],[descuento sobre subtotal]])*VLOOKUP(PROVEEDORES[[#This Row],[PROVEEDOR]],TERCEROS_INFO[#All],3,FALSE)</f>
        <v>0</v>
      </c>
      <c r="N523" s="23"/>
      <c r="O523" s="22">
        <f>+PROVEEDORES[[#This Row],[Descuento sobre subtotal %]]*(PROVEEDORES[[#This Row],[SUBTOTAL]]-PROVEEDORES[[#This Row],[descuento sobre subtotal]])</f>
        <v>0</v>
      </c>
      <c r="P523" s="83">
        <f>+IF(PROVEEDORES[[#This Row],[SUBTOTAL]]&lt;PROVEEDORES[[#This Row],[base retencion]],0,PROVEEDORES[[#This Row],[retención aplicada]])</f>
        <v>0</v>
      </c>
      <c r="Q523" s="22">
        <f>+PROVEEDORES[[#This Row],[Rete Fuente %]]*(PROVEEDORES[[#This Row],[SUBTOTAL]]-PROVEEDORES[[#This Row],[descuento sobre subtotal]])</f>
        <v>0</v>
      </c>
      <c r="R523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68">
        <f ca="1">IF(PROVEEDORES[[#This Row],[FECHA DE PAGO]]=0,TODAY()-PROVEEDORES[[#This Row],[FECHA DE FACTURACIÓN]]-PROVEEDORES[[#This Row],[PLAZO Días]],0)</f>
        <v>0</v>
      </c>
      <c r="U523" s="96">
        <f>+VLOOKUP(PROVEEDORES[[#This Row],[PROVEEDOR]],Terceros!$A:$D,4,FALSE)</f>
        <v>0</v>
      </c>
      <c r="V523" s="97">
        <f>+YEAR(PROVEEDORES[[#This Row],[FECHA DE FACTURACIÓN]])</f>
        <v>2021</v>
      </c>
      <c r="W523" s="97">
        <f>+MATCH(PROVEEDORES[[#This Row],[año facturado]],Retenciones!$1:$1,0)</f>
        <v>4</v>
      </c>
      <c r="X523" s="98">
        <f>+VLOOKUP(PROVEEDORES[[#This Row],[ID RETENCION]],Retenciones!$A$1:$O$25,PROVEEDORES[[#This Row],[indicador de columna]],FALSE)</f>
        <v>0</v>
      </c>
      <c r="Y523" s="99">
        <f>+VLOOKUP(PROVEEDORES[[#This Row],[ID RETENCION]],Retenciones!$A$1:$O$25,2,FALSE)</f>
        <v>0</v>
      </c>
      <c r="Z523" s="125" t="b">
        <f>OR(COUNTIF(PROVEEDORES[[#This Row],[PROVEEDOR]],"*"&amp;'Palabra no opera'!$A$2&amp;"*"))</f>
        <v>1</v>
      </c>
      <c r="AA523" s="24"/>
      <c r="AB523" s="24"/>
      <c r="AC523" s="24"/>
      <c r="AD523" s="24"/>
      <c r="AE523" s="24"/>
    </row>
    <row r="524" spans="1:31" ht="22.2" customHeight="1" x14ac:dyDescent="0.3">
      <c r="A524" s="66" t="str">
        <f>+IF(PROVEEDORES[[#This Row],[FECHA DE PAGO]]=PROVEEDORES[[#This Row],[FECHA DE FACTURACIÓN]],"DE CONTADO","CRÉDITO")</f>
        <v>CRÉDITO</v>
      </c>
      <c r="B524" s="38" t="b">
        <f>+IF((PROVEEDORES[[#This Row],[FECHA DE PAGO]]-PROVEEDORES[[#This Row],[FECHA DE FACTURACIÓN]])&gt;PROVEEDORES[[#This Row],[PLAZO Días]],"PAGO VENCIDO")</f>
        <v>0</v>
      </c>
      <c r="C524" s="20">
        <f>+VLOOKUP(PROVEEDORES[[#This Row],[PROVEEDOR]],TERCEROS_INFO[#All],2,FALSE)</f>
        <v>30</v>
      </c>
      <c r="D524" s="25">
        <f>+SUMIFS(PROVEEDORES[Total],PROVEEDORES[PROVEEDOR],PROVEEDORES[[#This Row],[PROVEEDOR]],PROVEEDORES[FECHA DE PAGO],"")</f>
        <v>0</v>
      </c>
      <c r="E524" s="25"/>
      <c r="F524" s="58">
        <f>+VLOOKUP(PROVEEDORES[[#This Row],[PROVEEDOR]],
                       Terceros!$A:$F,
                       5,
                       FALSE)</f>
        <v>0</v>
      </c>
      <c r="G524" s="161">
        <v>44456</v>
      </c>
      <c r="H524" s="26" t="s">
        <v>932</v>
      </c>
      <c r="I524" s="161">
        <v>44440</v>
      </c>
      <c r="J524" s="35" t="s">
        <v>307</v>
      </c>
      <c r="K524" s="21">
        <v>313385</v>
      </c>
      <c r="L524" s="21"/>
      <c r="M524" s="22">
        <f>(PROVEEDORES[[#This Row],[SUBTOTAL]]-PROVEEDORES[[#This Row],[descuento sobre subtotal]])*VLOOKUP(PROVEEDORES[[#This Row],[PROVEEDOR]],TERCEROS_INFO[#All],3,FALSE)</f>
        <v>0</v>
      </c>
      <c r="N524" s="23"/>
      <c r="O524" s="22">
        <f>+PROVEEDORES[[#This Row],[Descuento sobre subtotal %]]*(PROVEEDORES[[#This Row],[SUBTOTAL]]-PROVEEDORES[[#This Row],[descuento sobre subtotal]])</f>
        <v>0</v>
      </c>
      <c r="P524" s="83">
        <f>+IF(PROVEEDORES[[#This Row],[SUBTOTAL]]&lt;PROVEEDORES[[#This Row],[base retencion]],0,PROVEEDORES[[#This Row],[retención aplicada]])</f>
        <v>0</v>
      </c>
      <c r="Q524" s="22">
        <f>+PROVEEDORES[[#This Row],[Rete Fuente %]]*(PROVEEDORES[[#This Row],[SUBTOTAL]]-PROVEEDORES[[#This Row],[descuento sobre subtotal]])</f>
        <v>0</v>
      </c>
      <c r="R524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68">
        <f ca="1">IF(PROVEEDORES[[#This Row],[FECHA DE PAGO]]=0,TODAY()-PROVEEDORES[[#This Row],[FECHA DE FACTURACIÓN]]-PROVEEDORES[[#This Row],[PLAZO Días]],0)</f>
        <v>0</v>
      </c>
      <c r="U524" s="96">
        <f>+VLOOKUP(PROVEEDORES[[#This Row],[PROVEEDOR]],Terceros!$A:$D,4,FALSE)</f>
        <v>0</v>
      </c>
      <c r="V524" s="97">
        <f>+YEAR(PROVEEDORES[[#This Row],[FECHA DE FACTURACIÓN]])</f>
        <v>2021</v>
      </c>
      <c r="W524" s="97">
        <f>+MATCH(PROVEEDORES[[#This Row],[año facturado]],Retenciones!$1:$1,0)</f>
        <v>4</v>
      </c>
      <c r="X524" s="98">
        <f>+VLOOKUP(PROVEEDORES[[#This Row],[ID RETENCION]],Retenciones!$A$1:$O$25,PROVEEDORES[[#This Row],[indicador de columna]],FALSE)</f>
        <v>0</v>
      </c>
      <c r="Y524" s="99">
        <f>+VLOOKUP(PROVEEDORES[[#This Row],[ID RETENCION]],Retenciones!$A$1:$O$25,2,FALSE)</f>
        <v>0</v>
      </c>
      <c r="Z524" s="125" t="b">
        <f>OR(COUNTIF(PROVEEDORES[[#This Row],[PROVEEDOR]],"*"&amp;'Palabra no opera'!$A$2&amp;"*"))</f>
        <v>1</v>
      </c>
      <c r="AA524" s="24"/>
      <c r="AB524" s="24"/>
      <c r="AC524" s="24"/>
      <c r="AD524" s="24"/>
      <c r="AE524" s="24"/>
    </row>
    <row r="525" spans="1:31" ht="22.2" customHeight="1" x14ac:dyDescent="0.3">
      <c r="A525" s="66" t="str">
        <f>+IF(PROVEEDORES[[#This Row],[FECHA DE PAGO]]=PROVEEDORES[[#This Row],[FECHA DE FACTURACIÓN]],"DE CONTADO","CRÉDITO")</f>
        <v>CRÉDITO</v>
      </c>
      <c r="B525" s="38" t="b">
        <f>+IF((PROVEEDORES[[#This Row],[FECHA DE PAGO]]-PROVEEDORES[[#This Row],[FECHA DE FACTURACIÓN]])&gt;PROVEEDORES[[#This Row],[PLAZO Días]],"PAGO VENCIDO")</f>
        <v>0</v>
      </c>
      <c r="C525" s="20">
        <f>+VLOOKUP(PROVEEDORES[[#This Row],[PROVEEDOR]],TERCEROS_INFO[#All],2,FALSE)</f>
        <v>30</v>
      </c>
      <c r="D525" s="25">
        <f>+SUMIFS(PROVEEDORES[Total],PROVEEDORES[PROVEEDOR],PROVEEDORES[[#This Row],[PROVEEDOR]],PROVEEDORES[FECHA DE PAGO],"")</f>
        <v>0</v>
      </c>
      <c r="E525" s="25"/>
      <c r="F525" s="58">
        <f>+VLOOKUP(PROVEEDORES[[#This Row],[PROVEEDOR]],
                       Terceros!$A:$F,
                       5,
                       FALSE)</f>
        <v>0</v>
      </c>
      <c r="G525" s="161">
        <v>44483</v>
      </c>
      <c r="H525" s="26" t="s">
        <v>932</v>
      </c>
      <c r="I525" s="161">
        <v>44470</v>
      </c>
      <c r="J525" s="35" t="s">
        <v>307</v>
      </c>
      <c r="K525" s="21">
        <v>313385</v>
      </c>
      <c r="L525" s="21"/>
      <c r="M525" s="22">
        <f>(PROVEEDORES[[#This Row],[SUBTOTAL]]-PROVEEDORES[[#This Row],[descuento sobre subtotal]])*VLOOKUP(PROVEEDORES[[#This Row],[PROVEEDOR]],TERCEROS_INFO[#All],3,FALSE)</f>
        <v>0</v>
      </c>
      <c r="N525" s="23"/>
      <c r="O525" s="22">
        <f>+PROVEEDORES[[#This Row],[Descuento sobre subtotal %]]*(PROVEEDORES[[#This Row],[SUBTOTAL]]-PROVEEDORES[[#This Row],[descuento sobre subtotal]])</f>
        <v>0</v>
      </c>
      <c r="P525" s="83">
        <f>+IF(PROVEEDORES[[#This Row],[SUBTOTAL]]&lt;PROVEEDORES[[#This Row],[base retencion]],0,PROVEEDORES[[#This Row],[retención aplicada]])</f>
        <v>0</v>
      </c>
      <c r="Q525" s="22">
        <f>+PROVEEDORES[[#This Row],[Rete Fuente %]]*(PROVEEDORES[[#This Row],[SUBTOTAL]]-PROVEEDORES[[#This Row],[descuento sobre subtotal]])</f>
        <v>0</v>
      </c>
      <c r="R525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68">
        <f ca="1">IF(PROVEEDORES[[#This Row],[FECHA DE PAGO]]=0,TODAY()-PROVEEDORES[[#This Row],[FECHA DE FACTURACIÓN]]-PROVEEDORES[[#This Row],[PLAZO Días]],0)</f>
        <v>0</v>
      </c>
      <c r="U525" s="96">
        <f>+VLOOKUP(PROVEEDORES[[#This Row],[PROVEEDOR]],Terceros!$A:$D,4,FALSE)</f>
        <v>0</v>
      </c>
      <c r="V525" s="97">
        <f>+YEAR(PROVEEDORES[[#This Row],[FECHA DE FACTURACIÓN]])</f>
        <v>2021</v>
      </c>
      <c r="W525" s="97">
        <f>+MATCH(PROVEEDORES[[#This Row],[año facturado]],Retenciones!$1:$1,0)</f>
        <v>4</v>
      </c>
      <c r="X525" s="98">
        <f>+VLOOKUP(PROVEEDORES[[#This Row],[ID RETENCION]],Retenciones!$A$1:$O$25,PROVEEDORES[[#This Row],[indicador de columna]],FALSE)</f>
        <v>0</v>
      </c>
      <c r="Y525" s="99">
        <f>+VLOOKUP(PROVEEDORES[[#This Row],[ID RETENCION]],Retenciones!$A$1:$O$25,2,FALSE)</f>
        <v>0</v>
      </c>
      <c r="Z525" s="125" t="b">
        <f>OR(COUNTIF(PROVEEDORES[[#This Row],[PROVEEDOR]],"*"&amp;'Palabra no opera'!$A$2&amp;"*"))</f>
        <v>1</v>
      </c>
      <c r="AA525" s="24"/>
      <c r="AB525" s="24"/>
      <c r="AC525" s="24"/>
      <c r="AD525" s="24"/>
      <c r="AE525" s="24"/>
    </row>
    <row r="526" spans="1:31" ht="22.2" customHeight="1" x14ac:dyDescent="0.3">
      <c r="A526" s="66" t="str">
        <f>+IF(PROVEEDORES[[#This Row],[FECHA DE PAGO]]=PROVEEDORES[[#This Row],[FECHA DE FACTURACIÓN]],"DE CONTADO","CRÉDITO")</f>
        <v>CRÉDITO</v>
      </c>
      <c r="B526" s="38" t="b">
        <f>+IF((PROVEEDORES[[#This Row],[FECHA DE PAGO]]-PROVEEDORES[[#This Row],[FECHA DE FACTURACIÓN]])&gt;PROVEEDORES[[#This Row],[PLAZO Días]],"PAGO VENCIDO")</f>
        <v>0</v>
      </c>
      <c r="C526" s="20">
        <f>+VLOOKUP(PROVEEDORES[[#This Row],[PROVEEDOR]],TERCEROS_INFO[#All],2,FALSE)</f>
        <v>30</v>
      </c>
      <c r="D526" s="25">
        <f>+SUMIFS(PROVEEDORES[Total],PROVEEDORES[PROVEEDOR],PROVEEDORES[[#This Row],[PROVEEDOR]],PROVEEDORES[FECHA DE PAGO],"")</f>
        <v>0</v>
      </c>
      <c r="E526" s="25"/>
      <c r="F526" s="58">
        <f>+VLOOKUP(PROVEEDORES[[#This Row],[PROVEEDOR]],
                       Terceros!$A:$F,
                       5,
                       FALSE)</f>
        <v>0</v>
      </c>
      <c r="G526" s="161">
        <v>44516</v>
      </c>
      <c r="H526" s="26" t="s">
        <v>932</v>
      </c>
      <c r="I526" s="161">
        <v>44501</v>
      </c>
      <c r="J526" s="35" t="s">
        <v>307</v>
      </c>
      <c r="K526" s="21">
        <v>313385</v>
      </c>
      <c r="L526" s="21"/>
      <c r="M526" s="22">
        <f>(PROVEEDORES[[#This Row],[SUBTOTAL]]-PROVEEDORES[[#This Row],[descuento sobre subtotal]])*VLOOKUP(PROVEEDORES[[#This Row],[PROVEEDOR]],TERCEROS_INFO[#All],3,FALSE)</f>
        <v>0</v>
      </c>
      <c r="N526" s="23"/>
      <c r="O526" s="22">
        <f>+PROVEEDORES[[#This Row],[Descuento sobre subtotal %]]*(PROVEEDORES[[#This Row],[SUBTOTAL]]-PROVEEDORES[[#This Row],[descuento sobre subtotal]])</f>
        <v>0</v>
      </c>
      <c r="P526" s="83">
        <f>+IF(PROVEEDORES[[#This Row],[SUBTOTAL]]&lt;PROVEEDORES[[#This Row],[base retencion]],0,PROVEEDORES[[#This Row],[retención aplicada]])</f>
        <v>0</v>
      </c>
      <c r="Q526" s="22">
        <f>+PROVEEDORES[[#This Row],[Rete Fuente %]]*(PROVEEDORES[[#This Row],[SUBTOTAL]]-PROVEEDORES[[#This Row],[descuento sobre subtotal]])</f>
        <v>0</v>
      </c>
      <c r="R526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6" s="68">
        <f ca="1">IF(PROVEEDORES[[#This Row],[FECHA DE PAGO]]=0,TODAY()-PROVEEDORES[[#This Row],[FECHA DE FACTURACIÓN]]-PROVEEDORES[[#This Row],[PLAZO Días]],0)</f>
        <v>0</v>
      </c>
      <c r="U526" s="96">
        <f>+VLOOKUP(PROVEEDORES[[#This Row],[PROVEEDOR]],Terceros!$A:$D,4,FALSE)</f>
        <v>0</v>
      </c>
      <c r="V526" s="97">
        <f>+YEAR(PROVEEDORES[[#This Row],[FECHA DE FACTURACIÓN]])</f>
        <v>2021</v>
      </c>
      <c r="W526" s="97">
        <f>+MATCH(PROVEEDORES[[#This Row],[año facturado]],Retenciones!$1:$1,0)</f>
        <v>4</v>
      </c>
      <c r="X526" s="98">
        <f>+VLOOKUP(PROVEEDORES[[#This Row],[ID RETENCION]],Retenciones!$A$1:$O$25,PROVEEDORES[[#This Row],[indicador de columna]],FALSE)</f>
        <v>0</v>
      </c>
      <c r="Y526" s="99">
        <f>+VLOOKUP(PROVEEDORES[[#This Row],[ID RETENCION]],Retenciones!$A$1:$O$25,2,FALSE)</f>
        <v>0</v>
      </c>
      <c r="Z526" s="125" t="b">
        <f>OR(COUNTIF(PROVEEDORES[[#This Row],[PROVEEDOR]],"*"&amp;'Palabra no opera'!$A$2&amp;"*"))</f>
        <v>1</v>
      </c>
      <c r="AA526" s="24"/>
      <c r="AB526" s="24"/>
      <c r="AC526" s="24"/>
      <c r="AD526" s="24"/>
      <c r="AE526" s="24"/>
    </row>
    <row r="527" spans="1:31" ht="22.2" customHeight="1" x14ac:dyDescent="0.3">
      <c r="A527" s="66" t="str">
        <f>+IF(PROVEEDORES[[#This Row],[FECHA DE PAGO]]=PROVEEDORES[[#This Row],[FECHA DE FACTURACIÓN]],"DE CONTADO","CRÉDITO")</f>
        <v>CRÉDITO</v>
      </c>
      <c r="B527" s="38" t="b">
        <f>+IF((PROVEEDORES[[#This Row],[FECHA DE PAGO]]-PROVEEDORES[[#This Row],[FECHA DE FACTURACIÓN]])&gt;PROVEEDORES[[#This Row],[PLAZO Días]],"PAGO VENCIDO")</f>
        <v>0</v>
      </c>
      <c r="C527" s="20">
        <f>+VLOOKUP(PROVEEDORES[[#This Row],[PROVEEDOR]],TERCEROS_INFO[#All],2,FALSE)</f>
        <v>30</v>
      </c>
      <c r="D527" s="25">
        <f>+SUMIFS(PROVEEDORES[Total],PROVEEDORES[PROVEEDOR],PROVEEDORES[[#This Row],[PROVEEDOR]],PROVEEDORES[FECHA DE PAGO],"")</f>
        <v>0</v>
      </c>
      <c r="E527" s="25"/>
      <c r="F527" s="58">
        <f>+VLOOKUP(PROVEEDORES[[#This Row],[PROVEEDOR]],
                       Terceros!$A:$F,
                       5,
                       FALSE)</f>
        <v>0</v>
      </c>
      <c r="G527" s="161">
        <v>44575</v>
      </c>
      <c r="H527" s="26" t="s">
        <v>932</v>
      </c>
      <c r="I527" s="161">
        <v>44562</v>
      </c>
      <c r="J527" s="35" t="s">
        <v>307</v>
      </c>
      <c r="K527" s="21">
        <v>313385</v>
      </c>
      <c r="L527" s="21"/>
      <c r="M527" s="22">
        <f>(PROVEEDORES[[#This Row],[SUBTOTAL]]-PROVEEDORES[[#This Row],[descuento sobre subtotal]])*VLOOKUP(PROVEEDORES[[#This Row],[PROVEEDOR]],TERCEROS_INFO[#All],3,FALSE)</f>
        <v>0</v>
      </c>
      <c r="N527" s="23"/>
      <c r="O527" s="22">
        <f>+PROVEEDORES[[#This Row],[Descuento sobre subtotal %]]*(PROVEEDORES[[#This Row],[SUBTOTAL]]-PROVEEDORES[[#This Row],[descuento sobre subtotal]])</f>
        <v>0</v>
      </c>
      <c r="P527" s="83">
        <f>+IF(PROVEEDORES[[#This Row],[SUBTOTAL]]&lt;PROVEEDORES[[#This Row],[base retencion]],0,PROVEEDORES[[#This Row],[retención aplicada]])</f>
        <v>0</v>
      </c>
      <c r="Q527" s="22">
        <f>+PROVEEDORES[[#This Row],[Rete Fuente %]]*(PROVEEDORES[[#This Row],[SUBTOTAL]]-PROVEEDORES[[#This Row],[descuento sobre subtotal]])</f>
        <v>0</v>
      </c>
      <c r="R527" s="21">
        <v>313385</v>
      </c>
      <c r="S5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68">
        <f ca="1">IF(PROVEEDORES[[#This Row],[FECHA DE PAGO]]=0,TODAY()-PROVEEDORES[[#This Row],[FECHA DE FACTURACIÓN]]-PROVEEDORES[[#This Row],[PLAZO Días]],0)</f>
        <v>0</v>
      </c>
      <c r="U527" s="96">
        <f>+VLOOKUP(PROVEEDORES[[#This Row],[PROVEEDOR]],Terceros!$A:$D,4,FALSE)</f>
        <v>0</v>
      </c>
      <c r="V527" s="97">
        <f>+YEAR(PROVEEDORES[[#This Row],[FECHA DE FACTURACIÓN]])</f>
        <v>2022</v>
      </c>
      <c r="W527" s="97">
        <f>+MATCH(PROVEEDORES[[#This Row],[año facturado]],Retenciones!$1:$1,0)</f>
        <v>5</v>
      </c>
      <c r="X527" s="98">
        <f>+VLOOKUP(PROVEEDORES[[#This Row],[ID RETENCION]],Retenciones!$A$1:$O$25,PROVEEDORES[[#This Row],[indicador de columna]],FALSE)</f>
        <v>0</v>
      </c>
      <c r="Y527" s="99">
        <f>+VLOOKUP(PROVEEDORES[[#This Row],[ID RETENCION]],Retenciones!$A$1:$O$25,2,FALSE)</f>
        <v>0</v>
      </c>
      <c r="Z527" s="125" t="b">
        <f>OR(COUNTIF(PROVEEDORES[[#This Row],[PROVEEDOR]],"*"&amp;'Palabra no opera'!$A$2&amp;"*"))</f>
        <v>1</v>
      </c>
      <c r="AA527" s="24"/>
      <c r="AB527" s="24"/>
      <c r="AC527" s="24"/>
      <c r="AD527" s="24"/>
      <c r="AE527" s="24"/>
    </row>
    <row r="528" spans="1:31" ht="22.2" customHeight="1" x14ac:dyDescent="0.3">
      <c r="A528" s="66" t="str">
        <f>+IF(PROVEEDORES[[#This Row],[FECHA DE PAGO]]=PROVEEDORES[[#This Row],[FECHA DE FACTURACIÓN]],"DE CONTADO","CRÉDITO")</f>
        <v>CRÉDITO</v>
      </c>
      <c r="B528" s="38" t="b">
        <f>+IF((PROVEEDORES[[#This Row],[FECHA DE PAGO]]-PROVEEDORES[[#This Row],[FECHA DE FACTURACIÓN]])&gt;PROVEEDORES[[#This Row],[PLAZO Días]],"PAGO VENCIDO")</f>
        <v>0</v>
      </c>
      <c r="C528" s="20">
        <f>+VLOOKUP(PROVEEDORES[[#This Row],[PROVEEDOR]],TERCEROS_INFO[#All],2,FALSE)</f>
        <v>30</v>
      </c>
      <c r="D528" s="25">
        <f>+SUMIFS(PROVEEDORES[Total],PROVEEDORES[PROVEEDOR],PROVEEDORES[[#This Row],[PROVEEDOR]],PROVEEDORES[FECHA DE PAGO],"")</f>
        <v>0</v>
      </c>
      <c r="E528" s="25"/>
      <c r="F528" s="58">
        <f>+VLOOKUP(PROVEEDORES[[#This Row],[PROVEEDOR]],
                       Terceros!$A:$F,
                       5,
                       FALSE)</f>
        <v>0</v>
      </c>
      <c r="G528" s="161">
        <v>44607</v>
      </c>
      <c r="H528" s="26" t="s">
        <v>932</v>
      </c>
      <c r="I528" s="161">
        <v>44593</v>
      </c>
      <c r="J528" s="35" t="s">
        <v>307</v>
      </c>
      <c r="K528" s="21">
        <v>313385</v>
      </c>
      <c r="L528" s="21"/>
      <c r="M528" s="22">
        <f>(PROVEEDORES[[#This Row],[SUBTOTAL]]-PROVEEDORES[[#This Row],[descuento sobre subtotal]])*VLOOKUP(PROVEEDORES[[#This Row],[PROVEEDOR]],TERCEROS_INFO[#All],3,FALSE)</f>
        <v>0</v>
      </c>
      <c r="N528" s="23"/>
      <c r="O528" s="22">
        <f>+PROVEEDORES[[#This Row],[Descuento sobre subtotal %]]*(PROVEEDORES[[#This Row],[SUBTOTAL]]-PROVEEDORES[[#This Row],[descuento sobre subtotal]])</f>
        <v>0</v>
      </c>
      <c r="P528" s="83">
        <f>+IF(PROVEEDORES[[#This Row],[SUBTOTAL]]&lt;PROVEEDORES[[#This Row],[base retencion]],0,PROVEEDORES[[#This Row],[retención aplicada]])</f>
        <v>0</v>
      </c>
      <c r="Q528" s="22">
        <f>+PROVEEDORES[[#This Row],[Rete Fuente %]]*(PROVEEDORES[[#This Row],[SUBTOTAL]]-PROVEEDORES[[#This Row],[descuento sobre subtotal]])</f>
        <v>0</v>
      </c>
      <c r="R528" s="21">
        <v>313385</v>
      </c>
      <c r="S5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68">
        <f ca="1">IF(PROVEEDORES[[#This Row],[FECHA DE PAGO]]=0,TODAY()-PROVEEDORES[[#This Row],[FECHA DE FACTURACIÓN]]-PROVEEDORES[[#This Row],[PLAZO Días]],0)</f>
        <v>0</v>
      </c>
      <c r="U528" s="96">
        <f>+VLOOKUP(PROVEEDORES[[#This Row],[PROVEEDOR]],Terceros!$A:$D,4,FALSE)</f>
        <v>0</v>
      </c>
      <c r="V528" s="97">
        <f>+YEAR(PROVEEDORES[[#This Row],[FECHA DE FACTURACIÓN]])</f>
        <v>2022</v>
      </c>
      <c r="W528" s="97">
        <f>+MATCH(PROVEEDORES[[#This Row],[año facturado]],Retenciones!$1:$1,0)</f>
        <v>5</v>
      </c>
      <c r="X528" s="98">
        <f>+VLOOKUP(PROVEEDORES[[#This Row],[ID RETENCION]],Retenciones!$A$1:$O$25,PROVEEDORES[[#This Row],[indicador de columna]],FALSE)</f>
        <v>0</v>
      </c>
      <c r="Y528" s="99">
        <f>+VLOOKUP(PROVEEDORES[[#This Row],[ID RETENCION]],Retenciones!$A$1:$O$25,2,FALSE)</f>
        <v>0</v>
      </c>
      <c r="Z528" s="125" t="b">
        <f>OR(COUNTIF(PROVEEDORES[[#This Row],[PROVEEDOR]],"*"&amp;'Palabra no opera'!$A$2&amp;"*"))</f>
        <v>1</v>
      </c>
      <c r="AA528" s="24"/>
      <c r="AB528" s="24"/>
      <c r="AC528" s="24"/>
      <c r="AD528" s="24"/>
      <c r="AE528" s="24"/>
    </row>
    <row r="529" spans="1:31" ht="22.2" customHeight="1" x14ac:dyDescent="0.3">
      <c r="A529" s="257" t="str">
        <f>+IF(PROVEEDORES[[#This Row],[FECHA DE PAGO]]=PROVEEDORES[[#This Row],[FECHA DE FACTURACIÓN]],"DE CONTADO","CRÉDITO")</f>
        <v>CRÉDITO</v>
      </c>
      <c r="B529" s="38" t="b">
        <f>+IF((PROVEEDORES[[#This Row],[FECHA DE PAGO]]-PROVEEDORES[[#This Row],[FECHA DE FACTURACIÓN]])&gt;PROVEEDORES[[#This Row],[PLAZO Días]],"PAGO VENCIDO")</f>
        <v>0</v>
      </c>
      <c r="C529" s="20">
        <f>+VLOOKUP(PROVEEDORES[[#This Row],[PROVEEDOR]],TERCEROS_INFO[#All],2,FALSE)</f>
        <v>30</v>
      </c>
      <c r="D529" s="25">
        <f>+SUMIFS(PROVEEDORES[Total],PROVEEDORES[PROVEEDOR],PROVEEDORES[[#This Row],[PROVEEDOR]],PROVEEDORES[FECHA DE PAGO],"")</f>
        <v>1645455.6614999999</v>
      </c>
      <c r="E529" s="25"/>
      <c r="F529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529" s="26" t="s">
        <v>79</v>
      </c>
      <c r="I529" s="161">
        <v>44824</v>
      </c>
      <c r="J529" s="35" t="s">
        <v>1711</v>
      </c>
      <c r="K529" s="21">
        <v>263354</v>
      </c>
      <c r="L529" s="21"/>
      <c r="M529" s="22">
        <f>(PROVEEDORES[[#This Row],[SUBTOTAL]]-PROVEEDORES[[#This Row],[descuento sobre subtotal]])*VLOOKUP(PROVEEDORES[[#This Row],[PROVEEDOR]],TERCEROS_INFO[#All],3,FALSE)</f>
        <v>50037.26</v>
      </c>
      <c r="N529" s="23"/>
      <c r="O529" s="22">
        <f>+PROVEEDORES[[#This Row],[Descuento sobre subtotal %]]*(PROVEEDORES[[#This Row],[SUBTOTAL]]-PROVEEDORES[[#This Row],[descuento sobre subtotal]])</f>
        <v>0</v>
      </c>
      <c r="P529" s="83">
        <f>+IF(PROVEEDORES[[#This Row],[SUBTOTAL]]&lt;PROVEEDORES[[#This Row],[base retencion]],0,PROVEEDORES[[#This Row],[retención aplicada]])</f>
        <v>0</v>
      </c>
      <c r="Q529" s="22">
        <f>+PROVEEDORES[[#This Row],[Rete Fuente %]]*(PROVEEDORES[[#This Row],[SUBTOTAL]]-PROVEEDORES[[#This Row],[descuento sobre subtotal]])</f>
        <v>0</v>
      </c>
      <c r="R529" s="21">
        <f>+PROVEEDORES[[#This Row],[SUBTOTAL]]+PROVEEDORES[[#This Row],[IVA 19%]]-PROVEEDORES[[#This Row],[descuento sobre subtotal]]-PROVEEDORES[[#This Row],[Descuento sobre subtotal $2]]-PROVEEDORES[[#This Row],[Rete Fuente $]]</f>
        <v>313391.26</v>
      </c>
      <c r="S529" s="25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529" s="68">
        <f ca="1">IF(PROVEEDORES[[#This Row],[FECHA DE PAGO]]=0,TODAY()-PROVEEDORES[[#This Row],[FECHA DE FACTURACIÓN]]-PROVEEDORES[[#This Row],[PLAZO Días]],0)</f>
        <v>21</v>
      </c>
      <c r="U529" s="113" t="str">
        <f>+VLOOKUP(PROVEEDORES[[#This Row],[PROVEEDOR]],Terceros!$A:$D,4,FALSE)</f>
        <v>2,5% con base</v>
      </c>
      <c r="V529" s="114">
        <f>+YEAR(PROVEEDORES[[#This Row],[FECHA DE FACTURACIÓN]])</f>
        <v>2022</v>
      </c>
      <c r="W529" s="114">
        <f>+MATCH(PROVEEDORES[[#This Row],[año facturado]],Retenciones!$1:$1,0)</f>
        <v>5</v>
      </c>
      <c r="X529" s="115">
        <f>+VLOOKUP(PROVEEDORES[[#This Row],[ID RETENCION]],Retenciones!$A$1:$O$25,PROVEEDORES[[#This Row],[indicador de columna]],FALSE)</f>
        <v>1026000</v>
      </c>
      <c r="Y529" s="116">
        <f>+VLOOKUP(PROVEEDORES[[#This Row],[ID RETENCION]],Retenciones!$A$1:$O$25,2,FALSE)</f>
        <v>2.5000000000000001E-2</v>
      </c>
      <c r="Z529" s="125" t="b">
        <f>OR(COUNTIF(PROVEEDORES[[#This Row],[PROVEEDOR]],"*"&amp;'Palabra no opera'!$A$2&amp;"*"))</f>
        <v>0</v>
      </c>
      <c r="AA529" s="24"/>
      <c r="AB529" s="24"/>
      <c r="AC529" s="24"/>
      <c r="AD529" s="24"/>
      <c r="AE529" s="24"/>
    </row>
    <row r="530" spans="1:31" ht="22.2" customHeight="1" x14ac:dyDescent="0.3">
      <c r="A530" s="66" t="str">
        <f>+IF(PROVEEDORES[[#This Row],[FECHA DE PAGO]]=PROVEEDORES[[#This Row],[FECHA DE FACTURACIÓN]],"DE CONTADO","CRÉDITO")</f>
        <v>CRÉDITO</v>
      </c>
      <c r="B530" s="38" t="b">
        <f>+IF((PROVEEDORES[[#This Row],[FECHA DE PAGO]]-PROVEEDORES[[#This Row],[FECHA DE FACTURACIÓN]])&gt;PROVEEDORES[[#This Row],[PLAZO Días]],"PAGO VENCIDO")</f>
        <v>0</v>
      </c>
      <c r="C530" s="20">
        <f>+VLOOKUP(PROVEEDORES[[#This Row],[PROVEEDOR]],TERCEROS_INFO[#All],2,FALSE)</f>
        <v>30</v>
      </c>
      <c r="D530" s="25">
        <f>+SUMIFS(PROVEEDORES[Total],PROVEEDORES[PROVEEDOR],PROVEEDORES[[#This Row],[PROVEEDOR]],PROVEEDORES[FECHA DE PAGO],"")</f>
        <v>0</v>
      </c>
      <c r="E530" s="25"/>
      <c r="F53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30" s="161">
        <v>44292</v>
      </c>
      <c r="H530" s="26" t="s">
        <v>1451</v>
      </c>
      <c r="I530" s="161">
        <v>44290</v>
      </c>
      <c r="J530" s="35">
        <v>82</v>
      </c>
      <c r="K530" s="21">
        <v>320000</v>
      </c>
      <c r="L530" s="21"/>
      <c r="M530" s="22">
        <f>(PROVEEDORES[[#This Row],[SUBTOTAL]]-PROVEEDORES[[#This Row],[descuento sobre subtotal]])*VLOOKUP(PROVEEDORES[[#This Row],[PROVEEDOR]],TERCEROS_INFO[#All],3,FALSE)</f>
        <v>0</v>
      </c>
      <c r="N530" s="23"/>
      <c r="O530" s="22">
        <f>+PROVEEDORES[[#This Row],[Descuento sobre subtotal %]]*(PROVEEDORES[[#This Row],[SUBTOTAL]]-PROVEEDORES[[#This Row],[descuento sobre subtotal]])</f>
        <v>0</v>
      </c>
      <c r="P530" s="83">
        <f>+IF(PROVEEDORES[[#This Row],[SUBTOTAL]]&lt;PROVEEDORES[[#This Row],[base retencion]],0,PROVEEDORES[[#This Row],[retención aplicada]])</f>
        <v>0.01</v>
      </c>
      <c r="Q530" s="22">
        <f>+PROVEEDORES[[#This Row],[Rete Fuente %]]*(PROVEEDORES[[#This Row],[SUBTOTAL]]-PROVEEDORES[[#This Row],[descuento sobre subtotal]])</f>
        <v>3200</v>
      </c>
      <c r="R530" s="21">
        <f>+PROVEEDORES[[#This Row],[SUBTOTAL]]+PROVEEDORES[[#This Row],[IVA 19%]]-PROVEEDORES[[#This Row],[descuento sobre subtotal]]-PROVEEDORES[[#This Row],[Descuento sobre subtotal $2]]-PROVEEDORES[[#This Row],[Rete Fuente $]]</f>
        <v>316800</v>
      </c>
      <c r="S5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68">
        <f ca="1">IF(PROVEEDORES[[#This Row],[FECHA DE PAGO]]=0,TODAY()-PROVEEDORES[[#This Row],[FECHA DE FACTURACIÓN]]-PROVEEDORES[[#This Row],[PLAZO Días]],0)</f>
        <v>0</v>
      </c>
      <c r="U530" s="96" t="str">
        <f>+VLOOKUP(PROVEEDORES[[#This Row],[PROVEEDOR]],Terceros!$A:$D,4,FALSE)</f>
        <v>1% con base</v>
      </c>
      <c r="V530" s="97">
        <f>+YEAR(PROVEEDORES[[#This Row],[FECHA DE FACTURACIÓN]])</f>
        <v>2021</v>
      </c>
      <c r="W530" s="97">
        <f>+MATCH(PROVEEDORES[[#This Row],[año facturado]],Retenciones!$1:$1,0)</f>
        <v>4</v>
      </c>
      <c r="X530" s="98">
        <f>+VLOOKUP(PROVEEDORES[[#This Row],[ID RETENCION]],Retenciones!$A$1:$O$25,PROVEEDORES[[#This Row],[indicador de columna]],FALSE)</f>
        <v>145000</v>
      </c>
      <c r="Y530" s="99">
        <f>+VLOOKUP(PROVEEDORES[[#This Row],[ID RETENCION]],Retenciones!$A$1:$O$25,2,FALSE)</f>
        <v>0.01</v>
      </c>
      <c r="Z530" s="125" t="b">
        <f>OR(COUNTIF(PROVEEDORES[[#This Row],[PROVEEDOR]],"*"&amp;'Palabra no opera'!$A$2&amp;"*"))</f>
        <v>0</v>
      </c>
      <c r="AA530" s="24"/>
      <c r="AB530" s="24"/>
      <c r="AC530" s="24"/>
      <c r="AD530" s="24"/>
      <c r="AE530" s="24"/>
    </row>
    <row r="531" spans="1:31" ht="22.2" customHeight="1" x14ac:dyDescent="0.3">
      <c r="A531" s="66" t="str">
        <f>+IF(PROVEEDORES[[#This Row],[FECHA DE PAGO]]=PROVEEDORES[[#This Row],[FECHA DE FACTURACIÓN]],"DE CONTADO","CRÉDITO")</f>
        <v>CRÉDITO</v>
      </c>
      <c r="B531" s="38" t="str">
        <f>+IF((PROVEEDORES[[#This Row],[FECHA DE PAGO]]-PROVEEDORES[[#This Row],[FECHA DE FACTURACIÓN]])&gt;PROVEEDORES[[#This Row],[PLAZO Días]],"PAGO VENCIDO")</f>
        <v>PAGO VENCIDO</v>
      </c>
      <c r="C531" s="20">
        <f>+VLOOKUP(PROVEEDORES[[#This Row],[PROVEEDOR]],TERCEROS_INFO[#All],2,FALSE)</f>
        <v>30</v>
      </c>
      <c r="D531" s="25">
        <f>+SUMIFS(PROVEEDORES[Total],PROVEEDORES[PROVEEDOR],PROVEEDORES[[#This Row],[PROVEEDOR]],PROVEEDORES[FECHA DE PAGO],"")</f>
        <v>0</v>
      </c>
      <c r="E531" s="25"/>
      <c r="F53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31" s="161">
        <v>44684</v>
      </c>
      <c r="H531" s="26" t="s">
        <v>1637</v>
      </c>
      <c r="I531" s="161">
        <v>44644</v>
      </c>
      <c r="J531" s="35">
        <v>25131</v>
      </c>
      <c r="K531" s="21">
        <v>297600</v>
      </c>
      <c r="L531" s="21">
        <v>29760</v>
      </c>
      <c r="M531" s="22">
        <f>(PROVEEDORES[[#This Row],[SUBTOTAL]]-PROVEEDORES[[#This Row],[descuento sobre subtotal]])*VLOOKUP(PROVEEDORES[[#This Row],[PROVEEDOR]],TERCEROS_INFO[#All],3,FALSE)</f>
        <v>50889.599999999999</v>
      </c>
      <c r="N531" s="23"/>
      <c r="O531" s="22">
        <f>+PROVEEDORES[[#This Row],[Descuento sobre subtotal %]]*(PROVEEDORES[[#This Row],[SUBTOTAL]]-PROVEEDORES[[#This Row],[descuento sobre subtotal]])</f>
        <v>0</v>
      </c>
      <c r="P531" s="83">
        <f>+IF(PROVEEDORES[[#This Row],[SUBTOTAL]]&lt;PROVEEDORES[[#This Row],[base retencion]],0,PROVEEDORES[[#This Row],[retención aplicada]])</f>
        <v>0</v>
      </c>
      <c r="Q531" s="22">
        <f>+PROVEEDORES[[#This Row],[Rete Fuente %]]*(PROVEEDORES[[#This Row],[SUBTOTAL]]-PROVEEDORES[[#This Row],[descuento sobre subtotal]])</f>
        <v>0</v>
      </c>
      <c r="R531" s="21">
        <f>+PROVEEDORES[[#This Row],[SUBTOTAL]]+PROVEEDORES[[#This Row],[IVA 19%]]-PROVEEDORES[[#This Row],[descuento sobre subtotal]]-PROVEEDORES[[#This Row],[Descuento sobre subtotal $2]]-PROVEEDORES[[#This Row],[Rete Fuente $]]</f>
        <v>318729.59999999998</v>
      </c>
      <c r="S5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68">
        <f ca="1">IF(PROVEEDORES[[#This Row],[FECHA DE PAGO]]=0,TODAY()-PROVEEDORES[[#This Row],[FECHA DE FACTURACIÓN]]-PROVEEDORES[[#This Row],[PLAZO Días]],0)</f>
        <v>0</v>
      </c>
      <c r="U531" s="96" t="str">
        <f>+VLOOKUP(PROVEEDORES[[#This Row],[PROVEEDOR]],Terceros!$A:$D,4,FALSE)</f>
        <v>2,5% con base</v>
      </c>
      <c r="V531" s="97">
        <f>+YEAR(PROVEEDORES[[#This Row],[FECHA DE FACTURACIÓN]])</f>
        <v>2022</v>
      </c>
      <c r="W531" s="97">
        <f>+MATCH(PROVEEDORES[[#This Row],[año facturado]],Retenciones!$1:$1,0)</f>
        <v>5</v>
      </c>
      <c r="X531" s="98">
        <f>+VLOOKUP(PROVEEDORES[[#This Row],[ID RETENCION]],Retenciones!$A$1:$O$25,PROVEEDORES[[#This Row],[indicador de columna]],FALSE)</f>
        <v>1026000</v>
      </c>
      <c r="Y531" s="99">
        <f>+VLOOKUP(PROVEEDORES[[#This Row],[ID RETENCION]],Retenciones!$A$1:$O$25,2,FALSE)</f>
        <v>2.5000000000000001E-2</v>
      </c>
      <c r="Z531" s="125" t="b">
        <f>OR(COUNTIF(PROVEEDORES[[#This Row],[PROVEEDOR]],"*"&amp;'Palabra no opera'!$A$2&amp;"*"))</f>
        <v>0</v>
      </c>
      <c r="AA531" s="24"/>
      <c r="AB531" s="24"/>
      <c r="AC531" s="24"/>
      <c r="AD531" s="24"/>
      <c r="AE531" s="24"/>
    </row>
    <row r="532" spans="1:31" ht="22.2" customHeight="1" x14ac:dyDescent="0.3">
      <c r="A532" s="66" t="str">
        <f>+IF(PROVEEDORES[[#This Row],[FECHA DE PAGO]]=PROVEEDORES[[#This Row],[FECHA DE FACTURACIÓN]],"DE CONTADO","CRÉDITO")</f>
        <v>CRÉDITO</v>
      </c>
      <c r="B532" s="38" t="str">
        <f>+IF((PROVEEDORES[[#This Row],[FECHA DE PAGO]]-PROVEEDORES[[#This Row],[FECHA DE FACTURACIÓN]])&gt;PROVEEDORES[[#This Row],[PLAZO Días]],"PAGO VENCIDO")</f>
        <v>PAGO VENCIDO</v>
      </c>
      <c r="C532" s="20">
        <f>+VLOOKUP(PROVEEDORES[[#This Row],[PROVEEDOR]],TERCEROS_INFO[#All],2,FALSE)</f>
        <v>60</v>
      </c>
      <c r="D532" s="25">
        <f>+SUMIFS(PROVEEDORES[Total],PROVEEDORES[PROVEEDOR],PROVEEDORES[[#This Row],[PROVEEDOR]],PROVEEDORES[FECHA DE PAGO],"")</f>
        <v>1520362</v>
      </c>
      <c r="E532" s="25"/>
      <c r="F532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32" s="161">
        <v>44623</v>
      </c>
      <c r="H532" s="26" t="s">
        <v>528</v>
      </c>
      <c r="I532" s="161">
        <v>44552</v>
      </c>
      <c r="J532" s="35" t="s">
        <v>1550</v>
      </c>
      <c r="K532" s="21">
        <v>319200</v>
      </c>
      <c r="L532" s="21"/>
      <c r="M532" s="22">
        <v>0</v>
      </c>
      <c r="N532" s="23"/>
      <c r="O532" s="22">
        <v>0</v>
      </c>
      <c r="P532" s="83">
        <f>+IF(PROVEEDORES[[#This Row],[SUBTOTAL]]&lt;PROVEEDORES[[#This Row],[base retencion]],0,PROVEEDORES[[#This Row],[retención aplicada]])</f>
        <v>0</v>
      </c>
      <c r="Q532" s="22">
        <f>+PROVEEDORES[[#This Row],[Rete Fuente %]]*(PROVEEDORES[[#This Row],[SUBTOTAL]]-PROVEEDORES[[#This Row],[descuento sobre subtotal]])</f>
        <v>0</v>
      </c>
      <c r="R532" s="21">
        <v>319200</v>
      </c>
      <c r="S5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68">
        <f ca="1">IF(PROVEEDORES[[#This Row],[FECHA DE PAGO]]=0,TODAY()-PROVEEDORES[[#This Row],[FECHA DE FACTURACIÓN]]-PROVEEDORES[[#This Row],[PLAZO Días]],0)</f>
        <v>0</v>
      </c>
      <c r="U532" s="96">
        <f>+VLOOKUP(PROVEEDORES[[#This Row],[PROVEEDOR]],Terceros!$A:$D,4,FALSE)</f>
        <v>0</v>
      </c>
      <c r="V532" s="97">
        <f>+YEAR(PROVEEDORES[[#This Row],[FECHA DE FACTURACIÓN]])</f>
        <v>2021</v>
      </c>
      <c r="W532" s="97">
        <f>+MATCH(PROVEEDORES[[#This Row],[año facturado]],Retenciones!$1:$1,0)</f>
        <v>4</v>
      </c>
      <c r="X532" s="98">
        <f>+VLOOKUP(PROVEEDORES[[#This Row],[ID RETENCION]],Retenciones!$A$1:$O$25,PROVEEDORES[[#This Row],[indicador de columna]],FALSE)</f>
        <v>0</v>
      </c>
      <c r="Y532" s="99">
        <f>+VLOOKUP(PROVEEDORES[[#This Row],[ID RETENCION]],Retenciones!$A$1:$O$25,2,FALSE)</f>
        <v>0</v>
      </c>
      <c r="Z532" s="125" t="b">
        <f>OR(COUNTIF(PROVEEDORES[[#This Row],[PROVEEDOR]],"*"&amp;'Palabra no opera'!$A$2&amp;"*"))</f>
        <v>0</v>
      </c>
      <c r="AA532" s="24"/>
      <c r="AB532" s="24"/>
      <c r="AC532" s="24"/>
      <c r="AD532" s="24"/>
      <c r="AE532" s="24"/>
    </row>
    <row r="533" spans="1:31" ht="22.2" customHeight="1" x14ac:dyDescent="0.3">
      <c r="A533" s="66" t="str">
        <f>+IF(PROVEEDORES[[#This Row],[FECHA DE PAGO]]=PROVEEDORES[[#This Row],[FECHA DE FACTURACIÓN]],"DE CONTADO","CRÉDITO")</f>
        <v>DE CONTADO</v>
      </c>
      <c r="B533" s="38" t="b">
        <f>+IF((PROVEEDORES[[#This Row],[FECHA DE PAGO]]-PROVEEDORES[[#This Row],[FECHA DE FACTURACIÓN]])&gt;PROVEEDORES[[#This Row],[PLAZO Días]],"PAGO VENCIDO")</f>
        <v>0</v>
      </c>
      <c r="C533" s="20">
        <f>+VLOOKUP(PROVEEDORES[[#This Row],[PROVEEDOR]],TERCEROS_INFO[#All],2,FALSE)</f>
        <v>30</v>
      </c>
      <c r="D533" s="25">
        <f>+SUMIFS(PROVEEDORES[Total],PROVEEDORES[PROVEEDOR],PROVEEDORES[[#This Row],[PROVEEDOR]],PROVEEDORES[FECHA DE PAGO],"")</f>
        <v>0</v>
      </c>
      <c r="E533" s="25"/>
      <c r="F533" s="58" t="str">
        <f>+VLOOKUP(PROVEEDORES[[#This Row],[PROVEEDOR]],
                       Terceros!$A:$F,
                       5,
                       FALSE)</f>
        <v/>
      </c>
      <c r="G533" s="161">
        <v>44414</v>
      </c>
      <c r="H533" s="26" t="s">
        <v>644</v>
      </c>
      <c r="I533" s="161">
        <v>44414</v>
      </c>
      <c r="J533" s="35" t="s">
        <v>1282</v>
      </c>
      <c r="K533" s="21">
        <v>320000</v>
      </c>
      <c r="L533" s="21"/>
      <c r="M533" s="22">
        <f>(PROVEEDORES[[#This Row],[SUBTOTAL]]-PROVEEDORES[[#This Row],[descuento sobre subtotal]])*VLOOKUP(PROVEEDORES[[#This Row],[PROVEEDOR]],TERCEROS_INFO[#All],3,FALSE)</f>
        <v>0</v>
      </c>
      <c r="N533" s="23"/>
      <c r="O533" s="22">
        <f>+PROVEEDORES[[#This Row],[Descuento sobre subtotal %]]*(PROVEEDORES[[#This Row],[SUBTOTAL]]-PROVEEDORES[[#This Row],[descuento sobre subtotal]])</f>
        <v>0</v>
      </c>
      <c r="P533" s="83">
        <f>+IF(PROVEEDORES[[#This Row],[SUBTOTAL]]&lt;PROVEEDORES[[#This Row],[base retencion]],0,PROVEEDORES[[#This Row],[retención aplicada]])</f>
        <v>0</v>
      </c>
      <c r="Q533" s="22">
        <f>+PROVEEDORES[[#This Row],[Rete Fuente %]]*(PROVEEDORES[[#This Row],[SUBTOTAL]]-PROVEEDORES[[#This Row],[descuento sobre subtotal]])</f>
        <v>0</v>
      </c>
      <c r="R533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5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68">
        <f ca="1">IF(PROVEEDORES[[#This Row],[FECHA DE PAGO]]=0,TODAY()-PROVEEDORES[[#This Row],[FECHA DE FACTURACIÓN]]-PROVEEDORES[[#This Row],[PLAZO Días]],0)</f>
        <v>0</v>
      </c>
      <c r="U533" s="96">
        <f>+VLOOKUP(PROVEEDORES[[#This Row],[PROVEEDOR]],Terceros!$A:$D,4,FALSE)</f>
        <v>0</v>
      </c>
      <c r="V533" s="97">
        <f>+YEAR(PROVEEDORES[[#This Row],[FECHA DE FACTURACIÓN]])</f>
        <v>2021</v>
      </c>
      <c r="W533" s="97">
        <f>+MATCH(PROVEEDORES[[#This Row],[año facturado]],Retenciones!$1:$1,0)</f>
        <v>4</v>
      </c>
      <c r="X533" s="98">
        <f>+VLOOKUP(PROVEEDORES[[#This Row],[ID RETENCION]],Retenciones!$A$1:$O$25,PROVEEDORES[[#This Row],[indicador de columna]],FALSE)</f>
        <v>0</v>
      </c>
      <c r="Y533" s="99">
        <f>+VLOOKUP(PROVEEDORES[[#This Row],[ID RETENCION]],Retenciones!$A$1:$O$25,2,FALSE)</f>
        <v>0</v>
      </c>
      <c r="Z533" s="125" t="b">
        <f>OR(COUNTIF(PROVEEDORES[[#This Row],[PROVEEDOR]],"*"&amp;'Palabra no opera'!$A$2&amp;"*"))</f>
        <v>0</v>
      </c>
      <c r="AA533" s="24"/>
      <c r="AB533" s="24"/>
      <c r="AC533" s="24"/>
      <c r="AD533" s="24"/>
      <c r="AE533" s="24"/>
    </row>
    <row r="534" spans="1:31" ht="22.2" customHeight="1" x14ac:dyDescent="0.3">
      <c r="A534" s="66" t="str">
        <f>+IF(PROVEEDORES[[#This Row],[FECHA DE PAGO]]=PROVEEDORES[[#This Row],[FECHA DE FACTURACIÓN]],"DE CONTADO","CRÉDITO")</f>
        <v>DE CONTADO</v>
      </c>
      <c r="B534" s="38" t="b">
        <f>+IF((PROVEEDORES[[#This Row],[FECHA DE PAGO]]-PROVEEDORES[[#This Row],[FECHA DE FACTURACIÓN]])&gt;PROVEEDORES[[#This Row],[PLAZO Días]],"PAGO VENCIDO")</f>
        <v>0</v>
      </c>
      <c r="C534" s="20">
        <f>+VLOOKUP(PROVEEDORES[[#This Row],[PROVEEDOR]],TERCEROS_INFO[#All],2,FALSE)</f>
        <v>30</v>
      </c>
      <c r="D534" s="25">
        <f>+SUMIFS(PROVEEDORES[Total],PROVEEDORES[PROVEEDOR],PROVEEDORES[[#This Row],[PROVEEDOR]],PROVEEDORES[FECHA DE PAGO],"")</f>
        <v>0</v>
      </c>
      <c r="E534" s="25"/>
      <c r="F534" s="58">
        <f>+VLOOKUP(PROVEEDORES[[#This Row],[PROVEEDOR]],
                       Terceros!$A:$F,
                       5,
                       FALSE)</f>
        <v>0</v>
      </c>
      <c r="G534" s="161">
        <v>44547</v>
      </c>
      <c r="H534" s="26" t="s">
        <v>643</v>
      </c>
      <c r="I534" s="161">
        <v>44547</v>
      </c>
      <c r="J534" s="35" t="s">
        <v>1544</v>
      </c>
      <c r="K534" s="21">
        <v>320000</v>
      </c>
      <c r="L534" s="21"/>
      <c r="M534" s="22">
        <f>(PROVEEDORES[[#This Row],[SUBTOTAL]]-PROVEEDORES[[#This Row],[descuento sobre subtotal]])*VLOOKUP(PROVEEDORES[[#This Row],[PROVEEDOR]],TERCEROS_INFO[#All],3,FALSE)</f>
        <v>0</v>
      </c>
      <c r="N534" s="23"/>
      <c r="O534" s="22">
        <f>+PROVEEDORES[[#This Row],[Descuento sobre subtotal %]]*(PROVEEDORES[[#This Row],[SUBTOTAL]]-PROVEEDORES[[#This Row],[descuento sobre subtotal]])</f>
        <v>0</v>
      </c>
      <c r="P534" s="83">
        <f>+IF(PROVEEDORES[[#This Row],[SUBTOTAL]]&lt;PROVEEDORES[[#This Row],[base retencion]],0,PROVEEDORES[[#This Row],[retención aplicada]])</f>
        <v>0</v>
      </c>
      <c r="Q534" s="22">
        <f>+PROVEEDORES[[#This Row],[Rete Fuente %]]*(PROVEEDORES[[#This Row],[SUBTOTAL]]-PROVEEDORES[[#This Row],[descuento sobre subtotal]])</f>
        <v>0</v>
      </c>
      <c r="R534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5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68">
        <f ca="1">IF(PROVEEDORES[[#This Row],[FECHA DE PAGO]]=0,TODAY()-PROVEEDORES[[#This Row],[FECHA DE FACTURACIÓN]]-PROVEEDORES[[#This Row],[PLAZO Días]],0)</f>
        <v>0</v>
      </c>
      <c r="U534" s="96">
        <f>+VLOOKUP(PROVEEDORES[[#This Row],[PROVEEDOR]],Terceros!$A:$D,4,FALSE)</f>
        <v>0</v>
      </c>
      <c r="V534" s="97">
        <f>+YEAR(PROVEEDORES[[#This Row],[FECHA DE FACTURACIÓN]])</f>
        <v>2021</v>
      </c>
      <c r="W534" s="97">
        <f>+MATCH(PROVEEDORES[[#This Row],[año facturado]],Retenciones!$1:$1,0)</f>
        <v>4</v>
      </c>
      <c r="X534" s="98">
        <f>+VLOOKUP(PROVEEDORES[[#This Row],[ID RETENCION]],Retenciones!$A$1:$O$25,PROVEEDORES[[#This Row],[indicador de columna]],FALSE)</f>
        <v>0</v>
      </c>
      <c r="Y534" s="99">
        <f>+VLOOKUP(PROVEEDORES[[#This Row],[ID RETENCION]],Retenciones!$A$1:$O$25,2,FALSE)</f>
        <v>0</v>
      </c>
      <c r="Z534" s="125" t="b">
        <f>OR(COUNTIF(PROVEEDORES[[#This Row],[PROVEEDOR]],"*"&amp;'Palabra no opera'!$A$2&amp;"*"))</f>
        <v>0</v>
      </c>
      <c r="AA534" s="24"/>
      <c r="AB534" s="24"/>
      <c r="AC534" s="24"/>
      <c r="AD534" s="24"/>
      <c r="AE534" s="24"/>
    </row>
    <row r="535" spans="1:31" ht="22.2" customHeight="1" x14ac:dyDescent="0.3">
      <c r="A535" s="66" t="str">
        <f>+IF(PROVEEDORES[[#This Row],[FECHA DE PAGO]]=PROVEEDORES[[#This Row],[FECHA DE FACTURACIÓN]],"DE CONTADO","CRÉDITO")</f>
        <v>DE CONTADO</v>
      </c>
      <c r="B535" s="38" t="b">
        <f>+IF((PROVEEDORES[[#This Row],[FECHA DE PAGO]]-PROVEEDORES[[#This Row],[FECHA DE FACTURACIÓN]])&gt;PROVEEDORES[[#This Row],[PLAZO Días]],"PAGO VENCIDO")</f>
        <v>0</v>
      </c>
      <c r="C535" s="20">
        <f>+VLOOKUP(PROVEEDORES[[#This Row],[PROVEEDOR]],TERCEROS_INFO[#All],2,FALSE)</f>
        <v>30</v>
      </c>
      <c r="D535" s="25">
        <f>+SUMIFS(PROVEEDORES[Total],PROVEEDORES[PROVEEDOR],PROVEEDORES[[#This Row],[PROVEEDOR]],PROVEEDORES[FECHA DE PAGO],"")</f>
        <v>0</v>
      </c>
      <c r="E535" s="25"/>
      <c r="F535" s="58" t="str">
        <f>+VLOOKUP(PROVEEDORES[[#This Row],[PROVEEDOR]],
                       Terceros!$A:$F,
                       5,
                       FALSE)</f>
        <v/>
      </c>
      <c r="G535" s="161">
        <v>44620</v>
      </c>
      <c r="H535" s="26" t="s">
        <v>644</v>
      </c>
      <c r="I535" s="161">
        <v>44620</v>
      </c>
      <c r="J535" s="35" t="s">
        <v>174</v>
      </c>
      <c r="K535" s="21">
        <v>320000</v>
      </c>
      <c r="L535" s="21"/>
      <c r="M535" s="22">
        <f>(PROVEEDORES[[#This Row],[SUBTOTAL]]-PROVEEDORES[[#This Row],[descuento sobre subtotal]])*VLOOKUP(PROVEEDORES[[#This Row],[PROVEEDOR]],TERCEROS_INFO[#All],3,FALSE)</f>
        <v>0</v>
      </c>
      <c r="N535" s="23"/>
      <c r="O535" s="22">
        <f>+PROVEEDORES[[#This Row],[Descuento sobre subtotal %]]*(PROVEEDORES[[#This Row],[SUBTOTAL]]-PROVEEDORES[[#This Row],[descuento sobre subtotal]])</f>
        <v>0</v>
      </c>
      <c r="P535" s="83">
        <f>+IF(PROVEEDORES[[#This Row],[SUBTOTAL]]&lt;PROVEEDORES[[#This Row],[base retencion]],0,PROVEEDORES[[#This Row],[retención aplicada]])</f>
        <v>0</v>
      </c>
      <c r="Q535" s="22">
        <f>+PROVEEDORES[[#This Row],[Rete Fuente %]]*(PROVEEDORES[[#This Row],[SUBTOTAL]]-PROVEEDORES[[#This Row],[descuento sobre subtotal]])</f>
        <v>0</v>
      </c>
      <c r="R535" s="21">
        <v>320000</v>
      </c>
      <c r="S5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68">
        <f ca="1">IF(PROVEEDORES[[#This Row],[FECHA DE PAGO]]=0,TODAY()-PROVEEDORES[[#This Row],[FECHA DE FACTURACIÓN]]-PROVEEDORES[[#This Row],[PLAZO Días]],0)</f>
        <v>0</v>
      </c>
      <c r="U535" s="96">
        <f>+VLOOKUP(PROVEEDORES[[#This Row],[PROVEEDOR]],Terceros!$A:$D,4,FALSE)</f>
        <v>0</v>
      </c>
      <c r="V535" s="97">
        <f>+YEAR(PROVEEDORES[[#This Row],[FECHA DE FACTURACIÓN]])</f>
        <v>2022</v>
      </c>
      <c r="W535" s="97">
        <f>+MATCH(PROVEEDORES[[#This Row],[año facturado]],Retenciones!$1:$1,0)</f>
        <v>5</v>
      </c>
      <c r="X535" s="98">
        <f>+VLOOKUP(PROVEEDORES[[#This Row],[ID RETENCION]],Retenciones!$A$1:$O$25,PROVEEDORES[[#This Row],[indicador de columna]],FALSE)</f>
        <v>0</v>
      </c>
      <c r="Y535" s="99">
        <f>+VLOOKUP(PROVEEDORES[[#This Row],[ID RETENCION]],Retenciones!$A$1:$O$25,2,FALSE)</f>
        <v>0</v>
      </c>
      <c r="Z535" s="125" t="b">
        <f>OR(COUNTIF(PROVEEDORES[[#This Row],[PROVEEDOR]],"*"&amp;'Palabra no opera'!$A$2&amp;"*"))</f>
        <v>0</v>
      </c>
      <c r="AA535" s="24"/>
      <c r="AB535" s="24"/>
      <c r="AC535" s="24"/>
      <c r="AD535" s="24"/>
      <c r="AE535" s="24"/>
    </row>
    <row r="536" spans="1:31" ht="22.2" customHeight="1" x14ac:dyDescent="0.3">
      <c r="A536" s="195" t="str">
        <f>+IF(PROVEEDORES[[#This Row],[FECHA DE PAGO]]=PROVEEDORES[[#This Row],[FECHA DE FACTURACIÓN]],"DE CONTADO","CRÉDITO")</f>
        <v>CRÉDITO</v>
      </c>
      <c r="B536" s="38" t="b">
        <f>+IF((PROVEEDORES[[#This Row],[FECHA DE PAGO]]-PROVEEDORES[[#This Row],[FECHA DE FACTURACIÓN]])&gt;PROVEEDORES[[#This Row],[PLAZO Días]],"PAGO VENCIDO")</f>
        <v>0</v>
      </c>
      <c r="C536" s="20">
        <f>+VLOOKUP(PROVEEDORES[[#This Row],[PROVEEDOR]],TERCEROS_INFO[#All],2,FALSE)</f>
        <v>60</v>
      </c>
      <c r="D536" s="25">
        <f>+SUMIFS(PROVEEDORES[Total],PROVEEDORES[PROVEEDOR],PROVEEDORES[[#This Row],[PROVEEDOR]],PROVEEDORES[FECHA DE PAGO],"")</f>
        <v>1520362</v>
      </c>
      <c r="E536" s="25"/>
      <c r="F53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36" s="161">
        <v>44811</v>
      </c>
      <c r="H536" s="26" t="s">
        <v>528</v>
      </c>
      <c r="I536" s="161">
        <v>44757</v>
      </c>
      <c r="J536" s="35" t="s">
        <v>1624</v>
      </c>
      <c r="K536" s="21">
        <v>321156</v>
      </c>
      <c r="L536" s="21"/>
      <c r="M536" s="22">
        <f>(PROVEEDORES[[#This Row],[SUBTOTAL]]-PROVEEDORES[[#This Row],[descuento sobre subtotal]])*VLOOKUP(PROVEEDORES[[#This Row],[PROVEEDOR]],TERCEROS_INFO[#All],3,FALSE)</f>
        <v>0</v>
      </c>
      <c r="N536" s="23"/>
      <c r="O536" s="22">
        <f>+PROVEEDORES[[#This Row],[Descuento sobre subtotal %]]*(PROVEEDORES[[#This Row],[SUBTOTAL]]-PROVEEDORES[[#This Row],[descuento sobre subtotal]])</f>
        <v>0</v>
      </c>
      <c r="P536" s="83">
        <f>+IF(PROVEEDORES[[#This Row],[SUBTOTAL]]&lt;PROVEEDORES[[#This Row],[base retencion]],0,PROVEEDORES[[#This Row],[retención aplicada]])</f>
        <v>0</v>
      </c>
      <c r="Q536" s="22">
        <f>+PROVEEDORES[[#This Row],[Rete Fuente %]]*(PROVEEDORES[[#This Row],[SUBTOTAL]]-PROVEEDORES[[#This Row],[descuento sobre subtotal]])</f>
        <v>0</v>
      </c>
      <c r="R536" s="21">
        <f>+PROVEEDORES[[#This Row],[SUBTOTAL]]+PROVEEDORES[[#This Row],[IVA 19%]]-PROVEEDORES[[#This Row],[descuento sobre subtotal]]-PROVEEDORES[[#This Row],[Descuento sobre subtotal $2]]-PROVEEDORES[[#This Row],[Rete Fuente $]]</f>
        <v>321156</v>
      </c>
      <c r="S536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68">
        <f ca="1">IF(PROVEEDORES[[#This Row],[FECHA DE PAGO]]=0,TODAY()-PROVEEDORES[[#This Row],[FECHA DE FACTURACIÓN]]-PROVEEDORES[[#This Row],[PLAZO Días]],0)</f>
        <v>0</v>
      </c>
      <c r="U536" s="113">
        <f>+VLOOKUP(PROVEEDORES[[#This Row],[PROVEEDOR]],Terceros!$A:$D,4,FALSE)</f>
        <v>0</v>
      </c>
      <c r="V536" s="114">
        <f>+YEAR(PROVEEDORES[[#This Row],[FECHA DE FACTURACIÓN]])</f>
        <v>2022</v>
      </c>
      <c r="W536" s="114">
        <f>+MATCH(PROVEEDORES[[#This Row],[año facturado]],Retenciones!$1:$1,0)</f>
        <v>5</v>
      </c>
      <c r="X536" s="115">
        <f>+VLOOKUP(PROVEEDORES[[#This Row],[ID RETENCION]],Retenciones!$A$1:$O$25,PROVEEDORES[[#This Row],[indicador de columna]],FALSE)</f>
        <v>0</v>
      </c>
      <c r="Y536" s="116">
        <f>+VLOOKUP(PROVEEDORES[[#This Row],[ID RETENCION]],Retenciones!$A$1:$O$25,2,FALSE)</f>
        <v>0</v>
      </c>
      <c r="Z536" s="125" t="b">
        <f>OR(COUNTIF(PROVEEDORES[[#This Row],[PROVEEDOR]],"*"&amp;'Palabra no opera'!$A$2&amp;"*"))</f>
        <v>0</v>
      </c>
      <c r="AA536" s="24"/>
      <c r="AB536" s="24"/>
      <c r="AC536" s="24"/>
      <c r="AD536" s="24"/>
      <c r="AE536" s="24"/>
    </row>
    <row r="537" spans="1:31" ht="22.2" customHeight="1" x14ac:dyDescent="0.3">
      <c r="A537" s="66" t="str">
        <f>+IF(PROVEEDORES[[#This Row],[FECHA DE PAGO]]=PROVEEDORES[[#This Row],[FECHA DE FACTURACIÓN]],"DE CONTADO","CRÉDITO")</f>
        <v>DE CONTADO</v>
      </c>
      <c r="B537" s="38" t="b">
        <f>+IF((PROVEEDORES[[#This Row],[FECHA DE PAGO]]-PROVEEDORES[[#This Row],[FECHA DE FACTURACIÓN]])&gt;PROVEEDORES[[#This Row],[PLAZO Días]],"PAGO VENCIDO")</f>
        <v>0</v>
      </c>
      <c r="C537" s="20">
        <f>+VLOOKUP(PROVEEDORES[[#This Row],[PROVEEDOR]],TERCEROS_INFO[#All],2,FALSE)</f>
        <v>30</v>
      </c>
      <c r="D537" s="25">
        <f>+SUMIFS(PROVEEDORES[Total],PROVEEDORES[PROVEEDOR],PROVEEDORES[[#This Row],[PROVEEDOR]],PROVEEDORES[FECHA DE PAGO],"")</f>
        <v>0</v>
      </c>
      <c r="E537" s="25"/>
      <c r="F537" s="58" t="str">
        <f>+VLOOKUP(PROVEEDORES[[#This Row],[PROVEEDOR]],
                       Terceros!$A:$F,
                       5,
                       FALSE)</f>
        <v/>
      </c>
      <c r="G537" s="161">
        <v>44286</v>
      </c>
      <c r="H537" s="26" t="s">
        <v>644</v>
      </c>
      <c r="I537" s="161">
        <v>44286</v>
      </c>
      <c r="J537" s="35" t="s">
        <v>598</v>
      </c>
      <c r="K537" s="21">
        <v>323500</v>
      </c>
      <c r="L537" s="21"/>
      <c r="M537" s="22">
        <f>(PROVEEDORES[[#This Row],[SUBTOTAL]]-PROVEEDORES[[#This Row],[descuento sobre subtotal]])*VLOOKUP(PROVEEDORES[[#This Row],[PROVEEDOR]],TERCEROS_INFO[#All],3,FALSE)</f>
        <v>0</v>
      </c>
      <c r="N537" s="23"/>
      <c r="O537" s="22">
        <f>+PROVEEDORES[[#This Row],[Descuento sobre subtotal %]]*(PROVEEDORES[[#This Row],[SUBTOTAL]]-PROVEEDORES[[#This Row],[descuento sobre subtotal]])</f>
        <v>0</v>
      </c>
      <c r="P537" s="83">
        <f>+IF(PROVEEDORES[[#This Row],[SUBTOTAL]]&lt;PROVEEDORES[[#This Row],[base retencion]],0,PROVEEDORES[[#This Row],[retención aplicada]])</f>
        <v>0</v>
      </c>
      <c r="Q537" s="22">
        <f>+PROVEEDORES[[#This Row],[Rete Fuente %]]*(PROVEEDORES[[#This Row],[SUBTOTAL]]-PROVEEDORES[[#This Row],[descuento sobre subtotal]])</f>
        <v>0</v>
      </c>
      <c r="R537" s="21">
        <f>+PROVEEDORES[[#This Row],[SUBTOTAL]]+PROVEEDORES[[#This Row],[IVA 19%]]-PROVEEDORES[[#This Row],[descuento sobre subtotal]]-PROVEEDORES[[#This Row],[Descuento sobre subtotal $2]]-PROVEEDORES[[#This Row],[Rete Fuente $]]</f>
        <v>323500</v>
      </c>
      <c r="S5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68">
        <f ca="1">IF(PROVEEDORES[[#This Row],[FECHA DE PAGO]]=0,TODAY()-PROVEEDORES[[#This Row],[FECHA DE FACTURACIÓN]]-PROVEEDORES[[#This Row],[PLAZO Días]],0)</f>
        <v>0</v>
      </c>
      <c r="U537" s="96">
        <f>+VLOOKUP(PROVEEDORES[[#This Row],[PROVEEDOR]],Terceros!$A:$D,4,FALSE)</f>
        <v>0</v>
      </c>
      <c r="V537" s="97">
        <f>+YEAR(PROVEEDORES[[#This Row],[FECHA DE FACTURACIÓN]])</f>
        <v>2021</v>
      </c>
      <c r="W537" s="97">
        <f>+MATCH(PROVEEDORES[[#This Row],[año facturado]],Retenciones!$1:$1,0)</f>
        <v>4</v>
      </c>
      <c r="X537" s="98">
        <f>+VLOOKUP(PROVEEDORES[[#This Row],[ID RETENCION]],Retenciones!$A$1:$O$25,PROVEEDORES[[#This Row],[indicador de columna]],FALSE)</f>
        <v>0</v>
      </c>
      <c r="Y537" s="99">
        <f>+VLOOKUP(PROVEEDORES[[#This Row],[ID RETENCION]],Retenciones!$A$1:$O$25,2,FALSE)</f>
        <v>0</v>
      </c>
      <c r="Z537" s="125" t="b">
        <f>OR(COUNTIF(PROVEEDORES[[#This Row],[PROVEEDOR]],"*"&amp;'Palabra no opera'!$A$2&amp;"*"))</f>
        <v>0</v>
      </c>
      <c r="AA537" s="24"/>
      <c r="AB537" s="24"/>
      <c r="AC537" s="24"/>
      <c r="AD537" s="24"/>
      <c r="AE537" s="24"/>
    </row>
    <row r="538" spans="1:31" ht="22.2" customHeight="1" x14ac:dyDescent="0.3">
      <c r="A538" s="72" t="str">
        <f>+IF(PROVEEDORES[[#This Row],[FECHA DE PAGO]]=PROVEEDORES[[#This Row],[FECHA DE FACTURACIÓN]],"DE CONTADO","CRÉDITO")</f>
        <v>CRÉDITO</v>
      </c>
      <c r="B538" s="38" t="str">
        <f>+IF((PROVEEDORES[[#This Row],[FECHA DE PAGO]]-PROVEEDORES[[#This Row],[FECHA DE FACTURACIÓN]])&gt;PROVEEDORES[[#This Row],[PLAZO Días]],"PAGO VENCIDO")</f>
        <v>PAGO VENCIDO</v>
      </c>
      <c r="C538" s="20">
        <f>+VLOOKUP(PROVEEDORES[[#This Row],[PROVEEDOR]],TERCEROS_INFO[#All],2,FALSE)</f>
        <v>30</v>
      </c>
      <c r="D538" s="25">
        <f>+SUMIFS(PROVEEDORES[Total],PROVEEDORES[PROVEEDOR],PROVEEDORES[[#This Row],[PROVEEDOR]],PROVEEDORES[FECHA DE PAGO],"")</f>
        <v>2318500</v>
      </c>
      <c r="E538" s="25"/>
      <c r="F538" s="58" t="str">
        <f>+VLOOKUP(PROVEEDORES[[#This Row],[PROVEEDOR]],
                       Terceros!$A:$F,
                       5,
                       FALSE)</f>
        <v/>
      </c>
      <c r="G538" s="161">
        <v>44867</v>
      </c>
      <c r="H538" s="267" t="s">
        <v>629</v>
      </c>
      <c r="I538" s="161">
        <v>44826</v>
      </c>
      <c r="J538" s="35" t="s">
        <v>1703</v>
      </c>
      <c r="K538" s="21">
        <v>324128</v>
      </c>
      <c r="L538" s="21"/>
      <c r="M538" s="22">
        <f>(PROVEEDORES[[#This Row],[SUBTOTAL]]-PROVEEDORES[[#This Row],[descuento sobre subtotal]])*VLOOKUP(PROVEEDORES[[#This Row],[PROVEEDOR]],TERCEROS_INFO[#All],3,FALSE)</f>
        <v>0</v>
      </c>
      <c r="N538" s="23"/>
      <c r="O538" s="22">
        <f>+PROVEEDORES[[#This Row],[Descuento sobre subtotal %]]*(PROVEEDORES[[#This Row],[SUBTOTAL]]-PROVEEDORES[[#This Row],[descuento sobre subtotal]])</f>
        <v>0</v>
      </c>
      <c r="P538" s="83">
        <f>+IF(PROVEEDORES[[#This Row],[SUBTOTAL]]&lt;PROVEEDORES[[#This Row],[base retencion]],0,PROVEEDORES[[#This Row],[retención aplicada]])</f>
        <v>0</v>
      </c>
      <c r="Q538" s="22">
        <f>+PROVEEDORES[[#This Row],[Rete Fuente %]]*(PROVEEDORES[[#This Row],[SUBTOTAL]]-PROVEEDORES[[#This Row],[descuento sobre subtotal]])</f>
        <v>0</v>
      </c>
      <c r="R538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53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68">
        <f ca="1">IF(PROVEEDORES[[#This Row],[FECHA DE PAGO]]=0,TODAY()-PROVEEDORES[[#This Row],[FECHA DE FACTURACIÓN]]-PROVEEDORES[[#This Row],[PLAZO Días]],0)</f>
        <v>0</v>
      </c>
      <c r="U538" s="113">
        <f>+VLOOKUP(PROVEEDORES[[#This Row],[PROVEEDOR]],Terceros!$A:$D,4,FALSE)</f>
        <v>0</v>
      </c>
      <c r="V538" s="114">
        <f>+YEAR(PROVEEDORES[[#This Row],[FECHA DE FACTURACIÓN]])</f>
        <v>2022</v>
      </c>
      <c r="W538" s="114">
        <f>+MATCH(PROVEEDORES[[#This Row],[año facturado]],Retenciones!$1:$1,0)</f>
        <v>5</v>
      </c>
      <c r="X538" s="115">
        <f>+VLOOKUP(PROVEEDORES[[#This Row],[ID RETENCION]],Retenciones!$A$1:$O$25,PROVEEDORES[[#This Row],[indicador de columna]],FALSE)</f>
        <v>0</v>
      </c>
      <c r="Y538" s="116">
        <f>+VLOOKUP(PROVEEDORES[[#This Row],[ID RETENCION]],Retenciones!$A$1:$O$25,2,FALSE)</f>
        <v>0</v>
      </c>
      <c r="Z538" s="125" t="b">
        <f>OR(COUNTIF(PROVEEDORES[[#This Row],[PROVEEDOR]],"*"&amp;'Palabra no opera'!$A$2&amp;"*"))</f>
        <v>0</v>
      </c>
      <c r="AA538" s="24"/>
      <c r="AB538" s="24"/>
      <c r="AC538" s="24"/>
      <c r="AD538" s="24"/>
      <c r="AE538" s="24"/>
    </row>
    <row r="539" spans="1:31" ht="22.2" customHeight="1" x14ac:dyDescent="0.3">
      <c r="A539" s="269" t="str">
        <f>+IF(PROVEEDORES[[#This Row],[FECHA DE PAGO]]=PROVEEDORES[[#This Row],[FECHA DE FACTURACIÓN]],"DE CONTADO","CRÉDITO")</f>
        <v>CRÉDITO</v>
      </c>
      <c r="B539" s="38" t="b">
        <f>+IF((PROVEEDORES[[#This Row],[FECHA DE PAGO]]-PROVEEDORES[[#This Row],[FECHA DE FACTURACIÓN]])&gt;PROVEEDORES[[#This Row],[PLAZO Días]],"PAGO VENCIDO")</f>
        <v>0</v>
      </c>
      <c r="C539" s="20">
        <f>+VLOOKUP(PROVEEDORES[[#This Row],[PROVEEDOR]],TERCEROS_INFO[#All],2,FALSE)</f>
        <v>60</v>
      </c>
      <c r="D539" s="25">
        <f>+SUMIFS(PROVEEDORES[Total],PROVEEDORES[PROVEEDOR],PROVEEDORES[[#This Row],[PROVEEDOR]],PROVEEDORES[FECHA DE PAGO],"")</f>
        <v>1520362</v>
      </c>
      <c r="E539" s="25"/>
      <c r="F53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39" s="161">
        <v>44870</v>
      </c>
      <c r="H539" s="26" t="s">
        <v>528</v>
      </c>
      <c r="I539" s="161">
        <v>44859</v>
      </c>
      <c r="J539" s="35">
        <v>1510</v>
      </c>
      <c r="K539" s="21">
        <v>324128</v>
      </c>
      <c r="L539" s="21"/>
      <c r="M539" s="22">
        <f>(PROVEEDORES[[#This Row],[SUBTOTAL]]-PROVEEDORES[[#This Row],[descuento sobre subtotal]])*VLOOKUP(PROVEEDORES[[#This Row],[PROVEEDOR]],TERCEROS_INFO[#All],3,FALSE)</f>
        <v>0</v>
      </c>
      <c r="N539" s="23"/>
      <c r="O539" s="22">
        <f>+PROVEEDORES[[#This Row],[Descuento sobre subtotal %]]*(PROVEEDORES[[#This Row],[SUBTOTAL]]-PROVEEDORES[[#This Row],[descuento sobre subtotal]])</f>
        <v>0</v>
      </c>
      <c r="P539" s="83">
        <f>+IF(PROVEEDORES[[#This Row],[SUBTOTAL]]&lt;PROVEEDORES[[#This Row],[base retencion]],0,PROVEEDORES[[#This Row],[retención aplicada]])</f>
        <v>0</v>
      </c>
      <c r="Q539" s="22">
        <f>+PROVEEDORES[[#This Row],[Rete Fuente %]]*(PROVEEDORES[[#This Row],[SUBTOTAL]]-PROVEEDORES[[#This Row],[descuento sobre subtotal]])</f>
        <v>0</v>
      </c>
      <c r="R539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539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68">
        <f ca="1">IF(PROVEEDORES[[#This Row],[FECHA DE PAGO]]=0,TODAY()-PROVEEDORES[[#This Row],[FECHA DE FACTURACIÓN]]-PROVEEDORES[[#This Row],[PLAZO Días]],0)</f>
        <v>0</v>
      </c>
      <c r="U539" s="113">
        <f>+VLOOKUP(PROVEEDORES[[#This Row],[PROVEEDOR]],Terceros!$A:$D,4,FALSE)</f>
        <v>0</v>
      </c>
      <c r="V539" s="114">
        <f>+YEAR(PROVEEDORES[[#This Row],[FECHA DE FACTURACIÓN]])</f>
        <v>2022</v>
      </c>
      <c r="W539" s="114">
        <f>+MATCH(PROVEEDORES[[#This Row],[año facturado]],Retenciones!$1:$1,0)</f>
        <v>5</v>
      </c>
      <c r="X539" s="115">
        <f>+VLOOKUP(PROVEEDORES[[#This Row],[ID RETENCION]],Retenciones!$A$1:$O$25,PROVEEDORES[[#This Row],[indicador de columna]],FALSE)</f>
        <v>0</v>
      </c>
      <c r="Y539" s="116">
        <f>+VLOOKUP(PROVEEDORES[[#This Row],[ID RETENCION]],Retenciones!$A$1:$O$25,2,FALSE)</f>
        <v>0</v>
      </c>
      <c r="Z539" s="125" t="b">
        <f>OR(COUNTIF(PROVEEDORES[[#This Row],[PROVEEDOR]],"*"&amp;'Palabra no opera'!$A$2&amp;"*"))</f>
        <v>0</v>
      </c>
      <c r="AA539" s="24"/>
      <c r="AB539" s="24"/>
      <c r="AC539" s="24"/>
      <c r="AD539" s="24"/>
      <c r="AE539" s="24"/>
    </row>
    <row r="540" spans="1:31" ht="22.2" customHeight="1" x14ac:dyDescent="0.3">
      <c r="A540" s="72" t="str">
        <f>+IF(PROVEEDORES[[#This Row],[FECHA DE PAGO]]=PROVEEDORES[[#This Row],[FECHA DE FACTURACIÓN]],"DE CONTADO","CRÉDITO")</f>
        <v>CRÉDITO</v>
      </c>
      <c r="B540" s="38" t="b">
        <f>+IF((PROVEEDORES[[#This Row],[FECHA DE PAGO]]-PROVEEDORES[[#This Row],[FECHA DE FACTURACIÓN]])&gt;PROVEEDORES[[#This Row],[PLAZO Días]],"PAGO VENCIDO")</f>
        <v>0</v>
      </c>
      <c r="C540" s="20">
        <f>+VLOOKUP(PROVEEDORES[[#This Row],[PROVEEDOR]],TERCEROS_INFO[#All],2,FALSE)</f>
        <v>60</v>
      </c>
      <c r="D540" s="25">
        <f>+SUMIFS(PROVEEDORES[Total],PROVEEDORES[PROVEEDOR],PROVEEDORES[[#This Row],[PROVEEDOR]],PROVEEDORES[FECHA DE PAGO],"")</f>
        <v>1520362</v>
      </c>
      <c r="E540" s="25"/>
      <c r="F54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40" s="161">
        <v>44870</v>
      </c>
      <c r="H540" s="26" t="s">
        <v>528</v>
      </c>
      <c r="I540" s="161">
        <v>44865</v>
      </c>
      <c r="J540" s="35">
        <v>1521</v>
      </c>
      <c r="K540" s="21">
        <v>324128</v>
      </c>
      <c r="L540" s="21"/>
      <c r="M540" s="22">
        <f>(PROVEEDORES[[#This Row],[SUBTOTAL]]-PROVEEDORES[[#This Row],[descuento sobre subtotal]])*VLOOKUP(PROVEEDORES[[#This Row],[PROVEEDOR]],TERCEROS_INFO[#All],3,FALSE)</f>
        <v>0</v>
      </c>
      <c r="N540" s="23"/>
      <c r="O540" s="22">
        <f>+PROVEEDORES[[#This Row],[Descuento sobre subtotal %]]*(PROVEEDORES[[#This Row],[SUBTOTAL]]-PROVEEDORES[[#This Row],[descuento sobre subtotal]])</f>
        <v>0</v>
      </c>
      <c r="P540" s="83">
        <f>+IF(PROVEEDORES[[#This Row],[SUBTOTAL]]&lt;PROVEEDORES[[#This Row],[base retencion]],0,PROVEEDORES[[#This Row],[retención aplicada]])</f>
        <v>0</v>
      </c>
      <c r="Q540" s="22">
        <f>+PROVEEDORES[[#This Row],[Rete Fuente %]]*(PROVEEDORES[[#This Row],[SUBTOTAL]]-PROVEEDORES[[#This Row],[descuento sobre subtotal]])</f>
        <v>0</v>
      </c>
      <c r="R540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54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68">
        <f ca="1">IF(PROVEEDORES[[#This Row],[FECHA DE PAGO]]=0,TODAY()-PROVEEDORES[[#This Row],[FECHA DE FACTURACIÓN]]-PROVEEDORES[[#This Row],[PLAZO Días]],0)</f>
        <v>0</v>
      </c>
      <c r="U540" s="113">
        <f>+VLOOKUP(PROVEEDORES[[#This Row],[PROVEEDOR]],Terceros!$A:$D,4,FALSE)</f>
        <v>0</v>
      </c>
      <c r="V540" s="114">
        <f>+YEAR(PROVEEDORES[[#This Row],[FECHA DE FACTURACIÓN]])</f>
        <v>2022</v>
      </c>
      <c r="W540" s="114">
        <f>+MATCH(PROVEEDORES[[#This Row],[año facturado]],Retenciones!$1:$1,0)</f>
        <v>5</v>
      </c>
      <c r="X540" s="115">
        <f>+VLOOKUP(PROVEEDORES[[#This Row],[ID RETENCION]],Retenciones!$A$1:$O$25,PROVEEDORES[[#This Row],[indicador de columna]],FALSE)</f>
        <v>0</v>
      </c>
      <c r="Y540" s="116">
        <f>+VLOOKUP(PROVEEDORES[[#This Row],[ID RETENCION]],Retenciones!$A$1:$O$25,2,FALSE)</f>
        <v>0</v>
      </c>
      <c r="Z540" s="125" t="b">
        <f>OR(COUNTIF(PROVEEDORES[[#This Row],[PROVEEDOR]],"*"&amp;'Palabra no opera'!$A$2&amp;"*"))</f>
        <v>0</v>
      </c>
      <c r="AA540" s="24"/>
      <c r="AB540" s="24"/>
      <c r="AC540" s="24"/>
      <c r="AD540" s="24"/>
      <c r="AE540" s="24"/>
    </row>
    <row r="541" spans="1:31" ht="22.2" customHeight="1" x14ac:dyDescent="0.3">
      <c r="A541" s="72" t="str">
        <f>+IF(PROVEEDORES[[#This Row],[FECHA DE PAGO]]=PROVEEDORES[[#This Row],[FECHA DE FACTURACIÓN]],"DE CONTADO","CRÉDITO")</f>
        <v>CRÉDITO</v>
      </c>
      <c r="B541" s="38" t="b">
        <f>+IF((PROVEEDORES[[#This Row],[FECHA DE PAGO]]-PROVEEDORES[[#This Row],[FECHA DE FACTURACIÓN]])&gt;PROVEEDORES[[#This Row],[PLAZO Días]],"PAGO VENCIDO")</f>
        <v>0</v>
      </c>
      <c r="C541" s="20">
        <f>+VLOOKUP(PROVEEDORES[[#This Row],[PROVEEDOR]],TERCEROS_INFO[#All],2,FALSE)</f>
        <v>60</v>
      </c>
      <c r="D541" s="25">
        <f>+SUMIFS(PROVEEDORES[Total],PROVEEDORES[PROVEEDOR],PROVEEDORES[[#This Row],[PROVEEDOR]],PROVEEDORES[FECHA DE PAGO],"")</f>
        <v>1520362</v>
      </c>
      <c r="E541" s="25"/>
      <c r="F541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41" s="161">
        <v>44870</v>
      </c>
      <c r="H541" s="26" t="s">
        <v>528</v>
      </c>
      <c r="I541" s="161">
        <v>44865</v>
      </c>
      <c r="J541" s="35">
        <v>1519</v>
      </c>
      <c r="K541" s="21">
        <v>324128</v>
      </c>
      <c r="L541" s="21"/>
      <c r="M541" s="22">
        <f>(PROVEEDORES[[#This Row],[SUBTOTAL]]-PROVEEDORES[[#This Row],[descuento sobre subtotal]])*VLOOKUP(PROVEEDORES[[#This Row],[PROVEEDOR]],TERCEROS_INFO[#All],3,FALSE)</f>
        <v>0</v>
      </c>
      <c r="N541" s="23"/>
      <c r="O541" s="22">
        <f>+PROVEEDORES[[#This Row],[Descuento sobre subtotal %]]*(PROVEEDORES[[#This Row],[SUBTOTAL]]-PROVEEDORES[[#This Row],[descuento sobre subtotal]])</f>
        <v>0</v>
      </c>
      <c r="P541" s="83">
        <f>+IF(PROVEEDORES[[#This Row],[SUBTOTAL]]&lt;PROVEEDORES[[#This Row],[base retencion]],0,PROVEEDORES[[#This Row],[retención aplicada]])</f>
        <v>0</v>
      </c>
      <c r="Q541" s="22">
        <f>+PROVEEDORES[[#This Row],[Rete Fuente %]]*(PROVEEDORES[[#This Row],[SUBTOTAL]]-PROVEEDORES[[#This Row],[descuento sobre subtotal]])</f>
        <v>0</v>
      </c>
      <c r="R541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54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68">
        <f ca="1">IF(PROVEEDORES[[#This Row],[FECHA DE PAGO]]=0,TODAY()-PROVEEDORES[[#This Row],[FECHA DE FACTURACIÓN]]-PROVEEDORES[[#This Row],[PLAZO Días]],0)</f>
        <v>0</v>
      </c>
      <c r="U541" s="113">
        <f>+VLOOKUP(PROVEEDORES[[#This Row],[PROVEEDOR]],Terceros!$A:$D,4,FALSE)</f>
        <v>0</v>
      </c>
      <c r="V541" s="114">
        <f>+YEAR(PROVEEDORES[[#This Row],[FECHA DE FACTURACIÓN]])</f>
        <v>2022</v>
      </c>
      <c r="W541" s="114">
        <f>+MATCH(PROVEEDORES[[#This Row],[año facturado]],Retenciones!$1:$1,0)</f>
        <v>5</v>
      </c>
      <c r="X541" s="115">
        <f>+VLOOKUP(PROVEEDORES[[#This Row],[ID RETENCION]],Retenciones!$A$1:$O$25,PROVEEDORES[[#This Row],[indicador de columna]],FALSE)</f>
        <v>0</v>
      </c>
      <c r="Y541" s="116">
        <f>+VLOOKUP(PROVEEDORES[[#This Row],[ID RETENCION]],Retenciones!$A$1:$O$25,2,FALSE)</f>
        <v>0</v>
      </c>
      <c r="Z541" s="125" t="b">
        <f>OR(COUNTIF(PROVEEDORES[[#This Row],[PROVEEDOR]],"*"&amp;'Palabra no opera'!$A$2&amp;"*"))</f>
        <v>0</v>
      </c>
      <c r="AA541" s="24"/>
      <c r="AB541" s="24"/>
      <c r="AC541" s="24"/>
      <c r="AD541" s="24"/>
      <c r="AE541" s="24"/>
    </row>
    <row r="542" spans="1:31" ht="22.2" customHeight="1" x14ac:dyDescent="0.3">
      <c r="A542" s="72" t="str">
        <f>+IF(PROVEEDORES[[#This Row],[FECHA DE PAGO]]=PROVEEDORES[[#This Row],[FECHA DE FACTURACIÓN]],"DE CONTADO","CRÉDITO")</f>
        <v>CRÉDITO</v>
      </c>
      <c r="B542" s="38" t="b">
        <f>+IF((PROVEEDORES[[#This Row],[FECHA DE PAGO]]-PROVEEDORES[[#This Row],[FECHA DE FACTURACIÓN]])&gt;PROVEEDORES[[#This Row],[PLAZO Días]],"PAGO VENCIDO")</f>
        <v>0</v>
      </c>
      <c r="C542" s="20">
        <f>+VLOOKUP(PROVEEDORES[[#This Row],[PROVEEDOR]],TERCEROS_INFO[#All],2,FALSE)</f>
        <v>30</v>
      </c>
      <c r="D542" s="25">
        <f>+SUMIFS(PROVEEDORES[Total],PROVEEDORES[PROVEEDOR],PROVEEDORES[[#This Row],[PROVEEDOR]],PROVEEDORES[FECHA DE PAGO],"")</f>
        <v>4024829</v>
      </c>
      <c r="E542" s="25"/>
      <c r="F54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42" s="161">
        <v>44845</v>
      </c>
      <c r="H542" s="26" t="s">
        <v>345</v>
      </c>
      <c r="I542" s="161">
        <v>44823</v>
      </c>
      <c r="J542" s="35" t="s">
        <v>1670</v>
      </c>
      <c r="K542" s="21">
        <v>324574</v>
      </c>
      <c r="L542" s="21"/>
      <c r="M542" s="22">
        <f>(PROVEEDORES[[#This Row],[SUBTOTAL]]-PROVEEDORES[[#This Row],[descuento sobre subtotal]])*VLOOKUP(PROVEEDORES[[#This Row],[PROVEEDOR]],TERCEROS_INFO[#All],3,FALSE)</f>
        <v>0</v>
      </c>
      <c r="N542" s="23"/>
      <c r="O542" s="22">
        <f>+PROVEEDORES[[#This Row],[Descuento sobre subtotal %]]*(PROVEEDORES[[#This Row],[SUBTOTAL]]-PROVEEDORES[[#This Row],[descuento sobre subtotal]])</f>
        <v>0</v>
      </c>
      <c r="P542" s="83">
        <f>+IF(PROVEEDORES[[#This Row],[SUBTOTAL]]&lt;PROVEEDORES[[#This Row],[base retencion]],0,PROVEEDORES[[#This Row],[retención aplicada]])</f>
        <v>0</v>
      </c>
      <c r="Q542" s="22">
        <f>+PROVEEDORES[[#This Row],[Rete Fuente %]]*(PROVEEDORES[[#This Row],[SUBTOTAL]]-PROVEEDORES[[#This Row],[descuento sobre subtotal]])</f>
        <v>0</v>
      </c>
      <c r="R542" s="21">
        <f>+PROVEEDORES[[#This Row],[SUBTOTAL]]+PROVEEDORES[[#This Row],[IVA 19%]]-PROVEEDORES[[#This Row],[descuento sobre subtotal]]-PROVEEDORES[[#This Row],[Descuento sobre subtotal $2]]-PROVEEDORES[[#This Row],[Rete Fuente $]]</f>
        <v>324574</v>
      </c>
      <c r="S54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68">
        <f ca="1">IF(PROVEEDORES[[#This Row],[FECHA DE PAGO]]=0,TODAY()-PROVEEDORES[[#This Row],[FECHA DE FACTURACIÓN]]-PROVEEDORES[[#This Row],[PLAZO Días]],0)</f>
        <v>0</v>
      </c>
      <c r="U542" s="113">
        <f>+VLOOKUP(PROVEEDORES[[#This Row],[PROVEEDOR]],Terceros!$A:$D,4,FALSE)</f>
        <v>0</v>
      </c>
      <c r="V542" s="114">
        <f>+YEAR(PROVEEDORES[[#This Row],[FECHA DE FACTURACIÓN]])</f>
        <v>2022</v>
      </c>
      <c r="W542" s="114">
        <f>+MATCH(PROVEEDORES[[#This Row],[año facturado]],Retenciones!$1:$1,0)</f>
        <v>5</v>
      </c>
      <c r="X542" s="115">
        <f>+VLOOKUP(PROVEEDORES[[#This Row],[ID RETENCION]],Retenciones!$A$1:$O$25,PROVEEDORES[[#This Row],[indicador de columna]],FALSE)</f>
        <v>0</v>
      </c>
      <c r="Y542" s="116">
        <f>+VLOOKUP(PROVEEDORES[[#This Row],[ID RETENCION]],Retenciones!$A$1:$O$25,2,FALSE)</f>
        <v>0</v>
      </c>
      <c r="Z542" s="125" t="b">
        <f>OR(COUNTIF(PROVEEDORES[[#This Row],[PROVEEDOR]],"*"&amp;'Palabra no opera'!$A$2&amp;"*"))</f>
        <v>0</v>
      </c>
      <c r="AA542" s="24"/>
      <c r="AB542" s="24"/>
      <c r="AC542" s="24"/>
      <c r="AD542" s="24"/>
      <c r="AE542" s="24"/>
    </row>
    <row r="543" spans="1:31" ht="22.2" customHeight="1" x14ac:dyDescent="0.3">
      <c r="A543" s="66" t="str">
        <f>+IF(PROVEEDORES[[#This Row],[FECHA DE PAGO]]=PROVEEDORES[[#This Row],[FECHA DE FACTURACIÓN]],"DE CONTADO","CRÉDITO")</f>
        <v>CRÉDITO</v>
      </c>
      <c r="B543" s="38" t="b">
        <f>+IF((PROVEEDORES[[#This Row],[FECHA DE PAGO]]-PROVEEDORES[[#This Row],[FECHA DE FACTURACIÓN]])&gt;PROVEEDORES[[#This Row],[PLAZO Días]],"PAGO VENCIDO")</f>
        <v>0</v>
      </c>
      <c r="C543" s="20">
        <f>+VLOOKUP(PROVEEDORES[[#This Row],[PROVEEDOR]],TERCEROS_INFO[#All],2,FALSE)</f>
        <v>30</v>
      </c>
      <c r="D543" s="25">
        <f>+SUMIFS(PROVEEDORES[Total],PROVEEDORES[PROVEEDOR],PROVEEDORES[[#This Row],[PROVEEDOR]],PROVEEDORES[FECHA DE PAGO],"")</f>
        <v>0</v>
      </c>
      <c r="E543" s="25"/>
      <c r="F543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543" s="161">
        <v>44483</v>
      </c>
      <c r="H543" s="26" t="s">
        <v>656</v>
      </c>
      <c r="I543" s="161">
        <v>44473</v>
      </c>
      <c r="J543" s="35" t="s">
        <v>1323</v>
      </c>
      <c r="K543" s="21">
        <v>325000</v>
      </c>
      <c r="L543" s="21"/>
      <c r="M543" s="22">
        <f>(PROVEEDORES[[#This Row],[SUBTOTAL]]-PROVEEDORES[[#This Row],[descuento sobre subtotal]])*VLOOKUP(PROVEEDORES[[#This Row],[PROVEEDOR]],TERCEROS_INFO[#All],3,FALSE)</f>
        <v>0</v>
      </c>
      <c r="N543" s="23"/>
      <c r="O543" s="22">
        <f>+PROVEEDORES[[#This Row],[Descuento sobre subtotal %]]*(PROVEEDORES[[#This Row],[SUBTOTAL]]-PROVEEDORES[[#This Row],[descuento sobre subtotal]])</f>
        <v>0</v>
      </c>
      <c r="P543" s="83">
        <f>+IF(PROVEEDORES[[#This Row],[SUBTOTAL]]&lt;PROVEEDORES[[#This Row],[base retencion]],0,PROVEEDORES[[#This Row],[retención aplicada]])</f>
        <v>0</v>
      </c>
      <c r="Q543" s="22">
        <f>+PROVEEDORES[[#This Row],[Rete Fuente %]]*(PROVEEDORES[[#This Row],[SUBTOTAL]]-PROVEEDORES[[#This Row],[descuento sobre subtotal]])</f>
        <v>0</v>
      </c>
      <c r="R543" s="21">
        <f>+PROVEEDORES[[#This Row],[SUBTOTAL]]+PROVEEDORES[[#This Row],[IVA 19%]]-PROVEEDORES[[#This Row],[descuento sobre subtotal]]-PROVEEDORES[[#This Row],[Descuento sobre subtotal $2]]-PROVEEDORES[[#This Row],[Rete Fuente $]]</f>
        <v>325000</v>
      </c>
      <c r="S5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68">
        <f ca="1">IF(PROVEEDORES[[#This Row],[FECHA DE PAGO]]=0,TODAY()-PROVEEDORES[[#This Row],[FECHA DE FACTURACIÓN]]-PROVEEDORES[[#This Row],[PLAZO Días]],0)</f>
        <v>0</v>
      </c>
      <c r="U543" s="96">
        <f>+VLOOKUP(PROVEEDORES[[#This Row],[PROVEEDOR]],Terceros!$A:$D,4,FALSE)</f>
        <v>0</v>
      </c>
      <c r="V543" s="97">
        <f>+YEAR(PROVEEDORES[[#This Row],[FECHA DE FACTURACIÓN]])</f>
        <v>2021</v>
      </c>
      <c r="W543" s="97">
        <f>+MATCH(PROVEEDORES[[#This Row],[año facturado]],Retenciones!$1:$1,0)</f>
        <v>4</v>
      </c>
      <c r="X543" s="98">
        <f>+VLOOKUP(PROVEEDORES[[#This Row],[ID RETENCION]],Retenciones!$A$1:$O$25,PROVEEDORES[[#This Row],[indicador de columna]],FALSE)</f>
        <v>0</v>
      </c>
      <c r="Y543" s="99">
        <f>+VLOOKUP(PROVEEDORES[[#This Row],[ID RETENCION]],Retenciones!$A$1:$O$25,2,FALSE)</f>
        <v>0</v>
      </c>
      <c r="Z543" s="125" t="b">
        <f>OR(COUNTIF(PROVEEDORES[[#This Row],[PROVEEDOR]],"*"&amp;'Palabra no opera'!$A$2&amp;"*"))</f>
        <v>0</v>
      </c>
      <c r="AA543" s="24"/>
      <c r="AB543" s="24"/>
      <c r="AC543" s="24"/>
      <c r="AD543" s="24"/>
      <c r="AE543" s="24"/>
    </row>
    <row r="544" spans="1:31" ht="22.2" customHeight="1" x14ac:dyDescent="0.3">
      <c r="A544" s="66" t="str">
        <f>+IF(PROVEEDORES[[#This Row],[FECHA DE PAGO]]=PROVEEDORES[[#This Row],[FECHA DE FACTURACIÓN]],"DE CONTADO","CRÉDITO")</f>
        <v>CRÉDITO</v>
      </c>
      <c r="B544" s="38" t="b">
        <f>+IF((PROVEEDORES[[#This Row],[FECHA DE PAGO]]-PROVEEDORES[[#This Row],[FECHA DE FACTURACIÓN]])&gt;PROVEEDORES[[#This Row],[PLAZO Días]],"PAGO VENCIDO")</f>
        <v>0</v>
      </c>
      <c r="C544" s="20">
        <f>+VLOOKUP(PROVEEDORES[[#This Row],[PROVEEDOR]],TERCEROS_INFO[#All],2,FALSE)</f>
        <v>30</v>
      </c>
      <c r="D544" s="25">
        <f>+SUMIFS(PROVEEDORES[Total],PROVEEDORES[PROVEEDOR],PROVEEDORES[[#This Row],[PROVEEDOR]],PROVEEDORES[FECHA DE PAGO],"")</f>
        <v>0</v>
      </c>
      <c r="E544" s="25"/>
      <c r="F544" s="58" t="str">
        <f>+VLOOKUP(PROVEEDORES[[#This Row],[PROVEEDOR]],
                       Terceros!$A:$F,
                       5,
                       FALSE)</f>
        <v>PSE</v>
      </c>
      <c r="G544" s="161">
        <v>44365</v>
      </c>
      <c r="H544" s="26" t="s">
        <v>935</v>
      </c>
      <c r="I544" s="161">
        <v>44348</v>
      </c>
      <c r="J544" s="35"/>
      <c r="K544" s="21">
        <v>326232</v>
      </c>
      <c r="L544" s="21"/>
      <c r="M544" s="22">
        <f>(PROVEEDORES[[#This Row],[SUBTOTAL]]-PROVEEDORES[[#This Row],[descuento sobre subtotal]])*VLOOKUP(PROVEEDORES[[#This Row],[PROVEEDOR]],TERCEROS_INFO[#All],3,FALSE)</f>
        <v>0</v>
      </c>
      <c r="N544" s="23"/>
      <c r="O544" s="22">
        <f>+PROVEEDORES[[#This Row],[Descuento sobre subtotal %]]*(PROVEEDORES[[#This Row],[SUBTOTAL]]-PROVEEDORES[[#This Row],[descuento sobre subtotal]])</f>
        <v>0</v>
      </c>
      <c r="P544" s="83">
        <f>+IF(PROVEEDORES[[#This Row],[SUBTOTAL]]&lt;PROVEEDORES[[#This Row],[base retencion]],0,PROVEEDORES[[#This Row],[retención aplicada]])</f>
        <v>0</v>
      </c>
      <c r="Q544" s="22">
        <f>+PROVEEDORES[[#This Row],[Rete Fuente %]]*(PROVEEDORES[[#This Row],[SUBTOTAL]]-PROVEEDORES[[#This Row],[descuento sobre subtotal]])</f>
        <v>0</v>
      </c>
      <c r="R544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68">
        <f ca="1">IF(PROVEEDORES[[#This Row],[FECHA DE PAGO]]=0,TODAY()-PROVEEDORES[[#This Row],[FECHA DE FACTURACIÓN]]-PROVEEDORES[[#This Row],[PLAZO Días]],0)</f>
        <v>0</v>
      </c>
      <c r="U544" s="96">
        <f>+VLOOKUP(PROVEEDORES[[#This Row],[PROVEEDOR]],Terceros!$A:$D,4,FALSE)</f>
        <v>0</v>
      </c>
      <c r="V544" s="97">
        <f>+YEAR(PROVEEDORES[[#This Row],[FECHA DE FACTURACIÓN]])</f>
        <v>2021</v>
      </c>
      <c r="W544" s="97">
        <f>+MATCH(PROVEEDORES[[#This Row],[año facturado]],Retenciones!$1:$1,0)</f>
        <v>4</v>
      </c>
      <c r="X544" s="98">
        <f>+VLOOKUP(PROVEEDORES[[#This Row],[ID RETENCION]],Retenciones!$A$1:$O$25,PROVEEDORES[[#This Row],[indicador de columna]],FALSE)</f>
        <v>0</v>
      </c>
      <c r="Y544" s="99">
        <f>+VLOOKUP(PROVEEDORES[[#This Row],[ID RETENCION]],Retenciones!$A$1:$O$25,2,FALSE)</f>
        <v>0</v>
      </c>
      <c r="Z544" s="125" t="b">
        <f>OR(COUNTIF(PROVEEDORES[[#This Row],[PROVEEDOR]],"*"&amp;'Palabra no opera'!$A$2&amp;"*"))</f>
        <v>1</v>
      </c>
      <c r="AA544" s="24"/>
      <c r="AB544" s="24"/>
      <c r="AC544" s="24"/>
      <c r="AD544" s="24"/>
      <c r="AE544" s="24"/>
    </row>
    <row r="545" spans="1:31" ht="22.2" customHeight="1" x14ac:dyDescent="0.3">
      <c r="A545" s="66" t="str">
        <f>+IF(PROVEEDORES[[#This Row],[FECHA DE PAGO]]=PROVEEDORES[[#This Row],[FECHA DE FACTURACIÓN]],"DE CONTADO","CRÉDITO")</f>
        <v>CRÉDITO</v>
      </c>
      <c r="B545" s="38" t="b">
        <f>+IF((PROVEEDORES[[#This Row],[FECHA DE PAGO]]-PROVEEDORES[[#This Row],[FECHA DE FACTURACIÓN]])&gt;PROVEEDORES[[#This Row],[PLAZO Días]],"PAGO VENCIDO")</f>
        <v>0</v>
      </c>
      <c r="C545" s="20">
        <f>+VLOOKUP(PROVEEDORES[[#This Row],[PROVEEDOR]],TERCEROS_INFO[#All],2,FALSE)</f>
        <v>30</v>
      </c>
      <c r="D545" s="25">
        <f>+SUMIFS(PROVEEDORES[Total],PROVEEDORES[PROVEEDOR],PROVEEDORES[[#This Row],[PROVEEDOR]],PROVEEDORES[FECHA DE PAGO],"")</f>
        <v>0</v>
      </c>
      <c r="E545" s="25"/>
      <c r="F545" s="58" t="str">
        <f>+VLOOKUP(PROVEEDORES[[#This Row],[PROVEEDOR]],
                       Terceros!$A:$F,
                       5,
                       FALSE)</f>
        <v>PSE</v>
      </c>
      <c r="G545" s="161">
        <v>44399</v>
      </c>
      <c r="H545" s="26" t="s">
        <v>935</v>
      </c>
      <c r="I545" s="161">
        <v>44378</v>
      </c>
      <c r="J545" s="35"/>
      <c r="K545" s="21">
        <v>326232</v>
      </c>
      <c r="L545" s="21"/>
      <c r="M545" s="22">
        <f>(PROVEEDORES[[#This Row],[SUBTOTAL]]-PROVEEDORES[[#This Row],[descuento sobre subtotal]])*VLOOKUP(PROVEEDORES[[#This Row],[PROVEEDOR]],TERCEROS_INFO[#All],3,FALSE)</f>
        <v>0</v>
      </c>
      <c r="N545" s="23"/>
      <c r="O545" s="22">
        <f>+PROVEEDORES[[#This Row],[Descuento sobre subtotal %]]*(PROVEEDORES[[#This Row],[SUBTOTAL]]-PROVEEDORES[[#This Row],[descuento sobre subtotal]])</f>
        <v>0</v>
      </c>
      <c r="P545" s="83">
        <f>+IF(PROVEEDORES[[#This Row],[SUBTOTAL]]&lt;PROVEEDORES[[#This Row],[base retencion]],0,PROVEEDORES[[#This Row],[retención aplicada]])</f>
        <v>0</v>
      </c>
      <c r="Q545" s="22">
        <f>+PROVEEDORES[[#This Row],[Rete Fuente %]]*(PROVEEDORES[[#This Row],[SUBTOTAL]]-PROVEEDORES[[#This Row],[descuento sobre subtotal]])</f>
        <v>0</v>
      </c>
      <c r="R545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68">
        <f ca="1">IF(PROVEEDORES[[#This Row],[FECHA DE PAGO]]=0,TODAY()-PROVEEDORES[[#This Row],[FECHA DE FACTURACIÓN]]-PROVEEDORES[[#This Row],[PLAZO Días]],0)</f>
        <v>0</v>
      </c>
      <c r="U545" s="96">
        <f>+VLOOKUP(PROVEEDORES[[#This Row],[PROVEEDOR]],Terceros!$A:$D,4,FALSE)</f>
        <v>0</v>
      </c>
      <c r="V545" s="97">
        <f>+YEAR(PROVEEDORES[[#This Row],[FECHA DE FACTURACIÓN]])</f>
        <v>2021</v>
      </c>
      <c r="W545" s="97">
        <f>+MATCH(PROVEEDORES[[#This Row],[año facturado]],Retenciones!$1:$1,0)</f>
        <v>4</v>
      </c>
      <c r="X545" s="98">
        <f>+VLOOKUP(PROVEEDORES[[#This Row],[ID RETENCION]],Retenciones!$A$1:$O$25,PROVEEDORES[[#This Row],[indicador de columna]],FALSE)</f>
        <v>0</v>
      </c>
      <c r="Y545" s="99">
        <f>+VLOOKUP(PROVEEDORES[[#This Row],[ID RETENCION]],Retenciones!$A$1:$O$25,2,FALSE)</f>
        <v>0</v>
      </c>
      <c r="Z545" s="125" t="b">
        <f>OR(COUNTIF(PROVEEDORES[[#This Row],[PROVEEDOR]],"*"&amp;'Palabra no opera'!$A$2&amp;"*"))</f>
        <v>1</v>
      </c>
      <c r="AA545" s="24"/>
      <c r="AB545" s="24"/>
      <c r="AC545" s="24"/>
      <c r="AD545" s="24"/>
      <c r="AE545" s="24"/>
    </row>
    <row r="546" spans="1:31" ht="22.2" customHeight="1" x14ac:dyDescent="0.3">
      <c r="A546" s="66" t="str">
        <f>+IF(PROVEEDORES[[#This Row],[FECHA DE PAGO]]=PROVEEDORES[[#This Row],[FECHA DE FACTURACIÓN]],"DE CONTADO","CRÉDITO")</f>
        <v>CRÉDITO</v>
      </c>
      <c r="B546" s="38" t="b">
        <f>+IF((PROVEEDORES[[#This Row],[FECHA DE PAGO]]-PROVEEDORES[[#This Row],[FECHA DE FACTURACIÓN]])&gt;PROVEEDORES[[#This Row],[PLAZO Días]],"PAGO VENCIDO")</f>
        <v>0</v>
      </c>
      <c r="C546" s="20">
        <f>+VLOOKUP(PROVEEDORES[[#This Row],[PROVEEDOR]],TERCEROS_INFO[#All],2,FALSE)</f>
        <v>30</v>
      </c>
      <c r="D546" s="25">
        <f>+SUMIFS(PROVEEDORES[Total],PROVEEDORES[PROVEEDOR],PROVEEDORES[[#This Row],[PROVEEDOR]],PROVEEDORES[FECHA DE PAGO],"")</f>
        <v>0</v>
      </c>
      <c r="E546" s="25"/>
      <c r="F546" s="58" t="str">
        <f>+VLOOKUP(PROVEEDORES[[#This Row],[PROVEEDOR]],
                       Terceros!$A:$F,
                       5,
                       FALSE)</f>
        <v>PSE</v>
      </c>
      <c r="G546" s="161">
        <v>44425</v>
      </c>
      <c r="H546" s="26" t="s">
        <v>935</v>
      </c>
      <c r="I546" s="161">
        <v>44409</v>
      </c>
      <c r="J546" s="35"/>
      <c r="K546" s="21">
        <v>326232</v>
      </c>
      <c r="L546" s="21"/>
      <c r="M546" s="22">
        <f>(PROVEEDORES[[#This Row],[SUBTOTAL]]-PROVEEDORES[[#This Row],[descuento sobre subtotal]])*VLOOKUP(PROVEEDORES[[#This Row],[PROVEEDOR]],TERCEROS_INFO[#All],3,FALSE)</f>
        <v>0</v>
      </c>
      <c r="N546" s="23"/>
      <c r="O546" s="22">
        <f>+PROVEEDORES[[#This Row],[Descuento sobre subtotal %]]*(PROVEEDORES[[#This Row],[SUBTOTAL]]-PROVEEDORES[[#This Row],[descuento sobre subtotal]])</f>
        <v>0</v>
      </c>
      <c r="P546" s="83">
        <f>+IF(PROVEEDORES[[#This Row],[SUBTOTAL]]&lt;PROVEEDORES[[#This Row],[base retencion]],0,PROVEEDORES[[#This Row],[retención aplicada]])</f>
        <v>0</v>
      </c>
      <c r="Q546" s="22">
        <f>+PROVEEDORES[[#This Row],[Rete Fuente %]]*(PROVEEDORES[[#This Row],[SUBTOTAL]]-PROVEEDORES[[#This Row],[descuento sobre subtotal]])</f>
        <v>0</v>
      </c>
      <c r="R546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68">
        <f ca="1">IF(PROVEEDORES[[#This Row],[FECHA DE PAGO]]=0,TODAY()-PROVEEDORES[[#This Row],[FECHA DE FACTURACIÓN]]-PROVEEDORES[[#This Row],[PLAZO Días]],0)</f>
        <v>0</v>
      </c>
      <c r="U546" s="96">
        <f>+VLOOKUP(PROVEEDORES[[#This Row],[PROVEEDOR]],Terceros!$A:$D,4,FALSE)</f>
        <v>0</v>
      </c>
      <c r="V546" s="97">
        <f>+YEAR(PROVEEDORES[[#This Row],[FECHA DE FACTURACIÓN]])</f>
        <v>2021</v>
      </c>
      <c r="W546" s="97">
        <f>+MATCH(PROVEEDORES[[#This Row],[año facturado]],Retenciones!$1:$1,0)</f>
        <v>4</v>
      </c>
      <c r="X546" s="98">
        <f>+VLOOKUP(PROVEEDORES[[#This Row],[ID RETENCION]],Retenciones!$A$1:$O$25,PROVEEDORES[[#This Row],[indicador de columna]],FALSE)</f>
        <v>0</v>
      </c>
      <c r="Y546" s="99">
        <f>+VLOOKUP(PROVEEDORES[[#This Row],[ID RETENCION]],Retenciones!$A$1:$O$25,2,FALSE)</f>
        <v>0</v>
      </c>
      <c r="Z546" s="125" t="b">
        <f>OR(COUNTIF(PROVEEDORES[[#This Row],[PROVEEDOR]],"*"&amp;'Palabra no opera'!$A$2&amp;"*"))</f>
        <v>1</v>
      </c>
      <c r="AA546" s="24"/>
      <c r="AB546" s="24"/>
      <c r="AC546" s="24"/>
      <c r="AD546" s="24"/>
      <c r="AE546" s="24"/>
    </row>
    <row r="547" spans="1:31" ht="22.2" customHeight="1" x14ac:dyDescent="0.3">
      <c r="A547" s="66" t="str">
        <f>+IF(PROVEEDORES[[#This Row],[FECHA DE PAGO]]=PROVEEDORES[[#This Row],[FECHA DE FACTURACIÓN]],"DE CONTADO","CRÉDITO")</f>
        <v>CRÉDITO</v>
      </c>
      <c r="B547" s="38" t="b">
        <f>+IF((PROVEEDORES[[#This Row],[FECHA DE PAGO]]-PROVEEDORES[[#This Row],[FECHA DE FACTURACIÓN]])&gt;PROVEEDORES[[#This Row],[PLAZO Días]],"PAGO VENCIDO")</f>
        <v>0</v>
      </c>
      <c r="C547" s="20">
        <f>+VLOOKUP(PROVEEDORES[[#This Row],[PROVEEDOR]],TERCEROS_INFO[#All],2,FALSE)</f>
        <v>30</v>
      </c>
      <c r="D547" s="25">
        <f>+SUMIFS(PROVEEDORES[Total],PROVEEDORES[PROVEEDOR],PROVEEDORES[[#This Row],[PROVEEDOR]],PROVEEDORES[FECHA DE PAGO],"")</f>
        <v>0</v>
      </c>
      <c r="E547" s="25"/>
      <c r="F547" s="58" t="str">
        <f>+VLOOKUP(PROVEEDORES[[#This Row],[PROVEEDOR]],
                       Terceros!$A:$F,
                       5,
                       FALSE)</f>
        <v>PSE</v>
      </c>
      <c r="G547" s="161">
        <v>44456</v>
      </c>
      <c r="H547" s="26" t="s">
        <v>935</v>
      </c>
      <c r="I547" s="161">
        <v>44440</v>
      </c>
      <c r="J547" s="35"/>
      <c r="K547" s="21">
        <v>326232</v>
      </c>
      <c r="L547" s="21"/>
      <c r="M547" s="22">
        <f>(PROVEEDORES[[#This Row],[SUBTOTAL]]-PROVEEDORES[[#This Row],[descuento sobre subtotal]])*VLOOKUP(PROVEEDORES[[#This Row],[PROVEEDOR]],TERCEROS_INFO[#All],3,FALSE)</f>
        <v>0</v>
      </c>
      <c r="N547" s="23"/>
      <c r="O547" s="22">
        <f>+PROVEEDORES[[#This Row],[Descuento sobre subtotal %]]*(PROVEEDORES[[#This Row],[SUBTOTAL]]-PROVEEDORES[[#This Row],[descuento sobre subtotal]])</f>
        <v>0</v>
      </c>
      <c r="P547" s="83">
        <f>+IF(PROVEEDORES[[#This Row],[SUBTOTAL]]&lt;PROVEEDORES[[#This Row],[base retencion]],0,PROVEEDORES[[#This Row],[retención aplicada]])</f>
        <v>0</v>
      </c>
      <c r="Q547" s="22">
        <f>+PROVEEDORES[[#This Row],[Rete Fuente %]]*(PROVEEDORES[[#This Row],[SUBTOTAL]]-PROVEEDORES[[#This Row],[descuento sobre subtotal]])</f>
        <v>0</v>
      </c>
      <c r="R547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68">
        <f ca="1">IF(PROVEEDORES[[#This Row],[FECHA DE PAGO]]=0,TODAY()-PROVEEDORES[[#This Row],[FECHA DE FACTURACIÓN]]-PROVEEDORES[[#This Row],[PLAZO Días]],0)</f>
        <v>0</v>
      </c>
      <c r="U547" s="96">
        <f>+VLOOKUP(PROVEEDORES[[#This Row],[PROVEEDOR]],Terceros!$A:$D,4,FALSE)</f>
        <v>0</v>
      </c>
      <c r="V547" s="97">
        <f>+YEAR(PROVEEDORES[[#This Row],[FECHA DE FACTURACIÓN]])</f>
        <v>2021</v>
      </c>
      <c r="W547" s="97">
        <f>+MATCH(PROVEEDORES[[#This Row],[año facturado]],Retenciones!$1:$1,0)</f>
        <v>4</v>
      </c>
      <c r="X547" s="98">
        <f>+VLOOKUP(PROVEEDORES[[#This Row],[ID RETENCION]],Retenciones!$A$1:$O$25,PROVEEDORES[[#This Row],[indicador de columna]],FALSE)</f>
        <v>0</v>
      </c>
      <c r="Y547" s="99">
        <f>+VLOOKUP(PROVEEDORES[[#This Row],[ID RETENCION]],Retenciones!$A$1:$O$25,2,FALSE)</f>
        <v>0</v>
      </c>
      <c r="Z547" s="125" t="b">
        <f>OR(COUNTIF(PROVEEDORES[[#This Row],[PROVEEDOR]],"*"&amp;'Palabra no opera'!$A$2&amp;"*"))</f>
        <v>1</v>
      </c>
      <c r="AA547" s="24"/>
      <c r="AB547" s="24"/>
      <c r="AC547" s="24"/>
      <c r="AD547" s="24"/>
      <c r="AE547" s="24"/>
    </row>
    <row r="548" spans="1:31" ht="22.2" customHeight="1" x14ac:dyDescent="0.3">
      <c r="A548" s="66" t="str">
        <f>+IF(PROVEEDORES[[#This Row],[FECHA DE PAGO]]=PROVEEDORES[[#This Row],[FECHA DE FACTURACIÓN]],"DE CONTADO","CRÉDITO")</f>
        <v>CRÉDITO</v>
      </c>
      <c r="B548" s="38" t="b">
        <f>+IF((PROVEEDORES[[#This Row],[FECHA DE PAGO]]-PROVEEDORES[[#This Row],[FECHA DE FACTURACIÓN]])&gt;PROVEEDORES[[#This Row],[PLAZO Días]],"PAGO VENCIDO")</f>
        <v>0</v>
      </c>
      <c r="C548" s="20">
        <f>+VLOOKUP(PROVEEDORES[[#This Row],[PROVEEDOR]],TERCEROS_INFO[#All],2,FALSE)</f>
        <v>30</v>
      </c>
      <c r="D548" s="25">
        <f>+SUMIFS(PROVEEDORES[Total],PROVEEDORES[PROVEEDOR],PROVEEDORES[[#This Row],[PROVEEDOR]],PROVEEDORES[FECHA DE PAGO],"")</f>
        <v>0</v>
      </c>
      <c r="E548" s="25"/>
      <c r="F548" s="58" t="str">
        <f>+VLOOKUP(PROVEEDORES[[#This Row],[PROVEEDOR]],
                       Terceros!$A:$F,
                       5,
                       FALSE)</f>
        <v>PSE</v>
      </c>
      <c r="G548" s="161">
        <v>44516</v>
      </c>
      <c r="H548" s="26" t="s">
        <v>935</v>
      </c>
      <c r="I548" s="161">
        <v>44501</v>
      </c>
      <c r="J548" s="35"/>
      <c r="K548" s="21">
        <v>326243</v>
      </c>
      <c r="L548" s="21"/>
      <c r="M548" s="22">
        <f>(PROVEEDORES[[#This Row],[SUBTOTAL]]-PROVEEDORES[[#This Row],[descuento sobre subtotal]])*VLOOKUP(PROVEEDORES[[#This Row],[PROVEEDOR]],TERCEROS_INFO[#All],3,FALSE)</f>
        <v>0</v>
      </c>
      <c r="N548" s="23"/>
      <c r="O548" s="22">
        <f>+PROVEEDORES[[#This Row],[Descuento sobre subtotal %]]*(PROVEEDORES[[#This Row],[SUBTOTAL]]-PROVEEDORES[[#This Row],[descuento sobre subtotal]])</f>
        <v>0</v>
      </c>
      <c r="P548" s="83">
        <f>+IF(PROVEEDORES[[#This Row],[SUBTOTAL]]&lt;PROVEEDORES[[#This Row],[base retencion]],0,PROVEEDORES[[#This Row],[retención aplicada]])</f>
        <v>0</v>
      </c>
      <c r="Q548" s="22">
        <f>+PROVEEDORES[[#This Row],[Rete Fuente %]]*(PROVEEDORES[[#This Row],[SUBTOTAL]]-PROVEEDORES[[#This Row],[descuento sobre subtotal]])</f>
        <v>0</v>
      </c>
      <c r="R548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68">
        <f ca="1">IF(PROVEEDORES[[#This Row],[FECHA DE PAGO]]=0,TODAY()-PROVEEDORES[[#This Row],[FECHA DE FACTURACIÓN]]-PROVEEDORES[[#This Row],[PLAZO Días]],0)</f>
        <v>0</v>
      </c>
      <c r="U548" s="96">
        <f>+VLOOKUP(PROVEEDORES[[#This Row],[PROVEEDOR]],Terceros!$A:$D,4,FALSE)</f>
        <v>0</v>
      </c>
      <c r="V548" s="97">
        <f>+YEAR(PROVEEDORES[[#This Row],[FECHA DE FACTURACIÓN]])</f>
        <v>2021</v>
      </c>
      <c r="W548" s="97">
        <f>+MATCH(PROVEEDORES[[#This Row],[año facturado]],Retenciones!$1:$1,0)</f>
        <v>4</v>
      </c>
      <c r="X548" s="98">
        <f>+VLOOKUP(PROVEEDORES[[#This Row],[ID RETENCION]],Retenciones!$A$1:$O$25,PROVEEDORES[[#This Row],[indicador de columna]],FALSE)</f>
        <v>0</v>
      </c>
      <c r="Y548" s="99">
        <f>+VLOOKUP(PROVEEDORES[[#This Row],[ID RETENCION]],Retenciones!$A$1:$O$25,2,FALSE)</f>
        <v>0</v>
      </c>
      <c r="Z548" s="125" t="b">
        <f>OR(COUNTIF(PROVEEDORES[[#This Row],[PROVEEDOR]],"*"&amp;'Palabra no opera'!$A$2&amp;"*"))</f>
        <v>1</v>
      </c>
      <c r="AA548" s="24"/>
      <c r="AB548" s="24"/>
      <c r="AC548" s="24"/>
      <c r="AD548" s="24"/>
      <c r="AE548" s="24"/>
    </row>
    <row r="549" spans="1:31" ht="22.2" customHeight="1" x14ac:dyDescent="0.3">
      <c r="A549" s="66" t="str">
        <f>+IF(PROVEEDORES[[#This Row],[FECHA DE PAGO]]=PROVEEDORES[[#This Row],[FECHA DE FACTURACIÓN]],"DE CONTADO","CRÉDITO")</f>
        <v>CRÉDITO</v>
      </c>
      <c r="B549" s="38" t="b">
        <f>+IF((PROVEEDORES[[#This Row],[FECHA DE PAGO]]-PROVEEDORES[[#This Row],[FECHA DE FACTURACIÓN]])&gt;PROVEEDORES[[#This Row],[PLAZO Días]],"PAGO VENCIDO")</f>
        <v>0</v>
      </c>
      <c r="C549" s="20">
        <f>+VLOOKUP(PROVEEDORES[[#This Row],[PROVEEDOR]],TERCEROS_INFO[#All],2,FALSE)</f>
        <v>30</v>
      </c>
      <c r="D549" s="25">
        <f>+SUMIFS(PROVEEDORES[Total],PROVEEDORES[PROVEEDOR],PROVEEDORES[[#This Row],[PROVEEDOR]],PROVEEDORES[FECHA DE PAGO],"")</f>
        <v>0</v>
      </c>
      <c r="E549" s="25"/>
      <c r="F549" s="58" t="str">
        <f>+VLOOKUP(PROVEEDORES[[#This Row],[PROVEEDOR]],
                       Terceros!$A:$F,
                       5,
                       FALSE)</f>
        <v>PSE</v>
      </c>
      <c r="G549" s="161">
        <v>44554</v>
      </c>
      <c r="H549" s="26" t="s">
        <v>935</v>
      </c>
      <c r="I549" s="161">
        <v>44531</v>
      </c>
      <c r="J549" s="35"/>
      <c r="K549" s="21">
        <v>326243</v>
      </c>
      <c r="L549" s="21"/>
      <c r="M549" s="22">
        <f>(PROVEEDORES[[#This Row],[SUBTOTAL]]-PROVEEDORES[[#This Row],[descuento sobre subtotal]])*VLOOKUP(PROVEEDORES[[#This Row],[PROVEEDOR]],TERCEROS_INFO[#All],3,FALSE)</f>
        <v>0</v>
      </c>
      <c r="N549" s="23"/>
      <c r="O549" s="22">
        <f>+PROVEEDORES[[#This Row],[Descuento sobre subtotal %]]*(PROVEEDORES[[#This Row],[SUBTOTAL]]-PROVEEDORES[[#This Row],[descuento sobre subtotal]])</f>
        <v>0</v>
      </c>
      <c r="P549" s="83">
        <f>+IF(PROVEEDORES[[#This Row],[SUBTOTAL]]&lt;PROVEEDORES[[#This Row],[base retencion]],0,PROVEEDORES[[#This Row],[retención aplicada]])</f>
        <v>0</v>
      </c>
      <c r="Q549" s="22">
        <f>+PROVEEDORES[[#This Row],[Rete Fuente %]]*(PROVEEDORES[[#This Row],[SUBTOTAL]]-PROVEEDORES[[#This Row],[descuento sobre subtotal]])</f>
        <v>0</v>
      </c>
      <c r="R549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68">
        <f ca="1">IF(PROVEEDORES[[#This Row],[FECHA DE PAGO]]=0,TODAY()-PROVEEDORES[[#This Row],[FECHA DE FACTURACIÓN]]-PROVEEDORES[[#This Row],[PLAZO Días]],0)</f>
        <v>0</v>
      </c>
      <c r="U549" s="96">
        <f>+VLOOKUP(PROVEEDORES[[#This Row],[PROVEEDOR]],Terceros!$A:$D,4,FALSE)</f>
        <v>0</v>
      </c>
      <c r="V549" s="97">
        <f>+YEAR(PROVEEDORES[[#This Row],[FECHA DE FACTURACIÓN]])</f>
        <v>2021</v>
      </c>
      <c r="W549" s="97">
        <f>+MATCH(PROVEEDORES[[#This Row],[año facturado]],Retenciones!$1:$1,0)</f>
        <v>4</v>
      </c>
      <c r="X549" s="98">
        <f>+VLOOKUP(PROVEEDORES[[#This Row],[ID RETENCION]],Retenciones!$A$1:$O$25,PROVEEDORES[[#This Row],[indicador de columna]],FALSE)</f>
        <v>0</v>
      </c>
      <c r="Y549" s="99">
        <f>+VLOOKUP(PROVEEDORES[[#This Row],[ID RETENCION]],Retenciones!$A$1:$O$25,2,FALSE)</f>
        <v>0</v>
      </c>
      <c r="Z549" s="125" t="b">
        <f>OR(COUNTIF(PROVEEDORES[[#This Row],[PROVEEDOR]],"*"&amp;'Palabra no opera'!$A$2&amp;"*"))</f>
        <v>1</v>
      </c>
      <c r="AA549" s="24"/>
      <c r="AB549" s="24"/>
      <c r="AC549" s="24"/>
      <c r="AD549" s="24"/>
      <c r="AE549" s="24"/>
    </row>
    <row r="550" spans="1:31" ht="22.2" customHeight="1" x14ac:dyDescent="0.3">
      <c r="A550" s="66" t="str">
        <f>+IF(PROVEEDORES[[#This Row],[FECHA DE PAGO]]=PROVEEDORES[[#This Row],[FECHA DE FACTURACIÓN]],"DE CONTADO","CRÉDITO")</f>
        <v>CRÉDITO</v>
      </c>
      <c r="B550" s="38" t="b">
        <f>+IF((PROVEEDORES[[#This Row],[FECHA DE PAGO]]-PROVEEDORES[[#This Row],[FECHA DE FACTURACIÓN]])&gt;PROVEEDORES[[#This Row],[PLAZO Días]],"PAGO VENCIDO")</f>
        <v>0</v>
      </c>
      <c r="C550" s="20">
        <f>+VLOOKUP(PROVEEDORES[[#This Row],[PROVEEDOR]],TERCEROS_INFO[#All],2,FALSE)</f>
        <v>30</v>
      </c>
      <c r="D550" s="25">
        <f>+SUMIFS(PROVEEDORES[Total],PROVEEDORES[PROVEEDOR],PROVEEDORES[[#This Row],[PROVEEDOR]],PROVEEDORES[FECHA DE PAGO],"")</f>
        <v>0</v>
      </c>
      <c r="E550" s="25"/>
      <c r="F550" s="58" t="str">
        <f>+VLOOKUP(PROVEEDORES[[#This Row],[PROVEEDOR]],
                       Terceros!$A:$F,
                       5,
                       FALSE)</f>
        <v>PSE</v>
      </c>
      <c r="G550" s="161">
        <v>44607</v>
      </c>
      <c r="H550" s="26" t="s">
        <v>935</v>
      </c>
      <c r="I550" s="161">
        <v>44593</v>
      </c>
      <c r="J550" s="35"/>
      <c r="K550" s="21">
        <v>326243</v>
      </c>
      <c r="L550" s="21"/>
      <c r="M550" s="22">
        <f>(PROVEEDORES[[#This Row],[SUBTOTAL]]-PROVEEDORES[[#This Row],[descuento sobre subtotal]])*VLOOKUP(PROVEEDORES[[#This Row],[PROVEEDOR]],TERCEROS_INFO[#All],3,FALSE)</f>
        <v>0</v>
      </c>
      <c r="N550" s="23"/>
      <c r="O550" s="22">
        <f>+PROVEEDORES[[#This Row],[Descuento sobre subtotal %]]*(PROVEEDORES[[#This Row],[SUBTOTAL]]-PROVEEDORES[[#This Row],[descuento sobre subtotal]])</f>
        <v>0</v>
      </c>
      <c r="P550" s="83">
        <f>+IF(PROVEEDORES[[#This Row],[SUBTOTAL]]&lt;PROVEEDORES[[#This Row],[base retencion]],0,PROVEEDORES[[#This Row],[retención aplicada]])</f>
        <v>0</v>
      </c>
      <c r="Q550" s="22">
        <f>+PROVEEDORES[[#This Row],[Rete Fuente %]]*(PROVEEDORES[[#This Row],[SUBTOTAL]]-PROVEEDORES[[#This Row],[descuento sobre subtotal]])</f>
        <v>0</v>
      </c>
      <c r="R550" s="21">
        <v>326243</v>
      </c>
      <c r="S5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0" s="68">
        <f ca="1">IF(PROVEEDORES[[#This Row],[FECHA DE PAGO]]=0,TODAY()-PROVEEDORES[[#This Row],[FECHA DE FACTURACIÓN]]-PROVEEDORES[[#This Row],[PLAZO Días]],0)</f>
        <v>0</v>
      </c>
      <c r="U550" s="96">
        <f>+VLOOKUP(PROVEEDORES[[#This Row],[PROVEEDOR]],Terceros!$A:$D,4,FALSE)</f>
        <v>0</v>
      </c>
      <c r="V550" s="97">
        <f>+YEAR(PROVEEDORES[[#This Row],[FECHA DE FACTURACIÓN]])</f>
        <v>2022</v>
      </c>
      <c r="W550" s="97">
        <f>+MATCH(PROVEEDORES[[#This Row],[año facturado]],Retenciones!$1:$1,0)</f>
        <v>5</v>
      </c>
      <c r="X550" s="98">
        <f>+VLOOKUP(PROVEEDORES[[#This Row],[ID RETENCION]],Retenciones!$A$1:$O$25,PROVEEDORES[[#This Row],[indicador de columna]],FALSE)</f>
        <v>0</v>
      </c>
      <c r="Y550" s="99">
        <f>+VLOOKUP(PROVEEDORES[[#This Row],[ID RETENCION]],Retenciones!$A$1:$O$25,2,FALSE)</f>
        <v>0</v>
      </c>
      <c r="Z550" s="125" t="b">
        <f>OR(COUNTIF(PROVEEDORES[[#This Row],[PROVEEDOR]],"*"&amp;'Palabra no opera'!$A$2&amp;"*"))</f>
        <v>1</v>
      </c>
      <c r="AA550" s="24"/>
      <c r="AB550" s="24"/>
      <c r="AC550" s="24"/>
      <c r="AD550" s="24"/>
      <c r="AE550" s="24"/>
    </row>
    <row r="551" spans="1:31" ht="22.2" customHeight="1" x14ac:dyDescent="0.3">
      <c r="A551" s="66" t="str">
        <f>+IF(PROVEEDORES[[#This Row],[FECHA DE PAGO]]=PROVEEDORES[[#This Row],[FECHA DE FACTURACIÓN]],"DE CONTADO","CRÉDITO")</f>
        <v>CRÉDITO</v>
      </c>
      <c r="B551" s="38" t="b">
        <f>+IF((PROVEEDORES[[#This Row],[FECHA DE PAGO]]-PROVEEDORES[[#This Row],[FECHA DE FACTURACIÓN]])&gt;PROVEEDORES[[#This Row],[PLAZO Días]],"PAGO VENCIDO")</f>
        <v>0</v>
      </c>
      <c r="C551" s="20">
        <f>+VLOOKUP(PROVEEDORES[[#This Row],[PROVEEDOR]],TERCEROS_INFO[#All],2,FALSE)</f>
        <v>30</v>
      </c>
      <c r="D551" s="25">
        <f>+SUMIFS(PROVEEDORES[Total],PROVEEDORES[PROVEEDOR],PROVEEDORES[[#This Row],[PROVEEDOR]],PROVEEDORES[FECHA DE PAGO],"")</f>
        <v>0</v>
      </c>
      <c r="E551" s="25"/>
      <c r="F551" s="58" t="str">
        <f>+VLOOKUP(PROVEEDORES[[#This Row],[PROVEEDOR]],
                       Terceros!$A:$F,
                       5,
                       FALSE)</f>
        <v>PSE</v>
      </c>
      <c r="G551" s="161">
        <v>44638</v>
      </c>
      <c r="H551" s="26" t="s">
        <v>935</v>
      </c>
      <c r="I551" s="161">
        <v>44621</v>
      </c>
      <c r="J551" s="35"/>
      <c r="K551" s="21">
        <v>326243</v>
      </c>
      <c r="L551" s="21"/>
      <c r="M551" s="22">
        <f>(PROVEEDORES[[#This Row],[SUBTOTAL]]-PROVEEDORES[[#This Row],[descuento sobre subtotal]])*VLOOKUP(PROVEEDORES[[#This Row],[PROVEEDOR]],TERCEROS_INFO[#All],3,FALSE)</f>
        <v>0</v>
      </c>
      <c r="N551" s="23"/>
      <c r="O551" s="22">
        <f>+PROVEEDORES[[#This Row],[Descuento sobre subtotal %]]*(PROVEEDORES[[#This Row],[SUBTOTAL]]-PROVEEDORES[[#This Row],[descuento sobre subtotal]])</f>
        <v>0</v>
      </c>
      <c r="P551" s="83">
        <f>+IF(PROVEEDORES[[#This Row],[SUBTOTAL]]&lt;PROVEEDORES[[#This Row],[base retencion]],0,PROVEEDORES[[#This Row],[retención aplicada]])</f>
        <v>0</v>
      </c>
      <c r="Q551" s="22">
        <f>+PROVEEDORES[[#This Row],[Rete Fuente %]]*(PROVEEDORES[[#This Row],[SUBTOTAL]]-PROVEEDORES[[#This Row],[descuento sobre subtotal]])</f>
        <v>0</v>
      </c>
      <c r="R551" s="21">
        <v>326243</v>
      </c>
      <c r="S5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68">
        <f ca="1">IF(PROVEEDORES[[#This Row],[FECHA DE PAGO]]=0,TODAY()-PROVEEDORES[[#This Row],[FECHA DE FACTURACIÓN]]-PROVEEDORES[[#This Row],[PLAZO Días]],0)</f>
        <v>0</v>
      </c>
      <c r="U551" s="96">
        <f>+VLOOKUP(PROVEEDORES[[#This Row],[PROVEEDOR]],Terceros!$A:$D,4,FALSE)</f>
        <v>0</v>
      </c>
      <c r="V551" s="97">
        <f>+YEAR(PROVEEDORES[[#This Row],[FECHA DE FACTURACIÓN]])</f>
        <v>2022</v>
      </c>
      <c r="W551" s="97">
        <f>+MATCH(PROVEEDORES[[#This Row],[año facturado]],Retenciones!$1:$1,0)</f>
        <v>5</v>
      </c>
      <c r="X551" s="98">
        <f>+VLOOKUP(PROVEEDORES[[#This Row],[ID RETENCION]],Retenciones!$A$1:$O$25,PROVEEDORES[[#This Row],[indicador de columna]],FALSE)</f>
        <v>0</v>
      </c>
      <c r="Y551" s="99">
        <f>+VLOOKUP(PROVEEDORES[[#This Row],[ID RETENCION]],Retenciones!$A$1:$O$25,2,FALSE)</f>
        <v>0</v>
      </c>
      <c r="Z551" s="125" t="b">
        <f>OR(COUNTIF(PROVEEDORES[[#This Row],[PROVEEDOR]],"*"&amp;'Palabra no opera'!$A$2&amp;"*"))</f>
        <v>1</v>
      </c>
      <c r="AA551" s="24"/>
      <c r="AB551" s="24"/>
      <c r="AC551" s="24"/>
      <c r="AD551" s="24"/>
      <c r="AE551" s="24"/>
    </row>
    <row r="552" spans="1:31" ht="22.2" customHeight="1" x14ac:dyDescent="0.3">
      <c r="A552" s="138" t="str">
        <f>+IF(PROVEEDORES[[#This Row],[FECHA DE PAGO]]=PROVEEDORES[[#This Row],[FECHA DE FACTURACIÓN]],"DE CONTADO","CRÉDITO")</f>
        <v>CRÉDITO</v>
      </c>
      <c r="B552" s="38" t="b">
        <f>+IF((PROVEEDORES[[#This Row],[FECHA DE PAGO]]-PROVEEDORES[[#This Row],[FECHA DE FACTURACIÓN]])&gt;PROVEEDORES[[#This Row],[PLAZO Días]],"PAGO VENCIDO")</f>
        <v>0</v>
      </c>
      <c r="C552" s="20">
        <f>+VLOOKUP(PROVEEDORES[[#This Row],[PROVEEDOR]],TERCEROS_INFO[#All],2,FALSE)</f>
        <v>30</v>
      </c>
      <c r="D552" s="25">
        <f>+SUMIFS(PROVEEDORES[Total],PROVEEDORES[PROVEEDOR],PROVEEDORES[[#This Row],[PROVEEDOR]],PROVEEDORES[FECHA DE PAGO],"")</f>
        <v>0</v>
      </c>
      <c r="E552" s="25"/>
      <c r="F552" s="58" t="str">
        <f>+VLOOKUP(PROVEEDORES[[#This Row],[PROVEEDOR]],
                       Terceros!$A:$F,
                       5,
                       FALSE)</f>
        <v>PSE</v>
      </c>
      <c r="G552" s="161">
        <v>44669</v>
      </c>
      <c r="H552" s="26" t="s">
        <v>935</v>
      </c>
      <c r="I552" s="161">
        <v>44652</v>
      </c>
      <c r="J552" s="35"/>
      <c r="K552" s="21">
        <v>326243</v>
      </c>
      <c r="L552" s="21"/>
      <c r="M552" s="22">
        <f>(PROVEEDORES[[#This Row],[SUBTOTAL]]-PROVEEDORES[[#This Row],[descuento sobre subtotal]])*VLOOKUP(PROVEEDORES[[#This Row],[PROVEEDOR]],TERCEROS_INFO[#All],3,FALSE)</f>
        <v>0</v>
      </c>
      <c r="N552" s="23"/>
      <c r="O552" s="22">
        <f>+PROVEEDORES[[#This Row],[Descuento sobre subtotal %]]*(PROVEEDORES[[#This Row],[SUBTOTAL]]-PROVEEDORES[[#This Row],[descuento sobre subtotal]])</f>
        <v>0</v>
      </c>
      <c r="P552" s="83">
        <f>+IF(PROVEEDORES[[#This Row],[SUBTOTAL]]&lt;PROVEEDORES[[#This Row],[base retencion]],0,PROVEEDORES[[#This Row],[retención aplicada]])</f>
        <v>0</v>
      </c>
      <c r="Q552" s="22">
        <f>+PROVEEDORES[[#This Row],[Rete Fuente %]]*(PROVEEDORES[[#This Row],[SUBTOTAL]]-PROVEEDORES[[#This Row],[descuento sobre subtotal]])</f>
        <v>0</v>
      </c>
      <c r="R552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2" s="1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68">
        <f ca="1">IF(PROVEEDORES[[#This Row],[FECHA DE PAGO]]=0,TODAY()-PROVEEDORES[[#This Row],[FECHA DE FACTURACIÓN]]-PROVEEDORES[[#This Row],[PLAZO Días]],0)</f>
        <v>0</v>
      </c>
      <c r="U552" s="113">
        <f>+VLOOKUP(PROVEEDORES[[#This Row],[PROVEEDOR]],Terceros!$A:$D,4,FALSE)</f>
        <v>0</v>
      </c>
      <c r="V552" s="114">
        <f>+YEAR(PROVEEDORES[[#This Row],[FECHA DE FACTURACIÓN]])</f>
        <v>2022</v>
      </c>
      <c r="W552" s="114">
        <f>+MATCH(PROVEEDORES[[#This Row],[año facturado]],Retenciones!$1:$1,0)</f>
        <v>5</v>
      </c>
      <c r="X552" s="115">
        <f>+VLOOKUP(PROVEEDORES[[#This Row],[ID RETENCION]],Retenciones!$A$1:$O$25,PROVEEDORES[[#This Row],[indicador de columna]],FALSE)</f>
        <v>0</v>
      </c>
      <c r="Y552" s="116">
        <f>+VLOOKUP(PROVEEDORES[[#This Row],[ID RETENCION]],Retenciones!$A$1:$O$25,2,FALSE)</f>
        <v>0</v>
      </c>
      <c r="Z552" s="125" t="b">
        <f>OR(COUNTIF(PROVEEDORES[[#This Row],[PROVEEDOR]],"*"&amp;'Palabra no opera'!$A$2&amp;"*"))</f>
        <v>1</v>
      </c>
      <c r="AA552" s="24"/>
      <c r="AB552" s="24"/>
      <c r="AC552" s="24"/>
      <c r="AD552" s="24"/>
      <c r="AE552" s="24"/>
    </row>
    <row r="553" spans="1:31" ht="22.2" customHeight="1" x14ac:dyDescent="0.3">
      <c r="A553" s="138" t="str">
        <f>+IF(PROVEEDORES[[#This Row],[FECHA DE PAGO]]=PROVEEDORES[[#This Row],[FECHA DE FACTURACIÓN]],"DE CONTADO","CRÉDITO")</f>
        <v>CRÉDITO</v>
      </c>
      <c r="B553" s="38" t="b">
        <f>+IF((PROVEEDORES[[#This Row],[FECHA DE PAGO]]-PROVEEDORES[[#This Row],[FECHA DE FACTURACIÓN]])&gt;PROVEEDORES[[#This Row],[PLAZO Días]],"PAGO VENCIDO")</f>
        <v>0</v>
      </c>
      <c r="C553" s="20">
        <f>+VLOOKUP(PROVEEDORES[[#This Row],[PROVEEDOR]],TERCEROS_INFO[#All],2,FALSE)</f>
        <v>30</v>
      </c>
      <c r="D553" s="25">
        <f>+SUMIFS(PROVEEDORES[Total],PROVEEDORES[PROVEEDOR],PROVEEDORES[[#This Row],[PROVEEDOR]],PROVEEDORES[FECHA DE PAGO],"")</f>
        <v>0</v>
      </c>
      <c r="E553" s="25"/>
      <c r="F553" s="58" t="str">
        <f>+VLOOKUP(PROVEEDORES[[#This Row],[PROVEEDOR]],
                       Terceros!$A:$F,
                       5,
                       FALSE)</f>
        <v>PSE</v>
      </c>
      <c r="G553" s="161">
        <v>44698</v>
      </c>
      <c r="H553" s="26" t="s">
        <v>935</v>
      </c>
      <c r="I553" s="161">
        <v>44682</v>
      </c>
      <c r="J553" s="35"/>
      <c r="K553" s="21">
        <v>326243</v>
      </c>
      <c r="L553" s="21"/>
      <c r="M553" s="22">
        <f>(PROVEEDORES[[#This Row],[SUBTOTAL]]-PROVEEDORES[[#This Row],[descuento sobre subtotal]])*VLOOKUP(PROVEEDORES[[#This Row],[PROVEEDOR]],TERCEROS_INFO[#All],3,FALSE)</f>
        <v>0</v>
      </c>
      <c r="N553" s="23"/>
      <c r="O553" s="22">
        <f>+PROVEEDORES[[#This Row],[Descuento sobre subtotal %]]*(PROVEEDORES[[#This Row],[SUBTOTAL]]-PROVEEDORES[[#This Row],[descuento sobre subtotal]])</f>
        <v>0</v>
      </c>
      <c r="P553" s="83">
        <f>+IF(PROVEEDORES[[#This Row],[SUBTOTAL]]&lt;PROVEEDORES[[#This Row],[base retencion]],0,PROVEEDORES[[#This Row],[retención aplicada]])</f>
        <v>0</v>
      </c>
      <c r="Q553" s="22">
        <f>+PROVEEDORES[[#This Row],[Rete Fuente %]]*(PROVEEDORES[[#This Row],[SUBTOTAL]]-PROVEEDORES[[#This Row],[descuento sobre subtotal]])</f>
        <v>0</v>
      </c>
      <c r="R553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3" s="1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68">
        <f ca="1">IF(PROVEEDORES[[#This Row],[FECHA DE PAGO]]=0,TODAY()-PROVEEDORES[[#This Row],[FECHA DE FACTURACIÓN]]-PROVEEDORES[[#This Row],[PLAZO Días]],0)</f>
        <v>0</v>
      </c>
      <c r="U553" s="113">
        <f>+VLOOKUP(PROVEEDORES[[#This Row],[PROVEEDOR]],Terceros!$A:$D,4,FALSE)</f>
        <v>0</v>
      </c>
      <c r="V553" s="114">
        <f>+YEAR(PROVEEDORES[[#This Row],[FECHA DE FACTURACIÓN]])</f>
        <v>2022</v>
      </c>
      <c r="W553" s="114">
        <f>+MATCH(PROVEEDORES[[#This Row],[año facturado]],Retenciones!$1:$1,0)</f>
        <v>5</v>
      </c>
      <c r="X553" s="115">
        <f>+VLOOKUP(PROVEEDORES[[#This Row],[ID RETENCION]],Retenciones!$A$1:$O$25,PROVEEDORES[[#This Row],[indicador de columna]],FALSE)</f>
        <v>0</v>
      </c>
      <c r="Y553" s="116">
        <f>+VLOOKUP(PROVEEDORES[[#This Row],[ID RETENCION]],Retenciones!$A$1:$O$25,2,FALSE)</f>
        <v>0</v>
      </c>
      <c r="Z553" s="125" t="b">
        <f>OR(COUNTIF(PROVEEDORES[[#This Row],[PROVEEDOR]],"*"&amp;'Palabra no opera'!$A$2&amp;"*"))</f>
        <v>1</v>
      </c>
      <c r="AA553" s="24"/>
      <c r="AB553" s="24"/>
      <c r="AC553" s="24"/>
      <c r="AD553" s="24"/>
      <c r="AE553" s="24"/>
    </row>
    <row r="554" spans="1:31" ht="22.2" customHeight="1" x14ac:dyDescent="0.3">
      <c r="A554" s="159" t="str">
        <f>+IF(PROVEEDORES[[#This Row],[FECHA DE PAGO]]=PROVEEDORES[[#This Row],[FECHA DE FACTURACIÓN]],"DE CONTADO","CRÉDITO")</f>
        <v>CRÉDITO</v>
      </c>
      <c r="B554" s="38" t="b">
        <f>+IF((PROVEEDORES[[#This Row],[FECHA DE PAGO]]-PROVEEDORES[[#This Row],[FECHA DE FACTURACIÓN]])&gt;PROVEEDORES[[#This Row],[PLAZO Días]],"PAGO VENCIDO")</f>
        <v>0</v>
      </c>
      <c r="C554" s="20">
        <f>+VLOOKUP(PROVEEDORES[[#This Row],[PROVEEDOR]],TERCEROS_INFO[#All],2,FALSE)</f>
        <v>30</v>
      </c>
      <c r="D554" s="25">
        <f>+SUMIFS(PROVEEDORES[Total],PROVEEDORES[PROVEEDOR],PROVEEDORES[[#This Row],[PROVEEDOR]],PROVEEDORES[FECHA DE PAGO],"")</f>
        <v>0</v>
      </c>
      <c r="E554" s="25"/>
      <c r="F554" s="58" t="str">
        <f>+VLOOKUP(PROVEEDORES[[#This Row],[PROVEEDOR]],
                       Terceros!$A:$F,
                       5,
                       FALSE)</f>
        <v>PSE</v>
      </c>
      <c r="G554" s="161">
        <v>44729</v>
      </c>
      <c r="H554" s="26" t="s">
        <v>935</v>
      </c>
      <c r="I554" s="161">
        <v>44713</v>
      </c>
      <c r="J554" s="35"/>
      <c r="K554" s="21">
        <v>326243</v>
      </c>
      <c r="L554" s="21"/>
      <c r="M554" s="22">
        <f>(PROVEEDORES[[#This Row],[SUBTOTAL]]-PROVEEDORES[[#This Row],[descuento sobre subtotal]])*VLOOKUP(PROVEEDORES[[#This Row],[PROVEEDOR]],TERCEROS_INFO[#All],3,FALSE)</f>
        <v>0</v>
      </c>
      <c r="N554" s="23"/>
      <c r="O554" s="22">
        <f>+PROVEEDORES[[#This Row],[Descuento sobre subtotal %]]*(PROVEEDORES[[#This Row],[SUBTOTAL]]-PROVEEDORES[[#This Row],[descuento sobre subtotal]])</f>
        <v>0</v>
      </c>
      <c r="P554" s="83">
        <f>+IF(PROVEEDORES[[#This Row],[SUBTOTAL]]&lt;PROVEEDORES[[#This Row],[base retencion]],0,PROVEEDORES[[#This Row],[retención aplicada]])</f>
        <v>0</v>
      </c>
      <c r="Q554" s="22">
        <f>+PROVEEDORES[[#This Row],[Rete Fuente %]]*(PROVEEDORES[[#This Row],[SUBTOTAL]]-PROVEEDORES[[#This Row],[descuento sobre subtotal]])</f>
        <v>0</v>
      </c>
      <c r="R554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68">
        <f ca="1">IF(PROVEEDORES[[#This Row],[FECHA DE PAGO]]=0,TODAY()-PROVEEDORES[[#This Row],[FECHA DE FACTURACIÓN]]-PROVEEDORES[[#This Row],[PLAZO Días]],0)</f>
        <v>0</v>
      </c>
      <c r="U554" s="113">
        <f>+VLOOKUP(PROVEEDORES[[#This Row],[PROVEEDOR]],Terceros!$A:$D,4,FALSE)</f>
        <v>0</v>
      </c>
      <c r="V554" s="114">
        <f>+YEAR(PROVEEDORES[[#This Row],[FECHA DE FACTURACIÓN]])</f>
        <v>2022</v>
      </c>
      <c r="W554" s="114">
        <f>+MATCH(PROVEEDORES[[#This Row],[año facturado]],Retenciones!$1:$1,0)</f>
        <v>5</v>
      </c>
      <c r="X554" s="115">
        <f>+VLOOKUP(PROVEEDORES[[#This Row],[ID RETENCION]],Retenciones!$A$1:$O$25,PROVEEDORES[[#This Row],[indicador de columna]],FALSE)</f>
        <v>0</v>
      </c>
      <c r="Y554" s="116">
        <f>+VLOOKUP(PROVEEDORES[[#This Row],[ID RETENCION]],Retenciones!$A$1:$O$25,2,FALSE)</f>
        <v>0</v>
      </c>
      <c r="Z554" s="125" t="b">
        <f>OR(COUNTIF(PROVEEDORES[[#This Row],[PROVEEDOR]],"*"&amp;'Palabra no opera'!$A$2&amp;"*"))</f>
        <v>1</v>
      </c>
      <c r="AA554" s="24"/>
      <c r="AB554" s="24"/>
      <c r="AC554" s="24"/>
      <c r="AD554" s="24"/>
      <c r="AE554" s="24"/>
    </row>
    <row r="555" spans="1:31" ht="22.2" customHeight="1" x14ac:dyDescent="0.3">
      <c r="A555" s="72" t="str">
        <f>+IF(PROVEEDORES[[#This Row],[FECHA DE PAGO]]=PROVEEDORES[[#This Row],[FECHA DE FACTURACIÓN]],"DE CONTADO","CRÉDITO")</f>
        <v>CRÉDITO</v>
      </c>
      <c r="B555" s="38" t="b">
        <f>+IF((PROVEEDORES[[#This Row],[FECHA DE PAGO]]-PROVEEDORES[[#This Row],[FECHA DE FACTURACIÓN]])&gt;PROVEEDORES[[#This Row],[PLAZO Días]],"PAGO VENCIDO")</f>
        <v>0</v>
      </c>
      <c r="C555" s="20">
        <f>+VLOOKUP(PROVEEDORES[[#This Row],[PROVEEDOR]],TERCEROS_INFO[#All],2,FALSE)</f>
        <v>30</v>
      </c>
      <c r="D555" s="25">
        <f>+SUMIFS(PROVEEDORES[Total],PROVEEDORES[PROVEEDOR],PROVEEDORES[[#This Row],[PROVEEDOR]],PROVEEDORES[FECHA DE PAGO],"")</f>
        <v>0</v>
      </c>
      <c r="E555" s="25"/>
      <c r="F555" s="58" t="str">
        <f>+VLOOKUP(PROVEEDORES[[#This Row],[PROVEEDOR]],
                       Terceros!$A:$F,
                       5,
                       FALSE)</f>
        <v>PSE</v>
      </c>
      <c r="G555" s="161">
        <v>44761</v>
      </c>
      <c r="H555" s="26" t="s">
        <v>935</v>
      </c>
      <c r="I555" s="161">
        <v>44743</v>
      </c>
      <c r="J555" s="35"/>
      <c r="K555" s="21">
        <v>326243</v>
      </c>
      <c r="L555" s="21"/>
      <c r="M555" s="22">
        <f>(PROVEEDORES[[#This Row],[SUBTOTAL]]-PROVEEDORES[[#This Row],[descuento sobre subtotal]])*VLOOKUP(PROVEEDORES[[#This Row],[PROVEEDOR]],TERCEROS_INFO[#All],3,FALSE)</f>
        <v>0</v>
      </c>
      <c r="N555" s="23"/>
      <c r="O555" s="22">
        <f>+PROVEEDORES[[#This Row],[Descuento sobre subtotal %]]*(PROVEEDORES[[#This Row],[SUBTOTAL]]-PROVEEDORES[[#This Row],[descuento sobre subtotal]])</f>
        <v>0</v>
      </c>
      <c r="P555" s="83">
        <f>+IF(PROVEEDORES[[#This Row],[SUBTOTAL]]&lt;PROVEEDORES[[#This Row],[base retencion]],0,PROVEEDORES[[#This Row],[retención aplicada]])</f>
        <v>0</v>
      </c>
      <c r="Q555" s="22">
        <f>+PROVEEDORES[[#This Row],[Rete Fuente %]]*(PROVEEDORES[[#This Row],[SUBTOTAL]]-PROVEEDORES[[#This Row],[descuento sobre subtotal]])</f>
        <v>0</v>
      </c>
      <c r="R555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68">
        <f ca="1">IF(PROVEEDORES[[#This Row],[FECHA DE PAGO]]=0,TODAY()-PROVEEDORES[[#This Row],[FECHA DE FACTURACIÓN]]-PROVEEDORES[[#This Row],[PLAZO Días]],0)</f>
        <v>0</v>
      </c>
      <c r="U555" s="113">
        <f>+VLOOKUP(PROVEEDORES[[#This Row],[PROVEEDOR]],Terceros!$A:$D,4,FALSE)</f>
        <v>0</v>
      </c>
      <c r="V555" s="114">
        <f>+YEAR(PROVEEDORES[[#This Row],[FECHA DE FACTURACIÓN]])</f>
        <v>2022</v>
      </c>
      <c r="W555" s="114">
        <f>+MATCH(PROVEEDORES[[#This Row],[año facturado]],Retenciones!$1:$1,0)</f>
        <v>5</v>
      </c>
      <c r="X555" s="115">
        <f>+VLOOKUP(PROVEEDORES[[#This Row],[ID RETENCION]],Retenciones!$A$1:$O$25,PROVEEDORES[[#This Row],[indicador de columna]],FALSE)</f>
        <v>0</v>
      </c>
      <c r="Y555" s="116">
        <f>+VLOOKUP(PROVEEDORES[[#This Row],[ID RETENCION]],Retenciones!$A$1:$O$25,2,FALSE)</f>
        <v>0</v>
      </c>
      <c r="Z555" s="125" t="b">
        <f>OR(COUNTIF(PROVEEDORES[[#This Row],[PROVEEDOR]],"*"&amp;'Palabra no opera'!$A$2&amp;"*"))</f>
        <v>1</v>
      </c>
      <c r="AA555" s="24"/>
      <c r="AB555" s="24"/>
      <c r="AC555" s="24"/>
      <c r="AD555" s="24"/>
      <c r="AE555" s="24"/>
    </row>
    <row r="556" spans="1:31" ht="22.2" customHeight="1" x14ac:dyDescent="0.3">
      <c r="A556" s="207" t="str">
        <f>+IF(PROVEEDORES[[#This Row],[FECHA DE PAGO]]=PROVEEDORES[[#This Row],[FECHA DE FACTURACIÓN]],"DE CONTADO","CRÉDITO")</f>
        <v>CRÉDITO</v>
      </c>
      <c r="B556" s="38" t="b">
        <f>+IF((PROVEEDORES[[#This Row],[FECHA DE PAGO]]-PROVEEDORES[[#This Row],[FECHA DE FACTURACIÓN]])&gt;PROVEEDORES[[#This Row],[PLAZO Días]],"PAGO VENCIDO")</f>
        <v>0</v>
      </c>
      <c r="C556" s="20">
        <f>+VLOOKUP(PROVEEDORES[[#This Row],[PROVEEDOR]],TERCEROS_INFO[#All],2,FALSE)</f>
        <v>30</v>
      </c>
      <c r="D556" s="25">
        <f>+SUMIFS(PROVEEDORES[Total],PROVEEDORES[PROVEEDOR],PROVEEDORES[[#This Row],[PROVEEDOR]],PROVEEDORES[FECHA DE PAGO],"")</f>
        <v>0</v>
      </c>
      <c r="E556" s="25"/>
      <c r="F556" s="58" t="str">
        <f>+VLOOKUP(PROVEEDORES[[#This Row],[PROVEEDOR]],
                       Terceros!$A:$F,
                       5,
                       FALSE)</f>
        <v>PSE</v>
      </c>
      <c r="G556" s="161">
        <v>44804</v>
      </c>
      <c r="H556" s="26" t="s">
        <v>935</v>
      </c>
      <c r="I556" s="161">
        <v>44774</v>
      </c>
      <c r="J556" s="35"/>
      <c r="K556" s="21">
        <v>326243</v>
      </c>
      <c r="L556" s="21"/>
      <c r="M556" s="22">
        <f>(PROVEEDORES[[#This Row],[SUBTOTAL]]-PROVEEDORES[[#This Row],[descuento sobre subtotal]])*VLOOKUP(PROVEEDORES[[#This Row],[PROVEEDOR]],TERCEROS_INFO[#All],3,FALSE)</f>
        <v>0</v>
      </c>
      <c r="N556" s="23"/>
      <c r="O556" s="22">
        <f>+PROVEEDORES[[#This Row],[Descuento sobre subtotal %]]*(PROVEEDORES[[#This Row],[SUBTOTAL]]-PROVEEDORES[[#This Row],[descuento sobre subtotal]])</f>
        <v>0</v>
      </c>
      <c r="P556" s="83">
        <f>+IF(PROVEEDORES[[#This Row],[SUBTOTAL]]&lt;PROVEEDORES[[#This Row],[base retencion]],0,PROVEEDORES[[#This Row],[retención aplicada]])</f>
        <v>0</v>
      </c>
      <c r="Q556" s="22">
        <f>+PROVEEDORES[[#This Row],[Rete Fuente %]]*(PROVEEDORES[[#This Row],[SUBTOTAL]]-PROVEEDORES[[#This Row],[descuento sobre subtotal]])</f>
        <v>0</v>
      </c>
      <c r="R556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6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68">
        <f ca="1">IF(PROVEEDORES[[#This Row],[FECHA DE PAGO]]=0,TODAY()-PROVEEDORES[[#This Row],[FECHA DE FACTURACIÓN]]-PROVEEDORES[[#This Row],[PLAZO Días]],0)</f>
        <v>0</v>
      </c>
      <c r="U556" s="113">
        <f>+VLOOKUP(PROVEEDORES[[#This Row],[PROVEEDOR]],Terceros!$A:$D,4,FALSE)</f>
        <v>0</v>
      </c>
      <c r="V556" s="114">
        <f>+YEAR(PROVEEDORES[[#This Row],[FECHA DE FACTURACIÓN]])</f>
        <v>2022</v>
      </c>
      <c r="W556" s="114">
        <f>+MATCH(PROVEEDORES[[#This Row],[año facturado]],Retenciones!$1:$1,0)</f>
        <v>5</v>
      </c>
      <c r="X556" s="115">
        <f>+VLOOKUP(PROVEEDORES[[#This Row],[ID RETENCION]],Retenciones!$A$1:$O$25,PROVEEDORES[[#This Row],[indicador de columna]],FALSE)</f>
        <v>0</v>
      </c>
      <c r="Y556" s="116">
        <f>+VLOOKUP(PROVEEDORES[[#This Row],[ID RETENCION]],Retenciones!$A$1:$O$25,2,FALSE)</f>
        <v>0</v>
      </c>
      <c r="Z556" s="125" t="b">
        <f>OR(COUNTIF(PROVEEDORES[[#This Row],[PROVEEDOR]],"*"&amp;'Palabra no opera'!$A$2&amp;"*"))</f>
        <v>1</v>
      </c>
      <c r="AA556" s="24"/>
      <c r="AB556" s="24"/>
      <c r="AC556" s="24"/>
      <c r="AD556" s="24"/>
      <c r="AE556" s="24"/>
    </row>
    <row r="557" spans="1:31" ht="22.2" customHeight="1" x14ac:dyDescent="0.3">
      <c r="A557" s="66" t="str">
        <f>+IF(PROVEEDORES[[#This Row],[FECHA DE PAGO]]=PROVEEDORES[[#This Row],[FECHA DE FACTURACIÓN]],"DE CONTADO","CRÉDITO")</f>
        <v>CRÉDITO</v>
      </c>
      <c r="B557" s="38" t="b">
        <f>+IF((PROVEEDORES[[#This Row],[FECHA DE PAGO]]-PROVEEDORES[[#This Row],[FECHA DE FACTURACIÓN]])&gt;PROVEEDORES[[#This Row],[PLAZO Días]],"PAGO VENCIDO")</f>
        <v>0</v>
      </c>
      <c r="C557" s="20">
        <f>+VLOOKUP(PROVEEDORES[[#This Row],[PROVEEDOR]],TERCEROS_INFO[#All],2,FALSE)</f>
        <v>30</v>
      </c>
      <c r="D557" s="25">
        <f>+SUMIFS(PROVEEDORES[Total],PROVEEDORES[PROVEEDOR],PROVEEDORES[[#This Row],[PROVEEDOR]],PROVEEDORES[FECHA DE PAGO],"")</f>
        <v>0</v>
      </c>
      <c r="E557" s="25"/>
      <c r="F557" s="58" t="str">
        <f>+VLOOKUP(PROVEEDORES[[#This Row],[PROVEEDOR]],
                       Terceros!$A:$F,
                       5,
                       FALSE)</f>
        <v>PSE</v>
      </c>
      <c r="G557" s="161">
        <v>44484</v>
      </c>
      <c r="H557" s="26" t="s">
        <v>935</v>
      </c>
      <c r="I557" s="161">
        <v>44470</v>
      </c>
      <c r="J557" s="35"/>
      <c r="K557" s="21">
        <v>329148</v>
      </c>
      <c r="L557" s="21"/>
      <c r="M557" s="22">
        <f>(PROVEEDORES[[#This Row],[SUBTOTAL]]-PROVEEDORES[[#This Row],[descuento sobre subtotal]])*VLOOKUP(PROVEEDORES[[#This Row],[PROVEEDOR]],TERCEROS_INFO[#All],3,FALSE)</f>
        <v>0</v>
      </c>
      <c r="N557" s="23"/>
      <c r="O557" s="22">
        <f>+PROVEEDORES[[#This Row],[Descuento sobre subtotal %]]*(PROVEEDORES[[#This Row],[SUBTOTAL]]-PROVEEDORES[[#This Row],[descuento sobre subtotal]])</f>
        <v>0</v>
      </c>
      <c r="P557" s="83">
        <f>+IF(PROVEEDORES[[#This Row],[SUBTOTAL]]&lt;PROVEEDORES[[#This Row],[base retencion]],0,PROVEEDORES[[#This Row],[retención aplicada]])</f>
        <v>0</v>
      </c>
      <c r="Q557" s="22">
        <f>+PROVEEDORES[[#This Row],[Rete Fuente %]]*(PROVEEDORES[[#This Row],[SUBTOTAL]]-PROVEEDORES[[#This Row],[descuento sobre subtotal]])</f>
        <v>0</v>
      </c>
      <c r="R557" s="21">
        <f>+PROVEEDORES[[#This Row],[SUBTOTAL]]+PROVEEDORES[[#This Row],[IVA 19%]]-PROVEEDORES[[#This Row],[descuento sobre subtotal]]-PROVEEDORES[[#This Row],[Descuento sobre subtotal $2]]-PROVEEDORES[[#This Row],[Rete Fuente $]]</f>
        <v>329148</v>
      </c>
      <c r="S5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68">
        <f ca="1">IF(PROVEEDORES[[#This Row],[FECHA DE PAGO]]=0,TODAY()-PROVEEDORES[[#This Row],[FECHA DE FACTURACIÓN]]-PROVEEDORES[[#This Row],[PLAZO Días]],0)</f>
        <v>0</v>
      </c>
      <c r="U557" s="96">
        <f>+VLOOKUP(PROVEEDORES[[#This Row],[PROVEEDOR]],Terceros!$A:$D,4,FALSE)</f>
        <v>0</v>
      </c>
      <c r="V557" s="97">
        <f>+YEAR(PROVEEDORES[[#This Row],[FECHA DE FACTURACIÓN]])</f>
        <v>2021</v>
      </c>
      <c r="W557" s="97">
        <f>+MATCH(PROVEEDORES[[#This Row],[año facturado]],Retenciones!$1:$1,0)</f>
        <v>4</v>
      </c>
      <c r="X557" s="98">
        <f>+VLOOKUP(PROVEEDORES[[#This Row],[ID RETENCION]],Retenciones!$A$1:$O$25,PROVEEDORES[[#This Row],[indicador de columna]],FALSE)</f>
        <v>0</v>
      </c>
      <c r="Y557" s="99">
        <f>+VLOOKUP(PROVEEDORES[[#This Row],[ID RETENCION]],Retenciones!$A$1:$O$25,2,FALSE)</f>
        <v>0</v>
      </c>
      <c r="Z557" s="125" t="b">
        <f>OR(COUNTIF(PROVEEDORES[[#This Row],[PROVEEDOR]],"*"&amp;'Palabra no opera'!$A$2&amp;"*"))</f>
        <v>1</v>
      </c>
      <c r="AA557" s="24"/>
      <c r="AB557" s="24"/>
      <c r="AC557" s="24"/>
      <c r="AD557" s="24"/>
      <c r="AE557" s="24"/>
    </row>
    <row r="558" spans="1:31" ht="22.2" customHeight="1" x14ac:dyDescent="0.3">
      <c r="A558" s="185" t="str">
        <f>+IF(PROVEEDORES[[#This Row],[FECHA DE PAGO]]=PROVEEDORES[[#This Row],[FECHA DE FACTURACIÓN]],"DE CONTADO","CRÉDITO")</f>
        <v>CRÉDITO</v>
      </c>
      <c r="B558" s="38" t="b">
        <f>+IF((PROVEEDORES[[#This Row],[FECHA DE PAGO]]-PROVEEDORES[[#This Row],[FECHA DE FACTURACIÓN]])&gt;PROVEEDORES[[#This Row],[PLAZO Días]],"PAGO VENCIDO")</f>
        <v>0</v>
      </c>
      <c r="C558" s="20">
        <f>+VLOOKUP(PROVEEDORES[[#This Row],[PROVEEDOR]],TERCEROS_INFO[#All],2,FALSE)</f>
        <v>45</v>
      </c>
      <c r="D558" s="25">
        <f>+SUMIFS(PROVEEDORES[Total],PROVEEDORES[PROVEEDOR],PROVEEDORES[[#This Row],[PROVEEDOR]],PROVEEDORES[FECHA DE PAGO],"")</f>
        <v>0</v>
      </c>
      <c r="E558" s="25"/>
      <c r="F55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58" s="161">
        <v>44761</v>
      </c>
      <c r="H558" s="26" t="s">
        <v>530</v>
      </c>
      <c r="I558" s="161">
        <v>44733</v>
      </c>
      <c r="J558" s="35" t="s">
        <v>1066</v>
      </c>
      <c r="K558" s="21">
        <v>329574</v>
      </c>
      <c r="L558" s="21"/>
      <c r="M558" s="22">
        <f>(PROVEEDORES[[#This Row],[SUBTOTAL]]-PROVEEDORES[[#This Row],[descuento sobre subtotal]])*VLOOKUP(PROVEEDORES[[#This Row],[PROVEEDOR]],TERCEROS_INFO[#All],3,FALSE)</f>
        <v>0</v>
      </c>
      <c r="N558" s="23"/>
      <c r="O558" s="22">
        <f>+PROVEEDORES[[#This Row],[Descuento sobre subtotal %]]*(PROVEEDORES[[#This Row],[SUBTOTAL]]-PROVEEDORES[[#This Row],[descuento sobre subtotal]])</f>
        <v>0</v>
      </c>
      <c r="P558" s="83">
        <f>+IF(PROVEEDORES[[#This Row],[SUBTOTAL]]&lt;PROVEEDORES[[#This Row],[base retencion]],0,PROVEEDORES[[#This Row],[retención aplicada]])</f>
        <v>0</v>
      </c>
      <c r="Q558" s="22">
        <f>+PROVEEDORES[[#This Row],[Rete Fuente %]]*(PROVEEDORES[[#This Row],[SUBTOTAL]]-PROVEEDORES[[#This Row],[descuento sobre subtotal]])</f>
        <v>0</v>
      </c>
      <c r="R558" s="21">
        <f>+PROVEEDORES[[#This Row],[SUBTOTAL]]+PROVEEDORES[[#This Row],[IVA 19%]]-PROVEEDORES[[#This Row],[descuento sobre subtotal]]-PROVEEDORES[[#This Row],[Descuento sobre subtotal $2]]-PROVEEDORES[[#This Row],[Rete Fuente $]]</f>
        <v>329574</v>
      </c>
      <c r="S558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68">
        <f ca="1">IF(PROVEEDORES[[#This Row],[FECHA DE PAGO]]=0,TODAY()-PROVEEDORES[[#This Row],[FECHA DE FACTURACIÓN]]-PROVEEDORES[[#This Row],[PLAZO Días]],0)</f>
        <v>0</v>
      </c>
      <c r="U558" s="113">
        <f>+VLOOKUP(PROVEEDORES[[#This Row],[PROVEEDOR]],Terceros!$A:$D,4,FALSE)</f>
        <v>0</v>
      </c>
      <c r="V558" s="114">
        <f>+YEAR(PROVEEDORES[[#This Row],[FECHA DE FACTURACIÓN]])</f>
        <v>2022</v>
      </c>
      <c r="W558" s="114">
        <f>+MATCH(PROVEEDORES[[#This Row],[año facturado]],Retenciones!$1:$1,0)</f>
        <v>5</v>
      </c>
      <c r="X558" s="115">
        <f>+VLOOKUP(PROVEEDORES[[#This Row],[ID RETENCION]],Retenciones!$A$1:$O$25,PROVEEDORES[[#This Row],[indicador de columna]],FALSE)</f>
        <v>0</v>
      </c>
      <c r="Y558" s="116">
        <f>+VLOOKUP(PROVEEDORES[[#This Row],[ID RETENCION]],Retenciones!$A$1:$O$25,2,FALSE)</f>
        <v>0</v>
      </c>
      <c r="Z558" s="125" t="b">
        <f>OR(COUNTIF(PROVEEDORES[[#This Row],[PROVEEDOR]],"*"&amp;'Palabra no opera'!$A$2&amp;"*"))</f>
        <v>0</v>
      </c>
      <c r="AA558" s="24"/>
      <c r="AB558" s="24"/>
      <c r="AC558" s="24"/>
      <c r="AD558" s="24"/>
      <c r="AE558" s="24"/>
    </row>
    <row r="559" spans="1:31" ht="22.2" customHeight="1" x14ac:dyDescent="0.3">
      <c r="A559" s="66" t="str">
        <f>+IF(PROVEEDORES[[#This Row],[FECHA DE PAGO]]=PROVEEDORES[[#This Row],[FECHA DE FACTURACIÓN]],"DE CONTADO","CRÉDITO")</f>
        <v>CRÉDITO</v>
      </c>
      <c r="B559" s="38" t="b">
        <f>+IF((PROVEEDORES[[#This Row],[FECHA DE PAGO]]-PROVEEDORES[[#This Row],[FECHA DE FACTURACIÓN]])&gt;PROVEEDORES[[#This Row],[PLAZO Días]],"PAGO VENCIDO")</f>
        <v>0</v>
      </c>
      <c r="C559" s="20">
        <f>+VLOOKUP(PROVEEDORES[[#This Row],[PROVEEDOR]],TERCEROS_INFO[#All],2,FALSE)</f>
        <v>30</v>
      </c>
      <c r="D559" s="25">
        <f>+SUMIFS(PROVEEDORES[Total],PROVEEDORES[PROVEEDOR],PROVEEDORES[[#This Row],[PROVEEDOR]],PROVEEDORES[FECHA DE PAGO],"")</f>
        <v>0</v>
      </c>
      <c r="E559" s="25"/>
      <c r="F559" s="58" t="str">
        <f>+VLOOKUP(PROVEEDORES[[#This Row],[PROVEEDOR]],
                       Terceros!$A:$F,
                       5,
                       FALSE)</f>
        <v>facturacion@losmolinos.com.co</v>
      </c>
      <c r="G559" s="161">
        <v>44575</v>
      </c>
      <c r="H559" s="26" t="s">
        <v>940</v>
      </c>
      <c r="I559" s="161">
        <v>44562</v>
      </c>
      <c r="J559" s="35">
        <v>65772</v>
      </c>
      <c r="K559" s="21">
        <v>329920.96000000002</v>
      </c>
      <c r="L559" s="21"/>
      <c r="M559" s="22">
        <f>(PROVEEDORES[[#This Row],[SUBTOTAL]]-PROVEEDORES[[#This Row],[descuento sobre subtotal]])*VLOOKUP(PROVEEDORES[[#This Row],[PROVEEDOR]],TERCEROS_INFO[#All],3,FALSE)</f>
        <v>0</v>
      </c>
      <c r="N559" s="23"/>
      <c r="O559" s="22">
        <f>+PROVEEDORES[[#This Row],[Descuento sobre subtotal %]]*(PROVEEDORES[[#This Row],[SUBTOTAL]]-PROVEEDORES[[#This Row],[descuento sobre subtotal]])</f>
        <v>0</v>
      </c>
      <c r="P559" s="83">
        <f>+IF(PROVEEDORES[[#This Row],[SUBTOTAL]]&lt;PROVEEDORES[[#This Row],[base retencion]],0,PROVEEDORES[[#This Row],[retención aplicada]])</f>
        <v>0</v>
      </c>
      <c r="Q559" s="22">
        <f>+PROVEEDORES[[#This Row],[Rete Fuente %]]*(PROVEEDORES[[#This Row],[SUBTOTAL]]-PROVEEDORES[[#This Row],[descuento sobre subtotal]])</f>
        <v>0</v>
      </c>
      <c r="R559" s="21">
        <v>329920.96000000002</v>
      </c>
      <c r="S55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68">
        <f ca="1">IF(PROVEEDORES[[#This Row],[FECHA DE PAGO]]=0,TODAY()-PROVEEDORES[[#This Row],[FECHA DE FACTURACIÓN]]-PROVEEDORES[[#This Row],[PLAZO Días]],0)</f>
        <v>0</v>
      </c>
      <c r="U559" s="96">
        <f>+VLOOKUP(PROVEEDORES[[#This Row],[PROVEEDOR]],Terceros!$A:$D,4,FALSE)</f>
        <v>0</v>
      </c>
      <c r="V559" s="97">
        <f>+YEAR(PROVEEDORES[[#This Row],[FECHA DE FACTURACIÓN]])</f>
        <v>2022</v>
      </c>
      <c r="W559" s="97">
        <f>+MATCH(PROVEEDORES[[#This Row],[año facturado]],Retenciones!$1:$1,0)</f>
        <v>5</v>
      </c>
      <c r="X559" s="98">
        <f>+VLOOKUP(PROVEEDORES[[#This Row],[ID RETENCION]],Retenciones!$A$1:$O$25,PROVEEDORES[[#This Row],[indicador de columna]],FALSE)</f>
        <v>0</v>
      </c>
      <c r="Y559" s="99">
        <f>+VLOOKUP(PROVEEDORES[[#This Row],[ID RETENCION]],Retenciones!$A$1:$O$25,2,FALSE)</f>
        <v>0</v>
      </c>
      <c r="Z559" s="125" t="b">
        <f>OR(COUNTIF(PROVEEDORES[[#This Row],[PROVEEDOR]],"*"&amp;'Palabra no opera'!$A$2&amp;"*"))</f>
        <v>1</v>
      </c>
      <c r="AA559" s="24"/>
      <c r="AB559" s="24"/>
      <c r="AC559" s="24"/>
      <c r="AD559" s="24"/>
      <c r="AE559" s="24"/>
    </row>
    <row r="560" spans="1:31" ht="22.2" customHeight="1" x14ac:dyDescent="0.3">
      <c r="A560" s="159" t="str">
        <f>+IF(PROVEEDORES[[#This Row],[FECHA DE PAGO]]=PROVEEDORES[[#This Row],[FECHA DE FACTURACIÓN]],"DE CONTADO","CRÉDITO")</f>
        <v>CRÉDITO</v>
      </c>
      <c r="B560" s="38" t="str">
        <f>+IF((PROVEEDORES[[#This Row],[FECHA DE PAGO]]-PROVEEDORES[[#This Row],[FECHA DE FACTURACIÓN]])&gt;PROVEEDORES[[#This Row],[PLAZO Días]],"PAGO VENCIDO")</f>
        <v>PAGO VENCIDO</v>
      </c>
      <c r="C560" s="20">
        <f>+VLOOKUP(PROVEEDORES[[#This Row],[PROVEEDOR]],TERCEROS_INFO[#All],2,FALSE)</f>
        <v>30</v>
      </c>
      <c r="D560" s="25">
        <f>+SUMIFS(PROVEEDORES[Total],PROVEEDORES[PROVEEDOR],PROVEEDORES[[#This Row],[PROVEEDOR]],PROVEEDORES[FECHA DE PAGO],"")</f>
        <v>1645455.6614999999</v>
      </c>
      <c r="E560" s="25"/>
      <c r="F560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560" s="161">
        <v>44783</v>
      </c>
      <c r="H560" s="26" t="s">
        <v>79</v>
      </c>
      <c r="I560" s="161">
        <v>44725</v>
      </c>
      <c r="J560" s="35" t="s">
        <v>1065</v>
      </c>
      <c r="K560" s="21">
        <v>277311</v>
      </c>
      <c r="L560" s="21"/>
      <c r="M560" s="22">
        <f>(PROVEEDORES[[#This Row],[SUBTOTAL]]-PROVEEDORES[[#This Row],[descuento sobre subtotal]])*VLOOKUP(PROVEEDORES[[#This Row],[PROVEEDOR]],TERCEROS_INFO[#All],3,FALSE)</f>
        <v>52689.090000000004</v>
      </c>
      <c r="N560" s="23"/>
      <c r="O560" s="22">
        <f>+PROVEEDORES[[#This Row],[Descuento sobre subtotal %]]*(PROVEEDORES[[#This Row],[SUBTOTAL]]-PROVEEDORES[[#This Row],[descuento sobre subtotal]])</f>
        <v>0</v>
      </c>
      <c r="P560" s="83">
        <f>+IF(PROVEEDORES[[#This Row],[SUBTOTAL]]&lt;PROVEEDORES[[#This Row],[base retencion]],0,PROVEEDORES[[#This Row],[retención aplicada]])</f>
        <v>0</v>
      </c>
      <c r="Q560" s="22">
        <f>+PROVEEDORES[[#This Row],[Rete Fuente %]]*(PROVEEDORES[[#This Row],[SUBTOTAL]]-PROVEEDORES[[#This Row],[descuento sobre subtotal]])</f>
        <v>0</v>
      </c>
      <c r="R560" s="21">
        <f>+PROVEEDORES[[#This Row],[SUBTOTAL]]+PROVEEDORES[[#This Row],[IVA 19%]]-PROVEEDORES[[#This Row],[descuento sobre subtotal]]-PROVEEDORES[[#This Row],[Descuento sobre subtotal $2]]-PROVEEDORES[[#This Row],[Rete Fuente $]]</f>
        <v>330000.09000000003</v>
      </c>
      <c r="S560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0" s="68">
        <f ca="1">IF(PROVEEDORES[[#This Row],[FECHA DE PAGO]]=0,TODAY()-PROVEEDORES[[#This Row],[FECHA DE FACTURACIÓN]]-PROVEEDORES[[#This Row],[PLAZO Días]],0)</f>
        <v>0</v>
      </c>
      <c r="U560" s="113" t="str">
        <f>+VLOOKUP(PROVEEDORES[[#This Row],[PROVEEDOR]],Terceros!$A:$D,4,FALSE)</f>
        <v>2,5% con base</v>
      </c>
      <c r="V560" s="114">
        <f>+YEAR(PROVEEDORES[[#This Row],[FECHA DE FACTURACIÓN]])</f>
        <v>2022</v>
      </c>
      <c r="W560" s="114">
        <f>+MATCH(PROVEEDORES[[#This Row],[año facturado]],Retenciones!$1:$1,0)</f>
        <v>5</v>
      </c>
      <c r="X560" s="115">
        <f>+VLOOKUP(PROVEEDORES[[#This Row],[ID RETENCION]],Retenciones!$A$1:$O$25,PROVEEDORES[[#This Row],[indicador de columna]],FALSE)</f>
        <v>1026000</v>
      </c>
      <c r="Y560" s="116">
        <f>+VLOOKUP(PROVEEDORES[[#This Row],[ID RETENCION]],Retenciones!$A$1:$O$25,2,FALSE)</f>
        <v>2.5000000000000001E-2</v>
      </c>
      <c r="Z560" s="125" t="b">
        <f>OR(COUNTIF(PROVEEDORES[[#This Row],[PROVEEDOR]],"*"&amp;'Palabra no opera'!$A$2&amp;"*"))</f>
        <v>0</v>
      </c>
      <c r="AA560" s="24"/>
      <c r="AB560" s="24"/>
      <c r="AC560" s="24"/>
      <c r="AD560" s="24"/>
      <c r="AE560" s="24"/>
    </row>
    <row r="561" spans="1:31" ht="22.2" customHeight="1" x14ac:dyDescent="0.3">
      <c r="A561" s="66" t="str">
        <f>+IF(PROVEEDORES[[#This Row],[FECHA DE PAGO]]=PROVEEDORES[[#This Row],[FECHA DE FACTURACIÓN]],"DE CONTADO","CRÉDITO")</f>
        <v>CRÉDITO</v>
      </c>
      <c r="B561" s="38" t="b">
        <f>+IF((PROVEEDORES[[#This Row],[FECHA DE PAGO]]-PROVEEDORES[[#This Row],[FECHA DE FACTURACIÓN]])&gt;PROVEEDORES[[#This Row],[PLAZO Días]],"PAGO VENCIDO")</f>
        <v>0</v>
      </c>
      <c r="C561" s="20">
        <f>+VLOOKUP(PROVEEDORES[[#This Row],[PROVEEDOR]],TERCEROS_INFO[#All],2,FALSE)</f>
        <v>30</v>
      </c>
      <c r="D561" s="25">
        <f>+SUMIFS(PROVEEDORES[Total],PROVEEDORES[PROVEEDOR],PROVEEDORES[[#This Row],[PROVEEDOR]],PROVEEDORES[FECHA DE PAGO],"")</f>
        <v>0</v>
      </c>
      <c r="E561" s="25"/>
      <c r="F561" s="58" t="str">
        <f>+VLOOKUP(PROVEEDORES[[#This Row],[PROVEEDOR]],
                       Terceros!$A:$F,
                       5,
                       FALSE)</f>
        <v/>
      </c>
      <c r="G561" s="161">
        <v>44609</v>
      </c>
      <c r="H561" s="26" t="s">
        <v>1130</v>
      </c>
      <c r="I561" s="161">
        <v>44603</v>
      </c>
      <c r="J561" s="35" t="s">
        <v>674</v>
      </c>
      <c r="K561" s="21">
        <v>331400</v>
      </c>
      <c r="L561" s="21"/>
      <c r="M561" s="22">
        <v>0</v>
      </c>
      <c r="N561" s="23"/>
      <c r="O561" s="22">
        <v>0</v>
      </c>
      <c r="P561" s="83">
        <f>+IF(PROVEEDORES[[#This Row],[SUBTOTAL]]&lt;PROVEEDORES[[#This Row],[base retencion]],0,PROVEEDORES[[#This Row],[retención aplicada]])</f>
        <v>0</v>
      </c>
      <c r="Q561" s="22">
        <f>+PROVEEDORES[[#This Row],[Rete Fuente %]]*(PROVEEDORES[[#This Row],[SUBTOTAL]]-PROVEEDORES[[#This Row],[descuento sobre subtotal]])</f>
        <v>0</v>
      </c>
      <c r="R561" s="21">
        <v>331400</v>
      </c>
      <c r="S5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68">
        <f ca="1">IF(PROVEEDORES[[#This Row],[FECHA DE PAGO]]=0,TODAY()-PROVEEDORES[[#This Row],[FECHA DE FACTURACIÓN]]-PROVEEDORES[[#This Row],[PLAZO Días]],0)</f>
        <v>0</v>
      </c>
      <c r="U561" s="96">
        <f>+VLOOKUP(PROVEEDORES[[#This Row],[PROVEEDOR]],Terceros!$A:$D,4,FALSE)</f>
        <v>0</v>
      </c>
      <c r="V561" s="97">
        <f>+YEAR(PROVEEDORES[[#This Row],[FECHA DE FACTURACIÓN]])</f>
        <v>2022</v>
      </c>
      <c r="W561" s="97">
        <f>+MATCH(PROVEEDORES[[#This Row],[año facturado]],Retenciones!$1:$1,0)</f>
        <v>5</v>
      </c>
      <c r="X561" s="98">
        <f>+VLOOKUP(PROVEEDORES[[#This Row],[ID RETENCION]],Retenciones!$A$1:$O$25,PROVEEDORES[[#This Row],[indicador de columna]],FALSE)</f>
        <v>0</v>
      </c>
      <c r="Y561" s="99">
        <f>+VLOOKUP(PROVEEDORES[[#This Row],[ID RETENCION]],Retenciones!$A$1:$O$25,2,FALSE)</f>
        <v>0</v>
      </c>
      <c r="Z561" s="125" t="b">
        <f>OR(COUNTIF(PROVEEDORES[[#This Row],[PROVEEDOR]],"*"&amp;'Palabra no opera'!$A$2&amp;"*"))</f>
        <v>1</v>
      </c>
      <c r="AA561" s="24"/>
      <c r="AB561" s="24"/>
      <c r="AC561" s="24"/>
      <c r="AD561" s="24"/>
      <c r="AE561" s="24"/>
    </row>
    <row r="562" spans="1:31" ht="22.2" customHeight="1" x14ac:dyDescent="0.3">
      <c r="A562" s="66" t="str">
        <f>+IF(PROVEEDORES[[#This Row],[FECHA DE PAGO]]=PROVEEDORES[[#This Row],[FECHA DE FACTURACIÓN]],"DE CONTADO","CRÉDITO")</f>
        <v>CRÉDITO</v>
      </c>
      <c r="B562" s="38" t="b">
        <f>+IF((PROVEEDORES[[#This Row],[FECHA DE PAGO]]-PROVEEDORES[[#This Row],[FECHA DE FACTURACIÓN]])&gt;PROVEEDORES[[#This Row],[PLAZO Días]],"PAGO VENCIDO")</f>
        <v>0</v>
      </c>
      <c r="C562" s="20">
        <f>+VLOOKUP(PROVEEDORES[[#This Row],[PROVEEDOR]],TERCEROS_INFO[#All],2,FALSE)</f>
        <v>30</v>
      </c>
      <c r="D562" s="25">
        <f>+SUMIFS(PROVEEDORES[Total],PROVEEDORES[PROVEEDOR],PROVEEDORES[[#This Row],[PROVEEDOR]],PROVEEDORES[FECHA DE PAGO],"")</f>
        <v>0</v>
      </c>
      <c r="E562" s="25"/>
      <c r="F56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62" s="161">
        <v>44385</v>
      </c>
      <c r="H562" s="26" t="s">
        <v>1451</v>
      </c>
      <c r="I562" s="161">
        <v>44380</v>
      </c>
      <c r="J562" s="35">
        <v>112</v>
      </c>
      <c r="K562" s="21">
        <v>341000</v>
      </c>
      <c r="L562" s="21"/>
      <c r="M562" s="22">
        <f>(PROVEEDORES[[#This Row],[SUBTOTAL]]-PROVEEDORES[[#This Row],[descuento sobre subtotal]])*VLOOKUP(PROVEEDORES[[#This Row],[PROVEEDOR]],TERCEROS_INFO[#All],3,FALSE)</f>
        <v>0</v>
      </c>
      <c r="N562" s="23"/>
      <c r="O562" s="22">
        <f>+PROVEEDORES[[#This Row],[Descuento sobre subtotal %]]*(PROVEEDORES[[#This Row],[SUBTOTAL]]-PROVEEDORES[[#This Row],[descuento sobre subtotal]])</f>
        <v>0</v>
      </c>
      <c r="P562" s="83">
        <f>+IF(PROVEEDORES[[#This Row],[SUBTOTAL]]&lt;PROVEEDORES[[#This Row],[base retencion]],0,PROVEEDORES[[#This Row],[retención aplicada]])</f>
        <v>0.01</v>
      </c>
      <c r="Q562" s="22">
        <f>+PROVEEDORES[[#This Row],[Rete Fuente %]]*(PROVEEDORES[[#This Row],[SUBTOTAL]]-PROVEEDORES[[#This Row],[descuento sobre subtotal]])</f>
        <v>3410</v>
      </c>
      <c r="R562" s="21">
        <f>+PROVEEDORES[[#This Row],[SUBTOTAL]]+PROVEEDORES[[#This Row],[IVA 19%]]-PROVEEDORES[[#This Row],[descuento sobre subtotal]]-PROVEEDORES[[#This Row],[Descuento sobre subtotal $2]]-PROVEEDORES[[#This Row],[Rete Fuente $]]</f>
        <v>337590</v>
      </c>
      <c r="S5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68">
        <f ca="1">IF(PROVEEDORES[[#This Row],[FECHA DE PAGO]]=0,TODAY()-PROVEEDORES[[#This Row],[FECHA DE FACTURACIÓN]]-PROVEEDORES[[#This Row],[PLAZO Días]],0)</f>
        <v>0</v>
      </c>
      <c r="U562" s="96" t="str">
        <f>+VLOOKUP(PROVEEDORES[[#This Row],[PROVEEDOR]],Terceros!$A:$D,4,FALSE)</f>
        <v>1% con base</v>
      </c>
      <c r="V562" s="97">
        <f>+YEAR(PROVEEDORES[[#This Row],[FECHA DE FACTURACIÓN]])</f>
        <v>2021</v>
      </c>
      <c r="W562" s="97">
        <f>+MATCH(PROVEEDORES[[#This Row],[año facturado]],Retenciones!$1:$1,0)</f>
        <v>4</v>
      </c>
      <c r="X562" s="98">
        <f>+VLOOKUP(PROVEEDORES[[#This Row],[ID RETENCION]],Retenciones!$A$1:$O$25,PROVEEDORES[[#This Row],[indicador de columna]],FALSE)</f>
        <v>145000</v>
      </c>
      <c r="Y562" s="99">
        <f>+VLOOKUP(PROVEEDORES[[#This Row],[ID RETENCION]],Retenciones!$A$1:$O$25,2,FALSE)</f>
        <v>0.01</v>
      </c>
      <c r="Z562" s="125" t="b">
        <f>OR(COUNTIF(PROVEEDORES[[#This Row],[PROVEEDOR]],"*"&amp;'Palabra no opera'!$A$2&amp;"*"))</f>
        <v>0</v>
      </c>
      <c r="AA562" s="24"/>
      <c r="AB562" s="24"/>
      <c r="AC562" s="24"/>
      <c r="AD562" s="24"/>
      <c r="AE562" s="24"/>
    </row>
    <row r="563" spans="1:31" ht="22.2" customHeight="1" x14ac:dyDescent="0.3">
      <c r="A563" s="66" t="str">
        <f>+IF(PROVEEDORES[[#This Row],[FECHA DE PAGO]]=PROVEEDORES[[#This Row],[FECHA DE FACTURACIÓN]],"DE CONTADO","CRÉDITO")</f>
        <v>DE CONTADO</v>
      </c>
      <c r="B563" s="38" t="b">
        <f>+IF((PROVEEDORES[[#This Row],[FECHA DE PAGO]]-PROVEEDORES[[#This Row],[FECHA DE FACTURACIÓN]])&gt;PROVEEDORES[[#This Row],[PLAZO Días]],"PAGO VENCIDO")</f>
        <v>0</v>
      </c>
      <c r="C563" s="20">
        <f>+VLOOKUP(PROVEEDORES[[#This Row],[PROVEEDOR]],TERCEROS_INFO[#All],2,FALSE)</f>
        <v>30</v>
      </c>
      <c r="D563" s="25">
        <f>+SUMIFS(PROVEEDORES[Total],PROVEEDORES[PROVEEDOR],PROVEEDORES[[#This Row],[PROVEEDOR]],PROVEEDORES[FECHA DE PAGO],"")</f>
        <v>0</v>
      </c>
      <c r="E563" s="25"/>
      <c r="F563" s="58" t="str">
        <f>+VLOOKUP(PROVEEDORES[[#This Row],[PROVEEDOR]],
                       Terceros!$A:$F,
                       5,
                       FALSE)</f>
        <v/>
      </c>
      <c r="G563" s="161">
        <v>44438</v>
      </c>
      <c r="H563" s="26" t="s">
        <v>644</v>
      </c>
      <c r="I563" s="161">
        <v>44438</v>
      </c>
      <c r="J563" s="35" t="s">
        <v>75</v>
      </c>
      <c r="K563" s="21">
        <v>338900</v>
      </c>
      <c r="L563" s="21"/>
      <c r="M563" s="22">
        <f>(PROVEEDORES[[#This Row],[SUBTOTAL]]-PROVEEDORES[[#This Row],[descuento sobre subtotal]])*VLOOKUP(PROVEEDORES[[#This Row],[PROVEEDOR]],TERCEROS_INFO[#All],3,FALSE)</f>
        <v>0</v>
      </c>
      <c r="N563" s="23"/>
      <c r="O563" s="22">
        <f>+PROVEEDORES[[#This Row],[Descuento sobre subtotal %]]*(PROVEEDORES[[#This Row],[SUBTOTAL]]-PROVEEDORES[[#This Row],[descuento sobre subtotal]])</f>
        <v>0</v>
      </c>
      <c r="P563" s="83">
        <f>+IF(PROVEEDORES[[#This Row],[SUBTOTAL]]&lt;PROVEEDORES[[#This Row],[base retencion]],0,PROVEEDORES[[#This Row],[retención aplicada]])</f>
        <v>0</v>
      </c>
      <c r="Q563" s="22">
        <f>+PROVEEDORES[[#This Row],[Rete Fuente %]]*(PROVEEDORES[[#This Row],[SUBTOTAL]]-PROVEEDORES[[#This Row],[descuento sobre subtotal]])</f>
        <v>0</v>
      </c>
      <c r="R563" s="21">
        <f>+PROVEEDORES[[#This Row],[SUBTOTAL]]+PROVEEDORES[[#This Row],[IVA 19%]]-PROVEEDORES[[#This Row],[descuento sobre subtotal]]-PROVEEDORES[[#This Row],[Descuento sobre subtotal $2]]-PROVEEDORES[[#This Row],[Rete Fuente $]]</f>
        <v>338900</v>
      </c>
      <c r="S5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68">
        <f ca="1">IF(PROVEEDORES[[#This Row],[FECHA DE PAGO]]=0,TODAY()-PROVEEDORES[[#This Row],[FECHA DE FACTURACIÓN]]-PROVEEDORES[[#This Row],[PLAZO Días]],0)</f>
        <v>0</v>
      </c>
      <c r="U563" s="96">
        <f>+VLOOKUP(PROVEEDORES[[#This Row],[PROVEEDOR]],Terceros!$A:$D,4,FALSE)</f>
        <v>0</v>
      </c>
      <c r="V563" s="97">
        <f>+YEAR(PROVEEDORES[[#This Row],[FECHA DE FACTURACIÓN]])</f>
        <v>2021</v>
      </c>
      <c r="W563" s="97">
        <f>+MATCH(PROVEEDORES[[#This Row],[año facturado]],Retenciones!$1:$1,0)</f>
        <v>4</v>
      </c>
      <c r="X563" s="98">
        <f>+VLOOKUP(PROVEEDORES[[#This Row],[ID RETENCION]],Retenciones!$A$1:$O$25,PROVEEDORES[[#This Row],[indicador de columna]],FALSE)</f>
        <v>0</v>
      </c>
      <c r="Y563" s="99">
        <f>+VLOOKUP(PROVEEDORES[[#This Row],[ID RETENCION]],Retenciones!$A$1:$O$25,2,FALSE)</f>
        <v>0</v>
      </c>
      <c r="Z563" s="125" t="b">
        <f>OR(COUNTIF(PROVEEDORES[[#This Row],[PROVEEDOR]],"*"&amp;'Palabra no opera'!$A$2&amp;"*"))</f>
        <v>0</v>
      </c>
      <c r="AA563" s="24"/>
      <c r="AB563" s="24"/>
      <c r="AC563" s="24"/>
      <c r="AD563" s="24"/>
      <c r="AE563" s="24"/>
    </row>
    <row r="564" spans="1:31" ht="22.2" customHeight="1" x14ac:dyDescent="0.3">
      <c r="A564" s="207" t="str">
        <f>+IF(PROVEEDORES[[#This Row],[FECHA DE PAGO]]=PROVEEDORES[[#This Row],[FECHA DE FACTURACIÓN]],"DE CONTADO","CRÉDITO")</f>
        <v>CRÉDITO</v>
      </c>
      <c r="B564" s="38" t="b">
        <f>+IF((PROVEEDORES[[#This Row],[FECHA DE PAGO]]-PROVEEDORES[[#This Row],[FECHA DE FACTURACIÓN]])&gt;PROVEEDORES[[#This Row],[PLAZO Días]],"PAGO VENCIDO")</f>
        <v>0</v>
      </c>
      <c r="C564" s="20">
        <f>+VLOOKUP(PROVEEDORES[[#This Row],[PROVEEDOR]],TERCEROS_INFO[#All],2,FALSE)</f>
        <v>60</v>
      </c>
      <c r="D564" s="25">
        <f>+SUMIFS(PROVEEDORES[Total],PROVEEDORES[PROVEEDOR],PROVEEDORES[[#This Row],[PROVEEDOR]],PROVEEDORES[FECHA DE PAGO],"")</f>
        <v>1520362</v>
      </c>
      <c r="E564" s="25"/>
      <c r="F56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64" s="161">
        <v>44811</v>
      </c>
      <c r="H564" s="26" t="s">
        <v>528</v>
      </c>
      <c r="I564" s="161">
        <v>44785</v>
      </c>
      <c r="J564" s="35" t="s">
        <v>1627</v>
      </c>
      <c r="K564" s="21">
        <v>338998</v>
      </c>
      <c r="L564" s="21"/>
      <c r="M564" s="22">
        <f>(PROVEEDORES[[#This Row],[SUBTOTAL]]-PROVEEDORES[[#This Row],[descuento sobre subtotal]])*VLOOKUP(PROVEEDORES[[#This Row],[PROVEEDOR]],TERCEROS_INFO[#All],3,FALSE)</f>
        <v>0</v>
      </c>
      <c r="N564" s="23"/>
      <c r="O564" s="22">
        <f>+PROVEEDORES[[#This Row],[Descuento sobre subtotal %]]*(PROVEEDORES[[#This Row],[SUBTOTAL]]-PROVEEDORES[[#This Row],[descuento sobre subtotal]])</f>
        <v>0</v>
      </c>
      <c r="P564" s="83">
        <f>+IF(PROVEEDORES[[#This Row],[SUBTOTAL]]&lt;PROVEEDORES[[#This Row],[base retencion]],0,PROVEEDORES[[#This Row],[retención aplicada]])</f>
        <v>0</v>
      </c>
      <c r="Q564" s="22">
        <f>+PROVEEDORES[[#This Row],[Rete Fuente %]]*(PROVEEDORES[[#This Row],[SUBTOTAL]]-PROVEEDORES[[#This Row],[descuento sobre subtotal]])</f>
        <v>0</v>
      </c>
      <c r="R564" s="21">
        <f>+PROVEEDORES[[#This Row],[SUBTOTAL]]+PROVEEDORES[[#This Row],[IVA 19%]]-PROVEEDORES[[#This Row],[descuento sobre subtotal]]-PROVEEDORES[[#This Row],[Descuento sobre subtotal $2]]-PROVEEDORES[[#This Row],[Rete Fuente $]]</f>
        <v>338998</v>
      </c>
      <c r="S564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68">
        <f ca="1">IF(PROVEEDORES[[#This Row],[FECHA DE PAGO]]=0,TODAY()-PROVEEDORES[[#This Row],[FECHA DE FACTURACIÓN]]-PROVEEDORES[[#This Row],[PLAZO Días]],0)</f>
        <v>0</v>
      </c>
      <c r="U564" s="113">
        <f>+VLOOKUP(PROVEEDORES[[#This Row],[PROVEEDOR]],Terceros!$A:$D,4,FALSE)</f>
        <v>0</v>
      </c>
      <c r="V564" s="114">
        <f>+YEAR(PROVEEDORES[[#This Row],[FECHA DE FACTURACIÓN]])</f>
        <v>2022</v>
      </c>
      <c r="W564" s="114">
        <f>+MATCH(PROVEEDORES[[#This Row],[año facturado]],Retenciones!$1:$1,0)</f>
        <v>5</v>
      </c>
      <c r="X564" s="115">
        <f>+VLOOKUP(PROVEEDORES[[#This Row],[ID RETENCION]],Retenciones!$A$1:$O$25,PROVEEDORES[[#This Row],[indicador de columna]],FALSE)</f>
        <v>0</v>
      </c>
      <c r="Y564" s="116">
        <f>+VLOOKUP(PROVEEDORES[[#This Row],[ID RETENCION]],Retenciones!$A$1:$O$25,2,FALSE)</f>
        <v>0</v>
      </c>
      <c r="Z564" s="125" t="b">
        <f>OR(COUNTIF(PROVEEDORES[[#This Row],[PROVEEDOR]],"*"&amp;'Palabra no opera'!$A$2&amp;"*"))</f>
        <v>0</v>
      </c>
      <c r="AA564" s="24"/>
      <c r="AB564" s="24"/>
      <c r="AC564" s="24"/>
      <c r="AD564" s="24"/>
      <c r="AE564" s="24"/>
    </row>
    <row r="565" spans="1:31" ht="22.2" customHeight="1" x14ac:dyDescent="0.3">
      <c r="A565" s="66" t="str">
        <f>+IF(PROVEEDORES[[#This Row],[FECHA DE PAGO]]=PROVEEDORES[[#This Row],[FECHA DE FACTURACIÓN]],"DE CONTADO","CRÉDITO")</f>
        <v>CRÉDITO</v>
      </c>
      <c r="B565" s="38" t="b">
        <f>+IF((PROVEEDORES[[#This Row],[FECHA DE PAGO]]-PROVEEDORES[[#This Row],[FECHA DE FACTURACIÓN]])&gt;PROVEEDORES[[#This Row],[PLAZO Días]],"PAGO VENCIDO")</f>
        <v>0</v>
      </c>
      <c r="C565" s="20">
        <f>+VLOOKUP(PROVEEDORES[[#This Row],[PROVEEDOR]],TERCEROS_INFO[#All],2,FALSE)</f>
        <v>30</v>
      </c>
      <c r="D565" s="25">
        <f>+SUMIFS(PROVEEDORES[Total],PROVEEDORES[PROVEEDOR],PROVEEDORES[[#This Row],[PROVEEDOR]],PROVEEDORES[FECHA DE PAGO],"")</f>
        <v>4712021.58</v>
      </c>
      <c r="E565" s="25"/>
      <c r="F56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65" s="161">
        <v>44575</v>
      </c>
      <c r="H565" s="26" t="s">
        <v>17</v>
      </c>
      <c r="I565" s="161">
        <v>44562</v>
      </c>
      <c r="J565" s="35">
        <v>1852120</v>
      </c>
      <c r="K565" s="21">
        <v>285600</v>
      </c>
      <c r="L565" s="21"/>
      <c r="M565" s="22">
        <f>(PROVEEDORES[[#This Row],[SUBTOTAL]]-PROVEEDORES[[#This Row],[descuento sobre subtotal]])*VLOOKUP(PROVEEDORES[[#This Row],[PROVEEDOR]],TERCEROS_INFO[#All],3,FALSE)</f>
        <v>54264</v>
      </c>
      <c r="N565" s="23"/>
      <c r="O565" s="22">
        <f>+PROVEEDORES[[#This Row],[Descuento sobre subtotal %]]*(PROVEEDORES[[#This Row],[SUBTOTAL]]-PROVEEDORES[[#This Row],[descuento sobre subtotal]])</f>
        <v>0</v>
      </c>
      <c r="P565" s="83">
        <f>+IF(PROVEEDORES[[#This Row],[SUBTOTAL]]&lt;PROVEEDORES[[#This Row],[base retencion]],0,PROVEEDORES[[#This Row],[retención aplicada]])</f>
        <v>0</v>
      </c>
      <c r="Q565" s="22">
        <f>+PROVEEDORES[[#This Row],[Rete Fuente %]]*(PROVEEDORES[[#This Row],[SUBTOTAL]]-PROVEEDORES[[#This Row],[descuento sobre subtotal]])</f>
        <v>0</v>
      </c>
      <c r="R565" s="21">
        <v>339864</v>
      </c>
      <c r="S5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68">
        <f ca="1">IF(PROVEEDORES[[#This Row],[FECHA DE PAGO]]=0,TODAY()-PROVEEDORES[[#This Row],[FECHA DE FACTURACIÓN]]-PROVEEDORES[[#This Row],[PLAZO Días]],0)</f>
        <v>0</v>
      </c>
      <c r="U565" s="96">
        <f>+VLOOKUP(PROVEEDORES[[#This Row],[PROVEEDOR]],Terceros!$A:$D,4,FALSE)</f>
        <v>0</v>
      </c>
      <c r="V565" s="97">
        <f>+YEAR(PROVEEDORES[[#This Row],[FECHA DE FACTURACIÓN]])</f>
        <v>2022</v>
      </c>
      <c r="W565" s="97">
        <f>+MATCH(PROVEEDORES[[#This Row],[año facturado]],Retenciones!$1:$1,0)</f>
        <v>5</v>
      </c>
      <c r="X565" s="98">
        <f>+VLOOKUP(PROVEEDORES[[#This Row],[ID RETENCION]],Retenciones!$A$1:$O$25,PROVEEDORES[[#This Row],[indicador de columna]],FALSE)</f>
        <v>0</v>
      </c>
      <c r="Y565" s="99">
        <f>+VLOOKUP(PROVEEDORES[[#This Row],[ID RETENCION]],Retenciones!$A$1:$O$25,2,FALSE)</f>
        <v>0</v>
      </c>
      <c r="Z565" s="125" t="b">
        <f>OR(COUNTIF(PROVEEDORES[[#This Row],[PROVEEDOR]],"*"&amp;'Palabra no opera'!$A$2&amp;"*"))</f>
        <v>0</v>
      </c>
      <c r="AA565" s="24"/>
      <c r="AB565" s="24"/>
      <c r="AC565" s="24"/>
      <c r="AD565" s="24"/>
      <c r="AE565" s="24"/>
    </row>
    <row r="566" spans="1:31" ht="22.2" customHeight="1" x14ac:dyDescent="0.3">
      <c r="A566" s="221" t="str">
        <f>+IF(PROVEEDORES[[#This Row],[FECHA DE PAGO]]=PROVEEDORES[[#This Row],[FECHA DE FACTURACIÓN]],"DE CONTADO","CRÉDITO")</f>
        <v>CRÉDITO</v>
      </c>
      <c r="B566" s="38" t="b">
        <f>+IF((PROVEEDORES[[#This Row],[FECHA DE PAGO]]-PROVEEDORES[[#This Row],[FECHA DE FACTURACIÓN]])&gt;PROVEEDORES[[#This Row],[PLAZO Días]],"PAGO VENCIDO")</f>
        <v>0</v>
      </c>
      <c r="C566" s="20">
        <f>+VLOOKUP(PROVEEDORES[[#This Row],[PROVEEDOR]],TERCEROS_INFO[#All],2,FALSE)</f>
        <v>30</v>
      </c>
      <c r="D566" s="25">
        <f>+SUMIFS(PROVEEDORES[Total],PROVEEDORES[PROVEEDOR],PROVEEDORES[[#This Row],[PROVEEDOR]],PROVEEDORES[FECHA DE PAGO],"")</f>
        <v>0</v>
      </c>
      <c r="E566" s="25"/>
      <c r="F56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66" s="161">
        <v>44827</v>
      </c>
      <c r="H566" s="26" t="s">
        <v>1451</v>
      </c>
      <c r="I566" s="161">
        <v>44825</v>
      </c>
      <c r="J566" s="35" t="s">
        <v>1680</v>
      </c>
      <c r="K566" s="21">
        <v>344386</v>
      </c>
      <c r="L566" s="21"/>
      <c r="M566" s="22">
        <f>(PROVEEDORES[[#This Row],[SUBTOTAL]]-PROVEEDORES[[#This Row],[descuento sobre subtotal]])*VLOOKUP(PROVEEDORES[[#This Row],[PROVEEDOR]],TERCEROS_INFO[#All],3,FALSE)</f>
        <v>0</v>
      </c>
      <c r="N566" s="23"/>
      <c r="O566" s="22">
        <f>+PROVEEDORES[[#This Row],[Descuento sobre subtotal %]]*(PROVEEDORES[[#This Row],[SUBTOTAL]]-PROVEEDORES[[#This Row],[descuento sobre subtotal]])</f>
        <v>0</v>
      </c>
      <c r="P566" s="83">
        <f>+IF(PROVEEDORES[[#This Row],[SUBTOTAL]]&lt;PROVEEDORES[[#This Row],[base retencion]],0,PROVEEDORES[[#This Row],[retención aplicada]])</f>
        <v>0.01</v>
      </c>
      <c r="Q566" s="22">
        <f>+PROVEEDORES[[#This Row],[Rete Fuente %]]*(PROVEEDORES[[#This Row],[SUBTOTAL]]-PROVEEDORES[[#This Row],[descuento sobre subtotal]])</f>
        <v>3443.86</v>
      </c>
      <c r="R566" s="21">
        <f>+PROVEEDORES[[#This Row],[SUBTOTAL]]+PROVEEDORES[[#This Row],[IVA 19%]]-PROVEEDORES[[#This Row],[descuento sobre subtotal]]-PROVEEDORES[[#This Row],[Descuento sobre subtotal $2]]-PROVEEDORES[[#This Row],[Rete Fuente $]]</f>
        <v>340942.14</v>
      </c>
      <c r="S566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68">
        <f ca="1">IF(PROVEEDORES[[#This Row],[FECHA DE PAGO]]=0,TODAY()-PROVEEDORES[[#This Row],[FECHA DE FACTURACIÓN]]-PROVEEDORES[[#This Row],[PLAZO Días]],0)</f>
        <v>0</v>
      </c>
      <c r="U566" s="113" t="str">
        <f>+VLOOKUP(PROVEEDORES[[#This Row],[PROVEEDOR]],Terceros!$A:$D,4,FALSE)</f>
        <v>1% con base</v>
      </c>
      <c r="V566" s="114">
        <f>+YEAR(PROVEEDORES[[#This Row],[FECHA DE FACTURACIÓN]])</f>
        <v>2022</v>
      </c>
      <c r="W566" s="114">
        <f>+MATCH(PROVEEDORES[[#This Row],[año facturado]],Retenciones!$1:$1,0)</f>
        <v>5</v>
      </c>
      <c r="X566" s="115">
        <f>+VLOOKUP(PROVEEDORES[[#This Row],[ID RETENCION]],Retenciones!$A$1:$O$25,PROVEEDORES[[#This Row],[indicador de columna]],FALSE)</f>
        <v>152000</v>
      </c>
      <c r="Y566" s="116">
        <f>+VLOOKUP(PROVEEDORES[[#This Row],[ID RETENCION]],Retenciones!$A$1:$O$25,2,FALSE)</f>
        <v>0.01</v>
      </c>
      <c r="Z566" s="125" t="b">
        <f>OR(COUNTIF(PROVEEDORES[[#This Row],[PROVEEDOR]],"*"&amp;'Palabra no opera'!$A$2&amp;"*"))</f>
        <v>0</v>
      </c>
      <c r="AA566" s="24"/>
      <c r="AB566" s="24"/>
      <c r="AC566" s="24"/>
      <c r="AD566" s="24"/>
      <c r="AE566" s="24"/>
    </row>
    <row r="567" spans="1:31" ht="22.2" customHeight="1" x14ac:dyDescent="0.3">
      <c r="A567" s="66" t="str">
        <f>+IF(PROVEEDORES[[#This Row],[FECHA DE PAGO]]=PROVEEDORES[[#This Row],[FECHA DE FACTURACIÓN]],"DE CONTADO","CRÉDITO")</f>
        <v>CRÉDITO</v>
      </c>
      <c r="B567" s="38" t="b">
        <f>+IF((PROVEEDORES[[#This Row],[FECHA DE PAGO]]-PROVEEDORES[[#This Row],[FECHA DE FACTURACIÓN]])&gt;PROVEEDORES[[#This Row],[PLAZO Días]],"PAGO VENCIDO")</f>
        <v>0</v>
      </c>
      <c r="C567" s="20">
        <f>+VLOOKUP(PROVEEDORES[[#This Row],[PROVEEDOR]],TERCEROS_INFO[#All],2,FALSE)</f>
        <v>30</v>
      </c>
      <c r="D567" s="25">
        <f>+SUMIFS(PROVEEDORES[Total],PROVEEDORES[PROVEEDOR],PROVEEDORES[[#This Row],[PROVEEDOR]],PROVEEDORES[FECHA DE PAGO],"")</f>
        <v>0</v>
      </c>
      <c r="E567" s="25"/>
      <c r="F567" s="58">
        <f>+VLOOKUP(PROVEEDORES[[#This Row],[PROVEEDOR]],
                       Terceros!$A:$F,
                       5,
                       FALSE)</f>
        <v>0</v>
      </c>
      <c r="G567" s="161">
        <v>44663</v>
      </c>
      <c r="H567" s="26" t="s">
        <v>932</v>
      </c>
      <c r="I567" s="161">
        <v>44652</v>
      </c>
      <c r="J567" s="35" t="s">
        <v>307</v>
      </c>
      <c r="K567" s="21">
        <v>342453</v>
      </c>
      <c r="L567" s="21"/>
      <c r="M567" s="22">
        <f>(PROVEEDORES[[#This Row],[SUBTOTAL]]-PROVEEDORES[[#This Row],[descuento sobre subtotal]])*VLOOKUP(PROVEEDORES[[#This Row],[PROVEEDOR]],TERCEROS_INFO[#All],3,FALSE)</f>
        <v>0</v>
      </c>
      <c r="N567" s="23"/>
      <c r="O567" s="22">
        <f>+PROVEEDORES[[#This Row],[Descuento sobre subtotal %]]*(PROVEEDORES[[#This Row],[SUBTOTAL]]-PROVEEDORES[[#This Row],[descuento sobre subtotal]])</f>
        <v>0</v>
      </c>
      <c r="P567" s="83">
        <f>+IF(PROVEEDORES[[#This Row],[SUBTOTAL]]&lt;PROVEEDORES[[#This Row],[base retencion]],0,PROVEEDORES[[#This Row],[retención aplicada]])</f>
        <v>0</v>
      </c>
      <c r="Q567" s="22">
        <f>+PROVEEDORES[[#This Row],[Rete Fuente %]]*(PROVEEDORES[[#This Row],[SUBTOTAL]]-PROVEEDORES[[#This Row],[descuento sobre subtotal]])</f>
        <v>0</v>
      </c>
      <c r="R567" s="21">
        <v>342453</v>
      </c>
      <c r="S5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68">
        <f ca="1">IF(PROVEEDORES[[#This Row],[FECHA DE PAGO]]=0,TODAY()-PROVEEDORES[[#This Row],[FECHA DE FACTURACIÓN]]-PROVEEDORES[[#This Row],[PLAZO Días]],0)</f>
        <v>0</v>
      </c>
      <c r="U567" s="96">
        <f>+VLOOKUP(PROVEEDORES[[#This Row],[PROVEEDOR]],Terceros!$A:$D,4,FALSE)</f>
        <v>0</v>
      </c>
      <c r="V567" s="97">
        <f>+YEAR(PROVEEDORES[[#This Row],[FECHA DE FACTURACIÓN]])</f>
        <v>2022</v>
      </c>
      <c r="W567" s="97">
        <f>+MATCH(PROVEEDORES[[#This Row],[año facturado]],Retenciones!$1:$1,0)</f>
        <v>5</v>
      </c>
      <c r="X567" s="98">
        <f>+VLOOKUP(PROVEEDORES[[#This Row],[ID RETENCION]],Retenciones!$A$1:$O$25,PROVEEDORES[[#This Row],[indicador de columna]],FALSE)</f>
        <v>0</v>
      </c>
      <c r="Y567" s="99">
        <f>+VLOOKUP(PROVEEDORES[[#This Row],[ID RETENCION]],Retenciones!$A$1:$O$25,2,FALSE)</f>
        <v>0</v>
      </c>
      <c r="Z567" s="125" t="b">
        <f>OR(COUNTIF(PROVEEDORES[[#This Row],[PROVEEDOR]],"*"&amp;'Palabra no opera'!$A$2&amp;"*"))</f>
        <v>1</v>
      </c>
      <c r="AA567" s="24"/>
      <c r="AB567" s="24"/>
      <c r="AC567" s="24"/>
      <c r="AD567" s="24"/>
      <c r="AE567" s="24"/>
    </row>
    <row r="568" spans="1:31" ht="22.2" customHeight="1" x14ac:dyDescent="0.3">
      <c r="A568" s="269" t="str">
        <f>+IF(PROVEEDORES[[#This Row],[FECHA DE PAGO]]=PROVEEDORES[[#This Row],[FECHA DE FACTURACIÓN]],"DE CONTADO","CRÉDITO")</f>
        <v>CRÉDITO</v>
      </c>
      <c r="B568" s="38" t="b">
        <f>+IF((PROVEEDORES[[#This Row],[FECHA DE PAGO]]-PROVEEDORES[[#This Row],[FECHA DE FACTURACIÓN]])&gt;PROVEEDORES[[#This Row],[PLAZO Días]],"PAGO VENCIDO")</f>
        <v>0</v>
      </c>
      <c r="C568" s="20">
        <f>+VLOOKUP(PROVEEDORES[[#This Row],[PROVEEDOR]],TERCEROS_INFO[#All],2,FALSE)</f>
        <v>60</v>
      </c>
      <c r="D568" s="25">
        <f>+SUMIFS(PROVEEDORES[Total],PROVEEDORES[PROVEEDOR],PROVEEDORES[[#This Row],[PROVEEDOR]],PROVEEDORES[FECHA DE PAGO],"")</f>
        <v>1520362</v>
      </c>
      <c r="E568" s="25"/>
      <c r="F56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68" s="161">
        <v>44870</v>
      </c>
      <c r="H568" s="26" t="s">
        <v>528</v>
      </c>
      <c r="I568" s="161">
        <v>44859</v>
      </c>
      <c r="J568" s="35">
        <v>1511</v>
      </c>
      <c r="K568" s="21">
        <v>344386</v>
      </c>
      <c r="L568" s="21"/>
      <c r="M568" s="22">
        <f>(PROVEEDORES[[#This Row],[SUBTOTAL]]-PROVEEDORES[[#This Row],[descuento sobre subtotal]])*VLOOKUP(PROVEEDORES[[#This Row],[PROVEEDOR]],TERCEROS_INFO[#All],3,FALSE)</f>
        <v>0</v>
      </c>
      <c r="N568" s="23"/>
      <c r="O568" s="22">
        <f>+PROVEEDORES[[#This Row],[Descuento sobre subtotal %]]*(PROVEEDORES[[#This Row],[SUBTOTAL]]-PROVEEDORES[[#This Row],[descuento sobre subtotal]])</f>
        <v>0</v>
      </c>
      <c r="P568" s="83">
        <f>+IF(PROVEEDORES[[#This Row],[SUBTOTAL]]&lt;PROVEEDORES[[#This Row],[base retencion]],0,PROVEEDORES[[#This Row],[retención aplicada]])</f>
        <v>0</v>
      </c>
      <c r="Q568" s="22">
        <f>+PROVEEDORES[[#This Row],[Rete Fuente %]]*(PROVEEDORES[[#This Row],[SUBTOTAL]]-PROVEEDORES[[#This Row],[descuento sobre subtotal]])</f>
        <v>0</v>
      </c>
      <c r="R568" s="21">
        <f>+PROVEEDORES[[#This Row],[SUBTOTAL]]+PROVEEDORES[[#This Row],[IVA 19%]]-PROVEEDORES[[#This Row],[descuento sobre subtotal]]-PROVEEDORES[[#This Row],[Descuento sobre subtotal $2]]-PROVEEDORES[[#This Row],[Rete Fuente $]]</f>
        <v>344386</v>
      </c>
      <c r="S568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68">
        <f ca="1">IF(PROVEEDORES[[#This Row],[FECHA DE PAGO]]=0,TODAY()-PROVEEDORES[[#This Row],[FECHA DE FACTURACIÓN]]-PROVEEDORES[[#This Row],[PLAZO Días]],0)</f>
        <v>0</v>
      </c>
      <c r="U568" s="113">
        <f>+VLOOKUP(PROVEEDORES[[#This Row],[PROVEEDOR]],Terceros!$A:$D,4,FALSE)</f>
        <v>0</v>
      </c>
      <c r="V568" s="114">
        <f>+YEAR(PROVEEDORES[[#This Row],[FECHA DE FACTURACIÓN]])</f>
        <v>2022</v>
      </c>
      <c r="W568" s="114">
        <f>+MATCH(PROVEEDORES[[#This Row],[año facturado]],Retenciones!$1:$1,0)</f>
        <v>5</v>
      </c>
      <c r="X568" s="115">
        <f>+VLOOKUP(PROVEEDORES[[#This Row],[ID RETENCION]],Retenciones!$A$1:$O$25,PROVEEDORES[[#This Row],[indicador de columna]],FALSE)</f>
        <v>0</v>
      </c>
      <c r="Y568" s="116">
        <f>+VLOOKUP(PROVEEDORES[[#This Row],[ID RETENCION]],Retenciones!$A$1:$O$25,2,FALSE)</f>
        <v>0</v>
      </c>
      <c r="Z568" s="125" t="b">
        <f>OR(COUNTIF(PROVEEDORES[[#This Row],[PROVEEDOR]],"*"&amp;'Palabra no opera'!$A$2&amp;"*"))</f>
        <v>0</v>
      </c>
      <c r="AA568" s="24"/>
      <c r="AB568" s="24"/>
      <c r="AC568" s="24"/>
      <c r="AD568" s="24"/>
      <c r="AE568" s="24"/>
    </row>
    <row r="569" spans="1:31" ht="22.2" customHeight="1" x14ac:dyDescent="0.3">
      <c r="A569" s="66" t="str">
        <f>+IF(PROVEEDORES[[#This Row],[FECHA DE PAGO]]=PROVEEDORES[[#This Row],[FECHA DE FACTURACIÓN]],"DE CONTADO","CRÉDITO")</f>
        <v>CRÉDITO</v>
      </c>
      <c r="B569" s="38" t="str">
        <f>+IF((PROVEEDORES[[#This Row],[FECHA DE PAGO]]-PROVEEDORES[[#This Row],[FECHA DE FACTURACIÓN]])&gt;PROVEEDORES[[#This Row],[PLAZO Días]],"PAGO VENCIDO")</f>
        <v>PAGO VENCIDO</v>
      </c>
      <c r="C569" s="20">
        <f>+VLOOKUP(PROVEEDORES[[#This Row],[PROVEEDOR]],TERCEROS_INFO[#All],2,FALSE)</f>
        <v>90</v>
      </c>
      <c r="D569" s="25">
        <f>+SUMIFS(PROVEEDORES[Total],PROVEEDORES[PROVEEDOR],PROVEEDORES[[#This Row],[PROVEEDOR]],PROVEEDORES[FECHA DE PAGO],"")</f>
        <v>0</v>
      </c>
      <c r="E569" s="25"/>
      <c r="F569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569" s="161">
        <v>44537</v>
      </c>
      <c r="H569" s="26" t="s">
        <v>9</v>
      </c>
      <c r="I569" s="161">
        <v>44435</v>
      </c>
      <c r="J569" s="35">
        <v>71594</v>
      </c>
      <c r="K569" s="21">
        <v>289527</v>
      </c>
      <c r="L569" s="21"/>
      <c r="M569" s="22">
        <f>(PROVEEDORES[[#This Row],[SUBTOTAL]]-PROVEEDORES[[#This Row],[descuento sobre subtotal]])*VLOOKUP(PROVEEDORES[[#This Row],[PROVEEDOR]],TERCEROS_INFO[#All],3,FALSE)</f>
        <v>55010.13</v>
      </c>
      <c r="N569" s="23"/>
      <c r="O569" s="22">
        <f>+PROVEEDORES[[#This Row],[Descuento sobre subtotal %]]*(PROVEEDORES[[#This Row],[SUBTOTAL]]-PROVEEDORES[[#This Row],[descuento sobre subtotal]])</f>
        <v>0</v>
      </c>
      <c r="P569" s="83">
        <f>+IF(PROVEEDORES[[#This Row],[SUBTOTAL]]&lt;PROVEEDORES[[#This Row],[base retencion]],0,PROVEEDORES[[#This Row],[retención aplicada]])</f>
        <v>0</v>
      </c>
      <c r="Q569" s="22">
        <f>+PROVEEDORES[[#This Row],[Rete Fuente %]]*(PROVEEDORES[[#This Row],[SUBTOTAL]]-PROVEEDORES[[#This Row],[descuento sobre subtotal]])</f>
        <v>0</v>
      </c>
      <c r="R569" s="21">
        <f>+PROVEEDORES[[#This Row],[SUBTOTAL]]+PROVEEDORES[[#This Row],[IVA 19%]]-PROVEEDORES[[#This Row],[descuento sobre subtotal]]-PROVEEDORES[[#This Row],[Descuento sobre subtotal $2]]-PROVEEDORES[[#This Row],[Rete Fuente $]]</f>
        <v>344537.13</v>
      </c>
      <c r="S5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68">
        <f ca="1">IF(PROVEEDORES[[#This Row],[FECHA DE PAGO]]=0,TODAY()-PROVEEDORES[[#This Row],[FECHA DE FACTURACIÓN]]-PROVEEDORES[[#This Row],[PLAZO Días]],0)</f>
        <v>0</v>
      </c>
      <c r="U569" s="96" t="str">
        <f>+VLOOKUP(PROVEEDORES[[#This Row],[PROVEEDOR]],Terceros!$A:$D,4,FALSE)</f>
        <v>2,5% con base</v>
      </c>
      <c r="V569" s="97">
        <f>+YEAR(PROVEEDORES[[#This Row],[FECHA DE FACTURACIÓN]])</f>
        <v>2021</v>
      </c>
      <c r="W569" s="97">
        <f>+MATCH(PROVEEDORES[[#This Row],[año facturado]],Retenciones!$1:$1,0)</f>
        <v>4</v>
      </c>
      <c r="X569" s="98">
        <f>+VLOOKUP(PROVEEDORES[[#This Row],[ID RETENCION]],Retenciones!$A$1:$O$25,PROVEEDORES[[#This Row],[indicador de columna]],FALSE)</f>
        <v>980000</v>
      </c>
      <c r="Y569" s="99">
        <f>+VLOOKUP(PROVEEDORES[[#This Row],[ID RETENCION]],Retenciones!$A$1:$O$25,2,FALSE)</f>
        <v>2.5000000000000001E-2</v>
      </c>
      <c r="Z569" s="125" t="b">
        <f>OR(COUNTIF(PROVEEDORES[[#This Row],[PROVEEDOR]],"*"&amp;'Palabra no opera'!$A$2&amp;"*"))</f>
        <v>0</v>
      </c>
      <c r="AA569" s="24"/>
      <c r="AB569" s="24"/>
      <c r="AC569" s="24"/>
      <c r="AD569" s="24"/>
      <c r="AE569" s="24"/>
    </row>
    <row r="570" spans="1:31" ht="22.2" customHeight="1" x14ac:dyDescent="0.3">
      <c r="A570" s="195" t="str">
        <f>+IF(PROVEEDORES[[#This Row],[FECHA DE PAGO]]=PROVEEDORES[[#This Row],[FECHA DE FACTURACIÓN]],"DE CONTADO","CRÉDITO")</f>
        <v>CRÉDITO</v>
      </c>
      <c r="B570" s="38" t="b">
        <f>+IF((PROVEEDORES[[#This Row],[FECHA DE PAGO]]-PROVEEDORES[[#This Row],[FECHA DE FACTURACIÓN]])&gt;PROVEEDORES[[#This Row],[PLAZO Días]],"PAGO VENCIDO")</f>
        <v>0</v>
      </c>
      <c r="C570" s="20">
        <f>+VLOOKUP(PROVEEDORES[[#This Row],[PROVEEDOR]],TERCEROS_INFO[#All],2,FALSE)</f>
        <v>10</v>
      </c>
      <c r="D570" s="25">
        <f>+SUMIFS(PROVEEDORES[Total],PROVEEDORES[PROVEEDOR],PROVEEDORES[[#This Row],[PROVEEDOR]],PROVEEDORES[FECHA DE PAGO],"")</f>
        <v>0</v>
      </c>
      <c r="E570" s="25"/>
      <c r="F570" s="58" t="str">
        <f>+VLOOKUP(PROVEEDORES[[#This Row],[PROVEEDOR]],
                       Terceros!$A:$F,
                       5,
                       FALSE)</f>
        <v>margaritadavid@hotmail.es;girlesa.ruiz@servipilas.com;joriescobar64@gmail.com;MERCADEO@servipilas.com</v>
      </c>
      <c r="G570" s="161">
        <v>44783</v>
      </c>
      <c r="H570" s="26" t="s">
        <v>1167</v>
      </c>
      <c r="I570" s="161">
        <v>44781</v>
      </c>
      <c r="J570" s="35">
        <v>337</v>
      </c>
      <c r="K570" s="21">
        <v>300000</v>
      </c>
      <c r="L570" s="21"/>
      <c r="M570" s="22">
        <f>(PROVEEDORES[[#This Row],[SUBTOTAL]]-PROVEEDORES[[#This Row],[descuento sobre subtotal]])*VLOOKUP(PROVEEDORES[[#This Row],[PROVEEDOR]],TERCEROS_INFO[#All],3,FALSE)</f>
        <v>57000</v>
      </c>
      <c r="N570" s="23"/>
      <c r="O570" s="22">
        <f>+PROVEEDORES[[#This Row],[Descuento sobre subtotal %]]*(PROVEEDORES[[#This Row],[SUBTOTAL]]-PROVEEDORES[[#This Row],[descuento sobre subtotal]])</f>
        <v>0</v>
      </c>
      <c r="P570" s="83">
        <f>+IF(PROVEEDORES[[#This Row],[SUBTOTAL]]&lt;PROVEEDORES[[#This Row],[base retencion]],0,PROVEEDORES[[#This Row],[retención aplicada]])</f>
        <v>0.04</v>
      </c>
      <c r="Q570" s="22">
        <f>+PROVEEDORES[[#This Row],[Rete Fuente %]]*(PROVEEDORES[[#This Row],[SUBTOTAL]]-PROVEEDORES[[#This Row],[descuento sobre subtotal]])</f>
        <v>12000</v>
      </c>
      <c r="R570" s="21">
        <f>+PROVEEDORES[[#This Row],[SUBTOTAL]]+PROVEEDORES[[#This Row],[IVA 19%]]-PROVEEDORES[[#This Row],[descuento sobre subtotal]]-PROVEEDORES[[#This Row],[Descuento sobre subtotal $2]]-PROVEEDORES[[#This Row],[Rete Fuente $]]</f>
        <v>345000</v>
      </c>
      <c r="S570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68">
        <f ca="1">IF(PROVEEDORES[[#This Row],[FECHA DE PAGO]]=0,TODAY()-PROVEEDORES[[#This Row],[FECHA DE FACTURACIÓN]]-PROVEEDORES[[#This Row],[PLAZO Días]],0)</f>
        <v>0</v>
      </c>
      <c r="U570" s="113" t="str">
        <f>+VLOOKUP(PROVEEDORES[[#This Row],[PROVEEDOR]],Terceros!$A:$D,4,FALSE)</f>
        <v>4% sin base</v>
      </c>
      <c r="V570" s="114">
        <f>+YEAR(PROVEEDORES[[#This Row],[FECHA DE FACTURACIÓN]])</f>
        <v>2022</v>
      </c>
      <c r="W570" s="114">
        <f>+MATCH(PROVEEDORES[[#This Row],[año facturado]],Retenciones!$1:$1,0)</f>
        <v>5</v>
      </c>
      <c r="X570" s="115">
        <f>+VLOOKUP(PROVEEDORES[[#This Row],[ID RETENCION]],Retenciones!$A$1:$O$25,PROVEEDORES[[#This Row],[indicador de columna]],FALSE)</f>
        <v>0</v>
      </c>
      <c r="Y570" s="116">
        <f>+VLOOKUP(PROVEEDORES[[#This Row],[ID RETENCION]],Retenciones!$A$1:$O$25,2,FALSE)</f>
        <v>0.04</v>
      </c>
      <c r="Z570" s="125" t="b">
        <f>OR(COUNTIF(PROVEEDORES[[#This Row],[PROVEEDOR]],"*"&amp;'Palabra no opera'!$A$2&amp;"*"))</f>
        <v>1</v>
      </c>
      <c r="AA570" s="24"/>
      <c r="AB570" s="24"/>
      <c r="AC570" s="24"/>
      <c r="AD570" s="24"/>
      <c r="AE570" s="24"/>
    </row>
    <row r="571" spans="1:31" ht="22.2" customHeight="1" x14ac:dyDescent="0.3">
      <c r="A571" s="72" t="str">
        <f>+IF(PROVEEDORES[[#This Row],[FECHA DE PAGO]]=PROVEEDORES[[#This Row],[FECHA DE FACTURACIÓN]],"DE CONTADO","CRÉDITO")</f>
        <v>CRÉDITO</v>
      </c>
      <c r="B571" s="38" t="b">
        <f>+IF((PROVEEDORES[[#This Row],[FECHA DE PAGO]]-PROVEEDORES[[#This Row],[FECHA DE FACTURACIÓN]])&gt;PROVEEDORES[[#This Row],[PLAZO Días]],"PAGO VENCIDO")</f>
        <v>0</v>
      </c>
      <c r="C571" s="20">
        <f>+VLOOKUP(PROVEEDORES[[#This Row],[PROVEEDOR]],TERCEROS_INFO[#All],2,FALSE)</f>
        <v>30</v>
      </c>
      <c r="D571" s="25">
        <f>+SUMIFS(PROVEEDORES[Total],PROVEEDORES[PROVEEDOR],PROVEEDORES[[#This Row],[PROVEEDOR]],PROVEEDORES[FECHA DE PAGO],"")</f>
        <v>2223034.2400000002</v>
      </c>
      <c r="E571" s="25"/>
      <c r="F57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571" s="26" t="s">
        <v>216</v>
      </c>
      <c r="I571" s="161">
        <v>44862</v>
      </c>
      <c r="J571" s="35" t="s">
        <v>1810</v>
      </c>
      <c r="K571" s="21">
        <v>291596</v>
      </c>
      <c r="L571" s="21"/>
      <c r="M571" s="22">
        <f>(PROVEEDORES[[#This Row],[SUBTOTAL]]-PROVEEDORES[[#This Row],[descuento sobre subtotal]])*VLOOKUP(PROVEEDORES[[#This Row],[PROVEEDOR]],TERCEROS_INFO[#All],3,FALSE)</f>
        <v>55403.24</v>
      </c>
      <c r="N571" s="23"/>
      <c r="O571" s="22">
        <f>+PROVEEDORES[[#This Row],[Descuento sobre subtotal %]]*(PROVEEDORES[[#This Row],[SUBTOTAL]]-PROVEEDORES[[#This Row],[descuento sobre subtotal]])</f>
        <v>0</v>
      </c>
      <c r="P571" s="83">
        <f>+IF(PROVEEDORES[[#This Row],[SUBTOTAL]]&lt;PROVEEDORES[[#This Row],[base retencion]],0,PROVEEDORES[[#This Row],[retención aplicada]])</f>
        <v>0</v>
      </c>
      <c r="Q571" s="22">
        <f>+PROVEEDORES[[#This Row],[Rete Fuente %]]*(PROVEEDORES[[#This Row],[SUBTOTAL]]-PROVEEDORES[[#This Row],[descuento sobre subtotal]])</f>
        <v>0</v>
      </c>
      <c r="R571" s="21">
        <f>+PROVEEDORES[[#This Row],[SUBTOTAL]]+PROVEEDORES[[#This Row],[IVA 19%]]-PROVEEDORES[[#This Row],[descuento sobre subtotal]]-PROVEEDORES[[#This Row],[Descuento sobre subtotal $2]]-PROVEEDORES[[#This Row],[Rete Fuente $]]</f>
        <v>346999.24</v>
      </c>
      <c r="S571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71" s="68">
        <f ca="1">IF(PROVEEDORES[[#This Row],[FECHA DE PAGO]]=0,TODAY()-PROVEEDORES[[#This Row],[FECHA DE FACTURACIÓN]]-PROVEEDORES[[#This Row],[PLAZO Días]],0)</f>
        <v>-17</v>
      </c>
      <c r="U571" s="113" t="str">
        <f>+VLOOKUP(PROVEEDORES[[#This Row],[PROVEEDOR]],Terceros!$A:$D,4,FALSE)</f>
        <v>2,5% con base</v>
      </c>
      <c r="V571" s="114">
        <f>+YEAR(PROVEEDORES[[#This Row],[FECHA DE FACTURACIÓN]])</f>
        <v>2022</v>
      </c>
      <c r="W571" s="114">
        <f>+MATCH(PROVEEDORES[[#This Row],[año facturado]],Retenciones!$1:$1,0)</f>
        <v>5</v>
      </c>
      <c r="X571" s="115">
        <f>+VLOOKUP(PROVEEDORES[[#This Row],[ID RETENCION]],Retenciones!$A$1:$O$25,PROVEEDORES[[#This Row],[indicador de columna]],FALSE)</f>
        <v>1026000</v>
      </c>
      <c r="Y571" s="116">
        <f>+VLOOKUP(PROVEEDORES[[#This Row],[ID RETENCION]],Retenciones!$A$1:$O$25,2,FALSE)</f>
        <v>2.5000000000000001E-2</v>
      </c>
      <c r="Z571" s="125" t="b">
        <f>OR(COUNTIF(PROVEEDORES[[#This Row],[PROVEEDOR]],"*"&amp;'Palabra no opera'!$A$2&amp;"*"))</f>
        <v>0</v>
      </c>
      <c r="AA571" s="24"/>
      <c r="AB571" s="24"/>
      <c r="AC571" s="24"/>
      <c r="AD571" s="24"/>
      <c r="AE571" s="24"/>
    </row>
    <row r="572" spans="1:31" ht="22.2" customHeight="1" x14ac:dyDescent="0.3">
      <c r="A572" s="123" t="str">
        <f>+IF(PROVEEDORES[[#This Row],[FECHA DE PAGO]]=PROVEEDORES[[#This Row],[FECHA DE FACTURACIÓN]],"DE CONTADO","CRÉDITO")</f>
        <v>DE CONTADO</v>
      </c>
      <c r="B572" s="38" t="b">
        <f>+IF((PROVEEDORES[[#This Row],[FECHA DE PAGO]]-PROVEEDORES[[#This Row],[FECHA DE FACTURACIÓN]])&gt;PROVEEDORES[[#This Row],[PLAZO Días]],"PAGO VENCIDO")</f>
        <v>0</v>
      </c>
      <c r="C572" s="20">
        <f>+VLOOKUP(PROVEEDORES[[#This Row],[PROVEEDOR]],TERCEROS_INFO[#All],2,FALSE)</f>
        <v>30</v>
      </c>
      <c r="D572" s="25">
        <f>+SUMIFS(PROVEEDORES[Total],PROVEEDORES[PROVEEDOR],PROVEEDORES[[#This Row],[PROVEEDOR]],PROVEEDORES[FECHA DE PAGO],"")</f>
        <v>0</v>
      </c>
      <c r="E572" s="25"/>
      <c r="F572" s="58">
        <f>+VLOOKUP(PROVEEDORES[[#This Row],[PROVEEDOR]],
                       Terceros!$A:$F,
                       5,
                       FALSE)</f>
        <v>0</v>
      </c>
      <c r="G572" s="161">
        <v>44671</v>
      </c>
      <c r="H572" s="26" t="s">
        <v>643</v>
      </c>
      <c r="I572" s="161">
        <v>44671</v>
      </c>
      <c r="J572" s="35" t="s">
        <v>898</v>
      </c>
      <c r="K572" s="21">
        <v>348000</v>
      </c>
      <c r="L572" s="21"/>
      <c r="M572" s="22">
        <f>(PROVEEDORES[[#This Row],[SUBTOTAL]]-PROVEEDORES[[#This Row],[descuento sobre subtotal]])*VLOOKUP(PROVEEDORES[[#This Row],[PROVEEDOR]],TERCEROS_INFO[#All],3,FALSE)</f>
        <v>0</v>
      </c>
      <c r="N572" s="23"/>
      <c r="O572" s="22">
        <f>+PROVEEDORES[[#This Row],[Descuento sobre subtotal %]]*(PROVEEDORES[[#This Row],[SUBTOTAL]]-PROVEEDORES[[#This Row],[descuento sobre subtotal]])</f>
        <v>0</v>
      </c>
      <c r="P572" s="83">
        <f>+IF(PROVEEDORES[[#This Row],[SUBTOTAL]]&lt;PROVEEDORES[[#This Row],[base retencion]],0,PROVEEDORES[[#This Row],[retención aplicada]])</f>
        <v>0</v>
      </c>
      <c r="Q572" s="22">
        <f>+PROVEEDORES[[#This Row],[Rete Fuente %]]*(PROVEEDORES[[#This Row],[SUBTOTAL]]-PROVEEDORES[[#This Row],[descuento sobre subtotal]])</f>
        <v>0</v>
      </c>
      <c r="R572" s="21">
        <f>+PROVEEDORES[[#This Row],[SUBTOTAL]]+PROVEEDORES[[#This Row],[IVA 19%]]-PROVEEDORES[[#This Row],[descuento sobre subtotal]]-PROVEEDORES[[#This Row],[Descuento sobre subtotal $2]]-PROVEEDORES[[#This Row],[Rete Fuente $]]</f>
        <v>348000</v>
      </c>
      <c r="S572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68">
        <f ca="1">IF(PROVEEDORES[[#This Row],[FECHA DE PAGO]]=0,TODAY()-PROVEEDORES[[#This Row],[FECHA DE FACTURACIÓN]]-PROVEEDORES[[#This Row],[PLAZO Días]],0)</f>
        <v>0</v>
      </c>
      <c r="U572" s="113">
        <f>+VLOOKUP(PROVEEDORES[[#This Row],[PROVEEDOR]],Terceros!$A:$D,4,FALSE)</f>
        <v>0</v>
      </c>
      <c r="V572" s="114">
        <f>+YEAR(PROVEEDORES[[#This Row],[FECHA DE FACTURACIÓN]])</f>
        <v>2022</v>
      </c>
      <c r="W572" s="114">
        <f>+MATCH(PROVEEDORES[[#This Row],[año facturado]],Retenciones!$1:$1,0)</f>
        <v>5</v>
      </c>
      <c r="X572" s="115">
        <f>+VLOOKUP(PROVEEDORES[[#This Row],[ID RETENCION]],Retenciones!$A$1:$O$25,PROVEEDORES[[#This Row],[indicador de columna]],FALSE)</f>
        <v>0</v>
      </c>
      <c r="Y572" s="116">
        <f>+VLOOKUP(PROVEEDORES[[#This Row],[ID RETENCION]],Retenciones!$A$1:$O$25,2,FALSE)</f>
        <v>0</v>
      </c>
      <c r="Z572" s="125" t="b">
        <f>OR(COUNTIF(PROVEEDORES[[#This Row],[PROVEEDOR]],"*"&amp;'Palabra no opera'!$A$2&amp;"*"))</f>
        <v>0</v>
      </c>
      <c r="AA572" s="24"/>
      <c r="AB572" s="24"/>
      <c r="AC572" s="24"/>
      <c r="AD572" s="24"/>
      <c r="AE572" s="24"/>
    </row>
    <row r="573" spans="1:31" ht="22.2" customHeight="1" x14ac:dyDescent="0.3">
      <c r="A573" s="66" t="str">
        <f>+IF(PROVEEDORES[[#This Row],[FECHA DE PAGO]]=PROVEEDORES[[#This Row],[FECHA DE FACTURACIÓN]],"DE CONTADO","CRÉDITO")</f>
        <v>DE CONTADO</v>
      </c>
      <c r="B573" s="38" t="b">
        <f>+IF((PROVEEDORES[[#This Row],[FECHA DE PAGO]]-PROVEEDORES[[#This Row],[FECHA DE FACTURACIÓN]])&gt;PROVEEDORES[[#This Row],[PLAZO Días]],"PAGO VENCIDO")</f>
        <v>0</v>
      </c>
      <c r="C573" s="20">
        <f>+VLOOKUP(PROVEEDORES[[#This Row],[PROVEEDOR]],TERCEROS_INFO[#All],2,FALSE)</f>
        <v>30</v>
      </c>
      <c r="D573" s="25">
        <f>+SUMIFS(PROVEEDORES[Total],PROVEEDORES[PROVEEDOR],PROVEEDORES[[#This Row],[PROVEEDOR]],PROVEEDORES[FECHA DE PAGO],"")</f>
        <v>0</v>
      </c>
      <c r="E573" s="25"/>
      <c r="F573" s="58">
        <f>+VLOOKUP(PROVEEDORES[[#This Row],[PROVEEDOR]],
                       Terceros!$A:$F,
                       5,
                       FALSE)</f>
        <v>0</v>
      </c>
      <c r="G573" s="161">
        <v>44445</v>
      </c>
      <c r="H573" s="26" t="s">
        <v>466</v>
      </c>
      <c r="I573" s="161">
        <v>44445</v>
      </c>
      <c r="J573" s="35">
        <v>209815</v>
      </c>
      <c r="K573" s="21">
        <v>293277</v>
      </c>
      <c r="L573" s="21"/>
      <c r="M573" s="22">
        <f>(PROVEEDORES[[#This Row],[SUBTOTAL]]-PROVEEDORES[[#This Row],[descuento sobre subtotal]])*VLOOKUP(PROVEEDORES[[#This Row],[PROVEEDOR]],TERCEROS_INFO[#All],3,FALSE)</f>
        <v>55722.63</v>
      </c>
      <c r="N573" s="23"/>
      <c r="O573" s="22">
        <f>+PROVEEDORES[[#This Row],[Descuento sobre subtotal %]]*(PROVEEDORES[[#This Row],[SUBTOTAL]]-PROVEEDORES[[#This Row],[descuento sobre subtotal]])</f>
        <v>0</v>
      </c>
      <c r="P573" s="83">
        <f>+IF(PROVEEDORES[[#This Row],[SUBTOTAL]]&lt;PROVEEDORES[[#This Row],[base retencion]],0,PROVEEDORES[[#This Row],[retención aplicada]])</f>
        <v>0</v>
      </c>
      <c r="Q573" s="22">
        <f>+PROVEEDORES[[#This Row],[Rete Fuente %]]*(PROVEEDORES[[#This Row],[SUBTOTAL]]-PROVEEDORES[[#This Row],[descuento sobre subtotal]])</f>
        <v>0</v>
      </c>
      <c r="R573" s="21">
        <f>+PROVEEDORES[[#This Row],[SUBTOTAL]]+PROVEEDORES[[#This Row],[IVA 19%]]-PROVEEDORES[[#This Row],[descuento sobre subtotal]]-PROVEEDORES[[#This Row],[Descuento sobre subtotal $2]]-PROVEEDORES[[#This Row],[Rete Fuente $]]</f>
        <v>348999.63</v>
      </c>
      <c r="S5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68">
        <f ca="1">IF(PROVEEDORES[[#This Row],[FECHA DE PAGO]]=0,TODAY()-PROVEEDORES[[#This Row],[FECHA DE FACTURACIÓN]]-PROVEEDORES[[#This Row],[PLAZO Días]],0)</f>
        <v>0</v>
      </c>
      <c r="U573" s="96">
        <f>+VLOOKUP(PROVEEDORES[[#This Row],[PROVEEDOR]],Terceros!$A:$D,4,FALSE)</f>
        <v>0</v>
      </c>
      <c r="V573" s="97">
        <f>+YEAR(PROVEEDORES[[#This Row],[FECHA DE FACTURACIÓN]])</f>
        <v>2021</v>
      </c>
      <c r="W573" s="97">
        <f>+MATCH(PROVEEDORES[[#This Row],[año facturado]],Retenciones!$1:$1,0)</f>
        <v>4</v>
      </c>
      <c r="X573" s="98">
        <f>+VLOOKUP(PROVEEDORES[[#This Row],[ID RETENCION]],Retenciones!$A$1:$O$25,PROVEEDORES[[#This Row],[indicador de columna]],FALSE)</f>
        <v>0</v>
      </c>
      <c r="Y573" s="99">
        <f>+VLOOKUP(PROVEEDORES[[#This Row],[ID RETENCION]],Retenciones!$A$1:$O$25,2,FALSE)</f>
        <v>0</v>
      </c>
      <c r="Z573" s="125" t="b">
        <f>OR(COUNTIF(PROVEEDORES[[#This Row],[PROVEEDOR]],"*"&amp;'Palabra no opera'!$A$2&amp;"*"))</f>
        <v>0</v>
      </c>
      <c r="AA573" s="24"/>
      <c r="AB573" s="24"/>
      <c r="AC573" s="24"/>
      <c r="AD573" s="24"/>
      <c r="AE573" s="24"/>
    </row>
    <row r="574" spans="1:31" ht="22.2" customHeight="1" x14ac:dyDescent="0.3">
      <c r="A574" s="66" t="str">
        <f>+IF(PROVEEDORES[[#This Row],[FECHA DE PAGO]]=PROVEEDORES[[#This Row],[FECHA DE FACTURACIÓN]],"DE CONTADO","CRÉDITO")</f>
        <v>DE CONTADO</v>
      </c>
      <c r="B574" s="38" t="b">
        <f>+IF((PROVEEDORES[[#This Row],[FECHA DE PAGO]]-PROVEEDORES[[#This Row],[FECHA DE FACTURACIÓN]])&gt;PROVEEDORES[[#This Row],[PLAZO Días]],"PAGO VENCIDO")</f>
        <v>0</v>
      </c>
      <c r="C574" s="20">
        <f>+VLOOKUP(PROVEEDORES[[#This Row],[PROVEEDOR]],TERCEROS_INFO[#All],2,FALSE)</f>
        <v>30</v>
      </c>
      <c r="D574" s="25">
        <f>+SUMIFS(PROVEEDORES[Total],PROVEEDORES[PROVEEDOR],PROVEEDORES[[#This Row],[PROVEEDOR]],PROVEEDORES[FECHA DE PAGO],"")</f>
        <v>0</v>
      </c>
      <c r="E574" s="25"/>
      <c r="F574" s="58" t="str">
        <f>+VLOOKUP(PROVEEDORES[[#This Row],[PROVEEDOR]],
                       Terceros!$A:$F,
                       5,
                       FALSE)</f>
        <v/>
      </c>
      <c r="G574" s="161">
        <v>44520</v>
      </c>
      <c r="H574" s="26" t="s">
        <v>644</v>
      </c>
      <c r="I574" s="161">
        <v>44520</v>
      </c>
      <c r="J574" s="35" t="s">
        <v>537</v>
      </c>
      <c r="K574" s="21">
        <v>350000</v>
      </c>
      <c r="L574" s="21"/>
      <c r="M574" s="22">
        <f>(PROVEEDORES[[#This Row],[SUBTOTAL]]-PROVEEDORES[[#This Row],[descuento sobre subtotal]])*VLOOKUP(PROVEEDORES[[#This Row],[PROVEEDOR]],TERCEROS_INFO[#All],3,FALSE)</f>
        <v>0</v>
      </c>
      <c r="N574" s="23"/>
      <c r="O574" s="22">
        <f>+PROVEEDORES[[#This Row],[Descuento sobre subtotal %]]*(PROVEEDORES[[#This Row],[SUBTOTAL]]-PROVEEDORES[[#This Row],[descuento sobre subtotal]])</f>
        <v>0</v>
      </c>
      <c r="P574" s="83">
        <f>+IF(PROVEEDORES[[#This Row],[SUBTOTAL]]&lt;PROVEEDORES[[#This Row],[base retencion]],0,PROVEEDORES[[#This Row],[retención aplicada]])</f>
        <v>0</v>
      </c>
      <c r="Q574" s="22">
        <f>+PROVEEDORES[[#This Row],[Rete Fuente %]]*(PROVEEDORES[[#This Row],[SUBTOTAL]]-PROVEEDORES[[#This Row],[descuento sobre subtotal]])</f>
        <v>0</v>
      </c>
      <c r="R574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5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68">
        <f ca="1">IF(PROVEEDORES[[#This Row],[FECHA DE PAGO]]=0,TODAY()-PROVEEDORES[[#This Row],[FECHA DE FACTURACIÓN]]-PROVEEDORES[[#This Row],[PLAZO Días]],0)</f>
        <v>0</v>
      </c>
      <c r="U574" s="96">
        <f>+VLOOKUP(PROVEEDORES[[#This Row],[PROVEEDOR]],Terceros!$A:$D,4,FALSE)</f>
        <v>0</v>
      </c>
      <c r="V574" s="97">
        <f>+YEAR(PROVEEDORES[[#This Row],[FECHA DE FACTURACIÓN]])</f>
        <v>2021</v>
      </c>
      <c r="W574" s="97">
        <f>+MATCH(PROVEEDORES[[#This Row],[año facturado]],Retenciones!$1:$1,0)</f>
        <v>4</v>
      </c>
      <c r="X574" s="98">
        <f>+VLOOKUP(PROVEEDORES[[#This Row],[ID RETENCION]],Retenciones!$A$1:$O$25,PROVEEDORES[[#This Row],[indicador de columna]],FALSE)</f>
        <v>0</v>
      </c>
      <c r="Y574" s="99">
        <f>+VLOOKUP(PROVEEDORES[[#This Row],[ID RETENCION]],Retenciones!$A$1:$O$25,2,FALSE)</f>
        <v>0</v>
      </c>
      <c r="Z574" s="125" t="b">
        <f>OR(COUNTIF(PROVEEDORES[[#This Row],[PROVEEDOR]],"*"&amp;'Palabra no opera'!$A$2&amp;"*"))</f>
        <v>0</v>
      </c>
      <c r="AA574" s="24"/>
      <c r="AB574" s="24"/>
      <c r="AC574" s="24"/>
      <c r="AD574" s="24"/>
      <c r="AE574" s="24"/>
    </row>
    <row r="575" spans="1:31" ht="22.2" customHeight="1" x14ac:dyDescent="0.3">
      <c r="A575" s="66" t="str">
        <f>+IF(PROVEEDORES[[#This Row],[FECHA DE PAGO]]=PROVEEDORES[[#This Row],[FECHA DE FACTURACIÓN]],"DE CONTADO","CRÉDITO")</f>
        <v>DE CONTADO</v>
      </c>
      <c r="B575" s="38" t="b">
        <f>+IF((PROVEEDORES[[#This Row],[FECHA DE PAGO]]-PROVEEDORES[[#This Row],[FECHA DE FACTURACIÓN]])&gt;PROVEEDORES[[#This Row],[PLAZO Días]],"PAGO VENCIDO")</f>
        <v>0</v>
      </c>
      <c r="C575" s="20">
        <f>+VLOOKUP(PROVEEDORES[[#This Row],[PROVEEDOR]],TERCEROS_INFO[#All],2,FALSE)</f>
        <v>30</v>
      </c>
      <c r="D575" s="25">
        <f>+SUMIFS(PROVEEDORES[Total],PROVEEDORES[PROVEEDOR],PROVEEDORES[[#This Row],[PROVEEDOR]],PROVEEDORES[FECHA DE PAGO],"")</f>
        <v>0</v>
      </c>
      <c r="E575" s="25"/>
      <c r="F575" s="58">
        <f>+VLOOKUP(PROVEEDORES[[#This Row],[PROVEEDOR]],
                       Terceros!$A:$F,
                       5,
                       FALSE)</f>
        <v>0</v>
      </c>
      <c r="G575" s="161">
        <v>44525</v>
      </c>
      <c r="H575" s="26" t="s">
        <v>648</v>
      </c>
      <c r="I575" s="161">
        <v>44525</v>
      </c>
      <c r="J575" s="35" t="s">
        <v>1348</v>
      </c>
      <c r="K575" s="21">
        <v>350000</v>
      </c>
      <c r="L575" s="21"/>
      <c r="M575" s="22">
        <f>(PROVEEDORES[[#This Row],[SUBTOTAL]]-PROVEEDORES[[#This Row],[descuento sobre subtotal]])*VLOOKUP(PROVEEDORES[[#This Row],[PROVEEDOR]],TERCEROS_INFO[#All],3,FALSE)</f>
        <v>0</v>
      </c>
      <c r="N575" s="23"/>
      <c r="O575" s="22">
        <f>+PROVEEDORES[[#This Row],[Descuento sobre subtotal %]]*(PROVEEDORES[[#This Row],[SUBTOTAL]]-PROVEEDORES[[#This Row],[descuento sobre subtotal]])</f>
        <v>0</v>
      </c>
      <c r="P575" s="83">
        <f>+IF(PROVEEDORES[[#This Row],[SUBTOTAL]]&lt;PROVEEDORES[[#This Row],[base retencion]],0,PROVEEDORES[[#This Row],[retención aplicada]])</f>
        <v>0</v>
      </c>
      <c r="Q575" s="22">
        <f>+PROVEEDORES[[#This Row],[Rete Fuente %]]*(PROVEEDORES[[#This Row],[SUBTOTAL]]-PROVEEDORES[[#This Row],[descuento sobre subtotal]])</f>
        <v>0</v>
      </c>
      <c r="R575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5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68">
        <f ca="1">IF(PROVEEDORES[[#This Row],[FECHA DE PAGO]]=0,TODAY()-PROVEEDORES[[#This Row],[FECHA DE FACTURACIÓN]]-PROVEEDORES[[#This Row],[PLAZO Días]],0)</f>
        <v>0</v>
      </c>
      <c r="U575" s="96">
        <f>+VLOOKUP(PROVEEDORES[[#This Row],[PROVEEDOR]],Terceros!$A:$D,4,FALSE)</f>
        <v>0</v>
      </c>
      <c r="V575" s="97">
        <f>+YEAR(PROVEEDORES[[#This Row],[FECHA DE FACTURACIÓN]])</f>
        <v>2021</v>
      </c>
      <c r="W575" s="97">
        <f>+MATCH(PROVEEDORES[[#This Row],[año facturado]],Retenciones!$1:$1,0)</f>
        <v>4</v>
      </c>
      <c r="X575" s="98">
        <f>+VLOOKUP(PROVEEDORES[[#This Row],[ID RETENCION]],Retenciones!$A$1:$O$25,PROVEEDORES[[#This Row],[indicador de columna]],FALSE)</f>
        <v>0</v>
      </c>
      <c r="Y575" s="99">
        <f>+VLOOKUP(PROVEEDORES[[#This Row],[ID RETENCION]],Retenciones!$A$1:$O$25,2,FALSE)</f>
        <v>0</v>
      </c>
      <c r="Z575" s="125" t="b">
        <f>OR(COUNTIF(PROVEEDORES[[#This Row],[PROVEEDOR]],"*"&amp;'Palabra no opera'!$A$2&amp;"*"))</f>
        <v>0</v>
      </c>
      <c r="AA575" s="24"/>
      <c r="AB575" s="24"/>
      <c r="AC575" s="24"/>
      <c r="AD575" s="24"/>
      <c r="AE575" s="24"/>
    </row>
    <row r="576" spans="1:31" ht="22.2" customHeight="1" x14ac:dyDescent="0.3">
      <c r="A576" s="159" t="str">
        <f>+IF(PROVEEDORES[[#This Row],[FECHA DE PAGO]]=PROVEEDORES[[#This Row],[FECHA DE FACTURACIÓN]],"DE CONTADO","CRÉDITO")</f>
        <v>DE CONTADO</v>
      </c>
      <c r="B576" s="38" t="b">
        <f>+IF((PROVEEDORES[[#This Row],[FECHA DE PAGO]]-PROVEEDORES[[#This Row],[FECHA DE FACTURACIÓN]])&gt;PROVEEDORES[[#This Row],[PLAZO Días]],"PAGO VENCIDO")</f>
        <v>0</v>
      </c>
      <c r="C576" s="20">
        <f>+VLOOKUP(PROVEEDORES[[#This Row],[PROVEEDOR]],TERCEROS_INFO[#All],2,FALSE)</f>
        <v>30</v>
      </c>
      <c r="D576" s="25">
        <f>+SUMIFS(PROVEEDORES[Total],PROVEEDORES[PROVEEDOR],PROVEEDORES[[#This Row],[PROVEEDOR]],PROVEEDORES[FECHA DE PAGO],"")</f>
        <v>0</v>
      </c>
      <c r="E576" s="25"/>
      <c r="F576" s="58" t="str">
        <f>+VLOOKUP(PROVEEDORES[[#This Row],[PROVEEDOR]],
                       Terceros!$A:$F,
                       5,
                       FALSE)</f>
        <v/>
      </c>
      <c r="G576" s="161">
        <v>44735</v>
      </c>
      <c r="H576" s="26" t="s">
        <v>635</v>
      </c>
      <c r="I576" s="161">
        <v>44735</v>
      </c>
      <c r="J576" s="35" t="s">
        <v>1098</v>
      </c>
      <c r="K576" s="21">
        <v>350000</v>
      </c>
      <c r="L576" s="21"/>
      <c r="M576" s="22">
        <f>(PROVEEDORES[[#This Row],[SUBTOTAL]]-PROVEEDORES[[#This Row],[descuento sobre subtotal]])*VLOOKUP(PROVEEDORES[[#This Row],[PROVEEDOR]],TERCEROS_INFO[#All],3,FALSE)</f>
        <v>0</v>
      </c>
      <c r="N576" s="23"/>
      <c r="O576" s="22">
        <f>+PROVEEDORES[[#This Row],[Descuento sobre subtotal %]]*(PROVEEDORES[[#This Row],[SUBTOTAL]]-PROVEEDORES[[#This Row],[descuento sobre subtotal]])</f>
        <v>0</v>
      </c>
      <c r="P576" s="83">
        <f>+IF(PROVEEDORES[[#This Row],[SUBTOTAL]]&lt;PROVEEDORES[[#This Row],[base retencion]],0,PROVEEDORES[[#This Row],[retención aplicada]])</f>
        <v>0</v>
      </c>
      <c r="Q576" s="22">
        <f>+PROVEEDORES[[#This Row],[Rete Fuente %]]*(PROVEEDORES[[#This Row],[SUBTOTAL]]-PROVEEDORES[[#This Row],[descuento sobre subtotal]])</f>
        <v>0</v>
      </c>
      <c r="R576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57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68">
        <f ca="1">IF(PROVEEDORES[[#This Row],[FECHA DE PAGO]]=0,TODAY()-PROVEEDORES[[#This Row],[FECHA DE FACTURACIÓN]]-PROVEEDORES[[#This Row],[PLAZO Días]],0)</f>
        <v>0</v>
      </c>
      <c r="U576" s="113">
        <f>+VLOOKUP(PROVEEDORES[[#This Row],[PROVEEDOR]],Terceros!$A:$D,4,FALSE)</f>
        <v>0</v>
      </c>
      <c r="V576" s="114">
        <f>+YEAR(PROVEEDORES[[#This Row],[FECHA DE FACTURACIÓN]])</f>
        <v>2022</v>
      </c>
      <c r="W576" s="114">
        <f>+MATCH(PROVEEDORES[[#This Row],[año facturado]],Retenciones!$1:$1,0)</f>
        <v>5</v>
      </c>
      <c r="X576" s="115">
        <f>+VLOOKUP(PROVEEDORES[[#This Row],[ID RETENCION]],Retenciones!$A$1:$O$25,PROVEEDORES[[#This Row],[indicador de columna]],FALSE)</f>
        <v>0</v>
      </c>
      <c r="Y576" s="116">
        <f>+VLOOKUP(PROVEEDORES[[#This Row],[ID RETENCION]],Retenciones!$A$1:$O$25,2,FALSE)</f>
        <v>0</v>
      </c>
      <c r="Z576" s="125" t="b">
        <f>OR(COUNTIF(PROVEEDORES[[#This Row],[PROVEEDOR]],"*"&amp;'Palabra no opera'!$A$2&amp;"*"))</f>
        <v>0</v>
      </c>
      <c r="AA576" s="24"/>
      <c r="AB576" s="24"/>
      <c r="AC576" s="24"/>
      <c r="AD576" s="24"/>
      <c r="AE576" s="24"/>
    </row>
    <row r="577" spans="1:31" ht="22.2" customHeight="1" x14ac:dyDescent="0.3">
      <c r="A577" s="66" t="str">
        <f>+IF(PROVEEDORES[[#This Row],[FECHA DE PAGO]]=PROVEEDORES[[#This Row],[FECHA DE FACTURACIÓN]],"DE CONTADO","CRÉDITO")</f>
        <v>DE CONTADO</v>
      </c>
      <c r="B577" s="38" t="b">
        <f>+IF((PROVEEDORES[[#This Row],[FECHA DE PAGO]]-PROVEEDORES[[#This Row],[FECHA DE FACTURACIÓN]])&gt;PROVEEDORES[[#This Row],[PLAZO Días]],"PAGO VENCIDO")</f>
        <v>0</v>
      </c>
      <c r="C577" s="20">
        <f>+VLOOKUP(PROVEEDORES[[#This Row],[PROVEEDOR]],TERCEROS_INFO[#All],2,FALSE)</f>
        <v>30</v>
      </c>
      <c r="D577" s="25">
        <f>+SUMIFS(PROVEEDORES[Total],PROVEEDORES[PROVEEDOR],PROVEEDORES[[#This Row],[PROVEEDOR]],PROVEEDORES[FECHA DE PAGO],"")</f>
        <v>1468491.82</v>
      </c>
      <c r="E577" s="25"/>
      <c r="F577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577" s="161">
        <v>44336</v>
      </c>
      <c r="H577" s="26" t="s">
        <v>1638</v>
      </c>
      <c r="I577" s="161">
        <v>44336</v>
      </c>
      <c r="J577" s="35" t="s">
        <v>336</v>
      </c>
      <c r="K577" s="21">
        <v>294454</v>
      </c>
      <c r="L577" s="21"/>
      <c r="M577" s="22">
        <f>(PROVEEDORES[[#This Row],[SUBTOTAL]]-PROVEEDORES[[#This Row],[descuento sobre subtotal]])*VLOOKUP(PROVEEDORES[[#This Row],[PROVEEDOR]],TERCEROS_INFO[#All],3,FALSE)</f>
        <v>55946.26</v>
      </c>
      <c r="N577" s="23"/>
      <c r="O577" s="22">
        <f>+PROVEEDORES[[#This Row],[Descuento sobre subtotal %]]*(PROVEEDORES[[#This Row],[SUBTOTAL]]-PROVEEDORES[[#This Row],[descuento sobre subtotal]])</f>
        <v>0</v>
      </c>
      <c r="P577" s="83">
        <f>+IF(PROVEEDORES[[#This Row],[SUBTOTAL]]&lt;PROVEEDORES[[#This Row],[base retencion]],0,PROVEEDORES[[#This Row],[retención aplicada]])</f>
        <v>0</v>
      </c>
      <c r="Q577" s="22">
        <f>+PROVEEDORES[[#This Row],[Rete Fuente %]]*(PROVEEDORES[[#This Row],[SUBTOTAL]]-PROVEEDORES[[#This Row],[descuento sobre subtotal]])</f>
        <v>0</v>
      </c>
      <c r="R577" s="21">
        <f>+PROVEEDORES[[#This Row],[SUBTOTAL]]+PROVEEDORES[[#This Row],[IVA 19%]]-PROVEEDORES[[#This Row],[descuento sobre subtotal]]-PROVEEDORES[[#This Row],[Descuento sobre subtotal $2]]-PROVEEDORES[[#This Row],[Rete Fuente $]]</f>
        <v>350400.26</v>
      </c>
      <c r="S5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68">
        <f ca="1">IF(PROVEEDORES[[#This Row],[FECHA DE PAGO]]=0,TODAY()-PROVEEDORES[[#This Row],[FECHA DE FACTURACIÓN]]-PROVEEDORES[[#This Row],[PLAZO Días]],0)</f>
        <v>0</v>
      </c>
      <c r="U577" s="96" t="str">
        <f>+VLOOKUP(PROVEEDORES[[#This Row],[PROVEEDOR]],Terceros!$A:$D,4,FALSE)</f>
        <v>2,5% con base</v>
      </c>
      <c r="V577" s="97">
        <f>+YEAR(PROVEEDORES[[#This Row],[FECHA DE FACTURACIÓN]])</f>
        <v>2021</v>
      </c>
      <c r="W577" s="97">
        <f>+MATCH(PROVEEDORES[[#This Row],[año facturado]],Retenciones!$1:$1,0)</f>
        <v>4</v>
      </c>
      <c r="X577" s="98">
        <f>+VLOOKUP(PROVEEDORES[[#This Row],[ID RETENCION]],Retenciones!$A$1:$O$25,PROVEEDORES[[#This Row],[indicador de columna]],FALSE)</f>
        <v>980000</v>
      </c>
      <c r="Y577" s="99">
        <f>+VLOOKUP(PROVEEDORES[[#This Row],[ID RETENCION]],Retenciones!$A$1:$O$25,2,FALSE)</f>
        <v>2.5000000000000001E-2</v>
      </c>
      <c r="Z577" s="125" t="b">
        <f>OR(COUNTIF(PROVEEDORES[[#This Row],[PROVEEDOR]],"*"&amp;'Palabra no opera'!$A$2&amp;"*"))</f>
        <v>0</v>
      </c>
      <c r="AA577" s="24"/>
      <c r="AB577" s="24"/>
      <c r="AC577" s="24"/>
      <c r="AD577" s="24"/>
      <c r="AE577" s="24"/>
    </row>
    <row r="578" spans="1:31" ht="22.2" customHeight="1" x14ac:dyDescent="0.3">
      <c r="A578" s="269" t="str">
        <f>+IF(PROVEEDORES[[#This Row],[FECHA DE PAGO]]=PROVEEDORES[[#This Row],[FECHA DE FACTURACIÓN]],"DE CONTADO","CRÉDITO")</f>
        <v>CRÉDITO</v>
      </c>
      <c r="B578" s="38" t="b">
        <f>+IF((PROVEEDORES[[#This Row],[FECHA DE PAGO]]-PROVEEDORES[[#This Row],[FECHA DE FACTURACIÓN]])&gt;PROVEEDORES[[#This Row],[PLAZO Días]],"PAGO VENCIDO")</f>
        <v>0</v>
      </c>
      <c r="C578" s="20">
        <f>+VLOOKUP(PROVEEDORES[[#This Row],[PROVEEDOR]],TERCEROS_INFO[#All],2,FALSE)</f>
        <v>30</v>
      </c>
      <c r="D578" s="25">
        <f>+SUMIFS(PROVEEDORES[Total],PROVEEDORES[PROVEEDOR],PROVEEDORES[[#This Row],[PROVEEDOR]],PROVEEDORES[FECHA DE PAGO],"")</f>
        <v>4712021.58</v>
      </c>
      <c r="E578" s="25"/>
      <c r="F57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578" s="26" t="s">
        <v>17</v>
      </c>
      <c r="I578" s="161">
        <v>44846</v>
      </c>
      <c r="J578" s="35" t="s">
        <v>1793</v>
      </c>
      <c r="K578" s="21">
        <v>297000</v>
      </c>
      <c r="L578" s="21"/>
      <c r="M578" s="22">
        <f>(PROVEEDORES[[#This Row],[SUBTOTAL]]-PROVEEDORES[[#This Row],[descuento sobre subtotal]])*VLOOKUP(PROVEEDORES[[#This Row],[PROVEEDOR]],TERCEROS_INFO[#All],3,FALSE)</f>
        <v>56430</v>
      </c>
      <c r="N578" s="23"/>
      <c r="O578" s="22">
        <f>+PROVEEDORES[[#This Row],[Descuento sobre subtotal %]]*(PROVEEDORES[[#This Row],[SUBTOTAL]]-PROVEEDORES[[#This Row],[descuento sobre subtotal]])</f>
        <v>0</v>
      </c>
      <c r="P578" s="83">
        <f>+IF(PROVEEDORES[[#This Row],[SUBTOTAL]]&lt;PROVEEDORES[[#This Row],[base retencion]],0,PROVEEDORES[[#This Row],[retención aplicada]])</f>
        <v>0</v>
      </c>
      <c r="Q578" s="22">
        <f>+PROVEEDORES[[#This Row],[Rete Fuente %]]*(PROVEEDORES[[#This Row],[SUBTOTAL]]-PROVEEDORES[[#This Row],[descuento sobre subtotal]])</f>
        <v>0</v>
      </c>
      <c r="R578" s="21">
        <f>+PROVEEDORES[[#This Row],[SUBTOTAL]]+PROVEEDORES[[#This Row],[IVA 19%]]-PROVEEDORES[[#This Row],[descuento sobre subtotal]]-PROVEEDORES[[#This Row],[Descuento sobre subtotal $2]]-PROVEEDORES[[#This Row],[Rete Fuente $]]</f>
        <v>353430</v>
      </c>
      <c r="S578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78" s="68">
        <f ca="1">IF(PROVEEDORES[[#This Row],[FECHA DE PAGO]]=0,TODAY()-PROVEEDORES[[#This Row],[FECHA DE FACTURACIÓN]]-PROVEEDORES[[#This Row],[PLAZO Días]],0)</f>
        <v>-1</v>
      </c>
      <c r="U578" s="113">
        <f>+VLOOKUP(PROVEEDORES[[#This Row],[PROVEEDOR]],Terceros!$A:$D,4,FALSE)</f>
        <v>0</v>
      </c>
      <c r="V578" s="114">
        <f>+YEAR(PROVEEDORES[[#This Row],[FECHA DE FACTURACIÓN]])</f>
        <v>2022</v>
      </c>
      <c r="W578" s="114">
        <f>+MATCH(PROVEEDORES[[#This Row],[año facturado]],Retenciones!$1:$1,0)</f>
        <v>5</v>
      </c>
      <c r="X578" s="115">
        <f>+VLOOKUP(PROVEEDORES[[#This Row],[ID RETENCION]],Retenciones!$A$1:$O$25,PROVEEDORES[[#This Row],[indicador de columna]],FALSE)</f>
        <v>0</v>
      </c>
      <c r="Y578" s="116">
        <f>+VLOOKUP(PROVEEDORES[[#This Row],[ID RETENCION]],Retenciones!$A$1:$O$25,2,FALSE)</f>
        <v>0</v>
      </c>
      <c r="Z578" s="125" t="b">
        <f>OR(COUNTIF(PROVEEDORES[[#This Row],[PROVEEDOR]],"*"&amp;'Palabra no opera'!$A$2&amp;"*"))</f>
        <v>0</v>
      </c>
      <c r="AA578" s="24"/>
      <c r="AB578" s="24"/>
      <c r="AC578" s="24"/>
      <c r="AD578" s="24"/>
      <c r="AE578" s="24"/>
    </row>
    <row r="579" spans="1:31" ht="22.2" customHeight="1" x14ac:dyDescent="0.3">
      <c r="A579" s="207" t="str">
        <f>+IF(PROVEEDORES[[#This Row],[FECHA DE PAGO]]=PROVEEDORES[[#This Row],[FECHA DE FACTURACIÓN]],"DE CONTADO","CRÉDITO")</f>
        <v>CRÉDITO</v>
      </c>
      <c r="B579" s="38" t="str">
        <f>+IF((PROVEEDORES[[#This Row],[FECHA DE PAGO]]-PROVEEDORES[[#This Row],[FECHA DE FACTURACIÓN]])&gt;PROVEEDORES[[#This Row],[PLAZO Días]],"PAGO VENCIDO")</f>
        <v>PAGO VENCIDO</v>
      </c>
      <c r="C579" s="20">
        <f>+VLOOKUP(PROVEEDORES[[#This Row],[PROVEEDOR]],TERCEROS_INFO[#All],2,FALSE)</f>
        <v>30</v>
      </c>
      <c r="D579" s="25">
        <f>+SUMIFS(PROVEEDORES[Total],PROVEEDORES[PROVEEDOR],PROVEEDORES[[#This Row],[PROVEEDOR]],PROVEEDORES[FECHA DE PAGO],"")</f>
        <v>0</v>
      </c>
      <c r="E579" s="25"/>
      <c r="F57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579" s="161">
        <v>44867</v>
      </c>
      <c r="H579" s="267" t="s">
        <v>691</v>
      </c>
      <c r="I579" s="161">
        <v>44781</v>
      </c>
      <c r="J579" s="35" t="s">
        <v>1445</v>
      </c>
      <c r="K579" s="21">
        <v>353500</v>
      </c>
      <c r="L579" s="21"/>
      <c r="M579" s="22">
        <f>(PROVEEDORES[[#This Row],[SUBTOTAL]]-PROVEEDORES[[#This Row],[descuento sobre subtotal]])*VLOOKUP(PROVEEDORES[[#This Row],[PROVEEDOR]],TERCEROS_INFO[#All],3,FALSE)</f>
        <v>0</v>
      </c>
      <c r="N579" s="23"/>
      <c r="O579" s="22">
        <f>+PROVEEDORES[[#This Row],[Descuento sobre subtotal %]]*(PROVEEDORES[[#This Row],[SUBTOTAL]]-PROVEEDORES[[#This Row],[descuento sobre subtotal]])</f>
        <v>0</v>
      </c>
      <c r="P579" s="83">
        <f>+IF(PROVEEDORES[[#This Row],[SUBTOTAL]]&lt;PROVEEDORES[[#This Row],[base retencion]],0,PROVEEDORES[[#This Row],[retención aplicada]])</f>
        <v>0</v>
      </c>
      <c r="Q579" s="22">
        <f>+PROVEEDORES[[#This Row],[Rete Fuente %]]*(PROVEEDORES[[#This Row],[SUBTOTAL]]-PROVEEDORES[[#This Row],[descuento sobre subtotal]])</f>
        <v>0</v>
      </c>
      <c r="R579" s="21">
        <f>+PROVEEDORES[[#This Row],[SUBTOTAL]]+PROVEEDORES[[#This Row],[IVA 19%]]-PROVEEDORES[[#This Row],[descuento sobre subtotal]]-PROVEEDORES[[#This Row],[Descuento sobre subtotal $2]]-PROVEEDORES[[#This Row],[Rete Fuente $]]</f>
        <v>353500</v>
      </c>
      <c r="S579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68">
        <f ca="1">IF(PROVEEDORES[[#This Row],[FECHA DE PAGO]]=0,TODAY()-PROVEEDORES[[#This Row],[FECHA DE FACTURACIÓN]]-PROVEEDORES[[#This Row],[PLAZO Días]],0)</f>
        <v>0</v>
      </c>
      <c r="U579" s="113">
        <f>+VLOOKUP(PROVEEDORES[[#This Row],[PROVEEDOR]],Terceros!$A:$D,4,FALSE)</f>
        <v>0</v>
      </c>
      <c r="V579" s="114">
        <f>+YEAR(PROVEEDORES[[#This Row],[FECHA DE FACTURACIÓN]])</f>
        <v>2022</v>
      </c>
      <c r="W579" s="114">
        <f>+MATCH(PROVEEDORES[[#This Row],[año facturado]],Retenciones!$1:$1,0)</f>
        <v>5</v>
      </c>
      <c r="X579" s="115">
        <f>+VLOOKUP(PROVEEDORES[[#This Row],[ID RETENCION]],Retenciones!$A$1:$O$25,PROVEEDORES[[#This Row],[indicador de columna]],FALSE)</f>
        <v>0</v>
      </c>
      <c r="Y579" s="116">
        <f>+VLOOKUP(PROVEEDORES[[#This Row],[ID RETENCION]],Retenciones!$A$1:$O$25,2,FALSE)</f>
        <v>0</v>
      </c>
      <c r="Z579" s="125" t="b">
        <f>OR(COUNTIF(PROVEEDORES[[#This Row],[PROVEEDOR]],"*"&amp;'Palabra no opera'!$A$2&amp;"*"))</f>
        <v>0</v>
      </c>
      <c r="AA579" s="24"/>
      <c r="AB579" s="24"/>
      <c r="AC579" s="24"/>
      <c r="AD579" s="24"/>
      <c r="AE579" s="24"/>
    </row>
    <row r="580" spans="1:31" ht="22.2" customHeight="1" x14ac:dyDescent="0.3">
      <c r="A580" s="66" t="str">
        <f>+IF(PROVEEDORES[[#This Row],[FECHA DE PAGO]]=PROVEEDORES[[#This Row],[FECHA DE FACTURACIÓN]],"DE CONTADO","CRÉDITO")</f>
        <v>CRÉDITO</v>
      </c>
      <c r="B580" s="38" t="b">
        <f>+IF((PROVEEDORES[[#This Row],[FECHA DE PAGO]]-PROVEEDORES[[#This Row],[FECHA DE FACTURACIÓN]])&gt;PROVEEDORES[[#This Row],[PLAZO Días]],"PAGO VENCIDO")</f>
        <v>0</v>
      </c>
      <c r="C580" s="20">
        <f>+VLOOKUP(PROVEEDORES[[#This Row],[PROVEEDOR]],TERCEROS_INFO[#All],2,FALSE)</f>
        <v>30</v>
      </c>
      <c r="D580" s="25">
        <f>+SUMIFS(PROVEEDORES[Total],PROVEEDORES[PROVEEDOR],PROVEEDORES[[#This Row],[PROVEEDOR]],PROVEEDORES[FECHA DE PAGO],"")</f>
        <v>1468491.82</v>
      </c>
      <c r="E580" s="25"/>
      <c r="F58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580" s="161">
        <v>44550</v>
      </c>
      <c r="H580" s="26" t="s">
        <v>1638</v>
      </c>
      <c r="I580" s="161">
        <v>44533</v>
      </c>
      <c r="J580" s="35" t="s">
        <v>557</v>
      </c>
      <c r="K580" s="21">
        <v>297278.40000000002</v>
      </c>
      <c r="L580" s="21"/>
      <c r="M580" s="22">
        <f>(PROVEEDORES[[#This Row],[SUBTOTAL]]-PROVEEDORES[[#This Row],[descuento sobre subtotal]])*VLOOKUP(PROVEEDORES[[#This Row],[PROVEEDOR]],TERCEROS_INFO[#All],3,FALSE)</f>
        <v>56482.896000000008</v>
      </c>
      <c r="N580" s="23"/>
      <c r="O580" s="22">
        <f>+PROVEEDORES[[#This Row],[Descuento sobre subtotal %]]*(PROVEEDORES[[#This Row],[SUBTOTAL]]-PROVEEDORES[[#This Row],[descuento sobre subtotal]])</f>
        <v>0</v>
      </c>
      <c r="P580" s="83">
        <f>+IF(PROVEEDORES[[#This Row],[SUBTOTAL]]&lt;PROVEEDORES[[#This Row],[base retencion]],0,PROVEEDORES[[#This Row],[retención aplicada]])</f>
        <v>0</v>
      </c>
      <c r="Q580" s="22">
        <f>+PROVEEDORES[[#This Row],[Rete Fuente %]]*(PROVEEDORES[[#This Row],[SUBTOTAL]]-PROVEEDORES[[#This Row],[descuento sobre subtotal]])</f>
        <v>0</v>
      </c>
      <c r="R580" s="21">
        <f>+PROVEEDORES[[#This Row],[SUBTOTAL]]+PROVEEDORES[[#This Row],[IVA 19%]]-PROVEEDORES[[#This Row],[descuento sobre subtotal]]-PROVEEDORES[[#This Row],[Descuento sobre subtotal $2]]-PROVEEDORES[[#This Row],[Rete Fuente $]]</f>
        <v>353761.29600000003</v>
      </c>
      <c r="S5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68">
        <f ca="1">IF(PROVEEDORES[[#This Row],[FECHA DE PAGO]]=0,TODAY()-PROVEEDORES[[#This Row],[FECHA DE FACTURACIÓN]]-PROVEEDORES[[#This Row],[PLAZO Días]],0)</f>
        <v>0</v>
      </c>
      <c r="U580" s="96" t="str">
        <f>+VLOOKUP(PROVEEDORES[[#This Row],[PROVEEDOR]],Terceros!$A:$D,4,FALSE)</f>
        <v>2,5% con base</v>
      </c>
      <c r="V580" s="97">
        <f>+YEAR(PROVEEDORES[[#This Row],[FECHA DE FACTURACIÓN]])</f>
        <v>2021</v>
      </c>
      <c r="W580" s="97">
        <f>+MATCH(PROVEEDORES[[#This Row],[año facturado]],Retenciones!$1:$1,0)</f>
        <v>4</v>
      </c>
      <c r="X580" s="98">
        <f>+VLOOKUP(PROVEEDORES[[#This Row],[ID RETENCION]],Retenciones!$A$1:$O$25,PROVEEDORES[[#This Row],[indicador de columna]],FALSE)</f>
        <v>980000</v>
      </c>
      <c r="Y580" s="99">
        <f>+VLOOKUP(PROVEEDORES[[#This Row],[ID RETENCION]],Retenciones!$A$1:$O$25,2,FALSE)</f>
        <v>2.5000000000000001E-2</v>
      </c>
      <c r="Z580" s="125" t="b">
        <f>OR(COUNTIF(PROVEEDORES[[#This Row],[PROVEEDOR]],"*"&amp;'Palabra no opera'!$A$2&amp;"*"))</f>
        <v>0</v>
      </c>
      <c r="AA580" s="24"/>
      <c r="AB580" s="24"/>
      <c r="AC580" s="24"/>
      <c r="AD580" s="24"/>
      <c r="AE580" s="24"/>
    </row>
    <row r="581" spans="1:31" ht="22.2" customHeight="1" x14ac:dyDescent="0.3">
      <c r="A581" s="66" t="str">
        <f>+IF(PROVEEDORES[[#This Row],[FECHA DE PAGO]]=PROVEEDORES[[#This Row],[FECHA DE FACTURACIÓN]],"DE CONTADO","CRÉDITO")</f>
        <v>CRÉDITO</v>
      </c>
      <c r="B581" s="38" t="b">
        <f>+IF((PROVEEDORES[[#This Row],[FECHA DE PAGO]]-PROVEEDORES[[#This Row],[FECHA DE FACTURACIÓN]])&gt;PROVEEDORES[[#This Row],[PLAZO Días]],"PAGO VENCIDO")</f>
        <v>0</v>
      </c>
      <c r="C581" s="20">
        <f>+VLOOKUP(PROVEEDORES[[#This Row],[PROVEEDOR]],TERCEROS_INFO[#All],2,FALSE)</f>
        <v>30</v>
      </c>
      <c r="D581" s="25">
        <f>+SUMIFS(PROVEEDORES[Total],PROVEEDORES[PROVEEDOR],PROVEEDORES[[#This Row],[PROVEEDOR]],PROVEEDORES[FECHA DE PAGO],"")</f>
        <v>0</v>
      </c>
      <c r="E581" s="25"/>
      <c r="F58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81" s="161">
        <v>44363</v>
      </c>
      <c r="H581" s="26" t="s">
        <v>1451</v>
      </c>
      <c r="I581" s="161">
        <v>44361</v>
      </c>
      <c r="J581" s="35">
        <v>106</v>
      </c>
      <c r="K581" s="21">
        <v>359000</v>
      </c>
      <c r="L581" s="21"/>
      <c r="M581" s="22">
        <f>(PROVEEDORES[[#This Row],[SUBTOTAL]]-PROVEEDORES[[#This Row],[descuento sobre subtotal]])*VLOOKUP(PROVEEDORES[[#This Row],[PROVEEDOR]],TERCEROS_INFO[#All],3,FALSE)</f>
        <v>0</v>
      </c>
      <c r="N581" s="23"/>
      <c r="O581" s="22">
        <f>+PROVEEDORES[[#This Row],[Descuento sobre subtotal %]]*(PROVEEDORES[[#This Row],[SUBTOTAL]]-PROVEEDORES[[#This Row],[descuento sobre subtotal]])</f>
        <v>0</v>
      </c>
      <c r="P581" s="83">
        <f>+IF(PROVEEDORES[[#This Row],[SUBTOTAL]]&lt;PROVEEDORES[[#This Row],[base retencion]],0,PROVEEDORES[[#This Row],[retención aplicada]])</f>
        <v>0.01</v>
      </c>
      <c r="Q581" s="22">
        <f>+PROVEEDORES[[#This Row],[Rete Fuente %]]*(PROVEEDORES[[#This Row],[SUBTOTAL]]-PROVEEDORES[[#This Row],[descuento sobre subtotal]])</f>
        <v>3590</v>
      </c>
      <c r="R581" s="21">
        <f>+PROVEEDORES[[#This Row],[SUBTOTAL]]+PROVEEDORES[[#This Row],[IVA 19%]]-PROVEEDORES[[#This Row],[descuento sobre subtotal]]-PROVEEDORES[[#This Row],[Descuento sobre subtotal $2]]-PROVEEDORES[[#This Row],[Rete Fuente $]]</f>
        <v>355410</v>
      </c>
      <c r="S5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68">
        <f ca="1">IF(PROVEEDORES[[#This Row],[FECHA DE PAGO]]=0,TODAY()-PROVEEDORES[[#This Row],[FECHA DE FACTURACIÓN]]-PROVEEDORES[[#This Row],[PLAZO Días]],0)</f>
        <v>0</v>
      </c>
      <c r="U581" s="96" t="str">
        <f>+VLOOKUP(PROVEEDORES[[#This Row],[PROVEEDOR]],Terceros!$A:$D,4,FALSE)</f>
        <v>1% con base</v>
      </c>
      <c r="V581" s="97">
        <f>+YEAR(PROVEEDORES[[#This Row],[FECHA DE FACTURACIÓN]])</f>
        <v>2021</v>
      </c>
      <c r="W581" s="97">
        <f>+MATCH(PROVEEDORES[[#This Row],[año facturado]],Retenciones!$1:$1,0)</f>
        <v>4</v>
      </c>
      <c r="X581" s="98">
        <f>+VLOOKUP(PROVEEDORES[[#This Row],[ID RETENCION]],Retenciones!$A$1:$O$25,PROVEEDORES[[#This Row],[indicador de columna]],FALSE)</f>
        <v>145000</v>
      </c>
      <c r="Y581" s="99">
        <f>+VLOOKUP(PROVEEDORES[[#This Row],[ID RETENCION]],Retenciones!$A$1:$O$25,2,FALSE)</f>
        <v>0.01</v>
      </c>
      <c r="Z581" s="125" t="b">
        <f>OR(COUNTIF(PROVEEDORES[[#This Row],[PROVEEDOR]],"*"&amp;'Palabra no opera'!$A$2&amp;"*"))</f>
        <v>0</v>
      </c>
      <c r="AA581" s="24"/>
      <c r="AB581" s="24"/>
      <c r="AC581" s="24"/>
      <c r="AD581" s="24"/>
      <c r="AE581" s="24"/>
    </row>
    <row r="582" spans="1:31" ht="22.2" customHeight="1" x14ac:dyDescent="0.3">
      <c r="A582" s="66" t="str">
        <f>+IF(PROVEEDORES[[#This Row],[FECHA DE PAGO]]=PROVEEDORES[[#This Row],[FECHA DE FACTURACIÓN]],"DE CONTADO","CRÉDITO")</f>
        <v>CRÉDITO</v>
      </c>
      <c r="B582" s="38" t="b">
        <f>+IF((PROVEEDORES[[#This Row],[FECHA DE PAGO]]-PROVEEDORES[[#This Row],[FECHA DE FACTURACIÓN]])&gt;PROVEEDORES[[#This Row],[PLAZO Días]],"PAGO VENCIDO")</f>
        <v>0</v>
      </c>
      <c r="C582" s="20">
        <f>+VLOOKUP(PROVEEDORES[[#This Row],[PROVEEDOR]],TERCEROS_INFO[#All],2,FALSE)</f>
        <v>30</v>
      </c>
      <c r="D582" s="25">
        <f>+SUMIFS(PROVEEDORES[Total],PROVEEDORES[PROVEEDOR],PROVEEDORES[[#This Row],[PROVEEDOR]],PROVEEDORES[FECHA DE PAGO],"")</f>
        <v>0</v>
      </c>
      <c r="E582" s="25"/>
      <c r="F582" s="58" t="str">
        <f>+VLOOKUP(PROVEEDORES[[#This Row],[PROVEEDOR]],
                       Terceros!$A:$F,
                       5,
                       FALSE)</f>
        <v>PSE</v>
      </c>
      <c r="G582" s="161">
        <v>44334</v>
      </c>
      <c r="H582" s="26" t="s">
        <v>935</v>
      </c>
      <c r="I582" s="161">
        <v>44317</v>
      </c>
      <c r="J582" s="35"/>
      <c r="K582" s="21">
        <v>356260</v>
      </c>
      <c r="L582" s="21"/>
      <c r="M582" s="22">
        <f>(PROVEEDORES[[#This Row],[SUBTOTAL]]-PROVEEDORES[[#This Row],[descuento sobre subtotal]])*VLOOKUP(PROVEEDORES[[#This Row],[PROVEEDOR]],TERCEROS_INFO[#All],3,FALSE)</f>
        <v>0</v>
      </c>
      <c r="N582" s="23"/>
      <c r="O582" s="22">
        <f>+PROVEEDORES[[#This Row],[Descuento sobre subtotal %]]*(PROVEEDORES[[#This Row],[SUBTOTAL]]-PROVEEDORES[[#This Row],[descuento sobre subtotal]])</f>
        <v>0</v>
      </c>
      <c r="P582" s="83">
        <f>+IF(PROVEEDORES[[#This Row],[SUBTOTAL]]&lt;PROVEEDORES[[#This Row],[base retencion]],0,PROVEEDORES[[#This Row],[retención aplicada]])</f>
        <v>0</v>
      </c>
      <c r="Q582" s="22">
        <f>+PROVEEDORES[[#This Row],[Rete Fuente %]]*(PROVEEDORES[[#This Row],[SUBTOTAL]]-PROVEEDORES[[#This Row],[descuento sobre subtotal]])</f>
        <v>0</v>
      </c>
      <c r="R582" s="21">
        <f>+PROVEEDORES[[#This Row],[SUBTOTAL]]+PROVEEDORES[[#This Row],[IVA 19%]]-PROVEEDORES[[#This Row],[descuento sobre subtotal]]-PROVEEDORES[[#This Row],[Descuento sobre subtotal $2]]-PROVEEDORES[[#This Row],[Rete Fuente $]]</f>
        <v>356260</v>
      </c>
      <c r="S5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68">
        <f ca="1">IF(PROVEEDORES[[#This Row],[FECHA DE PAGO]]=0,TODAY()-PROVEEDORES[[#This Row],[FECHA DE FACTURACIÓN]]-PROVEEDORES[[#This Row],[PLAZO Días]],0)</f>
        <v>0</v>
      </c>
      <c r="U582" s="96">
        <f>+VLOOKUP(PROVEEDORES[[#This Row],[PROVEEDOR]],Terceros!$A:$D,4,FALSE)</f>
        <v>0</v>
      </c>
      <c r="V582" s="97">
        <f>+YEAR(PROVEEDORES[[#This Row],[FECHA DE FACTURACIÓN]])</f>
        <v>2021</v>
      </c>
      <c r="W582" s="97">
        <f>+MATCH(PROVEEDORES[[#This Row],[año facturado]],Retenciones!$1:$1,0)</f>
        <v>4</v>
      </c>
      <c r="X582" s="98">
        <f>+VLOOKUP(PROVEEDORES[[#This Row],[ID RETENCION]],Retenciones!$A$1:$O$25,PROVEEDORES[[#This Row],[indicador de columna]],FALSE)</f>
        <v>0</v>
      </c>
      <c r="Y582" s="99">
        <f>+VLOOKUP(PROVEEDORES[[#This Row],[ID RETENCION]],Retenciones!$A$1:$O$25,2,FALSE)</f>
        <v>0</v>
      </c>
      <c r="Z582" s="125" t="b">
        <f>OR(COUNTIF(PROVEEDORES[[#This Row],[PROVEEDOR]],"*"&amp;'Palabra no opera'!$A$2&amp;"*"))</f>
        <v>1</v>
      </c>
      <c r="AA582" s="24"/>
      <c r="AB582" s="24"/>
      <c r="AC582" s="24"/>
      <c r="AD582" s="24"/>
      <c r="AE582" s="24"/>
    </row>
    <row r="583" spans="1:31" ht="22.2" customHeight="1" x14ac:dyDescent="0.3">
      <c r="A583" s="207" t="str">
        <f>+IF(PROVEEDORES[[#This Row],[FECHA DE PAGO]]=PROVEEDORES[[#This Row],[FECHA DE FACTURACIÓN]],"DE CONTADO","CRÉDITO")</f>
        <v>CRÉDITO</v>
      </c>
      <c r="B583" s="38" t="b">
        <f>+IF((PROVEEDORES[[#This Row],[FECHA DE PAGO]]-PROVEEDORES[[#This Row],[FECHA DE FACTURACIÓN]])&gt;PROVEEDORES[[#This Row],[PLAZO Días]],"PAGO VENCIDO")</f>
        <v>0</v>
      </c>
      <c r="C583" s="20">
        <f>+VLOOKUP(PROVEEDORES[[#This Row],[PROVEEDOR]],TERCEROS_INFO[#All],2,FALSE)</f>
        <v>60</v>
      </c>
      <c r="D583" s="25">
        <f>+SUMIFS(PROVEEDORES[Total],PROVEEDORES[PROVEEDOR],PROVEEDORES[[#This Row],[PROVEEDOR]],PROVEEDORES[FECHA DE PAGO],"")</f>
        <v>1520362</v>
      </c>
      <c r="E583" s="25"/>
      <c r="F58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83" s="161">
        <v>44811</v>
      </c>
      <c r="H583" s="26" t="s">
        <v>528</v>
      </c>
      <c r="I583" s="161">
        <v>44785</v>
      </c>
      <c r="J583" s="35" t="s">
        <v>1631</v>
      </c>
      <c r="K583" s="21">
        <v>356840</v>
      </c>
      <c r="L583" s="21"/>
      <c r="M583" s="22">
        <f>(PROVEEDORES[[#This Row],[SUBTOTAL]]-PROVEEDORES[[#This Row],[descuento sobre subtotal]])*VLOOKUP(PROVEEDORES[[#This Row],[PROVEEDOR]],TERCEROS_INFO[#All],3,FALSE)</f>
        <v>0</v>
      </c>
      <c r="N583" s="23"/>
      <c r="O583" s="22">
        <f>+PROVEEDORES[[#This Row],[Descuento sobre subtotal %]]*(PROVEEDORES[[#This Row],[SUBTOTAL]]-PROVEEDORES[[#This Row],[descuento sobre subtotal]])</f>
        <v>0</v>
      </c>
      <c r="P583" s="83">
        <f>+IF(PROVEEDORES[[#This Row],[SUBTOTAL]]&lt;PROVEEDORES[[#This Row],[base retencion]],0,PROVEEDORES[[#This Row],[retención aplicada]])</f>
        <v>0</v>
      </c>
      <c r="Q583" s="22">
        <f>+PROVEEDORES[[#This Row],[Rete Fuente %]]*(PROVEEDORES[[#This Row],[SUBTOTAL]]-PROVEEDORES[[#This Row],[descuento sobre subtotal]])</f>
        <v>0</v>
      </c>
      <c r="R583" s="21">
        <f>+PROVEEDORES[[#This Row],[SUBTOTAL]]+PROVEEDORES[[#This Row],[IVA 19%]]-PROVEEDORES[[#This Row],[descuento sobre subtotal]]-PROVEEDORES[[#This Row],[Descuento sobre subtotal $2]]-PROVEEDORES[[#This Row],[Rete Fuente $]]</f>
        <v>356840</v>
      </c>
      <c r="S583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68">
        <f ca="1">IF(PROVEEDORES[[#This Row],[FECHA DE PAGO]]=0,TODAY()-PROVEEDORES[[#This Row],[FECHA DE FACTURACIÓN]]-PROVEEDORES[[#This Row],[PLAZO Días]],0)</f>
        <v>0</v>
      </c>
      <c r="U583" s="113">
        <f>+VLOOKUP(PROVEEDORES[[#This Row],[PROVEEDOR]],Terceros!$A:$D,4,FALSE)</f>
        <v>0</v>
      </c>
      <c r="V583" s="114">
        <f>+YEAR(PROVEEDORES[[#This Row],[FECHA DE FACTURACIÓN]])</f>
        <v>2022</v>
      </c>
      <c r="W583" s="114">
        <f>+MATCH(PROVEEDORES[[#This Row],[año facturado]],Retenciones!$1:$1,0)</f>
        <v>5</v>
      </c>
      <c r="X583" s="115">
        <f>+VLOOKUP(PROVEEDORES[[#This Row],[ID RETENCION]],Retenciones!$A$1:$O$25,PROVEEDORES[[#This Row],[indicador de columna]],FALSE)</f>
        <v>0</v>
      </c>
      <c r="Y583" s="116">
        <f>+VLOOKUP(PROVEEDORES[[#This Row],[ID RETENCION]],Retenciones!$A$1:$O$25,2,FALSE)</f>
        <v>0</v>
      </c>
      <c r="Z583" s="125" t="b">
        <f>OR(COUNTIF(PROVEEDORES[[#This Row],[PROVEEDOR]],"*"&amp;'Palabra no opera'!$A$2&amp;"*"))</f>
        <v>0</v>
      </c>
      <c r="AA583" s="24"/>
      <c r="AB583" s="24"/>
      <c r="AC583" s="24"/>
      <c r="AD583" s="24"/>
      <c r="AE583" s="24"/>
    </row>
    <row r="584" spans="1:31" ht="22.2" customHeight="1" x14ac:dyDescent="0.3">
      <c r="A584" s="66" t="str">
        <f>+IF(PROVEEDORES[[#This Row],[FECHA DE PAGO]]=PROVEEDORES[[#This Row],[FECHA DE FACTURACIÓN]],"DE CONTADO","CRÉDITO")</f>
        <v>CRÉDITO</v>
      </c>
      <c r="B584" s="38" t="str">
        <f>+IF((PROVEEDORES[[#This Row],[FECHA DE PAGO]]-PROVEEDORES[[#This Row],[FECHA DE FACTURACIÓN]])&gt;PROVEEDORES[[#This Row],[PLAZO Días]],"PAGO VENCIDO")</f>
        <v>PAGO VENCIDO</v>
      </c>
      <c r="C584" s="20">
        <f>+VLOOKUP(PROVEEDORES[[#This Row],[PROVEEDOR]],TERCEROS_INFO[#All],2,FALSE)</f>
        <v>30</v>
      </c>
      <c r="D584" s="25">
        <f>+SUMIFS(PROVEEDORES[Total],PROVEEDORES[PROVEEDOR],PROVEEDORES[[#This Row],[PROVEEDOR]],PROVEEDORES[FECHA DE PAGO],"")</f>
        <v>0</v>
      </c>
      <c r="E584" s="25"/>
      <c r="F58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84" s="161">
        <v>44537</v>
      </c>
      <c r="H584" s="26" t="s">
        <v>1637</v>
      </c>
      <c r="I584" s="161">
        <v>44482</v>
      </c>
      <c r="J584" s="35">
        <v>22907</v>
      </c>
      <c r="K584" s="21">
        <v>300000</v>
      </c>
      <c r="L584" s="21"/>
      <c r="M584" s="22">
        <f>(PROVEEDORES[[#This Row],[SUBTOTAL]]-PROVEEDORES[[#This Row],[descuento sobre subtotal]])*VLOOKUP(PROVEEDORES[[#This Row],[PROVEEDOR]],TERCEROS_INFO[#All],3,FALSE)</f>
        <v>57000</v>
      </c>
      <c r="N584" s="23"/>
      <c r="O584" s="22">
        <f>+PROVEEDORES[[#This Row],[Descuento sobre subtotal %]]*(PROVEEDORES[[#This Row],[SUBTOTAL]]-PROVEEDORES[[#This Row],[descuento sobre subtotal]])</f>
        <v>0</v>
      </c>
      <c r="P584" s="83">
        <f>+IF(PROVEEDORES[[#This Row],[SUBTOTAL]]&lt;PROVEEDORES[[#This Row],[base retencion]],0,PROVEEDORES[[#This Row],[retención aplicada]])</f>
        <v>0</v>
      </c>
      <c r="Q584" s="22">
        <f>+PROVEEDORES[[#This Row],[Rete Fuente %]]*(PROVEEDORES[[#This Row],[SUBTOTAL]]-PROVEEDORES[[#This Row],[descuento sobre subtotal]])</f>
        <v>0</v>
      </c>
      <c r="R584" s="21">
        <f>+PROVEEDORES[[#This Row],[SUBTOTAL]]+PROVEEDORES[[#This Row],[IVA 19%]]-PROVEEDORES[[#This Row],[descuento sobre subtotal]]-PROVEEDORES[[#This Row],[Descuento sobre subtotal $2]]-PROVEEDORES[[#This Row],[Rete Fuente $]]</f>
        <v>357000</v>
      </c>
      <c r="S5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68">
        <f ca="1">IF(PROVEEDORES[[#This Row],[FECHA DE PAGO]]=0,TODAY()-PROVEEDORES[[#This Row],[FECHA DE FACTURACIÓN]]-PROVEEDORES[[#This Row],[PLAZO Días]],0)</f>
        <v>0</v>
      </c>
      <c r="U584" s="96" t="str">
        <f>+VLOOKUP(PROVEEDORES[[#This Row],[PROVEEDOR]],Terceros!$A:$D,4,FALSE)</f>
        <v>2,5% con base</v>
      </c>
      <c r="V584" s="97">
        <f>+YEAR(PROVEEDORES[[#This Row],[FECHA DE FACTURACIÓN]])</f>
        <v>2021</v>
      </c>
      <c r="W584" s="97">
        <f>+MATCH(PROVEEDORES[[#This Row],[año facturado]],Retenciones!$1:$1,0)</f>
        <v>4</v>
      </c>
      <c r="X584" s="98">
        <f>+VLOOKUP(PROVEEDORES[[#This Row],[ID RETENCION]],Retenciones!$A$1:$O$25,PROVEEDORES[[#This Row],[indicador de columna]],FALSE)</f>
        <v>980000</v>
      </c>
      <c r="Y584" s="99">
        <f>+VLOOKUP(PROVEEDORES[[#This Row],[ID RETENCION]],Retenciones!$A$1:$O$25,2,FALSE)</f>
        <v>2.5000000000000001E-2</v>
      </c>
      <c r="Z584" s="125" t="b">
        <f>OR(COUNTIF(PROVEEDORES[[#This Row],[PROVEEDOR]],"*"&amp;'Palabra no opera'!$A$2&amp;"*"))</f>
        <v>0</v>
      </c>
      <c r="AA584" s="24"/>
      <c r="AB584" s="24"/>
      <c r="AC584" s="24"/>
      <c r="AD584" s="24"/>
      <c r="AE584" s="24"/>
    </row>
    <row r="585" spans="1:31" ht="22.2" customHeight="1" x14ac:dyDescent="0.3">
      <c r="A585" s="66" t="str">
        <f>+IF(PROVEEDORES[[#This Row],[FECHA DE PAGO]]=PROVEEDORES[[#This Row],[FECHA DE FACTURACIÓN]],"DE CONTADO","CRÉDITO")</f>
        <v>CRÉDITO</v>
      </c>
      <c r="B585" s="38" t="b">
        <f>+IF((PROVEEDORES[[#This Row],[FECHA DE PAGO]]-PROVEEDORES[[#This Row],[FECHA DE FACTURACIÓN]])&gt;PROVEEDORES[[#This Row],[PLAZO Días]],"PAGO VENCIDO")</f>
        <v>0</v>
      </c>
      <c r="C585" s="20">
        <f>+VLOOKUP(PROVEEDORES[[#This Row],[PROVEEDOR]],TERCEROS_INFO[#All],2,FALSE)</f>
        <v>30</v>
      </c>
      <c r="D585" s="25">
        <f>+SUMIFS(PROVEEDORES[Total],PROVEEDORES[PROVEEDOR],PROVEEDORES[[#This Row],[PROVEEDOR]],PROVEEDORES[FECHA DE PAGO],"")</f>
        <v>4712021.58</v>
      </c>
      <c r="E585" s="25"/>
      <c r="F58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85" s="161">
        <v>44558</v>
      </c>
      <c r="H585" s="26" t="s">
        <v>17</v>
      </c>
      <c r="I585" s="161">
        <v>44529</v>
      </c>
      <c r="J585" s="35">
        <v>1846298</v>
      </c>
      <c r="K585" s="21">
        <v>300000</v>
      </c>
      <c r="L585" s="21"/>
      <c r="M585" s="22">
        <f>(PROVEEDORES[[#This Row],[SUBTOTAL]]-PROVEEDORES[[#This Row],[descuento sobre subtotal]])*VLOOKUP(PROVEEDORES[[#This Row],[PROVEEDOR]],TERCEROS_INFO[#All],3,FALSE)</f>
        <v>57000</v>
      </c>
      <c r="N585" s="23"/>
      <c r="O585" s="22">
        <f>+PROVEEDORES[[#This Row],[Descuento sobre subtotal %]]*(PROVEEDORES[[#This Row],[SUBTOTAL]]-PROVEEDORES[[#This Row],[descuento sobre subtotal]])</f>
        <v>0</v>
      </c>
      <c r="P585" s="83">
        <f>+IF(PROVEEDORES[[#This Row],[SUBTOTAL]]&lt;PROVEEDORES[[#This Row],[base retencion]],0,PROVEEDORES[[#This Row],[retención aplicada]])</f>
        <v>0</v>
      </c>
      <c r="Q585" s="22">
        <f>+PROVEEDORES[[#This Row],[Rete Fuente %]]*(PROVEEDORES[[#This Row],[SUBTOTAL]]-PROVEEDORES[[#This Row],[descuento sobre subtotal]])</f>
        <v>0</v>
      </c>
      <c r="R585" s="21">
        <f>+PROVEEDORES[[#This Row],[SUBTOTAL]]+PROVEEDORES[[#This Row],[IVA 19%]]-PROVEEDORES[[#This Row],[descuento sobre subtotal]]-PROVEEDORES[[#This Row],[Descuento sobre subtotal $2]]-PROVEEDORES[[#This Row],[Rete Fuente $]]</f>
        <v>357000</v>
      </c>
      <c r="S5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68">
        <f ca="1">IF(PROVEEDORES[[#This Row],[FECHA DE PAGO]]=0,TODAY()-PROVEEDORES[[#This Row],[FECHA DE FACTURACIÓN]]-PROVEEDORES[[#This Row],[PLAZO Días]],0)</f>
        <v>0</v>
      </c>
      <c r="U585" s="96">
        <f>+VLOOKUP(PROVEEDORES[[#This Row],[PROVEEDOR]],Terceros!$A:$D,4,FALSE)</f>
        <v>0</v>
      </c>
      <c r="V585" s="97">
        <f>+YEAR(PROVEEDORES[[#This Row],[FECHA DE FACTURACIÓN]])</f>
        <v>2021</v>
      </c>
      <c r="W585" s="97">
        <f>+MATCH(PROVEEDORES[[#This Row],[año facturado]],Retenciones!$1:$1,0)</f>
        <v>4</v>
      </c>
      <c r="X585" s="98">
        <f>+VLOOKUP(PROVEEDORES[[#This Row],[ID RETENCION]],Retenciones!$A$1:$O$25,PROVEEDORES[[#This Row],[indicador de columna]],FALSE)</f>
        <v>0</v>
      </c>
      <c r="Y585" s="99">
        <f>+VLOOKUP(PROVEEDORES[[#This Row],[ID RETENCION]],Retenciones!$A$1:$O$25,2,FALSE)</f>
        <v>0</v>
      </c>
      <c r="Z585" s="125" t="b">
        <f>OR(COUNTIF(PROVEEDORES[[#This Row],[PROVEEDOR]],"*"&amp;'Palabra no opera'!$A$2&amp;"*"))</f>
        <v>0</v>
      </c>
      <c r="AA585" s="24"/>
      <c r="AB585" s="24"/>
      <c r="AC585" s="24"/>
      <c r="AD585" s="24"/>
      <c r="AE585" s="24"/>
    </row>
    <row r="586" spans="1:31" ht="22.2" customHeight="1" x14ac:dyDescent="0.3">
      <c r="A586" s="66" t="str">
        <f>+IF(PROVEEDORES[[#This Row],[FECHA DE PAGO]]=PROVEEDORES[[#This Row],[FECHA DE FACTURACIÓN]],"DE CONTADO","CRÉDITO")</f>
        <v>CRÉDITO</v>
      </c>
      <c r="B586" s="38" t="b">
        <f>+IF((PROVEEDORES[[#This Row],[FECHA DE PAGO]]-PROVEEDORES[[#This Row],[FECHA DE FACTURACIÓN]])&gt;PROVEEDORES[[#This Row],[PLAZO Días]],"PAGO VENCIDO")</f>
        <v>0</v>
      </c>
      <c r="C586" s="20">
        <f>+VLOOKUP(PROVEEDORES[[#This Row],[PROVEEDOR]],TERCEROS_INFO[#All],2,FALSE)</f>
        <v>30</v>
      </c>
      <c r="D586" s="25">
        <f>+SUMIFS(PROVEEDORES[Total],PROVEEDORES[PROVEEDOR],PROVEEDORES[[#This Row],[PROVEEDOR]],PROVEEDORES[FECHA DE PAGO],"")</f>
        <v>0</v>
      </c>
      <c r="E586" s="25"/>
      <c r="F58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86" s="161">
        <v>44635</v>
      </c>
      <c r="H586" s="26" t="s">
        <v>1450</v>
      </c>
      <c r="I586" s="161">
        <v>44627</v>
      </c>
      <c r="J586" s="35">
        <v>330</v>
      </c>
      <c r="K586" s="21">
        <v>359500</v>
      </c>
      <c r="L586" s="21"/>
      <c r="M586" s="22">
        <f>(PROVEEDORES[[#This Row],[SUBTOTAL]]-PROVEEDORES[[#This Row],[descuento sobre subtotal]])*VLOOKUP(PROVEEDORES[[#This Row],[PROVEEDOR]],TERCEROS_INFO[#All],3,FALSE)</f>
        <v>0</v>
      </c>
      <c r="N586" s="23"/>
      <c r="O586" s="22">
        <f>+PROVEEDORES[[#This Row],[Descuento sobre subtotal %]]*(PROVEEDORES[[#This Row],[SUBTOTAL]]-PROVEEDORES[[#This Row],[descuento sobre subtotal]])</f>
        <v>0</v>
      </c>
      <c r="P586" s="83">
        <f>+IF(PROVEEDORES[[#This Row],[SUBTOTAL]]&lt;PROVEEDORES[[#This Row],[base retencion]],0,PROVEEDORES[[#This Row],[retención aplicada]])</f>
        <v>0</v>
      </c>
      <c r="Q586" s="22">
        <f>+PROVEEDORES[[#This Row],[Rete Fuente %]]*(PROVEEDORES[[#This Row],[SUBTOTAL]]-PROVEEDORES[[#This Row],[descuento sobre subtotal]])</f>
        <v>0</v>
      </c>
      <c r="R586" s="21">
        <v>359500</v>
      </c>
      <c r="S5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68">
        <f ca="1">IF(PROVEEDORES[[#This Row],[FECHA DE PAGO]]=0,TODAY()-PROVEEDORES[[#This Row],[FECHA DE FACTURACIÓN]]-PROVEEDORES[[#This Row],[PLAZO Días]],0)</f>
        <v>0</v>
      </c>
      <c r="U586" s="96">
        <f>+VLOOKUP(PROVEEDORES[[#This Row],[PROVEEDOR]],Terceros!$A:$D,4,FALSE)</f>
        <v>0</v>
      </c>
      <c r="V586" s="97">
        <f>+YEAR(PROVEEDORES[[#This Row],[FECHA DE FACTURACIÓN]])</f>
        <v>2022</v>
      </c>
      <c r="W586" s="97">
        <f>+MATCH(PROVEEDORES[[#This Row],[año facturado]],Retenciones!$1:$1,0)</f>
        <v>5</v>
      </c>
      <c r="X586" s="98">
        <f>+VLOOKUP(PROVEEDORES[[#This Row],[ID RETENCION]],Retenciones!$A$1:$O$25,PROVEEDORES[[#This Row],[indicador de columna]],FALSE)</f>
        <v>0</v>
      </c>
      <c r="Y586" s="99">
        <f>+VLOOKUP(PROVEEDORES[[#This Row],[ID RETENCION]],Retenciones!$A$1:$O$25,2,FALSE)</f>
        <v>0</v>
      </c>
      <c r="Z586" s="125" t="b">
        <f>OR(COUNTIF(PROVEEDORES[[#This Row],[PROVEEDOR]],"*"&amp;'Palabra no opera'!$A$2&amp;"*"))</f>
        <v>0</v>
      </c>
      <c r="AA586" s="24"/>
      <c r="AB586" s="24"/>
      <c r="AC586" s="24"/>
      <c r="AD586" s="24"/>
      <c r="AE586" s="24"/>
    </row>
    <row r="587" spans="1:31" ht="22.2" customHeight="1" x14ac:dyDescent="0.3">
      <c r="A587" s="66" t="str">
        <f>+IF(PROVEEDORES[[#This Row],[FECHA DE PAGO]]=PROVEEDORES[[#This Row],[FECHA DE FACTURACIÓN]],"DE CONTADO","CRÉDITO")</f>
        <v>CRÉDITO</v>
      </c>
      <c r="B587" s="38" t="b">
        <f>+IF((PROVEEDORES[[#This Row],[FECHA DE PAGO]]-PROVEEDORES[[#This Row],[FECHA DE FACTURACIÓN]])&gt;PROVEEDORES[[#This Row],[PLAZO Días]],"PAGO VENCIDO")</f>
        <v>0</v>
      </c>
      <c r="C587" s="20">
        <f>+VLOOKUP(PROVEEDORES[[#This Row],[PROVEEDOR]],TERCEROS_INFO[#All],2,FALSE)</f>
        <v>30</v>
      </c>
      <c r="D587" s="25">
        <f>+SUMIFS(PROVEEDORES[Total],PROVEEDORES[PROVEEDOR],PROVEEDORES[[#This Row],[PROVEEDOR]],PROVEEDORES[FECHA DE PAGO],"")</f>
        <v>0</v>
      </c>
      <c r="E587" s="25"/>
      <c r="F58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87" s="161">
        <v>44635</v>
      </c>
      <c r="H587" s="26" t="s">
        <v>1451</v>
      </c>
      <c r="I587" s="161">
        <v>44627</v>
      </c>
      <c r="J587" s="35">
        <v>211</v>
      </c>
      <c r="K587" s="21">
        <v>359500</v>
      </c>
      <c r="L587" s="21"/>
      <c r="M587" s="22">
        <f>(PROVEEDORES[[#This Row],[SUBTOTAL]]-PROVEEDORES[[#This Row],[descuento sobre subtotal]])*VLOOKUP(PROVEEDORES[[#This Row],[PROVEEDOR]],TERCEROS_INFO[#All],3,FALSE)</f>
        <v>0</v>
      </c>
      <c r="N587" s="23"/>
      <c r="O587" s="22">
        <f>+PROVEEDORES[[#This Row],[Descuento sobre subtotal %]]*(PROVEEDORES[[#This Row],[SUBTOTAL]]-PROVEEDORES[[#This Row],[descuento sobre subtotal]])</f>
        <v>0</v>
      </c>
      <c r="P587" s="83">
        <f>+IF(PROVEEDORES[[#This Row],[SUBTOTAL]]&lt;PROVEEDORES[[#This Row],[base retencion]],0,PROVEEDORES[[#This Row],[retención aplicada]])</f>
        <v>0.01</v>
      </c>
      <c r="Q587" s="22">
        <f>+PROVEEDORES[[#This Row],[Rete Fuente %]]*(PROVEEDORES[[#This Row],[SUBTOTAL]]-PROVEEDORES[[#This Row],[descuento sobre subtotal]])</f>
        <v>3595</v>
      </c>
      <c r="R587" s="21">
        <v>359500</v>
      </c>
      <c r="S5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68">
        <f ca="1">IF(PROVEEDORES[[#This Row],[FECHA DE PAGO]]=0,TODAY()-PROVEEDORES[[#This Row],[FECHA DE FACTURACIÓN]]-PROVEEDORES[[#This Row],[PLAZO Días]],0)</f>
        <v>0</v>
      </c>
      <c r="U587" s="96" t="str">
        <f>+VLOOKUP(PROVEEDORES[[#This Row],[PROVEEDOR]],Terceros!$A:$D,4,FALSE)</f>
        <v>1% con base</v>
      </c>
      <c r="V587" s="97">
        <f>+YEAR(PROVEEDORES[[#This Row],[FECHA DE FACTURACIÓN]])</f>
        <v>2022</v>
      </c>
      <c r="W587" s="97">
        <f>+MATCH(PROVEEDORES[[#This Row],[año facturado]],Retenciones!$1:$1,0)</f>
        <v>5</v>
      </c>
      <c r="X587" s="98">
        <f>+VLOOKUP(PROVEEDORES[[#This Row],[ID RETENCION]],Retenciones!$A$1:$O$25,PROVEEDORES[[#This Row],[indicador de columna]],FALSE)</f>
        <v>152000</v>
      </c>
      <c r="Y587" s="99">
        <f>+VLOOKUP(PROVEEDORES[[#This Row],[ID RETENCION]],Retenciones!$A$1:$O$25,2,FALSE)</f>
        <v>0.01</v>
      </c>
      <c r="Z587" s="125" t="b">
        <f>OR(COUNTIF(PROVEEDORES[[#This Row],[PROVEEDOR]],"*"&amp;'Palabra no opera'!$A$2&amp;"*"))</f>
        <v>0</v>
      </c>
      <c r="AA587" s="24"/>
      <c r="AB587" s="24"/>
      <c r="AC587" s="24"/>
      <c r="AD587" s="24"/>
      <c r="AE587" s="24"/>
    </row>
    <row r="588" spans="1:31" ht="22.2" customHeight="1" x14ac:dyDescent="0.3">
      <c r="A588" s="66" t="str">
        <f>+IF(PROVEEDORES[[#This Row],[FECHA DE PAGO]]=PROVEEDORES[[#This Row],[FECHA DE FACTURACIÓN]],"DE CONTADO","CRÉDITO")</f>
        <v>CRÉDITO</v>
      </c>
      <c r="B588" s="38" t="str">
        <f>+IF((PROVEEDORES[[#This Row],[FECHA DE PAGO]]-PROVEEDORES[[#This Row],[FECHA DE FACTURACIÓN]])&gt;PROVEEDORES[[#This Row],[PLAZO Días]],"PAGO VENCIDO")</f>
        <v>PAGO VENCIDO</v>
      </c>
      <c r="C588" s="20">
        <f>+VLOOKUP(PROVEEDORES[[#This Row],[PROVEEDOR]],TERCEROS_INFO[#All],2,FALSE)</f>
        <v>30</v>
      </c>
      <c r="D588" s="25">
        <f>+SUMIFS(PROVEEDORES[Total],PROVEEDORES[PROVEEDOR],PROVEEDORES[[#This Row],[PROVEEDOR]],PROVEEDORES[FECHA DE PAGO],"")</f>
        <v>0</v>
      </c>
      <c r="E588" s="25"/>
      <c r="F588" s="58">
        <f>+VLOOKUP(PROVEEDORES[[#This Row],[PROVEEDOR]],
                       Terceros!$A:$F,
                       5,
                       FALSE)</f>
        <v>0</v>
      </c>
      <c r="G588" s="161">
        <v>44448</v>
      </c>
      <c r="H588" s="26" t="s">
        <v>366</v>
      </c>
      <c r="I588" s="161">
        <v>44403</v>
      </c>
      <c r="J588" s="35" t="s">
        <v>411</v>
      </c>
      <c r="K588" s="21">
        <v>302520</v>
      </c>
      <c r="L588" s="21"/>
      <c r="M588" s="22">
        <f>(PROVEEDORES[[#This Row],[SUBTOTAL]]-PROVEEDORES[[#This Row],[descuento sobre subtotal]])*VLOOKUP(PROVEEDORES[[#This Row],[PROVEEDOR]],TERCEROS_INFO[#All],3,FALSE)</f>
        <v>57478.8</v>
      </c>
      <c r="N588" s="23"/>
      <c r="O588" s="22">
        <f>+PROVEEDORES[[#This Row],[Descuento sobre subtotal %]]*(PROVEEDORES[[#This Row],[SUBTOTAL]]-PROVEEDORES[[#This Row],[descuento sobre subtotal]])</f>
        <v>0</v>
      </c>
      <c r="P588" s="83">
        <f>+IF(PROVEEDORES[[#This Row],[SUBTOTAL]]&lt;PROVEEDORES[[#This Row],[base retencion]],0,PROVEEDORES[[#This Row],[retención aplicada]])</f>
        <v>0</v>
      </c>
      <c r="Q588" s="22">
        <f>+PROVEEDORES[[#This Row],[Rete Fuente %]]*(PROVEEDORES[[#This Row],[SUBTOTAL]]-PROVEEDORES[[#This Row],[descuento sobre subtotal]])</f>
        <v>0</v>
      </c>
      <c r="R588" s="21">
        <f>+PROVEEDORES[[#This Row],[SUBTOTAL]]+PROVEEDORES[[#This Row],[IVA 19%]]-PROVEEDORES[[#This Row],[descuento sobre subtotal]]-PROVEEDORES[[#This Row],[Descuento sobre subtotal $2]]-PROVEEDORES[[#This Row],[Rete Fuente $]]</f>
        <v>359998.8</v>
      </c>
      <c r="S5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68">
        <f ca="1">IF(PROVEEDORES[[#This Row],[FECHA DE PAGO]]=0,TODAY()-PROVEEDORES[[#This Row],[FECHA DE FACTURACIÓN]]-PROVEEDORES[[#This Row],[PLAZO Días]],0)</f>
        <v>0</v>
      </c>
      <c r="U588" s="96" t="str">
        <f>+VLOOKUP(PROVEEDORES[[#This Row],[PROVEEDOR]],Terceros!$A:$D,4,FALSE)</f>
        <v>2,5% con base</v>
      </c>
      <c r="V588" s="97">
        <f>+YEAR(PROVEEDORES[[#This Row],[FECHA DE FACTURACIÓN]])</f>
        <v>2021</v>
      </c>
      <c r="W588" s="97">
        <f>+MATCH(PROVEEDORES[[#This Row],[año facturado]],Retenciones!$1:$1,0)</f>
        <v>4</v>
      </c>
      <c r="X588" s="98">
        <f>+VLOOKUP(PROVEEDORES[[#This Row],[ID RETENCION]],Retenciones!$A$1:$O$25,PROVEEDORES[[#This Row],[indicador de columna]],FALSE)</f>
        <v>980000</v>
      </c>
      <c r="Y588" s="99">
        <f>+VLOOKUP(PROVEEDORES[[#This Row],[ID RETENCION]],Retenciones!$A$1:$O$25,2,FALSE)</f>
        <v>2.5000000000000001E-2</v>
      </c>
      <c r="Z588" s="125" t="b">
        <f>OR(COUNTIF(PROVEEDORES[[#This Row],[PROVEEDOR]],"*"&amp;'Palabra no opera'!$A$2&amp;"*"))</f>
        <v>0</v>
      </c>
      <c r="AA588" s="24"/>
      <c r="AB588" s="24"/>
      <c r="AC588" s="24"/>
      <c r="AD588" s="24"/>
      <c r="AE588" s="24"/>
    </row>
    <row r="589" spans="1:31" ht="22.2" customHeight="1" x14ac:dyDescent="0.3">
      <c r="A589" s="66" t="str">
        <f>+IF(PROVEEDORES[[#This Row],[FECHA DE PAGO]]=PROVEEDORES[[#This Row],[FECHA DE FACTURACIÓN]],"DE CONTADO","CRÉDITO")</f>
        <v>CRÉDITO</v>
      </c>
      <c r="B589" s="38" t="b">
        <f>+IF((PROVEEDORES[[#This Row],[FECHA DE PAGO]]-PROVEEDORES[[#This Row],[FECHA DE FACTURACIÓN]])&gt;PROVEEDORES[[#This Row],[PLAZO Días]],"PAGO VENCIDO")</f>
        <v>0</v>
      </c>
      <c r="C589" s="20">
        <f>+VLOOKUP(PROVEEDORES[[#This Row],[PROVEEDOR]],TERCEROS_INFO[#All],2,FALSE)</f>
        <v>30</v>
      </c>
      <c r="D589" s="25">
        <f>+SUMIFS(PROVEEDORES[Total],PROVEEDORES[PROVEEDOR],PROVEEDORES[[#This Row],[PROVEEDOR]],PROVEEDORES[FECHA DE PAGO],"")</f>
        <v>4712021.58</v>
      </c>
      <c r="E589" s="25"/>
      <c r="F58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89" s="161">
        <v>44208</v>
      </c>
      <c r="H589" s="26" t="s">
        <v>17</v>
      </c>
      <c r="I589" s="161">
        <v>44201</v>
      </c>
      <c r="J589" s="35">
        <v>1710675</v>
      </c>
      <c r="K589" s="21">
        <v>302521.00840336137</v>
      </c>
      <c r="L589" s="21"/>
      <c r="M589" s="22">
        <f>(PROVEEDORES[[#This Row],[SUBTOTAL]]-PROVEEDORES[[#This Row],[descuento sobre subtotal]])*VLOOKUP(PROVEEDORES[[#This Row],[PROVEEDOR]],TERCEROS_INFO[#All],3,FALSE)</f>
        <v>57478.991596638662</v>
      </c>
      <c r="N589" s="23"/>
      <c r="O589" s="22">
        <f>+PROVEEDORES[[#This Row],[Descuento sobre subtotal %]]*(PROVEEDORES[[#This Row],[SUBTOTAL]]-PROVEEDORES[[#This Row],[descuento sobre subtotal]])</f>
        <v>0</v>
      </c>
      <c r="P589" s="83">
        <f>+IF(PROVEEDORES[[#This Row],[SUBTOTAL]]&lt;PROVEEDORES[[#This Row],[base retencion]],0,PROVEEDORES[[#This Row],[retención aplicada]])</f>
        <v>0</v>
      </c>
      <c r="Q589" s="22">
        <f>+PROVEEDORES[[#This Row],[Rete Fuente %]]*(PROVEEDORES[[#This Row],[SUBTOTAL]]-PROVEEDORES[[#This Row],[descuento sobre subtotal]])</f>
        <v>0</v>
      </c>
      <c r="R589" s="21">
        <f>+PROVEEDORES[[#This Row],[SUBTOTAL]]+PROVEEDORES[[#This Row],[IVA 19%]]-PROVEEDORES[[#This Row],[descuento sobre subtotal]]-PROVEEDORES[[#This Row],[Descuento sobre subtotal $2]]-PROVEEDORES[[#This Row],[Rete Fuente $]]</f>
        <v>360000</v>
      </c>
      <c r="S5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68">
        <f ca="1">IF(PROVEEDORES[[#This Row],[FECHA DE PAGO]]=0,TODAY()-PROVEEDORES[[#This Row],[FECHA DE FACTURACIÓN]]-PROVEEDORES[[#This Row],[PLAZO Días]],0)</f>
        <v>0</v>
      </c>
      <c r="U589" s="96">
        <f>+VLOOKUP(PROVEEDORES[[#This Row],[PROVEEDOR]],Terceros!$A:$D,4,FALSE)</f>
        <v>0</v>
      </c>
      <c r="V589" s="97">
        <f>+YEAR(PROVEEDORES[[#This Row],[FECHA DE FACTURACIÓN]])</f>
        <v>2021</v>
      </c>
      <c r="W589" s="97">
        <f>+MATCH(PROVEEDORES[[#This Row],[año facturado]],Retenciones!$1:$1,0)</f>
        <v>4</v>
      </c>
      <c r="X589" s="98">
        <f>+VLOOKUP(PROVEEDORES[[#This Row],[ID RETENCION]],Retenciones!$A$1:$O$25,PROVEEDORES[[#This Row],[indicador de columna]],FALSE)</f>
        <v>0</v>
      </c>
      <c r="Y589" s="99">
        <f>+VLOOKUP(PROVEEDORES[[#This Row],[ID RETENCION]],Retenciones!$A$1:$O$25,2,FALSE)</f>
        <v>0</v>
      </c>
      <c r="Z589" s="125" t="b">
        <f>OR(COUNTIF(PROVEEDORES[[#This Row],[PROVEEDOR]],"*"&amp;'Palabra no opera'!$A$2&amp;"*"))</f>
        <v>0</v>
      </c>
      <c r="AA589" s="24"/>
      <c r="AB589" s="24"/>
      <c r="AC589" s="24"/>
      <c r="AD589" s="24"/>
      <c r="AE589" s="24"/>
    </row>
    <row r="590" spans="1:31" ht="22.2" customHeight="1" x14ac:dyDescent="0.3">
      <c r="A590" s="66" t="str">
        <f>+IF(PROVEEDORES[[#This Row],[FECHA DE PAGO]]=PROVEEDORES[[#This Row],[FECHA DE FACTURACIÓN]],"DE CONTADO","CRÉDITO")</f>
        <v>CRÉDITO</v>
      </c>
      <c r="B590" s="38" t="b">
        <f>+IF((PROVEEDORES[[#This Row],[FECHA DE PAGO]]-PROVEEDORES[[#This Row],[FECHA DE FACTURACIÓN]])&gt;PROVEEDORES[[#This Row],[PLAZO Días]],"PAGO VENCIDO")</f>
        <v>0</v>
      </c>
      <c r="C590" s="20">
        <f>+VLOOKUP(PROVEEDORES[[#This Row],[PROVEEDOR]],TERCEROS_INFO[#All],2,FALSE)</f>
        <v>30</v>
      </c>
      <c r="D590" s="25">
        <f>+SUMIFS(PROVEEDORES[Total],PROVEEDORES[PROVEEDOR],PROVEEDORES[[#This Row],[PROVEEDOR]],PROVEEDORES[FECHA DE PAGO],"")</f>
        <v>0</v>
      </c>
      <c r="E590" s="25"/>
      <c r="F590" s="58" t="str">
        <f>+VLOOKUP(PROVEEDORES[[#This Row],[PROVEEDOR]],
                       Terceros!$A:$F,
                       5,
                       FALSE)</f>
        <v/>
      </c>
      <c r="G590" s="161">
        <v>44620</v>
      </c>
      <c r="H590" s="26" t="s">
        <v>652</v>
      </c>
      <c r="I590" s="161">
        <v>44619</v>
      </c>
      <c r="J590" s="35" t="s">
        <v>653</v>
      </c>
      <c r="K590" s="21">
        <v>360000</v>
      </c>
      <c r="L590" s="21"/>
      <c r="M590" s="22">
        <f>(PROVEEDORES[[#This Row],[SUBTOTAL]]-PROVEEDORES[[#This Row],[descuento sobre subtotal]])*VLOOKUP(PROVEEDORES[[#This Row],[PROVEEDOR]],TERCEROS_INFO[#All],3,FALSE)</f>
        <v>0</v>
      </c>
      <c r="N590" s="23"/>
      <c r="O590" s="22">
        <f>+PROVEEDORES[[#This Row],[Descuento sobre subtotal %]]*(PROVEEDORES[[#This Row],[SUBTOTAL]]-PROVEEDORES[[#This Row],[descuento sobre subtotal]])</f>
        <v>0</v>
      </c>
      <c r="P590" s="83">
        <f>+IF(PROVEEDORES[[#This Row],[SUBTOTAL]]&lt;PROVEEDORES[[#This Row],[base retencion]],0,PROVEEDORES[[#This Row],[retención aplicada]])</f>
        <v>0</v>
      </c>
      <c r="Q590" s="22">
        <f>+PROVEEDORES[[#This Row],[Rete Fuente %]]*(PROVEEDORES[[#This Row],[SUBTOTAL]]-PROVEEDORES[[#This Row],[descuento sobre subtotal]])</f>
        <v>0</v>
      </c>
      <c r="R590" s="21">
        <v>360000</v>
      </c>
      <c r="S5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68">
        <f ca="1">IF(PROVEEDORES[[#This Row],[FECHA DE PAGO]]=0,TODAY()-PROVEEDORES[[#This Row],[FECHA DE FACTURACIÓN]]-PROVEEDORES[[#This Row],[PLAZO Días]],0)</f>
        <v>0</v>
      </c>
      <c r="U590" s="96">
        <f>+VLOOKUP(PROVEEDORES[[#This Row],[PROVEEDOR]],Terceros!$A:$D,4,FALSE)</f>
        <v>0</v>
      </c>
      <c r="V590" s="97">
        <f>+YEAR(PROVEEDORES[[#This Row],[FECHA DE FACTURACIÓN]])</f>
        <v>2022</v>
      </c>
      <c r="W590" s="97">
        <f>+MATCH(PROVEEDORES[[#This Row],[año facturado]],Retenciones!$1:$1,0)</f>
        <v>5</v>
      </c>
      <c r="X590" s="98">
        <f>+VLOOKUP(PROVEEDORES[[#This Row],[ID RETENCION]],Retenciones!$A$1:$O$25,PROVEEDORES[[#This Row],[indicador de columna]],FALSE)</f>
        <v>0</v>
      </c>
      <c r="Y590" s="99">
        <f>+VLOOKUP(PROVEEDORES[[#This Row],[ID RETENCION]],Retenciones!$A$1:$O$25,2,FALSE)</f>
        <v>0</v>
      </c>
      <c r="Z590" s="125" t="b">
        <f>OR(COUNTIF(PROVEEDORES[[#This Row],[PROVEEDOR]],"*"&amp;'Palabra no opera'!$A$2&amp;"*"))</f>
        <v>0</v>
      </c>
      <c r="AA590" s="24"/>
      <c r="AB590" s="24"/>
      <c r="AC590" s="24"/>
      <c r="AD590" s="24"/>
      <c r="AE590" s="24"/>
    </row>
    <row r="591" spans="1:31" ht="22.2" customHeight="1" x14ac:dyDescent="0.3">
      <c r="A591" s="66" t="str">
        <f>+IF(PROVEEDORES[[#This Row],[FECHA DE PAGO]]=PROVEEDORES[[#This Row],[FECHA DE FACTURACIÓN]],"DE CONTADO","CRÉDITO")</f>
        <v>CRÉDITO</v>
      </c>
      <c r="B591" s="38" t="b">
        <f>+IF((PROVEEDORES[[#This Row],[FECHA DE PAGO]]-PROVEEDORES[[#This Row],[FECHA DE FACTURACIÓN]])&gt;PROVEEDORES[[#This Row],[PLAZO Días]],"PAGO VENCIDO")</f>
        <v>0</v>
      </c>
      <c r="C591" s="20">
        <f>+VLOOKUP(PROVEEDORES[[#This Row],[PROVEEDOR]],TERCEROS_INFO[#All],2,FALSE)</f>
        <v>30</v>
      </c>
      <c r="D591" s="25">
        <f>+SUMIFS(PROVEEDORES[Total],PROVEEDORES[PROVEEDOR],PROVEEDORES[[#This Row],[PROVEEDOR]],PROVEEDORES[FECHA DE PAGO],"")</f>
        <v>0</v>
      </c>
      <c r="E591" s="25"/>
      <c r="F591" s="58" t="str">
        <f>+VLOOKUP(PROVEEDORES[[#This Row],[PROVEEDOR]],
                       Terceros!$A:$F,
                       5,
                       FALSE)</f>
        <v/>
      </c>
      <c r="G591" s="161">
        <v>44628</v>
      </c>
      <c r="H591" s="26" t="s">
        <v>679</v>
      </c>
      <c r="I591" s="161">
        <v>44602</v>
      </c>
      <c r="J591" s="35" t="s">
        <v>1570</v>
      </c>
      <c r="K591" s="21">
        <v>360000</v>
      </c>
      <c r="L591" s="21"/>
      <c r="M591" s="22">
        <v>0</v>
      </c>
      <c r="N591" s="23"/>
      <c r="O591" s="22">
        <v>0</v>
      </c>
      <c r="P591" s="83">
        <f>+IF(PROVEEDORES[[#This Row],[SUBTOTAL]]&lt;PROVEEDORES[[#This Row],[base retencion]],0,PROVEEDORES[[#This Row],[retención aplicada]])</f>
        <v>0</v>
      </c>
      <c r="Q591" s="22">
        <f>+PROVEEDORES[[#This Row],[Rete Fuente %]]*(PROVEEDORES[[#This Row],[SUBTOTAL]]-PROVEEDORES[[#This Row],[descuento sobre subtotal]])</f>
        <v>0</v>
      </c>
      <c r="R591" s="21">
        <v>360000</v>
      </c>
      <c r="S5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68">
        <f ca="1">IF(PROVEEDORES[[#This Row],[FECHA DE PAGO]]=0,TODAY()-PROVEEDORES[[#This Row],[FECHA DE FACTURACIÓN]]-PROVEEDORES[[#This Row],[PLAZO Días]],0)</f>
        <v>0</v>
      </c>
      <c r="U591" s="96">
        <f>+VLOOKUP(PROVEEDORES[[#This Row],[PROVEEDOR]],Terceros!$A:$D,4,FALSE)</f>
        <v>0</v>
      </c>
      <c r="V591" s="97">
        <f>+YEAR(PROVEEDORES[[#This Row],[FECHA DE FACTURACIÓN]])</f>
        <v>2022</v>
      </c>
      <c r="W591" s="97">
        <f>+MATCH(PROVEEDORES[[#This Row],[año facturado]],Retenciones!$1:$1,0)</f>
        <v>5</v>
      </c>
      <c r="X591" s="98">
        <f>+VLOOKUP(PROVEEDORES[[#This Row],[ID RETENCION]],Retenciones!$A$1:$O$25,PROVEEDORES[[#This Row],[indicador de columna]],FALSE)</f>
        <v>0</v>
      </c>
      <c r="Y591" s="99">
        <f>+VLOOKUP(PROVEEDORES[[#This Row],[ID RETENCION]],Retenciones!$A$1:$O$25,2,FALSE)</f>
        <v>0</v>
      </c>
      <c r="Z591" s="125" t="b">
        <f>OR(COUNTIF(PROVEEDORES[[#This Row],[PROVEEDOR]],"*"&amp;'Palabra no opera'!$A$2&amp;"*"))</f>
        <v>0</v>
      </c>
      <c r="AA591" s="24"/>
      <c r="AB591" s="24"/>
      <c r="AC591" s="24"/>
      <c r="AD591" s="24"/>
      <c r="AE591" s="24"/>
    </row>
    <row r="592" spans="1:31" ht="22.2" customHeight="1" x14ac:dyDescent="0.3">
      <c r="A592" s="66" t="str">
        <f>+IF(PROVEEDORES[[#This Row],[FECHA DE PAGO]]=PROVEEDORES[[#This Row],[FECHA DE FACTURACIÓN]],"DE CONTADO","CRÉDITO")</f>
        <v>CRÉDITO</v>
      </c>
      <c r="B592" s="38" t="str">
        <f>+IF((PROVEEDORES[[#This Row],[FECHA DE PAGO]]-PROVEEDORES[[#This Row],[FECHA DE FACTURACIÓN]])&gt;PROVEEDORES[[#This Row],[PLAZO Días]],"PAGO VENCIDO")</f>
        <v>PAGO VENCIDO</v>
      </c>
      <c r="C592" s="20">
        <f>+VLOOKUP(PROVEEDORES[[#This Row],[PROVEEDOR]],TERCEROS_INFO[#All],2,FALSE)</f>
        <v>30</v>
      </c>
      <c r="D592" s="25">
        <f>+SUMIFS(PROVEEDORES[Total],PROVEEDORES[PROVEEDOR],PROVEEDORES[[#This Row],[PROVEEDOR]],PROVEEDORES[FECHA DE PAGO],"")</f>
        <v>0</v>
      </c>
      <c r="E592" s="25"/>
      <c r="F59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592" s="161">
        <v>44523</v>
      </c>
      <c r="H592" s="26" t="s">
        <v>39</v>
      </c>
      <c r="I592" s="161">
        <v>44481</v>
      </c>
      <c r="J592" s="35">
        <v>876</v>
      </c>
      <c r="K592" s="21">
        <v>305486</v>
      </c>
      <c r="L592" s="21"/>
      <c r="M592" s="22">
        <f>(PROVEEDORES[[#This Row],[SUBTOTAL]]-PROVEEDORES[[#This Row],[descuento sobre subtotal]])*VLOOKUP(PROVEEDORES[[#This Row],[PROVEEDOR]],TERCEROS_INFO[#All],3,FALSE)</f>
        <v>58042.340000000004</v>
      </c>
      <c r="N592" s="23"/>
      <c r="O592" s="22">
        <f>+PROVEEDORES[[#This Row],[Descuento sobre subtotal %]]*(PROVEEDORES[[#This Row],[SUBTOTAL]]-PROVEEDORES[[#This Row],[descuento sobre subtotal]])</f>
        <v>0</v>
      </c>
      <c r="P592" s="83">
        <f>+IF(PROVEEDORES[[#This Row],[SUBTOTAL]]&lt;PROVEEDORES[[#This Row],[base retencion]],0,PROVEEDORES[[#This Row],[retención aplicada]])</f>
        <v>0</v>
      </c>
      <c r="Q592" s="22">
        <f>+PROVEEDORES[[#This Row],[Rete Fuente %]]*(PROVEEDORES[[#This Row],[SUBTOTAL]]-PROVEEDORES[[#This Row],[descuento sobre subtotal]])</f>
        <v>0</v>
      </c>
      <c r="R592" s="21">
        <f>+PROVEEDORES[[#This Row],[SUBTOTAL]]+PROVEEDORES[[#This Row],[IVA 19%]]-PROVEEDORES[[#This Row],[descuento sobre subtotal]]-PROVEEDORES[[#This Row],[Descuento sobre subtotal $2]]-PROVEEDORES[[#This Row],[Rete Fuente $]]</f>
        <v>363528.34</v>
      </c>
      <c r="S5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68">
        <f ca="1">IF(PROVEEDORES[[#This Row],[FECHA DE PAGO]]=0,TODAY()-PROVEEDORES[[#This Row],[FECHA DE FACTURACIÓN]]-PROVEEDORES[[#This Row],[PLAZO Días]],0)</f>
        <v>0</v>
      </c>
      <c r="U592" s="96" t="str">
        <f>+VLOOKUP(PROVEEDORES[[#This Row],[PROVEEDOR]],Terceros!$A:$D,4,FALSE)</f>
        <v>2,5% con base</v>
      </c>
      <c r="V592" s="97">
        <f>+YEAR(PROVEEDORES[[#This Row],[FECHA DE FACTURACIÓN]])</f>
        <v>2021</v>
      </c>
      <c r="W592" s="97">
        <f>+MATCH(PROVEEDORES[[#This Row],[año facturado]],Retenciones!$1:$1,0)</f>
        <v>4</v>
      </c>
      <c r="X592" s="98">
        <f>+VLOOKUP(PROVEEDORES[[#This Row],[ID RETENCION]],Retenciones!$A$1:$O$25,PROVEEDORES[[#This Row],[indicador de columna]],FALSE)</f>
        <v>980000</v>
      </c>
      <c r="Y592" s="99">
        <f>+VLOOKUP(PROVEEDORES[[#This Row],[ID RETENCION]],Retenciones!$A$1:$O$25,2,FALSE)</f>
        <v>2.5000000000000001E-2</v>
      </c>
      <c r="Z592" s="125" t="b">
        <f>OR(COUNTIF(PROVEEDORES[[#This Row],[PROVEEDOR]],"*"&amp;'Palabra no opera'!$A$2&amp;"*"))</f>
        <v>0</v>
      </c>
      <c r="AA592" s="24"/>
      <c r="AB592" s="24"/>
      <c r="AC592" s="24"/>
      <c r="AD592" s="24"/>
      <c r="AE592" s="24"/>
    </row>
    <row r="593" spans="1:31" ht="22.2" customHeight="1" x14ac:dyDescent="0.3">
      <c r="A593" s="185" t="str">
        <f>+IF(PROVEEDORES[[#This Row],[FECHA DE PAGO]]=PROVEEDORES[[#This Row],[FECHA DE FACTURACIÓN]],"DE CONTADO","CRÉDITO")</f>
        <v>CRÉDITO</v>
      </c>
      <c r="B593" s="38" t="b">
        <f>+IF((PROVEEDORES[[#This Row],[FECHA DE PAGO]]-PROVEEDORES[[#This Row],[FECHA DE FACTURACIÓN]])&gt;PROVEEDORES[[#This Row],[PLAZO Días]],"PAGO VENCIDO")</f>
        <v>0</v>
      </c>
      <c r="C593" s="20">
        <f>+VLOOKUP(PROVEEDORES[[#This Row],[PROVEEDOR]],TERCEROS_INFO[#All],2,FALSE)</f>
        <v>60</v>
      </c>
      <c r="D593" s="25">
        <f>+SUMIFS(PROVEEDORES[Total],PROVEEDORES[PROVEEDOR],PROVEEDORES[[#This Row],[PROVEEDOR]],PROVEEDORES[FECHA DE PAGO],"")</f>
        <v>1520362</v>
      </c>
      <c r="E593" s="25"/>
      <c r="F59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93" s="161">
        <v>44761</v>
      </c>
      <c r="H593" s="26" t="s">
        <v>528</v>
      </c>
      <c r="I593" s="161">
        <v>44712</v>
      </c>
      <c r="J593" s="35" t="s">
        <v>1607</v>
      </c>
      <c r="K593" s="21">
        <v>364266</v>
      </c>
      <c r="L593" s="21"/>
      <c r="M593" s="22">
        <f>(PROVEEDORES[[#This Row],[SUBTOTAL]]-PROVEEDORES[[#This Row],[descuento sobre subtotal]])*VLOOKUP(PROVEEDORES[[#This Row],[PROVEEDOR]],TERCEROS_INFO[#All],3,FALSE)</f>
        <v>0</v>
      </c>
      <c r="N593" s="23"/>
      <c r="O593" s="22">
        <f>+PROVEEDORES[[#This Row],[Descuento sobre subtotal %]]*(PROVEEDORES[[#This Row],[SUBTOTAL]]-PROVEEDORES[[#This Row],[descuento sobre subtotal]])</f>
        <v>0</v>
      </c>
      <c r="P593" s="83">
        <f>+IF(PROVEEDORES[[#This Row],[SUBTOTAL]]&lt;PROVEEDORES[[#This Row],[base retencion]],0,PROVEEDORES[[#This Row],[retención aplicada]])</f>
        <v>0</v>
      </c>
      <c r="Q593" s="22">
        <f>+PROVEEDORES[[#This Row],[Rete Fuente %]]*(PROVEEDORES[[#This Row],[SUBTOTAL]]-PROVEEDORES[[#This Row],[descuento sobre subtotal]])</f>
        <v>0</v>
      </c>
      <c r="R593" s="21">
        <f>+PROVEEDORES[[#This Row],[SUBTOTAL]]+PROVEEDORES[[#This Row],[IVA 19%]]-PROVEEDORES[[#This Row],[descuento sobre subtotal]]-PROVEEDORES[[#This Row],[Descuento sobre subtotal $2]]-PROVEEDORES[[#This Row],[Rete Fuente $]]</f>
        <v>364266</v>
      </c>
      <c r="S593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68">
        <f ca="1">IF(PROVEEDORES[[#This Row],[FECHA DE PAGO]]=0,TODAY()-PROVEEDORES[[#This Row],[FECHA DE FACTURACIÓN]]-PROVEEDORES[[#This Row],[PLAZO Días]],0)</f>
        <v>0</v>
      </c>
      <c r="U593" s="113">
        <f>+VLOOKUP(PROVEEDORES[[#This Row],[PROVEEDOR]],Terceros!$A:$D,4,FALSE)</f>
        <v>0</v>
      </c>
      <c r="V593" s="114">
        <f>+YEAR(PROVEEDORES[[#This Row],[FECHA DE FACTURACIÓN]])</f>
        <v>2022</v>
      </c>
      <c r="W593" s="114">
        <f>+MATCH(PROVEEDORES[[#This Row],[año facturado]],Retenciones!$1:$1,0)</f>
        <v>5</v>
      </c>
      <c r="X593" s="115">
        <f>+VLOOKUP(PROVEEDORES[[#This Row],[ID RETENCION]],Retenciones!$A$1:$O$25,PROVEEDORES[[#This Row],[indicador de columna]],FALSE)</f>
        <v>0</v>
      </c>
      <c r="Y593" s="116">
        <f>+VLOOKUP(PROVEEDORES[[#This Row],[ID RETENCION]],Retenciones!$A$1:$O$25,2,FALSE)</f>
        <v>0</v>
      </c>
      <c r="Z593" s="125" t="b">
        <f>OR(COUNTIF(PROVEEDORES[[#This Row],[PROVEEDOR]],"*"&amp;'Palabra no opera'!$A$2&amp;"*"))</f>
        <v>0</v>
      </c>
      <c r="AA593" s="24"/>
      <c r="AB593" s="24"/>
      <c r="AC593" s="24"/>
      <c r="AD593" s="24"/>
      <c r="AE593" s="24"/>
    </row>
    <row r="594" spans="1:31" ht="22.2" customHeight="1" x14ac:dyDescent="0.3">
      <c r="A594" s="221" t="str">
        <f>+IF(PROVEEDORES[[#This Row],[FECHA DE PAGO]]=PROVEEDORES[[#This Row],[FECHA DE FACTURACIÓN]],"DE CONTADO","CRÉDITO")</f>
        <v>CRÉDITO</v>
      </c>
      <c r="B594" s="38" t="str">
        <f>+IF((PROVEEDORES[[#This Row],[FECHA DE PAGO]]-PROVEEDORES[[#This Row],[FECHA DE FACTURACIÓN]])&gt;PROVEEDORES[[#This Row],[PLAZO Días]],"PAGO VENCIDO")</f>
        <v>PAGO VENCIDO</v>
      </c>
      <c r="C594" s="20">
        <f>+VLOOKUP(PROVEEDORES[[#This Row],[PROVEEDOR]],TERCEROS_INFO[#All],2,FALSE)</f>
        <v>30</v>
      </c>
      <c r="D594" s="25">
        <f>+SUMIFS(PROVEEDORES[Total],PROVEEDORES[PROVEEDOR],PROVEEDORES[[#This Row],[PROVEEDOR]],PROVEEDORES[FECHA DE PAGO],"")</f>
        <v>2318500</v>
      </c>
      <c r="E594" s="25"/>
      <c r="F594" s="58" t="str">
        <f>+VLOOKUP(PROVEEDORES[[#This Row],[PROVEEDOR]],
                       Terceros!$A:$F,
                       5,
                       FALSE)</f>
        <v/>
      </c>
      <c r="G594" s="161">
        <v>44867</v>
      </c>
      <c r="H594" s="267" t="s">
        <v>629</v>
      </c>
      <c r="I594" s="161">
        <v>44826</v>
      </c>
      <c r="J594" s="35">
        <v>2209</v>
      </c>
      <c r="K594" s="21">
        <v>364644</v>
      </c>
      <c r="L594" s="21"/>
      <c r="M594" s="22">
        <f>(PROVEEDORES[[#This Row],[SUBTOTAL]]-PROVEEDORES[[#This Row],[descuento sobre subtotal]])*VLOOKUP(PROVEEDORES[[#This Row],[PROVEEDOR]],TERCEROS_INFO[#All],3,FALSE)</f>
        <v>0</v>
      </c>
      <c r="N594" s="23"/>
      <c r="O594" s="22">
        <f>+PROVEEDORES[[#This Row],[Descuento sobre subtotal %]]*(PROVEEDORES[[#This Row],[SUBTOTAL]]-PROVEEDORES[[#This Row],[descuento sobre subtotal]])</f>
        <v>0</v>
      </c>
      <c r="P594" s="83">
        <f>+IF(PROVEEDORES[[#This Row],[SUBTOTAL]]&lt;PROVEEDORES[[#This Row],[base retencion]],0,PROVEEDORES[[#This Row],[retención aplicada]])</f>
        <v>0</v>
      </c>
      <c r="Q594" s="22">
        <f>+PROVEEDORES[[#This Row],[Rete Fuente %]]*(PROVEEDORES[[#This Row],[SUBTOTAL]]-PROVEEDORES[[#This Row],[descuento sobre subtotal]])</f>
        <v>0</v>
      </c>
      <c r="R594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594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68">
        <f ca="1">IF(PROVEEDORES[[#This Row],[FECHA DE PAGO]]=0,TODAY()-PROVEEDORES[[#This Row],[FECHA DE FACTURACIÓN]]-PROVEEDORES[[#This Row],[PLAZO Días]],0)</f>
        <v>0</v>
      </c>
      <c r="U594" s="113">
        <f>+VLOOKUP(PROVEEDORES[[#This Row],[PROVEEDOR]],Terceros!$A:$D,4,FALSE)</f>
        <v>0</v>
      </c>
      <c r="V594" s="114">
        <f>+YEAR(PROVEEDORES[[#This Row],[FECHA DE FACTURACIÓN]])</f>
        <v>2022</v>
      </c>
      <c r="W594" s="114">
        <f>+MATCH(PROVEEDORES[[#This Row],[año facturado]],Retenciones!$1:$1,0)</f>
        <v>5</v>
      </c>
      <c r="X594" s="115">
        <f>+VLOOKUP(PROVEEDORES[[#This Row],[ID RETENCION]],Retenciones!$A$1:$O$25,PROVEEDORES[[#This Row],[indicador de columna]],FALSE)</f>
        <v>0</v>
      </c>
      <c r="Y594" s="116">
        <f>+VLOOKUP(PROVEEDORES[[#This Row],[ID RETENCION]],Retenciones!$A$1:$O$25,2,FALSE)</f>
        <v>0</v>
      </c>
      <c r="Z594" s="125" t="b">
        <f>OR(COUNTIF(PROVEEDORES[[#This Row],[PROVEEDOR]],"*"&amp;'Palabra no opera'!$A$2&amp;"*"))</f>
        <v>0</v>
      </c>
      <c r="AA594" s="24"/>
      <c r="AB594" s="24"/>
      <c r="AC594" s="24"/>
      <c r="AD594" s="24"/>
      <c r="AE594" s="24"/>
    </row>
    <row r="595" spans="1:31" ht="22.2" customHeight="1" x14ac:dyDescent="0.3">
      <c r="A595" s="72" t="str">
        <f>+IF(PROVEEDORES[[#This Row],[FECHA DE PAGO]]=PROVEEDORES[[#This Row],[FECHA DE FACTURACIÓN]],"DE CONTADO","CRÉDITO")</f>
        <v>CRÉDITO</v>
      </c>
      <c r="B595" s="38" t="b">
        <f>+IF((PROVEEDORES[[#This Row],[FECHA DE PAGO]]-PROVEEDORES[[#This Row],[FECHA DE FACTURACIÓN]])&gt;PROVEEDORES[[#This Row],[PLAZO Días]],"PAGO VENCIDO")</f>
        <v>0</v>
      </c>
      <c r="C595" s="20">
        <f>+VLOOKUP(PROVEEDORES[[#This Row],[PROVEEDOR]],TERCEROS_INFO[#All],2,FALSE)</f>
        <v>60</v>
      </c>
      <c r="D595" s="25">
        <f>+SUMIFS(PROVEEDORES[Total],PROVEEDORES[PROVEEDOR],PROVEEDORES[[#This Row],[PROVEEDOR]],PROVEEDORES[FECHA DE PAGO],"")</f>
        <v>1520362</v>
      </c>
      <c r="E595" s="25"/>
      <c r="F59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95" s="161">
        <v>44870</v>
      </c>
      <c r="H595" s="26" t="s">
        <v>528</v>
      </c>
      <c r="I595" s="161">
        <v>44865</v>
      </c>
      <c r="J595" s="35">
        <v>1522</v>
      </c>
      <c r="K595" s="21">
        <v>364644</v>
      </c>
      <c r="L595" s="21"/>
      <c r="M595" s="22">
        <f>(PROVEEDORES[[#This Row],[SUBTOTAL]]-PROVEEDORES[[#This Row],[descuento sobre subtotal]])*VLOOKUP(PROVEEDORES[[#This Row],[PROVEEDOR]],TERCEROS_INFO[#All],3,FALSE)</f>
        <v>0</v>
      </c>
      <c r="N595" s="23"/>
      <c r="O595" s="22">
        <f>+PROVEEDORES[[#This Row],[Descuento sobre subtotal %]]*(PROVEEDORES[[#This Row],[SUBTOTAL]]-PROVEEDORES[[#This Row],[descuento sobre subtotal]])</f>
        <v>0</v>
      </c>
      <c r="P595" s="83">
        <f>+IF(PROVEEDORES[[#This Row],[SUBTOTAL]]&lt;PROVEEDORES[[#This Row],[base retencion]],0,PROVEEDORES[[#This Row],[retención aplicada]])</f>
        <v>0</v>
      </c>
      <c r="Q595" s="22">
        <f>+PROVEEDORES[[#This Row],[Rete Fuente %]]*(PROVEEDORES[[#This Row],[SUBTOTAL]]-PROVEEDORES[[#This Row],[descuento sobre subtotal]])</f>
        <v>0</v>
      </c>
      <c r="R595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59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68">
        <f ca="1">IF(PROVEEDORES[[#This Row],[FECHA DE PAGO]]=0,TODAY()-PROVEEDORES[[#This Row],[FECHA DE FACTURACIÓN]]-PROVEEDORES[[#This Row],[PLAZO Días]],0)</f>
        <v>0</v>
      </c>
      <c r="U595" s="113">
        <f>+VLOOKUP(PROVEEDORES[[#This Row],[PROVEEDOR]],Terceros!$A:$D,4,FALSE)</f>
        <v>0</v>
      </c>
      <c r="V595" s="114">
        <f>+YEAR(PROVEEDORES[[#This Row],[FECHA DE FACTURACIÓN]])</f>
        <v>2022</v>
      </c>
      <c r="W595" s="114">
        <f>+MATCH(PROVEEDORES[[#This Row],[año facturado]],Retenciones!$1:$1,0)</f>
        <v>5</v>
      </c>
      <c r="X595" s="115">
        <f>+VLOOKUP(PROVEEDORES[[#This Row],[ID RETENCION]],Retenciones!$A$1:$O$25,PROVEEDORES[[#This Row],[indicador de columna]],FALSE)</f>
        <v>0</v>
      </c>
      <c r="Y595" s="116">
        <f>+VLOOKUP(PROVEEDORES[[#This Row],[ID RETENCION]],Retenciones!$A$1:$O$25,2,FALSE)</f>
        <v>0</v>
      </c>
      <c r="Z595" s="125" t="b">
        <f>OR(COUNTIF(PROVEEDORES[[#This Row],[PROVEEDOR]],"*"&amp;'Palabra no opera'!$A$2&amp;"*"))</f>
        <v>0</v>
      </c>
      <c r="AA595" s="24"/>
      <c r="AB595" s="24"/>
      <c r="AC595" s="24"/>
      <c r="AD595" s="24"/>
      <c r="AE595" s="24"/>
    </row>
    <row r="596" spans="1:31" ht="22.2" customHeight="1" x14ac:dyDescent="0.3">
      <c r="A596" s="66" t="str">
        <f>+IF(PROVEEDORES[[#This Row],[FECHA DE PAGO]]=PROVEEDORES[[#This Row],[FECHA DE FACTURACIÓN]],"DE CONTADO","CRÉDITO")</f>
        <v>CRÉDITO</v>
      </c>
      <c r="B596" s="38" t="b">
        <f>+IF((PROVEEDORES[[#This Row],[FECHA DE PAGO]]-PROVEEDORES[[#This Row],[FECHA DE FACTURACIÓN]])&gt;PROVEEDORES[[#This Row],[PLAZO Días]],"PAGO VENCIDO")</f>
        <v>0</v>
      </c>
      <c r="C596" s="20">
        <f>+VLOOKUP(PROVEEDORES[[#This Row],[PROVEEDOR]],TERCEROS_INFO[#All],2,FALSE)</f>
        <v>20</v>
      </c>
      <c r="D596" s="25">
        <f>+SUMIFS(PROVEEDORES[Total],PROVEEDORES[PROVEEDOR],PROVEEDORES[[#This Row],[PROVEEDOR]],PROVEEDORES[FECHA DE PAGO],"")</f>
        <v>0</v>
      </c>
      <c r="E596" s="25"/>
      <c r="F596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596" s="161">
        <v>44432</v>
      </c>
      <c r="H596" s="26" t="s">
        <v>397</v>
      </c>
      <c r="I596" s="161">
        <v>44427</v>
      </c>
      <c r="J596" s="35" t="s">
        <v>1288</v>
      </c>
      <c r="K596" s="21">
        <v>369000</v>
      </c>
      <c r="L596" s="21"/>
      <c r="M596" s="22">
        <f>(PROVEEDORES[[#This Row],[SUBTOTAL]]-PROVEEDORES[[#This Row],[descuento sobre subtotal]])*VLOOKUP(PROVEEDORES[[#This Row],[PROVEEDOR]],TERCEROS_INFO[#All],3,FALSE)</f>
        <v>0</v>
      </c>
      <c r="N596" s="23"/>
      <c r="O596" s="22">
        <f>+PROVEEDORES[[#This Row],[Descuento sobre subtotal %]]*(PROVEEDORES[[#This Row],[SUBTOTAL]]-PROVEEDORES[[#This Row],[descuento sobre subtotal]])</f>
        <v>0</v>
      </c>
      <c r="P596" s="83">
        <f>+IF(PROVEEDORES[[#This Row],[SUBTOTAL]]&lt;PROVEEDORES[[#This Row],[base retencion]],0,PROVEEDORES[[#This Row],[retención aplicada]])</f>
        <v>0.01</v>
      </c>
      <c r="Q596" s="22">
        <f>+PROVEEDORES[[#This Row],[Rete Fuente %]]*(PROVEEDORES[[#This Row],[SUBTOTAL]]-PROVEEDORES[[#This Row],[descuento sobre subtotal]])</f>
        <v>3690</v>
      </c>
      <c r="R596" s="21">
        <f>+PROVEEDORES[[#This Row],[SUBTOTAL]]+PROVEEDORES[[#This Row],[IVA 19%]]-PROVEEDORES[[#This Row],[descuento sobre subtotal]]-PROVEEDORES[[#This Row],[Descuento sobre subtotal $2]]-PROVEEDORES[[#This Row],[Rete Fuente $]]</f>
        <v>365310</v>
      </c>
      <c r="S5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68">
        <f ca="1">IF(PROVEEDORES[[#This Row],[FECHA DE PAGO]]=0,TODAY()-PROVEEDORES[[#This Row],[FECHA DE FACTURACIÓN]]-PROVEEDORES[[#This Row],[PLAZO Días]],0)</f>
        <v>0</v>
      </c>
      <c r="U596" s="96" t="str">
        <f>+VLOOKUP(PROVEEDORES[[#This Row],[PROVEEDOR]],Terceros!$A:$D,4,FALSE)</f>
        <v>1% con base</v>
      </c>
      <c r="V596" s="97">
        <f>+YEAR(PROVEEDORES[[#This Row],[FECHA DE FACTURACIÓN]])</f>
        <v>2021</v>
      </c>
      <c r="W596" s="97">
        <f>+MATCH(PROVEEDORES[[#This Row],[año facturado]],Retenciones!$1:$1,0)</f>
        <v>4</v>
      </c>
      <c r="X596" s="98">
        <f>+VLOOKUP(PROVEEDORES[[#This Row],[ID RETENCION]],Retenciones!$A$1:$O$25,PROVEEDORES[[#This Row],[indicador de columna]],FALSE)</f>
        <v>145000</v>
      </c>
      <c r="Y596" s="99">
        <f>+VLOOKUP(PROVEEDORES[[#This Row],[ID RETENCION]],Retenciones!$A$1:$O$25,2,FALSE)</f>
        <v>0.01</v>
      </c>
      <c r="Z596" s="125" t="b">
        <f>OR(COUNTIF(PROVEEDORES[[#This Row],[PROVEEDOR]],"*"&amp;'Palabra no opera'!$A$2&amp;"*"))</f>
        <v>0</v>
      </c>
      <c r="AA596" s="24"/>
      <c r="AB596" s="24"/>
      <c r="AC596" s="24"/>
      <c r="AD596" s="24"/>
      <c r="AE596" s="24"/>
    </row>
    <row r="597" spans="1:31" ht="22.2" customHeight="1" x14ac:dyDescent="0.3">
      <c r="A597" s="123" t="str">
        <f>+IF(PROVEEDORES[[#This Row],[FECHA DE PAGO]]=PROVEEDORES[[#This Row],[FECHA DE FACTURACIÓN]],"DE CONTADO","CRÉDITO")</f>
        <v>CRÉDITO</v>
      </c>
      <c r="B597" s="38" t="str">
        <f>+IF((PROVEEDORES[[#This Row],[FECHA DE PAGO]]-PROVEEDORES[[#This Row],[FECHA DE FACTURACIÓN]])&gt;PROVEEDORES[[#This Row],[PLAZO Días]],"PAGO VENCIDO")</f>
        <v>PAGO VENCIDO</v>
      </c>
      <c r="C597" s="20">
        <f>+VLOOKUP(PROVEEDORES[[#This Row],[PROVEEDOR]],TERCEROS_INFO[#All],2,FALSE)</f>
        <v>30</v>
      </c>
      <c r="D597" s="25">
        <f>+SUMIFS(PROVEEDORES[Total],PROVEEDORES[PROVEEDOR],PROVEEDORES[[#This Row],[PROVEEDOR]],PROVEEDORES[FECHA DE PAGO],"")</f>
        <v>0</v>
      </c>
      <c r="E597" s="25"/>
      <c r="F59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97" s="161">
        <v>44699</v>
      </c>
      <c r="H597" s="26" t="s">
        <v>118</v>
      </c>
      <c r="I597" s="161">
        <v>44505</v>
      </c>
      <c r="J597" s="35" t="s">
        <v>899</v>
      </c>
      <c r="K597" s="21">
        <v>367873.4</v>
      </c>
      <c r="L597" s="21"/>
      <c r="M597" s="22">
        <f>(PROVEEDORES[[#This Row],[SUBTOTAL]]-PROVEEDORES[[#This Row],[descuento sobre subtotal]])*VLOOKUP(PROVEEDORES[[#This Row],[PROVEEDOR]],TERCEROS_INFO[#All],3,FALSE)</f>
        <v>0</v>
      </c>
      <c r="N597" s="23"/>
      <c r="O597" s="22">
        <f>+PROVEEDORES[[#This Row],[Descuento sobre subtotal %]]*(PROVEEDORES[[#This Row],[SUBTOTAL]]-PROVEEDORES[[#This Row],[descuento sobre subtotal]])</f>
        <v>0</v>
      </c>
      <c r="P597" s="83">
        <f>+IF(PROVEEDORES[[#This Row],[SUBTOTAL]]&lt;PROVEEDORES[[#This Row],[base retencion]],0,PROVEEDORES[[#This Row],[retención aplicada]])</f>
        <v>0</v>
      </c>
      <c r="Q597" s="22">
        <f>+PROVEEDORES[[#This Row],[Rete Fuente %]]*(PROVEEDORES[[#This Row],[SUBTOTAL]]-PROVEEDORES[[#This Row],[descuento sobre subtotal]])</f>
        <v>0</v>
      </c>
      <c r="R597" s="21">
        <f>+PROVEEDORES[[#This Row],[SUBTOTAL]]+PROVEEDORES[[#This Row],[IVA 19%]]-PROVEEDORES[[#This Row],[descuento sobre subtotal]]-PROVEEDORES[[#This Row],[Descuento sobre subtotal $2]]-PROVEEDORES[[#This Row],[Rete Fuente $]]</f>
        <v>367873.4</v>
      </c>
      <c r="S597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68">
        <f ca="1">IF(PROVEEDORES[[#This Row],[FECHA DE PAGO]]=0,TODAY()-PROVEEDORES[[#This Row],[FECHA DE FACTURACIÓN]]-PROVEEDORES[[#This Row],[PLAZO Días]],0)</f>
        <v>0</v>
      </c>
      <c r="U597" s="113">
        <f>+VLOOKUP(PROVEEDORES[[#This Row],[PROVEEDOR]],Terceros!$A:$D,4,FALSE)</f>
        <v>0</v>
      </c>
      <c r="V597" s="114">
        <f>+YEAR(PROVEEDORES[[#This Row],[FECHA DE FACTURACIÓN]])</f>
        <v>2021</v>
      </c>
      <c r="W597" s="114">
        <f>+MATCH(PROVEEDORES[[#This Row],[año facturado]],Retenciones!$1:$1,0)</f>
        <v>4</v>
      </c>
      <c r="X597" s="115">
        <f>+VLOOKUP(PROVEEDORES[[#This Row],[ID RETENCION]],Retenciones!$A$1:$O$25,PROVEEDORES[[#This Row],[indicador de columna]],FALSE)</f>
        <v>0</v>
      </c>
      <c r="Y597" s="116">
        <f>+VLOOKUP(PROVEEDORES[[#This Row],[ID RETENCION]],Retenciones!$A$1:$O$25,2,FALSE)</f>
        <v>0</v>
      </c>
      <c r="Z597" s="125" t="b">
        <f>OR(COUNTIF(PROVEEDORES[[#This Row],[PROVEEDOR]],"*"&amp;'Palabra no opera'!$A$2&amp;"*"))</f>
        <v>0</v>
      </c>
      <c r="AA597" s="24"/>
      <c r="AB597" s="24"/>
      <c r="AC597" s="24"/>
      <c r="AD597" s="24"/>
      <c r="AE597" s="24"/>
    </row>
    <row r="598" spans="1:31" ht="22.2" customHeight="1" x14ac:dyDescent="0.3">
      <c r="A598" s="72" t="str">
        <f>+IF(PROVEEDORES[[#This Row],[FECHA DE PAGO]]=PROVEEDORES[[#This Row],[FECHA DE FACTURACIÓN]],"DE CONTADO","CRÉDITO")</f>
        <v>DE CONTADO</v>
      </c>
      <c r="B598" s="38" t="b">
        <f>+IF((PROVEEDORES[[#This Row],[FECHA DE PAGO]]-PROVEEDORES[[#This Row],[FECHA DE FACTURACIÓN]])&gt;PROVEEDORES[[#This Row],[PLAZO Días]],"PAGO VENCIDO")</f>
        <v>0</v>
      </c>
      <c r="C598" s="20">
        <f>+VLOOKUP(PROVEEDORES[[#This Row],[PROVEEDOR]],TERCEROS_INFO[#All],2,FALSE)</f>
        <v>30</v>
      </c>
      <c r="D598" s="25">
        <f>+SUMIFS(PROVEEDORES[Total],PROVEEDORES[PROVEEDOR],PROVEEDORES[[#This Row],[PROVEEDOR]],PROVEEDORES[FECHA DE PAGO],"")</f>
        <v>0</v>
      </c>
      <c r="E598" s="25"/>
      <c r="F598" s="58" t="str">
        <f>+VLOOKUP(PROVEEDORES[[#This Row],[PROVEEDOR]],
                       Terceros!$A:$F,
                       5,
                       FALSE)</f>
        <v/>
      </c>
      <c r="G598" s="161">
        <v>44681</v>
      </c>
      <c r="H598" s="26" t="s">
        <v>644</v>
      </c>
      <c r="I598" s="161">
        <v>44681</v>
      </c>
      <c r="J598" s="35" t="s">
        <v>598</v>
      </c>
      <c r="K598" s="21">
        <v>370000</v>
      </c>
      <c r="L598" s="21"/>
      <c r="M598" s="22">
        <f>(PROVEEDORES[[#This Row],[SUBTOTAL]]-PROVEEDORES[[#This Row],[descuento sobre subtotal]])*VLOOKUP(PROVEEDORES[[#This Row],[PROVEEDOR]],TERCEROS_INFO[#All],3,FALSE)</f>
        <v>0</v>
      </c>
      <c r="N598" s="23"/>
      <c r="O598" s="22">
        <f>+PROVEEDORES[[#This Row],[Descuento sobre subtotal %]]*(PROVEEDORES[[#This Row],[SUBTOTAL]]-PROVEEDORES[[#This Row],[descuento sobre subtotal]])</f>
        <v>0</v>
      </c>
      <c r="P598" s="83">
        <f>+IF(PROVEEDORES[[#This Row],[SUBTOTAL]]&lt;PROVEEDORES[[#This Row],[base retencion]],0,PROVEEDORES[[#This Row],[retención aplicada]])</f>
        <v>0</v>
      </c>
      <c r="Q598" s="22">
        <f>+PROVEEDORES[[#This Row],[Rete Fuente %]]*(PROVEEDORES[[#This Row],[SUBTOTAL]]-PROVEEDORES[[#This Row],[descuento sobre subtotal]])</f>
        <v>0</v>
      </c>
      <c r="R598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59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68">
        <f ca="1">IF(PROVEEDORES[[#This Row],[FECHA DE PAGO]]=0,TODAY()-PROVEEDORES[[#This Row],[FECHA DE FACTURACIÓN]]-PROVEEDORES[[#This Row],[PLAZO Días]],0)</f>
        <v>0</v>
      </c>
      <c r="U598" s="113">
        <f>+VLOOKUP(PROVEEDORES[[#This Row],[PROVEEDOR]],Terceros!$A:$D,4,FALSE)</f>
        <v>0</v>
      </c>
      <c r="V598" s="114">
        <f>+YEAR(PROVEEDORES[[#This Row],[FECHA DE FACTURACIÓN]])</f>
        <v>2022</v>
      </c>
      <c r="W598" s="114">
        <f>+MATCH(PROVEEDORES[[#This Row],[año facturado]],Retenciones!$1:$1,0)</f>
        <v>5</v>
      </c>
      <c r="X598" s="115">
        <f>+VLOOKUP(PROVEEDORES[[#This Row],[ID RETENCION]],Retenciones!$A$1:$O$25,PROVEEDORES[[#This Row],[indicador de columna]],FALSE)</f>
        <v>0</v>
      </c>
      <c r="Y598" s="116">
        <f>+VLOOKUP(PROVEEDORES[[#This Row],[ID RETENCION]],Retenciones!$A$1:$O$25,2,FALSE)</f>
        <v>0</v>
      </c>
      <c r="Z598" s="125" t="b">
        <f>OR(COUNTIF(PROVEEDORES[[#This Row],[PROVEEDOR]],"*"&amp;'Palabra no opera'!$A$2&amp;"*"))</f>
        <v>0</v>
      </c>
      <c r="AA598" s="24"/>
      <c r="AB598" s="24"/>
      <c r="AC598" s="24"/>
      <c r="AD598" s="24"/>
      <c r="AE598" s="24"/>
    </row>
    <row r="599" spans="1:31" ht="22.2" customHeight="1" x14ac:dyDescent="0.3">
      <c r="A599" s="159" t="str">
        <f>+IF(PROVEEDORES[[#This Row],[FECHA DE PAGO]]=PROVEEDORES[[#This Row],[FECHA DE FACTURACIÓN]],"DE CONTADO","CRÉDITO")</f>
        <v>CRÉDITO</v>
      </c>
      <c r="B599" s="38" t="b">
        <f>+IF((PROVEEDORES[[#This Row],[FECHA DE PAGO]]-PROVEEDORES[[#This Row],[FECHA DE FACTURACIÓN]])&gt;PROVEEDORES[[#This Row],[PLAZO Días]],"PAGO VENCIDO")</f>
        <v>0</v>
      </c>
      <c r="C599" s="20">
        <f>+VLOOKUP(PROVEEDORES[[#This Row],[PROVEEDOR]],TERCEROS_INFO[#All],2,FALSE)</f>
        <v>30</v>
      </c>
      <c r="D599" s="25">
        <f>+SUMIFS(PROVEEDORES[Total],PROVEEDORES[PROVEEDOR],PROVEEDORES[[#This Row],[PROVEEDOR]],PROVEEDORES[FECHA DE PAGO],"")</f>
        <v>0</v>
      </c>
      <c r="E599" s="25"/>
      <c r="F59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99" s="161">
        <v>44733</v>
      </c>
      <c r="H599" s="26" t="s">
        <v>1450</v>
      </c>
      <c r="I599" s="161">
        <v>44727</v>
      </c>
      <c r="J599" s="35">
        <v>247</v>
      </c>
      <c r="K599" s="21">
        <v>370000</v>
      </c>
      <c r="L599" s="21"/>
      <c r="M599" s="22">
        <f>(PROVEEDORES[[#This Row],[SUBTOTAL]]-PROVEEDORES[[#This Row],[descuento sobre subtotal]])*VLOOKUP(PROVEEDORES[[#This Row],[PROVEEDOR]],TERCEROS_INFO[#All],3,FALSE)</f>
        <v>0</v>
      </c>
      <c r="N599" s="23"/>
      <c r="O599" s="22">
        <f>+PROVEEDORES[[#This Row],[Descuento sobre subtotal %]]*(PROVEEDORES[[#This Row],[SUBTOTAL]]-PROVEEDORES[[#This Row],[descuento sobre subtotal]])</f>
        <v>0</v>
      </c>
      <c r="P599" s="83">
        <f>+IF(PROVEEDORES[[#This Row],[SUBTOTAL]]&lt;PROVEEDORES[[#This Row],[base retencion]],0,PROVEEDORES[[#This Row],[retención aplicada]])</f>
        <v>0</v>
      </c>
      <c r="Q599" s="22">
        <f>+PROVEEDORES[[#This Row],[Rete Fuente %]]*(PROVEEDORES[[#This Row],[SUBTOTAL]]-PROVEEDORES[[#This Row],[descuento sobre subtotal]])</f>
        <v>0</v>
      </c>
      <c r="R599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59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68">
        <f ca="1">IF(PROVEEDORES[[#This Row],[FECHA DE PAGO]]=0,TODAY()-PROVEEDORES[[#This Row],[FECHA DE FACTURACIÓN]]-PROVEEDORES[[#This Row],[PLAZO Días]],0)</f>
        <v>0</v>
      </c>
      <c r="U599" s="113">
        <f>+VLOOKUP(PROVEEDORES[[#This Row],[PROVEEDOR]],Terceros!$A:$D,4,FALSE)</f>
        <v>0</v>
      </c>
      <c r="V599" s="114">
        <f>+YEAR(PROVEEDORES[[#This Row],[FECHA DE FACTURACIÓN]])</f>
        <v>2022</v>
      </c>
      <c r="W599" s="114">
        <f>+MATCH(PROVEEDORES[[#This Row],[año facturado]],Retenciones!$1:$1,0)</f>
        <v>5</v>
      </c>
      <c r="X599" s="115">
        <f>+VLOOKUP(PROVEEDORES[[#This Row],[ID RETENCION]],Retenciones!$A$1:$O$25,PROVEEDORES[[#This Row],[indicador de columna]],FALSE)</f>
        <v>0</v>
      </c>
      <c r="Y599" s="116">
        <f>+VLOOKUP(PROVEEDORES[[#This Row],[ID RETENCION]],Retenciones!$A$1:$O$25,2,FALSE)</f>
        <v>0</v>
      </c>
      <c r="Z599" s="125" t="b">
        <f>OR(COUNTIF(PROVEEDORES[[#This Row],[PROVEEDOR]],"*"&amp;'Palabra no opera'!$A$2&amp;"*"))</f>
        <v>0</v>
      </c>
      <c r="AA599" s="24"/>
      <c r="AB599" s="24"/>
      <c r="AC599" s="24"/>
      <c r="AD599" s="24"/>
      <c r="AE599" s="24"/>
    </row>
    <row r="600" spans="1:31" ht="22.2" customHeight="1" x14ac:dyDescent="0.3">
      <c r="A600" s="66" t="str">
        <f>+IF(PROVEEDORES[[#This Row],[FECHA DE PAGO]]=PROVEEDORES[[#This Row],[FECHA DE FACTURACIÓN]],"DE CONTADO","CRÉDITO")</f>
        <v>CRÉDITO</v>
      </c>
      <c r="B600" s="38" t="b">
        <f>+IF((PROVEEDORES[[#This Row],[FECHA DE PAGO]]-PROVEEDORES[[#This Row],[FECHA DE FACTURACIÓN]])&gt;PROVEEDORES[[#This Row],[PLAZO Días]],"PAGO VENCIDO")</f>
        <v>0</v>
      </c>
      <c r="C600" s="20">
        <f>+VLOOKUP(PROVEEDORES[[#This Row],[PROVEEDOR]],TERCEROS_INFO[#All],2,FALSE)</f>
        <v>30</v>
      </c>
      <c r="D600" s="25">
        <f>+SUMIFS(PROVEEDORES[Total],PROVEEDORES[PROVEEDOR],PROVEEDORES[[#This Row],[PROVEEDOR]],PROVEEDORES[FECHA DE PAGO],"")</f>
        <v>0</v>
      </c>
      <c r="E600" s="25"/>
      <c r="F60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00" s="161">
        <v>44239</v>
      </c>
      <c r="H600" s="26" t="s">
        <v>746</v>
      </c>
      <c r="I600" s="161">
        <v>44217</v>
      </c>
      <c r="J600" s="35">
        <v>729</v>
      </c>
      <c r="K600" s="21">
        <v>311764.71000000002</v>
      </c>
      <c r="L600" s="21"/>
      <c r="M600" s="22">
        <f>(PROVEEDORES[[#This Row],[SUBTOTAL]]-PROVEEDORES[[#This Row],[descuento sobre subtotal]])*VLOOKUP(PROVEEDORES[[#This Row],[PROVEEDOR]],TERCEROS_INFO[#All],3,FALSE)</f>
        <v>59235.294900000008</v>
      </c>
      <c r="N600" s="23"/>
      <c r="O600" s="22">
        <f>+PROVEEDORES[[#This Row],[Descuento sobre subtotal %]]*(PROVEEDORES[[#This Row],[SUBTOTAL]]-PROVEEDORES[[#This Row],[descuento sobre subtotal]])</f>
        <v>0</v>
      </c>
      <c r="P600" s="83">
        <f>+IF(PROVEEDORES[[#This Row],[SUBTOTAL]]&lt;PROVEEDORES[[#This Row],[base retencion]],0,PROVEEDORES[[#This Row],[retención aplicada]])</f>
        <v>0</v>
      </c>
      <c r="Q600" s="22">
        <f>+PROVEEDORES[[#This Row],[Rete Fuente %]]*(PROVEEDORES[[#This Row],[SUBTOTAL]]-PROVEEDORES[[#This Row],[descuento sobre subtotal]])</f>
        <v>0</v>
      </c>
      <c r="R600" s="21">
        <f>+PROVEEDORES[[#This Row],[SUBTOTAL]]+PROVEEDORES[[#This Row],[IVA 19%]]-PROVEEDORES[[#This Row],[descuento sobre subtotal]]-PROVEEDORES[[#This Row],[Descuento sobre subtotal $2]]-PROVEEDORES[[#This Row],[Rete Fuente $]]</f>
        <v>371000.00490000006</v>
      </c>
      <c r="S6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68">
        <f ca="1">IF(PROVEEDORES[[#This Row],[FECHA DE PAGO]]=0,TODAY()-PROVEEDORES[[#This Row],[FECHA DE FACTURACIÓN]]-PROVEEDORES[[#This Row],[PLAZO Días]],0)</f>
        <v>0</v>
      </c>
      <c r="U600" s="96" t="str">
        <f>+VLOOKUP(PROVEEDORES[[#This Row],[PROVEEDOR]],Terceros!$A:$D,4,FALSE)</f>
        <v>2,5% con base</v>
      </c>
      <c r="V600" s="97">
        <f>+YEAR(PROVEEDORES[[#This Row],[FECHA DE FACTURACIÓN]])</f>
        <v>2021</v>
      </c>
      <c r="W600" s="97">
        <f>+MATCH(PROVEEDORES[[#This Row],[año facturado]],Retenciones!$1:$1,0)</f>
        <v>4</v>
      </c>
      <c r="X600" s="98">
        <f>+VLOOKUP(PROVEEDORES[[#This Row],[ID RETENCION]],Retenciones!$A$1:$O$25,PROVEEDORES[[#This Row],[indicador de columna]],FALSE)</f>
        <v>980000</v>
      </c>
      <c r="Y600" s="99">
        <f>+VLOOKUP(PROVEEDORES[[#This Row],[ID RETENCION]],Retenciones!$A$1:$O$25,2,FALSE)</f>
        <v>2.5000000000000001E-2</v>
      </c>
      <c r="Z600" s="125" t="b">
        <f>OR(COUNTIF(PROVEEDORES[[#This Row],[PROVEEDOR]],"*"&amp;'Palabra no opera'!$A$2&amp;"*"))</f>
        <v>0</v>
      </c>
      <c r="AA600" s="24"/>
      <c r="AB600" s="24"/>
      <c r="AC600" s="24"/>
      <c r="AD600" s="24"/>
      <c r="AE600" s="24"/>
    </row>
    <row r="601" spans="1:31" ht="22.2" customHeight="1" x14ac:dyDescent="0.3">
      <c r="A601" s="66" t="str">
        <f>+IF(PROVEEDORES[[#This Row],[FECHA DE PAGO]]=PROVEEDORES[[#This Row],[FECHA DE FACTURACIÓN]],"DE CONTADO","CRÉDITO")</f>
        <v>DE CONTADO</v>
      </c>
      <c r="B601" s="38" t="b">
        <f>+IF((PROVEEDORES[[#This Row],[FECHA DE PAGO]]-PROVEEDORES[[#This Row],[FECHA DE FACTURACIÓN]])&gt;PROVEEDORES[[#This Row],[PLAZO Días]],"PAGO VENCIDO")</f>
        <v>0</v>
      </c>
      <c r="C601" s="20">
        <f>+VLOOKUP(PROVEEDORES[[#This Row],[PROVEEDOR]],TERCEROS_INFO[#All],2,FALSE)</f>
        <v>30</v>
      </c>
      <c r="D601" s="25">
        <f>+SUMIFS(PROVEEDORES[Total],PROVEEDORES[PROVEEDOR],PROVEEDORES[[#This Row],[PROVEEDOR]],PROVEEDORES[FECHA DE PAGO],"")</f>
        <v>0</v>
      </c>
      <c r="E601" s="25"/>
      <c r="F601" s="58" t="str">
        <f>+VLOOKUP(PROVEEDORES[[#This Row],[PROVEEDOR]],
                       Terceros!$A:$F,
                       5,
                       FALSE)</f>
        <v/>
      </c>
      <c r="G601" s="161">
        <v>44334</v>
      </c>
      <c r="H601" s="26" t="s">
        <v>661</v>
      </c>
      <c r="I601" s="161">
        <v>44334</v>
      </c>
      <c r="J601" s="35" t="s">
        <v>1225</v>
      </c>
      <c r="K601" s="21">
        <v>376000</v>
      </c>
      <c r="L601" s="21"/>
      <c r="M601" s="22">
        <f>(PROVEEDORES[[#This Row],[SUBTOTAL]]-PROVEEDORES[[#This Row],[descuento sobre subtotal]])*VLOOKUP(PROVEEDORES[[#This Row],[PROVEEDOR]],TERCEROS_INFO[#All],3,FALSE)</f>
        <v>0</v>
      </c>
      <c r="N601" s="23"/>
      <c r="O601" s="22">
        <f>+PROVEEDORES[[#This Row],[Descuento sobre subtotal %]]*(PROVEEDORES[[#This Row],[SUBTOTAL]]-PROVEEDORES[[#This Row],[descuento sobre subtotal]])</f>
        <v>0</v>
      </c>
      <c r="P601" s="83">
        <f>+IF(PROVEEDORES[[#This Row],[SUBTOTAL]]&lt;PROVEEDORES[[#This Row],[base retencion]],0,PROVEEDORES[[#This Row],[retención aplicada]])</f>
        <v>0</v>
      </c>
      <c r="Q601" s="22">
        <f>+PROVEEDORES[[#This Row],[Rete Fuente %]]*(PROVEEDORES[[#This Row],[SUBTOTAL]]-PROVEEDORES[[#This Row],[descuento sobre subtotal]])</f>
        <v>0</v>
      </c>
      <c r="R601" s="21">
        <f>+PROVEEDORES[[#This Row],[SUBTOTAL]]+PROVEEDORES[[#This Row],[IVA 19%]]-PROVEEDORES[[#This Row],[descuento sobre subtotal]]-PROVEEDORES[[#This Row],[Descuento sobre subtotal $2]]-PROVEEDORES[[#This Row],[Rete Fuente $]]</f>
        <v>376000</v>
      </c>
      <c r="S6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68">
        <f ca="1">IF(PROVEEDORES[[#This Row],[FECHA DE PAGO]]=0,TODAY()-PROVEEDORES[[#This Row],[FECHA DE FACTURACIÓN]]-PROVEEDORES[[#This Row],[PLAZO Días]],0)</f>
        <v>0</v>
      </c>
      <c r="U601" s="96">
        <f>+VLOOKUP(PROVEEDORES[[#This Row],[PROVEEDOR]],Terceros!$A:$D,4,FALSE)</f>
        <v>0</v>
      </c>
      <c r="V601" s="97">
        <f>+YEAR(PROVEEDORES[[#This Row],[FECHA DE FACTURACIÓN]])</f>
        <v>2021</v>
      </c>
      <c r="W601" s="97">
        <f>+MATCH(PROVEEDORES[[#This Row],[año facturado]],Retenciones!$1:$1,0)</f>
        <v>4</v>
      </c>
      <c r="X601" s="98">
        <f>+VLOOKUP(PROVEEDORES[[#This Row],[ID RETENCION]],Retenciones!$A$1:$O$25,PROVEEDORES[[#This Row],[indicador de columna]],FALSE)</f>
        <v>0</v>
      </c>
      <c r="Y601" s="99">
        <f>+VLOOKUP(PROVEEDORES[[#This Row],[ID RETENCION]],Retenciones!$A$1:$O$25,2,FALSE)</f>
        <v>0</v>
      </c>
      <c r="Z601" s="125" t="b">
        <f>OR(COUNTIF(PROVEEDORES[[#This Row],[PROVEEDOR]],"*"&amp;'Palabra no opera'!$A$2&amp;"*"))</f>
        <v>0</v>
      </c>
      <c r="AA601" s="24"/>
      <c r="AB601" s="24"/>
      <c r="AC601" s="24"/>
      <c r="AD601" s="24"/>
      <c r="AE601" s="24"/>
    </row>
    <row r="602" spans="1:31" ht="22.2" customHeight="1" x14ac:dyDescent="0.3">
      <c r="A602" s="66" t="str">
        <f>+IF(PROVEEDORES[[#This Row],[FECHA DE PAGO]]=PROVEEDORES[[#This Row],[FECHA DE FACTURACIÓN]],"DE CONTADO","CRÉDITO")</f>
        <v>CRÉDITO</v>
      </c>
      <c r="B602" s="38" t="b">
        <f>+IF((PROVEEDORES[[#This Row],[FECHA DE PAGO]]-PROVEEDORES[[#This Row],[FECHA DE FACTURACIÓN]])&gt;PROVEEDORES[[#This Row],[PLAZO Días]],"PAGO VENCIDO")</f>
        <v>0</v>
      </c>
      <c r="C602" s="20">
        <f>+VLOOKUP(PROVEEDORES[[#This Row],[PROVEEDOR]],TERCEROS_INFO[#All],2,FALSE)</f>
        <v>10</v>
      </c>
      <c r="D602" s="25">
        <f>+SUMIFS(PROVEEDORES[Total],PROVEEDORES[PROVEEDOR],PROVEEDORES[[#This Row],[PROVEEDOR]],PROVEEDORES[FECHA DE PAGO],"")</f>
        <v>0</v>
      </c>
      <c r="E602" s="25"/>
      <c r="F602" s="58">
        <f>+VLOOKUP(PROVEEDORES[[#This Row],[PROVEEDOR]],
                       Terceros!$A:$F,
                       5,
                       FALSE)</f>
        <v>0</v>
      </c>
      <c r="G602" s="161">
        <v>44365</v>
      </c>
      <c r="H602" s="26" t="s">
        <v>352</v>
      </c>
      <c r="I602" s="161">
        <v>44364</v>
      </c>
      <c r="J602" s="35" t="s">
        <v>1251</v>
      </c>
      <c r="K602" s="21">
        <v>377128</v>
      </c>
      <c r="L602" s="21"/>
      <c r="M602" s="22">
        <f>(PROVEEDORES[[#This Row],[SUBTOTAL]]-PROVEEDORES[[#This Row],[descuento sobre subtotal]])*VLOOKUP(PROVEEDORES[[#This Row],[PROVEEDOR]],TERCEROS_INFO[#All],3,FALSE)</f>
        <v>0</v>
      </c>
      <c r="N602" s="23"/>
      <c r="O602" s="22">
        <f>+PROVEEDORES[[#This Row],[Descuento sobre subtotal %]]*(PROVEEDORES[[#This Row],[SUBTOTAL]]-PROVEEDORES[[#This Row],[descuento sobre subtotal]])</f>
        <v>0</v>
      </c>
      <c r="P602" s="83">
        <f>+IF(PROVEEDORES[[#This Row],[SUBTOTAL]]&lt;PROVEEDORES[[#This Row],[base retencion]],0,PROVEEDORES[[#This Row],[retención aplicada]])</f>
        <v>0</v>
      </c>
      <c r="Q602" s="22">
        <f>+PROVEEDORES[[#This Row],[Rete Fuente %]]*(PROVEEDORES[[#This Row],[SUBTOTAL]]-PROVEEDORES[[#This Row],[descuento sobre subtotal]])</f>
        <v>0</v>
      </c>
      <c r="R602" s="21">
        <f>+PROVEEDORES[[#This Row],[SUBTOTAL]]+PROVEEDORES[[#This Row],[IVA 19%]]-PROVEEDORES[[#This Row],[descuento sobre subtotal]]-PROVEEDORES[[#This Row],[Descuento sobre subtotal $2]]-PROVEEDORES[[#This Row],[Rete Fuente $]]</f>
        <v>377128</v>
      </c>
      <c r="S6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68">
        <f ca="1">IF(PROVEEDORES[[#This Row],[FECHA DE PAGO]]=0,TODAY()-PROVEEDORES[[#This Row],[FECHA DE FACTURACIÓN]]-PROVEEDORES[[#This Row],[PLAZO Días]],0)</f>
        <v>0</v>
      </c>
      <c r="U602" s="96">
        <f>+VLOOKUP(PROVEEDORES[[#This Row],[PROVEEDOR]],Terceros!$A:$D,4,FALSE)</f>
        <v>0</v>
      </c>
      <c r="V602" s="97">
        <f>+YEAR(PROVEEDORES[[#This Row],[FECHA DE FACTURACIÓN]])</f>
        <v>2021</v>
      </c>
      <c r="W602" s="97">
        <f>+MATCH(PROVEEDORES[[#This Row],[año facturado]],Retenciones!$1:$1,0)</f>
        <v>4</v>
      </c>
      <c r="X602" s="98">
        <f>+VLOOKUP(PROVEEDORES[[#This Row],[ID RETENCION]],Retenciones!$A$1:$O$25,PROVEEDORES[[#This Row],[indicador de columna]],FALSE)</f>
        <v>0</v>
      </c>
      <c r="Y602" s="99">
        <f>+VLOOKUP(PROVEEDORES[[#This Row],[ID RETENCION]],Retenciones!$A$1:$O$25,2,FALSE)</f>
        <v>0</v>
      </c>
      <c r="Z602" s="125" t="b">
        <f>OR(COUNTIF(PROVEEDORES[[#This Row],[PROVEEDOR]],"*"&amp;'Palabra no opera'!$A$2&amp;"*"))</f>
        <v>0</v>
      </c>
      <c r="AA602" s="24"/>
      <c r="AB602" s="24"/>
      <c r="AC602" s="24"/>
      <c r="AD602" s="24"/>
      <c r="AE602" s="24"/>
    </row>
    <row r="603" spans="1:31" ht="22.2" customHeight="1" x14ac:dyDescent="0.3">
      <c r="A603" s="146" t="str">
        <f>+IF(PROVEEDORES[[#This Row],[FECHA DE PAGO]]=PROVEEDORES[[#This Row],[FECHA DE FACTURACIÓN]],"DE CONTADO","CRÉDITO")</f>
        <v>CRÉDITO</v>
      </c>
      <c r="B603" s="38" t="b">
        <f>+IF((PROVEEDORES[[#This Row],[FECHA DE PAGO]]-PROVEEDORES[[#This Row],[FECHA DE FACTURACIÓN]])&gt;PROVEEDORES[[#This Row],[PLAZO Días]],"PAGO VENCIDO")</f>
        <v>0</v>
      </c>
      <c r="C603" s="20">
        <f>+VLOOKUP(PROVEEDORES[[#This Row],[PROVEEDOR]],TERCEROS_INFO[#All],2,FALSE)</f>
        <v>30</v>
      </c>
      <c r="D603" s="25">
        <f>+SUMIFS(PROVEEDORES[Total],PROVEEDORES[PROVEEDOR],PROVEEDORES[[#This Row],[PROVEEDOR]],PROVEEDORES[FECHA DE PAGO],"")</f>
        <v>0</v>
      </c>
      <c r="E603" s="25"/>
      <c r="F603" s="58" t="str">
        <f>+VLOOKUP(PROVEEDORES[[#This Row],[PROVEEDOR]],
                       Terceros!$A:$F,
                       5,
                       FALSE)</f>
        <v/>
      </c>
      <c r="G603" s="161">
        <v>44704</v>
      </c>
      <c r="H603" s="26" t="s">
        <v>638</v>
      </c>
      <c r="I603" s="161">
        <v>44703</v>
      </c>
      <c r="J603" s="35" t="s">
        <v>1000</v>
      </c>
      <c r="K603" s="21">
        <v>377597</v>
      </c>
      <c r="L603" s="21"/>
      <c r="M603" s="22">
        <f>(PROVEEDORES[[#This Row],[SUBTOTAL]]-PROVEEDORES[[#This Row],[descuento sobre subtotal]])*VLOOKUP(PROVEEDORES[[#This Row],[PROVEEDOR]],TERCEROS_INFO[#All],3,FALSE)</f>
        <v>0</v>
      </c>
      <c r="N603" s="23"/>
      <c r="O603" s="22">
        <f>+PROVEEDORES[[#This Row],[Descuento sobre subtotal %]]*(PROVEEDORES[[#This Row],[SUBTOTAL]]-PROVEEDORES[[#This Row],[descuento sobre subtotal]])</f>
        <v>0</v>
      </c>
      <c r="P603" s="83">
        <f>+IF(PROVEEDORES[[#This Row],[SUBTOTAL]]&lt;PROVEEDORES[[#This Row],[base retencion]],0,PROVEEDORES[[#This Row],[retención aplicada]])</f>
        <v>0</v>
      </c>
      <c r="Q603" s="22">
        <f>+PROVEEDORES[[#This Row],[Rete Fuente %]]*(PROVEEDORES[[#This Row],[SUBTOTAL]]-PROVEEDORES[[#This Row],[descuento sobre subtotal]])</f>
        <v>0</v>
      </c>
      <c r="R603" s="21">
        <f>+PROVEEDORES[[#This Row],[SUBTOTAL]]+PROVEEDORES[[#This Row],[IVA 19%]]-PROVEEDORES[[#This Row],[descuento sobre subtotal]]-PROVEEDORES[[#This Row],[Descuento sobre subtotal $2]]-PROVEEDORES[[#This Row],[Rete Fuente $]]</f>
        <v>377597</v>
      </c>
      <c r="S603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68">
        <f ca="1">IF(PROVEEDORES[[#This Row],[FECHA DE PAGO]]=0,TODAY()-PROVEEDORES[[#This Row],[FECHA DE FACTURACIÓN]]-PROVEEDORES[[#This Row],[PLAZO Días]],0)</f>
        <v>0</v>
      </c>
      <c r="U603" s="113">
        <f>+VLOOKUP(PROVEEDORES[[#This Row],[PROVEEDOR]],Terceros!$A:$D,4,FALSE)</f>
        <v>0</v>
      </c>
      <c r="V603" s="114">
        <f>+YEAR(PROVEEDORES[[#This Row],[FECHA DE FACTURACIÓN]])</f>
        <v>2022</v>
      </c>
      <c r="W603" s="114">
        <f>+MATCH(PROVEEDORES[[#This Row],[año facturado]],Retenciones!$1:$1,0)</f>
        <v>5</v>
      </c>
      <c r="X603" s="115">
        <f>+VLOOKUP(PROVEEDORES[[#This Row],[ID RETENCION]],Retenciones!$A$1:$O$25,PROVEEDORES[[#This Row],[indicador de columna]],FALSE)</f>
        <v>0</v>
      </c>
      <c r="Y603" s="116">
        <f>+VLOOKUP(PROVEEDORES[[#This Row],[ID RETENCION]],Retenciones!$A$1:$O$25,2,FALSE)</f>
        <v>0</v>
      </c>
      <c r="Z603" s="125" t="b">
        <f>OR(COUNTIF(PROVEEDORES[[#This Row],[PROVEEDOR]],"*"&amp;'Palabra no opera'!$A$2&amp;"*"))</f>
        <v>0</v>
      </c>
      <c r="AA603" s="24"/>
      <c r="AB603" s="24"/>
      <c r="AC603" s="24"/>
      <c r="AD603" s="24"/>
      <c r="AE603" s="24"/>
    </row>
    <row r="604" spans="1:31" ht="22.2" customHeight="1" x14ac:dyDescent="0.3">
      <c r="A604" s="66" t="str">
        <f>+IF(PROVEEDORES[[#This Row],[FECHA DE PAGO]]=PROVEEDORES[[#This Row],[FECHA DE FACTURACIÓN]],"DE CONTADO","CRÉDITO")</f>
        <v>DE CONTADO</v>
      </c>
      <c r="B604" s="38" t="b">
        <f>+IF((PROVEEDORES[[#This Row],[FECHA DE PAGO]]-PROVEEDORES[[#This Row],[FECHA DE FACTURACIÓN]])&gt;PROVEEDORES[[#This Row],[PLAZO Días]],"PAGO VENCIDO")</f>
        <v>0</v>
      </c>
      <c r="C604" s="20">
        <f>+VLOOKUP(PROVEEDORES[[#This Row],[PROVEEDOR]],TERCEROS_INFO[#All],2,FALSE)</f>
        <v>30</v>
      </c>
      <c r="D604" s="25">
        <f>+SUMIFS(PROVEEDORES[Total],PROVEEDORES[PROVEEDOR],PROVEEDORES[[#This Row],[PROVEEDOR]],PROVEEDORES[FECHA DE PAGO],"")</f>
        <v>0</v>
      </c>
      <c r="E604" s="25"/>
      <c r="F604" s="58">
        <f>+VLOOKUP(PROVEEDORES[[#This Row],[PROVEEDOR]],
                       Terceros!$A:$F,
                       5,
                       FALSE)</f>
        <v>0</v>
      </c>
      <c r="G604" s="161">
        <v>44408</v>
      </c>
      <c r="H604" s="26" t="s">
        <v>668</v>
      </c>
      <c r="I604" s="161">
        <v>44408</v>
      </c>
      <c r="J604" s="35"/>
      <c r="K604" s="21">
        <v>378000</v>
      </c>
      <c r="L604" s="21"/>
      <c r="M604" s="22">
        <f>(PROVEEDORES[[#This Row],[SUBTOTAL]]-PROVEEDORES[[#This Row],[descuento sobre subtotal]])*VLOOKUP(PROVEEDORES[[#This Row],[PROVEEDOR]],TERCEROS_INFO[#All],3,FALSE)</f>
        <v>0</v>
      </c>
      <c r="N604" s="23"/>
      <c r="O604" s="22">
        <f>+PROVEEDORES[[#This Row],[Descuento sobre subtotal %]]*(PROVEEDORES[[#This Row],[SUBTOTAL]]-PROVEEDORES[[#This Row],[descuento sobre subtotal]])</f>
        <v>0</v>
      </c>
      <c r="P604" s="83">
        <f>+IF(PROVEEDORES[[#This Row],[SUBTOTAL]]&lt;PROVEEDORES[[#This Row],[base retencion]],0,PROVEEDORES[[#This Row],[retención aplicada]])</f>
        <v>0</v>
      </c>
      <c r="Q604" s="22">
        <f>+PROVEEDORES[[#This Row],[Rete Fuente %]]*(PROVEEDORES[[#This Row],[SUBTOTAL]]-PROVEEDORES[[#This Row],[descuento sobre subtotal]])</f>
        <v>0</v>
      </c>
      <c r="R604" s="21">
        <f>+PROVEEDORES[[#This Row],[SUBTOTAL]]+PROVEEDORES[[#This Row],[IVA 19%]]-PROVEEDORES[[#This Row],[descuento sobre subtotal]]-PROVEEDORES[[#This Row],[Descuento sobre subtotal $2]]-PROVEEDORES[[#This Row],[Rete Fuente $]]</f>
        <v>378000</v>
      </c>
      <c r="S6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68">
        <f ca="1">IF(PROVEEDORES[[#This Row],[FECHA DE PAGO]]=0,TODAY()-PROVEEDORES[[#This Row],[FECHA DE FACTURACIÓN]]-PROVEEDORES[[#This Row],[PLAZO Días]],0)</f>
        <v>0</v>
      </c>
      <c r="U604" s="96">
        <f>+VLOOKUP(PROVEEDORES[[#This Row],[PROVEEDOR]],Terceros!$A:$D,4,FALSE)</f>
        <v>0</v>
      </c>
      <c r="V604" s="97">
        <f>+YEAR(PROVEEDORES[[#This Row],[FECHA DE FACTURACIÓN]])</f>
        <v>2021</v>
      </c>
      <c r="W604" s="97">
        <f>+MATCH(PROVEEDORES[[#This Row],[año facturado]],Retenciones!$1:$1,0)</f>
        <v>4</v>
      </c>
      <c r="X604" s="98">
        <f>+VLOOKUP(PROVEEDORES[[#This Row],[ID RETENCION]],Retenciones!$A$1:$O$25,PROVEEDORES[[#This Row],[indicador de columna]],FALSE)</f>
        <v>0</v>
      </c>
      <c r="Y604" s="99">
        <f>+VLOOKUP(PROVEEDORES[[#This Row],[ID RETENCION]],Retenciones!$A$1:$O$25,2,FALSE)</f>
        <v>0</v>
      </c>
      <c r="Z604" s="125" t="b">
        <f>OR(COUNTIF(PROVEEDORES[[#This Row],[PROVEEDOR]],"*"&amp;'Palabra no opera'!$A$2&amp;"*"))</f>
        <v>0</v>
      </c>
      <c r="AA604" s="24"/>
      <c r="AB604" s="24"/>
      <c r="AC604" s="24"/>
      <c r="AD604" s="24"/>
      <c r="AE604" s="24"/>
    </row>
    <row r="605" spans="1:31" ht="22.2" customHeight="1" x14ac:dyDescent="0.3">
      <c r="A605" s="66" t="str">
        <f>+IF(PROVEEDORES[[#This Row],[FECHA DE PAGO]]=PROVEEDORES[[#This Row],[FECHA DE FACTURACIÓN]],"DE CONTADO","CRÉDITO")</f>
        <v>CRÉDITO</v>
      </c>
      <c r="B605" s="38" t="str">
        <f>+IF((PROVEEDORES[[#This Row],[FECHA DE PAGO]]-PROVEEDORES[[#This Row],[FECHA DE FACTURACIÓN]])&gt;PROVEEDORES[[#This Row],[PLAZO Días]],"PAGO VENCIDO")</f>
        <v>PAGO VENCIDO</v>
      </c>
      <c r="C605" s="20">
        <f>+VLOOKUP(PROVEEDORES[[#This Row],[PROVEEDOR]],TERCEROS_INFO[#All],2,FALSE)</f>
        <v>30</v>
      </c>
      <c r="D605" s="25">
        <f>+SUMIFS(PROVEEDORES[Total],PROVEEDORES[PROVEEDOR],PROVEEDORES[[#This Row],[PROVEEDOR]],PROVEEDORES[FECHA DE PAGO],"")</f>
        <v>1354000</v>
      </c>
      <c r="E605" s="25"/>
      <c r="F60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05" s="161">
        <v>44335</v>
      </c>
      <c r="H605" s="26" t="s">
        <v>699</v>
      </c>
      <c r="I605" s="161">
        <v>44186</v>
      </c>
      <c r="J605" s="35" t="s">
        <v>1181</v>
      </c>
      <c r="K605" s="21">
        <v>380000</v>
      </c>
      <c r="L605" s="21"/>
      <c r="M605" s="22">
        <f>(PROVEEDORES[[#This Row],[SUBTOTAL]]-PROVEEDORES[[#This Row],[descuento sobre subtotal]])*VLOOKUP(PROVEEDORES[[#This Row],[PROVEEDOR]],TERCEROS_INFO[#All],3,FALSE)</f>
        <v>0</v>
      </c>
      <c r="N605" s="23"/>
      <c r="O605" s="22">
        <f>+PROVEEDORES[[#This Row],[Descuento sobre subtotal %]]*(PROVEEDORES[[#This Row],[SUBTOTAL]]-PROVEEDORES[[#This Row],[descuento sobre subtotal]])</f>
        <v>0</v>
      </c>
      <c r="P605" s="83">
        <f>+IF(PROVEEDORES[[#This Row],[SUBTOTAL]]&lt;PROVEEDORES[[#This Row],[base retencion]],0,PROVEEDORES[[#This Row],[retención aplicada]])</f>
        <v>0</v>
      </c>
      <c r="Q605" s="22">
        <f>+PROVEEDORES[[#This Row],[Rete Fuente %]]*(PROVEEDORES[[#This Row],[SUBTOTAL]]-PROVEEDORES[[#This Row],[descuento sobre subtotal]])</f>
        <v>0</v>
      </c>
      <c r="R605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6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68">
        <f ca="1">IF(PROVEEDORES[[#This Row],[FECHA DE PAGO]]=0,TODAY()-PROVEEDORES[[#This Row],[FECHA DE FACTURACIÓN]]-PROVEEDORES[[#This Row],[PLAZO Días]],0)</f>
        <v>0</v>
      </c>
      <c r="U605" s="96">
        <f>+VLOOKUP(PROVEEDORES[[#This Row],[PROVEEDOR]],Terceros!$A:$D,4,FALSE)</f>
        <v>0</v>
      </c>
      <c r="V605" s="97">
        <f>+YEAR(PROVEEDORES[[#This Row],[FECHA DE FACTURACIÓN]])</f>
        <v>2020</v>
      </c>
      <c r="W605" s="97">
        <f>+MATCH(PROVEEDORES[[#This Row],[año facturado]],Retenciones!$1:$1,0)</f>
        <v>3</v>
      </c>
      <c r="X605" s="98">
        <f>+VLOOKUP(PROVEEDORES[[#This Row],[ID RETENCION]],Retenciones!$A$1:$O$25,PROVEEDORES[[#This Row],[indicador de columna]],FALSE)</f>
        <v>0</v>
      </c>
      <c r="Y605" s="99">
        <f>+VLOOKUP(PROVEEDORES[[#This Row],[ID RETENCION]],Retenciones!$A$1:$O$25,2,FALSE)</f>
        <v>0</v>
      </c>
      <c r="Z605" s="125" t="b">
        <f>OR(COUNTIF(PROVEEDORES[[#This Row],[PROVEEDOR]],"*"&amp;'Palabra no opera'!$A$2&amp;"*"))</f>
        <v>0</v>
      </c>
      <c r="AA605" s="24"/>
      <c r="AB605" s="24"/>
      <c r="AC605" s="24"/>
      <c r="AD605" s="24"/>
      <c r="AE605" s="24"/>
    </row>
    <row r="606" spans="1:31" ht="22.2" customHeight="1" x14ac:dyDescent="0.3">
      <c r="A606" s="72" t="str">
        <f>+IF(PROVEEDORES[[#This Row],[FECHA DE PAGO]]=PROVEEDORES[[#This Row],[FECHA DE FACTURACIÓN]],"DE CONTADO","CRÉDITO")</f>
        <v>CRÉDITO</v>
      </c>
      <c r="B606" s="38" t="b">
        <f>+IF((PROVEEDORES[[#This Row],[FECHA DE PAGO]]-PROVEEDORES[[#This Row],[FECHA DE FACTURACIÓN]])&gt;PROVEEDORES[[#This Row],[PLAZO Días]],"PAGO VENCIDO")</f>
        <v>0</v>
      </c>
      <c r="C606" s="20">
        <f>+VLOOKUP(PROVEEDORES[[#This Row],[PROVEEDOR]],TERCEROS_INFO[#All],2,FALSE)</f>
        <v>90</v>
      </c>
      <c r="D606" s="25">
        <f>+SUMIFS(PROVEEDORES[Total],PROVEEDORES[PROVEEDOR],PROVEEDORES[[#This Row],[PROVEEDOR]],PROVEEDORES[FECHA DE PAGO],"")</f>
        <v>2410000</v>
      </c>
      <c r="E606" s="25"/>
      <c r="F606" s="58" t="str">
        <f>+VLOOKUP(PROVEEDORES[[#This Row],[PROVEEDOR]],
                       Terceros!$A:$F,
                       5,
                       FALSE)</f>
        <v/>
      </c>
      <c r="G606" s="161">
        <v>44487</v>
      </c>
      <c r="H606" s="26" t="s">
        <v>1770</v>
      </c>
      <c r="I606" s="161">
        <v>44809</v>
      </c>
      <c r="J606" s="35">
        <v>509</v>
      </c>
      <c r="K606" s="21">
        <v>380000</v>
      </c>
      <c r="L606" s="21"/>
      <c r="M606" s="22">
        <f>(PROVEEDORES[[#This Row],[SUBTOTAL]]-PROVEEDORES[[#This Row],[descuento sobre subtotal]])*VLOOKUP(PROVEEDORES[[#This Row],[PROVEEDOR]],TERCEROS_INFO[#All],3,FALSE)</f>
        <v>0</v>
      </c>
      <c r="N606" s="23"/>
      <c r="O606" s="22">
        <f>+PROVEEDORES[[#This Row],[Descuento sobre subtotal %]]*(PROVEEDORES[[#This Row],[SUBTOTAL]]-PROVEEDORES[[#This Row],[descuento sobre subtotal]])</f>
        <v>0</v>
      </c>
      <c r="P606" s="83">
        <f>+IF(PROVEEDORES[[#This Row],[SUBTOTAL]]&lt;PROVEEDORES[[#This Row],[base retencion]],0,PROVEEDORES[[#This Row],[retención aplicada]])</f>
        <v>0</v>
      </c>
      <c r="Q606" s="22">
        <f>+PROVEEDORES[[#This Row],[Rete Fuente %]]*(PROVEEDORES[[#This Row],[SUBTOTAL]]-PROVEEDORES[[#This Row],[descuento sobre subtotal]])</f>
        <v>0</v>
      </c>
      <c r="R606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60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68">
        <f ca="1">IF(PROVEEDORES[[#This Row],[FECHA DE PAGO]]=0,TODAY()-PROVEEDORES[[#This Row],[FECHA DE FACTURACIÓN]]-PROVEEDORES[[#This Row],[PLAZO Días]],0)</f>
        <v>0</v>
      </c>
      <c r="U606" s="113">
        <f>+VLOOKUP(PROVEEDORES[[#This Row],[PROVEEDOR]],Terceros!$A:$D,4,FALSE)</f>
        <v>0</v>
      </c>
      <c r="V606" s="114">
        <f>+YEAR(PROVEEDORES[[#This Row],[FECHA DE FACTURACIÓN]])</f>
        <v>2022</v>
      </c>
      <c r="W606" s="114">
        <f>+MATCH(PROVEEDORES[[#This Row],[año facturado]],Retenciones!$1:$1,0)</f>
        <v>5</v>
      </c>
      <c r="X606" s="115">
        <f>+VLOOKUP(PROVEEDORES[[#This Row],[ID RETENCION]],Retenciones!$A$1:$O$25,PROVEEDORES[[#This Row],[indicador de columna]],FALSE)</f>
        <v>0</v>
      </c>
      <c r="Y606" s="116">
        <f>+VLOOKUP(PROVEEDORES[[#This Row],[ID RETENCION]],Retenciones!$A$1:$O$25,2,FALSE)</f>
        <v>0</v>
      </c>
      <c r="Z606" s="125" t="b">
        <f>OR(COUNTIF(PROVEEDORES[[#This Row],[PROVEEDOR]],"*"&amp;'Palabra no opera'!$A$2&amp;"*"))</f>
        <v>0</v>
      </c>
      <c r="AA606" s="24"/>
      <c r="AB606" s="24"/>
      <c r="AC606" s="24"/>
      <c r="AD606" s="24"/>
      <c r="AE606" s="24"/>
    </row>
    <row r="607" spans="1:31" ht="22.2" customHeight="1" x14ac:dyDescent="0.3">
      <c r="A607" s="195" t="str">
        <f>+IF(PROVEEDORES[[#This Row],[FECHA DE PAGO]]=PROVEEDORES[[#This Row],[FECHA DE FACTURACIÓN]],"DE CONTADO","CRÉDITO")</f>
        <v>DE CONTADO</v>
      </c>
      <c r="B607" s="38" t="b">
        <f>+IF((PROVEEDORES[[#This Row],[FECHA DE PAGO]]-PROVEEDORES[[#This Row],[FECHA DE FACTURACIÓN]])&gt;PROVEEDORES[[#This Row],[PLAZO Días]],"PAGO VENCIDO")</f>
        <v>0</v>
      </c>
      <c r="C607" s="20">
        <f>+VLOOKUP(PROVEEDORES[[#This Row],[PROVEEDOR]],TERCEROS_INFO[#All],2,FALSE)</f>
        <v>0</v>
      </c>
      <c r="D607" s="25">
        <f>+SUMIFS(PROVEEDORES[Total],PROVEEDORES[PROVEEDOR],PROVEEDORES[[#This Row],[PROVEEDOR]],PROVEEDORES[FECHA DE PAGO],"")</f>
        <v>0</v>
      </c>
      <c r="E607" s="25"/>
      <c r="F607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607" s="161">
        <v>44783</v>
      </c>
      <c r="H607" s="26" t="s">
        <v>1133</v>
      </c>
      <c r="I607" s="161">
        <v>44783</v>
      </c>
      <c r="J607" s="35" t="s">
        <v>1168</v>
      </c>
      <c r="K607" s="21"/>
      <c r="L607" s="21"/>
      <c r="M607" s="22">
        <v>380000</v>
      </c>
      <c r="N607" s="23"/>
      <c r="O607" s="22">
        <f>+PROVEEDORES[[#This Row],[Descuento sobre subtotal %]]*(PROVEEDORES[[#This Row],[SUBTOTAL]]-PROVEEDORES[[#This Row],[descuento sobre subtotal]])</f>
        <v>0</v>
      </c>
      <c r="P607" s="83">
        <f>+IF(PROVEEDORES[[#This Row],[SUBTOTAL]]&lt;PROVEEDORES[[#This Row],[base retencion]],0,PROVEEDORES[[#This Row],[retención aplicada]])</f>
        <v>0</v>
      </c>
      <c r="Q607" s="22">
        <f>+PROVEEDORES[[#This Row],[Rete Fuente %]]*(PROVEEDORES[[#This Row],[SUBTOTAL]]-PROVEEDORES[[#This Row],[descuento sobre subtotal]])</f>
        <v>0</v>
      </c>
      <c r="R607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607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68">
        <f ca="1">IF(PROVEEDORES[[#This Row],[FECHA DE PAGO]]=0,TODAY()-PROVEEDORES[[#This Row],[FECHA DE FACTURACIÓN]]-PROVEEDORES[[#This Row],[PLAZO Días]],0)</f>
        <v>0</v>
      </c>
      <c r="U607" s="113">
        <f>+VLOOKUP(PROVEEDORES[[#This Row],[PROVEEDOR]],Terceros!$A:$D,4,FALSE)</f>
        <v>0</v>
      </c>
      <c r="V607" s="114">
        <f>+YEAR(PROVEEDORES[[#This Row],[FECHA DE FACTURACIÓN]])</f>
        <v>2022</v>
      </c>
      <c r="W607" s="114">
        <f>+MATCH(PROVEEDORES[[#This Row],[año facturado]],Retenciones!$1:$1,0)</f>
        <v>5</v>
      </c>
      <c r="X607" s="115">
        <f>+VLOOKUP(PROVEEDORES[[#This Row],[ID RETENCION]],Retenciones!$A$1:$O$25,PROVEEDORES[[#This Row],[indicador de columna]],FALSE)</f>
        <v>0</v>
      </c>
      <c r="Y607" s="116">
        <f>+VLOOKUP(PROVEEDORES[[#This Row],[ID RETENCION]],Retenciones!$A$1:$O$25,2,FALSE)</f>
        <v>0</v>
      </c>
      <c r="Z607" s="125" t="b">
        <f>OR(COUNTIF(PROVEEDORES[[#This Row],[PROVEEDOR]],"*"&amp;'Palabra no opera'!$A$2&amp;"*"))</f>
        <v>1</v>
      </c>
      <c r="AA607" s="24"/>
      <c r="AB607" s="24"/>
      <c r="AC607" s="24"/>
      <c r="AD607" s="24"/>
      <c r="AE607" s="24"/>
    </row>
    <row r="608" spans="1:31" ht="22.2" customHeight="1" x14ac:dyDescent="0.3">
      <c r="A608" s="185" t="str">
        <f>+IF(PROVEEDORES[[#This Row],[FECHA DE PAGO]]=PROVEEDORES[[#This Row],[FECHA DE FACTURACIÓN]],"DE CONTADO","CRÉDITO")</f>
        <v>CRÉDITO</v>
      </c>
      <c r="B608" s="38" t="b">
        <f>+IF((PROVEEDORES[[#This Row],[FECHA DE PAGO]]-PROVEEDORES[[#This Row],[FECHA DE FACTURACIÓN]])&gt;PROVEEDORES[[#This Row],[PLAZO Días]],"PAGO VENCIDO")</f>
        <v>0</v>
      </c>
      <c r="C608" s="20">
        <f>+VLOOKUP(PROVEEDORES[[#This Row],[PROVEEDOR]],TERCEROS_INFO[#All],2,FALSE)</f>
        <v>60</v>
      </c>
      <c r="D608" s="25">
        <f>+SUMIFS(PROVEEDORES[Total],PROVEEDORES[PROVEEDOR],PROVEEDORES[[#This Row],[PROVEEDOR]],PROVEEDORES[FECHA DE PAGO],"")</f>
        <v>1520362</v>
      </c>
      <c r="E608" s="25"/>
      <c r="F60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608" s="161">
        <v>44761</v>
      </c>
      <c r="H608" s="26" t="s">
        <v>528</v>
      </c>
      <c r="I608" s="161">
        <v>44712</v>
      </c>
      <c r="J608" s="35" t="s">
        <v>1608</v>
      </c>
      <c r="K608" s="21">
        <v>381612</v>
      </c>
      <c r="L608" s="21"/>
      <c r="M608" s="22">
        <f>(PROVEEDORES[[#This Row],[SUBTOTAL]]-PROVEEDORES[[#This Row],[descuento sobre subtotal]])*VLOOKUP(PROVEEDORES[[#This Row],[PROVEEDOR]],TERCEROS_INFO[#All],3,FALSE)</f>
        <v>0</v>
      </c>
      <c r="N608" s="23"/>
      <c r="O608" s="22">
        <f>+PROVEEDORES[[#This Row],[Descuento sobre subtotal %]]*(PROVEEDORES[[#This Row],[SUBTOTAL]]-PROVEEDORES[[#This Row],[descuento sobre subtotal]])</f>
        <v>0</v>
      </c>
      <c r="P608" s="83">
        <f>+IF(PROVEEDORES[[#This Row],[SUBTOTAL]]&lt;PROVEEDORES[[#This Row],[base retencion]],0,PROVEEDORES[[#This Row],[retención aplicada]])</f>
        <v>0</v>
      </c>
      <c r="Q608" s="22">
        <f>+PROVEEDORES[[#This Row],[Rete Fuente %]]*(PROVEEDORES[[#This Row],[SUBTOTAL]]-PROVEEDORES[[#This Row],[descuento sobre subtotal]])</f>
        <v>0</v>
      </c>
      <c r="R608" s="21">
        <f>+PROVEEDORES[[#This Row],[SUBTOTAL]]+PROVEEDORES[[#This Row],[IVA 19%]]-PROVEEDORES[[#This Row],[descuento sobre subtotal]]-PROVEEDORES[[#This Row],[Descuento sobre subtotal $2]]-PROVEEDORES[[#This Row],[Rete Fuente $]]</f>
        <v>381612</v>
      </c>
      <c r="S608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68">
        <f ca="1">IF(PROVEEDORES[[#This Row],[FECHA DE PAGO]]=0,TODAY()-PROVEEDORES[[#This Row],[FECHA DE FACTURACIÓN]]-PROVEEDORES[[#This Row],[PLAZO Días]],0)</f>
        <v>0</v>
      </c>
      <c r="U608" s="113">
        <f>+VLOOKUP(PROVEEDORES[[#This Row],[PROVEEDOR]],Terceros!$A:$D,4,FALSE)</f>
        <v>0</v>
      </c>
      <c r="V608" s="114">
        <f>+YEAR(PROVEEDORES[[#This Row],[FECHA DE FACTURACIÓN]])</f>
        <v>2022</v>
      </c>
      <c r="W608" s="114">
        <f>+MATCH(PROVEEDORES[[#This Row],[año facturado]],Retenciones!$1:$1,0)</f>
        <v>5</v>
      </c>
      <c r="X608" s="115">
        <f>+VLOOKUP(PROVEEDORES[[#This Row],[ID RETENCION]],Retenciones!$A$1:$O$25,PROVEEDORES[[#This Row],[indicador de columna]],FALSE)</f>
        <v>0</v>
      </c>
      <c r="Y608" s="116">
        <f>+VLOOKUP(PROVEEDORES[[#This Row],[ID RETENCION]],Retenciones!$A$1:$O$25,2,FALSE)</f>
        <v>0</v>
      </c>
      <c r="Z608" s="125" t="b">
        <f>OR(COUNTIF(PROVEEDORES[[#This Row],[PROVEEDOR]],"*"&amp;'Palabra no opera'!$A$2&amp;"*"))</f>
        <v>0</v>
      </c>
      <c r="AA608" s="24"/>
      <c r="AB608" s="24"/>
      <c r="AC608" s="24"/>
      <c r="AD608" s="24"/>
      <c r="AE608" s="24"/>
    </row>
    <row r="609" spans="1:31" ht="22.2" customHeight="1" x14ac:dyDescent="0.3">
      <c r="A609" s="66" t="str">
        <f>+IF(PROVEEDORES[[#This Row],[FECHA DE PAGO]]=PROVEEDORES[[#This Row],[FECHA DE FACTURACIÓN]],"DE CONTADO","CRÉDITO")</f>
        <v>CRÉDITO</v>
      </c>
      <c r="B609" s="38" t="str">
        <f>+IF((PROVEEDORES[[#This Row],[FECHA DE PAGO]]-PROVEEDORES[[#This Row],[FECHA DE FACTURACIÓN]])&gt;PROVEEDORES[[#This Row],[PLAZO Días]],"PAGO VENCIDO")</f>
        <v>PAGO VENCIDO</v>
      </c>
      <c r="C609" s="20">
        <f>+VLOOKUP(PROVEEDORES[[#This Row],[PROVEEDOR]],TERCEROS_INFO[#All],2,FALSE)</f>
        <v>45</v>
      </c>
      <c r="D609" s="25">
        <f>+SUMIFS(PROVEEDORES[Total],PROVEEDORES[PROVEEDOR],PROVEEDORES[[#This Row],[PROVEEDOR]],PROVEEDORES[FECHA DE PAGO],"")</f>
        <v>2604910</v>
      </c>
      <c r="E609" s="25"/>
      <c r="F60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09" s="161">
        <v>44718</v>
      </c>
      <c r="H609" s="26" t="s">
        <v>10</v>
      </c>
      <c r="I609" s="161">
        <v>44650</v>
      </c>
      <c r="J609" s="35" t="s">
        <v>708</v>
      </c>
      <c r="K609" s="21">
        <v>322000</v>
      </c>
      <c r="L609" s="21"/>
      <c r="M609" s="22">
        <f>(PROVEEDORES[[#This Row],[SUBTOTAL]]-PROVEEDORES[[#This Row],[descuento sobre subtotal]])*VLOOKUP(PROVEEDORES[[#This Row],[PROVEEDOR]],TERCEROS_INFO[#All],3,FALSE)</f>
        <v>61180</v>
      </c>
      <c r="N609" s="23"/>
      <c r="O609" s="22">
        <f>+PROVEEDORES[[#This Row],[Descuento sobre subtotal %]]*(PROVEEDORES[[#This Row],[SUBTOTAL]]-PROVEEDORES[[#This Row],[descuento sobre subtotal]])</f>
        <v>0</v>
      </c>
      <c r="P609" s="83">
        <f>+IF(PROVEEDORES[[#This Row],[SUBTOTAL]]&lt;PROVEEDORES[[#This Row],[base retencion]],0,PROVEEDORES[[#This Row],[retención aplicada]])</f>
        <v>0</v>
      </c>
      <c r="Q609" s="22">
        <f>+PROVEEDORES[[#This Row],[Rete Fuente %]]*(PROVEEDORES[[#This Row],[SUBTOTAL]]-PROVEEDORES[[#This Row],[descuento sobre subtotal]])</f>
        <v>0</v>
      </c>
      <c r="R609" s="21">
        <f>+PROVEEDORES[[#This Row],[SUBTOTAL]]+PROVEEDORES[[#This Row],[IVA 19%]]-PROVEEDORES[[#This Row],[descuento sobre subtotal]]-PROVEEDORES[[#This Row],[Descuento sobre subtotal $2]]-PROVEEDORES[[#This Row],[Rete Fuente $]]</f>
        <v>383180</v>
      </c>
      <c r="S6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68">
        <f ca="1">IF(PROVEEDORES[[#This Row],[FECHA DE PAGO]]=0,TODAY()-PROVEEDORES[[#This Row],[FECHA DE FACTURACIÓN]]-PROVEEDORES[[#This Row],[PLAZO Días]],0)</f>
        <v>0</v>
      </c>
      <c r="U609" s="96">
        <f>+VLOOKUP(PROVEEDORES[[#This Row],[PROVEEDOR]],Terceros!$A:$D,4,FALSE)</f>
        <v>0</v>
      </c>
      <c r="V609" s="97">
        <f>+YEAR(PROVEEDORES[[#This Row],[FECHA DE FACTURACIÓN]])</f>
        <v>2022</v>
      </c>
      <c r="W609" s="97">
        <f>+MATCH(PROVEEDORES[[#This Row],[año facturado]],Retenciones!$1:$1,0)</f>
        <v>5</v>
      </c>
      <c r="X609" s="98">
        <f>+VLOOKUP(PROVEEDORES[[#This Row],[ID RETENCION]],Retenciones!$A$1:$O$25,PROVEEDORES[[#This Row],[indicador de columna]],FALSE)</f>
        <v>0</v>
      </c>
      <c r="Y609" s="99">
        <f>+VLOOKUP(PROVEEDORES[[#This Row],[ID RETENCION]],Retenciones!$A$1:$O$25,2,FALSE)</f>
        <v>0</v>
      </c>
      <c r="Z609" s="125" t="b">
        <f>OR(COUNTIF(PROVEEDORES[[#This Row],[PROVEEDOR]],"*"&amp;'Palabra no opera'!$A$2&amp;"*"))</f>
        <v>0</v>
      </c>
      <c r="AA609" s="24"/>
      <c r="AB609" s="24"/>
      <c r="AC609" s="24"/>
      <c r="AD609" s="24"/>
      <c r="AE609" s="24"/>
    </row>
    <row r="610" spans="1:31" ht="22.2" customHeight="1" x14ac:dyDescent="0.3">
      <c r="A610" s="66" t="str">
        <f>+IF(PROVEEDORES[[#This Row],[FECHA DE PAGO]]=PROVEEDORES[[#This Row],[FECHA DE FACTURACIÓN]],"DE CONTADO","CRÉDITO")</f>
        <v>DE CONTADO</v>
      </c>
      <c r="B610" s="38" t="b">
        <f>+IF((PROVEEDORES[[#This Row],[FECHA DE PAGO]]-PROVEEDORES[[#This Row],[FECHA DE FACTURACIÓN]])&gt;PROVEEDORES[[#This Row],[PLAZO Días]],"PAGO VENCIDO")</f>
        <v>0</v>
      </c>
      <c r="C610" s="20">
        <f>+VLOOKUP(PROVEEDORES[[#This Row],[PROVEEDOR]],TERCEROS_INFO[#All],2,FALSE)</f>
        <v>30</v>
      </c>
      <c r="D610" s="25">
        <f>+SUMIFS(PROVEEDORES[Total],PROVEEDORES[PROVEEDOR],PROVEEDORES[[#This Row],[PROVEEDOR]],PROVEEDORES[FECHA DE PAGO],"")</f>
        <v>0</v>
      </c>
      <c r="E610" s="25"/>
      <c r="F610" s="58" t="str">
        <f>+VLOOKUP(PROVEEDORES[[#This Row],[PROVEEDOR]],
                       Terceros!$A:$F,
                       5,
                       FALSE)</f>
        <v/>
      </c>
      <c r="G610" s="161">
        <v>44323</v>
      </c>
      <c r="H610" s="26" t="s">
        <v>661</v>
      </c>
      <c r="I610" s="161">
        <v>44323</v>
      </c>
      <c r="J610" s="35"/>
      <c r="K610" s="21">
        <v>384000</v>
      </c>
      <c r="L610" s="21"/>
      <c r="M610" s="22">
        <f>(PROVEEDORES[[#This Row],[SUBTOTAL]]-PROVEEDORES[[#This Row],[descuento sobre subtotal]])*VLOOKUP(PROVEEDORES[[#This Row],[PROVEEDOR]],TERCEROS_INFO[#All],3,FALSE)</f>
        <v>0</v>
      </c>
      <c r="N610" s="23"/>
      <c r="O610" s="22">
        <f>+PROVEEDORES[[#This Row],[Descuento sobre subtotal %]]*(PROVEEDORES[[#This Row],[SUBTOTAL]]-PROVEEDORES[[#This Row],[descuento sobre subtotal]])</f>
        <v>0</v>
      </c>
      <c r="P610" s="83">
        <f>+IF(PROVEEDORES[[#This Row],[SUBTOTAL]]&lt;PROVEEDORES[[#This Row],[base retencion]],0,PROVEEDORES[[#This Row],[retención aplicada]])</f>
        <v>0</v>
      </c>
      <c r="Q610" s="22">
        <f>+PROVEEDORES[[#This Row],[Rete Fuente %]]*(PROVEEDORES[[#This Row],[SUBTOTAL]]-PROVEEDORES[[#This Row],[descuento sobre subtotal]])</f>
        <v>0</v>
      </c>
      <c r="R610" s="21">
        <f>+PROVEEDORES[[#This Row],[SUBTOTAL]]+PROVEEDORES[[#This Row],[IVA 19%]]-PROVEEDORES[[#This Row],[descuento sobre subtotal]]-PROVEEDORES[[#This Row],[Descuento sobre subtotal $2]]-PROVEEDORES[[#This Row],[Rete Fuente $]]</f>
        <v>384000</v>
      </c>
      <c r="S6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68">
        <f ca="1">IF(PROVEEDORES[[#This Row],[FECHA DE PAGO]]=0,TODAY()-PROVEEDORES[[#This Row],[FECHA DE FACTURACIÓN]]-PROVEEDORES[[#This Row],[PLAZO Días]],0)</f>
        <v>0</v>
      </c>
      <c r="U610" s="96">
        <f>+VLOOKUP(PROVEEDORES[[#This Row],[PROVEEDOR]],Terceros!$A:$D,4,FALSE)</f>
        <v>0</v>
      </c>
      <c r="V610" s="97">
        <f>+YEAR(PROVEEDORES[[#This Row],[FECHA DE FACTURACIÓN]])</f>
        <v>2021</v>
      </c>
      <c r="W610" s="97">
        <f>+MATCH(PROVEEDORES[[#This Row],[año facturado]],Retenciones!$1:$1,0)</f>
        <v>4</v>
      </c>
      <c r="X610" s="98">
        <f>+VLOOKUP(PROVEEDORES[[#This Row],[ID RETENCION]],Retenciones!$A$1:$O$25,PROVEEDORES[[#This Row],[indicador de columna]],FALSE)</f>
        <v>0</v>
      </c>
      <c r="Y610" s="99">
        <f>+VLOOKUP(PROVEEDORES[[#This Row],[ID RETENCION]],Retenciones!$A$1:$O$25,2,FALSE)</f>
        <v>0</v>
      </c>
      <c r="Z610" s="125" t="b">
        <f>OR(COUNTIF(PROVEEDORES[[#This Row],[PROVEEDOR]],"*"&amp;'Palabra no opera'!$A$2&amp;"*"))</f>
        <v>0</v>
      </c>
      <c r="AA610" s="24"/>
      <c r="AB610" s="24"/>
      <c r="AC610" s="24"/>
      <c r="AD610" s="24"/>
      <c r="AE610" s="24"/>
    </row>
    <row r="611" spans="1:31" ht="22.2" customHeight="1" x14ac:dyDescent="0.3">
      <c r="A611" s="66" t="str">
        <f>+IF(PROVEEDORES[[#This Row],[FECHA DE PAGO]]=PROVEEDORES[[#This Row],[FECHA DE FACTURACIÓN]],"DE CONTADO","CRÉDITO")</f>
        <v>DE CONTADO</v>
      </c>
      <c r="B611" s="38" t="b">
        <f>+IF((PROVEEDORES[[#This Row],[FECHA DE PAGO]]-PROVEEDORES[[#This Row],[FECHA DE FACTURACIÓN]])&gt;PROVEEDORES[[#This Row],[PLAZO Días]],"PAGO VENCIDO")</f>
        <v>0</v>
      </c>
      <c r="C611" s="20">
        <f>+VLOOKUP(PROVEEDORES[[#This Row],[PROVEEDOR]],TERCEROS_INFO[#All],2,FALSE)</f>
        <v>30</v>
      </c>
      <c r="D611" s="25">
        <f>+SUMIFS(PROVEEDORES[Total],PROVEEDORES[PROVEEDOR],PROVEEDORES[[#This Row],[PROVEEDOR]],PROVEEDORES[FECHA DE PAGO],"")</f>
        <v>0</v>
      </c>
      <c r="E611" s="25"/>
      <c r="F611" s="58" t="str">
        <f>+VLOOKUP(PROVEEDORES[[#This Row],[PROVEEDOR]],
                       Terceros!$A:$F,
                       5,
                       FALSE)</f>
        <v/>
      </c>
      <c r="G611" s="161">
        <v>44347</v>
      </c>
      <c r="H611" s="26" t="s">
        <v>661</v>
      </c>
      <c r="I611" s="161">
        <v>44347</v>
      </c>
      <c r="J611" s="35" t="s">
        <v>1237</v>
      </c>
      <c r="K611" s="21">
        <v>384000</v>
      </c>
      <c r="L611" s="21"/>
      <c r="M611" s="22">
        <f>(PROVEEDORES[[#This Row],[SUBTOTAL]]-PROVEEDORES[[#This Row],[descuento sobre subtotal]])*VLOOKUP(PROVEEDORES[[#This Row],[PROVEEDOR]],TERCEROS_INFO[#All],3,FALSE)</f>
        <v>0</v>
      </c>
      <c r="N611" s="23"/>
      <c r="O611" s="22">
        <f>+PROVEEDORES[[#This Row],[Descuento sobre subtotal %]]*(PROVEEDORES[[#This Row],[SUBTOTAL]]-PROVEEDORES[[#This Row],[descuento sobre subtotal]])</f>
        <v>0</v>
      </c>
      <c r="P611" s="83">
        <f>+IF(PROVEEDORES[[#This Row],[SUBTOTAL]]&lt;PROVEEDORES[[#This Row],[base retencion]],0,PROVEEDORES[[#This Row],[retención aplicada]])</f>
        <v>0</v>
      </c>
      <c r="Q611" s="22">
        <f>+PROVEEDORES[[#This Row],[Rete Fuente %]]*(PROVEEDORES[[#This Row],[SUBTOTAL]]-PROVEEDORES[[#This Row],[descuento sobre subtotal]])</f>
        <v>0</v>
      </c>
      <c r="R611" s="21">
        <f>+PROVEEDORES[[#This Row],[SUBTOTAL]]+PROVEEDORES[[#This Row],[IVA 19%]]-PROVEEDORES[[#This Row],[descuento sobre subtotal]]-PROVEEDORES[[#This Row],[Descuento sobre subtotal $2]]-PROVEEDORES[[#This Row],[Rete Fuente $]]</f>
        <v>384000</v>
      </c>
      <c r="S6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68">
        <f ca="1">IF(PROVEEDORES[[#This Row],[FECHA DE PAGO]]=0,TODAY()-PROVEEDORES[[#This Row],[FECHA DE FACTURACIÓN]]-PROVEEDORES[[#This Row],[PLAZO Días]],0)</f>
        <v>0</v>
      </c>
      <c r="U611" s="96">
        <f>+VLOOKUP(PROVEEDORES[[#This Row],[PROVEEDOR]],Terceros!$A:$D,4,FALSE)</f>
        <v>0</v>
      </c>
      <c r="V611" s="97">
        <f>+YEAR(PROVEEDORES[[#This Row],[FECHA DE FACTURACIÓN]])</f>
        <v>2021</v>
      </c>
      <c r="W611" s="97">
        <f>+MATCH(PROVEEDORES[[#This Row],[año facturado]],Retenciones!$1:$1,0)</f>
        <v>4</v>
      </c>
      <c r="X611" s="98">
        <f>+VLOOKUP(PROVEEDORES[[#This Row],[ID RETENCION]],Retenciones!$A$1:$O$25,PROVEEDORES[[#This Row],[indicador de columna]],FALSE)</f>
        <v>0</v>
      </c>
      <c r="Y611" s="99">
        <f>+VLOOKUP(PROVEEDORES[[#This Row],[ID RETENCION]],Retenciones!$A$1:$O$25,2,FALSE)</f>
        <v>0</v>
      </c>
      <c r="Z611" s="125" t="b">
        <f>OR(COUNTIF(PROVEEDORES[[#This Row],[PROVEEDOR]],"*"&amp;'Palabra no opera'!$A$2&amp;"*"))</f>
        <v>0</v>
      </c>
      <c r="AA611" s="24"/>
      <c r="AB611" s="24"/>
      <c r="AC611" s="24"/>
      <c r="AD611" s="24"/>
      <c r="AE611" s="24"/>
    </row>
    <row r="612" spans="1:31" ht="22.2" customHeight="1" x14ac:dyDescent="0.3">
      <c r="A612" s="66" t="str">
        <f>+IF(PROVEEDORES[[#This Row],[FECHA DE PAGO]]=PROVEEDORES[[#This Row],[FECHA DE FACTURACIÓN]],"DE CONTADO","CRÉDITO")</f>
        <v>DE CONTADO</v>
      </c>
      <c r="B612" s="38" t="b">
        <f>+IF((PROVEEDORES[[#This Row],[FECHA DE PAGO]]-PROVEEDORES[[#This Row],[FECHA DE FACTURACIÓN]])&gt;PROVEEDORES[[#This Row],[PLAZO Días]],"PAGO VENCIDO")</f>
        <v>0</v>
      </c>
      <c r="C612" s="20">
        <f>+VLOOKUP(PROVEEDORES[[#This Row],[PROVEEDOR]],TERCEROS_INFO[#All],2,FALSE)</f>
        <v>30</v>
      </c>
      <c r="D612" s="25">
        <f>+SUMIFS(PROVEEDORES[Total],PROVEEDORES[PROVEEDOR],PROVEEDORES[[#This Row],[PROVEEDOR]],PROVEEDORES[FECHA DE PAGO],"")</f>
        <v>0</v>
      </c>
      <c r="E612" s="25"/>
      <c r="F612" s="58" t="str">
        <f>+VLOOKUP(PROVEEDORES[[#This Row],[PROVEEDOR]],
                       Terceros!$A:$F,
                       5,
                       FALSE)</f>
        <v/>
      </c>
      <c r="G612" s="161">
        <v>44229</v>
      </c>
      <c r="H612" s="26" t="s">
        <v>636</v>
      </c>
      <c r="I612" s="161">
        <v>44229</v>
      </c>
      <c r="J612" s="35"/>
      <c r="K612" s="21">
        <v>385000</v>
      </c>
      <c r="L612" s="21"/>
      <c r="M612" s="22">
        <f>(PROVEEDORES[[#This Row],[SUBTOTAL]]-PROVEEDORES[[#This Row],[descuento sobre subtotal]])*VLOOKUP(PROVEEDORES[[#This Row],[PROVEEDOR]],TERCEROS_INFO[#All],3,FALSE)</f>
        <v>0</v>
      </c>
      <c r="N612" s="23"/>
      <c r="O612" s="22">
        <f>+PROVEEDORES[[#This Row],[Descuento sobre subtotal %]]*(PROVEEDORES[[#This Row],[SUBTOTAL]]-PROVEEDORES[[#This Row],[descuento sobre subtotal]])</f>
        <v>0</v>
      </c>
      <c r="P612" s="83">
        <f>+IF(PROVEEDORES[[#This Row],[SUBTOTAL]]&lt;PROVEEDORES[[#This Row],[base retencion]],0,PROVEEDORES[[#This Row],[retención aplicada]])</f>
        <v>0</v>
      </c>
      <c r="Q612" s="22">
        <f>+PROVEEDORES[[#This Row],[Rete Fuente %]]*(PROVEEDORES[[#This Row],[SUBTOTAL]]-PROVEEDORES[[#This Row],[descuento sobre subtotal]])</f>
        <v>0</v>
      </c>
      <c r="R612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6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68">
        <f ca="1">IF(PROVEEDORES[[#This Row],[FECHA DE PAGO]]=0,TODAY()-PROVEEDORES[[#This Row],[FECHA DE FACTURACIÓN]]-PROVEEDORES[[#This Row],[PLAZO Días]],0)</f>
        <v>0</v>
      </c>
      <c r="U612" s="96">
        <f>+VLOOKUP(PROVEEDORES[[#This Row],[PROVEEDOR]],Terceros!$A:$D,4,FALSE)</f>
        <v>0</v>
      </c>
      <c r="V612" s="97">
        <f>+YEAR(PROVEEDORES[[#This Row],[FECHA DE FACTURACIÓN]])</f>
        <v>2021</v>
      </c>
      <c r="W612" s="97">
        <f>+MATCH(PROVEEDORES[[#This Row],[año facturado]],Retenciones!$1:$1,0)</f>
        <v>4</v>
      </c>
      <c r="X612" s="98">
        <f>+VLOOKUP(PROVEEDORES[[#This Row],[ID RETENCION]],Retenciones!$A$1:$O$25,PROVEEDORES[[#This Row],[indicador de columna]],FALSE)</f>
        <v>0</v>
      </c>
      <c r="Y612" s="99">
        <f>+VLOOKUP(PROVEEDORES[[#This Row],[ID RETENCION]],Retenciones!$A$1:$O$25,2,FALSE)</f>
        <v>0</v>
      </c>
      <c r="Z612" s="125" t="b">
        <f>OR(COUNTIF(PROVEEDORES[[#This Row],[PROVEEDOR]],"*"&amp;'Palabra no opera'!$A$2&amp;"*"))</f>
        <v>0</v>
      </c>
      <c r="AA612" s="24"/>
      <c r="AB612" s="24"/>
      <c r="AC612" s="24"/>
      <c r="AD612" s="24"/>
      <c r="AE612" s="24"/>
    </row>
    <row r="613" spans="1:31" ht="22.2" customHeight="1" x14ac:dyDescent="0.3">
      <c r="A613" s="66" t="str">
        <f>+IF(PROVEEDORES[[#This Row],[FECHA DE PAGO]]=PROVEEDORES[[#This Row],[FECHA DE FACTURACIÓN]],"DE CONTADO","CRÉDITO")</f>
        <v>DE CONTADO</v>
      </c>
      <c r="B613" s="38" t="b">
        <f>+IF((PROVEEDORES[[#This Row],[FECHA DE PAGO]]-PROVEEDORES[[#This Row],[FECHA DE FACTURACIÓN]])&gt;PROVEEDORES[[#This Row],[PLAZO Días]],"PAGO VENCIDO")</f>
        <v>0</v>
      </c>
      <c r="C613" s="20">
        <f>+VLOOKUP(PROVEEDORES[[#This Row],[PROVEEDOR]],TERCEROS_INFO[#All],2,FALSE)</f>
        <v>30</v>
      </c>
      <c r="D613" s="25">
        <f>+SUMIFS(PROVEEDORES[Total],PROVEEDORES[PROVEEDOR],PROVEEDORES[[#This Row],[PROVEEDOR]],PROVEEDORES[FECHA DE PAGO],"")</f>
        <v>0</v>
      </c>
      <c r="E613" s="25"/>
      <c r="F613" s="58" t="str">
        <f>+VLOOKUP(PROVEEDORES[[#This Row],[PROVEEDOR]],
                       Terceros!$A:$F,
                       5,
                       FALSE)</f>
        <v/>
      </c>
      <c r="G613" s="161">
        <v>44530</v>
      </c>
      <c r="H613" s="26" t="s">
        <v>644</v>
      </c>
      <c r="I613" s="161">
        <v>44530</v>
      </c>
      <c r="J613" s="35" t="s">
        <v>1350</v>
      </c>
      <c r="K613" s="21">
        <v>385000</v>
      </c>
      <c r="L613" s="21"/>
      <c r="M613" s="22">
        <f>(PROVEEDORES[[#This Row],[SUBTOTAL]]-PROVEEDORES[[#This Row],[descuento sobre subtotal]])*VLOOKUP(PROVEEDORES[[#This Row],[PROVEEDOR]],TERCEROS_INFO[#All],3,FALSE)</f>
        <v>0</v>
      </c>
      <c r="N613" s="23"/>
      <c r="O613" s="22">
        <f>+PROVEEDORES[[#This Row],[Descuento sobre subtotal %]]*(PROVEEDORES[[#This Row],[SUBTOTAL]]-PROVEEDORES[[#This Row],[descuento sobre subtotal]])</f>
        <v>0</v>
      </c>
      <c r="P613" s="83">
        <f>+IF(PROVEEDORES[[#This Row],[SUBTOTAL]]&lt;PROVEEDORES[[#This Row],[base retencion]],0,PROVEEDORES[[#This Row],[retención aplicada]])</f>
        <v>0</v>
      </c>
      <c r="Q613" s="22">
        <f>+PROVEEDORES[[#This Row],[Rete Fuente %]]*(PROVEEDORES[[#This Row],[SUBTOTAL]]-PROVEEDORES[[#This Row],[descuento sobre subtotal]])</f>
        <v>0</v>
      </c>
      <c r="R613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6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68">
        <f ca="1">IF(PROVEEDORES[[#This Row],[FECHA DE PAGO]]=0,TODAY()-PROVEEDORES[[#This Row],[FECHA DE FACTURACIÓN]]-PROVEEDORES[[#This Row],[PLAZO Días]],0)</f>
        <v>0</v>
      </c>
      <c r="U613" s="96">
        <f>+VLOOKUP(PROVEEDORES[[#This Row],[PROVEEDOR]],Terceros!$A:$D,4,FALSE)</f>
        <v>0</v>
      </c>
      <c r="V613" s="97">
        <f>+YEAR(PROVEEDORES[[#This Row],[FECHA DE FACTURACIÓN]])</f>
        <v>2021</v>
      </c>
      <c r="W613" s="97">
        <f>+MATCH(PROVEEDORES[[#This Row],[año facturado]],Retenciones!$1:$1,0)</f>
        <v>4</v>
      </c>
      <c r="X613" s="98">
        <f>+VLOOKUP(PROVEEDORES[[#This Row],[ID RETENCION]],Retenciones!$A$1:$O$25,PROVEEDORES[[#This Row],[indicador de columna]],FALSE)</f>
        <v>0</v>
      </c>
      <c r="Y613" s="99">
        <f>+VLOOKUP(PROVEEDORES[[#This Row],[ID RETENCION]],Retenciones!$A$1:$O$25,2,FALSE)</f>
        <v>0</v>
      </c>
      <c r="Z613" s="125" t="b">
        <f>OR(COUNTIF(PROVEEDORES[[#This Row],[PROVEEDOR]],"*"&amp;'Palabra no opera'!$A$2&amp;"*"))</f>
        <v>0</v>
      </c>
      <c r="AA613" s="24"/>
      <c r="AB613" s="24"/>
      <c r="AC613" s="24"/>
      <c r="AD613" s="24"/>
      <c r="AE613" s="24"/>
    </row>
    <row r="614" spans="1:31" ht="22.2" customHeight="1" x14ac:dyDescent="0.3">
      <c r="A614" s="269" t="str">
        <f>+IF(PROVEEDORES[[#This Row],[FECHA DE PAGO]]=PROVEEDORES[[#This Row],[FECHA DE FACTURACIÓN]],"DE CONTADO","CRÉDITO")</f>
        <v>DE CONTADO</v>
      </c>
      <c r="B614" s="38" t="b">
        <f>+IF((PROVEEDORES[[#This Row],[FECHA DE PAGO]]-PROVEEDORES[[#This Row],[FECHA DE FACTURACIÓN]])&gt;PROVEEDORES[[#This Row],[PLAZO Días]],"PAGO VENCIDO")</f>
        <v>0</v>
      </c>
      <c r="C614" s="20">
        <f>+VLOOKUP(PROVEEDORES[[#This Row],[PROVEEDOR]],TERCEROS_INFO[#All],2,FALSE)</f>
        <v>30</v>
      </c>
      <c r="D614" s="25">
        <f>+SUMIFS(PROVEEDORES[Total],PROVEEDORES[PROVEEDOR],PROVEEDORES[[#This Row],[PROVEEDOR]],PROVEEDORES[FECHA DE PAGO],"")</f>
        <v>0</v>
      </c>
      <c r="E614" s="25"/>
      <c r="F614" s="58" t="str">
        <f>+VLOOKUP(PROVEEDORES[[#This Row],[PROVEEDOR]],
                       Terceros!$A:$F,
                       5,
                       FALSE)</f>
        <v/>
      </c>
      <c r="G614" s="161">
        <v>44865</v>
      </c>
      <c r="H614" s="26" t="s">
        <v>644</v>
      </c>
      <c r="I614" s="161">
        <v>44865</v>
      </c>
      <c r="J614" s="35" t="s">
        <v>1749</v>
      </c>
      <c r="K614" s="21">
        <v>385000</v>
      </c>
      <c r="L614" s="21"/>
      <c r="M614" s="22">
        <f>(PROVEEDORES[[#This Row],[SUBTOTAL]]-PROVEEDORES[[#This Row],[descuento sobre subtotal]])*VLOOKUP(PROVEEDORES[[#This Row],[PROVEEDOR]],TERCEROS_INFO[#All],3,FALSE)</f>
        <v>0</v>
      </c>
      <c r="N614" s="23"/>
      <c r="O614" s="22">
        <f>+PROVEEDORES[[#This Row],[Descuento sobre subtotal %]]*(PROVEEDORES[[#This Row],[SUBTOTAL]]-PROVEEDORES[[#This Row],[descuento sobre subtotal]])</f>
        <v>0</v>
      </c>
      <c r="P614" s="83">
        <f>+IF(PROVEEDORES[[#This Row],[SUBTOTAL]]&lt;PROVEEDORES[[#This Row],[base retencion]],0,PROVEEDORES[[#This Row],[retención aplicada]])</f>
        <v>0</v>
      </c>
      <c r="Q614" s="22">
        <f>+PROVEEDORES[[#This Row],[Rete Fuente %]]*(PROVEEDORES[[#This Row],[SUBTOTAL]]-PROVEEDORES[[#This Row],[descuento sobre subtotal]])</f>
        <v>0</v>
      </c>
      <c r="R614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614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68">
        <f ca="1">IF(PROVEEDORES[[#This Row],[FECHA DE PAGO]]=0,TODAY()-PROVEEDORES[[#This Row],[FECHA DE FACTURACIÓN]]-PROVEEDORES[[#This Row],[PLAZO Días]],0)</f>
        <v>0</v>
      </c>
      <c r="U614" s="113">
        <f>+VLOOKUP(PROVEEDORES[[#This Row],[PROVEEDOR]],Terceros!$A:$D,4,FALSE)</f>
        <v>0</v>
      </c>
      <c r="V614" s="114">
        <f>+YEAR(PROVEEDORES[[#This Row],[FECHA DE FACTURACIÓN]])</f>
        <v>2022</v>
      </c>
      <c r="W614" s="114">
        <f>+MATCH(PROVEEDORES[[#This Row],[año facturado]],Retenciones!$1:$1,0)</f>
        <v>5</v>
      </c>
      <c r="X614" s="115">
        <f>+VLOOKUP(PROVEEDORES[[#This Row],[ID RETENCION]],Retenciones!$A$1:$O$25,PROVEEDORES[[#This Row],[indicador de columna]],FALSE)</f>
        <v>0</v>
      </c>
      <c r="Y614" s="116">
        <f>+VLOOKUP(PROVEEDORES[[#This Row],[ID RETENCION]],Retenciones!$A$1:$O$25,2,FALSE)</f>
        <v>0</v>
      </c>
      <c r="Z614" s="125" t="b">
        <f>OR(COUNTIF(PROVEEDORES[[#This Row],[PROVEEDOR]],"*"&amp;'Palabra no opera'!$A$2&amp;"*"))</f>
        <v>0</v>
      </c>
      <c r="AA614" s="24"/>
      <c r="AB614" s="24"/>
      <c r="AC614" s="24"/>
      <c r="AD614" s="24"/>
      <c r="AE614" s="24"/>
    </row>
    <row r="615" spans="1:31" ht="22.2" customHeight="1" x14ac:dyDescent="0.3">
      <c r="A615" s="72" t="str">
        <f>+IF(PROVEEDORES[[#This Row],[FECHA DE PAGO]]=PROVEEDORES[[#This Row],[FECHA DE FACTURACIÓN]],"DE CONTADO","CRÉDITO")</f>
        <v>CRÉDITO</v>
      </c>
      <c r="B615" s="38" t="str">
        <f>+IF((PROVEEDORES[[#This Row],[FECHA DE PAGO]]-PROVEEDORES[[#This Row],[FECHA DE FACTURACIÓN]])&gt;PROVEEDORES[[#This Row],[PLAZO Días]],"PAGO VENCIDO")</f>
        <v>PAGO VENCIDO</v>
      </c>
      <c r="C615" s="20">
        <f>+VLOOKUP(PROVEEDORES[[#This Row],[PROVEEDOR]],TERCEROS_INFO[#All],2,FALSE)</f>
        <v>30</v>
      </c>
      <c r="D615" s="25">
        <f>+SUMIFS(PROVEEDORES[Total],PROVEEDORES[PROVEEDOR],PROVEEDORES[[#This Row],[PROVEEDOR]],PROVEEDORES[FECHA DE PAGO],"")</f>
        <v>401799.93</v>
      </c>
      <c r="E615" s="25"/>
      <c r="F615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615" s="161">
        <v>44867</v>
      </c>
      <c r="H615" s="26" t="s">
        <v>508</v>
      </c>
      <c r="I615" s="161">
        <v>44824</v>
      </c>
      <c r="J615" s="35" t="s">
        <v>1698</v>
      </c>
      <c r="K615" s="21">
        <v>324128</v>
      </c>
      <c r="L615" s="21"/>
      <c r="M615" s="22">
        <f>(PROVEEDORES[[#This Row],[SUBTOTAL]]-PROVEEDORES[[#This Row],[descuento sobre subtotal]])*VLOOKUP(PROVEEDORES[[#This Row],[PROVEEDOR]],TERCEROS_INFO[#All],3,FALSE)</f>
        <v>61584.32</v>
      </c>
      <c r="N615" s="23"/>
      <c r="O615" s="22">
        <f>+PROVEEDORES[[#This Row],[Descuento sobre subtotal %]]*(PROVEEDORES[[#This Row],[SUBTOTAL]]-PROVEEDORES[[#This Row],[descuento sobre subtotal]])</f>
        <v>0</v>
      </c>
      <c r="P615" s="83">
        <f>+IF(PROVEEDORES[[#This Row],[SUBTOTAL]]&lt;PROVEEDORES[[#This Row],[base retencion]],0,PROVEEDORES[[#This Row],[retención aplicada]])</f>
        <v>0</v>
      </c>
      <c r="Q615" s="22">
        <f>+PROVEEDORES[[#This Row],[Rete Fuente %]]*(PROVEEDORES[[#This Row],[SUBTOTAL]]-PROVEEDORES[[#This Row],[descuento sobre subtotal]])</f>
        <v>0</v>
      </c>
      <c r="R615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61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68">
        <f ca="1">IF(PROVEEDORES[[#This Row],[FECHA DE PAGO]]=0,TODAY()-PROVEEDORES[[#This Row],[FECHA DE FACTURACIÓN]]-PROVEEDORES[[#This Row],[PLAZO Días]],0)</f>
        <v>0</v>
      </c>
      <c r="U615" s="113" t="str">
        <f>+VLOOKUP(PROVEEDORES[[#This Row],[PROVEEDOR]],Terceros!$A:$D,4,FALSE)</f>
        <v>2,5% con base</v>
      </c>
      <c r="V615" s="114">
        <f>+YEAR(PROVEEDORES[[#This Row],[FECHA DE FACTURACIÓN]])</f>
        <v>2022</v>
      </c>
      <c r="W615" s="114">
        <f>+MATCH(PROVEEDORES[[#This Row],[año facturado]],Retenciones!$1:$1,0)</f>
        <v>5</v>
      </c>
      <c r="X615" s="115">
        <f>+VLOOKUP(PROVEEDORES[[#This Row],[ID RETENCION]],Retenciones!$A$1:$O$25,PROVEEDORES[[#This Row],[indicador de columna]],FALSE)</f>
        <v>1026000</v>
      </c>
      <c r="Y615" s="116">
        <f>+VLOOKUP(PROVEEDORES[[#This Row],[ID RETENCION]],Retenciones!$A$1:$O$25,2,FALSE)</f>
        <v>2.5000000000000001E-2</v>
      </c>
      <c r="Z615" s="125" t="b">
        <f>OR(COUNTIF(PROVEEDORES[[#This Row],[PROVEEDOR]],"*"&amp;'Palabra no opera'!$A$2&amp;"*"))</f>
        <v>0</v>
      </c>
      <c r="AA615" s="24"/>
      <c r="AB615" s="24"/>
      <c r="AC615" s="24"/>
      <c r="AD615" s="24"/>
      <c r="AE615" s="24"/>
    </row>
    <row r="616" spans="1:31" ht="22.2" customHeight="1" x14ac:dyDescent="0.3">
      <c r="A616" s="257" t="str">
        <f>+IF(PROVEEDORES[[#This Row],[FECHA DE PAGO]]=PROVEEDORES[[#This Row],[FECHA DE FACTURACIÓN]],"DE CONTADO","CRÉDITO")</f>
        <v>CRÉDITO</v>
      </c>
      <c r="B616" s="38" t="str">
        <f>+IF((PROVEEDORES[[#This Row],[FECHA DE PAGO]]-PROVEEDORES[[#This Row],[FECHA DE FACTURACIÓN]])&gt;PROVEEDORES[[#This Row],[PLAZO Días]],"PAGO VENCIDO")</f>
        <v>PAGO VENCIDO</v>
      </c>
      <c r="C616" s="20">
        <f>+VLOOKUP(PROVEEDORES[[#This Row],[PROVEEDOR]],TERCEROS_INFO[#All],2,FALSE)</f>
        <v>30</v>
      </c>
      <c r="D616" s="25">
        <f>+SUMIFS(PROVEEDORES[Total],PROVEEDORES[PROVEEDOR],PROVEEDORES[[#This Row],[PROVEEDOR]],PROVEEDORES[FECHA DE PAGO],"")</f>
        <v>23124164.219999999</v>
      </c>
      <c r="E616" s="25"/>
      <c r="F61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16" s="161">
        <v>44867</v>
      </c>
      <c r="H616" s="26" t="s">
        <v>18</v>
      </c>
      <c r="I616" s="161">
        <v>44826</v>
      </c>
      <c r="J616" s="35">
        <v>1059481</v>
      </c>
      <c r="K616" s="21">
        <v>324128</v>
      </c>
      <c r="L616" s="21"/>
      <c r="M616" s="22">
        <f>(PROVEEDORES[[#This Row],[SUBTOTAL]]-PROVEEDORES[[#This Row],[descuento sobre subtotal]])*VLOOKUP(PROVEEDORES[[#This Row],[PROVEEDOR]],TERCEROS_INFO[#All],3,FALSE)</f>
        <v>61584.32</v>
      </c>
      <c r="N616" s="23"/>
      <c r="O616" s="22">
        <f>+PROVEEDORES[[#This Row],[Descuento sobre subtotal %]]*(PROVEEDORES[[#This Row],[SUBTOTAL]]-PROVEEDORES[[#This Row],[descuento sobre subtotal]])</f>
        <v>0</v>
      </c>
      <c r="P616" s="83">
        <f>+IF(PROVEEDORES[[#This Row],[SUBTOTAL]]&lt;PROVEEDORES[[#This Row],[base retencion]],0,PROVEEDORES[[#This Row],[retención aplicada]])</f>
        <v>0</v>
      </c>
      <c r="Q616" s="22">
        <f>+PROVEEDORES[[#This Row],[Rete Fuente %]]*(PROVEEDORES[[#This Row],[SUBTOTAL]]-PROVEEDORES[[#This Row],[descuento sobre subtotal]])</f>
        <v>0</v>
      </c>
      <c r="R616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616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68">
        <f ca="1">IF(PROVEEDORES[[#This Row],[FECHA DE PAGO]]=0,TODAY()-PROVEEDORES[[#This Row],[FECHA DE FACTURACIÓN]]-PROVEEDORES[[#This Row],[PLAZO Días]],0)</f>
        <v>0</v>
      </c>
      <c r="U616" s="113" t="str">
        <f>+VLOOKUP(PROVEEDORES[[#This Row],[PROVEEDOR]],Terceros!$A:$D,4,FALSE)</f>
        <v>2,5% con base</v>
      </c>
      <c r="V616" s="114">
        <f>+YEAR(PROVEEDORES[[#This Row],[FECHA DE FACTURACIÓN]])</f>
        <v>2022</v>
      </c>
      <c r="W616" s="114">
        <f>+MATCH(PROVEEDORES[[#This Row],[año facturado]],Retenciones!$1:$1,0)</f>
        <v>5</v>
      </c>
      <c r="X616" s="115">
        <f>+VLOOKUP(PROVEEDORES[[#This Row],[ID RETENCION]],Retenciones!$A$1:$O$25,PROVEEDORES[[#This Row],[indicador de columna]],FALSE)</f>
        <v>1026000</v>
      </c>
      <c r="Y616" s="116">
        <f>+VLOOKUP(PROVEEDORES[[#This Row],[ID RETENCION]],Retenciones!$A$1:$O$25,2,FALSE)</f>
        <v>2.5000000000000001E-2</v>
      </c>
      <c r="Z616" s="125" t="b">
        <f>OR(COUNTIF(PROVEEDORES[[#This Row],[PROVEEDOR]],"*"&amp;'Palabra no opera'!$A$2&amp;"*"))</f>
        <v>0</v>
      </c>
      <c r="AA616" s="24"/>
      <c r="AB616" s="24"/>
      <c r="AC616" s="24"/>
      <c r="AD616" s="24"/>
      <c r="AE616" s="24"/>
    </row>
    <row r="617" spans="1:31" ht="22.2" customHeight="1" x14ac:dyDescent="0.3">
      <c r="A617" s="66" t="str">
        <f>+IF(PROVEEDORES[[#This Row],[FECHA DE PAGO]]=PROVEEDORES[[#This Row],[FECHA DE FACTURACIÓN]],"DE CONTADO","CRÉDITO")</f>
        <v>CRÉDITO</v>
      </c>
      <c r="B617" s="38" t="str">
        <f>+IF((PROVEEDORES[[#This Row],[FECHA DE PAGO]]-PROVEEDORES[[#This Row],[FECHA DE FACTURACIÓN]])&gt;PROVEEDORES[[#This Row],[PLAZO Días]],"PAGO VENCIDO")</f>
        <v>PAGO VENCIDO</v>
      </c>
      <c r="C617" s="20">
        <f>+VLOOKUP(PROVEEDORES[[#This Row],[PROVEEDOR]],TERCEROS_INFO[#All],2,FALSE)</f>
        <v>30</v>
      </c>
      <c r="D617" s="25">
        <f>+SUMIFS(PROVEEDORES[Total],PROVEEDORES[PROVEEDOR],PROVEEDORES[[#This Row],[PROVEEDOR]],PROVEEDORES[FECHA DE PAGO],"")</f>
        <v>2223034.2400000002</v>
      </c>
      <c r="E617" s="25"/>
      <c r="F61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17" s="161">
        <v>44442</v>
      </c>
      <c r="H617" s="26" t="s">
        <v>216</v>
      </c>
      <c r="I617" s="161">
        <v>44391</v>
      </c>
      <c r="J617" s="35">
        <v>316</v>
      </c>
      <c r="K617" s="21">
        <v>324370</v>
      </c>
      <c r="L617" s="21"/>
      <c r="M617" s="22">
        <f>(PROVEEDORES[[#This Row],[SUBTOTAL]]-PROVEEDORES[[#This Row],[descuento sobre subtotal]])*VLOOKUP(PROVEEDORES[[#This Row],[PROVEEDOR]],TERCEROS_INFO[#All],3,FALSE)</f>
        <v>61630.3</v>
      </c>
      <c r="N617" s="23"/>
      <c r="O617" s="22">
        <f>+PROVEEDORES[[#This Row],[Descuento sobre subtotal %]]*(PROVEEDORES[[#This Row],[SUBTOTAL]]-PROVEEDORES[[#This Row],[descuento sobre subtotal]])</f>
        <v>0</v>
      </c>
      <c r="P617" s="83">
        <f>+IF(PROVEEDORES[[#This Row],[SUBTOTAL]]&lt;PROVEEDORES[[#This Row],[base retencion]],0,PROVEEDORES[[#This Row],[retención aplicada]])</f>
        <v>0</v>
      </c>
      <c r="Q617" s="22">
        <f>+PROVEEDORES[[#This Row],[Rete Fuente %]]*(PROVEEDORES[[#This Row],[SUBTOTAL]]-PROVEEDORES[[#This Row],[descuento sobre subtotal]])</f>
        <v>0</v>
      </c>
      <c r="R617" s="21">
        <f>+PROVEEDORES[[#This Row],[SUBTOTAL]]+PROVEEDORES[[#This Row],[IVA 19%]]-PROVEEDORES[[#This Row],[descuento sobre subtotal]]-PROVEEDORES[[#This Row],[Descuento sobre subtotal $2]]-PROVEEDORES[[#This Row],[Rete Fuente $]]</f>
        <v>386000.3</v>
      </c>
      <c r="S6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68">
        <f ca="1">IF(PROVEEDORES[[#This Row],[FECHA DE PAGO]]=0,TODAY()-PROVEEDORES[[#This Row],[FECHA DE FACTURACIÓN]]-PROVEEDORES[[#This Row],[PLAZO Días]],0)</f>
        <v>0</v>
      </c>
      <c r="U617" s="96" t="str">
        <f>+VLOOKUP(PROVEEDORES[[#This Row],[PROVEEDOR]],Terceros!$A:$D,4,FALSE)</f>
        <v>2,5% con base</v>
      </c>
      <c r="V617" s="97">
        <f>+YEAR(PROVEEDORES[[#This Row],[FECHA DE FACTURACIÓN]])</f>
        <v>2021</v>
      </c>
      <c r="W617" s="97">
        <f>+MATCH(PROVEEDORES[[#This Row],[año facturado]],Retenciones!$1:$1,0)</f>
        <v>4</v>
      </c>
      <c r="X617" s="98">
        <f>+VLOOKUP(PROVEEDORES[[#This Row],[ID RETENCION]],Retenciones!$A$1:$O$25,PROVEEDORES[[#This Row],[indicador de columna]],FALSE)</f>
        <v>980000</v>
      </c>
      <c r="Y617" s="99">
        <f>+VLOOKUP(PROVEEDORES[[#This Row],[ID RETENCION]],Retenciones!$A$1:$O$25,2,FALSE)</f>
        <v>2.5000000000000001E-2</v>
      </c>
      <c r="Z617" s="125" t="b">
        <f>OR(COUNTIF(PROVEEDORES[[#This Row],[PROVEEDOR]],"*"&amp;'Palabra no opera'!$A$2&amp;"*"))</f>
        <v>0</v>
      </c>
      <c r="AA617" s="24"/>
      <c r="AB617" s="24"/>
      <c r="AC617" s="24"/>
      <c r="AD617" s="24"/>
      <c r="AE617" s="24"/>
    </row>
    <row r="618" spans="1:31" ht="22.2" customHeight="1" x14ac:dyDescent="0.3">
      <c r="A618" s="66" t="str">
        <f>+IF(PROVEEDORES[[#This Row],[FECHA DE PAGO]]=PROVEEDORES[[#This Row],[FECHA DE FACTURACIÓN]],"DE CONTADO","CRÉDITO")</f>
        <v>CRÉDITO</v>
      </c>
      <c r="B618" s="38" t="str">
        <f>+IF((PROVEEDORES[[#This Row],[FECHA DE PAGO]]-PROVEEDORES[[#This Row],[FECHA DE FACTURACIÓN]])&gt;PROVEEDORES[[#This Row],[PLAZO Días]],"PAGO VENCIDO")</f>
        <v>PAGO VENCIDO</v>
      </c>
      <c r="C618" s="20">
        <f>+VLOOKUP(PROVEEDORES[[#This Row],[PROVEEDOR]],TERCEROS_INFO[#All],2,FALSE)</f>
        <v>30</v>
      </c>
      <c r="D618" s="25">
        <f>+SUMIFS(PROVEEDORES[Total],PROVEEDORES[PROVEEDOR],PROVEEDORES[[#This Row],[PROVEEDOR]],PROVEEDORES[FECHA DE PAGO],"")</f>
        <v>0</v>
      </c>
      <c r="E618" s="25"/>
      <c r="F618" s="58" t="str">
        <f>+VLOOKUP(PROVEEDORES[[#This Row],[PROVEEDOR]],
                       Terceros!$A:$F,
                       5,
                       FALSE)</f>
        <v/>
      </c>
      <c r="G618" s="161">
        <v>44348</v>
      </c>
      <c r="H618" s="26" t="s">
        <v>679</v>
      </c>
      <c r="I618" s="161">
        <v>44230</v>
      </c>
      <c r="J618" s="35">
        <v>4689</v>
      </c>
      <c r="K618" s="21">
        <v>390000</v>
      </c>
      <c r="L618" s="21"/>
      <c r="M618" s="22">
        <f>(PROVEEDORES[[#This Row],[SUBTOTAL]]-PROVEEDORES[[#This Row],[descuento sobre subtotal]])*VLOOKUP(PROVEEDORES[[#This Row],[PROVEEDOR]],TERCEROS_INFO[#All],3,FALSE)</f>
        <v>0</v>
      </c>
      <c r="N618" s="23"/>
      <c r="O618" s="22">
        <f>+PROVEEDORES[[#This Row],[Descuento sobre subtotal %]]*(PROVEEDORES[[#This Row],[SUBTOTAL]]-PROVEEDORES[[#This Row],[descuento sobre subtotal]])</f>
        <v>0</v>
      </c>
      <c r="P618" s="83">
        <f>+IF(PROVEEDORES[[#This Row],[SUBTOTAL]]&lt;PROVEEDORES[[#This Row],[base retencion]],0,PROVEEDORES[[#This Row],[retención aplicada]])</f>
        <v>0</v>
      </c>
      <c r="Q618" s="22">
        <f>+PROVEEDORES[[#This Row],[Rete Fuente %]]*(PROVEEDORES[[#This Row],[SUBTOTAL]]-PROVEEDORES[[#This Row],[descuento sobre subtotal]])</f>
        <v>0</v>
      </c>
      <c r="R618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6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68">
        <f ca="1">IF(PROVEEDORES[[#This Row],[FECHA DE PAGO]]=0,TODAY()-PROVEEDORES[[#This Row],[FECHA DE FACTURACIÓN]]-PROVEEDORES[[#This Row],[PLAZO Días]],0)</f>
        <v>0</v>
      </c>
      <c r="U618" s="96">
        <f>+VLOOKUP(PROVEEDORES[[#This Row],[PROVEEDOR]],Terceros!$A:$D,4,FALSE)</f>
        <v>0</v>
      </c>
      <c r="V618" s="97">
        <f>+YEAR(PROVEEDORES[[#This Row],[FECHA DE FACTURACIÓN]])</f>
        <v>2021</v>
      </c>
      <c r="W618" s="97">
        <f>+MATCH(PROVEEDORES[[#This Row],[año facturado]],Retenciones!$1:$1,0)</f>
        <v>4</v>
      </c>
      <c r="X618" s="98">
        <f>+VLOOKUP(PROVEEDORES[[#This Row],[ID RETENCION]],Retenciones!$A$1:$O$25,PROVEEDORES[[#This Row],[indicador de columna]],FALSE)</f>
        <v>0</v>
      </c>
      <c r="Y618" s="99">
        <f>+VLOOKUP(PROVEEDORES[[#This Row],[ID RETENCION]],Retenciones!$A$1:$O$25,2,FALSE)</f>
        <v>0</v>
      </c>
      <c r="Z618" s="125" t="b">
        <f>OR(COUNTIF(PROVEEDORES[[#This Row],[PROVEEDOR]],"*"&amp;'Palabra no opera'!$A$2&amp;"*"))</f>
        <v>0</v>
      </c>
      <c r="AA618" s="24"/>
      <c r="AB618" s="24"/>
      <c r="AC618" s="24"/>
      <c r="AD618" s="24"/>
      <c r="AE618" s="24"/>
    </row>
    <row r="619" spans="1:31" ht="22.2" customHeight="1" x14ac:dyDescent="0.3">
      <c r="A619" s="123" t="str">
        <f>+IF(PROVEEDORES[[#This Row],[FECHA DE PAGO]]=PROVEEDORES[[#This Row],[FECHA DE FACTURACIÓN]],"DE CONTADO","CRÉDITO")</f>
        <v>CRÉDITO</v>
      </c>
      <c r="B619" s="38" t="b">
        <f>+IF((PROVEEDORES[[#This Row],[FECHA DE PAGO]]-PROVEEDORES[[#This Row],[FECHA DE FACTURACIÓN]])&gt;PROVEEDORES[[#This Row],[PLAZO Días]],"PAGO VENCIDO")</f>
        <v>0</v>
      </c>
      <c r="C619" s="20">
        <f>+VLOOKUP(PROVEEDORES[[#This Row],[PROVEEDOR]],TERCEROS_INFO[#All],2,FALSE)</f>
        <v>30</v>
      </c>
      <c r="D619" s="25">
        <f>+SUMIFS(PROVEEDORES[Total],PROVEEDORES[PROVEEDOR],PROVEEDORES[[#This Row],[PROVEEDOR]],PROVEEDORES[FECHA DE PAGO],"")</f>
        <v>0</v>
      </c>
      <c r="E619" s="25"/>
      <c r="F619" s="58">
        <f>+VLOOKUP(PROVEEDORES[[#This Row],[PROVEEDOR]],
                       Terceros!$A:$F,
                       5,
                       FALSE)</f>
        <v>0</v>
      </c>
      <c r="G619" s="161">
        <v>44684</v>
      </c>
      <c r="H619" s="26" t="s">
        <v>700</v>
      </c>
      <c r="I619" s="161">
        <v>44707</v>
      </c>
      <c r="J619" s="35" t="s">
        <v>1606</v>
      </c>
      <c r="K619" s="21">
        <v>390000</v>
      </c>
      <c r="L619" s="21"/>
      <c r="M619" s="22">
        <f>(PROVEEDORES[[#This Row],[SUBTOTAL]]-PROVEEDORES[[#This Row],[descuento sobre subtotal]])*VLOOKUP(PROVEEDORES[[#This Row],[PROVEEDOR]],TERCEROS_INFO[#All],3,FALSE)</f>
        <v>0</v>
      </c>
      <c r="N619" s="23"/>
      <c r="O619" s="22">
        <f>+PROVEEDORES[[#This Row],[Descuento sobre subtotal %]]*(PROVEEDORES[[#This Row],[SUBTOTAL]]-PROVEEDORES[[#This Row],[descuento sobre subtotal]])</f>
        <v>0</v>
      </c>
      <c r="P619" s="83">
        <f>+IF(PROVEEDORES[[#This Row],[SUBTOTAL]]&lt;PROVEEDORES[[#This Row],[base retencion]],0,PROVEEDORES[[#This Row],[retención aplicada]])</f>
        <v>0</v>
      </c>
      <c r="Q619" s="22">
        <f>+PROVEEDORES[[#This Row],[Rete Fuente %]]*(PROVEEDORES[[#This Row],[SUBTOTAL]]-PROVEEDORES[[#This Row],[descuento sobre subtotal]])</f>
        <v>0</v>
      </c>
      <c r="R619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619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68">
        <f ca="1">IF(PROVEEDORES[[#This Row],[FECHA DE PAGO]]=0,TODAY()-PROVEEDORES[[#This Row],[FECHA DE FACTURACIÓN]]-PROVEEDORES[[#This Row],[PLAZO Días]],0)</f>
        <v>0</v>
      </c>
      <c r="U619" s="113">
        <f>+VLOOKUP(PROVEEDORES[[#This Row],[PROVEEDOR]],Terceros!$A:$D,4,FALSE)</f>
        <v>0</v>
      </c>
      <c r="V619" s="114">
        <f>+YEAR(PROVEEDORES[[#This Row],[FECHA DE FACTURACIÓN]])</f>
        <v>2022</v>
      </c>
      <c r="W619" s="114">
        <f>+MATCH(PROVEEDORES[[#This Row],[año facturado]],Retenciones!$1:$1,0)</f>
        <v>5</v>
      </c>
      <c r="X619" s="115">
        <f>+VLOOKUP(PROVEEDORES[[#This Row],[ID RETENCION]],Retenciones!$A$1:$O$25,PROVEEDORES[[#This Row],[indicador de columna]],FALSE)</f>
        <v>0</v>
      </c>
      <c r="Y619" s="116">
        <f>+VLOOKUP(PROVEEDORES[[#This Row],[ID RETENCION]],Retenciones!$A$1:$O$25,2,FALSE)</f>
        <v>0</v>
      </c>
      <c r="Z619" s="125" t="b">
        <f>OR(COUNTIF(PROVEEDORES[[#This Row],[PROVEEDOR]],"*"&amp;'Palabra no opera'!$A$2&amp;"*"))</f>
        <v>0</v>
      </c>
      <c r="AA619" s="24"/>
      <c r="AB619" s="24"/>
      <c r="AC619" s="24"/>
      <c r="AD619" s="24"/>
      <c r="AE619" s="24"/>
    </row>
    <row r="620" spans="1:31" ht="22.2" customHeight="1" x14ac:dyDescent="0.3">
      <c r="A620" s="66" t="str">
        <f>+IF(PROVEEDORES[[#This Row],[FECHA DE PAGO]]=PROVEEDORES[[#This Row],[FECHA DE FACTURACIÓN]],"DE CONTADO","CRÉDITO")</f>
        <v>CRÉDITO</v>
      </c>
      <c r="B620" s="38" t="b">
        <f>+IF((PROVEEDORES[[#This Row],[FECHA DE PAGO]]-PROVEEDORES[[#This Row],[FECHA DE FACTURACIÓN]])&gt;PROVEEDORES[[#This Row],[PLAZO Días]],"PAGO VENCIDO")</f>
        <v>0</v>
      </c>
      <c r="C620" s="20">
        <f>+VLOOKUP(PROVEEDORES[[#This Row],[PROVEEDOR]],TERCEROS_INFO[#All],2,FALSE)</f>
        <v>30</v>
      </c>
      <c r="D620" s="25">
        <f>+SUMIFS(PROVEEDORES[Total],PROVEEDORES[PROVEEDOR],PROVEEDORES[[#This Row],[PROVEEDOR]],PROVEEDORES[FECHA DE PAGO],"")</f>
        <v>0</v>
      </c>
      <c r="E620" s="25"/>
      <c r="F62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20" s="161">
        <v>44279</v>
      </c>
      <c r="H620" s="26" t="s">
        <v>1451</v>
      </c>
      <c r="I620" s="161">
        <v>44273</v>
      </c>
      <c r="J620" s="35">
        <v>78</v>
      </c>
      <c r="K620" s="21">
        <v>396000</v>
      </c>
      <c r="L620" s="21"/>
      <c r="M620" s="22">
        <f>(PROVEEDORES[[#This Row],[SUBTOTAL]]-PROVEEDORES[[#This Row],[descuento sobre subtotal]])*VLOOKUP(PROVEEDORES[[#This Row],[PROVEEDOR]],TERCEROS_INFO[#All],3,FALSE)</f>
        <v>0</v>
      </c>
      <c r="N620" s="23"/>
      <c r="O620" s="22">
        <f>+PROVEEDORES[[#This Row],[Descuento sobre subtotal %]]*(PROVEEDORES[[#This Row],[SUBTOTAL]]-PROVEEDORES[[#This Row],[descuento sobre subtotal]])</f>
        <v>0</v>
      </c>
      <c r="P620" s="83">
        <f>+IF(PROVEEDORES[[#This Row],[SUBTOTAL]]&lt;PROVEEDORES[[#This Row],[base retencion]],0,PROVEEDORES[[#This Row],[retención aplicada]])</f>
        <v>0.01</v>
      </c>
      <c r="Q620" s="22">
        <f>+PROVEEDORES[[#This Row],[Rete Fuente %]]*(PROVEEDORES[[#This Row],[SUBTOTAL]]-PROVEEDORES[[#This Row],[descuento sobre subtotal]])</f>
        <v>3960</v>
      </c>
      <c r="R620" s="21">
        <f>+PROVEEDORES[[#This Row],[SUBTOTAL]]+PROVEEDORES[[#This Row],[IVA 19%]]-PROVEEDORES[[#This Row],[descuento sobre subtotal]]-PROVEEDORES[[#This Row],[Descuento sobre subtotal $2]]-PROVEEDORES[[#This Row],[Rete Fuente $]]</f>
        <v>392040</v>
      </c>
      <c r="S6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68">
        <f ca="1">IF(PROVEEDORES[[#This Row],[FECHA DE PAGO]]=0,TODAY()-PROVEEDORES[[#This Row],[FECHA DE FACTURACIÓN]]-PROVEEDORES[[#This Row],[PLAZO Días]],0)</f>
        <v>0</v>
      </c>
      <c r="U620" s="96" t="str">
        <f>+VLOOKUP(PROVEEDORES[[#This Row],[PROVEEDOR]],Terceros!$A:$D,4,FALSE)</f>
        <v>1% con base</v>
      </c>
      <c r="V620" s="97">
        <f>+YEAR(PROVEEDORES[[#This Row],[FECHA DE FACTURACIÓN]])</f>
        <v>2021</v>
      </c>
      <c r="W620" s="97">
        <f>+MATCH(PROVEEDORES[[#This Row],[año facturado]],Retenciones!$1:$1,0)</f>
        <v>4</v>
      </c>
      <c r="X620" s="98">
        <f>+VLOOKUP(PROVEEDORES[[#This Row],[ID RETENCION]],Retenciones!$A$1:$O$25,PROVEEDORES[[#This Row],[indicador de columna]],FALSE)</f>
        <v>145000</v>
      </c>
      <c r="Y620" s="99">
        <f>+VLOOKUP(PROVEEDORES[[#This Row],[ID RETENCION]],Retenciones!$A$1:$O$25,2,FALSE)</f>
        <v>0.01</v>
      </c>
      <c r="Z620" s="125" t="b">
        <f>OR(COUNTIF(PROVEEDORES[[#This Row],[PROVEEDOR]],"*"&amp;'Palabra no opera'!$A$2&amp;"*"))</f>
        <v>0</v>
      </c>
      <c r="AA620" s="24"/>
      <c r="AB620" s="24"/>
      <c r="AC620" s="24"/>
      <c r="AD620" s="24"/>
      <c r="AE620" s="24"/>
    </row>
    <row r="621" spans="1:31" ht="22.2" customHeight="1" x14ac:dyDescent="0.3">
      <c r="A621" s="112" t="str">
        <f>+IF(PROVEEDORES[[#This Row],[FECHA DE PAGO]]=PROVEEDORES[[#This Row],[FECHA DE FACTURACIÓN]],"DE CONTADO","CRÉDITO")</f>
        <v>CRÉDITO</v>
      </c>
      <c r="B621" s="38" t="b">
        <f>+IF((PROVEEDORES[[#This Row],[FECHA DE PAGO]]-PROVEEDORES[[#This Row],[FECHA DE FACTURACIÓN]])&gt;PROVEEDORES[[#This Row],[PLAZO Días]],"PAGO VENCIDO")</f>
        <v>0</v>
      </c>
      <c r="C621" s="20">
        <f>+VLOOKUP(PROVEEDORES[[#This Row],[PROVEEDOR]],TERCEROS_INFO[#All],2,FALSE)</f>
        <v>30</v>
      </c>
      <c r="D621" s="25">
        <f>+SUMIFS(PROVEEDORES[Total],PROVEEDORES[PROVEEDOR],PROVEEDORES[[#This Row],[PROVEEDOR]],PROVEEDORES[FECHA DE PAGO],"")</f>
        <v>0</v>
      </c>
      <c r="E621" s="25"/>
      <c r="F62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21" s="161">
        <v>44685</v>
      </c>
      <c r="H621" s="26" t="s">
        <v>1451</v>
      </c>
      <c r="I621" s="161">
        <v>44668</v>
      </c>
      <c r="J621" s="35">
        <v>220</v>
      </c>
      <c r="K621" s="21">
        <v>399000</v>
      </c>
      <c r="L621" s="21"/>
      <c r="M621" s="22">
        <f>(PROVEEDORES[[#This Row],[SUBTOTAL]]-PROVEEDORES[[#This Row],[descuento sobre subtotal]])*VLOOKUP(PROVEEDORES[[#This Row],[PROVEEDOR]],TERCEROS_INFO[#All],3,FALSE)</f>
        <v>0</v>
      </c>
      <c r="N621" s="23"/>
      <c r="O621" s="22">
        <f>+PROVEEDORES[[#This Row],[Descuento sobre subtotal %]]*(PROVEEDORES[[#This Row],[SUBTOTAL]]-PROVEEDORES[[#This Row],[descuento sobre subtotal]])</f>
        <v>0</v>
      </c>
      <c r="P621" s="83">
        <f>+IF(PROVEEDORES[[#This Row],[SUBTOTAL]]&lt;PROVEEDORES[[#This Row],[base retencion]],0,PROVEEDORES[[#This Row],[retención aplicada]])</f>
        <v>0.01</v>
      </c>
      <c r="Q621" s="22">
        <f>+PROVEEDORES[[#This Row],[Rete Fuente %]]*(PROVEEDORES[[#This Row],[SUBTOTAL]]-PROVEEDORES[[#This Row],[descuento sobre subtotal]])</f>
        <v>3990</v>
      </c>
      <c r="R621" s="21">
        <f>+PROVEEDORES[[#This Row],[SUBTOTAL]]+PROVEEDORES[[#This Row],[IVA 19%]]-PROVEEDORES[[#This Row],[descuento sobre subtotal]]-PROVEEDORES[[#This Row],[Descuento sobre subtotal $2]]-PROVEEDORES[[#This Row],[Rete Fuente $]]</f>
        <v>395010</v>
      </c>
      <c r="S621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68">
        <f ca="1">IF(PROVEEDORES[[#This Row],[FECHA DE PAGO]]=0,TODAY()-PROVEEDORES[[#This Row],[FECHA DE FACTURACIÓN]]-PROVEEDORES[[#This Row],[PLAZO Días]],0)</f>
        <v>0</v>
      </c>
      <c r="U621" s="113" t="str">
        <f>+VLOOKUP(PROVEEDORES[[#This Row],[PROVEEDOR]],Terceros!$A:$D,4,FALSE)</f>
        <v>1% con base</v>
      </c>
      <c r="V621" s="114">
        <f>+YEAR(PROVEEDORES[[#This Row],[FECHA DE FACTURACIÓN]])</f>
        <v>2022</v>
      </c>
      <c r="W621" s="114">
        <f>+MATCH(PROVEEDORES[[#This Row],[año facturado]],Retenciones!$1:$1,0)</f>
        <v>5</v>
      </c>
      <c r="X621" s="115">
        <f>+VLOOKUP(PROVEEDORES[[#This Row],[ID RETENCION]],Retenciones!$A$1:$O$25,PROVEEDORES[[#This Row],[indicador de columna]],FALSE)</f>
        <v>152000</v>
      </c>
      <c r="Y621" s="116">
        <f>+VLOOKUP(PROVEEDORES[[#This Row],[ID RETENCION]],Retenciones!$A$1:$O$25,2,FALSE)</f>
        <v>0.01</v>
      </c>
      <c r="Z621" s="125" t="b">
        <f>OR(COUNTIF(PROVEEDORES[[#This Row],[PROVEEDOR]],"*"&amp;'Palabra no opera'!$A$2&amp;"*"))</f>
        <v>0</v>
      </c>
      <c r="AA621" s="24"/>
      <c r="AB621" s="24"/>
      <c r="AC621" s="24"/>
      <c r="AD621" s="24"/>
      <c r="AE621" s="24"/>
    </row>
    <row r="622" spans="1:31" ht="22.2" customHeight="1" x14ac:dyDescent="0.3">
      <c r="A622" s="112" t="str">
        <f>+IF(PROVEEDORES[[#This Row],[FECHA DE PAGO]]=PROVEEDORES[[#This Row],[FECHA DE FACTURACIÓN]],"DE CONTADO","CRÉDITO")</f>
        <v>CRÉDITO</v>
      </c>
      <c r="B622" s="38" t="b">
        <f>+IF((PROVEEDORES[[#This Row],[FECHA DE PAGO]]-PROVEEDORES[[#This Row],[FECHA DE FACTURACIÓN]])&gt;PROVEEDORES[[#This Row],[PLAZO Días]],"PAGO VENCIDO")</f>
        <v>0</v>
      </c>
      <c r="C622" s="20">
        <f>+VLOOKUP(PROVEEDORES[[#This Row],[PROVEEDOR]],TERCEROS_INFO[#All],2,FALSE)</f>
        <v>30</v>
      </c>
      <c r="D622" s="25">
        <f>+SUMIFS(PROVEEDORES[Total],PROVEEDORES[PROVEEDOR],PROVEEDORES[[#This Row],[PROVEEDOR]],PROVEEDORES[FECHA DE PAGO],"")</f>
        <v>0</v>
      </c>
      <c r="E622" s="25"/>
      <c r="F62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22" s="161">
        <v>44671</v>
      </c>
      <c r="H622" s="26" t="s">
        <v>1450</v>
      </c>
      <c r="I622" s="161">
        <v>44668</v>
      </c>
      <c r="J622" s="35"/>
      <c r="K622" s="21">
        <v>400000</v>
      </c>
      <c r="L622" s="21"/>
      <c r="M622" s="22">
        <f>(PROVEEDORES[[#This Row],[SUBTOTAL]]-PROVEEDORES[[#This Row],[descuento sobre subtotal]])*VLOOKUP(PROVEEDORES[[#This Row],[PROVEEDOR]],TERCEROS_INFO[#All],3,FALSE)</f>
        <v>0</v>
      </c>
      <c r="N622" s="23"/>
      <c r="O622" s="22">
        <f>+PROVEEDORES[[#This Row],[Descuento sobre subtotal %]]*(PROVEEDORES[[#This Row],[SUBTOTAL]]-PROVEEDORES[[#This Row],[descuento sobre subtotal]])</f>
        <v>0</v>
      </c>
      <c r="P622" s="83">
        <f>+IF(PROVEEDORES[[#This Row],[SUBTOTAL]]&lt;PROVEEDORES[[#This Row],[base retencion]],0,PROVEEDORES[[#This Row],[retención aplicada]])</f>
        <v>0</v>
      </c>
      <c r="Q622" s="22">
        <f>+PROVEEDORES[[#This Row],[Rete Fuente %]]*(PROVEEDORES[[#This Row],[SUBTOTAL]]-PROVEEDORES[[#This Row],[descuento sobre subtotal]])</f>
        <v>0</v>
      </c>
      <c r="R622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622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68">
        <f ca="1">IF(PROVEEDORES[[#This Row],[FECHA DE PAGO]]=0,TODAY()-PROVEEDORES[[#This Row],[FECHA DE FACTURACIÓN]]-PROVEEDORES[[#This Row],[PLAZO Días]],0)</f>
        <v>0</v>
      </c>
      <c r="U622" s="113">
        <f>+VLOOKUP(PROVEEDORES[[#This Row],[PROVEEDOR]],Terceros!$A:$D,4,FALSE)</f>
        <v>0</v>
      </c>
      <c r="V622" s="114">
        <f>+YEAR(PROVEEDORES[[#This Row],[FECHA DE FACTURACIÓN]])</f>
        <v>2022</v>
      </c>
      <c r="W622" s="114">
        <f>+MATCH(PROVEEDORES[[#This Row],[año facturado]],Retenciones!$1:$1,0)</f>
        <v>5</v>
      </c>
      <c r="X622" s="115">
        <f>+VLOOKUP(PROVEEDORES[[#This Row],[ID RETENCION]],Retenciones!$A$1:$O$25,PROVEEDORES[[#This Row],[indicador de columna]],FALSE)</f>
        <v>0</v>
      </c>
      <c r="Y622" s="116">
        <f>+VLOOKUP(PROVEEDORES[[#This Row],[ID RETENCION]],Retenciones!$A$1:$O$25,2,FALSE)</f>
        <v>0</v>
      </c>
      <c r="Z622" s="125" t="b">
        <f>OR(COUNTIF(PROVEEDORES[[#This Row],[PROVEEDOR]],"*"&amp;'Palabra no opera'!$A$2&amp;"*"))</f>
        <v>0</v>
      </c>
      <c r="AA622" s="24"/>
      <c r="AB622" s="24"/>
      <c r="AC622" s="24"/>
      <c r="AD622" s="24"/>
      <c r="AE622" s="24"/>
    </row>
    <row r="623" spans="1:31" ht="22.2" customHeight="1" x14ac:dyDescent="0.3">
      <c r="A623" s="72" t="str">
        <f>+IF(PROVEEDORES[[#This Row],[FECHA DE PAGO]]=PROVEEDORES[[#This Row],[FECHA DE FACTURACIÓN]],"DE CONTADO","CRÉDITO")</f>
        <v>CRÉDITO</v>
      </c>
      <c r="B623" s="38" t="b">
        <f>+IF((PROVEEDORES[[#This Row],[FECHA DE PAGO]]-PROVEEDORES[[#This Row],[FECHA DE FACTURACIÓN]])&gt;PROVEEDORES[[#This Row],[PLAZO Días]],"PAGO VENCIDO")</f>
        <v>0</v>
      </c>
      <c r="C623" s="20">
        <f>+VLOOKUP(PROVEEDORES[[#This Row],[PROVEEDOR]],TERCEROS_INFO[#All],2,FALSE)</f>
        <v>30</v>
      </c>
      <c r="D623" s="25">
        <f>+SUMIFS(PROVEEDORES[Total],PROVEEDORES[PROVEEDOR],PROVEEDORES[[#This Row],[PROVEEDOR]],PROVEEDORES[FECHA DE PAGO],"")</f>
        <v>401799.93</v>
      </c>
      <c r="E623" s="25"/>
      <c r="F623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H623" s="26" t="s">
        <v>508</v>
      </c>
      <c r="I623" s="161">
        <v>44865</v>
      </c>
      <c r="J623" s="35" t="s">
        <v>1814</v>
      </c>
      <c r="K623" s="21">
        <v>337647</v>
      </c>
      <c r="L623" s="21"/>
      <c r="M623" s="22">
        <f>(PROVEEDORES[[#This Row],[SUBTOTAL]]-PROVEEDORES[[#This Row],[descuento sobre subtotal]])*VLOOKUP(PROVEEDORES[[#This Row],[PROVEEDOR]],TERCEROS_INFO[#All],3,FALSE)</f>
        <v>64152.93</v>
      </c>
      <c r="N623" s="23"/>
      <c r="O623" s="22">
        <f>+PROVEEDORES[[#This Row],[Descuento sobre subtotal %]]*(PROVEEDORES[[#This Row],[SUBTOTAL]]-PROVEEDORES[[#This Row],[descuento sobre subtotal]])</f>
        <v>0</v>
      </c>
      <c r="P623" s="83">
        <f>+IF(PROVEEDORES[[#This Row],[SUBTOTAL]]&lt;PROVEEDORES[[#This Row],[base retencion]],0,PROVEEDORES[[#This Row],[retención aplicada]])</f>
        <v>0</v>
      </c>
      <c r="Q623" s="22">
        <f>+PROVEEDORES[[#This Row],[Rete Fuente %]]*(PROVEEDORES[[#This Row],[SUBTOTAL]]-PROVEEDORES[[#This Row],[descuento sobre subtotal]])</f>
        <v>0</v>
      </c>
      <c r="R623" s="21">
        <f>+PROVEEDORES[[#This Row],[SUBTOTAL]]+PROVEEDORES[[#This Row],[IVA 19%]]-PROVEEDORES[[#This Row],[descuento sobre subtotal]]-PROVEEDORES[[#This Row],[Descuento sobre subtotal $2]]-PROVEEDORES[[#This Row],[Rete Fuente $]]</f>
        <v>401799.93</v>
      </c>
      <c r="S623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623" s="68">
        <f ca="1">IF(PROVEEDORES[[#This Row],[FECHA DE PAGO]]=0,TODAY()-PROVEEDORES[[#This Row],[FECHA DE FACTURACIÓN]]-PROVEEDORES[[#This Row],[PLAZO Días]],0)</f>
        <v>-20</v>
      </c>
      <c r="U623" s="113" t="str">
        <f>+VLOOKUP(PROVEEDORES[[#This Row],[PROVEEDOR]],Terceros!$A:$D,4,FALSE)</f>
        <v>2,5% con base</v>
      </c>
      <c r="V623" s="114">
        <f>+YEAR(PROVEEDORES[[#This Row],[FECHA DE FACTURACIÓN]])</f>
        <v>2022</v>
      </c>
      <c r="W623" s="114">
        <f>+MATCH(PROVEEDORES[[#This Row],[año facturado]],Retenciones!$1:$1,0)</f>
        <v>5</v>
      </c>
      <c r="X623" s="115">
        <f>+VLOOKUP(PROVEEDORES[[#This Row],[ID RETENCION]],Retenciones!$A$1:$O$25,PROVEEDORES[[#This Row],[indicador de columna]],FALSE)</f>
        <v>1026000</v>
      </c>
      <c r="Y623" s="116">
        <f>+VLOOKUP(PROVEEDORES[[#This Row],[ID RETENCION]],Retenciones!$A$1:$O$25,2,FALSE)</f>
        <v>2.5000000000000001E-2</v>
      </c>
      <c r="Z623" s="125" t="b">
        <f>OR(COUNTIF(PROVEEDORES[[#This Row],[PROVEEDOR]],"*"&amp;'Palabra no opera'!$A$2&amp;"*"))</f>
        <v>0</v>
      </c>
      <c r="AA623" s="24"/>
      <c r="AB623" s="24"/>
      <c r="AC623" s="24"/>
      <c r="AD623" s="24"/>
      <c r="AE623" s="24"/>
    </row>
    <row r="624" spans="1:31" ht="22.2" customHeight="1" x14ac:dyDescent="0.3">
      <c r="A624" s="257" t="str">
        <f>+IF(PROVEEDORES[[#This Row],[FECHA DE PAGO]]=PROVEEDORES[[#This Row],[FECHA DE FACTURACIÓN]],"DE CONTADO","CRÉDITO")</f>
        <v>CRÉDITO</v>
      </c>
      <c r="B624" s="38" t="b">
        <f>+IF((PROVEEDORES[[#This Row],[FECHA DE PAGO]]-PROVEEDORES[[#This Row],[FECHA DE FACTURACIÓN]])&gt;PROVEEDORES[[#This Row],[PLAZO Días]],"PAGO VENCIDO")</f>
        <v>0</v>
      </c>
      <c r="C624" s="20">
        <f>+VLOOKUP(PROVEEDORES[[#This Row],[PROVEEDOR]],TERCEROS_INFO[#All],2,FALSE)</f>
        <v>30</v>
      </c>
      <c r="D624" s="25">
        <f>+SUMIFS(PROVEEDORES[Total],PROVEEDORES[PROVEEDOR],PROVEEDORES[[#This Row],[PROVEEDOR]],PROVEEDORES[FECHA DE PAGO],"")</f>
        <v>0</v>
      </c>
      <c r="E624" s="25"/>
      <c r="F624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624" s="161">
        <v>44838</v>
      </c>
      <c r="H624" s="26" t="s">
        <v>39</v>
      </c>
      <c r="I624" s="161">
        <v>44827</v>
      </c>
      <c r="J624" s="35" t="s">
        <v>1712</v>
      </c>
      <c r="K624" s="21">
        <v>338160</v>
      </c>
      <c r="L624" s="21"/>
      <c r="M624" s="22">
        <f>(PROVEEDORES[[#This Row],[SUBTOTAL]]-PROVEEDORES[[#This Row],[descuento sobre subtotal]])*VLOOKUP(PROVEEDORES[[#This Row],[PROVEEDOR]],TERCEROS_INFO[#All],3,FALSE)</f>
        <v>64250.400000000001</v>
      </c>
      <c r="N624" s="23"/>
      <c r="O624" s="22">
        <f>+PROVEEDORES[[#This Row],[Descuento sobre subtotal %]]*(PROVEEDORES[[#This Row],[SUBTOTAL]]-PROVEEDORES[[#This Row],[descuento sobre subtotal]])</f>
        <v>0</v>
      </c>
      <c r="P624" s="83">
        <f>+IF(PROVEEDORES[[#This Row],[SUBTOTAL]]&lt;PROVEEDORES[[#This Row],[base retencion]],0,PROVEEDORES[[#This Row],[retención aplicada]])</f>
        <v>0</v>
      </c>
      <c r="Q624" s="22">
        <f>+PROVEEDORES[[#This Row],[Rete Fuente %]]*(PROVEEDORES[[#This Row],[SUBTOTAL]]-PROVEEDORES[[#This Row],[descuento sobre subtotal]])</f>
        <v>0</v>
      </c>
      <c r="R624" s="21">
        <f>+PROVEEDORES[[#This Row],[SUBTOTAL]]+PROVEEDORES[[#This Row],[IVA 19%]]-PROVEEDORES[[#This Row],[descuento sobre subtotal]]-PROVEEDORES[[#This Row],[Descuento sobre subtotal $2]]-PROVEEDORES[[#This Row],[Rete Fuente $]]</f>
        <v>402410.4</v>
      </c>
      <c r="S624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68">
        <f ca="1">IF(PROVEEDORES[[#This Row],[FECHA DE PAGO]]=0,TODAY()-PROVEEDORES[[#This Row],[FECHA DE FACTURACIÓN]]-PROVEEDORES[[#This Row],[PLAZO Días]],0)</f>
        <v>0</v>
      </c>
      <c r="U624" s="113" t="str">
        <f>+VLOOKUP(PROVEEDORES[[#This Row],[PROVEEDOR]],Terceros!$A:$D,4,FALSE)</f>
        <v>2,5% con base</v>
      </c>
      <c r="V624" s="114">
        <f>+YEAR(PROVEEDORES[[#This Row],[FECHA DE FACTURACIÓN]])</f>
        <v>2022</v>
      </c>
      <c r="W624" s="114">
        <f>+MATCH(PROVEEDORES[[#This Row],[año facturado]],Retenciones!$1:$1,0)</f>
        <v>5</v>
      </c>
      <c r="X624" s="115">
        <f>+VLOOKUP(PROVEEDORES[[#This Row],[ID RETENCION]],Retenciones!$A$1:$O$25,PROVEEDORES[[#This Row],[indicador de columna]],FALSE)</f>
        <v>1026000</v>
      </c>
      <c r="Y624" s="116">
        <f>+VLOOKUP(PROVEEDORES[[#This Row],[ID RETENCION]],Retenciones!$A$1:$O$25,2,FALSE)</f>
        <v>2.5000000000000001E-2</v>
      </c>
      <c r="Z624" s="125" t="b">
        <f>OR(COUNTIF(PROVEEDORES[[#This Row],[PROVEEDOR]],"*"&amp;'Palabra no opera'!$A$2&amp;"*"))</f>
        <v>0</v>
      </c>
      <c r="AA624" s="24"/>
      <c r="AB624" s="24"/>
      <c r="AC624" s="24"/>
      <c r="AD624" s="24"/>
      <c r="AE624" s="24"/>
    </row>
    <row r="625" spans="1:31" ht="22.2" customHeight="1" x14ac:dyDescent="0.3">
      <c r="A625" s="66" t="str">
        <f>+IF(PROVEEDORES[[#This Row],[FECHA DE PAGO]]=PROVEEDORES[[#This Row],[FECHA DE FACTURACIÓN]],"DE CONTADO","CRÉDITO")</f>
        <v>CRÉDITO</v>
      </c>
      <c r="B625" s="38" t="b">
        <f>+IF((PROVEEDORES[[#This Row],[FECHA DE PAGO]]-PROVEEDORES[[#This Row],[FECHA DE FACTURACIÓN]])&gt;PROVEEDORES[[#This Row],[PLAZO Días]],"PAGO VENCIDO")</f>
        <v>0</v>
      </c>
      <c r="C625" s="20">
        <f>+VLOOKUP(PROVEEDORES[[#This Row],[PROVEEDOR]],TERCEROS_INFO[#All],2,FALSE)</f>
        <v>30</v>
      </c>
      <c r="D625" s="25">
        <f>+SUMIFS(PROVEEDORES[Total],PROVEEDORES[PROVEEDOR],PROVEEDORES[[#This Row],[PROVEEDOR]],PROVEEDORES[FECHA DE PAGO],"")</f>
        <v>0</v>
      </c>
      <c r="E625" s="25"/>
      <c r="F625" s="58" t="str">
        <f>+VLOOKUP(PROVEEDORES[[#This Row],[PROVEEDOR]],
                       Terceros!$A:$F,
                       5,
                       FALSE)</f>
        <v>PSE</v>
      </c>
      <c r="G625" s="161">
        <v>44225</v>
      </c>
      <c r="H625" s="26" t="s">
        <v>933</v>
      </c>
      <c r="I625" s="161">
        <v>44197</v>
      </c>
      <c r="J625" s="35"/>
      <c r="K625" s="21">
        <v>340400</v>
      </c>
      <c r="L625" s="21"/>
      <c r="M625" s="22">
        <f>(PROVEEDORES[[#This Row],[SUBTOTAL]]-PROVEEDORES[[#This Row],[descuento sobre subtotal]])*VLOOKUP(PROVEEDORES[[#This Row],[PROVEEDOR]],TERCEROS_INFO[#All],3,FALSE)</f>
        <v>64676</v>
      </c>
      <c r="N625" s="23"/>
      <c r="O625" s="22">
        <f>+PROVEEDORES[[#This Row],[Descuento sobre subtotal %]]*(PROVEEDORES[[#This Row],[SUBTOTAL]]-PROVEEDORES[[#This Row],[descuento sobre subtotal]])</f>
        <v>0</v>
      </c>
      <c r="P625" s="83">
        <f>+IF(PROVEEDORES[[#This Row],[SUBTOTAL]]&lt;PROVEEDORES[[#This Row],[base retencion]],0,PROVEEDORES[[#This Row],[retención aplicada]])</f>
        <v>0</v>
      </c>
      <c r="Q625" s="22">
        <f>+PROVEEDORES[[#This Row],[Rete Fuente %]]*(PROVEEDORES[[#This Row],[SUBTOTAL]]-PROVEEDORES[[#This Row],[descuento sobre subtotal]])</f>
        <v>0</v>
      </c>
      <c r="R625" s="21">
        <f>+PROVEEDORES[[#This Row],[SUBTOTAL]]+PROVEEDORES[[#This Row],[IVA 19%]]-PROVEEDORES[[#This Row],[descuento sobre subtotal]]-PROVEEDORES[[#This Row],[Descuento sobre subtotal $2]]-PROVEEDORES[[#This Row],[Rete Fuente $]]</f>
        <v>405076</v>
      </c>
      <c r="S6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68">
        <f ca="1">IF(PROVEEDORES[[#This Row],[FECHA DE PAGO]]=0,TODAY()-PROVEEDORES[[#This Row],[FECHA DE FACTURACIÓN]]-PROVEEDORES[[#This Row],[PLAZO Días]],0)</f>
        <v>0</v>
      </c>
      <c r="U625" s="96">
        <f>+VLOOKUP(PROVEEDORES[[#This Row],[PROVEEDOR]],Terceros!$A:$D,4,FALSE)</f>
        <v>0</v>
      </c>
      <c r="V625" s="97">
        <f>+YEAR(PROVEEDORES[[#This Row],[FECHA DE FACTURACIÓN]])</f>
        <v>2021</v>
      </c>
      <c r="W625" s="97">
        <f>+MATCH(PROVEEDORES[[#This Row],[año facturado]],Retenciones!$1:$1,0)</f>
        <v>4</v>
      </c>
      <c r="X625" s="98">
        <f>+VLOOKUP(PROVEEDORES[[#This Row],[ID RETENCION]],Retenciones!$A$1:$O$25,PROVEEDORES[[#This Row],[indicador de columna]],FALSE)</f>
        <v>0</v>
      </c>
      <c r="Y625" s="99">
        <f>+VLOOKUP(PROVEEDORES[[#This Row],[ID RETENCION]],Retenciones!$A$1:$O$25,2,FALSE)</f>
        <v>0</v>
      </c>
      <c r="Z625" s="125" t="b">
        <f>OR(COUNTIF(PROVEEDORES[[#This Row],[PROVEEDOR]],"*"&amp;'Palabra no opera'!$A$2&amp;"*"))</f>
        <v>1</v>
      </c>
      <c r="AA625" s="24"/>
      <c r="AB625" s="24"/>
      <c r="AC625" s="24"/>
      <c r="AD625" s="24"/>
      <c r="AE625" s="24"/>
    </row>
    <row r="626" spans="1:31" ht="22.2" customHeight="1" x14ac:dyDescent="0.3">
      <c r="A626" s="66" t="str">
        <f>+IF(PROVEEDORES[[#This Row],[FECHA DE PAGO]]=PROVEEDORES[[#This Row],[FECHA DE FACTURACIÓN]],"DE CONTADO","CRÉDITO")</f>
        <v>CRÉDITO</v>
      </c>
      <c r="B626" s="38" t="b">
        <f>+IF((PROVEEDORES[[#This Row],[FECHA DE PAGO]]-PROVEEDORES[[#This Row],[FECHA DE FACTURACIÓN]])&gt;PROVEEDORES[[#This Row],[PLAZO Días]],"PAGO VENCIDO")</f>
        <v>0</v>
      </c>
      <c r="C626" s="20">
        <f>+VLOOKUP(PROVEEDORES[[#This Row],[PROVEEDOR]],TERCEROS_INFO[#All],2,FALSE)</f>
        <v>30</v>
      </c>
      <c r="D626" s="25">
        <f>+SUMIFS(PROVEEDORES[Total],PROVEEDORES[PROVEEDOR],PROVEEDORES[[#This Row],[PROVEEDOR]],PROVEEDORES[FECHA DE PAGO],"")</f>
        <v>0</v>
      </c>
      <c r="E626" s="25"/>
      <c r="F626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626" s="161">
        <v>44204</v>
      </c>
      <c r="H626" s="26" t="s">
        <v>137</v>
      </c>
      <c r="I626" s="161">
        <v>44200</v>
      </c>
      <c r="J626" s="35">
        <v>9660</v>
      </c>
      <c r="K626" s="21">
        <v>406800</v>
      </c>
      <c r="L626" s="21"/>
      <c r="M626" s="22">
        <f>(PROVEEDORES[[#This Row],[SUBTOTAL]]-PROVEEDORES[[#This Row],[descuento sobre subtotal]])*VLOOKUP(PROVEEDORES[[#This Row],[PROVEEDOR]],TERCEROS_INFO[#All],3,FALSE)</f>
        <v>0</v>
      </c>
      <c r="N626" s="23"/>
      <c r="O626" s="22">
        <f>+PROVEEDORES[[#This Row],[Descuento sobre subtotal %]]*(PROVEEDORES[[#This Row],[SUBTOTAL]]-PROVEEDORES[[#This Row],[descuento sobre subtotal]])</f>
        <v>0</v>
      </c>
      <c r="P626" s="83">
        <f>+IF(PROVEEDORES[[#This Row],[SUBTOTAL]]&lt;PROVEEDORES[[#This Row],[base retencion]],0,PROVEEDORES[[#This Row],[retención aplicada]])</f>
        <v>0</v>
      </c>
      <c r="Q626" s="22">
        <f>+PROVEEDORES[[#This Row],[Rete Fuente %]]*(PROVEEDORES[[#This Row],[SUBTOTAL]]-PROVEEDORES[[#This Row],[descuento sobre subtotal]])</f>
        <v>0</v>
      </c>
      <c r="R626" s="21">
        <f>+PROVEEDORES[[#This Row],[SUBTOTAL]]+PROVEEDORES[[#This Row],[IVA 19%]]-PROVEEDORES[[#This Row],[descuento sobre subtotal]]-PROVEEDORES[[#This Row],[Descuento sobre subtotal $2]]-PROVEEDORES[[#This Row],[Rete Fuente $]]</f>
        <v>406800</v>
      </c>
      <c r="S6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68">
        <f ca="1">IF(PROVEEDORES[[#This Row],[FECHA DE PAGO]]=0,TODAY()-PROVEEDORES[[#This Row],[FECHA DE FACTURACIÓN]]-PROVEEDORES[[#This Row],[PLAZO Días]],0)</f>
        <v>0</v>
      </c>
      <c r="U626" s="96">
        <f>+VLOOKUP(PROVEEDORES[[#This Row],[PROVEEDOR]],Terceros!$A:$D,4,FALSE)</f>
        <v>0</v>
      </c>
      <c r="V626" s="97">
        <f>+YEAR(PROVEEDORES[[#This Row],[FECHA DE FACTURACIÓN]])</f>
        <v>2021</v>
      </c>
      <c r="W626" s="97">
        <f>+MATCH(PROVEEDORES[[#This Row],[año facturado]],Retenciones!$1:$1,0)</f>
        <v>4</v>
      </c>
      <c r="X626" s="98">
        <f>+VLOOKUP(PROVEEDORES[[#This Row],[ID RETENCION]],Retenciones!$A$1:$O$25,PROVEEDORES[[#This Row],[indicador de columna]],FALSE)</f>
        <v>0</v>
      </c>
      <c r="Y626" s="99">
        <f>+VLOOKUP(PROVEEDORES[[#This Row],[ID RETENCION]],Retenciones!$A$1:$O$25,2,FALSE)</f>
        <v>0</v>
      </c>
      <c r="Z626" s="125" t="b">
        <f>OR(COUNTIF(PROVEEDORES[[#This Row],[PROVEEDOR]],"*"&amp;'Palabra no opera'!$A$2&amp;"*"))</f>
        <v>0</v>
      </c>
      <c r="AA626" s="24"/>
      <c r="AB626" s="24"/>
      <c r="AC626" s="24"/>
      <c r="AD626" s="24"/>
      <c r="AE626" s="24"/>
    </row>
    <row r="627" spans="1:31" ht="22.2" customHeight="1" x14ac:dyDescent="0.3">
      <c r="A627" s="66" t="str">
        <f>+IF(PROVEEDORES[[#This Row],[FECHA DE PAGO]]=PROVEEDORES[[#This Row],[FECHA DE FACTURACIÓN]],"DE CONTADO","CRÉDITO")</f>
        <v>DE CONTADO</v>
      </c>
      <c r="B627" s="38" t="b">
        <f>+IF((PROVEEDORES[[#This Row],[FECHA DE PAGO]]-PROVEEDORES[[#This Row],[FECHA DE FACTURACIÓN]])&gt;PROVEEDORES[[#This Row],[PLAZO Días]],"PAGO VENCIDO")</f>
        <v>0</v>
      </c>
      <c r="C627" s="20">
        <f>+VLOOKUP(PROVEEDORES[[#This Row],[PROVEEDOR]],TERCEROS_INFO[#All],2,FALSE)</f>
        <v>30</v>
      </c>
      <c r="D627" s="25">
        <f>+SUMIFS(PROVEEDORES[Total],PROVEEDORES[PROVEEDOR],PROVEEDORES[[#This Row],[PROVEEDOR]],PROVEEDORES[FECHA DE PAGO],"")</f>
        <v>0</v>
      </c>
      <c r="E627" s="25"/>
      <c r="F627" s="58" t="str">
        <f>+VLOOKUP(PROVEEDORES[[#This Row],[PROVEEDOR]],
                       Terceros!$A:$F,
                       5,
                       FALSE)</f>
        <v/>
      </c>
      <c r="G627" s="161">
        <v>44363</v>
      </c>
      <c r="H627" s="26" t="s">
        <v>37</v>
      </c>
      <c r="I627" s="161">
        <v>44363</v>
      </c>
      <c r="J627" s="35">
        <v>4678</v>
      </c>
      <c r="K627" s="21">
        <v>344000</v>
      </c>
      <c r="L627" s="21"/>
      <c r="M627" s="22">
        <f>(PROVEEDORES[[#This Row],[SUBTOTAL]]-PROVEEDORES[[#This Row],[descuento sobre subtotal]])*VLOOKUP(PROVEEDORES[[#This Row],[PROVEEDOR]],TERCEROS_INFO[#All],3,FALSE)</f>
        <v>65360</v>
      </c>
      <c r="N627" s="23"/>
      <c r="O627" s="22">
        <f>+PROVEEDORES[[#This Row],[Descuento sobre subtotal %]]*(PROVEEDORES[[#This Row],[SUBTOTAL]]-PROVEEDORES[[#This Row],[descuento sobre subtotal]])</f>
        <v>0</v>
      </c>
      <c r="P627" s="83">
        <f>+IF(PROVEEDORES[[#This Row],[SUBTOTAL]]&lt;PROVEEDORES[[#This Row],[base retencion]],0,PROVEEDORES[[#This Row],[retención aplicada]])</f>
        <v>0</v>
      </c>
      <c r="Q627" s="22">
        <f>+PROVEEDORES[[#This Row],[Rete Fuente %]]*(PROVEEDORES[[#This Row],[SUBTOTAL]]-PROVEEDORES[[#This Row],[descuento sobre subtotal]])</f>
        <v>0</v>
      </c>
      <c r="R627" s="21">
        <f>+PROVEEDORES[[#This Row],[SUBTOTAL]]+PROVEEDORES[[#This Row],[IVA 19%]]-PROVEEDORES[[#This Row],[descuento sobre subtotal]]-PROVEEDORES[[#This Row],[Descuento sobre subtotal $2]]-PROVEEDORES[[#This Row],[Rete Fuente $]]</f>
        <v>409360</v>
      </c>
      <c r="S6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68">
        <f ca="1">IF(PROVEEDORES[[#This Row],[FECHA DE PAGO]]=0,TODAY()-PROVEEDORES[[#This Row],[FECHA DE FACTURACIÓN]]-PROVEEDORES[[#This Row],[PLAZO Días]],0)</f>
        <v>0</v>
      </c>
      <c r="U627" s="96" t="str">
        <f>+VLOOKUP(PROVEEDORES[[#This Row],[PROVEEDOR]],Terceros!$A:$D,4,FALSE)</f>
        <v>2,5% con base</v>
      </c>
      <c r="V627" s="97">
        <f>+YEAR(PROVEEDORES[[#This Row],[FECHA DE FACTURACIÓN]])</f>
        <v>2021</v>
      </c>
      <c r="W627" s="97">
        <f>+MATCH(PROVEEDORES[[#This Row],[año facturado]],Retenciones!$1:$1,0)</f>
        <v>4</v>
      </c>
      <c r="X627" s="98">
        <f>+VLOOKUP(PROVEEDORES[[#This Row],[ID RETENCION]],Retenciones!$A$1:$O$25,PROVEEDORES[[#This Row],[indicador de columna]],FALSE)</f>
        <v>980000</v>
      </c>
      <c r="Y627" s="99">
        <f>+VLOOKUP(PROVEEDORES[[#This Row],[ID RETENCION]],Retenciones!$A$1:$O$25,2,FALSE)</f>
        <v>2.5000000000000001E-2</v>
      </c>
      <c r="Z627" s="125" t="b">
        <f>OR(COUNTIF(PROVEEDORES[[#This Row],[PROVEEDOR]],"*"&amp;'Palabra no opera'!$A$2&amp;"*"))</f>
        <v>0</v>
      </c>
      <c r="AA627" s="24"/>
      <c r="AB627" s="24"/>
      <c r="AC627" s="24"/>
      <c r="AD627" s="24"/>
      <c r="AE627" s="24"/>
    </row>
    <row r="628" spans="1:31" ht="22.2" customHeight="1" x14ac:dyDescent="0.3">
      <c r="A628" s="66" t="str">
        <f>+IF(PROVEEDORES[[#This Row],[FECHA DE PAGO]]=PROVEEDORES[[#This Row],[FECHA DE FACTURACIÓN]],"DE CONTADO","CRÉDITO")</f>
        <v>DE CONTADO</v>
      </c>
      <c r="B628" s="38" t="b">
        <f>+IF((PROVEEDORES[[#This Row],[FECHA DE PAGO]]-PROVEEDORES[[#This Row],[FECHA DE FACTURACIÓN]])&gt;PROVEEDORES[[#This Row],[PLAZO Días]],"PAGO VENCIDO")</f>
        <v>0</v>
      </c>
      <c r="C628" s="20">
        <f>+VLOOKUP(PROVEEDORES[[#This Row],[PROVEEDOR]],TERCEROS_INFO[#All],2,FALSE)</f>
        <v>30</v>
      </c>
      <c r="D628" s="25">
        <f>+SUMIFS(PROVEEDORES[Total],PROVEEDORES[PROVEEDOR],PROVEEDORES[[#This Row],[PROVEEDOR]],PROVEEDORES[FECHA DE PAGO],"")</f>
        <v>0</v>
      </c>
      <c r="E628" s="25"/>
      <c r="F628" s="58" t="str">
        <f>+VLOOKUP(PROVEEDORES[[#This Row],[PROVEEDOR]],
                       Terceros!$A:$F,
                       5,
                       FALSE)</f>
        <v/>
      </c>
      <c r="G628" s="161">
        <v>44408</v>
      </c>
      <c r="H628" s="26" t="s">
        <v>635</v>
      </c>
      <c r="I628" s="161">
        <v>44408</v>
      </c>
      <c r="J628" s="35" t="s">
        <v>1475</v>
      </c>
      <c r="K628" s="21">
        <v>410000</v>
      </c>
      <c r="L628" s="21"/>
      <c r="M628" s="22">
        <f>(PROVEEDORES[[#This Row],[SUBTOTAL]]-PROVEEDORES[[#This Row],[descuento sobre subtotal]])*VLOOKUP(PROVEEDORES[[#This Row],[PROVEEDOR]],TERCEROS_INFO[#All],3,FALSE)</f>
        <v>0</v>
      </c>
      <c r="N628" s="23"/>
      <c r="O628" s="22">
        <f>+PROVEEDORES[[#This Row],[Descuento sobre subtotal %]]*(PROVEEDORES[[#This Row],[SUBTOTAL]]-PROVEEDORES[[#This Row],[descuento sobre subtotal]])</f>
        <v>0</v>
      </c>
      <c r="P628" s="83">
        <f>+IF(PROVEEDORES[[#This Row],[SUBTOTAL]]&lt;PROVEEDORES[[#This Row],[base retencion]],0,PROVEEDORES[[#This Row],[retención aplicada]])</f>
        <v>0</v>
      </c>
      <c r="Q628" s="22">
        <f>+PROVEEDORES[[#This Row],[Rete Fuente %]]*(PROVEEDORES[[#This Row],[SUBTOTAL]]-PROVEEDORES[[#This Row],[descuento sobre subtotal]])</f>
        <v>0</v>
      </c>
      <c r="R628" s="21">
        <f>+PROVEEDORES[[#This Row],[SUBTOTAL]]+PROVEEDORES[[#This Row],[IVA 19%]]-PROVEEDORES[[#This Row],[descuento sobre subtotal]]-PROVEEDORES[[#This Row],[Descuento sobre subtotal $2]]-PROVEEDORES[[#This Row],[Rete Fuente $]]</f>
        <v>410000</v>
      </c>
      <c r="S6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68">
        <f ca="1">IF(PROVEEDORES[[#This Row],[FECHA DE PAGO]]=0,TODAY()-PROVEEDORES[[#This Row],[FECHA DE FACTURACIÓN]]-PROVEEDORES[[#This Row],[PLAZO Días]],0)</f>
        <v>0</v>
      </c>
      <c r="U628" s="96">
        <f>+VLOOKUP(PROVEEDORES[[#This Row],[PROVEEDOR]],Terceros!$A:$D,4,FALSE)</f>
        <v>0</v>
      </c>
      <c r="V628" s="97">
        <f>+YEAR(PROVEEDORES[[#This Row],[FECHA DE FACTURACIÓN]])</f>
        <v>2021</v>
      </c>
      <c r="W628" s="97">
        <f>+MATCH(PROVEEDORES[[#This Row],[año facturado]],Retenciones!$1:$1,0)</f>
        <v>4</v>
      </c>
      <c r="X628" s="98">
        <f>+VLOOKUP(PROVEEDORES[[#This Row],[ID RETENCION]],Retenciones!$A$1:$O$25,PROVEEDORES[[#This Row],[indicador de columna]],FALSE)</f>
        <v>0</v>
      </c>
      <c r="Y628" s="99">
        <f>+VLOOKUP(PROVEEDORES[[#This Row],[ID RETENCION]],Retenciones!$A$1:$O$25,2,FALSE)</f>
        <v>0</v>
      </c>
      <c r="Z628" s="125" t="b">
        <f>OR(COUNTIF(PROVEEDORES[[#This Row],[PROVEEDOR]],"*"&amp;'Palabra no opera'!$A$2&amp;"*"))</f>
        <v>0</v>
      </c>
      <c r="AA628" s="24"/>
      <c r="AB628" s="24"/>
      <c r="AC628" s="24"/>
      <c r="AD628" s="24"/>
      <c r="AE628" s="24"/>
    </row>
    <row r="629" spans="1:31" ht="22.2" customHeight="1" x14ac:dyDescent="0.3">
      <c r="A629" s="123" t="str">
        <f>+IF(PROVEEDORES[[#This Row],[FECHA DE PAGO]]=PROVEEDORES[[#This Row],[FECHA DE FACTURACIÓN]],"DE CONTADO","CRÉDITO")</f>
        <v>CRÉDITO</v>
      </c>
      <c r="B629" s="38" t="b">
        <f>+IF((PROVEEDORES[[#This Row],[FECHA DE PAGO]]-PROVEEDORES[[#This Row],[FECHA DE FACTURACIÓN]])&gt;PROVEEDORES[[#This Row],[PLAZO Días]],"PAGO VENCIDO")</f>
        <v>0</v>
      </c>
      <c r="C629" s="20">
        <f>+VLOOKUP(PROVEEDORES[[#This Row],[PROVEEDOR]],TERCEROS_INFO[#All],2,FALSE)</f>
        <v>30</v>
      </c>
      <c r="D629" s="25">
        <f>+SUMIFS(PROVEEDORES[Total],PROVEEDORES[PROVEEDOR],PROVEEDORES[[#This Row],[PROVEEDOR]],PROVEEDORES[FECHA DE PAGO],"")</f>
        <v>0</v>
      </c>
      <c r="E629" s="25"/>
      <c r="F629" s="58">
        <f>+VLOOKUP(PROVEEDORES[[#This Row],[PROVEEDOR]],
                       Terceros!$A:$F,
                       5,
                       FALSE)</f>
        <v>0</v>
      </c>
      <c r="G629" s="161">
        <v>44691</v>
      </c>
      <c r="H629" s="26" t="s">
        <v>932</v>
      </c>
      <c r="I629" s="161">
        <v>44682</v>
      </c>
      <c r="J629" s="35" t="s">
        <v>307</v>
      </c>
      <c r="K629" s="21">
        <v>414178</v>
      </c>
      <c r="L629" s="21"/>
      <c r="M629" s="22">
        <f>(PROVEEDORES[[#This Row],[SUBTOTAL]]-PROVEEDORES[[#This Row],[descuento sobre subtotal]])*VLOOKUP(PROVEEDORES[[#This Row],[PROVEEDOR]],TERCEROS_INFO[#All],3,FALSE)</f>
        <v>0</v>
      </c>
      <c r="N629" s="23"/>
      <c r="O629" s="22">
        <f>+PROVEEDORES[[#This Row],[Descuento sobre subtotal %]]*(PROVEEDORES[[#This Row],[SUBTOTAL]]-PROVEEDORES[[#This Row],[descuento sobre subtotal]])</f>
        <v>0</v>
      </c>
      <c r="P629" s="83">
        <f>+IF(PROVEEDORES[[#This Row],[SUBTOTAL]]&lt;PROVEEDORES[[#This Row],[base retencion]],0,PROVEEDORES[[#This Row],[retención aplicada]])</f>
        <v>0</v>
      </c>
      <c r="Q629" s="22">
        <f>+PROVEEDORES[[#This Row],[Rete Fuente %]]*(PROVEEDORES[[#This Row],[SUBTOTAL]]-PROVEEDORES[[#This Row],[descuento sobre subtotal]])</f>
        <v>0</v>
      </c>
      <c r="R629" s="21">
        <f>+PROVEEDORES[[#This Row],[SUBTOTAL]]+PROVEEDORES[[#This Row],[IVA 19%]]-PROVEEDORES[[#This Row],[descuento sobre subtotal]]-PROVEEDORES[[#This Row],[Descuento sobre subtotal $2]]-PROVEEDORES[[#This Row],[Rete Fuente $]]</f>
        <v>414178</v>
      </c>
      <c r="S629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68">
        <f ca="1">IF(PROVEEDORES[[#This Row],[FECHA DE PAGO]]=0,TODAY()-PROVEEDORES[[#This Row],[FECHA DE FACTURACIÓN]]-PROVEEDORES[[#This Row],[PLAZO Días]],0)</f>
        <v>0</v>
      </c>
      <c r="U629" s="113">
        <f>+VLOOKUP(PROVEEDORES[[#This Row],[PROVEEDOR]],Terceros!$A:$D,4,FALSE)</f>
        <v>0</v>
      </c>
      <c r="V629" s="114">
        <f>+YEAR(PROVEEDORES[[#This Row],[FECHA DE FACTURACIÓN]])</f>
        <v>2022</v>
      </c>
      <c r="W629" s="114">
        <f>+MATCH(PROVEEDORES[[#This Row],[año facturado]],Retenciones!$1:$1,0)</f>
        <v>5</v>
      </c>
      <c r="X629" s="115">
        <f>+VLOOKUP(PROVEEDORES[[#This Row],[ID RETENCION]],Retenciones!$A$1:$O$25,PROVEEDORES[[#This Row],[indicador de columna]],FALSE)</f>
        <v>0</v>
      </c>
      <c r="Y629" s="116">
        <f>+VLOOKUP(PROVEEDORES[[#This Row],[ID RETENCION]],Retenciones!$A$1:$O$25,2,FALSE)</f>
        <v>0</v>
      </c>
      <c r="Z629" s="125" t="b">
        <f>OR(COUNTIF(PROVEEDORES[[#This Row],[PROVEEDOR]],"*"&amp;'Palabra no opera'!$A$2&amp;"*"))</f>
        <v>1</v>
      </c>
      <c r="AA629" s="24"/>
      <c r="AB629" s="24"/>
      <c r="AC629" s="24"/>
      <c r="AD629" s="24"/>
      <c r="AE629" s="24"/>
    </row>
    <row r="630" spans="1:31" ht="22.2" customHeight="1" x14ac:dyDescent="0.3">
      <c r="A630" s="66" t="str">
        <f>+IF(PROVEEDORES[[#This Row],[FECHA DE PAGO]]=PROVEEDORES[[#This Row],[FECHA DE FACTURACIÓN]],"DE CONTADO","CRÉDITO")</f>
        <v>CRÉDITO</v>
      </c>
      <c r="B630" s="38" t="b">
        <f>+IF((PROVEEDORES[[#This Row],[FECHA DE PAGO]]-PROVEEDORES[[#This Row],[FECHA DE FACTURACIÓN]])&gt;PROVEEDORES[[#This Row],[PLAZO Días]],"PAGO VENCIDO")</f>
        <v>0</v>
      </c>
      <c r="C630" s="20">
        <f>+VLOOKUP(PROVEEDORES[[#This Row],[PROVEEDOR]],TERCEROS_INFO[#All],2,FALSE)</f>
        <v>30</v>
      </c>
      <c r="D630" s="25">
        <f>+SUMIFS(PROVEEDORES[Total],PROVEEDORES[PROVEEDOR],PROVEEDORES[[#This Row],[PROVEEDOR]],PROVEEDORES[FECHA DE PAGO],"")</f>
        <v>0</v>
      </c>
      <c r="E630" s="25"/>
      <c r="F63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30" s="161">
        <v>44608</v>
      </c>
      <c r="H630" s="26" t="s">
        <v>1451</v>
      </c>
      <c r="I630" s="161">
        <v>44601</v>
      </c>
      <c r="J630" s="35">
        <v>201</v>
      </c>
      <c r="K630" s="21">
        <v>420000</v>
      </c>
      <c r="L630" s="21"/>
      <c r="M630" s="22">
        <f>(PROVEEDORES[[#This Row],[SUBTOTAL]]-PROVEEDORES[[#This Row],[descuento sobre subtotal]])*VLOOKUP(PROVEEDORES[[#This Row],[PROVEEDOR]],TERCEROS_INFO[#All],3,FALSE)</f>
        <v>0</v>
      </c>
      <c r="N630" s="23"/>
      <c r="O630" s="22">
        <f>+PROVEEDORES[[#This Row],[Descuento sobre subtotal %]]*(PROVEEDORES[[#This Row],[SUBTOTAL]]-PROVEEDORES[[#This Row],[descuento sobre subtotal]])</f>
        <v>0</v>
      </c>
      <c r="P630" s="83">
        <f>+IF(PROVEEDORES[[#This Row],[SUBTOTAL]]&lt;PROVEEDORES[[#This Row],[base retencion]],0,PROVEEDORES[[#This Row],[retención aplicada]])</f>
        <v>0.01</v>
      </c>
      <c r="Q630" s="22">
        <f>+PROVEEDORES[[#This Row],[Rete Fuente %]]*(PROVEEDORES[[#This Row],[SUBTOTAL]]-PROVEEDORES[[#This Row],[descuento sobre subtotal]])</f>
        <v>4200</v>
      </c>
      <c r="R630" s="21">
        <v>415800</v>
      </c>
      <c r="S6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68">
        <f ca="1">IF(PROVEEDORES[[#This Row],[FECHA DE PAGO]]=0,TODAY()-PROVEEDORES[[#This Row],[FECHA DE FACTURACIÓN]]-PROVEEDORES[[#This Row],[PLAZO Días]],0)</f>
        <v>0</v>
      </c>
      <c r="U630" s="96" t="str">
        <f>+VLOOKUP(PROVEEDORES[[#This Row],[PROVEEDOR]],Terceros!$A:$D,4,FALSE)</f>
        <v>1% con base</v>
      </c>
      <c r="V630" s="97">
        <f>+YEAR(PROVEEDORES[[#This Row],[FECHA DE FACTURACIÓN]])</f>
        <v>2022</v>
      </c>
      <c r="W630" s="97">
        <f>+MATCH(PROVEEDORES[[#This Row],[año facturado]],Retenciones!$1:$1,0)</f>
        <v>5</v>
      </c>
      <c r="X630" s="98">
        <f>+VLOOKUP(PROVEEDORES[[#This Row],[ID RETENCION]],Retenciones!$A$1:$O$25,PROVEEDORES[[#This Row],[indicador de columna]],FALSE)</f>
        <v>152000</v>
      </c>
      <c r="Y630" s="99">
        <f>+VLOOKUP(PROVEEDORES[[#This Row],[ID RETENCION]],Retenciones!$A$1:$O$25,2,FALSE)</f>
        <v>0.01</v>
      </c>
      <c r="Z630" s="125" t="b">
        <f>OR(COUNTIF(PROVEEDORES[[#This Row],[PROVEEDOR]],"*"&amp;'Palabra no opera'!$A$2&amp;"*"))</f>
        <v>0</v>
      </c>
      <c r="AA630" s="24"/>
      <c r="AB630" s="24"/>
      <c r="AC630" s="24"/>
      <c r="AD630" s="24"/>
      <c r="AE630" s="24"/>
    </row>
    <row r="631" spans="1:31" ht="22.2" customHeight="1" x14ac:dyDescent="0.3">
      <c r="A631" s="66" t="str">
        <f>+IF(PROVEEDORES[[#This Row],[FECHA DE PAGO]]=PROVEEDORES[[#This Row],[FECHA DE FACTURACIÓN]],"DE CONTADO","CRÉDITO")</f>
        <v>CRÉDITO</v>
      </c>
      <c r="B631" s="38" t="str">
        <f>+IF((PROVEEDORES[[#This Row],[FECHA DE PAGO]]-PROVEEDORES[[#This Row],[FECHA DE FACTURACIÓN]])&gt;PROVEEDORES[[#This Row],[PLAZO Días]],"PAGO VENCIDO")</f>
        <v>PAGO VENCIDO</v>
      </c>
      <c r="C631" s="20">
        <f>+VLOOKUP(PROVEEDORES[[#This Row],[PROVEEDOR]],TERCEROS_INFO[#All],2,FALSE)</f>
        <v>30</v>
      </c>
      <c r="D631" s="25">
        <f>+SUMIFS(PROVEEDORES[Total],PROVEEDORES[PROVEEDOR],PROVEEDORES[[#This Row],[PROVEEDOR]],PROVEEDORES[FECHA DE PAGO],"")</f>
        <v>0</v>
      </c>
      <c r="E631" s="25"/>
      <c r="F631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31" s="161">
        <v>44341</v>
      </c>
      <c r="H631" s="26" t="s">
        <v>691</v>
      </c>
      <c r="I631" s="161">
        <v>44235</v>
      </c>
      <c r="J631" s="35">
        <v>2618</v>
      </c>
      <c r="K631" s="21">
        <v>418000</v>
      </c>
      <c r="L631" s="21"/>
      <c r="M631" s="22">
        <f>(PROVEEDORES[[#This Row],[SUBTOTAL]]-PROVEEDORES[[#This Row],[descuento sobre subtotal]])*VLOOKUP(PROVEEDORES[[#This Row],[PROVEEDOR]],TERCEROS_INFO[#All],3,FALSE)</f>
        <v>0</v>
      </c>
      <c r="N631" s="23"/>
      <c r="O631" s="22">
        <f>+PROVEEDORES[[#This Row],[Descuento sobre subtotal %]]*(PROVEEDORES[[#This Row],[SUBTOTAL]]-PROVEEDORES[[#This Row],[descuento sobre subtotal]])</f>
        <v>0</v>
      </c>
      <c r="P631" s="83">
        <f>+IF(PROVEEDORES[[#This Row],[SUBTOTAL]]&lt;PROVEEDORES[[#This Row],[base retencion]],0,PROVEEDORES[[#This Row],[retención aplicada]])</f>
        <v>0</v>
      </c>
      <c r="Q631" s="22">
        <f>+PROVEEDORES[[#This Row],[Rete Fuente %]]*(PROVEEDORES[[#This Row],[SUBTOTAL]]-PROVEEDORES[[#This Row],[descuento sobre subtotal]])</f>
        <v>0</v>
      </c>
      <c r="R631" s="21">
        <f>+PROVEEDORES[[#This Row],[SUBTOTAL]]+PROVEEDORES[[#This Row],[IVA 19%]]-PROVEEDORES[[#This Row],[descuento sobre subtotal]]-PROVEEDORES[[#This Row],[Descuento sobre subtotal $2]]-PROVEEDORES[[#This Row],[Rete Fuente $]]</f>
        <v>418000</v>
      </c>
      <c r="S6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68">
        <f ca="1">IF(PROVEEDORES[[#This Row],[FECHA DE PAGO]]=0,TODAY()-PROVEEDORES[[#This Row],[FECHA DE FACTURACIÓN]]-PROVEEDORES[[#This Row],[PLAZO Días]],0)</f>
        <v>0</v>
      </c>
      <c r="U631" s="96">
        <f>+VLOOKUP(PROVEEDORES[[#This Row],[PROVEEDOR]],Terceros!$A:$D,4,FALSE)</f>
        <v>0</v>
      </c>
      <c r="V631" s="97">
        <f>+YEAR(PROVEEDORES[[#This Row],[FECHA DE FACTURACIÓN]])</f>
        <v>2021</v>
      </c>
      <c r="W631" s="97">
        <f>+MATCH(PROVEEDORES[[#This Row],[año facturado]],Retenciones!$1:$1,0)</f>
        <v>4</v>
      </c>
      <c r="X631" s="98">
        <f>+VLOOKUP(PROVEEDORES[[#This Row],[ID RETENCION]],Retenciones!$A$1:$O$25,PROVEEDORES[[#This Row],[indicador de columna]],FALSE)</f>
        <v>0</v>
      </c>
      <c r="Y631" s="99">
        <f>+VLOOKUP(PROVEEDORES[[#This Row],[ID RETENCION]],Retenciones!$A$1:$O$25,2,FALSE)</f>
        <v>0</v>
      </c>
      <c r="Z631" s="125" t="b">
        <f>OR(COUNTIF(PROVEEDORES[[#This Row],[PROVEEDOR]],"*"&amp;'Palabra no opera'!$A$2&amp;"*"))</f>
        <v>0</v>
      </c>
      <c r="AA631" s="24"/>
      <c r="AB631" s="24"/>
      <c r="AC631" s="24"/>
      <c r="AD631" s="24"/>
      <c r="AE631" s="24"/>
    </row>
    <row r="632" spans="1:31" ht="22.2" customHeight="1" x14ac:dyDescent="0.3">
      <c r="A632" s="195" t="str">
        <f>+IF(PROVEEDORES[[#This Row],[FECHA DE PAGO]]=PROVEEDORES[[#This Row],[FECHA DE FACTURACIÓN]],"DE CONTADO","CRÉDITO")</f>
        <v>CRÉDITO</v>
      </c>
      <c r="B632" s="38" t="b">
        <f>+IF((PROVEEDORES[[#This Row],[FECHA DE PAGO]]-PROVEEDORES[[#This Row],[FECHA DE FACTURACIÓN]])&gt;PROVEEDORES[[#This Row],[PLAZO Días]],"PAGO VENCIDO")</f>
        <v>0</v>
      </c>
      <c r="C632" s="20">
        <f>+VLOOKUP(PROVEEDORES[[#This Row],[PROVEEDOR]],TERCEROS_INFO[#All],2,FALSE)</f>
        <v>30</v>
      </c>
      <c r="D632" s="25">
        <f>+SUMIFS(PROVEEDORES[Total],PROVEEDORES[PROVEEDOR],PROVEEDORES[[#This Row],[PROVEEDOR]],PROVEEDORES[FECHA DE PAGO],"")</f>
        <v>0</v>
      </c>
      <c r="E632" s="25"/>
      <c r="F63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32" s="161">
        <v>44789</v>
      </c>
      <c r="H632" s="26" t="s">
        <v>1451</v>
      </c>
      <c r="I632" s="161">
        <v>44781</v>
      </c>
      <c r="J632" s="35">
        <v>257</v>
      </c>
      <c r="K632" s="21">
        <v>423000</v>
      </c>
      <c r="L632" s="21"/>
      <c r="M632" s="22">
        <f>(PROVEEDORES[[#This Row],[SUBTOTAL]]-PROVEEDORES[[#This Row],[descuento sobre subtotal]])*VLOOKUP(PROVEEDORES[[#This Row],[PROVEEDOR]],TERCEROS_INFO[#All],3,FALSE)</f>
        <v>0</v>
      </c>
      <c r="N632" s="23"/>
      <c r="O632" s="22">
        <f>+PROVEEDORES[[#This Row],[Descuento sobre subtotal %]]*(PROVEEDORES[[#This Row],[SUBTOTAL]]-PROVEEDORES[[#This Row],[descuento sobre subtotal]])</f>
        <v>0</v>
      </c>
      <c r="P632" s="83">
        <f>+IF(PROVEEDORES[[#This Row],[SUBTOTAL]]&lt;PROVEEDORES[[#This Row],[base retencion]],0,PROVEEDORES[[#This Row],[retención aplicada]])</f>
        <v>0.01</v>
      </c>
      <c r="Q632" s="22">
        <f>+PROVEEDORES[[#This Row],[Rete Fuente %]]*(PROVEEDORES[[#This Row],[SUBTOTAL]]-PROVEEDORES[[#This Row],[descuento sobre subtotal]])</f>
        <v>4230</v>
      </c>
      <c r="R632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632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68">
        <f ca="1">IF(PROVEEDORES[[#This Row],[FECHA DE PAGO]]=0,TODAY()-PROVEEDORES[[#This Row],[FECHA DE FACTURACIÓN]]-PROVEEDORES[[#This Row],[PLAZO Días]],0)</f>
        <v>0</v>
      </c>
      <c r="U632" s="113" t="str">
        <f>+VLOOKUP(PROVEEDORES[[#This Row],[PROVEEDOR]],Terceros!$A:$D,4,FALSE)</f>
        <v>1% con base</v>
      </c>
      <c r="V632" s="114">
        <f>+YEAR(PROVEEDORES[[#This Row],[FECHA DE FACTURACIÓN]])</f>
        <v>2022</v>
      </c>
      <c r="W632" s="114">
        <f>+MATCH(PROVEEDORES[[#This Row],[año facturado]],Retenciones!$1:$1,0)</f>
        <v>5</v>
      </c>
      <c r="X632" s="115">
        <f>+VLOOKUP(PROVEEDORES[[#This Row],[ID RETENCION]],Retenciones!$A$1:$O$25,PROVEEDORES[[#This Row],[indicador de columna]],FALSE)</f>
        <v>152000</v>
      </c>
      <c r="Y632" s="116">
        <f>+VLOOKUP(PROVEEDORES[[#This Row],[ID RETENCION]],Retenciones!$A$1:$O$25,2,FALSE)</f>
        <v>0.01</v>
      </c>
      <c r="Z632" s="125" t="b">
        <f>OR(COUNTIF(PROVEEDORES[[#This Row],[PROVEEDOR]],"*"&amp;'Palabra no opera'!$A$2&amp;"*"))</f>
        <v>0</v>
      </c>
      <c r="AA632" s="24"/>
      <c r="AB632" s="24"/>
      <c r="AC632" s="24"/>
      <c r="AD632" s="24"/>
      <c r="AE632" s="24"/>
    </row>
    <row r="633" spans="1:31" ht="22.2" customHeight="1" x14ac:dyDescent="0.3">
      <c r="A633" s="211" t="str">
        <f>+IF(PROVEEDORES[[#This Row],[FECHA DE PAGO]]=PROVEEDORES[[#This Row],[FECHA DE FACTURACIÓN]],"DE CONTADO","CRÉDITO")</f>
        <v>CRÉDITO</v>
      </c>
      <c r="B633" s="38" t="b">
        <f>+IF((PROVEEDORES[[#This Row],[FECHA DE PAGO]]-PROVEEDORES[[#This Row],[FECHA DE FACTURACIÓN]])&gt;PROVEEDORES[[#This Row],[PLAZO Días]],"PAGO VENCIDO")</f>
        <v>0</v>
      </c>
      <c r="C633" s="20">
        <f>+VLOOKUP(PROVEEDORES[[#This Row],[PROVEEDOR]],TERCEROS_INFO[#All],2,FALSE)</f>
        <v>30</v>
      </c>
      <c r="D633" s="25">
        <f>+SUMIFS(PROVEEDORES[Total],PROVEEDORES[PROVEEDOR],PROVEEDORES[[#This Row],[PROVEEDOR]],PROVEEDORES[FECHA DE PAGO],"")</f>
        <v>0</v>
      </c>
      <c r="E633" s="25"/>
      <c r="F63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33" s="161">
        <v>44805</v>
      </c>
      <c r="H633" s="26" t="s">
        <v>1451</v>
      </c>
      <c r="I633" s="161">
        <v>44781</v>
      </c>
      <c r="J633" s="35"/>
      <c r="K633" s="21">
        <v>423000</v>
      </c>
      <c r="L633" s="21"/>
      <c r="M633" s="22">
        <f>(PROVEEDORES[[#This Row],[SUBTOTAL]]-PROVEEDORES[[#This Row],[descuento sobre subtotal]])*VLOOKUP(PROVEEDORES[[#This Row],[PROVEEDOR]],TERCEROS_INFO[#All],3,FALSE)</f>
        <v>0</v>
      </c>
      <c r="N633" s="23"/>
      <c r="O633" s="22">
        <f>+PROVEEDORES[[#This Row],[Descuento sobre subtotal %]]*(PROVEEDORES[[#This Row],[SUBTOTAL]]-PROVEEDORES[[#This Row],[descuento sobre subtotal]])</f>
        <v>0</v>
      </c>
      <c r="P633" s="83">
        <f>+IF(PROVEEDORES[[#This Row],[SUBTOTAL]]&lt;PROVEEDORES[[#This Row],[base retencion]],0,PROVEEDORES[[#This Row],[retención aplicada]])</f>
        <v>0.01</v>
      </c>
      <c r="Q633" s="22">
        <f>+PROVEEDORES[[#This Row],[Rete Fuente %]]*(PROVEEDORES[[#This Row],[SUBTOTAL]]-PROVEEDORES[[#This Row],[descuento sobre subtotal]])</f>
        <v>4230</v>
      </c>
      <c r="R633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633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3" s="68">
        <f ca="1">IF(PROVEEDORES[[#This Row],[FECHA DE PAGO]]=0,TODAY()-PROVEEDORES[[#This Row],[FECHA DE FACTURACIÓN]]-PROVEEDORES[[#This Row],[PLAZO Días]],0)</f>
        <v>0</v>
      </c>
      <c r="U633" s="113" t="str">
        <f>+VLOOKUP(PROVEEDORES[[#This Row],[PROVEEDOR]],Terceros!$A:$D,4,FALSE)</f>
        <v>1% con base</v>
      </c>
      <c r="V633" s="114">
        <f>+YEAR(PROVEEDORES[[#This Row],[FECHA DE FACTURACIÓN]])</f>
        <v>2022</v>
      </c>
      <c r="W633" s="114">
        <f>+MATCH(PROVEEDORES[[#This Row],[año facturado]],Retenciones!$1:$1,0)</f>
        <v>5</v>
      </c>
      <c r="X633" s="115">
        <f>+VLOOKUP(PROVEEDORES[[#This Row],[ID RETENCION]],Retenciones!$A$1:$O$25,PROVEEDORES[[#This Row],[indicador de columna]],FALSE)</f>
        <v>152000</v>
      </c>
      <c r="Y633" s="116">
        <f>+VLOOKUP(PROVEEDORES[[#This Row],[ID RETENCION]],Retenciones!$A$1:$O$25,2,FALSE)</f>
        <v>0.01</v>
      </c>
      <c r="Z633" s="125" t="b">
        <f>OR(COUNTIF(PROVEEDORES[[#This Row],[PROVEEDOR]],"*"&amp;'Palabra no opera'!$A$2&amp;"*"))</f>
        <v>0</v>
      </c>
      <c r="AA633" s="24"/>
      <c r="AB633" s="24"/>
      <c r="AC633" s="24"/>
      <c r="AD633" s="24"/>
      <c r="AE633" s="24"/>
    </row>
    <row r="634" spans="1:31" ht="22.2" customHeight="1" x14ac:dyDescent="0.3">
      <c r="A634" s="66" t="str">
        <f>+IF(PROVEEDORES[[#This Row],[FECHA DE PAGO]]=PROVEEDORES[[#This Row],[FECHA DE FACTURACIÓN]],"DE CONTADO","CRÉDITO")</f>
        <v>CRÉDITO</v>
      </c>
      <c r="B634" s="38" t="str">
        <f>+IF((PROVEEDORES[[#This Row],[FECHA DE PAGO]]-PROVEEDORES[[#This Row],[FECHA DE FACTURACIÓN]])&gt;PROVEEDORES[[#This Row],[PLAZO Días]],"PAGO VENCIDO")</f>
        <v>PAGO VENCIDO</v>
      </c>
      <c r="C634" s="20">
        <f>+VLOOKUP(PROVEEDORES[[#This Row],[PROVEEDOR]],TERCEROS_INFO[#All],2,FALSE)</f>
        <v>30</v>
      </c>
      <c r="D634" s="25">
        <f>+SUMIFS(PROVEEDORES[Total],PROVEEDORES[PROVEEDOR],PROVEEDORES[[#This Row],[PROVEEDOR]],PROVEEDORES[FECHA DE PAGO],"")</f>
        <v>2223034.2400000002</v>
      </c>
      <c r="E634" s="25"/>
      <c r="F63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34" s="161">
        <v>44718</v>
      </c>
      <c r="H634" s="26" t="s">
        <v>216</v>
      </c>
      <c r="I634" s="161">
        <v>44648</v>
      </c>
      <c r="J634" s="35">
        <v>556</v>
      </c>
      <c r="K634" s="21">
        <v>352941</v>
      </c>
      <c r="L634" s="21"/>
      <c r="M634" s="22">
        <f>(PROVEEDORES[[#This Row],[SUBTOTAL]]-PROVEEDORES[[#This Row],[descuento sobre subtotal]])*VLOOKUP(PROVEEDORES[[#This Row],[PROVEEDOR]],TERCEROS_INFO[#All],3,FALSE)</f>
        <v>67058.789999999994</v>
      </c>
      <c r="N634" s="23"/>
      <c r="O634" s="22">
        <f>+PROVEEDORES[[#This Row],[Descuento sobre subtotal %]]*(PROVEEDORES[[#This Row],[SUBTOTAL]]-PROVEEDORES[[#This Row],[descuento sobre subtotal]])</f>
        <v>0</v>
      </c>
      <c r="P634" s="83">
        <f>+IF(PROVEEDORES[[#This Row],[SUBTOTAL]]&lt;PROVEEDORES[[#This Row],[base retencion]],0,PROVEEDORES[[#This Row],[retención aplicada]])</f>
        <v>0</v>
      </c>
      <c r="Q634" s="22">
        <f>+PROVEEDORES[[#This Row],[Rete Fuente %]]*(PROVEEDORES[[#This Row],[SUBTOTAL]]-PROVEEDORES[[#This Row],[descuento sobre subtotal]])</f>
        <v>0</v>
      </c>
      <c r="R634" s="21">
        <f>+PROVEEDORES[[#This Row],[SUBTOTAL]]+PROVEEDORES[[#This Row],[IVA 19%]]-PROVEEDORES[[#This Row],[descuento sobre subtotal]]-PROVEEDORES[[#This Row],[Descuento sobre subtotal $2]]-PROVEEDORES[[#This Row],[Rete Fuente $]]</f>
        <v>419999.79</v>
      </c>
      <c r="S6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4" s="68">
        <f ca="1">IF(PROVEEDORES[[#This Row],[FECHA DE PAGO]]=0,TODAY()-PROVEEDORES[[#This Row],[FECHA DE FACTURACIÓN]]-PROVEEDORES[[#This Row],[PLAZO Días]],0)</f>
        <v>0</v>
      </c>
      <c r="U634" s="96" t="str">
        <f>+VLOOKUP(PROVEEDORES[[#This Row],[PROVEEDOR]],Terceros!$A:$D,4,FALSE)</f>
        <v>2,5% con base</v>
      </c>
      <c r="V634" s="97">
        <f>+YEAR(PROVEEDORES[[#This Row],[FECHA DE FACTURACIÓN]])</f>
        <v>2022</v>
      </c>
      <c r="W634" s="97">
        <f>+MATCH(PROVEEDORES[[#This Row],[año facturado]],Retenciones!$1:$1,0)</f>
        <v>5</v>
      </c>
      <c r="X634" s="98">
        <f>+VLOOKUP(PROVEEDORES[[#This Row],[ID RETENCION]],Retenciones!$A$1:$O$25,PROVEEDORES[[#This Row],[indicador de columna]],FALSE)</f>
        <v>1026000</v>
      </c>
      <c r="Y634" s="99">
        <f>+VLOOKUP(PROVEEDORES[[#This Row],[ID RETENCION]],Retenciones!$A$1:$O$25,2,FALSE)</f>
        <v>2.5000000000000001E-2</v>
      </c>
      <c r="Z634" s="125" t="b">
        <f>OR(COUNTIF(PROVEEDORES[[#This Row],[PROVEEDOR]],"*"&amp;'Palabra no opera'!$A$2&amp;"*"))</f>
        <v>0</v>
      </c>
      <c r="AA634" s="24"/>
      <c r="AB634" s="24"/>
      <c r="AC634" s="24"/>
      <c r="AD634" s="24"/>
      <c r="AE634" s="24"/>
    </row>
    <row r="635" spans="1:31" ht="22.2" customHeight="1" x14ac:dyDescent="0.3">
      <c r="A635" s="66" t="str">
        <f>+IF(PROVEEDORES[[#This Row],[FECHA DE PAGO]]=PROVEEDORES[[#This Row],[FECHA DE FACTURACIÓN]],"DE CONTADO","CRÉDITO")</f>
        <v>CRÉDITO</v>
      </c>
      <c r="B635" s="38" t="str">
        <f>+IF((PROVEEDORES[[#This Row],[FECHA DE PAGO]]-PROVEEDORES[[#This Row],[FECHA DE FACTURACIÓN]])&gt;PROVEEDORES[[#This Row],[PLAZO Días]],"PAGO VENCIDO")</f>
        <v>PAGO VENCIDO</v>
      </c>
      <c r="C635" s="20">
        <f>+VLOOKUP(PROVEEDORES[[#This Row],[PROVEEDOR]],TERCEROS_INFO[#All],2,FALSE)</f>
        <v>30</v>
      </c>
      <c r="D635" s="25">
        <f>+SUMIFS(PROVEEDORES[Total],PROVEEDORES[PROVEEDOR],PROVEEDORES[[#This Row],[PROVEEDOR]],PROVEEDORES[FECHA DE PAGO],"")</f>
        <v>0</v>
      </c>
      <c r="E635" s="25"/>
      <c r="F635" s="58" t="str">
        <f>+VLOOKUP(PROVEEDORES[[#This Row],[PROVEEDOR]],
                       Terceros!$A:$F,
                       5,
                       FALSE)</f>
        <v>??;girlesa.ruiz@servipilas.com;joriescobar64@gmail.com</v>
      </c>
      <c r="G635" s="161">
        <v>44484</v>
      </c>
      <c r="H635" s="26" t="s">
        <v>698</v>
      </c>
      <c r="I635" s="161">
        <v>44416</v>
      </c>
      <c r="J635" s="35" t="s">
        <v>1481</v>
      </c>
      <c r="K635" s="21">
        <v>420000</v>
      </c>
      <c r="L635" s="21"/>
      <c r="M635" s="22">
        <f>(PROVEEDORES[[#This Row],[SUBTOTAL]]-PROVEEDORES[[#This Row],[descuento sobre subtotal]])*VLOOKUP(PROVEEDORES[[#This Row],[PROVEEDOR]],TERCEROS_INFO[#All],3,FALSE)</f>
        <v>0</v>
      </c>
      <c r="N635" s="23"/>
      <c r="O635" s="22">
        <f>+PROVEEDORES[[#This Row],[Descuento sobre subtotal %]]*(PROVEEDORES[[#This Row],[SUBTOTAL]]-PROVEEDORES[[#This Row],[descuento sobre subtotal]])</f>
        <v>0</v>
      </c>
      <c r="P635" s="83">
        <f>+IF(PROVEEDORES[[#This Row],[SUBTOTAL]]&lt;PROVEEDORES[[#This Row],[base retencion]],0,PROVEEDORES[[#This Row],[retención aplicada]])</f>
        <v>0</v>
      </c>
      <c r="Q635" s="22">
        <f>+PROVEEDORES[[#This Row],[Rete Fuente %]]*(PROVEEDORES[[#This Row],[SUBTOTAL]]-PROVEEDORES[[#This Row],[descuento sobre subtotal]])</f>
        <v>0</v>
      </c>
      <c r="R635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6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68">
        <f ca="1">IF(PROVEEDORES[[#This Row],[FECHA DE PAGO]]=0,TODAY()-PROVEEDORES[[#This Row],[FECHA DE FACTURACIÓN]]-PROVEEDORES[[#This Row],[PLAZO Días]],0)</f>
        <v>0</v>
      </c>
      <c r="U635" s="96">
        <f>+VLOOKUP(PROVEEDORES[[#This Row],[PROVEEDOR]],Terceros!$A:$D,4,FALSE)</f>
        <v>0</v>
      </c>
      <c r="V635" s="97">
        <f>+YEAR(PROVEEDORES[[#This Row],[FECHA DE FACTURACIÓN]])</f>
        <v>2021</v>
      </c>
      <c r="W635" s="97">
        <f>+MATCH(PROVEEDORES[[#This Row],[año facturado]],Retenciones!$1:$1,0)</f>
        <v>4</v>
      </c>
      <c r="X635" s="98">
        <f>+VLOOKUP(PROVEEDORES[[#This Row],[ID RETENCION]],Retenciones!$A$1:$O$25,PROVEEDORES[[#This Row],[indicador de columna]],FALSE)</f>
        <v>0</v>
      </c>
      <c r="Y635" s="99">
        <f>+VLOOKUP(PROVEEDORES[[#This Row],[ID RETENCION]],Retenciones!$A$1:$O$25,2,FALSE)</f>
        <v>0</v>
      </c>
      <c r="Z635" s="125" t="b">
        <f>OR(COUNTIF(PROVEEDORES[[#This Row],[PROVEEDOR]],"*"&amp;'Palabra no opera'!$A$2&amp;"*"))</f>
        <v>0</v>
      </c>
      <c r="AA635" s="24"/>
      <c r="AB635" s="24"/>
      <c r="AC635" s="24"/>
      <c r="AD635" s="24"/>
      <c r="AE635" s="24"/>
    </row>
    <row r="636" spans="1:31" ht="22.2" customHeight="1" x14ac:dyDescent="0.3">
      <c r="A636" s="66" t="str">
        <f>+IF(PROVEEDORES[[#This Row],[FECHA DE PAGO]]=PROVEEDORES[[#This Row],[FECHA DE FACTURACIÓN]],"DE CONTADO","CRÉDITO")</f>
        <v>CRÉDITO</v>
      </c>
      <c r="B636" s="38" t="b">
        <f>+IF((PROVEEDORES[[#This Row],[FECHA DE PAGO]]-PROVEEDORES[[#This Row],[FECHA DE FACTURACIÓN]])&gt;PROVEEDORES[[#This Row],[PLAZO Días]],"PAGO VENCIDO")</f>
        <v>0</v>
      </c>
      <c r="C636" s="20">
        <f>+VLOOKUP(PROVEEDORES[[#This Row],[PROVEEDOR]],TERCEROS_INFO[#All],2,FALSE)</f>
        <v>30</v>
      </c>
      <c r="D636" s="25">
        <f>+SUMIFS(PROVEEDORES[Total],PROVEEDORES[PROVEEDOR],PROVEEDORES[[#This Row],[PROVEEDOR]],PROVEEDORES[FECHA DE PAGO],"")</f>
        <v>0</v>
      </c>
      <c r="E636" s="25"/>
      <c r="F63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36" s="161">
        <v>44609</v>
      </c>
      <c r="H636" s="26" t="s">
        <v>1450</v>
      </c>
      <c r="I636" s="161">
        <v>44600</v>
      </c>
      <c r="J636" s="35">
        <v>329</v>
      </c>
      <c r="K636" s="21">
        <v>420000</v>
      </c>
      <c r="L636" s="21"/>
      <c r="M636" s="22">
        <f>(PROVEEDORES[[#This Row],[SUBTOTAL]]-PROVEEDORES[[#This Row],[descuento sobre subtotal]])*VLOOKUP(PROVEEDORES[[#This Row],[PROVEEDOR]],TERCEROS_INFO[#All],3,FALSE)</f>
        <v>0</v>
      </c>
      <c r="N636" s="23"/>
      <c r="O636" s="22">
        <f>+PROVEEDORES[[#This Row],[Descuento sobre subtotal %]]*(PROVEEDORES[[#This Row],[SUBTOTAL]]-PROVEEDORES[[#This Row],[descuento sobre subtotal]])</f>
        <v>0</v>
      </c>
      <c r="P636" s="83">
        <f>+IF(PROVEEDORES[[#This Row],[SUBTOTAL]]&lt;PROVEEDORES[[#This Row],[base retencion]],0,PROVEEDORES[[#This Row],[retención aplicada]])</f>
        <v>0</v>
      </c>
      <c r="Q636" s="22">
        <f>+PROVEEDORES[[#This Row],[Rete Fuente %]]*(PROVEEDORES[[#This Row],[SUBTOTAL]]-PROVEEDORES[[#This Row],[descuento sobre subtotal]])</f>
        <v>0</v>
      </c>
      <c r="R636" s="21">
        <v>420000</v>
      </c>
      <c r="S6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68">
        <f ca="1">IF(PROVEEDORES[[#This Row],[FECHA DE PAGO]]=0,TODAY()-PROVEEDORES[[#This Row],[FECHA DE FACTURACIÓN]]-PROVEEDORES[[#This Row],[PLAZO Días]],0)</f>
        <v>0</v>
      </c>
      <c r="U636" s="96">
        <f>+VLOOKUP(PROVEEDORES[[#This Row],[PROVEEDOR]],Terceros!$A:$D,4,FALSE)</f>
        <v>0</v>
      </c>
      <c r="V636" s="97">
        <f>+YEAR(PROVEEDORES[[#This Row],[FECHA DE FACTURACIÓN]])</f>
        <v>2022</v>
      </c>
      <c r="W636" s="97">
        <f>+MATCH(PROVEEDORES[[#This Row],[año facturado]],Retenciones!$1:$1,0)</f>
        <v>5</v>
      </c>
      <c r="X636" s="98">
        <f>+VLOOKUP(PROVEEDORES[[#This Row],[ID RETENCION]],Retenciones!$A$1:$O$25,PROVEEDORES[[#This Row],[indicador de columna]],FALSE)</f>
        <v>0</v>
      </c>
      <c r="Y636" s="99">
        <f>+VLOOKUP(PROVEEDORES[[#This Row],[ID RETENCION]],Retenciones!$A$1:$O$25,2,FALSE)</f>
        <v>0</v>
      </c>
      <c r="Z636" s="125" t="b">
        <f>OR(COUNTIF(PROVEEDORES[[#This Row],[PROVEEDOR]],"*"&amp;'Palabra no opera'!$A$2&amp;"*"))</f>
        <v>0</v>
      </c>
      <c r="AA636" s="24"/>
      <c r="AB636" s="24"/>
      <c r="AC636" s="24"/>
      <c r="AD636" s="24"/>
      <c r="AE636" s="24"/>
    </row>
    <row r="637" spans="1:31" ht="22.2" customHeight="1" x14ac:dyDescent="0.3">
      <c r="A637" s="66" t="str">
        <f>+IF(PROVEEDORES[[#This Row],[FECHA DE PAGO]]=PROVEEDORES[[#This Row],[FECHA DE FACTURACIÓN]],"DE CONTADO","CRÉDITO")</f>
        <v>CRÉDITO</v>
      </c>
      <c r="B637" s="38" t="b">
        <f>+IF((PROVEEDORES[[#This Row],[FECHA DE PAGO]]-PROVEEDORES[[#This Row],[FECHA DE FACTURACIÓN]])&gt;PROVEEDORES[[#This Row],[PLAZO Días]],"PAGO VENCIDO")</f>
        <v>0</v>
      </c>
      <c r="C637" s="20">
        <f>+VLOOKUP(PROVEEDORES[[#This Row],[PROVEEDOR]],TERCEROS_INFO[#All],2,FALSE)</f>
        <v>30</v>
      </c>
      <c r="D637" s="25">
        <f>+SUMIFS(PROVEEDORES[Total],PROVEEDORES[PROVEEDOR],PROVEEDORES[[#This Row],[PROVEEDOR]],PROVEEDORES[FECHA DE PAGO],"")</f>
        <v>0</v>
      </c>
      <c r="E637" s="25"/>
      <c r="F637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637" s="161">
        <v>44391</v>
      </c>
      <c r="H637" s="26" t="s">
        <v>56</v>
      </c>
      <c r="I637" s="161">
        <v>44390</v>
      </c>
      <c r="J637" s="35" t="s">
        <v>381</v>
      </c>
      <c r="K637" s="21">
        <v>353601</v>
      </c>
      <c r="L637" s="21"/>
      <c r="M637" s="22">
        <f>(PROVEEDORES[[#This Row],[SUBTOTAL]]-PROVEEDORES[[#This Row],[descuento sobre subtotal]])*VLOOKUP(PROVEEDORES[[#This Row],[PROVEEDOR]],TERCEROS_INFO[#All],3,FALSE)</f>
        <v>67184.19</v>
      </c>
      <c r="N637" s="23"/>
      <c r="O637" s="22">
        <f>+PROVEEDORES[[#This Row],[Descuento sobre subtotal %]]*(PROVEEDORES[[#This Row],[SUBTOTAL]]-PROVEEDORES[[#This Row],[descuento sobre subtotal]])</f>
        <v>0</v>
      </c>
      <c r="P637" s="83">
        <f>+IF(PROVEEDORES[[#This Row],[SUBTOTAL]]&lt;PROVEEDORES[[#This Row],[base retencion]],0,PROVEEDORES[[#This Row],[retención aplicada]])</f>
        <v>0</v>
      </c>
      <c r="Q637" s="22">
        <f>+PROVEEDORES[[#This Row],[Rete Fuente %]]*(PROVEEDORES[[#This Row],[SUBTOTAL]]-PROVEEDORES[[#This Row],[descuento sobre subtotal]])</f>
        <v>0</v>
      </c>
      <c r="R637" s="21">
        <f>+PROVEEDORES[[#This Row],[SUBTOTAL]]+PROVEEDORES[[#This Row],[IVA 19%]]-PROVEEDORES[[#This Row],[descuento sobre subtotal]]-PROVEEDORES[[#This Row],[Descuento sobre subtotal $2]]-PROVEEDORES[[#This Row],[Rete Fuente $]]</f>
        <v>420785.19</v>
      </c>
      <c r="S6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68">
        <f ca="1">IF(PROVEEDORES[[#This Row],[FECHA DE PAGO]]=0,TODAY()-PROVEEDORES[[#This Row],[FECHA DE FACTURACIÓN]]-PROVEEDORES[[#This Row],[PLAZO Días]],0)</f>
        <v>0</v>
      </c>
      <c r="U637" s="96">
        <f>+VLOOKUP(PROVEEDORES[[#This Row],[PROVEEDOR]],Terceros!$A:$D,4,FALSE)</f>
        <v>0</v>
      </c>
      <c r="V637" s="97">
        <f>+YEAR(PROVEEDORES[[#This Row],[FECHA DE FACTURACIÓN]])</f>
        <v>2021</v>
      </c>
      <c r="W637" s="97">
        <f>+MATCH(PROVEEDORES[[#This Row],[año facturado]],Retenciones!$1:$1,0)</f>
        <v>4</v>
      </c>
      <c r="X637" s="98">
        <f>+VLOOKUP(PROVEEDORES[[#This Row],[ID RETENCION]],Retenciones!$A$1:$O$25,PROVEEDORES[[#This Row],[indicador de columna]],FALSE)</f>
        <v>0</v>
      </c>
      <c r="Y637" s="99">
        <f>+VLOOKUP(PROVEEDORES[[#This Row],[ID RETENCION]],Retenciones!$A$1:$O$25,2,FALSE)</f>
        <v>0</v>
      </c>
      <c r="Z637" s="125" t="b">
        <f>OR(COUNTIF(PROVEEDORES[[#This Row],[PROVEEDOR]],"*"&amp;'Palabra no opera'!$A$2&amp;"*"))</f>
        <v>0</v>
      </c>
      <c r="AA637" s="24"/>
      <c r="AB637" s="24"/>
      <c r="AC637" s="24"/>
      <c r="AD637" s="24"/>
      <c r="AE637" s="24"/>
    </row>
    <row r="638" spans="1:31" ht="22.2" customHeight="1" x14ac:dyDescent="0.3">
      <c r="A638" s="66" t="str">
        <f>+IF(PROVEEDORES[[#This Row],[FECHA DE PAGO]]=PROVEEDORES[[#This Row],[FECHA DE FACTURACIÓN]],"DE CONTADO","CRÉDITO")</f>
        <v>DE CONTADO</v>
      </c>
      <c r="B638" s="38" t="b">
        <f>+IF((PROVEEDORES[[#This Row],[FECHA DE PAGO]]-PROVEEDORES[[#This Row],[FECHA DE FACTURACIÓN]])&gt;PROVEEDORES[[#This Row],[PLAZO Días]],"PAGO VENCIDO")</f>
        <v>0</v>
      </c>
      <c r="C638" s="20">
        <f>+VLOOKUP(PROVEEDORES[[#This Row],[PROVEEDOR]],TERCEROS_INFO[#All],2,FALSE)</f>
        <v>30</v>
      </c>
      <c r="D638" s="25">
        <f>+SUMIFS(PROVEEDORES[Total],PROVEEDORES[PROVEEDOR],PROVEEDORES[[#This Row],[PROVEEDOR]],PROVEEDORES[FECHA DE PAGO],"")</f>
        <v>0</v>
      </c>
      <c r="E638" s="25"/>
      <c r="F638" s="58" t="str">
        <f>+VLOOKUP(PROVEEDORES[[#This Row],[PROVEEDOR]],
                       Terceros!$A:$F,
                       5,
                       FALSE)</f>
        <v/>
      </c>
      <c r="G638" s="161">
        <v>44533</v>
      </c>
      <c r="H638" s="26" t="s">
        <v>661</v>
      </c>
      <c r="I638" s="161">
        <v>44533</v>
      </c>
      <c r="J638" s="35" t="s">
        <v>1355</v>
      </c>
      <c r="K638" s="21">
        <v>424000</v>
      </c>
      <c r="L638" s="21"/>
      <c r="M638" s="22">
        <f>(PROVEEDORES[[#This Row],[SUBTOTAL]]-PROVEEDORES[[#This Row],[descuento sobre subtotal]])*VLOOKUP(PROVEEDORES[[#This Row],[PROVEEDOR]],TERCEROS_INFO[#All],3,FALSE)</f>
        <v>0</v>
      </c>
      <c r="N638" s="23"/>
      <c r="O638" s="22">
        <f>+PROVEEDORES[[#This Row],[Descuento sobre subtotal %]]*(PROVEEDORES[[#This Row],[SUBTOTAL]]-PROVEEDORES[[#This Row],[descuento sobre subtotal]])</f>
        <v>0</v>
      </c>
      <c r="P638" s="83">
        <f>+IF(PROVEEDORES[[#This Row],[SUBTOTAL]]&lt;PROVEEDORES[[#This Row],[base retencion]],0,PROVEEDORES[[#This Row],[retención aplicada]])</f>
        <v>0</v>
      </c>
      <c r="Q638" s="22">
        <f>+PROVEEDORES[[#This Row],[Rete Fuente %]]*(PROVEEDORES[[#This Row],[SUBTOTAL]]-PROVEEDORES[[#This Row],[descuento sobre subtotal]])</f>
        <v>0</v>
      </c>
      <c r="R638" s="21">
        <f>+PROVEEDORES[[#This Row],[SUBTOTAL]]+PROVEEDORES[[#This Row],[IVA 19%]]-PROVEEDORES[[#This Row],[descuento sobre subtotal]]-PROVEEDORES[[#This Row],[Descuento sobre subtotal $2]]-PROVEEDORES[[#This Row],[Rete Fuente $]]</f>
        <v>424000</v>
      </c>
      <c r="S6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68">
        <f ca="1">IF(PROVEEDORES[[#This Row],[FECHA DE PAGO]]=0,TODAY()-PROVEEDORES[[#This Row],[FECHA DE FACTURACIÓN]]-PROVEEDORES[[#This Row],[PLAZO Días]],0)</f>
        <v>0</v>
      </c>
      <c r="U638" s="96">
        <f>+VLOOKUP(PROVEEDORES[[#This Row],[PROVEEDOR]],Terceros!$A:$D,4,FALSE)</f>
        <v>0</v>
      </c>
      <c r="V638" s="97">
        <f>+YEAR(PROVEEDORES[[#This Row],[FECHA DE FACTURACIÓN]])</f>
        <v>2021</v>
      </c>
      <c r="W638" s="97">
        <f>+MATCH(PROVEEDORES[[#This Row],[año facturado]],Retenciones!$1:$1,0)</f>
        <v>4</v>
      </c>
      <c r="X638" s="98">
        <f>+VLOOKUP(PROVEEDORES[[#This Row],[ID RETENCION]],Retenciones!$A$1:$O$25,PROVEEDORES[[#This Row],[indicador de columna]],FALSE)</f>
        <v>0</v>
      </c>
      <c r="Y638" s="99">
        <f>+VLOOKUP(PROVEEDORES[[#This Row],[ID RETENCION]],Retenciones!$A$1:$O$25,2,FALSE)</f>
        <v>0</v>
      </c>
      <c r="Z638" s="125" t="b">
        <f>OR(COUNTIF(PROVEEDORES[[#This Row],[PROVEEDOR]],"*"&amp;'Palabra no opera'!$A$2&amp;"*"))</f>
        <v>0</v>
      </c>
      <c r="AA638" s="24"/>
      <c r="AB638" s="24"/>
      <c r="AC638" s="24"/>
      <c r="AD638" s="24"/>
      <c r="AE638" s="24"/>
    </row>
    <row r="639" spans="1:31" ht="22.2" customHeight="1" x14ac:dyDescent="0.3">
      <c r="A639" s="66" t="str">
        <f>+IF(PROVEEDORES[[#This Row],[FECHA DE PAGO]]=PROVEEDORES[[#This Row],[FECHA DE FACTURACIÓN]],"DE CONTADO","CRÉDITO")</f>
        <v>CRÉDITO</v>
      </c>
      <c r="B639" s="38" t="b">
        <f>+IF((PROVEEDORES[[#This Row],[FECHA DE PAGO]]-PROVEEDORES[[#This Row],[FECHA DE FACTURACIÓN]])&gt;PROVEEDORES[[#This Row],[PLAZO Días]],"PAGO VENCIDO")</f>
        <v>0</v>
      </c>
      <c r="C639" s="20">
        <f>+VLOOKUP(PROVEEDORES[[#This Row],[PROVEEDOR]],TERCEROS_INFO[#All],2,FALSE)</f>
        <v>90</v>
      </c>
      <c r="D639" s="25">
        <f>+SUMIFS(PROVEEDORES[Total],PROVEEDORES[PROVEEDOR],PROVEEDORES[[#This Row],[PROVEEDOR]],PROVEEDORES[FECHA DE PAGO],"")</f>
        <v>2410000</v>
      </c>
      <c r="E639" s="25"/>
      <c r="F639" s="58" t="str">
        <f>+VLOOKUP(PROVEEDORES[[#This Row],[PROVEEDOR]],
                       Terceros!$A:$F,
                       5,
                       FALSE)</f>
        <v/>
      </c>
      <c r="G639" s="161">
        <v>44656</v>
      </c>
      <c r="H639" s="26" t="s">
        <v>651</v>
      </c>
      <c r="I639" s="161">
        <v>44572</v>
      </c>
      <c r="J639" s="35" t="s">
        <v>1554</v>
      </c>
      <c r="K639" s="21">
        <v>425000</v>
      </c>
      <c r="L639" s="21"/>
      <c r="M639" s="22">
        <f>(PROVEEDORES[[#This Row],[SUBTOTAL]]-PROVEEDORES[[#This Row],[descuento sobre subtotal]])*VLOOKUP(PROVEEDORES[[#This Row],[PROVEEDOR]],TERCEROS_INFO[#All],3,FALSE)</f>
        <v>0</v>
      </c>
      <c r="N639" s="23"/>
      <c r="O639" s="22">
        <f>+PROVEEDORES[[#This Row],[Descuento sobre subtotal %]]*(PROVEEDORES[[#This Row],[SUBTOTAL]]-PROVEEDORES[[#This Row],[descuento sobre subtotal]])</f>
        <v>0</v>
      </c>
      <c r="P639" s="83">
        <f>+IF(PROVEEDORES[[#This Row],[SUBTOTAL]]&lt;PROVEEDORES[[#This Row],[base retencion]],0,PROVEEDORES[[#This Row],[retención aplicada]])</f>
        <v>0</v>
      </c>
      <c r="Q639" s="22">
        <f>+PROVEEDORES[[#This Row],[Rete Fuente %]]*(PROVEEDORES[[#This Row],[SUBTOTAL]]-PROVEEDORES[[#This Row],[descuento sobre subtotal]])</f>
        <v>0</v>
      </c>
      <c r="R639" s="21">
        <v>425000</v>
      </c>
      <c r="S6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68">
        <f ca="1">IF(PROVEEDORES[[#This Row],[FECHA DE PAGO]]=0,TODAY()-PROVEEDORES[[#This Row],[FECHA DE FACTURACIÓN]]-PROVEEDORES[[#This Row],[PLAZO Días]],0)</f>
        <v>0</v>
      </c>
      <c r="U639" s="96">
        <f>+VLOOKUP(PROVEEDORES[[#This Row],[PROVEEDOR]],Terceros!$A:$D,4,FALSE)</f>
        <v>0</v>
      </c>
      <c r="V639" s="97">
        <f>+YEAR(PROVEEDORES[[#This Row],[FECHA DE FACTURACIÓN]])</f>
        <v>2022</v>
      </c>
      <c r="W639" s="97">
        <f>+MATCH(PROVEEDORES[[#This Row],[año facturado]],Retenciones!$1:$1,0)</f>
        <v>5</v>
      </c>
      <c r="X639" s="98">
        <f>+VLOOKUP(PROVEEDORES[[#This Row],[ID RETENCION]],Retenciones!$A$1:$O$25,PROVEEDORES[[#This Row],[indicador de columna]],FALSE)</f>
        <v>0</v>
      </c>
      <c r="Y639" s="99">
        <f>+VLOOKUP(PROVEEDORES[[#This Row],[ID RETENCION]],Retenciones!$A$1:$O$25,2,FALSE)</f>
        <v>0</v>
      </c>
      <c r="Z639" s="125" t="b">
        <f>OR(COUNTIF(PROVEEDORES[[#This Row],[PROVEEDOR]],"*"&amp;'Palabra no opera'!$A$2&amp;"*"))</f>
        <v>0</v>
      </c>
      <c r="AA639" s="24"/>
      <c r="AB639" s="24"/>
      <c r="AC639" s="24"/>
      <c r="AD639" s="24"/>
      <c r="AE639" s="24"/>
    </row>
    <row r="640" spans="1:31" ht="22.2" customHeight="1" x14ac:dyDescent="0.3">
      <c r="A640" s="66" t="str">
        <f>+IF(PROVEEDORES[[#This Row],[FECHA DE PAGO]]=PROVEEDORES[[#This Row],[FECHA DE FACTURACIÓN]],"DE CONTADO","CRÉDITO")</f>
        <v>CRÉDITO</v>
      </c>
      <c r="B640" s="38" t="b">
        <f>+IF((PROVEEDORES[[#This Row],[FECHA DE PAGO]]-PROVEEDORES[[#This Row],[FECHA DE FACTURACIÓN]])&gt;PROVEEDORES[[#This Row],[PLAZO Días]],"PAGO VENCIDO")</f>
        <v>0</v>
      </c>
      <c r="C640" s="20">
        <f>+VLOOKUP(PROVEEDORES[[#This Row],[PROVEEDOR]],TERCEROS_INFO[#All],2,FALSE)</f>
        <v>30</v>
      </c>
      <c r="D640" s="25">
        <f>+SUMIFS(PROVEEDORES[Total],PROVEEDORES[PROVEEDOR],PROVEEDORES[[#This Row],[PROVEEDOR]],PROVEEDORES[FECHA DE PAGO],"")</f>
        <v>0</v>
      </c>
      <c r="E640" s="25"/>
      <c r="F640" s="58" t="str">
        <f>+VLOOKUP(PROVEEDORES[[#This Row],[PROVEEDOR]],
                       Terceros!$A:$F,
                       5,
                       FALSE)</f>
        <v/>
      </c>
      <c r="G640" s="161">
        <v>44644</v>
      </c>
      <c r="H640" s="26" t="s">
        <v>638</v>
      </c>
      <c r="I640" s="161">
        <v>44643</v>
      </c>
      <c r="J640" s="35" t="s">
        <v>1580</v>
      </c>
      <c r="K640" s="21">
        <v>425600</v>
      </c>
      <c r="L640" s="21"/>
      <c r="M640" s="22">
        <f>(PROVEEDORES[[#This Row],[SUBTOTAL]]-PROVEEDORES[[#This Row],[descuento sobre subtotal]])*VLOOKUP(PROVEEDORES[[#This Row],[PROVEEDOR]],TERCEROS_INFO[#All],3,FALSE)</f>
        <v>0</v>
      </c>
      <c r="N640" s="23"/>
      <c r="O640" s="22">
        <f>+PROVEEDORES[[#This Row],[Descuento sobre subtotal %]]*(PROVEEDORES[[#This Row],[SUBTOTAL]]-PROVEEDORES[[#This Row],[descuento sobre subtotal]])</f>
        <v>0</v>
      </c>
      <c r="P640" s="83">
        <f>+IF(PROVEEDORES[[#This Row],[SUBTOTAL]]&lt;PROVEEDORES[[#This Row],[base retencion]],0,PROVEEDORES[[#This Row],[retención aplicada]])</f>
        <v>0</v>
      </c>
      <c r="Q640" s="22">
        <f>+PROVEEDORES[[#This Row],[Rete Fuente %]]*(PROVEEDORES[[#This Row],[SUBTOTAL]]-PROVEEDORES[[#This Row],[descuento sobre subtotal]])</f>
        <v>0</v>
      </c>
      <c r="R640" s="21">
        <v>425600</v>
      </c>
      <c r="S6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68">
        <f ca="1">IF(PROVEEDORES[[#This Row],[FECHA DE PAGO]]=0,TODAY()-PROVEEDORES[[#This Row],[FECHA DE FACTURACIÓN]]-PROVEEDORES[[#This Row],[PLAZO Días]],0)</f>
        <v>0</v>
      </c>
      <c r="U640" s="96">
        <f>+VLOOKUP(PROVEEDORES[[#This Row],[PROVEEDOR]],Terceros!$A:$D,4,FALSE)</f>
        <v>0</v>
      </c>
      <c r="V640" s="97">
        <f>+YEAR(PROVEEDORES[[#This Row],[FECHA DE FACTURACIÓN]])</f>
        <v>2022</v>
      </c>
      <c r="W640" s="97">
        <f>+MATCH(PROVEEDORES[[#This Row],[año facturado]],Retenciones!$1:$1,0)</f>
        <v>5</v>
      </c>
      <c r="X640" s="98">
        <f>+VLOOKUP(PROVEEDORES[[#This Row],[ID RETENCION]],Retenciones!$A$1:$O$25,PROVEEDORES[[#This Row],[indicador de columna]],FALSE)</f>
        <v>0</v>
      </c>
      <c r="Y640" s="99">
        <f>+VLOOKUP(PROVEEDORES[[#This Row],[ID RETENCION]],Retenciones!$A$1:$O$25,2,FALSE)</f>
        <v>0</v>
      </c>
      <c r="Z640" s="125" t="b">
        <f>OR(COUNTIF(PROVEEDORES[[#This Row],[PROVEEDOR]],"*"&amp;'Palabra no opera'!$A$2&amp;"*"))</f>
        <v>0</v>
      </c>
      <c r="AA640" s="24"/>
      <c r="AB640" s="24"/>
      <c r="AC640" s="24"/>
      <c r="AD640" s="24"/>
      <c r="AE640" s="24"/>
    </row>
    <row r="641" spans="1:31" ht="22.2" customHeight="1" x14ac:dyDescent="0.3">
      <c r="A641" s="269" t="str">
        <f>+IF(PROVEEDORES[[#This Row],[FECHA DE PAGO]]=PROVEEDORES[[#This Row],[FECHA DE FACTURACIÓN]],"DE CONTADO","CRÉDITO")</f>
        <v>DE CONTADO</v>
      </c>
      <c r="B641" s="38" t="b">
        <f>+IF((PROVEEDORES[[#This Row],[FECHA DE PAGO]]-PROVEEDORES[[#This Row],[FECHA DE FACTURACIÓN]])&gt;PROVEEDORES[[#This Row],[PLAZO Días]],"PAGO VENCIDO")</f>
        <v>0</v>
      </c>
      <c r="C641" s="20">
        <f>+VLOOKUP(PROVEEDORES[[#This Row],[PROVEEDOR]],TERCEROS_INFO[#All],2,FALSE)</f>
        <v>30</v>
      </c>
      <c r="D641" s="25">
        <f>+SUMIFS(PROVEEDORES[Total],PROVEEDORES[PROVEEDOR],PROVEEDORES[[#This Row],[PROVEEDOR]],PROVEEDORES[FECHA DE PAGO],"")</f>
        <v>0</v>
      </c>
      <c r="E641" s="25"/>
      <c r="F641" s="58" t="str">
        <f>+VLOOKUP(PROVEEDORES[[#This Row],[PROVEEDOR]],
                       Terceros!$A:$F,
                       5,
                       FALSE)</f>
        <v/>
      </c>
      <c r="G641" s="161">
        <v>44865</v>
      </c>
      <c r="H641" s="26" t="s">
        <v>644</v>
      </c>
      <c r="I641" s="161">
        <v>44865</v>
      </c>
      <c r="J641" s="35" t="s">
        <v>1831</v>
      </c>
      <c r="K641" s="21">
        <v>426000</v>
      </c>
      <c r="L641" s="21"/>
      <c r="M641" s="22">
        <f>(PROVEEDORES[[#This Row],[SUBTOTAL]]-PROVEEDORES[[#This Row],[descuento sobre subtotal]])*VLOOKUP(PROVEEDORES[[#This Row],[PROVEEDOR]],TERCEROS_INFO[#All],3,FALSE)</f>
        <v>0</v>
      </c>
      <c r="N641" s="23"/>
      <c r="O641" s="22">
        <f>+PROVEEDORES[[#This Row],[Descuento sobre subtotal %]]*(PROVEEDORES[[#This Row],[SUBTOTAL]]-PROVEEDORES[[#This Row],[descuento sobre subtotal]])</f>
        <v>0</v>
      </c>
      <c r="P641" s="83">
        <f>+IF(PROVEEDORES[[#This Row],[SUBTOTAL]]&lt;PROVEEDORES[[#This Row],[base retencion]],0,PROVEEDORES[[#This Row],[retención aplicada]])</f>
        <v>0</v>
      </c>
      <c r="Q641" s="22">
        <f>+PROVEEDORES[[#This Row],[Rete Fuente %]]*(PROVEEDORES[[#This Row],[SUBTOTAL]]-PROVEEDORES[[#This Row],[descuento sobre subtotal]])</f>
        <v>0</v>
      </c>
      <c r="R641" s="21">
        <f>+PROVEEDORES[[#This Row],[SUBTOTAL]]+PROVEEDORES[[#This Row],[IVA 19%]]-PROVEEDORES[[#This Row],[descuento sobre subtotal]]-PROVEEDORES[[#This Row],[Descuento sobre subtotal $2]]-PROVEEDORES[[#This Row],[Rete Fuente $]]</f>
        <v>426000</v>
      </c>
      <c r="S641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68">
        <f ca="1">IF(PROVEEDORES[[#This Row],[FECHA DE PAGO]]=0,TODAY()-PROVEEDORES[[#This Row],[FECHA DE FACTURACIÓN]]-PROVEEDORES[[#This Row],[PLAZO Días]],0)</f>
        <v>0</v>
      </c>
      <c r="U641" s="113">
        <f>+VLOOKUP(PROVEEDORES[[#This Row],[PROVEEDOR]],Terceros!$A:$D,4,FALSE)</f>
        <v>0</v>
      </c>
      <c r="V641" s="114">
        <f>+YEAR(PROVEEDORES[[#This Row],[FECHA DE FACTURACIÓN]])</f>
        <v>2022</v>
      </c>
      <c r="W641" s="114">
        <f>+MATCH(PROVEEDORES[[#This Row],[año facturado]],Retenciones!$1:$1,0)</f>
        <v>5</v>
      </c>
      <c r="X641" s="115">
        <f>+VLOOKUP(PROVEEDORES[[#This Row],[ID RETENCION]],Retenciones!$A$1:$O$25,PROVEEDORES[[#This Row],[indicador de columna]],FALSE)</f>
        <v>0</v>
      </c>
      <c r="Y641" s="116">
        <f>+VLOOKUP(PROVEEDORES[[#This Row],[ID RETENCION]],Retenciones!$A$1:$O$25,2,FALSE)</f>
        <v>0</v>
      </c>
      <c r="Z641" s="125" t="b">
        <f>OR(COUNTIF(PROVEEDORES[[#This Row],[PROVEEDOR]],"*"&amp;'Palabra no opera'!$A$2&amp;"*"))</f>
        <v>0</v>
      </c>
      <c r="AA641" s="24"/>
      <c r="AB641" s="24"/>
      <c r="AC641" s="24"/>
      <c r="AD641" s="24"/>
      <c r="AE641" s="24"/>
    </row>
    <row r="642" spans="1:31" ht="22.2" customHeight="1" x14ac:dyDescent="0.3">
      <c r="A642" s="199" t="str">
        <f>+IF(PROVEEDORES[[#This Row],[FECHA DE PAGO]]=PROVEEDORES[[#This Row],[FECHA DE FACTURACIÓN]],"DE CONTADO","CRÉDITO")</f>
        <v>CRÉDITO</v>
      </c>
      <c r="B642" s="38" t="str">
        <f>+IF((PROVEEDORES[[#This Row],[FECHA DE PAGO]]-PROVEEDORES[[#This Row],[FECHA DE FACTURACIÓN]])&gt;PROVEEDORES[[#This Row],[PLAZO Días]],"PAGO VENCIDO")</f>
        <v>PAGO VENCIDO</v>
      </c>
      <c r="C642" s="20">
        <f>+VLOOKUP(PROVEEDORES[[#This Row],[PROVEEDOR]],TERCEROS_INFO[#All],2,FALSE)</f>
        <v>30</v>
      </c>
      <c r="D642" s="25">
        <f>+SUMIFS(PROVEEDORES[Total],PROVEEDORES[PROVEEDOR],PROVEEDORES[[#This Row],[PROVEEDOR]],PROVEEDORES[FECHA DE PAGO],"")</f>
        <v>1127400.05</v>
      </c>
      <c r="E642" s="25"/>
      <c r="F64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42" s="161">
        <v>44839</v>
      </c>
      <c r="H642" s="26" t="s">
        <v>47</v>
      </c>
      <c r="I642" s="161">
        <v>44786</v>
      </c>
      <c r="J642" s="35" t="s">
        <v>1400</v>
      </c>
      <c r="K642" s="21">
        <v>359725</v>
      </c>
      <c r="L642" s="21"/>
      <c r="M642" s="22">
        <f>(PROVEEDORES[[#This Row],[SUBTOTAL]]-PROVEEDORES[[#This Row],[descuento sobre subtotal]])*VLOOKUP(PROVEEDORES[[#This Row],[PROVEEDOR]],TERCEROS_INFO[#All],3,FALSE)</f>
        <v>68347.75</v>
      </c>
      <c r="N642" s="23"/>
      <c r="O642" s="22">
        <f>+PROVEEDORES[[#This Row],[Descuento sobre subtotal %]]*(PROVEEDORES[[#This Row],[SUBTOTAL]]-PROVEEDORES[[#This Row],[descuento sobre subtotal]])</f>
        <v>0</v>
      </c>
      <c r="P642" s="83">
        <f>+IF(PROVEEDORES[[#This Row],[SUBTOTAL]]&lt;PROVEEDORES[[#This Row],[base retencion]],0,PROVEEDORES[[#This Row],[retención aplicada]])</f>
        <v>0</v>
      </c>
      <c r="Q642" s="22">
        <f>+PROVEEDORES[[#This Row],[Rete Fuente %]]*(PROVEEDORES[[#This Row],[SUBTOTAL]]-PROVEEDORES[[#This Row],[descuento sobre subtotal]])</f>
        <v>0</v>
      </c>
      <c r="R642" s="21">
        <f>+PROVEEDORES[[#This Row],[SUBTOTAL]]+PROVEEDORES[[#This Row],[IVA 19%]]-PROVEEDORES[[#This Row],[descuento sobre subtotal]]-PROVEEDORES[[#This Row],[Descuento sobre subtotal $2]]-PROVEEDORES[[#This Row],[Rete Fuente $]]</f>
        <v>428072.75</v>
      </c>
      <c r="S642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68">
        <f ca="1">IF(PROVEEDORES[[#This Row],[FECHA DE PAGO]]=0,TODAY()-PROVEEDORES[[#This Row],[FECHA DE FACTURACIÓN]]-PROVEEDORES[[#This Row],[PLAZO Días]],0)</f>
        <v>0</v>
      </c>
      <c r="U642" s="113" t="str">
        <f>+VLOOKUP(PROVEEDORES[[#This Row],[PROVEEDOR]],Terceros!$A:$D,4,FALSE)</f>
        <v>2,5% con base</v>
      </c>
      <c r="V642" s="114">
        <f>+YEAR(PROVEEDORES[[#This Row],[FECHA DE FACTURACIÓN]])</f>
        <v>2022</v>
      </c>
      <c r="W642" s="114">
        <f>+MATCH(PROVEEDORES[[#This Row],[año facturado]],Retenciones!$1:$1,0)</f>
        <v>5</v>
      </c>
      <c r="X642" s="115">
        <f>+VLOOKUP(PROVEEDORES[[#This Row],[ID RETENCION]],Retenciones!$A$1:$O$25,PROVEEDORES[[#This Row],[indicador de columna]],FALSE)</f>
        <v>1026000</v>
      </c>
      <c r="Y642" s="116">
        <f>+VLOOKUP(PROVEEDORES[[#This Row],[ID RETENCION]],Retenciones!$A$1:$O$25,2,FALSE)</f>
        <v>2.5000000000000001E-2</v>
      </c>
      <c r="Z642" s="125" t="b">
        <f>OR(COUNTIF(PROVEEDORES[[#This Row],[PROVEEDOR]],"*"&amp;'Palabra no opera'!$A$2&amp;"*"))</f>
        <v>0</v>
      </c>
      <c r="AA642" s="24"/>
      <c r="AB642" s="24"/>
      <c r="AC642" s="24"/>
      <c r="AD642" s="24"/>
      <c r="AE642" s="24"/>
    </row>
    <row r="643" spans="1:31" ht="22.2" customHeight="1" x14ac:dyDescent="0.3">
      <c r="A643" s="185" t="str">
        <f>+IF(PROVEEDORES[[#This Row],[FECHA DE PAGO]]=PROVEEDORES[[#This Row],[FECHA DE FACTURACIÓN]],"DE CONTADO","CRÉDITO")</f>
        <v>CRÉDITO</v>
      </c>
      <c r="B643" s="38" t="b">
        <f>+IF((PROVEEDORES[[#This Row],[FECHA DE PAGO]]-PROVEEDORES[[#This Row],[FECHA DE FACTURACIÓN]])&gt;PROVEEDORES[[#This Row],[PLAZO Días]],"PAGO VENCIDO")</f>
        <v>0</v>
      </c>
      <c r="C643" s="20">
        <f>+VLOOKUP(PROVEEDORES[[#This Row],[PROVEEDOR]],TERCEROS_INFO[#All],2,FALSE)</f>
        <v>60</v>
      </c>
      <c r="D643" s="25">
        <f>+SUMIFS(PROVEEDORES[Total],PROVEEDORES[PROVEEDOR],PROVEEDORES[[#This Row],[PROVEEDOR]],PROVEEDORES[FECHA DE PAGO],"")</f>
        <v>1520362</v>
      </c>
      <c r="E643" s="25"/>
      <c r="F64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643" s="161">
        <v>44811</v>
      </c>
      <c r="H643" s="26" t="s">
        <v>528</v>
      </c>
      <c r="I643" s="161">
        <v>44757</v>
      </c>
      <c r="J643" s="35" t="s">
        <v>1618</v>
      </c>
      <c r="K643" s="21">
        <v>428208</v>
      </c>
      <c r="L643" s="21"/>
      <c r="M643" s="22">
        <f>(PROVEEDORES[[#This Row],[SUBTOTAL]]-PROVEEDORES[[#This Row],[descuento sobre subtotal]])*VLOOKUP(PROVEEDORES[[#This Row],[PROVEEDOR]],TERCEROS_INFO[#All],3,FALSE)</f>
        <v>0</v>
      </c>
      <c r="N643" s="23"/>
      <c r="O643" s="22">
        <f>+PROVEEDORES[[#This Row],[Descuento sobre subtotal %]]*(PROVEEDORES[[#This Row],[SUBTOTAL]]-PROVEEDORES[[#This Row],[descuento sobre subtotal]])</f>
        <v>0</v>
      </c>
      <c r="P643" s="83">
        <f>+IF(PROVEEDORES[[#This Row],[SUBTOTAL]]&lt;PROVEEDORES[[#This Row],[base retencion]],0,PROVEEDORES[[#This Row],[retención aplicada]])</f>
        <v>0</v>
      </c>
      <c r="Q643" s="22">
        <f>+PROVEEDORES[[#This Row],[Rete Fuente %]]*(PROVEEDORES[[#This Row],[SUBTOTAL]]-PROVEEDORES[[#This Row],[descuento sobre subtotal]])</f>
        <v>0</v>
      </c>
      <c r="R643" s="21">
        <f>+PROVEEDORES[[#This Row],[SUBTOTAL]]+PROVEEDORES[[#This Row],[IVA 19%]]-PROVEEDORES[[#This Row],[descuento sobre subtotal]]-PROVEEDORES[[#This Row],[Descuento sobre subtotal $2]]-PROVEEDORES[[#This Row],[Rete Fuente $]]</f>
        <v>428208</v>
      </c>
      <c r="S643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68">
        <f ca="1">IF(PROVEEDORES[[#This Row],[FECHA DE PAGO]]=0,TODAY()-PROVEEDORES[[#This Row],[FECHA DE FACTURACIÓN]]-PROVEEDORES[[#This Row],[PLAZO Días]],0)</f>
        <v>0</v>
      </c>
      <c r="U643" s="113">
        <f>+VLOOKUP(PROVEEDORES[[#This Row],[PROVEEDOR]],Terceros!$A:$D,4,FALSE)</f>
        <v>0</v>
      </c>
      <c r="V643" s="114">
        <f>+YEAR(PROVEEDORES[[#This Row],[FECHA DE FACTURACIÓN]])</f>
        <v>2022</v>
      </c>
      <c r="W643" s="114">
        <f>+MATCH(PROVEEDORES[[#This Row],[año facturado]],Retenciones!$1:$1,0)</f>
        <v>5</v>
      </c>
      <c r="X643" s="115">
        <f>+VLOOKUP(PROVEEDORES[[#This Row],[ID RETENCION]],Retenciones!$A$1:$O$25,PROVEEDORES[[#This Row],[indicador de columna]],FALSE)</f>
        <v>0</v>
      </c>
      <c r="Y643" s="116">
        <f>+VLOOKUP(PROVEEDORES[[#This Row],[ID RETENCION]],Retenciones!$A$1:$O$25,2,FALSE)</f>
        <v>0</v>
      </c>
      <c r="Z643" s="125" t="b">
        <f>OR(COUNTIF(PROVEEDORES[[#This Row],[PROVEEDOR]],"*"&amp;'Palabra no opera'!$A$2&amp;"*"))</f>
        <v>0</v>
      </c>
      <c r="AA643" s="24"/>
      <c r="AB643" s="24"/>
      <c r="AC643" s="24"/>
      <c r="AD643" s="24"/>
      <c r="AE643" s="24"/>
    </row>
    <row r="644" spans="1:31" ht="22.2" customHeight="1" x14ac:dyDescent="0.3">
      <c r="A644" s="66" t="str">
        <f>+IF(PROVEEDORES[[#This Row],[FECHA DE PAGO]]=PROVEEDORES[[#This Row],[FECHA DE FACTURACIÓN]],"DE CONTADO","CRÉDITO")</f>
        <v>CRÉDITO</v>
      </c>
      <c r="B644" s="38" t="b">
        <f>+IF((PROVEEDORES[[#This Row],[FECHA DE PAGO]]-PROVEEDORES[[#This Row],[FECHA DE FACTURACIÓN]])&gt;PROVEEDORES[[#This Row],[PLAZO Días]],"PAGO VENCIDO")</f>
        <v>0</v>
      </c>
      <c r="C644" s="20">
        <f>+VLOOKUP(PROVEEDORES[[#This Row],[PROVEEDOR]],TERCEROS_INFO[#All],2,FALSE)</f>
        <v>30</v>
      </c>
      <c r="D644" s="25">
        <f>+SUMIFS(PROVEEDORES[Total],PROVEEDORES[PROVEEDOR],PROVEEDORES[[#This Row],[PROVEEDOR]],PROVEEDORES[FECHA DE PAGO],"")</f>
        <v>4712021.58</v>
      </c>
      <c r="E644" s="25"/>
      <c r="F64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44" s="161">
        <v>44537</v>
      </c>
      <c r="H644" s="26" t="s">
        <v>17</v>
      </c>
      <c r="I644" s="161">
        <v>44517</v>
      </c>
      <c r="J644" s="35">
        <v>1840884</v>
      </c>
      <c r="K644" s="21">
        <v>361000</v>
      </c>
      <c r="L644" s="21"/>
      <c r="M644" s="22">
        <f>(PROVEEDORES[[#This Row],[SUBTOTAL]]-PROVEEDORES[[#This Row],[descuento sobre subtotal]])*VLOOKUP(PROVEEDORES[[#This Row],[PROVEEDOR]],TERCEROS_INFO[#All],3,FALSE)</f>
        <v>68590</v>
      </c>
      <c r="N644" s="23"/>
      <c r="O644" s="22">
        <f>+PROVEEDORES[[#This Row],[Descuento sobre subtotal %]]*(PROVEEDORES[[#This Row],[SUBTOTAL]]-PROVEEDORES[[#This Row],[descuento sobre subtotal]])</f>
        <v>0</v>
      </c>
      <c r="P644" s="83">
        <f>+IF(PROVEEDORES[[#This Row],[SUBTOTAL]]&lt;PROVEEDORES[[#This Row],[base retencion]],0,PROVEEDORES[[#This Row],[retención aplicada]])</f>
        <v>0</v>
      </c>
      <c r="Q644" s="22">
        <f>+PROVEEDORES[[#This Row],[Rete Fuente %]]*(PROVEEDORES[[#This Row],[SUBTOTAL]]-PROVEEDORES[[#This Row],[descuento sobre subtotal]])</f>
        <v>0</v>
      </c>
      <c r="R644" s="21">
        <f>+PROVEEDORES[[#This Row],[SUBTOTAL]]+PROVEEDORES[[#This Row],[IVA 19%]]-PROVEEDORES[[#This Row],[descuento sobre subtotal]]-PROVEEDORES[[#This Row],[Descuento sobre subtotal $2]]-PROVEEDORES[[#This Row],[Rete Fuente $]]</f>
        <v>429590</v>
      </c>
      <c r="S6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68">
        <f ca="1">IF(PROVEEDORES[[#This Row],[FECHA DE PAGO]]=0,TODAY()-PROVEEDORES[[#This Row],[FECHA DE FACTURACIÓN]]-PROVEEDORES[[#This Row],[PLAZO Días]],0)</f>
        <v>0</v>
      </c>
      <c r="U644" s="96">
        <f>+VLOOKUP(PROVEEDORES[[#This Row],[PROVEEDOR]],Terceros!$A:$D,4,FALSE)</f>
        <v>0</v>
      </c>
      <c r="V644" s="97">
        <f>+YEAR(PROVEEDORES[[#This Row],[FECHA DE FACTURACIÓN]])</f>
        <v>2021</v>
      </c>
      <c r="W644" s="97">
        <f>+MATCH(PROVEEDORES[[#This Row],[año facturado]],Retenciones!$1:$1,0)</f>
        <v>4</v>
      </c>
      <c r="X644" s="98">
        <f>+VLOOKUP(PROVEEDORES[[#This Row],[ID RETENCION]],Retenciones!$A$1:$O$25,PROVEEDORES[[#This Row],[indicador de columna]],FALSE)</f>
        <v>0</v>
      </c>
      <c r="Y644" s="99">
        <f>+VLOOKUP(PROVEEDORES[[#This Row],[ID RETENCION]],Retenciones!$A$1:$O$25,2,FALSE)</f>
        <v>0</v>
      </c>
      <c r="Z644" s="125" t="b">
        <f>OR(COUNTIF(PROVEEDORES[[#This Row],[PROVEEDOR]],"*"&amp;'Palabra no opera'!$A$2&amp;"*"))</f>
        <v>0</v>
      </c>
      <c r="AA644" s="24"/>
      <c r="AB644" s="24"/>
      <c r="AC644" s="24"/>
      <c r="AD644" s="24"/>
      <c r="AE644" s="24"/>
    </row>
    <row r="645" spans="1:31" ht="22.2" customHeight="1" x14ac:dyDescent="0.3">
      <c r="A645" s="66" t="str">
        <f>+IF(PROVEEDORES[[#This Row],[FECHA DE PAGO]]=PROVEEDORES[[#This Row],[FECHA DE FACTURACIÓN]],"DE CONTADO","CRÉDITO")</f>
        <v>CRÉDITO</v>
      </c>
      <c r="B645" s="38" t="b">
        <f>+IF((PROVEEDORES[[#This Row],[FECHA DE PAGO]]-PROVEEDORES[[#This Row],[FECHA DE FACTURACIÓN]])&gt;PROVEEDORES[[#This Row],[PLAZO Días]],"PAGO VENCIDO")</f>
        <v>0</v>
      </c>
      <c r="C645" s="20">
        <f>+VLOOKUP(PROVEEDORES[[#This Row],[PROVEEDOR]],TERCEROS_INFO[#All],2,FALSE)</f>
        <v>30</v>
      </c>
      <c r="D645" s="25">
        <f>+SUMIFS(PROVEEDORES[Total],PROVEEDORES[PROVEEDOR],PROVEEDORES[[#This Row],[PROVEEDOR]],PROVEEDORES[FECHA DE PAGO],"")</f>
        <v>4712021.58</v>
      </c>
      <c r="E645" s="25"/>
      <c r="F64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45" s="161">
        <v>44279</v>
      </c>
      <c r="H645" s="26" t="s">
        <v>17</v>
      </c>
      <c r="I645" s="161">
        <v>44319</v>
      </c>
      <c r="J645" s="35">
        <v>1735621</v>
      </c>
      <c r="K645" s="21">
        <v>363600</v>
      </c>
      <c r="L645" s="21"/>
      <c r="M645" s="22">
        <f>(PROVEEDORES[[#This Row],[SUBTOTAL]]-PROVEEDORES[[#This Row],[descuento sobre subtotal]])*VLOOKUP(PROVEEDORES[[#This Row],[PROVEEDOR]],TERCEROS_INFO[#All],3,FALSE)</f>
        <v>69084</v>
      </c>
      <c r="N645" s="23"/>
      <c r="O645" s="22">
        <f>+PROVEEDORES[[#This Row],[Descuento sobre subtotal %]]*(PROVEEDORES[[#This Row],[SUBTOTAL]]-PROVEEDORES[[#This Row],[descuento sobre subtotal]])</f>
        <v>0</v>
      </c>
      <c r="P645" s="83">
        <f>+IF(PROVEEDORES[[#This Row],[SUBTOTAL]]&lt;PROVEEDORES[[#This Row],[base retencion]],0,PROVEEDORES[[#This Row],[retención aplicada]])</f>
        <v>0</v>
      </c>
      <c r="Q645" s="22">
        <f>+PROVEEDORES[[#This Row],[Rete Fuente %]]*(PROVEEDORES[[#This Row],[SUBTOTAL]]-PROVEEDORES[[#This Row],[descuento sobre subtotal]])</f>
        <v>0</v>
      </c>
      <c r="R645" s="21">
        <f>+PROVEEDORES[[#This Row],[SUBTOTAL]]+PROVEEDORES[[#This Row],[IVA 19%]]-PROVEEDORES[[#This Row],[descuento sobre subtotal]]-PROVEEDORES[[#This Row],[Descuento sobre subtotal $2]]-PROVEEDORES[[#This Row],[Rete Fuente $]]</f>
        <v>432684</v>
      </c>
      <c r="S6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68">
        <f ca="1">IF(PROVEEDORES[[#This Row],[FECHA DE PAGO]]=0,TODAY()-PROVEEDORES[[#This Row],[FECHA DE FACTURACIÓN]]-PROVEEDORES[[#This Row],[PLAZO Días]],0)</f>
        <v>0</v>
      </c>
      <c r="U645" s="96">
        <f>+VLOOKUP(PROVEEDORES[[#This Row],[PROVEEDOR]],Terceros!$A:$D,4,FALSE)</f>
        <v>0</v>
      </c>
      <c r="V645" s="97">
        <f>+YEAR(PROVEEDORES[[#This Row],[FECHA DE FACTURACIÓN]])</f>
        <v>2021</v>
      </c>
      <c r="W645" s="97">
        <f>+MATCH(PROVEEDORES[[#This Row],[año facturado]],Retenciones!$1:$1,0)</f>
        <v>4</v>
      </c>
      <c r="X645" s="98">
        <f>+VLOOKUP(PROVEEDORES[[#This Row],[ID RETENCION]],Retenciones!$A$1:$O$25,PROVEEDORES[[#This Row],[indicador de columna]],FALSE)</f>
        <v>0</v>
      </c>
      <c r="Y645" s="99">
        <f>+VLOOKUP(PROVEEDORES[[#This Row],[ID RETENCION]],Retenciones!$A$1:$O$25,2,FALSE)</f>
        <v>0</v>
      </c>
      <c r="Z645" s="125" t="b">
        <f>OR(COUNTIF(PROVEEDORES[[#This Row],[PROVEEDOR]],"*"&amp;'Palabra no opera'!$A$2&amp;"*"))</f>
        <v>0</v>
      </c>
      <c r="AA645" s="24"/>
      <c r="AB645" s="24"/>
      <c r="AC645" s="24"/>
      <c r="AD645" s="24"/>
      <c r="AE645" s="24"/>
    </row>
    <row r="646" spans="1:31" ht="22.2" customHeight="1" x14ac:dyDescent="0.3">
      <c r="A646" s="221" t="str">
        <f>+IF(PROVEEDORES[[#This Row],[FECHA DE PAGO]]=PROVEEDORES[[#This Row],[FECHA DE FACTURACIÓN]],"DE CONTADO","CRÉDITO")</f>
        <v>CRÉDITO</v>
      </c>
      <c r="B646" s="38" t="str">
        <f>+IF((PROVEEDORES[[#This Row],[FECHA DE PAGO]]-PROVEEDORES[[#This Row],[FECHA DE FACTURACIÓN]])&gt;PROVEEDORES[[#This Row],[PLAZO Días]],"PAGO VENCIDO")</f>
        <v>PAGO VENCIDO</v>
      </c>
      <c r="C646" s="20">
        <f>+VLOOKUP(PROVEEDORES[[#This Row],[PROVEEDOR]],TERCEROS_INFO[#All],2,FALSE)</f>
        <v>30</v>
      </c>
      <c r="D646" s="25">
        <f>+SUMIFS(PROVEEDORES[Total],PROVEEDORES[PROVEEDOR],PROVEEDORES[[#This Row],[PROVEEDOR]],PROVEEDORES[FECHA DE PAGO],"")</f>
        <v>2223034.2400000002</v>
      </c>
      <c r="E646" s="25"/>
      <c r="F64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46" s="161">
        <v>44869</v>
      </c>
      <c r="H646" s="26" t="s">
        <v>216</v>
      </c>
      <c r="I646" s="161">
        <v>44819</v>
      </c>
      <c r="J646" s="35" t="s">
        <v>1676</v>
      </c>
      <c r="K646" s="21">
        <v>364706</v>
      </c>
      <c r="L646" s="21"/>
      <c r="M646" s="22">
        <f>(PROVEEDORES[[#This Row],[SUBTOTAL]]-PROVEEDORES[[#This Row],[descuento sobre subtotal]])*VLOOKUP(PROVEEDORES[[#This Row],[PROVEEDOR]],TERCEROS_INFO[#All],3,FALSE)</f>
        <v>69294.14</v>
      </c>
      <c r="N646" s="23"/>
      <c r="O646" s="22">
        <f>+PROVEEDORES[[#This Row],[Descuento sobre subtotal %]]*(PROVEEDORES[[#This Row],[SUBTOTAL]]-PROVEEDORES[[#This Row],[descuento sobre subtotal]])</f>
        <v>0</v>
      </c>
      <c r="P646" s="83">
        <f>+IF(PROVEEDORES[[#This Row],[SUBTOTAL]]&lt;PROVEEDORES[[#This Row],[base retencion]],0,PROVEEDORES[[#This Row],[retención aplicada]])</f>
        <v>0</v>
      </c>
      <c r="Q646" s="22">
        <f>+PROVEEDORES[[#This Row],[Rete Fuente %]]*(PROVEEDORES[[#This Row],[SUBTOTAL]]-PROVEEDORES[[#This Row],[descuento sobre subtotal]])</f>
        <v>0</v>
      </c>
      <c r="R646" s="21">
        <f>+PROVEEDORES[[#This Row],[SUBTOTAL]]+PROVEEDORES[[#This Row],[IVA 19%]]-PROVEEDORES[[#This Row],[descuento sobre subtotal]]-PROVEEDORES[[#This Row],[Descuento sobre subtotal $2]]-PROVEEDORES[[#This Row],[Rete Fuente $]]</f>
        <v>434000.14</v>
      </c>
      <c r="S646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68">
        <f ca="1">IF(PROVEEDORES[[#This Row],[FECHA DE PAGO]]=0,TODAY()-PROVEEDORES[[#This Row],[FECHA DE FACTURACIÓN]]-PROVEEDORES[[#This Row],[PLAZO Días]],0)</f>
        <v>0</v>
      </c>
      <c r="U646" s="113" t="str">
        <f>+VLOOKUP(PROVEEDORES[[#This Row],[PROVEEDOR]],Terceros!$A:$D,4,FALSE)</f>
        <v>2,5% con base</v>
      </c>
      <c r="V646" s="114">
        <f>+YEAR(PROVEEDORES[[#This Row],[FECHA DE FACTURACIÓN]])</f>
        <v>2022</v>
      </c>
      <c r="W646" s="114">
        <f>+MATCH(PROVEEDORES[[#This Row],[año facturado]],Retenciones!$1:$1,0)</f>
        <v>5</v>
      </c>
      <c r="X646" s="115">
        <f>+VLOOKUP(PROVEEDORES[[#This Row],[ID RETENCION]],Retenciones!$A$1:$O$25,PROVEEDORES[[#This Row],[indicador de columna]],FALSE)</f>
        <v>1026000</v>
      </c>
      <c r="Y646" s="116">
        <f>+VLOOKUP(PROVEEDORES[[#This Row],[ID RETENCION]],Retenciones!$A$1:$O$25,2,FALSE)</f>
        <v>2.5000000000000001E-2</v>
      </c>
      <c r="Z646" s="125" t="b">
        <f>OR(COUNTIF(PROVEEDORES[[#This Row],[PROVEEDOR]],"*"&amp;'Palabra no opera'!$A$2&amp;"*"))</f>
        <v>0</v>
      </c>
      <c r="AA646" s="24"/>
      <c r="AB646" s="24"/>
      <c r="AC646" s="24"/>
      <c r="AD646" s="24"/>
      <c r="AE646" s="24"/>
    </row>
    <row r="647" spans="1:31" ht="22.2" customHeight="1" x14ac:dyDescent="0.3">
      <c r="A647" s="72" t="str">
        <f>+IF(PROVEEDORES[[#This Row],[FECHA DE PAGO]]=PROVEEDORES[[#This Row],[FECHA DE FACTURACIÓN]],"DE CONTADO","CRÉDITO")</f>
        <v>CRÉDITO</v>
      </c>
      <c r="B647" s="38" t="b">
        <f>+IF((PROVEEDORES[[#This Row],[FECHA DE PAGO]]-PROVEEDORES[[#This Row],[FECHA DE FACTURACIÓN]])&gt;PROVEEDORES[[#This Row],[PLAZO Días]],"PAGO VENCIDO")</f>
        <v>0</v>
      </c>
      <c r="C647" s="20">
        <f>+VLOOKUP(PROVEEDORES[[#This Row],[PROVEEDOR]],TERCEROS_INFO[#All],2,FALSE)</f>
        <v>30</v>
      </c>
      <c r="D647" s="25">
        <f>+SUMIFS(PROVEEDORES[Total],PROVEEDORES[PROVEEDOR],PROVEEDORES[[#This Row],[PROVEEDOR]],PROVEEDORES[FECHA DE PAGO],"")</f>
        <v>0</v>
      </c>
      <c r="E647" s="25"/>
      <c r="F64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47" s="161">
        <v>44847</v>
      </c>
      <c r="H647" s="26" t="s">
        <v>1450</v>
      </c>
      <c r="I647" s="161">
        <v>44841</v>
      </c>
      <c r="J647" s="35">
        <v>362</v>
      </c>
      <c r="K647" s="21">
        <v>437000</v>
      </c>
      <c r="L647" s="21"/>
      <c r="M647" s="22">
        <f>(PROVEEDORES[[#This Row],[SUBTOTAL]]-PROVEEDORES[[#This Row],[descuento sobre subtotal]])*VLOOKUP(PROVEEDORES[[#This Row],[PROVEEDOR]],TERCEROS_INFO[#All],3,FALSE)</f>
        <v>0</v>
      </c>
      <c r="N647" s="23"/>
      <c r="O647" s="22">
        <f>+PROVEEDORES[[#This Row],[Descuento sobre subtotal %]]*(PROVEEDORES[[#This Row],[SUBTOTAL]]-PROVEEDORES[[#This Row],[descuento sobre subtotal]])</f>
        <v>0</v>
      </c>
      <c r="P647" s="83">
        <f>+IF(PROVEEDORES[[#This Row],[SUBTOTAL]]&lt;PROVEEDORES[[#This Row],[base retencion]],0,PROVEEDORES[[#This Row],[retención aplicada]])</f>
        <v>0</v>
      </c>
      <c r="Q647" s="22">
        <f>+PROVEEDORES[[#This Row],[Rete Fuente %]]*(PROVEEDORES[[#This Row],[SUBTOTAL]]-PROVEEDORES[[#This Row],[descuento sobre subtotal]])</f>
        <v>0</v>
      </c>
      <c r="R647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64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68">
        <f ca="1">IF(PROVEEDORES[[#This Row],[FECHA DE PAGO]]=0,TODAY()-PROVEEDORES[[#This Row],[FECHA DE FACTURACIÓN]]-PROVEEDORES[[#This Row],[PLAZO Días]],0)</f>
        <v>0</v>
      </c>
      <c r="U647" s="113">
        <f>+VLOOKUP(PROVEEDORES[[#This Row],[PROVEEDOR]],Terceros!$A:$D,4,FALSE)</f>
        <v>0</v>
      </c>
      <c r="V647" s="114">
        <f>+YEAR(PROVEEDORES[[#This Row],[FECHA DE FACTURACIÓN]])</f>
        <v>2022</v>
      </c>
      <c r="W647" s="114">
        <f>+MATCH(PROVEEDORES[[#This Row],[año facturado]],Retenciones!$1:$1,0)</f>
        <v>5</v>
      </c>
      <c r="X647" s="115">
        <f>+VLOOKUP(PROVEEDORES[[#This Row],[ID RETENCION]],Retenciones!$A$1:$O$25,PROVEEDORES[[#This Row],[indicador de columna]],FALSE)</f>
        <v>0</v>
      </c>
      <c r="Y647" s="116">
        <f>+VLOOKUP(PROVEEDORES[[#This Row],[ID RETENCION]],Retenciones!$A$1:$O$25,2,FALSE)</f>
        <v>0</v>
      </c>
      <c r="Z647" s="125" t="b">
        <f>OR(COUNTIF(PROVEEDORES[[#This Row],[PROVEEDOR]],"*"&amp;'Palabra no opera'!$A$2&amp;"*"))</f>
        <v>0</v>
      </c>
      <c r="AA647" s="24"/>
      <c r="AB647" s="24"/>
      <c r="AC647" s="24"/>
      <c r="AD647" s="24"/>
      <c r="AE647" s="24"/>
    </row>
    <row r="648" spans="1:31" ht="22.2" customHeight="1" x14ac:dyDescent="0.3">
      <c r="A648" s="72" t="str">
        <f>+IF(PROVEEDORES[[#This Row],[FECHA DE PAGO]]=PROVEEDORES[[#This Row],[FECHA DE FACTURACIÓN]],"DE CONTADO","CRÉDITO")</f>
        <v>CRÉDITO</v>
      </c>
      <c r="B648" s="38" t="str">
        <f>+IF((PROVEEDORES[[#This Row],[FECHA DE PAGO]]-PROVEEDORES[[#This Row],[FECHA DE FACTURACIÓN]])&gt;PROVEEDORES[[#This Row],[PLAZO Días]],"PAGO VENCIDO")</f>
        <v>PAGO VENCIDO</v>
      </c>
      <c r="C648" s="20">
        <f>+VLOOKUP(PROVEEDORES[[#This Row],[PROVEEDOR]],TERCEROS_INFO[#All],2,FALSE)</f>
        <v>30</v>
      </c>
      <c r="D648" s="25">
        <f>+SUMIFS(PROVEEDORES[Total],PROVEEDORES[PROVEEDOR],PROVEEDORES[[#This Row],[PROVEEDOR]],PROVEEDORES[FECHA DE PAGO],"")</f>
        <v>1194849.25</v>
      </c>
      <c r="E648" s="25"/>
      <c r="F648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648" s="161">
        <v>44783</v>
      </c>
      <c r="H648" s="26" t="s">
        <v>32</v>
      </c>
      <c r="I648" s="161">
        <v>44749</v>
      </c>
      <c r="J648" s="35" t="s">
        <v>1151</v>
      </c>
      <c r="K648" s="21">
        <v>368487.39</v>
      </c>
      <c r="L648" s="21"/>
      <c r="M648" s="22">
        <f>(PROVEEDORES[[#This Row],[SUBTOTAL]]-PROVEEDORES[[#This Row],[descuento sobre subtotal]])*VLOOKUP(PROVEEDORES[[#This Row],[PROVEEDOR]],TERCEROS_INFO[#All],3,FALSE)</f>
        <v>70012.604099999997</v>
      </c>
      <c r="N648" s="23"/>
      <c r="O648" s="22">
        <f>+PROVEEDORES[[#This Row],[Descuento sobre subtotal %]]*(PROVEEDORES[[#This Row],[SUBTOTAL]]-PROVEEDORES[[#This Row],[descuento sobre subtotal]])</f>
        <v>0</v>
      </c>
      <c r="P648" s="83">
        <f>+IF(PROVEEDORES[[#This Row],[SUBTOTAL]]&lt;PROVEEDORES[[#This Row],[base retencion]],0,PROVEEDORES[[#This Row],[retención aplicada]])</f>
        <v>0</v>
      </c>
      <c r="Q648" s="22">
        <f>+PROVEEDORES[[#This Row],[Rete Fuente %]]*(PROVEEDORES[[#This Row],[SUBTOTAL]]-PROVEEDORES[[#This Row],[descuento sobre subtotal]])</f>
        <v>0</v>
      </c>
      <c r="R648" s="21">
        <f>+PROVEEDORES[[#This Row],[SUBTOTAL]]+PROVEEDORES[[#This Row],[IVA 19%]]-PROVEEDORES[[#This Row],[descuento sobre subtotal]]-PROVEEDORES[[#This Row],[Descuento sobre subtotal $2]]-PROVEEDORES[[#This Row],[Rete Fuente $]]</f>
        <v>438499.99410000001</v>
      </c>
      <c r="S64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68">
        <f ca="1">IF(PROVEEDORES[[#This Row],[FECHA DE PAGO]]=0,TODAY()-PROVEEDORES[[#This Row],[FECHA DE FACTURACIÓN]]-PROVEEDORES[[#This Row],[PLAZO Días]],0)</f>
        <v>0</v>
      </c>
      <c r="U648" s="113" t="str">
        <f>+VLOOKUP(PROVEEDORES[[#This Row],[PROVEEDOR]],Terceros!$A:$D,4,FALSE)</f>
        <v>2,5% con base</v>
      </c>
      <c r="V648" s="114">
        <f>+YEAR(PROVEEDORES[[#This Row],[FECHA DE FACTURACIÓN]])</f>
        <v>2022</v>
      </c>
      <c r="W648" s="114">
        <f>+MATCH(PROVEEDORES[[#This Row],[año facturado]],Retenciones!$1:$1,0)</f>
        <v>5</v>
      </c>
      <c r="X648" s="115">
        <f>+VLOOKUP(PROVEEDORES[[#This Row],[ID RETENCION]],Retenciones!$A$1:$O$25,PROVEEDORES[[#This Row],[indicador de columna]],FALSE)</f>
        <v>1026000</v>
      </c>
      <c r="Y648" s="116">
        <f>+VLOOKUP(PROVEEDORES[[#This Row],[ID RETENCION]],Retenciones!$A$1:$O$25,2,FALSE)</f>
        <v>2.5000000000000001E-2</v>
      </c>
      <c r="Z648" s="125" t="b">
        <f>OR(COUNTIF(PROVEEDORES[[#This Row],[PROVEEDOR]],"*"&amp;'Palabra no opera'!$A$2&amp;"*"))</f>
        <v>0</v>
      </c>
      <c r="AA648" s="24"/>
      <c r="AB648" s="24"/>
      <c r="AC648" s="24"/>
      <c r="AD648" s="24"/>
      <c r="AE648" s="24"/>
    </row>
    <row r="649" spans="1:31" ht="22.2" customHeight="1" x14ac:dyDescent="0.3">
      <c r="A649" s="66" t="str">
        <f>+IF(PROVEEDORES[[#This Row],[FECHA DE PAGO]]=PROVEEDORES[[#This Row],[FECHA DE FACTURACIÓN]],"DE CONTADO","CRÉDITO")</f>
        <v>CRÉDITO</v>
      </c>
      <c r="B649" s="38" t="str">
        <f>+IF((PROVEEDORES[[#This Row],[FECHA DE PAGO]]-PROVEEDORES[[#This Row],[FECHA DE FACTURACIÓN]])&gt;PROVEEDORES[[#This Row],[PLAZO Días]],"PAGO VENCIDO")</f>
        <v>PAGO VENCIDO</v>
      </c>
      <c r="C649" s="20">
        <f>+VLOOKUP(PROVEEDORES[[#This Row],[PROVEEDOR]],TERCEROS_INFO[#All],2,FALSE)</f>
        <v>20</v>
      </c>
      <c r="D649" s="25">
        <f>+SUMIFS(PROVEEDORES[Total],PROVEEDORES[PROVEEDOR],PROVEEDORES[[#This Row],[PROVEEDOR]],PROVEEDORES[FECHA DE PAGO],"")</f>
        <v>0</v>
      </c>
      <c r="E649" s="25"/>
      <c r="F649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649" s="161">
        <v>44321</v>
      </c>
      <c r="H649" s="26" t="s">
        <v>397</v>
      </c>
      <c r="I649" s="161">
        <v>44294</v>
      </c>
      <c r="J649" s="35" t="s">
        <v>1206</v>
      </c>
      <c r="K649" s="21">
        <v>443400</v>
      </c>
      <c r="L649" s="21"/>
      <c r="M649" s="22">
        <f>(PROVEEDORES[[#This Row],[SUBTOTAL]]-PROVEEDORES[[#This Row],[descuento sobre subtotal]])*VLOOKUP(PROVEEDORES[[#This Row],[PROVEEDOR]],TERCEROS_INFO[#All],3,FALSE)</f>
        <v>0</v>
      </c>
      <c r="N649" s="23"/>
      <c r="O649" s="22">
        <f>+PROVEEDORES[[#This Row],[Descuento sobre subtotal %]]*(PROVEEDORES[[#This Row],[SUBTOTAL]]-PROVEEDORES[[#This Row],[descuento sobre subtotal]])</f>
        <v>0</v>
      </c>
      <c r="P649" s="83">
        <f>+IF(PROVEEDORES[[#This Row],[SUBTOTAL]]&lt;PROVEEDORES[[#This Row],[base retencion]],0,PROVEEDORES[[#This Row],[retención aplicada]])</f>
        <v>0.01</v>
      </c>
      <c r="Q649" s="22">
        <f>+PROVEEDORES[[#This Row],[Rete Fuente %]]*(PROVEEDORES[[#This Row],[SUBTOTAL]]-PROVEEDORES[[#This Row],[descuento sobre subtotal]])</f>
        <v>4434</v>
      </c>
      <c r="R649" s="21">
        <f>+PROVEEDORES[[#This Row],[SUBTOTAL]]+PROVEEDORES[[#This Row],[IVA 19%]]-PROVEEDORES[[#This Row],[descuento sobre subtotal]]-PROVEEDORES[[#This Row],[Descuento sobre subtotal $2]]-PROVEEDORES[[#This Row],[Rete Fuente $]]</f>
        <v>438966</v>
      </c>
      <c r="S6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9" s="68">
        <f ca="1">IF(PROVEEDORES[[#This Row],[FECHA DE PAGO]]=0,TODAY()-PROVEEDORES[[#This Row],[FECHA DE FACTURACIÓN]]-PROVEEDORES[[#This Row],[PLAZO Días]],0)</f>
        <v>0</v>
      </c>
      <c r="U649" s="96" t="str">
        <f>+VLOOKUP(PROVEEDORES[[#This Row],[PROVEEDOR]],Terceros!$A:$D,4,FALSE)</f>
        <v>1% con base</v>
      </c>
      <c r="V649" s="97">
        <f>+YEAR(PROVEEDORES[[#This Row],[FECHA DE FACTURACIÓN]])</f>
        <v>2021</v>
      </c>
      <c r="W649" s="97">
        <f>+MATCH(PROVEEDORES[[#This Row],[año facturado]],Retenciones!$1:$1,0)</f>
        <v>4</v>
      </c>
      <c r="X649" s="98">
        <f>+VLOOKUP(PROVEEDORES[[#This Row],[ID RETENCION]],Retenciones!$A$1:$O$25,PROVEEDORES[[#This Row],[indicador de columna]],FALSE)</f>
        <v>145000</v>
      </c>
      <c r="Y649" s="99">
        <f>+VLOOKUP(PROVEEDORES[[#This Row],[ID RETENCION]],Retenciones!$A$1:$O$25,2,FALSE)</f>
        <v>0.01</v>
      </c>
      <c r="Z649" s="125" t="b">
        <f>OR(COUNTIF(PROVEEDORES[[#This Row],[PROVEEDOR]],"*"&amp;'Palabra no opera'!$A$2&amp;"*"))</f>
        <v>0</v>
      </c>
      <c r="AA649" s="24"/>
      <c r="AB649" s="24"/>
      <c r="AC649" s="24"/>
      <c r="AD649" s="24"/>
      <c r="AE649" s="24"/>
    </row>
    <row r="650" spans="1:31" ht="22.2" customHeight="1" x14ac:dyDescent="0.3">
      <c r="A650" s="66" t="str">
        <f>+IF(PROVEEDORES[[#This Row],[FECHA DE PAGO]]=PROVEEDORES[[#This Row],[FECHA DE FACTURACIÓN]],"DE CONTADO","CRÉDITO")</f>
        <v>DE CONTADO</v>
      </c>
      <c r="B650" s="38" t="b">
        <f>+IF((PROVEEDORES[[#This Row],[FECHA DE PAGO]]-PROVEEDORES[[#This Row],[FECHA DE FACTURACIÓN]])&gt;PROVEEDORES[[#This Row],[PLAZO Días]],"PAGO VENCIDO")</f>
        <v>0</v>
      </c>
      <c r="C650" s="20">
        <f>+VLOOKUP(PROVEEDORES[[#This Row],[PROVEEDOR]],TERCEROS_INFO[#All],2,FALSE)</f>
        <v>30</v>
      </c>
      <c r="D650" s="25">
        <f>+SUMIFS(PROVEEDORES[Total],PROVEEDORES[PROVEEDOR],PROVEEDORES[[#This Row],[PROVEEDOR]],PROVEEDORES[FECHA DE PAGO],"")</f>
        <v>0</v>
      </c>
      <c r="E650" s="25"/>
      <c r="F650" s="58" t="str">
        <f>+VLOOKUP(PROVEEDORES[[#This Row],[PROVEEDOR]],
                       Terceros!$A:$F,
                       5,
                       FALSE)</f>
        <v/>
      </c>
      <c r="G650" s="161">
        <v>44500</v>
      </c>
      <c r="H650" s="26" t="s">
        <v>644</v>
      </c>
      <c r="I650" s="161">
        <v>44500</v>
      </c>
      <c r="J650" s="35" t="s">
        <v>75</v>
      </c>
      <c r="K650" s="21">
        <v>440400</v>
      </c>
      <c r="L650" s="21"/>
      <c r="M650" s="22">
        <f>(PROVEEDORES[[#This Row],[SUBTOTAL]]-PROVEEDORES[[#This Row],[descuento sobre subtotal]])*VLOOKUP(PROVEEDORES[[#This Row],[PROVEEDOR]],TERCEROS_INFO[#All],3,FALSE)</f>
        <v>0</v>
      </c>
      <c r="N650" s="23"/>
      <c r="O650" s="22">
        <f>+PROVEEDORES[[#This Row],[Descuento sobre subtotal %]]*(PROVEEDORES[[#This Row],[SUBTOTAL]]-PROVEEDORES[[#This Row],[descuento sobre subtotal]])</f>
        <v>0</v>
      </c>
      <c r="P650" s="83">
        <f>+IF(PROVEEDORES[[#This Row],[SUBTOTAL]]&lt;PROVEEDORES[[#This Row],[base retencion]],0,PROVEEDORES[[#This Row],[retención aplicada]])</f>
        <v>0</v>
      </c>
      <c r="Q650" s="22">
        <f>+PROVEEDORES[[#This Row],[Rete Fuente %]]*(PROVEEDORES[[#This Row],[SUBTOTAL]]-PROVEEDORES[[#This Row],[descuento sobre subtotal]])</f>
        <v>0</v>
      </c>
      <c r="R650" s="21">
        <f>+PROVEEDORES[[#This Row],[SUBTOTAL]]+PROVEEDORES[[#This Row],[IVA 19%]]-PROVEEDORES[[#This Row],[descuento sobre subtotal]]-PROVEEDORES[[#This Row],[Descuento sobre subtotal $2]]-PROVEEDORES[[#This Row],[Rete Fuente $]]</f>
        <v>440400</v>
      </c>
      <c r="S6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68">
        <f ca="1">IF(PROVEEDORES[[#This Row],[FECHA DE PAGO]]=0,TODAY()-PROVEEDORES[[#This Row],[FECHA DE FACTURACIÓN]]-PROVEEDORES[[#This Row],[PLAZO Días]],0)</f>
        <v>0</v>
      </c>
      <c r="U650" s="96">
        <f>+VLOOKUP(PROVEEDORES[[#This Row],[PROVEEDOR]],Terceros!$A:$D,4,FALSE)</f>
        <v>0</v>
      </c>
      <c r="V650" s="97">
        <f>+YEAR(PROVEEDORES[[#This Row],[FECHA DE FACTURACIÓN]])</f>
        <v>2021</v>
      </c>
      <c r="W650" s="97">
        <f>+MATCH(PROVEEDORES[[#This Row],[año facturado]],Retenciones!$1:$1,0)</f>
        <v>4</v>
      </c>
      <c r="X650" s="98">
        <f>+VLOOKUP(PROVEEDORES[[#This Row],[ID RETENCION]],Retenciones!$A$1:$O$25,PROVEEDORES[[#This Row],[indicador de columna]],FALSE)</f>
        <v>0</v>
      </c>
      <c r="Y650" s="99">
        <f>+VLOOKUP(PROVEEDORES[[#This Row],[ID RETENCION]],Retenciones!$A$1:$O$25,2,FALSE)</f>
        <v>0</v>
      </c>
      <c r="Z650" s="125" t="b">
        <f>OR(COUNTIF(PROVEEDORES[[#This Row],[PROVEEDOR]],"*"&amp;'Palabra no opera'!$A$2&amp;"*"))</f>
        <v>0</v>
      </c>
      <c r="AA650" s="24"/>
      <c r="AB650" s="24"/>
      <c r="AC650" s="24"/>
      <c r="AD650" s="24"/>
      <c r="AE650" s="24"/>
    </row>
    <row r="651" spans="1:31" ht="22.2" customHeight="1" x14ac:dyDescent="0.3">
      <c r="A651" s="66" t="str">
        <f>+IF(PROVEEDORES[[#This Row],[FECHA DE PAGO]]=PROVEEDORES[[#This Row],[FECHA DE FACTURACIÓN]],"DE CONTADO","CRÉDITO")</f>
        <v>CRÉDITO</v>
      </c>
      <c r="B651" s="38" t="str">
        <f>+IF((PROVEEDORES[[#This Row],[FECHA DE PAGO]]-PROVEEDORES[[#This Row],[FECHA DE FACTURACIÓN]])&gt;PROVEEDORES[[#This Row],[PLAZO Días]],"PAGO VENCIDO")</f>
        <v>PAGO VENCIDO</v>
      </c>
      <c r="C651" s="20">
        <f>+VLOOKUP(PROVEEDORES[[#This Row],[PROVEEDOR]],TERCEROS_INFO[#All],2,FALSE)</f>
        <v>30</v>
      </c>
      <c r="D651" s="25">
        <f>+SUMIFS(PROVEEDORES[Total],PROVEEDORES[PROVEEDOR],PROVEEDORES[[#This Row],[PROVEEDOR]],PROVEEDORES[FECHA DE PAGO],"")</f>
        <v>5430852.9800000004</v>
      </c>
      <c r="E651" s="25"/>
      <c r="F651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651" s="161">
        <v>44533</v>
      </c>
      <c r="H651" s="26" t="s">
        <v>408</v>
      </c>
      <c r="I651" s="161">
        <v>44494</v>
      </c>
      <c r="J651" s="35">
        <v>147279</v>
      </c>
      <c r="K651" s="21">
        <v>370237</v>
      </c>
      <c r="L651" s="21"/>
      <c r="M651" s="22">
        <f>(PROVEEDORES[[#This Row],[SUBTOTAL]]-PROVEEDORES[[#This Row],[descuento sobre subtotal]])*VLOOKUP(PROVEEDORES[[#This Row],[PROVEEDOR]],TERCEROS_INFO[#All],3,FALSE)</f>
        <v>70345.03</v>
      </c>
      <c r="N651" s="23"/>
      <c r="O651" s="22">
        <f>+PROVEEDORES[[#This Row],[Descuento sobre subtotal %]]*(PROVEEDORES[[#This Row],[SUBTOTAL]]-PROVEEDORES[[#This Row],[descuento sobre subtotal]])</f>
        <v>0</v>
      </c>
      <c r="P651" s="83">
        <f>+IF(PROVEEDORES[[#This Row],[SUBTOTAL]]&lt;PROVEEDORES[[#This Row],[base retencion]],0,PROVEEDORES[[#This Row],[retención aplicada]])</f>
        <v>0</v>
      </c>
      <c r="Q651" s="22">
        <f>+PROVEEDORES[[#This Row],[Rete Fuente %]]*(PROVEEDORES[[#This Row],[SUBTOTAL]]-PROVEEDORES[[#This Row],[descuento sobre subtotal]])</f>
        <v>0</v>
      </c>
      <c r="R651" s="21">
        <f>+PROVEEDORES[[#This Row],[SUBTOTAL]]+PROVEEDORES[[#This Row],[IVA 19%]]-PROVEEDORES[[#This Row],[descuento sobre subtotal]]-PROVEEDORES[[#This Row],[Descuento sobre subtotal $2]]-PROVEEDORES[[#This Row],[Rete Fuente $]]</f>
        <v>440582.03</v>
      </c>
      <c r="S6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68">
        <f ca="1">IF(PROVEEDORES[[#This Row],[FECHA DE PAGO]]=0,TODAY()-PROVEEDORES[[#This Row],[FECHA DE FACTURACIÓN]]-PROVEEDORES[[#This Row],[PLAZO Días]],0)</f>
        <v>0</v>
      </c>
      <c r="U651" s="96">
        <f>+VLOOKUP(PROVEEDORES[[#This Row],[PROVEEDOR]],Terceros!$A:$D,4,FALSE)</f>
        <v>0</v>
      </c>
      <c r="V651" s="97">
        <f>+YEAR(PROVEEDORES[[#This Row],[FECHA DE FACTURACIÓN]])</f>
        <v>2021</v>
      </c>
      <c r="W651" s="97">
        <f>+MATCH(PROVEEDORES[[#This Row],[año facturado]],Retenciones!$1:$1,0)</f>
        <v>4</v>
      </c>
      <c r="X651" s="98">
        <f>+VLOOKUP(PROVEEDORES[[#This Row],[ID RETENCION]],Retenciones!$A$1:$O$25,PROVEEDORES[[#This Row],[indicador de columna]],FALSE)</f>
        <v>0</v>
      </c>
      <c r="Y651" s="99">
        <f>+VLOOKUP(PROVEEDORES[[#This Row],[ID RETENCION]],Retenciones!$A$1:$O$25,2,FALSE)</f>
        <v>0</v>
      </c>
      <c r="Z651" s="125" t="b">
        <f>OR(COUNTIF(PROVEEDORES[[#This Row],[PROVEEDOR]],"*"&amp;'Palabra no opera'!$A$2&amp;"*"))</f>
        <v>0</v>
      </c>
      <c r="AA651" s="24"/>
      <c r="AB651" s="24"/>
      <c r="AC651" s="24"/>
      <c r="AD651" s="24"/>
      <c r="AE651" s="24"/>
    </row>
    <row r="652" spans="1:31" ht="22.2" customHeight="1" x14ac:dyDescent="0.3">
      <c r="A652" s="66" t="str">
        <f>+IF(PROVEEDORES[[#This Row],[FECHA DE PAGO]]=PROVEEDORES[[#This Row],[FECHA DE FACTURACIÓN]],"DE CONTADO","CRÉDITO")</f>
        <v>CRÉDITO</v>
      </c>
      <c r="B652" s="38" t="str">
        <f>+IF((PROVEEDORES[[#This Row],[FECHA DE PAGO]]-PROVEEDORES[[#This Row],[FECHA DE FACTURACIÓN]])&gt;PROVEEDORES[[#This Row],[PLAZO Días]],"PAGO VENCIDO")</f>
        <v>PAGO VENCIDO</v>
      </c>
      <c r="C652" s="20">
        <f>+VLOOKUP(PROVEEDORES[[#This Row],[PROVEEDOR]],TERCEROS_INFO[#All],2,FALSE)</f>
        <v>30</v>
      </c>
      <c r="D652" s="25">
        <f>+SUMIFS(PROVEEDORES[Total],PROVEEDORES[PROVEEDOR],PROVEEDORES[[#This Row],[PROVEEDOR]],PROVEEDORES[FECHA DE PAGO],"")</f>
        <v>4712021.58</v>
      </c>
      <c r="E652" s="25"/>
      <c r="F65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52" s="161">
        <v>44670</v>
      </c>
      <c r="H652" s="26" t="s">
        <v>17</v>
      </c>
      <c r="I652" s="161">
        <v>44634</v>
      </c>
      <c r="J652" s="35">
        <v>1890430</v>
      </c>
      <c r="K652" s="21">
        <v>371000</v>
      </c>
      <c r="L652" s="21"/>
      <c r="M652" s="22">
        <f>(PROVEEDORES[[#This Row],[SUBTOTAL]]-PROVEEDORES[[#This Row],[descuento sobre subtotal]])*VLOOKUP(PROVEEDORES[[#This Row],[PROVEEDOR]],TERCEROS_INFO[#All],3,FALSE)</f>
        <v>70490</v>
      </c>
      <c r="N652" s="23"/>
      <c r="O652" s="22">
        <f>+PROVEEDORES[[#This Row],[Descuento sobre subtotal %]]*(PROVEEDORES[[#This Row],[SUBTOTAL]]-PROVEEDORES[[#This Row],[descuento sobre subtotal]])</f>
        <v>0</v>
      </c>
      <c r="P652" s="83">
        <f>+IF(PROVEEDORES[[#This Row],[SUBTOTAL]]&lt;PROVEEDORES[[#This Row],[base retencion]],0,PROVEEDORES[[#This Row],[retención aplicada]])</f>
        <v>0</v>
      </c>
      <c r="Q652" s="22">
        <f>+PROVEEDORES[[#This Row],[Rete Fuente %]]*(PROVEEDORES[[#This Row],[SUBTOTAL]]-PROVEEDORES[[#This Row],[descuento sobre subtotal]])</f>
        <v>0</v>
      </c>
      <c r="R652" s="21">
        <f>+PROVEEDORES[[#This Row],[SUBTOTAL]]+PROVEEDORES[[#This Row],[IVA 19%]]-PROVEEDORES[[#This Row],[descuento sobre subtotal]]-PROVEEDORES[[#This Row],[Descuento sobre subtotal $2]]-PROVEEDORES[[#This Row],[Rete Fuente $]]</f>
        <v>441490</v>
      </c>
      <c r="S6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68">
        <f ca="1">IF(PROVEEDORES[[#This Row],[FECHA DE PAGO]]=0,TODAY()-PROVEEDORES[[#This Row],[FECHA DE FACTURACIÓN]]-PROVEEDORES[[#This Row],[PLAZO Días]],0)</f>
        <v>0</v>
      </c>
      <c r="U652" s="96">
        <f>+VLOOKUP(PROVEEDORES[[#This Row],[PROVEEDOR]],Terceros!$A:$D,4,FALSE)</f>
        <v>0</v>
      </c>
      <c r="V652" s="97">
        <f>+YEAR(PROVEEDORES[[#This Row],[FECHA DE FACTURACIÓN]])</f>
        <v>2022</v>
      </c>
      <c r="W652" s="97">
        <f>+MATCH(PROVEEDORES[[#This Row],[año facturado]],Retenciones!$1:$1,0)</f>
        <v>5</v>
      </c>
      <c r="X652" s="98">
        <f>+VLOOKUP(PROVEEDORES[[#This Row],[ID RETENCION]],Retenciones!$A$1:$O$25,PROVEEDORES[[#This Row],[indicador de columna]],FALSE)</f>
        <v>0</v>
      </c>
      <c r="Y652" s="99">
        <f>+VLOOKUP(PROVEEDORES[[#This Row],[ID RETENCION]],Retenciones!$A$1:$O$25,2,FALSE)</f>
        <v>0</v>
      </c>
      <c r="Z652" s="125" t="b">
        <f>OR(COUNTIF(PROVEEDORES[[#This Row],[PROVEEDOR]],"*"&amp;'Palabra no opera'!$A$2&amp;"*"))</f>
        <v>0</v>
      </c>
      <c r="AA652" s="24"/>
      <c r="AB652" s="24"/>
      <c r="AC652" s="24"/>
      <c r="AD652" s="24"/>
      <c r="AE652" s="24"/>
    </row>
    <row r="653" spans="1:31" ht="22.2" customHeight="1" x14ac:dyDescent="0.3">
      <c r="A653" s="66" t="str">
        <f>+IF(PROVEEDORES[[#This Row],[FECHA DE PAGO]]=PROVEEDORES[[#This Row],[FECHA DE FACTURACIÓN]],"DE CONTADO","CRÉDITO")</f>
        <v>CRÉDITO</v>
      </c>
      <c r="B653" s="38" t="str">
        <f>+IF((PROVEEDORES[[#This Row],[FECHA DE PAGO]]-PROVEEDORES[[#This Row],[FECHA DE FACTURACIÓN]])&gt;PROVEEDORES[[#This Row],[PLAZO Días]],"PAGO VENCIDO")</f>
        <v>PAGO VENCIDO</v>
      </c>
      <c r="C653" s="20">
        <f>+VLOOKUP(PROVEEDORES[[#This Row],[PROVEEDOR]],TERCEROS_INFO[#All],2,FALSE)</f>
        <v>30</v>
      </c>
      <c r="D653" s="25">
        <f>+SUMIFS(PROVEEDORES[Total],PROVEEDORES[PROVEEDOR],PROVEEDORES[[#This Row],[PROVEEDOR]],PROVEEDORES[FECHA DE PAGO],"")</f>
        <v>0</v>
      </c>
      <c r="E653" s="25"/>
      <c r="F65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53" s="161">
        <v>44321</v>
      </c>
      <c r="H653" s="26" t="s">
        <v>24</v>
      </c>
      <c r="I653" s="161">
        <v>44250</v>
      </c>
      <c r="J653" s="35" t="s">
        <v>227</v>
      </c>
      <c r="K653" s="21">
        <v>375000</v>
      </c>
      <c r="L653" s="21"/>
      <c r="M653" s="22">
        <f>(PROVEEDORES[[#This Row],[SUBTOTAL]]-PROVEEDORES[[#This Row],[descuento sobre subtotal]])*VLOOKUP(PROVEEDORES[[#This Row],[PROVEEDOR]],TERCEROS_INFO[#All],3,FALSE)</f>
        <v>71250</v>
      </c>
      <c r="N653" s="23"/>
      <c r="O653" s="22">
        <f>+PROVEEDORES[[#This Row],[Descuento sobre subtotal %]]*(PROVEEDORES[[#This Row],[SUBTOTAL]]-PROVEEDORES[[#This Row],[descuento sobre subtotal]])</f>
        <v>0</v>
      </c>
      <c r="P653" s="83">
        <f>+IF(PROVEEDORES[[#This Row],[SUBTOTAL]]&lt;PROVEEDORES[[#This Row],[base retencion]],0,PROVEEDORES[[#This Row],[retención aplicada]])</f>
        <v>0</v>
      </c>
      <c r="Q653" s="22">
        <f>+PROVEEDORES[[#This Row],[Rete Fuente %]]*(PROVEEDORES[[#This Row],[SUBTOTAL]]-PROVEEDORES[[#This Row],[descuento sobre subtotal]])</f>
        <v>0</v>
      </c>
      <c r="R653" s="21">
        <f>+PROVEEDORES[[#This Row],[SUBTOTAL]]+PROVEEDORES[[#This Row],[IVA 19%]]-PROVEEDORES[[#This Row],[descuento sobre subtotal]]-PROVEEDORES[[#This Row],[Descuento sobre subtotal $2]]-PROVEEDORES[[#This Row],[Rete Fuente $]]</f>
        <v>446250</v>
      </c>
      <c r="S6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68">
        <f ca="1">IF(PROVEEDORES[[#This Row],[FECHA DE PAGO]]=0,TODAY()-PROVEEDORES[[#This Row],[FECHA DE FACTURACIÓN]]-PROVEEDORES[[#This Row],[PLAZO Días]],0)</f>
        <v>0</v>
      </c>
      <c r="U653" s="96" t="str">
        <f>+VLOOKUP(PROVEEDORES[[#This Row],[PROVEEDOR]],Terceros!$A:$D,4,FALSE)</f>
        <v>2,5% con base</v>
      </c>
      <c r="V653" s="97">
        <f>+YEAR(PROVEEDORES[[#This Row],[FECHA DE FACTURACIÓN]])</f>
        <v>2021</v>
      </c>
      <c r="W653" s="97">
        <f>+MATCH(PROVEEDORES[[#This Row],[año facturado]],Retenciones!$1:$1,0)</f>
        <v>4</v>
      </c>
      <c r="X653" s="98">
        <f>+VLOOKUP(PROVEEDORES[[#This Row],[ID RETENCION]],Retenciones!$A$1:$O$25,PROVEEDORES[[#This Row],[indicador de columna]],FALSE)</f>
        <v>980000</v>
      </c>
      <c r="Y653" s="99">
        <f>+VLOOKUP(PROVEEDORES[[#This Row],[ID RETENCION]],Retenciones!$A$1:$O$25,2,FALSE)</f>
        <v>2.5000000000000001E-2</v>
      </c>
      <c r="Z653" s="125" t="b">
        <f>OR(COUNTIF(PROVEEDORES[[#This Row],[PROVEEDOR]],"*"&amp;'Palabra no opera'!$A$2&amp;"*"))</f>
        <v>0</v>
      </c>
      <c r="AA653" s="24"/>
      <c r="AB653" s="24"/>
      <c r="AC653" s="24"/>
      <c r="AD653" s="24"/>
      <c r="AE653" s="24"/>
    </row>
    <row r="654" spans="1:31" ht="22.2" customHeight="1" x14ac:dyDescent="0.3">
      <c r="A654" s="72" t="str">
        <f>+IF(PROVEEDORES[[#This Row],[FECHA DE PAGO]]=PROVEEDORES[[#This Row],[FECHA DE FACTURACIÓN]],"DE CONTADO","CRÉDITO")</f>
        <v>DE CONTADO</v>
      </c>
      <c r="B654" s="38" t="b">
        <f>+IF((PROVEEDORES[[#This Row],[FECHA DE PAGO]]-PROVEEDORES[[#This Row],[FECHA DE FACTURACIÓN]])&gt;PROVEEDORES[[#This Row],[PLAZO Días]],"PAGO VENCIDO")</f>
        <v>0</v>
      </c>
      <c r="C654" s="20">
        <f>+VLOOKUP(PROVEEDORES[[#This Row],[PROVEEDOR]],TERCEROS_INFO[#All],2,FALSE)</f>
        <v>30</v>
      </c>
      <c r="D654" s="25">
        <f>+SUMIFS(PROVEEDORES[Total],PROVEEDORES[PROVEEDOR],PROVEEDORES[[#This Row],[PROVEEDOR]],PROVEEDORES[FECHA DE PAGO],"")</f>
        <v>0</v>
      </c>
      <c r="E654" s="25"/>
      <c r="F654" s="58" t="str">
        <f>+VLOOKUP(PROVEEDORES[[#This Row],[PROVEEDOR]],
                       Terceros!$A:$F,
                       5,
                       FALSE)</f>
        <v/>
      </c>
      <c r="G654" s="161">
        <v>44681</v>
      </c>
      <c r="H654" s="26" t="s">
        <v>644</v>
      </c>
      <c r="I654" s="161">
        <v>44681</v>
      </c>
      <c r="J654" s="35" t="s">
        <v>597</v>
      </c>
      <c r="K654" s="21">
        <v>447000</v>
      </c>
      <c r="L654" s="21"/>
      <c r="M654" s="22">
        <f>(PROVEEDORES[[#This Row],[SUBTOTAL]]-PROVEEDORES[[#This Row],[descuento sobre subtotal]])*VLOOKUP(PROVEEDORES[[#This Row],[PROVEEDOR]],TERCEROS_INFO[#All],3,FALSE)</f>
        <v>0</v>
      </c>
      <c r="N654" s="23"/>
      <c r="O654" s="22">
        <f>+PROVEEDORES[[#This Row],[Descuento sobre subtotal %]]*(PROVEEDORES[[#This Row],[SUBTOTAL]]-PROVEEDORES[[#This Row],[descuento sobre subtotal]])</f>
        <v>0</v>
      </c>
      <c r="P654" s="83">
        <f>+IF(PROVEEDORES[[#This Row],[SUBTOTAL]]&lt;PROVEEDORES[[#This Row],[base retencion]],0,PROVEEDORES[[#This Row],[retención aplicada]])</f>
        <v>0</v>
      </c>
      <c r="Q654" s="22">
        <f>+PROVEEDORES[[#This Row],[Rete Fuente %]]*(PROVEEDORES[[#This Row],[SUBTOTAL]]-PROVEEDORES[[#This Row],[descuento sobre subtotal]])</f>
        <v>0</v>
      </c>
      <c r="R654" s="21">
        <f>+PROVEEDORES[[#This Row],[SUBTOTAL]]+PROVEEDORES[[#This Row],[IVA 19%]]-PROVEEDORES[[#This Row],[descuento sobre subtotal]]-PROVEEDORES[[#This Row],[Descuento sobre subtotal $2]]-PROVEEDORES[[#This Row],[Rete Fuente $]]</f>
        <v>447000</v>
      </c>
      <c r="S65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68">
        <f ca="1">IF(PROVEEDORES[[#This Row],[FECHA DE PAGO]]=0,TODAY()-PROVEEDORES[[#This Row],[FECHA DE FACTURACIÓN]]-PROVEEDORES[[#This Row],[PLAZO Días]],0)</f>
        <v>0</v>
      </c>
      <c r="U654" s="113">
        <f>+VLOOKUP(PROVEEDORES[[#This Row],[PROVEEDOR]],Terceros!$A:$D,4,FALSE)</f>
        <v>0</v>
      </c>
      <c r="V654" s="114">
        <f>+YEAR(PROVEEDORES[[#This Row],[FECHA DE FACTURACIÓN]])</f>
        <v>2022</v>
      </c>
      <c r="W654" s="114">
        <f>+MATCH(PROVEEDORES[[#This Row],[año facturado]],Retenciones!$1:$1,0)</f>
        <v>5</v>
      </c>
      <c r="X654" s="115">
        <f>+VLOOKUP(PROVEEDORES[[#This Row],[ID RETENCION]],Retenciones!$A$1:$O$25,PROVEEDORES[[#This Row],[indicador de columna]],FALSE)</f>
        <v>0</v>
      </c>
      <c r="Y654" s="116">
        <f>+VLOOKUP(PROVEEDORES[[#This Row],[ID RETENCION]],Retenciones!$A$1:$O$25,2,FALSE)</f>
        <v>0</v>
      </c>
      <c r="Z654" s="125" t="b">
        <f>OR(COUNTIF(PROVEEDORES[[#This Row],[PROVEEDOR]],"*"&amp;'Palabra no opera'!$A$2&amp;"*"))</f>
        <v>0</v>
      </c>
      <c r="AA654" s="24"/>
      <c r="AB654" s="24"/>
      <c r="AC654" s="24"/>
      <c r="AD654" s="24"/>
      <c r="AE654" s="24"/>
    </row>
    <row r="655" spans="1:31" ht="22.2" customHeight="1" x14ac:dyDescent="0.3">
      <c r="A655" s="66" t="str">
        <f>+IF(PROVEEDORES[[#This Row],[FECHA DE PAGO]]=PROVEEDORES[[#This Row],[FECHA DE FACTURACIÓN]],"DE CONTADO","CRÉDITO")</f>
        <v>CRÉDITO</v>
      </c>
      <c r="B655" s="38" t="str">
        <f>+IF((PROVEEDORES[[#This Row],[FECHA DE PAGO]]-PROVEEDORES[[#This Row],[FECHA DE FACTURACIÓN]])&gt;PROVEEDORES[[#This Row],[PLAZO Días]],"PAGO VENCIDO")</f>
        <v>PAGO VENCIDO</v>
      </c>
      <c r="C655" s="20">
        <f>+VLOOKUP(PROVEEDORES[[#This Row],[PROVEEDOR]],TERCEROS_INFO[#All],2,FALSE)</f>
        <v>30</v>
      </c>
      <c r="D655" s="25">
        <f>+SUMIFS(PROVEEDORES[Total],PROVEEDORES[PROVEEDOR],PROVEEDORES[[#This Row],[PROVEEDOR]],PROVEEDORES[FECHA DE PAGO],"")</f>
        <v>0</v>
      </c>
      <c r="E655" s="25"/>
      <c r="F65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55" s="161">
        <v>44498</v>
      </c>
      <c r="H655" s="26" t="s">
        <v>1637</v>
      </c>
      <c r="I655" s="161">
        <v>44427</v>
      </c>
      <c r="J655" s="35">
        <v>22156</v>
      </c>
      <c r="K655" s="21">
        <v>376000</v>
      </c>
      <c r="L655" s="21"/>
      <c r="M655" s="22">
        <f>(PROVEEDORES[[#This Row],[SUBTOTAL]]-PROVEEDORES[[#This Row],[descuento sobre subtotal]])*VLOOKUP(PROVEEDORES[[#This Row],[PROVEEDOR]],TERCEROS_INFO[#All],3,FALSE)</f>
        <v>71440</v>
      </c>
      <c r="N655" s="23"/>
      <c r="O655" s="22">
        <f>+PROVEEDORES[[#This Row],[Descuento sobre subtotal %]]*(PROVEEDORES[[#This Row],[SUBTOTAL]]-PROVEEDORES[[#This Row],[descuento sobre subtotal]])</f>
        <v>0</v>
      </c>
      <c r="P655" s="83">
        <f>+IF(PROVEEDORES[[#This Row],[SUBTOTAL]]&lt;PROVEEDORES[[#This Row],[base retencion]],0,PROVEEDORES[[#This Row],[retención aplicada]])</f>
        <v>0</v>
      </c>
      <c r="Q655" s="22">
        <f>+PROVEEDORES[[#This Row],[Rete Fuente %]]*(PROVEEDORES[[#This Row],[SUBTOTAL]]-PROVEEDORES[[#This Row],[descuento sobre subtotal]])</f>
        <v>0</v>
      </c>
      <c r="R655" s="21">
        <f>+PROVEEDORES[[#This Row],[SUBTOTAL]]+PROVEEDORES[[#This Row],[IVA 19%]]-PROVEEDORES[[#This Row],[descuento sobre subtotal]]-PROVEEDORES[[#This Row],[Descuento sobre subtotal $2]]-PROVEEDORES[[#This Row],[Rete Fuente $]]</f>
        <v>447440</v>
      </c>
      <c r="S6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68">
        <f ca="1">IF(PROVEEDORES[[#This Row],[FECHA DE PAGO]]=0,TODAY()-PROVEEDORES[[#This Row],[FECHA DE FACTURACIÓN]]-PROVEEDORES[[#This Row],[PLAZO Días]],0)</f>
        <v>0</v>
      </c>
      <c r="U655" s="96" t="str">
        <f>+VLOOKUP(PROVEEDORES[[#This Row],[PROVEEDOR]],Terceros!$A:$D,4,FALSE)</f>
        <v>2,5% con base</v>
      </c>
      <c r="V655" s="97">
        <f>+YEAR(PROVEEDORES[[#This Row],[FECHA DE FACTURACIÓN]])</f>
        <v>2021</v>
      </c>
      <c r="W655" s="97">
        <f>+MATCH(PROVEEDORES[[#This Row],[año facturado]],Retenciones!$1:$1,0)</f>
        <v>4</v>
      </c>
      <c r="X655" s="98">
        <f>+VLOOKUP(PROVEEDORES[[#This Row],[ID RETENCION]],Retenciones!$A$1:$O$25,PROVEEDORES[[#This Row],[indicador de columna]],FALSE)</f>
        <v>980000</v>
      </c>
      <c r="Y655" s="99">
        <f>+VLOOKUP(PROVEEDORES[[#This Row],[ID RETENCION]],Retenciones!$A$1:$O$25,2,FALSE)</f>
        <v>2.5000000000000001E-2</v>
      </c>
      <c r="Z655" s="125" t="b">
        <f>OR(COUNTIF(PROVEEDORES[[#This Row],[PROVEEDOR]],"*"&amp;'Palabra no opera'!$A$2&amp;"*"))</f>
        <v>0</v>
      </c>
      <c r="AA655" s="24"/>
      <c r="AB655" s="24"/>
      <c r="AC655" s="24"/>
      <c r="AD655" s="24"/>
      <c r="AE655" s="24"/>
    </row>
    <row r="656" spans="1:31" ht="22.2" customHeight="1" x14ac:dyDescent="0.3">
      <c r="A656" s="66" t="str">
        <f>+IF(PROVEEDORES[[#This Row],[FECHA DE PAGO]]=PROVEEDORES[[#This Row],[FECHA DE FACTURACIÓN]],"DE CONTADO","CRÉDITO")</f>
        <v>CRÉDITO</v>
      </c>
      <c r="B656" s="38" t="str">
        <f>+IF((PROVEEDORES[[#This Row],[FECHA DE PAGO]]-PROVEEDORES[[#This Row],[FECHA DE FACTURACIÓN]])&gt;PROVEEDORES[[#This Row],[PLAZO Días]],"PAGO VENCIDO")</f>
        <v>PAGO VENCIDO</v>
      </c>
      <c r="C656" s="20">
        <f>+VLOOKUP(PROVEEDORES[[#This Row],[PROVEEDOR]],TERCEROS_INFO[#All],2,FALSE)</f>
        <v>30</v>
      </c>
      <c r="D656" s="25">
        <f>+SUMIFS(PROVEEDORES[Total],PROVEEDORES[PROVEEDOR],PROVEEDORES[[#This Row],[PROVEEDOR]],PROVEEDORES[FECHA DE PAGO],"")</f>
        <v>1127400.05</v>
      </c>
      <c r="E656" s="25"/>
      <c r="F65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56" s="161">
        <v>44370</v>
      </c>
      <c r="H656" s="26" t="s">
        <v>47</v>
      </c>
      <c r="I656" s="161">
        <v>44328</v>
      </c>
      <c r="J656" s="35">
        <v>28312</v>
      </c>
      <c r="K656" s="21">
        <v>377400</v>
      </c>
      <c r="L656" s="21"/>
      <c r="M656" s="22">
        <f>(PROVEEDORES[[#This Row],[SUBTOTAL]]-PROVEEDORES[[#This Row],[descuento sobre subtotal]])*VLOOKUP(PROVEEDORES[[#This Row],[PROVEEDOR]],TERCEROS_INFO[#All],3,FALSE)</f>
        <v>71706</v>
      </c>
      <c r="N656" s="23"/>
      <c r="O656" s="22">
        <f>+PROVEEDORES[[#This Row],[Descuento sobre subtotal %]]*(PROVEEDORES[[#This Row],[SUBTOTAL]]-PROVEEDORES[[#This Row],[descuento sobre subtotal]])</f>
        <v>0</v>
      </c>
      <c r="P656" s="83">
        <f>+IF(PROVEEDORES[[#This Row],[SUBTOTAL]]&lt;PROVEEDORES[[#This Row],[base retencion]],0,PROVEEDORES[[#This Row],[retención aplicada]])</f>
        <v>0</v>
      </c>
      <c r="Q656" s="22">
        <f>+PROVEEDORES[[#This Row],[Rete Fuente %]]*(PROVEEDORES[[#This Row],[SUBTOTAL]]-PROVEEDORES[[#This Row],[descuento sobre subtotal]])</f>
        <v>0</v>
      </c>
      <c r="R656" s="21">
        <f>+PROVEEDORES[[#This Row],[SUBTOTAL]]+PROVEEDORES[[#This Row],[IVA 19%]]-PROVEEDORES[[#This Row],[descuento sobre subtotal]]-PROVEEDORES[[#This Row],[Descuento sobre subtotal $2]]-PROVEEDORES[[#This Row],[Rete Fuente $]]</f>
        <v>449106</v>
      </c>
      <c r="S6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68">
        <f ca="1">IF(PROVEEDORES[[#This Row],[FECHA DE PAGO]]=0,TODAY()-PROVEEDORES[[#This Row],[FECHA DE FACTURACIÓN]]-PROVEEDORES[[#This Row],[PLAZO Días]],0)</f>
        <v>0</v>
      </c>
      <c r="U656" s="96" t="str">
        <f>+VLOOKUP(PROVEEDORES[[#This Row],[PROVEEDOR]],Terceros!$A:$D,4,FALSE)</f>
        <v>2,5% con base</v>
      </c>
      <c r="V656" s="97">
        <f>+YEAR(PROVEEDORES[[#This Row],[FECHA DE FACTURACIÓN]])</f>
        <v>2021</v>
      </c>
      <c r="W656" s="97">
        <f>+MATCH(PROVEEDORES[[#This Row],[año facturado]],Retenciones!$1:$1,0)</f>
        <v>4</v>
      </c>
      <c r="X656" s="98">
        <f>+VLOOKUP(PROVEEDORES[[#This Row],[ID RETENCION]],Retenciones!$A$1:$O$25,PROVEEDORES[[#This Row],[indicador de columna]],FALSE)</f>
        <v>980000</v>
      </c>
      <c r="Y656" s="99">
        <f>+VLOOKUP(PROVEEDORES[[#This Row],[ID RETENCION]],Retenciones!$A$1:$O$25,2,FALSE)</f>
        <v>2.5000000000000001E-2</v>
      </c>
      <c r="Z656" s="125" t="b">
        <f>OR(COUNTIF(PROVEEDORES[[#This Row],[PROVEEDOR]],"*"&amp;'Palabra no opera'!$A$2&amp;"*"))</f>
        <v>0</v>
      </c>
      <c r="AA656" s="24"/>
      <c r="AB656" s="24"/>
      <c r="AC656" s="24"/>
      <c r="AD656" s="24"/>
      <c r="AE656" s="24"/>
    </row>
    <row r="657" spans="1:31" ht="22.2" customHeight="1" x14ac:dyDescent="0.3">
      <c r="A657" s="66" t="str">
        <f>+IF(PROVEEDORES[[#This Row],[FECHA DE PAGO]]=PROVEEDORES[[#This Row],[FECHA DE FACTURACIÓN]],"DE CONTADO","CRÉDITO")</f>
        <v>CRÉDITO</v>
      </c>
      <c r="B657" s="38" t="b">
        <f>+IF((PROVEEDORES[[#This Row],[FECHA DE PAGO]]-PROVEEDORES[[#This Row],[FECHA DE FACTURACIÓN]])&gt;PROVEEDORES[[#This Row],[PLAZO Días]],"PAGO VENCIDO")</f>
        <v>0</v>
      </c>
      <c r="C657" s="20">
        <f>+VLOOKUP(PROVEEDORES[[#This Row],[PROVEEDOR]],TERCEROS_INFO[#All],2,FALSE)</f>
        <v>30</v>
      </c>
      <c r="D657" s="25">
        <f>+SUMIFS(PROVEEDORES[Total],PROVEEDORES[PROVEEDOR],PROVEEDORES[[#This Row],[PROVEEDOR]],PROVEEDORES[FECHA DE PAGO],"")</f>
        <v>-101001.25</v>
      </c>
      <c r="E657" s="25"/>
      <c r="F657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657" s="161">
        <v>44264</v>
      </c>
      <c r="H657" s="26" t="s">
        <v>14</v>
      </c>
      <c r="I657" s="161">
        <v>44254</v>
      </c>
      <c r="J657" s="35">
        <v>4881</v>
      </c>
      <c r="K657" s="21">
        <v>377984</v>
      </c>
      <c r="L657" s="21"/>
      <c r="M657" s="22">
        <f>(PROVEEDORES[[#This Row],[SUBTOTAL]]-PROVEEDORES[[#This Row],[descuento sobre subtotal]])*VLOOKUP(PROVEEDORES[[#This Row],[PROVEEDOR]],TERCEROS_INFO[#All],3,FALSE)</f>
        <v>71816.960000000006</v>
      </c>
      <c r="N657" s="23"/>
      <c r="O657" s="22">
        <f>+PROVEEDORES[[#This Row],[Descuento sobre subtotal %]]*(PROVEEDORES[[#This Row],[SUBTOTAL]]-PROVEEDORES[[#This Row],[descuento sobre subtotal]])</f>
        <v>0</v>
      </c>
      <c r="P657" s="83">
        <f>+IF(PROVEEDORES[[#This Row],[SUBTOTAL]]&lt;PROVEEDORES[[#This Row],[base retencion]],0,PROVEEDORES[[#This Row],[retención aplicada]])</f>
        <v>0</v>
      </c>
      <c r="Q657" s="22">
        <f>+PROVEEDORES[[#This Row],[Rete Fuente %]]*(PROVEEDORES[[#This Row],[SUBTOTAL]]-PROVEEDORES[[#This Row],[descuento sobre subtotal]])</f>
        <v>0</v>
      </c>
      <c r="R657" s="21">
        <f>+PROVEEDORES[[#This Row],[SUBTOTAL]]+PROVEEDORES[[#This Row],[IVA 19%]]-PROVEEDORES[[#This Row],[descuento sobre subtotal]]-PROVEEDORES[[#This Row],[Descuento sobre subtotal $2]]-PROVEEDORES[[#This Row],[Rete Fuente $]]</f>
        <v>449800.96000000002</v>
      </c>
      <c r="S6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68">
        <f ca="1">IF(PROVEEDORES[[#This Row],[FECHA DE PAGO]]=0,TODAY()-PROVEEDORES[[#This Row],[FECHA DE FACTURACIÓN]]-PROVEEDORES[[#This Row],[PLAZO Días]],0)</f>
        <v>0</v>
      </c>
      <c r="U657" s="96" t="str">
        <f>+VLOOKUP(PROVEEDORES[[#This Row],[PROVEEDOR]],Terceros!$A:$D,4,FALSE)</f>
        <v>2,5% con base</v>
      </c>
      <c r="V657" s="97">
        <f>+YEAR(PROVEEDORES[[#This Row],[FECHA DE FACTURACIÓN]])</f>
        <v>2021</v>
      </c>
      <c r="W657" s="97">
        <f>+MATCH(PROVEEDORES[[#This Row],[año facturado]],Retenciones!$1:$1,0)</f>
        <v>4</v>
      </c>
      <c r="X657" s="98">
        <f>+VLOOKUP(PROVEEDORES[[#This Row],[ID RETENCION]],Retenciones!$A$1:$O$25,PROVEEDORES[[#This Row],[indicador de columna]],FALSE)</f>
        <v>980000</v>
      </c>
      <c r="Y657" s="99">
        <f>+VLOOKUP(PROVEEDORES[[#This Row],[ID RETENCION]],Retenciones!$A$1:$O$25,2,FALSE)</f>
        <v>2.5000000000000001E-2</v>
      </c>
      <c r="Z657" s="125" t="b">
        <f>OR(COUNTIF(PROVEEDORES[[#This Row],[PROVEEDOR]],"*"&amp;'Palabra no opera'!$A$2&amp;"*"))</f>
        <v>0</v>
      </c>
      <c r="AA657" s="24"/>
      <c r="AB657" s="24"/>
      <c r="AC657" s="24"/>
      <c r="AD657" s="24"/>
      <c r="AE657" s="24"/>
    </row>
    <row r="658" spans="1:31" ht="22.2" customHeight="1" x14ac:dyDescent="0.3">
      <c r="A658" s="66" t="str">
        <f>+IF(PROVEEDORES[[#This Row],[FECHA DE PAGO]]=PROVEEDORES[[#This Row],[FECHA DE FACTURACIÓN]],"DE CONTADO","CRÉDITO")</f>
        <v>DE CONTADO</v>
      </c>
      <c r="B658" s="38" t="b">
        <f>+IF((PROVEEDORES[[#This Row],[FECHA DE PAGO]]-PROVEEDORES[[#This Row],[FECHA DE FACTURACIÓN]])&gt;PROVEEDORES[[#This Row],[PLAZO Días]],"PAGO VENCIDO")</f>
        <v>0</v>
      </c>
      <c r="C658" s="20">
        <f>+VLOOKUP(PROVEEDORES[[#This Row],[PROVEEDOR]],TERCEROS_INFO[#All],2,FALSE)</f>
        <v>30</v>
      </c>
      <c r="D658" s="25">
        <f>+SUMIFS(PROVEEDORES[Total],PROVEEDORES[PROVEEDOR],PROVEEDORES[[#This Row],[PROVEEDOR]],PROVEEDORES[FECHA DE PAGO],"")</f>
        <v>0</v>
      </c>
      <c r="E658" s="25"/>
      <c r="F658" s="58" t="str">
        <f>+VLOOKUP(PROVEEDORES[[#This Row],[PROVEEDOR]],
                       Terceros!$A:$F,
                       5,
                       FALSE)</f>
        <v/>
      </c>
      <c r="G658" s="161">
        <v>44632</v>
      </c>
      <c r="H658" s="26" t="s">
        <v>661</v>
      </c>
      <c r="I658" s="161">
        <v>44632</v>
      </c>
      <c r="J658" s="35" t="s">
        <v>663</v>
      </c>
      <c r="K658" s="21">
        <v>450000</v>
      </c>
      <c r="L658" s="21"/>
      <c r="M658" s="22">
        <f>(PROVEEDORES[[#This Row],[SUBTOTAL]]-PROVEEDORES[[#This Row],[descuento sobre subtotal]])*VLOOKUP(PROVEEDORES[[#This Row],[PROVEEDOR]],TERCEROS_INFO[#All],3,FALSE)</f>
        <v>0</v>
      </c>
      <c r="N658" s="23"/>
      <c r="O658" s="22">
        <f>+PROVEEDORES[[#This Row],[Descuento sobre subtotal %]]*(PROVEEDORES[[#This Row],[SUBTOTAL]]-PROVEEDORES[[#This Row],[descuento sobre subtotal]])</f>
        <v>0</v>
      </c>
      <c r="P658" s="83">
        <f>+IF(PROVEEDORES[[#This Row],[SUBTOTAL]]&lt;PROVEEDORES[[#This Row],[base retencion]],0,PROVEEDORES[[#This Row],[retención aplicada]])</f>
        <v>0</v>
      </c>
      <c r="Q658" s="22">
        <f>+PROVEEDORES[[#This Row],[Rete Fuente %]]*(PROVEEDORES[[#This Row],[SUBTOTAL]]-PROVEEDORES[[#This Row],[descuento sobre subtotal]])</f>
        <v>0</v>
      </c>
      <c r="R658" s="21">
        <v>450000</v>
      </c>
      <c r="S6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68">
        <f ca="1">IF(PROVEEDORES[[#This Row],[FECHA DE PAGO]]=0,TODAY()-PROVEEDORES[[#This Row],[FECHA DE FACTURACIÓN]]-PROVEEDORES[[#This Row],[PLAZO Días]],0)</f>
        <v>0</v>
      </c>
      <c r="U658" s="96">
        <f>+VLOOKUP(PROVEEDORES[[#This Row],[PROVEEDOR]],Terceros!$A:$D,4,FALSE)</f>
        <v>0</v>
      </c>
      <c r="V658" s="97">
        <f>+YEAR(PROVEEDORES[[#This Row],[FECHA DE FACTURACIÓN]])</f>
        <v>2022</v>
      </c>
      <c r="W658" s="97">
        <f>+MATCH(PROVEEDORES[[#This Row],[año facturado]],Retenciones!$1:$1,0)</f>
        <v>5</v>
      </c>
      <c r="X658" s="98">
        <f>+VLOOKUP(PROVEEDORES[[#This Row],[ID RETENCION]],Retenciones!$A$1:$O$25,PROVEEDORES[[#This Row],[indicador de columna]],FALSE)</f>
        <v>0</v>
      </c>
      <c r="Y658" s="99">
        <f>+VLOOKUP(PROVEEDORES[[#This Row],[ID RETENCION]],Retenciones!$A$1:$O$25,2,FALSE)</f>
        <v>0</v>
      </c>
      <c r="Z658" s="125" t="b">
        <f>OR(COUNTIF(PROVEEDORES[[#This Row],[PROVEEDOR]],"*"&amp;'Palabra no opera'!$A$2&amp;"*"))</f>
        <v>0</v>
      </c>
      <c r="AA658" s="24"/>
      <c r="AB658" s="24"/>
      <c r="AC658" s="24"/>
      <c r="AD658" s="24"/>
      <c r="AE658" s="24"/>
    </row>
    <row r="659" spans="1:31" ht="22.2" customHeight="1" x14ac:dyDescent="0.3">
      <c r="A659" s="257" t="str">
        <f>+IF(PROVEEDORES[[#This Row],[FECHA DE PAGO]]=PROVEEDORES[[#This Row],[FECHA DE FACTURACIÓN]],"DE CONTADO","CRÉDITO")</f>
        <v>CRÉDITO</v>
      </c>
      <c r="B659" s="38" t="b">
        <f>+IF((PROVEEDORES[[#This Row],[FECHA DE PAGO]]-PROVEEDORES[[#This Row],[FECHA DE FACTURACIÓN]])&gt;PROVEEDORES[[#This Row],[PLAZO Días]],"PAGO VENCIDO")</f>
        <v>0</v>
      </c>
      <c r="C659" s="20">
        <f>+VLOOKUP(PROVEEDORES[[#This Row],[PROVEEDOR]],TERCEROS_INFO[#All],2,FALSE)</f>
        <v>30</v>
      </c>
      <c r="D659" s="25">
        <f>+SUMIFS(PROVEEDORES[Total],PROVEEDORES[PROVEEDOR],PROVEEDORES[[#This Row],[PROVEEDOR]],PROVEEDORES[FECHA DE PAGO],"")</f>
        <v>2121000</v>
      </c>
      <c r="E659" s="25"/>
      <c r="F65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H659" s="267" t="s">
        <v>685</v>
      </c>
      <c r="I659" s="161">
        <v>44832</v>
      </c>
      <c r="J659" s="35" t="s">
        <v>1727</v>
      </c>
      <c r="K659" s="21">
        <v>450000</v>
      </c>
      <c r="L659" s="21"/>
      <c r="M659" s="22">
        <f>(PROVEEDORES[[#This Row],[SUBTOTAL]]-PROVEEDORES[[#This Row],[descuento sobre subtotal]])*VLOOKUP(PROVEEDORES[[#This Row],[PROVEEDOR]],TERCEROS_INFO[#All],3,FALSE)</f>
        <v>0</v>
      </c>
      <c r="N659" s="23"/>
      <c r="O659" s="22">
        <f>+PROVEEDORES[[#This Row],[Descuento sobre subtotal %]]*(PROVEEDORES[[#This Row],[SUBTOTAL]]-PROVEEDORES[[#This Row],[descuento sobre subtotal]])</f>
        <v>0</v>
      </c>
      <c r="P659" s="83">
        <f>+IF(PROVEEDORES[[#This Row],[SUBTOTAL]]&lt;PROVEEDORES[[#This Row],[base retencion]],0,PROVEEDORES[[#This Row],[retención aplicada]])</f>
        <v>0</v>
      </c>
      <c r="Q659" s="22">
        <f>+PROVEEDORES[[#This Row],[Rete Fuente %]]*(PROVEEDORES[[#This Row],[SUBTOTAL]]-PROVEEDORES[[#This Row],[descuento sobre subtotal]])</f>
        <v>0</v>
      </c>
      <c r="R659" s="21">
        <f>+PROVEEDORES[[#This Row],[SUBTOTAL]]+PROVEEDORES[[#This Row],[IVA 19%]]-PROVEEDORES[[#This Row],[descuento sobre subtotal]]-PROVEEDORES[[#This Row],[Descuento sobre subtotal $2]]-PROVEEDORES[[#This Row],[Rete Fuente $]]</f>
        <v>450000</v>
      </c>
      <c r="S659" s="25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659" s="68">
        <f ca="1">IF(PROVEEDORES[[#This Row],[FECHA DE PAGO]]=0,TODAY()-PROVEEDORES[[#This Row],[FECHA DE FACTURACIÓN]]-PROVEEDORES[[#This Row],[PLAZO Días]],0)</f>
        <v>13</v>
      </c>
      <c r="U659" s="113">
        <f>+VLOOKUP(PROVEEDORES[[#This Row],[PROVEEDOR]],Terceros!$A:$D,4,FALSE)</f>
        <v>0</v>
      </c>
      <c r="V659" s="114">
        <f>+YEAR(PROVEEDORES[[#This Row],[FECHA DE FACTURACIÓN]])</f>
        <v>2022</v>
      </c>
      <c r="W659" s="114">
        <f>+MATCH(PROVEEDORES[[#This Row],[año facturado]],Retenciones!$1:$1,0)</f>
        <v>5</v>
      </c>
      <c r="X659" s="115">
        <f>+VLOOKUP(PROVEEDORES[[#This Row],[ID RETENCION]],Retenciones!$A$1:$O$25,PROVEEDORES[[#This Row],[indicador de columna]],FALSE)</f>
        <v>0</v>
      </c>
      <c r="Y659" s="116">
        <f>+VLOOKUP(PROVEEDORES[[#This Row],[ID RETENCION]],Retenciones!$A$1:$O$25,2,FALSE)</f>
        <v>0</v>
      </c>
      <c r="Z659" s="125" t="b">
        <f>OR(COUNTIF(PROVEEDORES[[#This Row],[PROVEEDOR]],"*"&amp;'Palabra no opera'!$A$2&amp;"*"))</f>
        <v>0</v>
      </c>
      <c r="AA659" s="24"/>
      <c r="AB659" s="24"/>
      <c r="AC659" s="24"/>
      <c r="AD659" s="24"/>
      <c r="AE659" s="24"/>
    </row>
    <row r="660" spans="1:31" ht="22.2" customHeight="1" x14ac:dyDescent="0.3">
      <c r="A660" s="66" t="str">
        <f>+IF(PROVEEDORES[[#This Row],[FECHA DE PAGO]]=PROVEEDORES[[#This Row],[FECHA DE FACTURACIÓN]],"DE CONTADO","CRÉDITO")</f>
        <v>CRÉDITO</v>
      </c>
      <c r="B660" s="38" t="str">
        <f>+IF((PROVEEDORES[[#This Row],[FECHA DE PAGO]]-PROVEEDORES[[#This Row],[FECHA DE FACTURACIÓN]])&gt;PROVEEDORES[[#This Row],[PLAZO Días]],"PAGO VENCIDO")</f>
        <v>PAGO VENCIDO</v>
      </c>
      <c r="C660" s="20">
        <f>+VLOOKUP(PROVEEDORES[[#This Row],[PROVEEDOR]],TERCEROS_INFO[#All],2,FALSE)</f>
        <v>30</v>
      </c>
      <c r="D660" s="25">
        <f>+SUMIFS(PROVEEDORES[Total],PROVEEDORES[PROVEEDOR],PROVEEDORES[[#This Row],[PROVEEDOR]],PROVEEDORES[FECHA DE PAGO],"")</f>
        <v>23124164.219999999</v>
      </c>
      <c r="E660" s="25"/>
      <c r="F66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60" s="161">
        <v>44684</v>
      </c>
      <c r="H660" s="26" t="s">
        <v>18</v>
      </c>
      <c r="I660" s="161">
        <v>44638</v>
      </c>
      <c r="J660" s="35">
        <v>1051239</v>
      </c>
      <c r="K660" s="21">
        <v>378530.4</v>
      </c>
      <c r="L660" s="21"/>
      <c r="M660" s="22">
        <f>(PROVEEDORES[[#This Row],[SUBTOTAL]]-PROVEEDORES[[#This Row],[descuento sobre subtotal]])*VLOOKUP(PROVEEDORES[[#This Row],[PROVEEDOR]],TERCEROS_INFO[#All],3,FALSE)</f>
        <v>71920.775999999998</v>
      </c>
      <c r="N660" s="23"/>
      <c r="O660" s="22">
        <f>+PROVEEDORES[[#This Row],[Descuento sobre subtotal %]]*(PROVEEDORES[[#This Row],[SUBTOTAL]]-PROVEEDORES[[#This Row],[descuento sobre subtotal]])</f>
        <v>0</v>
      </c>
      <c r="P660" s="83">
        <f>+IF(PROVEEDORES[[#This Row],[SUBTOTAL]]&lt;PROVEEDORES[[#This Row],[base retencion]],0,PROVEEDORES[[#This Row],[retención aplicada]])</f>
        <v>0</v>
      </c>
      <c r="Q660" s="22">
        <f>+PROVEEDORES[[#This Row],[Rete Fuente %]]*(PROVEEDORES[[#This Row],[SUBTOTAL]]-PROVEEDORES[[#This Row],[descuento sobre subtotal]])</f>
        <v>0</v>
      </c>
      <c r="R660" s="21">
        <f>+PROVEEDORES[[#This Row],[SUBTOTAL]]+PROVEEDORES[[#This Row],[IVA 19%]]-PROVEEDORES[[#This Row],[descuento sobre subtotal]]-PROVEEDORES[[#This Row],[Descuento sobre subtotal $2]]-PROVEEDORES[[#This Row],[Rete Fuente $]]</f>
        <v>450451.17600000004</v>
      </c>
      <c r="S6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68">
        <f ca="1">IF(PROVEEDORES[[#This Row],[FECHA DE PAGO]]=0,TODAY()-PROVEEDORES[[#This Row],[FECHA DE FACTURACIÓN]]-PROVEEDORES[[#This Row],[PLAZO Días]],0)</f>
        <v>0</v>
      </c>
      <c r="U660" s="96" t="str">
        <f>+VLOOKUP(PROVEEDORES[[#This Row],[PROVEEDOR]],Terceros!$A:$D,4,FALSE)</f>
        <v>2,5% con base</v>
      </c>
      <c r="V660" s="97">
        <f>+YEAR(PROVEEDORES[[#This Row],[FECHA DE FACTURACIÓN]])</f>
        <v>2022</v>
      </c>
      <c r="W660" s="97">
        <f>+MATCH(PROVEEDORES[[#This Row],[año facturado]],Retenciones!$1:$1,0)</f>
        <v>5</v>
      </c>
      <c r="X660" s="98">
        <f>+VLOOKUP(PROVEEDORES[[#This Row],[ID RETENCION]],Retenciones!$A$1:$O$25,PROVEEDORES[[#This Row],[indicador de columna]],FALSE)</f>
        <v>1026000</v>
      </c>
      <c r="Y660" s="99">
        <f>+VLOOKUP(PROVEEDORES[[#This Row],[ID RETENCION]],Retenciones!$A$1:$O$25,2,FALSE)</f>
        <v>2.5000000000000001E-2</v>
      </c>
      <c r="Z660" s="125" t="b">
        <f>OR(COUNTIF(PROVEEDORES[[#This Row],[PROVEEDOR]],"*"&amp;'Palabra no opera'!$A$2&amp;"*"))</f>
        <v>0</v>
      </c>
      <c r="AA660" s="24"/>
      <c r="AB660" s="24"/>
      <c r="AC660" s="24"/>
      <c r="AD660" s="24"/>
      <c r="AE660" s="24"/>
    </row>
    <row r="661" spans="1:31" ht="22.2" customHeight="1" x14ac:dyDescent="0.3">
      <c r="A661" s="66" t="str">
        <f>+IF(PROVEEDORES[[#This Row],[FECHA DE PAGO]]=PROVEEDORES[[#This Row],[FECHA DE FACTURACIÓN]],"DE CONTADO","CRÉDITO")</f>
        <v>CRÉDITO</v>
      </c>
      <c r="B661" s="38" t="str">
        <f>+IF((PROVEEDORES[[#This Row],[FECHA DE PAGO]]-PROVEEDORES[[#This Row],[FECHA DE FACTURACIÓN]])&gt;PROVEEDORES[[#This Row],[PLAZO Días]],"PAGO VENCIDO")</f>
        <v>PAGO VENCIDO</v>
      </c>
      <c r="C661" s="20">
        <f>+VLOOKUP(PROVEEDORES[[#This Row],[PROVEEDOR]],TERCEROS_INFO[#All],2,FALSE)</f>
        <v>30</v>
      </c>
      <c r="D661" s="25">
        <f>+SUMIFS(PROVEEDORES[Total],PROVEEDORES[PROVEEDOR],PROVEEDORES[[#This Row],[PROVEEDOR]],PROVEEDORES[FECHA DE PAGO],"")</f>
        <v>0</v>
      </c>
      <c r="E661" s="25"/>
      <c r="F661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661" s="161">
        <v>44265</v>
      </c>
      <c r="H661" s="26" t="s">
        <v>137</v>
      </c>
      <c r="I661" s="161">
        <v>44217</v>
      </c>
      <c r="J661" s="35">
        <v>9769</v>
      </c>
      <c r="K661" s="21">
        <v>451800</v>
      </c>
      <c r="L661" s="21"/>
      <c r="M661" s="22">
        <f>(PROVEEDORES[[#This Row],[SUBTOTAL]]-PROVEEDORES[[#This Row],[descuento sobre subtotal]])*VLOOKUP(PROVEEDORES[[#This Row],[PROVEEDOR]],TERCEROS_INFO[#All],3,FALSE)</f>
        <v>0</v>
      </c>
      <c r="N661" s="23"/>
      <c r="O661" s="22">
        <f>+PROVEEDORES[[#This Row],[Descuento sobre subtotal %]]*(PROVEEDORES[[#This Row],[SUBTOTAL]]-PROVEEDORES[[#This Row],[descuento sobre subtotal]])</f>
        <v>0</v>
      </c>
      <c r="P661" s="83">
        <f>+IF(PROVEEDORES[[#This Row],[SUBTOTAL]]&lt;PROVEEDORES[[#This Row],[base retencion]],0,PROVEEDORES[[#This Row],[retención aplicada]])</f>
        <v>0</v>
      </c>
      <c r="Q661" s="22">
        <f>+PROVEEDORES[[#This Row],[Rete Fuente %]]*(PROVEEDORES[[#This Row],[SUBTOTAL]]-PROVEEDORES[[#This Row],[descuento sobre subtotal]])</f>
        <v>0</v>
      </c>
      <c r="R661" s="21">
        <f>+PROVEEDORES[[#This Row],[SUBTOTAL]]+PROVEEDORES[[#This Row],[IVA 19%]]-PROVEEDORES[[#This Row],[descuento sobre subtotal]]-PROVEEDORES[[#This Row],[Descuento sobre subtotal $2]]-PROVEEDORES[[#This Row],[Rete Fuente $]]</f>
        <v>451800</v>
      </c>
      <c r="S6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68">
        <f ca="1">IF(PROVEEDORES[[#This Row],[FECHA DE PAGO]]=0,TODAY()-PROVEEDORES[[#This Row],[FECHA DE FACTURACIÓN]]-PROVEEDORES[[#This Row],[PLAZO Días]],0)</f>
        <v>0</v>
      </c>
      <c r="U661" s="96">
        <f>+VLOOKUP(PROVEEDORES[[#This Row],[PROVEEDOR]],Terceros!$A:$D,4,FALSE)</f>
        <v>0</v>
      </c>
      <c r="V661" s="97">
        <f>+YEAR(PROVEEDORES[[#This Row],[FECHA DE FACTURACIÓN]])</f>
        <v>2021</v>
      </c>
      <c r="W661" s="97">
        <f>+MATCH(PROVEEDORES[[#This Row],[año facturado]],Retenciones!$1:$1,0)</f>
        <v>4</v>
      </c>
      <c r="X661" s="98">
        <f>+VLOOKUP(PROVEEDORES[[#This Row],[ID RETENCION]],Retenciones!$A$1:$O$25,PROVEEDORES[[#This Row],[indicador de columna]],FALSE)</f>
        <v>0</v>
      </c>
      <c r="Y661" s="99">
        <f>+VLOOKUP(PROVEEDORES[[#This Row],[ID RETENCION]],Retenciones!$A$1:$O$25,2,FALSE)</f>
        <v>0</v>
      </c>
      <c r="Z661" s="125" t="b">
        <f>OR(COUNTIF(PROVEEDORES[[#This Row],[PROVEEDOR]],"*"&amp;'Palabra no opera'!$A$2&amp;"*"))</f>
        <v>0</v>
      </c>
      <c r="AA661" s="24"/>
      <c r="AB661" s="24"/>
      <c r="AC661" s="24"/>
      <c r="AD661" s="24"/>
      <c r="AE661" s="24"/>
    </row>
    <row r="662" spans="1:31" ht="22.2" customHeight="1" x14ac:dyDescent="0.3">
      <c r="A662" s="66" t="str">
        <f>+IF(PROVEEDORES[[#This Row],[FECHA DE PAGO]]=PROVEEDORES[[#This Row],[FECHA DE FACTURACIÓN]],"DE CONTADO","CRÉDITO")</f>
        <v>CRÉDITO</v>
      </c>
      <c r="B662" s="38" t="str">
        <f>+IF((PROVEEDORES[[#This Row],[FECHA DE PAGO]]-PROVEEDORES[[#This Row],[FECHA DE FACTURACIÓN]])&gt;PROVEEDORES[[#This Row],[PLAZO Días]],"PAGO VENCIDO")</f>
        <v>PAGO VENCIDO</v>
      </c>
      <c r="C662" s="20">
        <f>+VLOOKUP(PROVEEDORES[[#This Row],[PROVEEDOR]],TERCEROS_INFO[#All],2,FALSE)</f>
        <v>30</v>
      </c>
      <c r="D662" s="25">
        <f>+SUMIFS(PROVEEDORES[Total],PROVEEDORES[PROVEEDOR],PROVEEDORES[[#This Row],[PROVEEDOR]],PROVEEDORES[FECHA DE PAGO],"")</f>
        <v>0</v>
      </c>
      <c r="E662" s="25"/>
      <c r="F66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662" s="161">
        <v>44690</v>
      </c>
      <c r="H662" s="26" t="s">
        <v>39</v>
      </c>
      <c r="I662" s="161">
        <v>44658</v>
      </c>
      <c r="J662" s="35">
        <v>1218</v>
      </c>
      <c r="K662" s="21">
        <v>380410</v>
      </c>
      <c r="L662" s="21"/>
      <c r="M662" s="22">
        <f>(PROVEEDORES[[#This Row],[SUBTOTAL]]-PROVEEDORES[[#This Row],[descuento sobre subtotal]])*VLOOKUP(PROVEEDORES[[#This Row],[PROVEEDOR]],TERCEROS_INFO[#All],3,FALSE)</f>
        <v>72277.899999999994</v>
      </c>
      <c r="N662" s="23"/>
      <c r="O662" s="22">
        <f>+PROVEEDORES[[#This Row],[Descuento sobre subtotal %]]*(PROVEEDORES[[#This Row],[SUBTOTAL]]-PROVEEDORES[[#This Row],[descuento sobre subtotal]])</f>
        <v>0</v>
      </c>
      <c r="P662" s="83">
        <f>+IF(PROVEEDORES[[#This Row],[SUBTOTAL]]&lt;PROVEEDORES[[#This Row],[base retencion]],0,PROVEEDORES[[#This Row],[retención aplicada]])</f>
        <v>0</v>
      </c>
      <c r="Q662" s="22">
        <f>+PROVEEDORES[[#This Row],[Rete Fuente %]]*(PROVEEDORES[[#This Row],[SUBTOTAL]]-PROVEEDORES[[#This Row],[descuento sobre subtotal]])</f>
        <v>0</v>
      </c>
      <c r="R662" s="21">
        <f>+PROVEEDORES[[#This Row],[SUBTOTAL]]+PROVEEDORES[[#This Row],[IVA 19%]]-PROVEEDORES[[#This Row],[descuento sobre subtotal]]-PROVEEDORES[[#This Row],[Descuento sobre subtotal $2]]-PROVEEDORES[[#This Row],[Rete Fuente $]]</f>
        <v>452687.9</v>
      </c>
      <c r="S6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68">
        <f ca="1">IF(PROVEEDORES[[#This Row],[FECHA DE PAGO]]=0,TODAY()-PROVEEDORES[[#This Row],[FECHA DE FACTURACIÓN]]-PROVEEDORES[[#This Row],[PLAZO Días]],0)</f>
        <v>0</v>
      </c>
      <c r="U662" s="96" t="str">
        <f>+VLOOKUP(PROVEEDORES[[#This Row],[PROVEEDOR]],Terceros!$A:$D,4,FALSE)</f>
        <v>2,5% con base</v>
      </c>
      <c r="V662" s="97">
        <f>+YEAR(PROVEEDORES[[#This Row],[FECHA DE FACTURACIÓN]])</f>
        <v>2022</v>
      </c>
      <c r="W662" s="97">
        <f>+MATCH(PROVEEDORES[[#This Row],[año facturado]],Retenciones!$1:$1,0)</f>
        <v>5</v>
      </c>
      <c r="X662" s="98">
        <f>+VLOOKUP(PROVEEDORES[[#This Row],[ID RETENCION]],Retenciones!$A$1:$O$25,PROVEEDORES[[#This Row],[indicador de columna]],FALSE)</f>
        <v>1026000</v>
      </c>
      <c r="Y662" s="99">
        <f>+VLOOKUP(PROVEEDORES[[#This Row],[ID RETENCION]],Retenciones!$A$1:$O$25,2,FALSE)</f>
        <v>2.5000000000000001E-2</v>
      </c>
      <c r="Z662" s="125" t="b">
        <f>OR(COUNTIF(PROVEEDORES[[#This Row],[PROVEEDOR]],"*"&amp;'Palabra no opera'!$A$2&amp;"*"))</f>
        <v>0</v>
      </c>
      <c r="AA662" s="24"/>
      <c r="AB662" s="24"/>
      <c r="AC662" s="24"/>
      <c r="AD662" s="24"/>
      <c r="AE662" s="24"/>
    </row>
    <row r="663" spans="1:31" ht="22.2" customHeight="1" x14ac:dyDescent="0.3">
      <c r="A663" s="66" t="str">
        <f>+IF(PROVEEDORES[[#This Row],[FECHA DE PAGO]]=PROVEEDORES[[#This Row],[FECHA DE FACTURACIÓN]],"DE CONTADO","CRÉDITO")</f>
        <v>DE CONTADO</v>
      </c>
      <c r="B663" s="38" t="b">
        <f>+IF((PROVEEDORES[[#This Row],[FECHA DE PAGO]]-PROVEEDORES[[#This Row],[FECHA DE FACTURACIÓN]])&gt;PROVEEDORES[[#This Row],[PLAZO Días]],"PAGO VENCIDO")</f>
        <v>0</v>
      </c>
      <c r="C663" s="20">
        <f>+VLOOKUP(PROVEEDORES[[#This Row],[PROVEEDOR]],TERCEROS_INFO[#All],2,FALSE)</f>
        <v>30</v>
      </c>
      <c r="D663" s="25">
        <f>+SUMIFS(PROVEEDORES[Total],PROVEEDORES[PROVEEDOR],PROVEEDORES[[#This Row],[PROVEEDOR]],PROVEEDORES[FECHA DE PAGO],"")</f>
        <v>0</v>
      </c>
      <c r="E663" s="25"/>
      <c r="F663" s="58" t="str">
        <f>+VLOOKUP(PROVEEDORES[[#This Row],[PROVEEDOR]],
                       Terceros!$A:$F,
                       5,
                       FALSE)</f>
        <v/>
      </c>
      <c r="G663" s="161">
        <v>44500</v>
      </c>
      <c r="H663" s="26" t="s">
        <v>644</v>
      </c>
      <c r="I663" s="161">
        <v>44500</v>
      </c>
      <c r="J663" s="35" t="s">
        <v>1314</v>
      </c>
      <c r="K663" s="21">
        <v>453200</v>
      </c>
      <c r="L663" s="21"/>
      <c r="M663" s="22">
        <f>(PROVEEDORES[[#This Row],[SUBTOTAL]]-PROVEEDORES[[#This Row],[descuento sobre subtotal]])*VLOOKUP(PROVEEDORES[[#This Row],[PROVEEDOR]],TERCEROS_INFO[#All],3,FALSE)</f>
        <v>0</v>
      </c>
      <c r="N663" s="23"/>
      <c r="O663" s="22">
        <f>+PROVEEDORES[[#This Row],[Descuento sobre subtotal %]]*(PROVEEDORES[[#This Row],[SUBTOTAL]]-PROVEEDORES[[#This Row],[descuento sobre subtotal]])</f>
        <v>0</v>
      </c>
      <c r="P663" s="83">
        <f>+IF(PROVEEDORES[[#This Row],[SUBTOTAL]]&lt;PROVEEDORES[[#This Row],[base retencion]],0,PROVEEDORES[[#This Row],[retención aplicada]])</f>
        <v>0</v>
      </c>
      <c r="Q663" s="22">
        <f>+PROVEEDORES[[#This Row],[Rete Fuente %]]*(PROVEEDORES[[#This Row],[SUBTOTAL]]-PROVEEDORES[[#This Row],[descuento sobre subtotal]])</f>
        <v>0</v>
      </c>
      <c r="R663" s="21">
        <f>+PROVEEDORES[[#This Row],[SUBTOTAL]]+PROVEEDORES[[#This Row],[IVA 19%]]-PROVEEDORES[[#This Row],[descuento sobre subtotal]]-PROVEEDORES[[#This Row],[Descuento sobre subtotal $2]]-PROVEEDORES[[#This Row],[Rete Fuente $]]</f>
        <v>453200</v>
      </c>
      <c r="S6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68">
        <f ca="1">IF(PROVEEDORES[[#This Row],[FECHA DE PAGO]]=0,TODAY()-PROVEEDORES[[#This Row],[FECHA DE FACTURACIÓN]]-PROVEEDORES[[#This Row],[PLAZO Días]],0)</f>
        <v>0</v>
      </c>
      <c r="U663" s="96">
        <f>+VLOOKUP(PROVEEDORES[[#This Row],[PROVEEDOR]],Terceros!$A:$D,4,FALSE)</f>
        <v>0</v>
      </c>
      <c r="V663" s="97">
        <f>+YEAR(PROVEEDORES[[#This Row],[FECHA DE FACTURACIÓN]])</f>
        <v>2021</v>
      </c>
      <c r="W663" s="97">
        <f>+MATCH(PROVEEDORES[[#This Row],[año facturado]],Retenciones!$1:$1,0)</f>
        <v>4</v>
      </c>
      <c r="X663" s="98">
        <f>+VLOOKUP(PROVEEDORES[[#This Row],[ID RETENCION]],Retenciones!$A$1:$O$25,PROVEEDORES[[#This Row],[indicador de columna]],FALSE)</f>
        <v>0</v>
      </c>
      <c r="Y663" s="99">
        <f>+VLOOKUP(PROVEEDORES[[#This Row],[ID RETENCION]],Retenciones!$A$1:$O$25,2,FALSE)</f>
        <v>0</v>
      </c>
      <c r="Z663" s="125" t="b">
        <f>OR(COUNTIF(PROVEEDORES[[#This Row],[PROVEEDOR]],"*"&amp;'Palabra no opera'!$A$2&amp;"*"))</f>
        <v>0</v>
      </c>
      <c r="AA663" s="24"/>
      <c r="AB663" s="24"/>
      <c r="AC663" s="24"/>
      <c r="AD663" s="24"/>
      <c r="AE663" s="24"/>
    </row>
    <row r="664" spans="1:31" ht="22.2" customHeight="1" x14ac:dyDescent="0.3">
      <c r="A664" s="257" t="str">
        <f>+IF(PROVEEDORES[[#This Row],[FECHA DE PAGO]]=PROVEEDORES[[#This Row],[FECHA DE FACTURACIÓN]],"DE CONTADO","CRÉDITO")</f>
        <v>DE CONTADO</v>
      </c>
      <c r="B664" s="38" t="b">
        <f>+IF((PROVEEDORES[[#This Row],[FECHA DE PAGO]]-PROVEEDORES[[#This Row],[FECHA DE FACTURACIÓN]])&gt;PROVEEDORES[[#This Row],[PLAZO Días]],"PAGO VENCIDO")</f>
        <v>0</v>
      </c>
      <c r="C664" s="20">
        <f>+VLOOKUP(PROVEEDORES[[#This Row],[PROVEEDOR]],TERCEROS_INFO[#All],2,FALSE)</f>
        <v>30</v>
      </c>
      <c r="D664" s="25">
        <f>+SUMIFS(PROVEEDORES[Total],PROVEEDORES[PROVEEDOR],PROVEEDORES[[#This Row],[PROVEEDOR]],PROVEEDORES[FECHA DE PAGO],"")</f>
        <v>0</v>
      </c>
      <c r="E664" s="25"/>
      <c r="F664" s="58" t="str">
        <f>+VLOOKUP(PROVEEDORES[[#This Row],[PROVEEDOR]],
                       Terceros!$A:$F,
                       5,
                       FALSE)</f>
        <v/>
      </c>
      <c r="G664" s="161">
        <v>44835</v>
      </c>
      <c r="H664" s="26" t="s">
        <v>635</v>
      </c>
      <c r="I664" s="161">
        <v>44835</v>
      </c>
      <c r="J664" s="35" t="s">
        <v>1724</v>
      </c>
      <c r="K664" s="21">
        <v>455000</v>
      </c>
      <c r="L664" s="21"/>
      <c r="M664" s="22">
        <f>(PROVEEDORES[[#This Row],[SUBTOTAL]]-PROVEEDORES[[#This Row],[descuento sobre subtotal]])*VLOOKUP(PROVEEDORES[[#This Row],[PROVEEDOR]],TERCEROS_INFO[#All],3,FALSE)</f>
        <v>0</v>
      </c>
      <c r="N664" s="23"/>
      <c r="O664" s="22">
        <f>+PROVEEDORES[[#This Row],[Descuento sobre subtotal %]]*(PROVEEDORES[[#This Row],[SUBTOTAL]]-PROVEEDORES[[#This Row],[descuento sobre subtotal]])</f>
        <v>0</v>
      </c>
      <c r="P664" s="83">
        <f>+IF(PROVEEDORES[[#This Row],[SUBTOTAL]]&lt;PROVEEDORES[[#This Row],[base retencion]],0,PROVEEDORES[[#This Row],[retención aplicada]])</f>
        <v>0</v>
      </c>
      <c r="Q664" s="22">
        <f>+PROVEEDORES[[#This Row],[Rete Fuente %]]*(PROVEEDORES[[#This Row],[SUBTOTAL]]-PROVEEDORES[[#This Row],[descuento sobre subtotal]])</f>
        <v>0</v>
      </c>
      <c r="R664" s="21">
        <f>+PROVEEDORES[[#This Row],[SUBTOTAL]]+PROVEEDORES[[#This Row],[IVA 19%]]-PROVEEDORES[[#This Row],[descuento sobre subtotal]]-PROVEEDORES[[#This Row],[Descuento sobre subtotal $2]]-PROVEEDORES[[#This Row],[Rete Fuente $]]</f>
        <v>455000</v>
      </c>
      <c r="S664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68">
        <f ca="1">IF(PROVEEDORES[[#This Row],[FECHA DE PAGO]]=0,TODAY()-PROVEEDORES[[#This Row],[FECHA DE FACTURACIÓN]]-PROVEEDORES[[#This Row],[PLAZO Días]],0)</f>
        <v>0</v>
      </c>
      <c r="U664" s="113">
        <f>+VLOOKUP(PROVEEDORES[[#This Row],[PROVEEDOR]],Terceros!$A:$D,4,FALSE)</f>
        <v>0</v>
      </c>
      <c r="V664" s="114">
        <f>+YEAR(PROVEEDORES[[#This Row],[FECHA DE FACTURACIÓN]])</f>
        <v>2022</v>
      </c>
      <c r="W664" s="114">
        <f>+MATCH(PROVEEDORES[[#This Row],[año facturado]],Retenciones!$1:$1,0)</f>
        <v>5</v>
      </c>
      <c r="X664" s="115">
        <f>+VLOOKUP(PROVEEDORES[[#This Row],[ID RETENCION]],Retenciones!$A$1:$O$25,PROVEEDORES[[#This Row],[indicador de columna]],FALSE)</f>
        <v>0</v>
      </c>
      <c r="Y664" s="116">
        <f>+VLOOKUP(PROVEEDORES[[#This Row],[ID RETENCION]],Retenciones!$A$1:$O$25,2,FALSE)</f>
        <v>0</v>
      </c>
      <c r="Z664" s="125" t="b">
        <f>OR(COUNTIF(PROVEEDORES[[#This Row],[PROVEEDOR]],"*"&amp;'Palabra no opera'!$A$2&amp;"*"))</f>
        <v>0</v>
      </c>
      <c r="AA664" s="24"/>
      <c r="AB664" s="24"/>
      <c r="AC664" s="24"/>
      <c r="AD664" s="24"/>
      <c r="AE664" s="24"/>
    </row>
    <row r="665" spans="1:31" ht="22.2" customHeight="1" x14ac:dyDescent="0.3">
      <c r="A665" s="146" t="str">
        <f>+IF(PROVEEDORES[[#This Row],[FECHA DE PAGO]]=PROVEEDORES[[#This Row],[FECHA DE FACTURACIÓN]],"DE CONTADO","CRÉDITO")</f>
        <v>CRÉDITO</v>
      </c>
      <c r="B665" s="38" t="b">
        <f>+IF((PROVEEDORES[[#This Row],[FECHA DE PAGO]]-PROVEEDORES[[#This Row],[FECHA DE FACTURACIÓN]])&gt;PROVEEDORES[[#This Row],[PLAZO Días]],"PAGO VENCIDO")</f>
        <v>0</v>
      </c>
      <c r="C665" s="20">
        <f>+VLOOKUP(PROVEEDORES[[#This Row],[PROVEEDOR]],TERCEROS_INFO[#All],2,FALSE)</f>
        <v>30</v>
      </c>
      <c r="D665" s="25">
        <f>+SUMIFS(PROVEEDORES[Total],PROVEEDORES[PROVEEDOR],PROVEEDORES[[#This Row],[PROVEEDOR]],PROVEEDORES[FECHA DE PAGO],"")</f>
        <v>0</v>
      </c>
      <c r="E665" s="25"/>
      <c r="F665" s="58">
        <f>+VLOOKUP(PROVEEDORES[[#This Row],[PROVEEDOR]],
                       Terceros!$A:$F,
                       5,
                       FALSE)</f>
        <v>0</v>
      </c>
      <c r="G665" s="161">
        <v>44725</v>
      </c>
      <c r="H665" s="26" t="s">
        <v>932</v>
      </c>
      <c r="I665" s="161">
        <v>44713</v>
      </c>
      <c r="J665" s="35" t="s">
        <v>307</v>
      </c>
      <c r="K665" s="21">
        <v>455823</v>
      </c>
      <c r="L665" s="21"/>
      <c r="M665" s="22">
        <f>(PROVEEDORES[[#This Row],[SUBTOTAL]]-PROVEEDORES[[#This Row],[descuento sobre subtotal]])*VLOOKUP(PROVEEDORES[[#This Row],[PROVEEDOR]],TERCEROS_INFO[#All],3,FALSE)</f>
        <v>0</v>
      </c>
      <c r="N665" s="23"/>
      <c r="O665" s="22">
        <f>+PROVEEDORES[[#This Row],[Descuento sobre subtotal %]]*(PROVEEDORES[[#This Row],[SUBTOTAL]]-PROVEEDORES[[#This Row],[descuento sobre subtotal]])</f>
        <v>0</v>
      </c>
      <c r="P665" s="83">
        <f>+IF(PROVEEDORES[[#This Row],[SUBTOTAL]]&lt;PROVEEDORES[[#This Row],[base retencion]],0,PROVEEDORES[[#This Row],[retención aplicada]])</f>
        <v>0</v>
      </c>
      <c r="Q665" s="22">
        <f>+PROVEEDORES[[#This Row],[Rete Fuente %]]*(PROVEEDORES[[#This Row],[SUBTOTAL]]-PROVEEDORES[[#This Row],[descuento sobre subtotal]])</f>
        <v>0</v>
      </c>
      <c r="R665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65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68">
        <f ca="1">IF(PROVEEDORES[[#This Row],[FECHA DE PAGO]]=0,TODAY()-PROVEEDORES[[#This Row],[FECHA DE FACTURACIÓN]]-PROVEEDORES[[#This Row],[PLAZO Días]],0)</f>
        <v>0</v>
      </c>
      <c r="U665" s="113">
        <f>+VLOOKUP(PROVEEDORES[[#This Row],[PROVEEDOR]],Terceros!$A:$D,4,FALSE)</f>
        <v>0</v>
      </c>
      <c r="V665" s="114">
        <f>+YEAR(PROVEEDORES[[#This Row],[FECHA DE FACTURACIÓN]])</f>
        <v>2022</v>
      </c>
      <c r="W665" s="114">
        <f>+MATCH(PROVEEDORES[[#This Row],[año facturado]],Retenciones!$1:$1,0)</f>
        <v>5</v>
      </c>
      <c r="X665" s="115">
        <f>+VLOOKUP(PROVEEDORES[[#This Row],[ID RETENCION]],Retenciones!$A$1:$O$25,PROVEEDORES[[#This Row],[indicador de columna]],FALSE)</f>
        <v>0</v>
      </c>
      <c r="Y665" s="116">
        <f>+VLOOKUP(PROVEEDORES[[#This Row],[ID RETENCION]],Retenciones!$A$1:$O$25,2,FALSE)</f>
        <v>0</v>
      </c>
      <c r="Z665" s="125" t="b">
        <f>OR(COUNTIF(PROVEEDORES[[#This Row],[PROVEEDOR]],"*"&amp;'Palabra no opera'!$A$2&amp;"*"))</f>
        <v>1</v>
      </c>
      <c r="AA665" s="24"/>
      <c r="AB665" s="24"/>
      <c r="AC665" s="24"/>
      <c r="AD665" s="24"/>
      <c r="AE665" s="24"/>
    </row>
    <row r="666" spans="1:31" ht="22.2" customHeight="1" x14ac:dyDescent="0.3">
      <c r="A666" s="159" t="str">
        <f>+IF(PROVEEDORES[[#This Row],[FECHA DE PAGO]]=PROVEEDORES[[#This Row],[FECHA DE FACTURACIÓN]],"DE CONTADO","CRÉDITO")</f>
        <v>CRÉDITO</v>
      </c>
      <c r="B666" s="38" t="b">
        <f>+IF((PROVEEDORES[[#This Row],[FECHA DE PAGO]]-PROVEEDORES[[#This Row],[FECHA DE FACTURACIÓN]])&gt;PROVEEDORES[[#This Row],[PLAZO Días]],"PAGO VENCIDO")</f>
        <v>0</v>
      </c>
      <c r="C666" s="20">
        <f>+VLOOKUP(PROVEEDORES[[#This Row],[PROVEEDOR]],TERCEROS_INFO[#All],2,FALSE)</f>
        <v>30</v>
      </c>
      <c r="D666" s="25">
        <f>+SUMIFS(PROVEEDORES[Total],PROVEEDORES[PROVEEDOR],PROVEEDORES[[#This Row],[PROVEEDOR]],PROVEEDORES[FECHA DE PAGO],"")</f>
        <v>0</v>
      </c>
      <c r="E666" s="25"/>
      <c r="F666" s="58">
        <f>+VLOOKUP(PROVEEDORES[[#This Row],[PROVEEDOR]],
                       Terceros!$A:$F,
                       5,
                       FALSE)</f>
        <v>0</v>
      </c>
      <c r="G666" s="161">
        <v>44771</v>
      </c>
      <c r="H666" s="26" t="s">
        <v>932</v>
      </c>
      <c r="I666" s="161">
        <v>44743</v>
      </c>
      <c r="J666" s="35" t="s">
        <v>307</v>
      </c>
      <c r="K666" s="21">
        <v>455823</v>
      </c>
      <c r="L666" s="21"/>
      <c r="M666" s="22">
        <f>(PROVEEDORES[[#This Row],[SUBTOTAL]]-PROVEEDORES[[#This Row],[descuento sobre subtotal]])*VLOOKUP(PROVEEDORES[[#This Row],[PROVEEDOR]],TERCEROS_INFO[#All],3,FALSE)</f>
        <v>0</v>
      </c>
      <c r="N666" s="23"/>
      <c r="O666" s="22">
        <f>+PROVEEDORES[[#This Row],[Descuento sobre subtotal %]]*(PROVEEDORES[[#This Row],[SUBTOTAL]]-PROVEEDORES[[#This Row],[descuento sobre subtotal]])</f>
        <v>0</v>
      </c>
      <c r="P666" s="83">
        <f>+IF(PROVEEDORES[[#This Row],[SUBTOTAL]]&lt;PROVEEDORES[[#This Row],[base retencion]],0,PROVEEDORES[[#This Row],[retención aplicada]])</f>
        <v>0</v>
      </c>
      <c r="Q666" s="22">
        <f>+PROVEEDORES[[#This Row],[Rete Fuente %]]*(PROVEEDORES[[#This Row],[SUBTOTAL]]-PROVEEDORES[[#This Row],[descuento sobre subtotal]])</f>
        <v>0</v>
      </c>
      <c r="R666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6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6" s="68">
        <f ca="1">IF(PROVEEDORES[[#This Row],[FECHA DE PAGO]]=0,TODAY()-PROVEEDORES[[#This Row],[FECHA DE FACTURACIÓN]]-PROVEEDORES[[#This Row],[PLAZO Días]],0)</f>
        <v>0</v>
      </c>
      <c r="U666" s="113">
        <f>+VLOOKUP(PROVEEDORES[[#This Row],[PROVEEDOR]],Terceros!$A:$D,4,FALSE)</f>
        <v>0</v>
      </c>
      <c r="V666" s="114">
        <f>+YEAR(PROVEEDORES[[#This Row],[FECHA DE FACTURACIÓN]])</f>
        <v>2022</v>
      </c>
      <c r="W666" s="114">
        <f>+MATCH(PROVEEDORES[[#This Row],[año facturado]],Retenciones!$1:$1,0)</f>
        <v>5</v>
      </c>
      <c r="X666" s="115">
        <f>+VLOOKUP(PROVEEDORES[[#This Row],[ID RETENCION]],Retenciones!$A$1:$O$25,PROVEEDORES[[#This Row],[indicador de columna]],FALSE)</f>
        <v>0</v>
      </c>
      <c r="Y666" s="116">
        <f>+VLOOKUP(PROVEEDORES[[#This Row],[ID RETENCION]],Retenciones!$A$1:$O$25,2,FALSE)</f>
        <v>0</v>
      </c>
      <c r="Z666" s="125" t="b">
        <f>OR(COUNTIF(PROVEEDORES[[#This Row],[PROVEEDOR]],"*"&amp;'Palabra no opera'!$A$2&amp;"*"))</f>
        <v>1</v>
      </c>
      <c r="AA666" s="24"/>
      <c r="AB666" s="24"/>
      <c r="AC666" s="24"/>
      <c r="AD666" s="24"/>
      <c r="AE666" s="24"/>
    </row>
    <row r="667" spans="1:31" ht="22.2" customHeight="1" x14ac:dyDescent="0.3">
      <c r="A667" s="72" t="str">
        <f>+IF(PROVEEDORES[[#This Row],[FECHA DE PAGO]]=PROVEEDORES[[#This Row],[FECHA DE FACTURACIÓN]],"DE CONTADO","CRÉDITO")</f>
        <v>CRÉDITO</v>
      </c>
      <c r="B667" s="38" t="b">
        <f>+IF((PROVEEDORES[[#This Row],[FECHA DE PAGO]]-PROVEEDORES[[#This Row],[FECHA DE FACTURACIÓN]])&gt;PROVEEDORES[[#This Row],[PLAZO Días]],"PAGO VENCIDO")</f>
        <v>0</v>
      </c>
      <c r="C667" s="20">
        <f>+VLOOKUP(PROVEEDORES[[#This Row],[PROVEEDOR]],TERCEROS_INFO[#All],2,FALSE)</f>
        <v>30</v>
      </c>
      <c r="D667" s="25">
        <f>+SUMIFS(PROVEEDORES[Total],PROVEEDORES[PROVEEDOR],PROVEEDORES[[#This Row],[PROVEEDOR]],PROVEEDORES[FECHA DE PAGO],"")</f>
        <v>0</v>
      </c>
      <c r="E667" s="25"/>
      <c r="F667" s="58">
        <f>+VLOOKUP(PROVEEDORES[[#This Row],[PROVEEDOR]],
                       Terceros!$A:$F,
                       5,
                       FALSE)</f>
        <v>0</v>
      </c>
      <c r="G667" s="161">
        <v>44783</v>
      </c>
      <c r="H667" s="26" t="s">
        <v>932</v>
      </c>
      <c r="I667" s="161">
        <v>44774</v>
      </c>
      <c r="J667" s="35" t="s">
        <v>307</v>
      </c>
      <c r="K667" s="21">
        <v>455823</v>
      </c>
      <c r="L667" s="21"/>
      <c r="M667" s="22">
        <f>(PROVEEDORES[[#This Row],[SUBTOTAL]]-PROVEEDORES[[#This Row],[descuento sobre subtotal]])*VLOOKUP(PROVEEDORES[[#This Row],[PROVEEDOR]],TERCEROS_INFO[#All],3,FALSE)</f>
        <v>0</v>
      </c>
      <c r="N667" s="23"/>
      <c r="O667" s="22">
        <f>+PROVEEDORES[[#This Row],[Descuento sobre subtotal %]]*(PROVEEDORES[[#This Row],[SUBTOTAL]]-PROVEEDORES[[#This Row],[descuento sobre subtotal]])</f>
        <v>0</v>
      </c>
      <c r="P667" s="83">
        <f>+IF(PROVEEDORES[[#This Row],[SUBTOTAL]]&lt;PROVEEDORES[[#This Row],[base retencion]],0,PROVEEDORES[[#This Row],[retención aplicada]])</f>
        <v>0</v>
      </c>
      <c r="Q667" s="22">
        <f>+PROVEEDORES[[#This Row],[Rete Fuente %]]*(PROVEEDORES[[#This Row],[SUBTOTAL]]-PROVEEDORES[[#This Row],[descuento sobre subtotal]])</f>
        <v>0</v>
      </c>
      <c r="R667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6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68">
        <f ca="1">IF(PROVEEDORES[[#This Row],[FECHA DE PAGO]]=0,TODAY()-PROVEEDORES[[#This Row],[FECHA DE FACTURACIÓN]]-PROVEEDORES[[#This Row],[PLAZO Días]],0)</f>
        <v>0</v>
      </c>
      <c r="U667" s="113">
        <f>+VLOOKUP(PROVEEDORES[[#This Row],[PROVEEDOR]],Terceros!$A:$D,4,FALSE)</f>
        <v>0</v>
      </c>
      <c r="V667" s="114">
        <f>+YEAR(PROVEEDORES[[#This Row],[FECHA DE FACTURACIÓN]])</f>
        <v>2022</v>
      </c>
      <c r="W667" s="114">
        <f>+MATCH(PROVEEDORES[[#This Row],[año facturado]],Retenciones!$1:$1,0)</f>
        <v>5</v>
      </c>
      <c r="X667" s="115">
        <f>+VLOOKUP(PROVEEDORES[[#This Row],[ID RETENCION]],Retenciones!$A$1:$O$25,PROVEEDORES[[#This Row],[indicador de columna]],FALSE)</f>
        <v>0</v>
      </c>
      <c r="Y667" s="116">
        <f>+VLOOKUP(PROVEEDORES[[#This Row],[ID RETENCION]],Retenciones!$A$1:$O$25,2,FALSE)</f>
        <v>0</v>
      </c>
      <c r="Z667" s="125" t="b">
        <f>OR(COUNTIF(PROVEEDORES[[#This Row],[PROVEEDOR]],"*"&amp;'Palabra no opera'!$A$2&amp;"*"))</f>
        <v>1</v>
      </c>
      <c r="AA667" s="24"/>
      <c r="AB667" s="24"/>
      <c r="AC667" s="24"/>
      <c r="AD667" s="24"/>
      <c r="AE667" s="24"/>
    </row>
    <row r="668" spans="1:31" ht="22.2" customHeight="1" x14ac:dyDescent="0.3">
      <c r="A668" s="215" t="str">
        <f>+IF(PROVEEDORES[[#This Row],[FECHA DE PAGO]]=PROVEEDORES[[#This Row],[FECHA DE FACTURACIÓN]],"DE CONTADO","CRÉDITO")</f>
        <v>CRÉDITO</v>
      </c>
      <c r="B668" s="38" t="b">
        <f>+IF((PROVEEDORES[[#This Row],[FECHA DE PAGO]]-PROVEEDORES[[#This Row],[FECHA DE FACTURACIÓN]])&gt;PROVEEDORES[[#This Row],[PLAZO Días]],"PAGO VENCIDO")</f>
        <v>0</v>
      </c>
      <c r="C668" s="20">
        <f>+VLOOKUP(PROVEEDORES[[#This Row],[PROVEEDOR]],TERCEROS_INFO[#All],2,FALSE)</f>
        <v>30</v>
      </c>
      <c r="D668" s="25">
        <f>+SUMIFS(PROVEEDORES[Total],PROVEEDORES[PROVEEDOR],PROVEEDORES[[#This Row],[PROVEEDOR]],PROVEEDORES[FECHA DE PAGO],"")</f>
        <v>0</v>
      </c>
      <c r="E668" s="25"/>
      <c r="F668" s="58">
        <f>+VLOOKUP(PROVEEDORES[[#This Row],[PROVEEDOR]],
                       Terceros!$A:$F,
                       5,
                       FALSE)</f>
        <v>0</v>
      </c>
      <c r="G668" s="161">
        <v>44816</v>
      </c>
      <c r="H668" s="26" t="s">
        <v>932</v>
      </c>
      <c r="I668" s="161">
        <v>44805</v>
      </c>
      <c r="J668" s="35" t="s">
        <v>307</v>
      </c>
      <c r="K668" s="21">
        <v>455823</v>
      </c>
      <c r="L668" s="21"/>
      <c r="M668" s="22">
        <f>(PROVEEDORES[[#This Row],[SUBTOTAL]]-PROVEEDORES[[#This Row],[descuento sobre subtotal]])*VLOOKUP(PROVEEDORES[[#This Row],[PROVEEDOR]],TERCEROS_INFO[#All],3,FALSE)</f>
        <v>0</v>
      </c>
      <c r="N668" s="23"/>
      <c r="O668" s="22">
        <f>+PROVEEDORES[[#This Row],[Descuento sobre subtotal %]]*(PROVEEDORES[[#This Row],[SUBTOTAL]]-PROVEEDORES[[#This Row],[descuento sobre subtotal]])</f>
        <v>0</v>
      </c>
      <c r="P668" s="83">
        <f>+IF(PROVEEDORES[[#This Row],[SUBTOTAL]]&lt;PROVEEDORES[[#This Row],[base retencion]],0,PROVEEDORES[[#This Row],[retención aplicada]])</f>
        <v>0</v>
      </c>
      <c r="Q668" s="22">
        <f>+PROVEEDORES[[#This Row],[Rete Fuente %]]*(PROVEEDORES[[#This Row],[SUBTOTAL]]-PROVEEDORES[[#This Row],[descuento sobre subtotal]])</f>
        <v>0</v>
      </c>
      <c r="R668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68" s="2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68">
        <f ca="1">IF(PROVEEDORES[[#This Row],[FECHA DE PAGO]]=0,TODAY()-PROVEEDORES[[#This Row],[FECHA DE FACTURACIÓN]]-PROVEEDORES[[#This Row],[PLAZO Días]],0)</f>
        <v>0</v>
      </c>
      <c r="U668" s="113">
        <f>+VLOOKUP(PROVEEDORES[[#This Row],[PROVEEDOR]],Terceros!$A:$D,4,FALSE)</f>
        <v>0</v>
      </c>
      <c r="V668" s="114">
        <f>+YEAR(PROVEEDORES[[#This Row],[FECHA DE FACTURACIÓN]])</f>
        <v>2022</v>
      </c>
      <c r="W668" s="114">
        <f>+MATCH(PROVEEDORES[[#This Row],[año facturado]],Retenciones!$1:$1,0)</f>
        <v>5</v>
      </c>
      <c r="X668" s="115">
        <f>+VLOOKUP(PROVEEDORES[[#This Row],[ID RETENCION]],Retenciones!$A$1:$O$25,PROVEEDORES[[#This Row],[indicador de columna]],FALSE)</f>
        <v>0</v>
      </c>
      <c r="Y668" s="116">
        <f>+VLOOKUP(PROVEEDORES[[#This Row],[ID RETENCION]],Retenciones!$A$1:$O$25,2,FALSE)</f>
        <v>0</v>
      </c>
      <c r="Z668" s="125" t="b">
        <f>OR(COUNTIF(PROVEEDORES[[#This Row],[PROVEEDOR]],"*"&amp;'Palabra no opera'!$A$2&amp;"*"))</f>
        <v>1</v>
      </c>
      <c r="AA668" s="24"/>
      <c r="AB668" s="24"/>
      <c r="AC668" s="24"/>
      <c r="AD668" s="24"/>
      <c r="AE668" s="24"/>
    </row>
    <row r="669" spans="1:31" ht="22.2" customHeight="1" x14ac:dyDescent="0.3">
      <c r="A669" s="66" t="str">
        <f>+IF(PROVEEDORES[[#This Row],[FECHA DE PAGO]]=PROVEEDORES[[#This Row],[FECHA DE FACTURACIÓN]],"DE CONTADO","CRÉDITO")</f>
        <v>DE CONTADO</v>
      </c>
      <c r="B669" s="38" t="b">
        <f>+IF((PROVEEDORES[[#This Row],[FECHA DE PAGO]]-PROVEEDORES[[#This Row],[FECHA DE FACTURACIÓN]])&gt;PROVEEDORES[[#This Row],[PLAZO Días]],"PAGO VENCIDO")</f>
        <v>0</v>
      </c>
      <c r="C669" s="20">
        <f>+VLOOKUP(PROVEEDORES[[#This Row],[PROVEEDOR]],TERCEROS_INFO[#All],2,FALSE)</f>
        <v>30</v>
      </c>
      <c r="D669" s="25">
        <f>+SUMIFS(PROVEEDORES[Total],PROVEEDORES[PROVEEDOR],PROVEEDORES[[#This Row],[PROVEEDOR]],PROVEEDORES[FECHA DE PAGO],"")</f>
        <v>0</v>
      </c>
      <c r="E669" s="25"/>
      <c r="F669" s="58" t="str">
        <f>+VLOOKUP(PROVEEDORES[[#This Row],[PROVEEDOR]],
                       Terceros!$A:$F,
                       5,
                       FALSE)</f>
        <v/>
      </c>
      <c r="G669" s="161">
        <v>44286</v>
      </c>
      <c r="H669" s="26" t="s">
        <v>644</v>
      </c>
      <c r="I669" s="161">
        <v>44286</v>
      </c>
      <c r="J669" s="35" t="s">
        <v>174</v>
      </c>
      <c r="K669" s="21">
        <v>456000</v>
      </c>
      <c r="L669" s="21"/>
      <c r="M669" s="22">
        <f>(PROVEEDORES[[#This Row],[SUBTOTAL]]-PROVEEDORES[[#This Row],[descuento sobre subtotal]])*VLOOKUP(PROVEEDORES[[#This Row],[PROVEEDOR]],TERCEROS_INFO[#All],3,FALSE)</f>
        <v>0</v>
      </c>
      <c r="N669" s="23"/>
      <c r="O669" s="22">
        <f>+PROVEEDORES[[#This Row],[Descuento sobre subtotal %]]*(PROVEEDORES[[#This Row],[SUBTOTAL]]-PROVEEDORES[[#This Row],[descuento sobre subtotal]])</f>
        <v>0</v>
      </c>
      <c r="P669" s="83">
        <f>+IF(PROVEEDORES[[#This Row],[SUBTOTAL]]&lt;PROVEEDORES[[#This Row],[base retencion]],0,PROVEEDORES[[#This Row],[retención aplicada]])</f>
        <v>0</v>
      </c>
      <c r="Q669" s="22">
        <f>+PROVEEDORES[[#This Row],[Rete Fuente %]]*(PROVEEDORES[[#This Row],[SUBTOTAL]]-PROVEEDORES[[#This Row],[descuento sobre subtotal]])</f>
        <v>0</v>
      </c>
      <c r="R669" s="21">
        <f>+PROVEEDORES[[#This Row],[SUBTOTAL]]+PROVEEDORES[[#This Row],[IVA 19%]]-PROVEEDORES[[#This Row],[descuento sobre subtotal]]-PROVEEDORES[[#This Row],[Descuento sobre subtotal $2]]-PROVEEDORES[[#This Row],[Rete Fuente $]]</f>
        <v>456000</v>
      </c>
      <c r="S6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9" s="68">
        <f ca="1">IF(PROVEEDORES[[#This Row],[FECHA DE PAGO]]=0,TODAY()-PROVEEDORES[[#This Row],[FECHA DE FACTURACIÓN]]-PROVEEDORES[[#This Row],[PLAZO Días]],0)</f>
        <v>0</v>
      </c>
      <c r="U669" s="96">
        <f>+VLOOKUP(PROVEEDORES[[#This Row],[PROVEEDOR]],Terceros!$A:$D,4,FALSE)</f>
        <v>0</v>
      </c>
      <c r="V669" s="97">
        <f>+YEAR(PROVEEDORES[[#This Row],[FECHA DE FACTURACIÓN]])</f>
        <v>2021</v>
      </c>
      <c r="W669" s="97">
        <f>+MATCH(PROVEEDORES[[#This Row],[año facturado]],Retenciones!$1:$1,0)</f>
        <v>4</v>
      </c>
      <c r="X669" s="98">
        <f>+VLOOKUP(PROVEEDORES[[#This Row],[ID RETENCION]],Retenciones!$A$1:$O$25,PROVEEDORES[[#This Row],[indicador de columna]],FALSE)</f>
        <v>0</v>
      </c>
      <c r="Y669" s="99">
        <f>+VLOOKUP(PROVEEDORES[[#This Row],[ID RETENCION]],Retenciones!$A$1:$O$25,2,FALSE)</f>
        <v>0</v>
      </c>
      <c r="Z669" s="125" t="b">
        <f>OR(COUNTIF(PROVEEDORES[[#This Row],[PROVEEDOR]],"*"&amp;'Palabra no opera'!$A$2&amp;"*"))</f>
        <v>0</v>
      </c>
      <c r="AA669" s="24"/>
      <c r="AB669" s="24"/>
      <c r="AC669" s="24"/>
      <c r="AD669" s="24"/>
      <c r="AE669" s="24"/>
    </row>
    <row r="670" spans="1:31" ht="22.2" customHeight="1" x14ac:dyDescent="0.3">
      <c r="A670" s="66" t="str">
        <f>+IF(PROVEEDORES[[#This Row],[FECHA DE PAGO]]=PROVEEDORES[[#This Row],[FECHA DE FACTURACIÓN]],"DE CONTADO","CRÉDITO")</f>
        <v>CRÉDITO</v>
      </c>
      <c r="B670" s="38" t="str">
        <f>+IF((PROVEEDORES[[#This Row],[FECHA DE PAGO]]-PROVEEDORES[[#This Row],[FECHA DE FACTURACIÓN]])&gt;PROVEEDORES[[#This Row],[PLAZO Días]],"PAGO VENCIDO")</f>
        <v>PAGO VENCIDO</v>
      </c>
      <c r="C670" s="20">
        <f>+VLOOKUP(PROVEEDORES[[#This Row],[PROVEEDOR]],TERCEROS_INFO[#All],2,FALSE)</f>
        <v>30</v>
      </c>
      <c r="D670" s="25">
        <f>+SUMIFS(PROVEEDORES[Total],PROVEEDORES[PROVEEDOR],PROVEEDORES[[#This Row],[PROVEEDOR]],PROVEEDORES[FECHA DE PAGO],"")</f>
        <v>0</v>
      </c>
      <c r="E670" s="25"/>
      <c r="F67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70" s="161">
        <v>44452</v>
      </c>
      <c r="H670" s="26" t="s">
        <v>1637</v>
      </c>
      <c r="I670" s="161">
        <v>44417</v>
      </c>
      <c r="J670" s="35">
        <v>22029</v>
      </c>
      <c r="K670" s="21">
        <v>384000</v>
      </c>
      <c r="L670" s="21"/>
      <c r="M670" s="22">
        <f>(PROVEEDORES[[#This Row],[SUBTOTAL]]-PROVEEDORES[[#This Row],[descuento sobre subtotal]])*VLOOKUP(PROVEEDORES[[#This Row],[PROVEEDOR]],TERCEROS_INFO[#All],3,FALSE)</f>
        <v>72960</v>
      </c>
      <c r="N670" s="23"/>
      <c r="O670" s="22">
        <f>+PROVEEDORES[[#This Row],[Descuento sobre subtotal %]]*(PROVEEDORES[[#This Row],[SUBTOTAL]]-PROVEEDORES[[#This Row],[descuento sobre subtotal]])</f>
        <v>0</v>
      </c>
      <c r="P670" s="83">
        <f>+IF(PROVEEDORES[[#This Row],[SUBTOTAL]]&lt;PROVEEDORES[[#This Row],[base retencion]],0,PROVEEDORES[[#This Row],[retención aplicada]])</f>
        <v>0</v>
      </c>
      <c r="Q670" s="22">
        <f>+PROVEEDORES[[#This Row],[Rete Fuente %]]*(PROVEEDORES[[#This Row],[SUBTOTAL]]-PROVEEDORES[[#This Row],[descuento sobre subtotal]])</f>
        <v>0</v>
      </c>
      <c r="R670" s="21">
        <f>+PROVEEDORES[[#This Row],[SUBTOTAL]]+PROVEEDORES[[#This Row],[IVA 19%]]-PROVEEDORES[[#This Row],[descuento sobre subtotal]]-PROVEEDORES[[#This Row],[Descuento sobre subtotal $2]]-PROVEEDORES[[#This Row],[Rete Fuente $]]</f>
        <v>456960</v>
      </c>
      <c r="S6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68">
        <f ca="1">IF(PROVEEDORES[[#This Row],[FECHA DE PAGO]]=0,TODAY()-PROVEEDORES[[#This Row],[FECHA DE FACTURACIÓN]]-PROVEEDORES[[#This Row],[PLAZO Días]],0)</f>
        <v>0</v>
      </c>
      <c r="U670" s="96" t="str">
        <f>+VLOOKUP(PROVEEDORES[[#This Row],[PROVEEDOR]],Terceros!$A:$D,4,FALSE)</f>
        <v>2,5% con base</v>
      </c>
      <c r="V670" s="97">
        <f>+YEAR(PROVEEDORES[[#This Row],[FECHA DE FACTURACIÓN]])</f>
        <v>2021</v>
      </c>
      <c r="W670" s="97">
        <f>+MATCH(PROVEEDORES[[#This Row],[año facturado]],Retenciones!$1:$1,0)</f>
        <v>4</v>
      </c>
      <c r="X670" s="98">
        <f>+VLOOKUP(PROVEEDORES[[#This Row],[ID RETENCION]],Retenciones!$A$1:$O$25,PROVEEDORES[[#This Row],[indicador de columna]],FALSE)</f>
        <v>980000</v>
      </c>
      <c r="Y670" s="99">
        <f>+VLOOKUP(PROVEEDORES[[#This Row],[ID RETENCION]],Retenciones!$A$1:$O$25,2,FALSE)</f>
        <v>2.5000000000000001E-2</v>
      </c>
      <c r="Z670" s="125" t="b">
        <f>OR(COUNTIF(PROVEEDORES[[#This Row],[PROVEEDOR]],"*"&amp;'Palabra no opera'!$A$2&amp;"*"))</f>
        <v>0</v>
      </c>
      <c r="AA670" s="24"/>
      <c r="AB670" s="24"/>
      <c r="AC670" s="24"/>
      <c r="AD670" s="24"/>
      <c r="AE670" s="24"/>
    </row>
    <row r="671" spans="1:31" ht="22.2" customHeight="1" x14ac:dyDescent="0.3">
      <c r="A671" s="66" t="str">
        <f>+IF(PROVEEDORES[[#This Row],[FECHA DE PAGO]]=PROVEEDORES[[#This Row],[FECHA DE FACTURACIÓN]],"DE CONTADO","CRÉDITO")</f>
        <v>CRÉDITO</v>
      </c>
      <c r="B671" s="38" t="str">
        <f>+IF((PROVEEDORES[[#This Row],[FECHA DE PAGO]]-PROVEEDORES[[#This Row],[FECHA DE FACTURACIÓN]])&gt;PROVEEDORES[[#This Row],[PLAZO Días]],"PAGO VENCIDO")</f>
        <v>PAGO VENCIDO</v>
      </c>
      <c r="C671" s="20">
        <f>+VLOOKUP(PROVEEDORES[[#This Row],[PROVEEDOR]],TERCEROS_INFO[#All],2,FALSE)</f>
        <v>30</v>
      </c>
      <c r="D671" s="25">
        <f>+SUMIFS(PROVEEDORES[Total],PROVEEDORES[PROVEEDOR],PROVEEDORES[[#This Row],[PROVEEDOR]],PROVEEDORES[FECHA DE PAGO],"")</f>
        <v>0</v>
      </c>
      <c r="E671" s="25"/>
      <c r="F67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71" s="161">
        <v>44635</v>
      </c>
      <c r="H671" s="26" t="s">
        <v>1637</v>
      </c>
      <c r="I671" s="161">
        <v>44589</v>
      </c>
      <c r="J671" s="35">
        <v>24466</v>
      </c>
      <c r="K671" s="21">
        <v>384000</v>
      </c>
      <c r="L671" s="21"/>
      <c r="M671" s="22">
        <f>(PROVEEDORES[[#This Row],[SUBTOTAL]]-PROVEEDORES[[#This Row],[descuento sobre subtotal]])*VLOOKUP(PROVEEDORES[[#This Row],[PROVEEDOR]],TERCEROS_INFO[#All],3,FALSE)</f>
        <v>72960</v>
      </c>
      <c r="N671" s="23"/>
      <c r="O671" s="22">
        <f>+PROVEEDORES[[#This Row],[Descuento sobre subtotal %]]*(PROVEEDORES[[#This Row],[SUBTOTAL]]-PROVEEDORES[[#This Row],[descuento sobre subtotal]])</f>
        <v>0</v>
      </c>
      <c r="P671" s="83">
        <f>+IF(PROVEEDORES[[#This Row],[SUBTOTAL]]&lt;PROVEEDORES[[#This Row],[base retencion]],0,PROVEEDORES[[#This Row],[retención aplicada]])</f>
        <v>0</v>
      </c>
      <c r="Q671" s="22">
        <f>+PROVEEDORES[[#This Row],[Rete Fuente %]]*(PROVEEDORES[[#This Row],[SUBTOTAL]]-PROVEEDORES[[#This Row],[descuento sobre subtotal]])</f>
        <v>0</v>
      </c>
      <c r="R671" s="21">
        <v>456960</v>
      </c>
      <c r="S6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68">
        <f ca="1">IF(PROVEEDORES[[#This Row],[FECHA DE PAGO]]=0,TODAY()-PROVEEDORES[[#This Row],[FECHA DE FACTURACIÓN]]-PROVEEDORES[[#This Row],[PLAZO Días]],0)</f>
        <v>0</v>
      </c>
      <c r="U671" s="96" t="str">
        <f>+VLOOKUP(PROVEEDORES[[#This Row],[PROVEEDOR]],Terceros!$A:$D,4,FALSE)</f>
        <v>2,5% con base</v>
      </c>
      <c r="V671" s="97">
        <f>+YEAR(PROVEEDORES[[#This Row],[FECHA DE FACTURACIÓN]])</f>
        <v>2022</v>
      </c>
      <c r="W671" s="97">
        <f>+MATCH(PROVEEDORES[[#This Row],[año facturado]],Retenciones!$1:$1,0)</f>
        <v>5</v>
      </c>
      <c r="X671" s="98">
        <f>+VLOOKUP(PROVEEDORES[[#This Row],[ID RETENCION]],Retenciones!$A$1:$O$25,PROVEEDORES[[#This Row],[indicador de columna]],FALSE)</f>
        <v>1026000</v>
      </c>
      <c r="Y671" s="99">
        <f>+VLOOKUP(PROVEEDORES[[#This Row],[ID RETENCION]],Retenciones!$A$1:$O$25,2,FALSE)</f>
        <v>2.5000000000000001E-2</v>
      </c>
      <c r="Z671" s="125" t="b">
        <f>OR(COUNTIF(PROVEEDORES[[#This Row],[PROVEEDOR]],"*"&amp;'Palabra no opera'!$A$2&amp;"*"))</f>
        <v>0</v>
      </c>
      <c r="AA671" s="24"/>
      <c r="AB671" s="24"/>
      <c r="AC671" s="24"/>
      <c r="AD671" s="24"/>
      <c r="AE671" s="24"/>
    </row>
    <row r="672" spans="1:31" ht="22.2" customHeight="1" x14ac:dyDescent="0.3">
      <c r="A672" s="159" t="str">
        <f>+IF(PROVEEDORES[[#This Row],[FECHA DE PAGO]]=PROVEEDORES[[#This Row],[FECHA DE FACTURACIÓN]],"DE CONTADO","CRÉDITO")</f>
        <v>CRÉDITO</v>
      </c>
      <c r="B672" s="38" t="str">
        <f>+IF((PROVEEDORES[[#This Row],[FECHA DE PAGO]]-PROVEEDORES[[#This Row],[FECHA DE FACTURACIÓN]])&gt;PROVEEDORES[[#This Row],[PLAZO Días]],"PAGO VENCIDO")</f>
        <v>PAGO VENCIDO</v>
      </c>
      <c r="C672" s="20">
        <f>+VLOOKUP(PROVEEDORES[[#This Row],[PROVEEDOR]],TERCEROS_INFO[#All],2,FALSE)</f>
        <v>30</v>
      </c>
      <c r="D672" s="25">
        <f>+SUMIFS(PROVEEDORES[Total],PROVEEDORES[PROVEEDOR],PROVEEDORES[[#This Row],[PROVEEDOR]],PROVEEDORES[FECHA DE PAGO],"")</f>
        <v>1127400.05</v>
      </c>
      <c r="E672" s="25"/>
      <c r="F67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72" s="161">
        <v>44776</v>
      </c>
      <c r="H672" s="26" t="s">
        <v>47</v>
      </c>
      <c r="I672" s="161">
        <v>44733</v>
      </c>
      <c r="J672" s="35" t="s">
        <v>1061</v>
      </c>
      <c r="K672" s="21">
        <v>384350</v>
      </c>
      <c r="L672" s="21"/>
      <c r="M672" s="22">
        <f>(PROVEEDORES[[#This Row],[SUBTOTAL]]-PROVEEDORES[[#This Row],[descuento sobre subtotal]])*VLOOKUP(PROVEEDORES[[#This Row],[PROVEEDOR]],TERCEROS_INFO[#All],3,FALSE)</f>
        <v>73026.5</v>
      </c>
      <c r="N672" s="23"/>
      <c r="O672" s="22">
        <f>+PROVEEDORES[[#This Row],[Descuento sobre subtotal %]]*(PROVEEDORES[[#This Row],[SUBTOTAL]]-PROVEEDORES[[#This Row],[descuento sobre subtotal]])</f>
        <v>0</v>
      </c>
      <c r="P672" s="83">
        <f>+IF(PROVEEDORES[[#This Row],[SUBTOTAL]]&lt;PROVEEDORES[[#This Row],[base retencion]],0,PROVEEDORES[[#This Row],[retención aplicada]])</f>
        <v>0</v>
      </c>
      <c r="Q672" s="22">
        <f>+PROVEEDORES[[#This Row],[Rete Fuente %]]*(PROVEEDORES[[#This Row],[SUBTOTAL]]-PROVEEDORES[[#This Row],[descuento sobre subtotal]])</f>
        <v>0</v>
      </c>
      <c r="R672" s="21">
        <f>+PROVEEDORES[[#This Row],[SUBTOTAL]]+PROVEEDORES[[#This Row],[IVA 19%]]-PROVEEDORES[[#This Row],[descuento sobre subtotal]]-PROVEEDORES[[#This Row],[Descuento sobre subtotal $2]]-PROVEEDORES[[#This Row],[Rete Fuente $]]</f>
        <v>457376.5</v>
      </c>
      <c r="S672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68">
        <f ca="1">IF(PROVEEDORES[[#This Row],[FECHA DE PAGO]]=0,TODAY()-PROVEEDORES[[#This Row],[FECHA DE FACTURACIÓN]]-PROVEEDORES[[#This Row],[PLAZO Días]],0)</f>
        <v>0</v>
      </c>
      <c r="U672" s="113" t="str">
        <f>+VLOOKUP(PROVEEDORES[[#This Row],[PROVEEDOR]],Terceros!$A:$D,4,FALSE)</f>
        <v>2,5% con base</v>
      </c>
      <c r="V672" s="114">
        <f>+YEAR(PROVEEDORES[[#This Row],[FECHA DE FACTURACIÓN]])</f>
        <v>2022</v>
      </c>
      <c r="W672" s="114">
        <f>+MATCH(PROVEEDORES[[#This Row],[año facturado]],Retenciones!$1:$1,0)</f>
        <v>5</v>
      </c>
      <c r="X672" s="115">
        <f>+VLOOKUP(PROVEEDORES[[#This Row],[ID RETENCION]],Retenciones!$A$1:$O$25,PROVEEDORES[[#This Row],[indicador de columna]],FALSE)</f>
        <v>1026000</v>
      </c>
      <c r="Y672" s="116">
        <f>+VLOOKUP(PROVEEDORES[[#This Row],[ID RETENCION]],Retenciones!$A$1:$O$25,2,FALSE)</f>
        <v>2.5000000000000001E-2</v>
      </c>
      <c r="Z672" s="125" t="b">
        <f>OR(COUNTIF(PROVEEDORES[[#This Row],[PROVEEDOR]],"*"&amp;'Palabra no opera'!$A$2&amp;"*"))</f>
        <v>0</v>
      </c>
      <c r="AA672" s="24"/>
      <c r="AB672" s="24"/>
      <c r="AC672" s="24"/>
      <c r="AD672" s="24"/>
      <c r="AE672" s="24"/>
    </row>
    <row r="673" spans="1:31" ht="22.2" customHeight="1" x14ac:dyDescent="0.3">
      <c r="A673" s="66" t="str">
        <f>+IF(PROVEEDORES[[#This Row],[FECHA DE PAGO]]=PROVEEDORES[[#This Row],[FECHA DE FACTURACIÓN]],"DE CONTADO","CRÉDITO")</f>
        <v>DE CONTADO</v>
      </c>
      <c r="B673" s="38" t="b">
        <f>+IF((PROVEEDORES[[#This Row],[FECHA DE PAGO]]-PROVEEDORES[[#This Row],[FECHA DE FACTURACIÓN]])&gt;PROVEEDORES[[#This Row],[PLAZO Días]],"PAGO VENCIDO")</f>
        <v>0</v>
      </c>
      <c r="C673" s="20">
        <f>+VLOOKUP(PROVEEDORES[[#This Row],[PROVEEDOR]],TERCEROS_INFO[#All],2,FALSE)</f>
        <v>30</v>
      </c>
      <c r="D673" s="25">
        <f>+SUMIFS(PROVEEDORES[Total],PROVEEDORES[PROVEEDOR],PROVEEDORES[[#This Row],[PROVEEDOR]],PROVEEDORES[FECHA DE PAGO],"")</f>
        <v>0</v>
      </c>
      <c r="E673" s="25"/>
      <c r="F673" s="58" t="str">
        <f>+VLOOKUP(PROVEEDORES[[#This Row],[PROVEEDOR]],
                       Terceros!$A:$F,
                       5,
                       FALSE)</f>
        <v/>
      </c>
      <c r="G673" s="161">
        <v>44408</v>
      </c>
      <c r="H673" s="26" t="s">
        <v>644</v>
      </c>
      <c r="I673" s="161">
        <v>44408</v>
      </c>
      <c r="J673" s="35" t="s">
        <v>597</v>
      </c>
      <c r="K673" s="21">
        <v>460100</v>
      </c>
      <c r="L673" s="21"/>
      <c r="M673" s="22">
        <f>(PROVEEDORES[[#This Row],[SUBTOTAL]]-PROVEEDORES[[#This Row],[descuento sobre subtotal]])*VLOOKUP(PROVEEDORES[[#This Row],[PROVEEDOR]],TERCEROS_INFO[#All],3,FALSE)</f>
        <v>0</v>
      </c>
      <c r="N673" s="23"/>
      <c r="O673" s="22">
        <f>+PROVEEDORES[[#This Row],[Descuento sobre subtotal %]]*(PROVEEDORES[[#This Row],[SUBTOTAL]]-PROVEEDORES[[#This Row],[descuento sobre subtotal]])</f>
        <v>0</v>
      </c>
      <c r="P673" s="83">
        <f>+IF(PROVEEDORES[[#This Row],[SUBTOTAL]]&lt;PROVEEDORES[[#This Row],[base retencion]],0,PROVEEDORES[[#This Row],[retención aplicada]])</f>
        <v>0</v>
      </c>
      <c r="Q673" s="22">
        <f>+PROVEEDORES[[#This Row],[Rete Fuente %]]*(PROVEEDORES[[#This Row],[SUBTOTAL]]-PROVEEDORES[[#This Row],[descuento sobre subtotal]])</f>
        <v>0</v>
      </c>
      <c r="R673" s="21">
        <f>+PROVEEDORES[[#This Row],[SUBTOTAL]]+PROVEEDORES[[#This Row],[IVA 19%]]-PROVEEDORES[[#This Row],[descuento sobre subtotal]]-PROVEEDORES[[#This Row],[Descuento sobre subtotal $2]]-PROVEEDORES[[#This Row],[Rete Fuente $]]</f>
        <v>460100</v>
      </c>
      <c r="S6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68">
        <f ca="1">IF(PROVEEDORES[[#This Row],[FECHA DE PAGO]]=0,TODAY()-PROVEEDORES[[#This Row],[FECHA DE FACTURACIÓN]]-PROVEEDORES[[#This Row],[PLAZO Días]],0)</f>
        <v>0</v>
      </c>
      <c r="U673" s="96">
        <f>+VLOOKUP(PROVEEDORES[[#This Row],[PROVEEDOR]],Terceros!$A:$D,4,FALSE)</f>
        <v>0</v>
      </c>
      <c r="V673" s="97">
        <f>+YEAR(PROVEEDORES[[#This Row],[FECHA DE FACTURACIÓN]])</f>
        <v>2021</v>
      </c>
      <c r="W673" s="97">
        <f>+MATCH(PROVEEDORES[[#This Row],[año facturado]],Retenciones!$1:$1,0)</f>
        <v>4</v>
      </c>
      <c r="X673" s="98">
        <f>+VLOOKUP(PROVEEDORES[[#This Row],[ID RETENCION]],Retenciones!$A$1:$O$25,PROVEEDORES[[#This Row],[indicador de columna]],FALSE)</f>
        <v>0</v>
      </c>
      <c r="Y673" s="99">
        <f>+VLOOKUP(PROVEEDORES[[#This Row],[ID RETENCION]],Retenciones!$A$1:$O$25,2,FALSE)</f>
        <v>0</v>
      </c>
      <c r="Z673" s="125" t="b">
        <f>OR(COUNTIF(PROVEEDORES[[#This Row],[PROVEEDOR]],"*"&amp;'Palabra no opera'!$A$2&amp;"*"))</f>
        <v>0</v>
      </c>
      <c r="AA673" s="24"/>
      <c r="AB673" s="24"/>
      <c r="AC673" s="24"/>
      <c r="AD673" s="24"/>
      <c r="AE673" s="24"/>
    </row>
    <row r="674" spans="1:31" ht="22.2" customHeight="1" x14ac:dyDescent="0.3">
      <c r="A674" s="66" t="str">
        <f>+IF(PROVEEDORES[[#This Row],[FECHA DE PAGO]]=PROVEEDORES[[#This Row],[FECHA DE FACTURACIÓN]],"DE CONTADO","CRÉDITO")</f>
        <v>CRÉDITO</v>
      </c>
      <c r="B674" s="38" t="b">
        <f>+IF((PROVEEDORES[[#This Row],[FECHA DE PAGO]]-PROVEEDORES[[#This Row],[FECHA DE FACTURACIÓN]])&gt;PROVEEDORES[[#This Row],[PLAZO Días]],"PAGO VENCIDO")</f>
        <v>0</v>
      </c>
      <c r="C674" s="20">
        <f>+VLOOKUP(PROVEEDORES[[#This Row],[PROVEEDOR]],TERCEROS_INFO[#All],2,FALSE)</f>
        <v>30</v>
      </c>
      <c r="D674" s="25">
        <f>+SUMIFS(PROVEEDORES[Total],PROVEEDORES[PROVEEDOR],PROVEEDORES[[#This Row],[PROVEEDOR]],PROVEEDORES[FECHA DE PAGO],"")</f>
        <v>430000</v>
      </c>
      <c r="E674" s="25"/>
      <c r="F674" s="58" t="str">
        <f>+VLOOKUP(PROVEEDORES[[#This Row],[PROVEEDOR]],
                       Terceros!$A:$F,
                       5,
                       FALSE)</f>
        <v/>
      </c>
      <c r="G674" s="161">
        <v>44509</v>
      </c>
      <c r="H674" s="26" t="s">
        <v>695</v>
      </c>
      <c r="I674" s="161">
        <v>44506</v>
      </c>
      <c r="J674" s="35" t="s">
        <v>523</v>
      </c>
      <c r="K674" s="21">
        <v>461000</v>
      </c>
      <c r="L674" s="21"/>
      <c r="M674" s="22">
        <f>(PROVEEDORES[[#This Row],[SUBTOTAL]]-PROVEEDORES[[#This Row],[descuento sobre subtotal]])*VLOOKUP(PROVEEDORES[[#This Row],[PROVEEDOR]],TERCEROS_INFO[#All],3,FALSE)</f>
        <v>0</v>
      </c>
      <c r="N674" s="23"/>
      <c r="O674" s="22">
        <f>+PROVEEDORES[[#This Row],[Descuento sobre subtotal %]]*(PROVEEDORES[[#This Row],[SUBTOTAL]]-PROVEEDORES[[#This Row],[descuento sobre subtotal]])</f>
        <v>0</v>
      </c>
      <c r="P674" s="83">
        <f>+IF(PROVEEDORES[[#This Row],[SUBTOTAL]]&lt;PROVEEDORES[[#This Row],[base retencion]],0,PROVEEDORES[[#This Row],[retención aplicada]])</f>
        <v>0</v>
      </c>
      <c r="Q674" s="22">
        <f>+PROVEEDORES[[#This Row],[Rete Fuente %]]*(PROVEEDORES[[#This Row],[SUBTOTAL]]-PROVEEDORES[[#This Row],[descuento sobre subtotal]])</f>
        <v>0</v>
      </c>
      <c r="R674" s="21">
        <f>+PROVEEDORES[[#This Row],[SUBTOTAL]]+PROVEEDORES[[#This Row],[IVA 19%]]-PROVEEDORES[[#This Row],[descuento sobre subtotal]]-PROVEEDORES[[#This Row],[Descuento sobre subtotal $2]]-PROVEEDORES[[#This Row],[Rete Fuente $]]</f>
        <v>461000</v>
      </c>
      <c r="S6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68">
        <f ca="1">IF(PROVEEDORES[[#This Row],[FECHA DE PAGO]]=0,TODAY()-PROVEEDORES[[#This Row],[FECHA DE FACTURACIÓN]]-PROVEEDORES[[#This Row],[PLAZO Días]],0)</f>
        <v>0</v>
      </c>
      <c r="U674" s="96">
        <f>+VLOOKUP(PROVEEDORES[[#This Row],[PROVEEDOR]],Terceros!$A:$D,4,FALSE)</f>
        <v>0</v>
      </c>
      <c r="V674" s="97">
        <f>+YEAR(PROVEEDORES[[#This Row],[FECHA DE FACTURACIÓN]])</f>
        <v>2021</v>
      </c>
      <c r="W674" s="97">
        <f>+MATCH(PROVEEDORES[[#This Row],[año facturado]],Retenciones!$1:$1,0)</f>
        <v>4</v>
      </c>
      <c r="X674" s="98">
        <f>+VLOOKUP(PROVEEDORES[[#This Row],[ID RETENCION]],Retenciones!$A$1:$O$25,PROVEEDORES[[#This Row],[indicador de columna]],FALSE)</f>
        <v>0</v>
      </c>
      <c r="Y674" s="99">
        <f>+VLOOKUP(PROVEEDORES[[#This Row],[ID RETENCION]],Retenciones!$A$1:$O$25,2,FALSE)</f>
        <v>0</v>
      </c>
      <c r="Z674" s="125" t="b">
        <f>OR(COUNTIF(PROVEEDORES[[#This Row],[PROVEEDOR]],"*"&amp;'Palabra no opera'!$A$2&amp;"*"))</f>
        <v>0</v>
      </c>
      <c r="AA674" s="24"/>
      <c r="AB674" s="24"/>
      <c r="AC674" s="24"/>
      <c r="AD674" s="24"/>
      <c r="AE674" s="24"/>
    </row>
    <row r="675" spans="1:31" ht="22.2" customHeight="1" x14ac:dyDescent="0.3">
      <c r="A675" s="207" t="str">
        <f>+IF(PROVEEDORES[[#This Row],[FECHA DE PAGO]]=PROVEEDORES[[#This Row],[FECHA DE FACTURACIÓN]],"DE CONTADO","CRÉDITO")</f>
        <v>CRÉDITO</v>
      </c>
      <c r="B675" s="38" t="b">
        <f>+IF((PROVEEDORES[[#This Row],[FECHA DE PAGO]]-PROVEEDORES[[#This Row],[FECHA DE FACTURACIÓN]])&gt;PROVEEDORES[[#This Row],[PLAZO Días]],"PAGO VENCIDO")</f>
        <v>0</v>
      </c>
      <c r="C675" s="20">
        <f>+VLOOKUP(PROVEEDORES[[#This Row],[PROVEEDOR]],TERCEROS_INFO[#All],2,FALSE)</f>
        <v>60</v>
      </c>
      <c r="D675" s="25">
        <f>+SUMIFS(PROVEEDORES[Total],PROVEEDORES[PROVEEDOR],PROVEEDORES[[#This Row],[PROVEEDOR]],PROVEEDORES[FECHA DE PAGO],"")</f>
        <v>1520362</v>
      </c>
      <c r="E675" s="25"/>
      <c r="F67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675" s="161">
        <v>44811</v>
      </c>
      <c r="H675" s="26" t="s">
        <v>528</v>
      </c>
      <c r="I675" s="161">
        <v>44792</v>
      </c>
      <c r="J675" s="35" t="s">
        <v>1629</v>
      </c>
      <c r="K675" s="21">
        <v>463892</v>
      </c>
      <c r="L675" s="21"/>
      <c r="M675" s="22">
        <f>(PROVEEDORES[[#This Row],[SUBTOTAL]]-PROVEEDORES[[#This Row],[descuento sobre subtotal]])*VLOOKUP(PROVEEDORES[[#This Row],[PROVEEDOR]],TERCEROS_INFO[#All],3,FALSE)</f>
        <v>0</v>
      </c>
      <c r="N675" s="23"/>
      <c r="O675" s="22">
        <f>+PROVEEDORES[[#This Row],[Descuento sobre subtotal %]]*(PROVEEDORES[[#This Row],[SUBTOTAL]]-PROVEEDORES[[#This Row],[descuento sobre subtotal]])</f>
        <v>0</v>
      </c>
      <c r="P675" s="83">
        <f>+IF(PROVEEDORES[[#This Row],[SUBTOTAL]]&lt;PROVEEDORES[[#This Row],[base retencion]],0,PROVEEDORES[[#This Row],[retención aplicada]])</f>
        <v>0</v>
      </c>
      <c r="Q675" s="22">
        <f>+PROVEEDORES[[#This Row],[Rete Fuente %]]*(PROVEEDORES[[#This Row],[SUBTOTAL]]-PROVEEDORES[[#This Row],[descuento sobre subtotal]])</f>
        <v>0</v>
      </c>
      <c r="R675" s="21">
        <f>+PROVEEDORES[[#This Row],[SUBTOTAL]]+PROVEEDORES[[#This Row],[IVA 19%]]-PROVEEDORES[[#This Row],[descuento sobre subtotal]]-PROVEEDORES[[#This Row],[Descuento sobre subtotal $2]]-PROVEEDORES[[#This Row],[Rete Fuente $]]</f>
        <v>463892</v>
      </c>
      <c r="S675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68">
        <f ca="1">IF(PROVEEDORES[[#This Row],[FECHA DE PAGO]]=0,TODAY()-PROVEEDORES[[#This Row],[FECHA DE FACTURACIÓN]]-PROVEEDORES[[#This Row],[PLAZO Días]],0)</f>
        <v>0</v>
      </c>
      <c r="U675" s="113">
        <f>+VLOOKUP(PROVEEDORES[[#This Row],[PROVEEDOR]],Terceros!$A:$D,4,FALSE)</f>
        <v>0</v>
      </c>
      <c r="V675" s="114">
        <f>+YEAR(PROVEEDORES[[#This Row],[FECHA DE FACTURACIÓN]])</f>
        <v>2022</v>
      </c>
      <c r="W675" s="114">
        <f>+MATCH(PROVEEDORES[[#This Row],[año facturado]],Retenciones!$1:$1,0)</f>
        <v>5</v>
      </c>
      <c r="X675" s="115">
        <f>+VLOOKUP(PROVEEDORES[[#This Row],[ID RETENCION]],Retenciones!$A$1:$O$25,PROVEEDORES[[#This Row],[indicador de columna]],FALSE)</f>
        <v>0</v>
      </c>
      <c r="Y675" s="116">
        <f>+VLOOKUP(PROVEEDORES[[#This Row],[ID RETENCION]],Retenciones!$A$1:$O$25,2,FALSE)</f>
        <v>0</v>
      </c>
      <c r="Z675" s="125" t="b">
        <f>OR(COUNTIF(PROVEEDORES[[#This Row],[PROVEEDOR]],"*"&amp;'Palabra no opera'!$A$2&amp;"*"))</f>
        <v>0</v>
      </c>
      <c r="AA675" s="24"/>
      <c r="AB675" s="24"/>
      <c r="AC675" s="24"/>
      <c r="AD675" s="24"/>
      <c r="AE675" s="24"/>
    </row>
    <row r="676" spans="1:31" ht="22.2" customHeight="1" x14ac:dyDescent="0.3">
      <c r="A676" s="66" t="str">
        <f>+IF(PROVEEDORES[[#This Row],[FECHA DE PAGO]]=PROVEEDORES[[#This Row],[FECHA DE FACTURACIÓN]],"DE CONTADO","CRÉDITO")</f>
        <v>CRÉDITO</v>
      </c>
      <c r="B676" s="38" t="b">
        <f>+IF((PROVEEDORES[[#This Row],[FECHA DE PAGO]]-PROVEEDORES[[#This Row],[FECHA DE FACTURACIÓN]])&gt;PROVEEDORES[[#This Row],[PLAZO Días]],"PAGO VENCIDO")</f>
        <v>0</v>
      </c>
      <c r="C676" s="20">
        <f>+VLOOKUP(PROVEEDORES[[#This Row],[PROVEEDOR]],TERCEROS_INFO[#All],2,FALSE)</f>
        <v>30</v>
      </c>
      <c r="D676" s="25">
        <f>+SUMIFS(PROVEEDORES[Total],PROVEEDORES[PROVEEDOR],PROVEEDORES[[#This Row],[PROVEEDOR]],PROVEEDORES[FECHA DE PAGO],"")</f>
        <v>0</v>
      </c>
      <c r="E676" s="25"/>
      <c r="F676" s="58" t="str">
        <f>+VLOOKUP(PROVEEDORES[[#This Row],[PROVEEDOR]],
                       Terceros!$A:$F,
                       5,
                       FALSE)</f>
        <v/>
      </c>
      <c r="G676" s="161">
        <v>44348</v>
      </c>
      <c r="H676" s="26" t="s">
        <v>652</v>
      </c>
      <c r="I676" s="161">
        <v>44318</v>
      </c>
      <c r="J676" s="35" t="s">
        <v>1220</v>
      </c>
      <c r="K676" s="21">
        <v>464000</v>
      </c>
      <c r="L676" s="21"/>
      <c r="M676" s="22">
        <f>(PROVEEDORES[[#This Row],[SUBTOTAL]]-PROVEEDORES[[#This Row],[descuento sobre subtotal]])*VLOOKUP(PROVEEDORES[[#This Row],[PROVEEDOR]],TERCEROS_INFO[#All],3,FALSE)</f>
        <v>0</v>
      </c>
      <c r="N676" s="23"/>
      <c r="O676" s="22">
        <f>+PROVEEDORES[[#This Row],[Descuento sobre subtotal %]]*(PROVEEDORES[[#This Row],[SUBTOTAL]]-PROVEEDORES[[#This Row],[descuento sobre subtotal]])</f>
        <v>0</v>
      </c>
      <c r="P676" s="83">
        <f>+IF(PROVEEDORES[[#This Row],[SUBTOTAL]]&lt;PROVEEDORES[[#This Row],[base retencion]],0,PROVEEDORES[[#This Row],[retención aplicada]])</f>
        <v>0</v>
      </c>
      <c r="Q676" s="22">
        <f>+PROVEEDORES[[#This Row],[Rete Fuente %]]*(PROVEEDORES[[#This Row],[SUBTOTAL]]-PROVEEDORES[[#This Row],[descuento sobre subtotal]])</f>
        <v>0</v>
      </c>
      <c r="R676" s="21">
        <f>+PROVEEDORES[[#This Row],[SUBTOTAL]]+PROVEEDORES[[#This Row],[IVA 19%]]-PROVEEDORES[[#This Row],[descuento sobre subtotal]]-PROVEEDORES[[#This Row],[Descuento sobre subtotal $2]]-PROVEEDORES[[#This Row],[Rete Fuente $]]</f>
        <v>464000</v>
      </c>
      <c r="S6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68">
        <f ca="1">IF(PROVEEDORES[[#This Row],[FECHA DE PAGO]]=0,TODAY()-PROVEEDORES[[#This Row],[FECHA DE FACTURACIÓN]]-PROVEEDORES[[#This Row],[PLAZO Días]],0)</f>
        <v>0</v>
      </c>
      <c r="U676" s="96">
        <f>+VLOOKUP(PROVEEDORES[[#This Row],[PROVEEDOR]],Terceros!$A:$D,4,FALSE)</f>
        <v>0</v>
      </c>
      <c r="V676" s="97">
        <f>+YEAR(PROVEEDORES[[#This Row],[FECHA DE FACTURACIÓN]])</f>
        <v>2021</v>
      </c>
      <c r="W676" s="97">
        <f>+MATCH(PROVEEDORES[[#This Row],[año facturado]],Retenciones!$1:$1,0)</f>
        <v>4</v>
      </c>
      <c r="X676" s="98">
        <f>+VLOOKUP(PROVEEDORES[[#This Row],[ID RETENCION]],Retenciones!$A$1:$O$25,PROVEEDORES[[#This Row],[indicador de columna]],FALSE)</f>
        <v>0</v>
      </c>
      <c r="Y676" s="99">
        <f>+VLOOKUP(PROVEEDORES[[#This Row],[ID RETENCION]],Retenciones!$A$1:$O$25,2,FALSE)</f>
        <v>0</v>
      </c>
      <c r="Z676" s="125" t="b">
        <f>OR(COUNTIF(PROVEEDORES[[#This Row],[PROVEEDOR]],"*"&amp;'Palabra no opera'!$A$2&amp;"*"))</f>
        <v>0</v>
      </c>
      <c r="AA676" s="24"/>
      <c r="AB676" s="24"/>
      <c r="AC676" s="24"/>
      <c r="AD676" s="24"/>
      <c r="AE676" s="24"/>
    </row>
    <row r="677" spans="1:31" ht="22.2" customHeight="1" x14ac:dyDescent="0.3">
      <c r="A677" s="66" t="str">
        <f>+IF(PROVEEDORES[[#This Row],[FECHA DE PAGO]]=PROVEEDORES[[#This Row],[FECHA DE FACTURACIÓN]],"DE CONTADO","CRÉDITO")</f>
        <v>DE CONTADO</v>
      </c>
      <c r="B677" s="38" t="b">
        <f>+IF((PROVEEDORES[[#This Row],[FECHA DE PAGO]]-PROVEEDORES[[#This Row],[FECHA DE FACTURACIÓN]])&gt;PROVEEDORES[[#This Row],[PLAZO Días]],"PAGO VENCIDO")</f>
        <v>0</v>
      </c>
      <c r="C677" s="20">
        <f>+VLOOKUP(PROVEEDORES[[#This Row],[PROVEEDOR]],TERCEROS_INFO[#All],2,FALSE)</f>
        <v>30</v>
      </c>
      <c r="D677" s="25">
        <f>+SUMIFS(PROVEEDORES[Total],PROVEEDORES[PROVEEDOR],PROVEEDORES[[#This Row],[PROVEEDOR]],PROVEEDORES[FECHA DE PAGO],"")</f>
        <v>0</v>
      </c>
      <c r="E677" s="25"/>
      <c r="F677" s="58">
        <f>+VLOOKUP(PROVEEDORES[[#This Row],[PROVEEDOR]],
                       Terceros!$A:$F,
                       5,
                       FALSE)</f>
        <v>0</v>
      </c>
      <c r="G677" s="161">
        <v>44367</v>
      </c>
      <c r="H677" s="26" t="s">
        <v>694</v>
      </c>
      <c r="I677" s="161">
        <v>44367</v>
      </c>
      <c r="J677" s="35" t="s">
        <v>727</v>
      </c>
      <c r="K677" s="21">
        <v>464515</v>
      </c>
      <c r="L677" s="21"/>
      <c r="M677" s="22">
        <f>(PROVEEDORES[[#This Row],[SUBTOTAL]]-PROVEEDORES[[#This Row],[descuento sobre subtotal]])*VLOOKUP(PROVEEDORES[[#This Row],[PROVEEDOR]],TERCEROS_INFO[#All],3,FALSE)</f>
        <v>0</v>
      </c>
      <c r="N677" s="23"/>
      <c r="O677" s="22">
        <f>+PROVEEDORES[[#This Row],[Descuento sobre subtotal %]]*(PROVEEDORES[[#This Row],[SUBTOTAL]]-PROVEEDORES[[#This Row],[descuento sobre subtotal]])</f>
        <v>0</v>
      </c>
      <c r="P677" s="83">
        <f>+IF(PROVEEDORES[[#This Row],[SUBTOTAL]]&lt;PROVEEDORES[[#This Row],[base retencion]],0,PROVEEDORES[[#This Row],[retención aplicada]])</f>
        <v>0</v>
      </c>
      <c r="Q677" s="22">
        <f>+PROVEEDORES[[#This Row],[Rete Fuente %]]*(PROVEEDORES[[#This Row],[SUBTOTAL]]-PROVEEDORES[[#This Row],[descuento sobre subtotal]])</f>
        <v>0</v>
      </c>
      <c r="R677" s="21">
        <f>+PROVEEDORES[[#This Row],[SUBTOTAL]]+PROVEEDORES[[#This Row],[IVA 19%]]-PROVEEDORES[[#This Row],[descuento sobre subtotal]]-PROVEEDORES[[#This Row],[Descuento sobre subtotal $2]]-PROVEEDORES[[#This Row],[Rete Fuente $]]</f>
        <v>464515</v>
      </c>
      <c r="S6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68">
        <f ca="1">IF(PROVEEDORES[[#This Row],[FECHA DE PAGO]]=0,TODAY()-PROVEEDORES[[#This Row],[FECHA DE FACTURACIÓN]]-PROVEEDORES[[#This Row],[PLAZO Días]],0)</f>
        <v>0</v>
      </c>
      <c r="U677" s="96">
        <f>+VLOOKUP(PROVEEDORES[[#This Row],[PROVEEDOR]],Terceros!$A:$D,4,FALSE)</f>
        <v>0</v>
      </c>
      <c r="V677" s="97">
        <f>+YEAR(PROVEEDORES[[#This Row],[FECHA DE FACTURACIÓN]])</f>
        <v>2021</v>
      </c>
      <c r="W677" s="97">
        <f>+MATCH(PROVEEDORES[[#This Row],[año facturado]],Retenciones!$1:$1,0)</f>
        <v>4</v>
      </c>
      <c r="X677" s="98">
        <f>+VLOOKUP(PROVEEDORES[[#This Row],[ID RETENCION]],Retenciones!$A$1:$O$25,PROVEEDORES[[#This Row],[indicador de columna]],FALSE)</f>
        <v>0</v>
      </c>
      <c r="Y677" s="99">
        <f>+VLOOKUP(PROVEEDORES[[#This Row],[ID RETENCION]],Retenciones!$A$1:$O$25,2,FALSE)</f>
        <v>0</v>
      </c>
      <c r="Z677" s="125" t="b">
        <f>OR(COUNTIF(PROVEEDORES[[#This Row],[PROVEEDOR]],"*"&amp;'Palabra no opera'!$A$2&amp;"*"))</f>
        <v>0</v>
      </c>
      <c r="AA677" s="24"/>
      <c r="AB677" s="24"/>
      <c r="AC677" s="24"/>
      <c r="AD677" s="24"/>
      <c r="AE677" s="24"/>
    </row>
    <row r="678" spans="1:31" ht="22.2" customHeight="1" x14ac:dyDescent="0.3">
      <c r="A678" s="72" t="str">
        <f>+IF(PROVEEDORES[[#This Row],[FECHA DE PAGO]]=PROVEEDORES[[#This Row],[FECHA DE FACTURACIÓN]],"DE CONTADO","CRÉDITO")</f>
        <v>CRÉDITO</v>
      </c>
      <c r="B678" s="38" t="b">
        <f>+IF((PROVEEDORES[[#This Row],[FECHA DE PAGO]]-PROVEEDORES[[#This Row],[FECHA DE FACTURACIÓN]])&gt;PROVEEDORES[[#This Row],[PLAZO Días]],"PAGO VENCIDO")</f>
        <v>0</v>
      </c>
      <c r="C678" s="20">
        <f>+VLOOKUP(PROVEEDORES[[#This Row],[PROVEEDOR]],TERCEROS_INFO[#All],2,FALSE)</f>
        <v>60</v>
      </c>
      <c r="D678" s="25">
        <f>+SUMIFS(PROVEEDORES[Total],PROVEEDORES[PROVEEDOR],PROVEEDORES[[#This Row],[PROVEEDOR]],PROVEEDORES[FECHA DE PAGO],"")</f>
        <v>1520362</v>
      </c>
      <c r="E678" s="25"/>
      <c r="F67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678" s="161">
        <v>44870</v>
      </c>
      <c r="H678" s="26" t="s">
        <v>528</v>
      </c>
      <c r="I678" s="74">
        <v>44824</v>
      </c>
      <c r="J678" s="35">
        <v>1487</v>
      </c>
      <c r="K678" s="21">
        <v>465934</v>
      </c>
      <c r="L678" s="21"/>
      <c r="M678" s="22">
        <f>(PROVEEDORES[[#This Row],[SUBTOTAL]]-PROVEEDORES[[#This Row],[descuento sobre subtotal]])*VLOOKUP(PROVEEDORES[[#This Row],[PROVEEDOR]],TERCEROS_INFO[#All],3,FALSE)</f>
        <v>0</v>
      </c>
      <c r="N678" s="23"/>
      <c r="O678" s="22">
        <f>+PROVEEDORES[[#This Row],[Descuento sobre subtotal %]]*(PROVEEDORES[[#This Row],[SUBTOTAL]]-PROVEEDORES[[#This Row],[descuento sobre subtotal]])</f>
        <v>0</v>
      </c>
      <c r="P678" s="83">
        <f>+IF(PROVEEDORES[[#This Row],[SUBTOTAL]]&lt;PROVEEDORES[[#This Row],[base retencion]],0,PROVEEDORES[[#This Row],[retención aplicada]])</f>
        <v>0</v>
      </c>
      <c r="Q678" s="22">
        <f>+PROVEEDORES[[#This Row],[Rete Fuente %]]*(PROVEEDORES[[#This Row],[SUBTOTAL]]-PROVEEDORES[[#This Row],[descuento sobre subtotal]])</f>
        <v>0</v>
      </c>
      <c r="R678" s="21">
        <f>+PROVEEDORES[[#This Row],[SUBTOTAL]]+PROVEEDORES[[#This Row],[IVA 19%]]-PROVEEDORES[[#This Row],[descuento sobre subtotal]]-PROVEEDORES[[#This Row],[Descuento sobre subtotal $2]]-PROVEEDORES[[#This Row],[Rete Fuente $]]</f>
        <v>465934</v>
      </c>
      <c r="S67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68">
        <f ca="1">IF(PROVEEDORES[[#This Row],[FECHA DE PAGO]]=0,TODAY()-PROVEEDORES[[#This Row],[FECHA DE FACTURACIÓN]]-PROVEEDORES[[#This Row],[PLAZO Días]],0)</f>
        <v>0</v>
      </c>
      <c r="U678" s="113">
        <f>+VLOOKUP(PROVEEDORES[[#This Row],[PROVEEDOR]],Terceros!$A:$D,4,FALSE)</f>
        <v>0</v>
      </c>
      <c r="V678" s="114">
        <f>+YEAR(PROVEEDORES[[#This Row],[FECHA DE FACTURACIÓN]])</f>
        <v>2022</v>
      </c>
      <c r="W678" s="114">
        <f>+MATCH(PROVEEDORES[[#This Row],[año facturado]],Retenciones!$1:$1,0)</f>
        <v>5</v>
      </c>
      <c r="X678" s="115">
        <f>+VLOOKUP(PROVEEDORES[[#This Row],[ID RETENCION]],Retenciones!$A$1:$O$25,PROVEEDORES[[#This Row],[indicador de columna]],FALSE)</f>
        <v>0</v>
      </c>
      <c r="Y678" s="116">
        <f>+VLOOKUP(PROVEEDORES[[#This Row],[ID RETENCION]],Retenciones!$A$1:$O$25,2,FALSE)</f>
        <v>0</v>
      </c>
      <c r="Z678" s="125" t="b">
        <f>OR(COUNTIF(PROVEEDORES[[#This Row],[PROVEEDOR]],"*"&amp;'Palabra no opera'!$A$2&amp;"*"))</f>
        <v>0</v>
      </c>
      <c r="AA678" s="24"/>
      <c r="AB678" s="24"/>
      <c r="AC678" s="24"/>
      <c r="AD678" s="24"/>
      <c r="AE678" s="24"/>
    </row>
    <row r="679" spans="1:31" ht="22.2" customHeight="1" x14ac:dyDescent="0.3">
      <c r="A679" s="66" t="str">
        <f>+IF(PROVEEDORES[[#This Row],[FECHA DE PAGO]]=PROVEEDORES[[#This Row],[FECHA DE FACTURACIÓN]],"DE CONTADO","CRÉDITO")</f>
        <v>DE CONTADO</v>
      </c>
      <c r="B679" s="38" t="b">
        <f>+IF((PROVEEDORES[[#This Row],[FECHA DE PAGO]]-PROVEEDORES[[#This Row],[FECHA DE FACTURACIÓN]])&gt;PROVEEDORES[[#This Row],[PLAZO Días]],"PAGO VENCIDO")</f>
        <v>0</v>
      </c>
      <c r="C679" s="20">
        <f>+VLOOKUP(PROVEEDORES[[#This Row],[PROVEEDOR]],TERCEROS_INFO[#All],2,FALSE)</f>
        <v>30</v>
      </c>
      <c r="D679" s="25">
        <f>+SUMIFS(PROVEEDORES[Total],PROVEEDORES[PROVEEDOR],PROVEEDORES[[#This Row],[PROVEEDOR]],PROVEEDORES[FECHA DE PAGO],"")</f>
        <v>0</v>
      </c>
      <c r="E679" s="25"/>
      <c r="F679" s="58" t="str">
        <f>+VLOOKUP(PROVEEDORES[[#This Row],[PROVEEDOR]],
                       Terceros!$A:$F,
                       5,
                       FALSE)</f>
        <v/>
      </c>
      <c r="G679" s="161">
        <v>44327</v>
      </c>
      <c r="H679" s="26" t="s">
        <v>37</v>
      </c>
      <c r="I679" s="161">
        <v>44327</v>
      </c>
      <c r="J679" s="35">
        <v>3391</v>
      </c>
      <c r="K679" s="21">
        <v>392000</v>
      </c>
      <c r="L679" s="21"/>
      <c r="M679" s="22">
        <f>(PROVEEDORES[[#This Row],[SUBTOTAL]]-PROVEEDORES[[#This Row],[descuento sobre subtotal]])*VLOOKUP(PROVEEDORES[[#This Row],[PROVEEDOR]],TERCEROS_INFO[#All],3,FALSE)</f>
        <v>74480</v>
      </c>
      <c r="N679" s="23"/>
      <c r="O679" s="22">
        <f>+PROVEEDORES[[#This Row],[Descuento sobre subtotal %]]*(PROVEEDORES[[#This Row],[SUBTOTAL]]-PROVEEDORES[[#This Row],[descuento sobre subtotal]])</f>
        <v>0</v>
      </c>
      <c r="P679" s="83">
        <f>+IF(PROVEEDORES[[#This Row],[SUBTOTAL]]&lt;PROVEEDORES[[#This Row],[base retencion]],0,PROVEEDORES[[#This Row],[retención aplicada]])</f>
        <v>0</v>
      </c>
      <c r="Q679" s="22">
        <f>+PROVEEDORES[[#This Row],[Rete Fuente %]]*(PROVEEDORES[[#This Row],[SUBTOTAL]]-PROVEEDORES[[#This Row],[descuento sobre subtotal]])</f>
        <v>0</v>
      </c>
      <c r="R679" s="21">
        <f>+PROVEEDORES[[#This Row],[SUBTOTAL]]+PROVEEDORES[[#This Row],[IVA 19%]]-PROVEEDORES[[#This Row],[descuento sobre subtotal]]-PROVEEDORES[[#This Row],[Descuento sobre subtotal $2]]-PROVEEDORES[[#This Row],[Rete Fuente $]]</f>
        <v>466480</v>
      </c>
      <c r="S6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68">
        <f ca="1">IF(PROVEEDORES[[#This Row],[FECHA DE PAGO]]=0,TODAY()-PROVEEDORES[[#This Row],[FECHA DE FACTURACIÓN]]-PROVEEDORES[[#This Row],[PLAZO Días]],0)</f>
        <v>0</v>
      </c>
      <c r="U679" s="96" t="str">
        <f>+VLOOKUP(PROVEEDORES[[#This Row],[PROVEEDOR]],Terceros!$A:$D,4,FALSE)</f>
        <v>2,5% con base</v>
      </c>
      <c r="V679" s="97">
        <f>+YEAR(PROVEEDORES[[#This Row],[FECHA DE FACTURACIÓN]])</f>
        <v>2021</v>
      </c>
      <c r="W679" s="97">
        <f>+MATCH(PROVEEDORES[[#This Row],[año facturado]],Retenciones!$1:$1,0)</f>
        <v>4</v>
      </c>
      <c r="X679" s="98">
        <f>+VLOOKUP(PROVEEDORES[[#This Row],[ID RETENCION]],Retenciones!$A$1:$O$25,PROVEEDORES[[#This Row],[indicador de columna]],FALSE)</f>
        <v>980000</v>
      </c>
      <c r="Y679" s="99">
        <f>+VLOOKUP(PROVEEDORES[[#This Row],[ID RETENCION]],Retenciones!$A$1:$O$25,2,FALSE)</f>
        <v>2.5000000000000001E-2</v>
      </c>
      <c r="Z679" s="125" t="b">
        <f>OR(COUNTIF(PROVEEDORES[[#This Row],[PROVEEDOR]],"*"&amp;'Palabra no opera'!$A$2&amp;"*"))</f>
        <v>0</v>
      </c>
      <c r="AA679" s="24"/>
      <c r="AB679" s="24"/>
      <c r="AC679" s="24"/>
      <c r="AD679" s="24"/>
      <c r="AE679" s="24"/>
    </row>
    <row r="680" spans="1:31" ht="22.2" customHeight="1" x14ac:dyDescent="0.3">
      <c r="A680" s="66" t="str">
        <f>+IF(PROVEEDORES[[#This Row],[FECHA DE PAGO]]=PROVEEDORES[[#This Row],[FECHA DE FACTURACIÓN]],"DE CONTADO","CRÉDITO")</f>
        <v>DE CONTADO</v>
      </c>
      <c r="B680" s="38" t="b">
        <f>+IF((PROVEEDORES[[#This Row],[FECHA DE PAGO]]-PROVEEDORES[[#This Row],[FECHA DE FACTURACIÓN]])&gt;PROVEEDORES[[#This Row],[PLAZO Días]],"PAGO VENCIDO")</f>
        <v>0</v>
      </c>
      <c r="C680" s="20">
        <f>+VLOOKUP(PROVEEDORES[[#This Row],[PROVEEDOR]],TERCEROS_INFO[#All],2,FALSE)</f>
        <v>30</v>
      </c>
      <c r="D680" s="25">
        <f>+SUMIFS(PROVEEDORES[Total],PROVEEDORES[PROVEEDOR],PROVEEDORES[[#This Row],[PROVEEDOR]],PROVEEDORES[FECHA DE PAGO],"")</f>
        <v>0</v>
      </c>
      <c r="E680" s="25"/>
      <c r="F680" s="58">
        <f>+VLOOKUP(PROVEEDORES[[#This Row],[PROVEEDOR]],
                       Terceros!$A:$F,
                       5,
                       FALSE)</f>
        <v>0</v>
      </c>
      <c r="G680" s="161">
        <v>44477</v>
      </c>
      <c r="H680" s="26" t="s">
        <v>700</v>
      </c>
      <c r="I680" s="161">
        <v>44477</v>
      </c>
      <c r="J680" s="35" t="s">
        <v>1503</v>
      </c>
      <c r="K680" s="21">
        <v>468000</v>
      </c>
      <c r="L680" s="21"/>
      <c r="M680" s="22">
        <f>(PROVEEDORES[[#This Row],[SUBTOTAL]]-PROVEEDORES[[#This Row],[descuento sobre subtotal]])*VLOOKUP(PROVEEDORES[[#This Row],[PROVEEDOR]],TERCEROS_INFO[#All],3,FALSE)</f>
        <v>0</v>
      </c>
      <c r="N680" s="23"/>
      <c r="O680" s="22">
        <f>+PROVEEDORES[[#This Row],[Descuento sobre subtotal %]]*(PROVEEDORES[[#This Row],[SUBTOTAL]]-PROVEEDORES[[#This Row],[descuento sobre subtotal]])</f>
        <v>0</v>
      </c>
      <c r="P680" s="83">
        <f>+IF(PROVEEDORES[[#This Row],[SUBTOTAL]]&lt;PROVEEDORES[[#This Row],[base retencion]],0,PROVEEDORES[[#This Row],[retención aplicada]])</f>
        <v>0</v>
      </c>
      <c r="Q680" s="22">
        <f>+PROVEEDORES[[#This Row],[Rete Fuente %]]*(PROVEEDORES[[#This Row],[SUBTOTAL]]-PROVEEDORES[[#This Row],[descuento sobre subtotal]])</f>
        <v>0</v>
      </c>
      <c r="R680" s="21">
        <f>+PROVEEDORES[[#This Row],[SUBTOTAL]]+PROVEEDORES[[#This Row],[IVA 19%]]-PROVEEDORES[[#This Row],[descuento sobre subtotal]]-PROVEEDORES[[#This Row],[Descuento sobre subtotal $2]]-PROVEEDORES[[#This Row],[Rete Fuente $]]</f>
        <v>468000</v>
      </c>
      <c r="S6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68">
        <f ca="1">IF(PROVEEDORES[[#This Row],[FECHA DE PAGO]]=0,TODAY()-PROVEEDORES[[#This Row],[FECHA DE FACTURACIÓN]]-PROVEEDORES[[#This Row],[PLAZO Días]],0)</f>
        <v>0</v>
      </c>
      <c r="U680" s="96">
        <f>+VLOOKUP(PROVEEDORES[[#This Row],[PROVEEDOR]],Terceros!$A:$D,4,FALSE)</f>
        <v>0</v>
      </c>
      <c r="V680" s="97">
        <f>+YEAR(PROVEEDORES[[#This Row],[FECHA DE FACTURACIÓN]])</f>
        <v>2021</v>
      </c>
      <c r="W680" s="97">
        <f>+MATCH(PROVEEDORES[[#This Row],[año facturado]],Retenciones!$1:$1,0)</f>
        <v>4</v>
      </c>
      <c r="X680" s="98">
        <f>+VLOOKUP(PROVEEDORES[[#This Row],[ID RETENCION]],Retenciones!$A$1:$O$25,PROVEEDORES[[#This Row],[indicador de columna]],FALSE)</f>
        <v>0</v>
      </c>
      <c r="Y680" s="99">
        <f>+VLOOKUP(PROVEEDORES[[#This Row],[ID RETENCION]],Retenciones!$A$1:$O$25,2,FALSE)</f>
        <v>0</v>
      </c>
      <c r="Z680" s="125" t="b">
        <f>OR(COUNTIF(PROVEEDORES[[#This Row],[PROVEEDOR]],"*"&amp;'Palabra no opera'!$A$2&amp;"*"))</f>
        <v>0</v>
      </c>
      <c r="AA680" s="24"/>
      <c r="AB680" s="24"/>
      <c r="AC680" s="24"/>
      <c r="AD680" s="24"/>
      <c r="AE680" s="24"/>
    </row>
    <row r="681" spans="1:31" ht="22.2" customHeight="1" x14ac:dyDescent="0.3">
      <c r="A681" s="72" t="str">
        <f>+IF(PROVEEDORES[[#This Row],[FECHA DE PAGO]]=PROVEEDORES[[#This Row],[FECHA DE FACTURACIÓN]],"DE CONTADO","CRÉDITO")</f>
        <v>CRÉDITO</v>
      </c>
      <c r="B681" s="38" t="str">
        <f>+IF((PROVEEDORES[[#This Row],[FECHA DE PAGO]]-PROVEEDORES[[#This Row],[FECHA DE FACTURACIÓN]])&gt;PROVEEDORES[[#This Row],[PLAZO Días]],"PAGO VENCIDO")</f>
        <v>PAGO VENCIDO</v>
      </c>
      <c r="C681" s="20">
        <f>+VLOOKUP(PROVEEDORES[[#This Row],[PROVEEDOR]],TERCEROS_INFO[#All],2,FALSE)</f>
        <v>30</v>
      </c>
      <c r="D681" s="25">
        <f>+SUMIFS(PROVEEDORES[Total],PROVEEDORES[PROVEEDOR],PROVEEDORES[[#This Row],[PROVEEDOR]],PROVEEDORES[FECHA DE PAGO],"")</f>
        <v>5272763.2050000001</v>
      </c>
      <c r="E681" s="25"/>
      <c r="F68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681" s="161">
        <v>44855</v>
      </c>
      <c r="H681" s="26" t="s">
        <v>11</v>
      </c>
      <c r="I681" s="161">
        <v>44776</v>
      </c>
      <c r="J681" s="35" t="s">
        <v>1769</v>
      </c>
      <c r="K681" s="21">
        <v>394958</v>
      </c>
      <c r="L681" s="21"/>
      <c r="M681" s="22">
        <f>(PROVEEDORES[[#This Row],[SUBTOTAL]]-PROVEEDORES[[#This Row],[descuento sobre subtotal]])*VLOOKUP(PROVEEDORES[[#This Row],[PROVEEDOR]],TERCEROS_INFO[#All],3,FALSE)</f>
        <v>75042.02</v>
      </c>
      <c r="N681" s="23"/>
      <c r="O681" s="22">
        <f>+PROVEEDORES[[#This Row],[Descuento sobre subtotal %]]*(PROVEEDORES[[#This Row],[SUBTOTAL]]-PROVEEDORES[[#This Row],[descuento sobre subtotal]])</f>
        <v>0</v>
      </c>
      <c r="P681" s="83">
        <f>+IF(PROVEEDORES[[#This Row],[SUBTOTAL]]&lt;PROVEEDORES[[#This Row],[base retencion]],0,PROVEEDORES[[#This Row],[retención aplicada]])</f>
        <v>0</v>
      </c>
      <c r="Q681" s="22">
        <f>+PROVEEDORES[[#This Row],[Rete Fuente %]]*(PROVEEDORES[[#This Row],[SUBTOTAL]]-PROVEEDORES[[#This Row],[descuento sobre subtotal]])</f>
        <v>0</v>
      </c>
      <c r="R681" s="21">
        <f>+PROVEEDORES[[#This Row],[SUBTOTAL]]+PROVEEDORES[[#This Row],[IVA 19%]]-PROVEEDORES[[#This Row],[descuento sobre subtotal]]-PROVEEDORES[[#This Row],[Descuento sobre subtotal $2]]-PROVEEDORES[[#This Row],[Rete Fuente $]]</f>
        <v>470000.02</v>
      </c>
      <c r="S68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68">
        <f ca="1">IF(PROVEEDORES[[#This Row],[FECHA DE PAGO]]=0,TODAY()-PROVEEDORES[[#This Row],[FECHA DE FACTURACIÓN]]-PROVEEDORES[[#This Row],[PLAZO Días]],0)</f>
        <v>0</v>
      </c>
      <c r="U681" s="113" t="str">
        <f>+VLOOKUP(PROVEEDORES[[#This Row],[PROVEEDOR]],Terceros!$A:$D,4,FALSE)</f>
        <v>2,5% con base</v>
      </c>
      <c r="V681" s="114">
        <f>+YEAR(PROVEEDORES[[#This Row],[FECHA DE FACTURACIÓN]])</f>
        <v>2022</v>
      </c>
      <c r="W681" s="114">
        <f>+MATCH(PROVEEDORES[[#This Row],[año facturado]],Retenciones!$1:$1,0)</f>
        <v>5</v>
      </c>
      <c r="X681" s="115">
        <f>+VLOOKUP(PROVEEDORES[[#This Row],[ID RETENCION]],Retenciones!$A$1:$O$25,PROVEEDORES[[#This Row],[indicador de columna]],FALSE)</f>
        <v>1026000</v>
      </c>
      <c r="Y681" s="116">
        <f>+VLOOKUP(PROVEEDORES[[#This Row],[ID RETENCION]],Retenciones!$A$1:$O$25,2,FALSE)</f>
        <v>2.5000000000000001E-2</v>
      </c>
      <c r="Z681" s="125" t="b">
        <f>OR(COUNTIF(PROVEEDORES[[#This Row],[PROVEEDOR]],"*"&amp;'Palabra no opera'!$A$2&amp;"*"))</f>
        <v>0</v>
      </c>
      <c r="AA681" s="24"/>
      <c r="AB681" s="24"/>
      <c r="AC681" s="24"/>
      <c r="AD681" s="24"/>
      <c r="AE681" s="24"/>
    </row>
    <row r="682" spans="1:31" ht="22.2" customHeight="1" x14ac:dyDescent="0.3">
      <c r="A682" s="146" t="str">
        <f>+IF(PROVEEDORES[[#This Row],[FECHA DE PAGO]]=PROVEEDORES[[#This Row],[FECHA DE FACTURACIÓN]],"DE CONTADO","CRÉDITO")</f>
        <v>CRÉDITO</v>
      </c>
      <c r="B682" s="38" t="str">
        <f>+IF((PROVEEDORES[[#This Row],[FECHA DE PAGO]]-PROVEEDORES[[#This Row],[FECHA DE FACTURACIÓN]])&gt;PROVEEDORES[[#This Row],[PLAZO Días]],"PAGO VENCIDO")</f>
        <v>PAGO VENCIDO</v>
      </c>
      <c r="C682" s="20">
        <f>+VLOOKUP(PROVEEDORES[[#This Row],[PROVEEDOR]],TERCEROS_INFO[#All],2,FALSE)</f>
        <v>30</v>
      </c>
      <c r="D682" s="25">
        <f>+SUMIFS(PROVEEDORES[Total],PROVEEDORES[PROVEEDOR],PROVEEDORES[[#This Row],[PROVEEDOR]],PROVEEDORES[FECHA DE PAGO],"")</f>
        <v>0</v>
      </c>
      <c r="E682" s="25"/>
      <c r="F682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682" s="161">
        <v>44758</v>
      </c>
      <c r="H682" s="26" t="s">
        <v>422</v>
      </c>
      <c r="I682" s="161">
        <v>44708</v>
      </c>
      <c r="J682" s="35">
        <v>11789</v>
      </c>
      <c r="K682" s="21">
        <v>395000</v>
      </c>
      <c r="L682" s="21"/>
      <c r="M682" s="22">
        <f>(PROVEEDORES[[#This Row],[SUBTOTAL]]-PROVEEDORES[[#This Row],[descuento sobre subtotal]])*VLOOKUP(PROVEEDORES[[#This Row],[PROVEEDOR]],TERCEROS_INFO[#All],3,FALSE)</f>
        <v>75050</v>
      </c>
      <c r="N682" s="23"/>
      <c r="O682" s="22">
        <f>+PROVEEDORES[[#This Row],[Descuento sobre subtotal %]]*(PROVEEDORES[[#This Row],[SUBTOTAL]]-PROVEEDORES[[#This Row],[descuento sobre subtotal]])</f>
        <v>0</v>
      </c>
      <c r="P682" s="83">
        <f>+IF(PROVEEDORES[[#This Row],[SUBTOTAL]]&lt;PROVEEDORES[[#This Row],[base retencion]],0,PROVEEDORES[[#This Row],[retención aplicada]])</f>
        <v>0</v>
      </c>
      <c r="Q682" s="22">
        <f>+PROVEEDORES[[#This Row],[Rete Fuente %]]*(PROVEEDORES[[#This Row],[SUBTOTAL]]-PROVEEDORES[[#This Row],[descuento sobre subtotal]])</f>
        <v>0</v>
      </c>
      <c r="R682" s="21">
        <f>+PROVEEDORES[[#This Row],[SUBTOTAL]]+PROVEEDORES[[#This Row],[IVA 19%]]-PROVEEDORES[[#This Row],[descuento sobre subtotal]]-PROVEEDORES[[#This Row],[Descuento sobre subtotal $2]]-PROVEEDORES[[#This Row],[Rete Fuente $]]</f>
        <v>470050</v>
      </c>
      <c r="S682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68">
        <f ca="1">IF(PROVEEDORES[[#This Row],[FECHA DE PAGO]]=0,TODAY()-PROVEEDORES[[#This Row],[FECHA DE FACTURACIÓN]]-PROVEEDORES[[#This Row],[PLAZO Días]],0)</f>
        <v>0</v>
      </c>
      <c r="U682" s="113" t="str">
        <f>+VLOOKUP(PROVEEDORES[[#This Row],[PROVEEDOR]],Terceros!$A:$D,4,FALSE)</f>
        <v>2,5% con base</v>
      </c>
      <c r="V682" s="114">
        <f>+YEAR(PROVEEDORES[[#This Row],[FECHA DE FACTURACIÓN]])</f>
        <v>2022</v>
      </c>
      <c r="W682" s="114">
        <f>+MATCH(PROVEEDORES[[#This Row],[año facturado]],Retenciones!$1:$1,0)</f>
        <v>5</v>
      </c>
      <c r="X682" s="115">
        <f>+VLOOKUP(PROVEEDORES[[#This Row],[ID RETENCION]],Retenciones!$A$1:$O$25,PROVEEDORES[[#This Row],[indicador de columna]],FALSE)</f>
        <v>1026000</v>
      </c>
      <c r="Y682" s="116">
        <f>+VLOOKUP(PROVEEDORES[[#This Row],[ID RETENCION]],Retenciones!$A$1:$O$25,2,FALSE)</f>
        <v>2.5000000000000001E-2</v>
      </c>
      <c r="Z682" s="125" t="b">
        <f>OR(COUNTIF(PROVEEDORES[[#This Row],[PROVEEDOR]],"*"&amp;'Palabra no opera'!$A$2&amp;"*"))</f>
        <v>0</v>
      </c>
      <c r="AA682" s="24"/>
      <c r="AB682" s="24"/>
      <c r="AC682" s="24"/>
      <c r="AD682" s="24"/>
      <c r="AE682" s="24"/>
    </row>
    <row r="683" spans="1:31" ht="22.2" customHeight="1" x14ac:dyDescent="0.3">
      <c r="A683" s="66" t="str">
        <f>+IF(PROVEEDORES[[#This Row],[FECHA DE PAGO]]=PROVEEDORES[[#This Row],[FECHA DE FACTURACIÓN]],"DE CONTADO","CRÉDITO")</f>
        <v>CRÉDITO</v>
      </c>
      <c r="B683" s="38" t="str">
        <f>+IF((PROVEEDORES[[#This Row],[FECHA DE PAGO]]-PROVEEDORES[[#This Row],[FECHA DE FACTURACIÓN]])&gt;PROVEEDORES[[#This Row],[PLAZO Días]],"PAGO VENCIDO")</f>
        <v>PAGO VENCIDO</v>
      </c>
      <c r="C683" s="20">
        <f>+VLOOKUP(PROVEEDORES[[#This Row],[PROVEEDOR]],TERCEROS_INFO[#All],2,FALSE)</f>
        <v>30</v>
      </c>
      <c r="D683" s="25">
        <f>+SUMIFS(PROVEEDORES[Total],PROVEEDORES[PROVEEDOR],PROVEEDORES[[#This Row],[PROVEEDOR]],PROVEEDORES[FECHA DE PAGO],"")</f>
        <v>0</v>
      </c>
      <c r="E683" s="25"/>
      <c r="F683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683" s="161">
        <v>44214</v>
      </c>
      <c r="H683" s="26" t="s">
        <v>39</v>
      </c>
      <c r="I683" s="161">
        <v>44174</v>
      </c>
      <c r="J683" s="35">
        <v>147</v>
      </c>
      <c r="K683" s="21">
        <v>395200</v>
      </c>
      <c r="L683" s="21"/>
      <c r="M683" s="22">
        <f>(PROVEEDORES[[#This Row],[SUBTOTAL]]-PROVEEDORES[[#This Row],[descuento sobre subtotal]])*VLOOKUP(PROVEEDORES[[#This Row],[PROVEEDOR]],TERCEROS_INFO[#All],3,FALSE)</f>
        <v>75088</v>
      </c>
      <c r="N683" s="23"/>
      <c r="O683" s="22">
        <f>+PROVEEDORES[[#This Row],[Descuento sobre subtotal %]]*(PROVEEDORES[[#This Row],[SUBTOTAL]]-PROVEEDORES[[#This Row],[descuento sobre subtotal]])</f>
        <v>0</v>
      </c>
      <c r="P683" s="83">
        <f>+IF(PROVEEDORES[[#This Row],[SUBTOTAL]]&lt;PROVEEDORES[[#This Row],[base retencion]],0,PROVEEDORES[[#This Row],[retención aplicada]])</f>
        <v>0</v>
      </c>
      <c r="Q683" s="22">
        <f>+PROVEEDORES[[#This Row],[Rete Fuente %]]*(PROVEEDORES[[#This Row],[SUBTOTAL]]-PROVEEDORES[[#This Row],[descuento sobre subtotal]])</f>
        <v>0</v>
      </c>
      <c r="R683" s="21">
        <f>+PROVEEDORES[[#This Row],[SUBTOTAL]]+PROVEEDORES[[#This Row],[IVA 19%]]-PROVEEDORES[[#This Row],[descuento sobre subtotal]]-PROVEEDORES[[#This Row],[Descuento sobre subtotal $2]]-PROVEEDORES[[#This Row],[Rete Fuente $]]</f>
        <v>470288</v>
      </c>
      <c r="S6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68">
        <f ca="1">IF(PROVEEDORES[[#This Row],[FECHA DE PAGO]]=0,TODAY()-PROVEEDORES[[#This Row],[FECHA DE FACTURACIÓN]]-PROVEEDORES[[#This Row],[PLAZO Días]],0)</f>
        <v>0</v>
      </c>
      <c r="U683" s="96" t="str">
        <f>+VLOOKUP(PROVEEDORES[[#This Row],[PROVEEDOR]],Terceros!$A:$D,4,FALSE)</f>
        <v>2,5% con base</v>
      </c>
      <c r="V683" s="97">
        <f>+YEAR(PROVEEDORES[[#This Row],[FECHA DE FACTURACIÓN]])</f>
        <v>2020</v>
      </c>
      <c r="W683" s="97">
        <f>+MATCH(PROVEEDORES[[#This Row],[año facturado]],Retenciones!$1:$1,0)</f>
        <v>3</v>
      </c>
      <c r="X683" s="98">
        <f>+VLOOKUP(PROVEEDORES[[#This Row],[ID RETENCION]],Retenciones!$A$1:$O$25,PROVEEDORES[[#This Row],[indicador de columna]],FALSE)</f>
        <v>961000</v>
      </c>
      <c r="Y683" s="99">
        <f>+VLOOKUP(PROVEEDORES[[#This Row],[ID RETENCION]],Retenciones!$A$1:$O$25,2,FALSE)</f>
        <v>2.5000000000000001E-2</v>
      </c>
      <c r="Z683" s="125" t="b">
        <f>OR(COUNTIF(PROVEEDORES[[#This Row],[PROVEEDOR]],"*"&amp;'Palabra no opera'!$A$2&amp;"*"))</f>
        <v>0</v>
      </c>
      <c r="AA683" s="24"/>
      <c r="AB683" s="24"/>
      <c r="AC683" s="24"/>
      <c r="AD683" s="24"/>
      <c r="AE683" s="24"/>
    </row>
    <row r="684" spans="1:31" ht="22.2" customHeight="1" x14ac:dyDescent="0.3">
      <c r="A684" s="66" t="str">
        <f>+IF(PROVEEDORES[[#This Row],[FECHA DE PAGO]]=PROVEEDORES[[#This Row],[FECHA DE FACTURACIÓN]],"DE CONTADO","CRÉDITO")</f>
        <v>CRÉDITO</v>
      </c>
      <c r="B684" s="38" t="str">
        <f>+IF((PROVEEDORES[[#This Row],[FECHA DE PAGO]]-PROVEEDORES[[#This Row],[FECHA DE FACTURACIÓN]])&gt;PROVEEDORES[[#This Row],[PLAZO Días]],"PAGO VENCIDO")</f>
        <v>PAGO VENCIDO</v>
      </c>
      <c r="C684" s="20">
        <f>+VLOOKUP(PROVEEDORES[[#This Row],[PROVEEDOR]],TERCEROS_INFO[#All],2,FALSE)</f>
        <v>30</v>
      </c>
      <c r="D684" s="25">
        <f>+SUMIFS(PROVEEDORES[Total],PROVEEDORES[PROVEEDOR],PROVEEDORES[[#This Row],[PROVEEDOR]],PROVEEDORES[FECHA DE PAGO],"")</f>
        <v>0</v>
      </c>
      <c r="E684" s="25"/>
      <c r="F684" s="58" t="str">
        <f>+VLOOKUP(PROVEEDORES[[#This Row],[PROVEEDOR]],
                       Terceros!$A:$F,
                       5,
                       FALSE)</f>
        <v/>
      </c>
      <c r="G684" s="161">
        <v>44418</v>
      </c>
      <c r="H684" s="26" t="s">
        <v>665</v>
      </c>
      <c r="I684" s="161">
        <v>44371</v>
      </c>
      <c r="J684" s="35" t="s">
        <v>1258</v>
      </c>
      <c r="K684" s="21">
        <v>473000</v>
      </c>
      <c r="L684" s="21"/>
      <c r="M684" s="22">
        <f>(PROVEEDORES[[#This Row],[SUBTOTAL]]-PROVEEDORES[[#This Row],[descuento sobre subtotal]])*VLOOKUP(PROVEEDORES[[#This Row],[PROVEEDOR]],TERCEROS_INFO[#All],3,FALSE)</f>
        <v>0</v>
      </c>
      <c r="N684" s="23"/>
      <c r="O684" s="22">
        <f>+PROVEEDORES[[#This Row],[Descuento sobre subtotal %]]*(PROVEEDORES[[#This Row],[SUBTOTAL]]-PROVEEDORES[[#This Row],[descuento sobre subtotal]])</f>
        <v>0</v>
      </c>
      <c r="P684" s="83">
        <f>+IF(PROVEEDORES[[#This Row],[SUBTOTAL]]&lt;PROVEEDORES[[#This Row],[base retencion]],0,PROVEEDORES[[#This Row],[retención aplicada]])</f>
        <v>0</v>
      </c>
      <c r="Q684" s="22">
        <f>+PROVEEDORES[[#This Row],[Rete Fuente %]]*(PROVEEDORES[[#This Row],[SUBTOTAL]]-PROVEEDORES[[#This Row],[descuento sobre subtotal]])</f>
        <v>0</v>
      </c>
      <c r="R684" s="21">
        <f>+PROVEEDORES[[#This Row],[SUBTOTAL]]+PROVEEDORES[[#This Row],[IVA 19%]]-PROVEEDORES[[#This Row],[descuento sobre subtotal]]-PROVEEDORES[[#This Row],[Descuento sobre subtotal $2]]-PROVEEDORES[[#This Row],[Rete Fuente $]]</f>
        <v>473000</v>
      </c>
      <c r="S6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68">
        <f ca="1">IF(PROVEEDORES[[#This Row],[FECHA DE PAGO]]=0,TODAY()-PROVEEDORES[[#This Row],[FECHA DE FACTURACIÓN]]-PROVEEDORES[[#This Row],[PLAZO Días]],0)</f>
        <v>0</v>
      </c>
      <c r="U684" s="96">
        <f>+VLOOKUP(PROVEEDORES[[#This Row],[PROVEEDOR]],Terceros!$A:$D,4,FALSE)</f>
        <v>0</v>
      </c>
      <c r="V684" s="97">
        <f>+YEAR(PROVEEDORES[[#This Row],[FECHA DE FACTURACIÓN]])</f>
        <v>2021</v>
      </c>
      <c r="W684" s="97">
        <f>+MATCH(PROVEEDORES[[#This Row],[año facturado]],Retenciones!$1:$1,0)</f>
        <v>4</v>
      </c>
      <c r="X684" s="98">
        <f>+VLOOKUP(PROVEEDORES[[#This Row],[ID RETENCION]],Retenciones!$A$1:$O$25,PROVEEDORES[[#This Row],[indicador de columna]],FALSE)</f>
        <v>0</v>
      </c>
      <c r="Y684" s="99">
        <f>+VLOOKUP(PROVEEDORES[[#This Row],[ID RETENCION]],Retenciones!$A$1:$O$25,2,FALSE)</f>
        <v>0</v>
      </c>
      <c r="Z684" s="125" t="b">
        <f>OR(COUNTIF(PROVEEDORES[[#This Row],[PROVEEDOR]],"*"&amp;'Palabra no opera'!$A$2&amp;"*"))</f>
        <v>0</v>
      </c>
      <c r="AA684" s="24"/>
      <c r="AB684" s="24"/>
      <c r="AC684" s="24"/>
      <c r="AD684" s="24"/>
      <c r="AE684" s="24"/>
    </row>
    <row r="685" spans="1:31" ht="22.2" customHeight="1" x14ac:dyDescent="0.3">
      <c r="A685" s="66" t="str">
        <f>+IF(PROVEEDORES[[#This Row],[FECHA DE PAGO]]=PROVEEDORES[[#This Row],[FECHA DE FACTURACIÓN]],"DE CONTADO","CRÉDITO")</f>
        <v>CRÉDITO</v>
      </c>
      <c r="B685" s="38" t="str">
        <f>+IF((PROVEEDORES[[#This Row],[FECHA DE PAGO]]-PROVEEDORES[[#This Row],[FECHA DE FACTURACIÓN]])&gt;PROVEEDORES[[#This Row],[PLAZO Días]],"PAGO VENCIDO")</f>
        <v>PAGO VENCIDO</v>
      </c>
      <c r="C685" s="20">
        <f>+VLOOKUP(PROVEEDORES[[#This Row],[PROVEEDOR]],TERCEROS_INFO[#All],2,FALSE)</f>
        <v>30</v>
      </c>
      <c r="D685" s="25">
        <f>+SUMIFS(PROVEEDORES[Total],PROVEEDORES[PROVEEDOR],PROVEEDORES[[#This Row],[PROVEEDOR]],PROVEEDORES[FECHA DE PAGO],"")</f>
        <v>-101001.25</v>
      </c>
      <c r="E685" s="25"/>
      <c r="F685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685" s="161">
        <v>44461</v>
      </c>
      <c r="H685" s="26" t="s">
        <v>14</v>
      </c>
      <c r="I685" s="161">
        <v>44425</v>
      </c>
      <c r="J685" s="35" t="s">
        <v>437</v>
      </c>
      <c r="K685" s="21">
        <v>398992</v>
      </c>
      <c r="L685" s="21"/>
      <c r="M685" s="22">
        <f>(PROVEEDORES[[#This Row],[SUBTOTAL]]-PROVEEDORES[[#This Row],[descuento sobre subtotal]])*VLOOKUP(PROVEEDORES[[#This Row],[PROVEEDOR]],TERCEROS_INFO[#All],3,FALSE)</f>
        <v>75808.479999999996</v>
      </c>
      <c r="N685" s="23"/>
      <c r="O685" s="22">
        <f>+PROVEEDORES[[#This Row],[Descuento sobre subtotal %]]*(PROVEEDORES[[#This Row],[SUBTOTAL]]-PROVEEDORES[[#This Row],[descuento sobre subtotal]])</f>
        <v>0</v>
      </c>
      <c r="P685" s="83">
        <f>+IF(PROVEEDORES[[#This Row],[SUBTOTAL]]&lt;PROVEEDORES[[#This Row],[base retencion]],0,PROVEEDORES[[#This Row],[retención aplicada]])</f>
        <v>0</v>
      </c>
      <c r="Q685" s="22">
        <f>+PROVEEDORES[[#This Row],[Rete Fuente %]]*(PROVEEDORES[[#This Row],[SUBTOTAL]]-PROVEEDORES[[#This Row],[descuento sobre subtotal]])</f>
        <v>0</v>
      </c>
      <c r="R685" s="21">
        <f>+PROVEEDORES[[#This Row],[SUBTOTAL]]+PROVEEDORES[[#This Row],[IVA 19%]]-PROVEEDORES[[#This Row],[descuento sobre subtotal]]-PROVEEDORES[[#This Row],[Descuento sobre subtotal $2]]-PROVEEDORES[[#This Row],[Rete Fuente $]]</f>
        <v>474800.48</v>
      </c>
      <c r="S6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68">
        <f ca="1">IF(PROVEEDORES[[#This Row],[FECHA DE PAGO]]=0,TODAY()-PROVEEDORES[[#This Row],[FECHA DE FACTURACIÓN]]-PROVEEDORES[[#This Row],[PLAZO Días]],0)</f>
        <v>0</v>
      </c>
      <c r="U685" s="96" t="str">
        <f>+VLOOKUP(PROVEEDORES[[#This Row],[PROVEEDOR]],Terceros!$A:$D,4,FALSE)</f>
        <v>2,5% con base</v>
      </c>
      <c r="V685" s="97">
        <f>+YEAR(PROVEEDORES[[#This Row],[FECHA DE FACTURACIÓN]])</f>
        <v>2021</v>
      </c>
      <c r="W685" s="97">
        <f>+MATCH(PROVEEDORES[[#This Row],[año facturado]],Retenciones!$1:$1,0)</f>
        <v>4</v>
      </c>
      <c r="X685" s="98">
        <f>+VLOOKUP(PROVEEDORES[[#This Row],[ID RETENCION]],Retenciones!$A$1:$O$25,PROVEEDORES[[#This Row],[indicador de columna]],FALSE)</f>
        <v>980000</v>
      </c>
      <c r="Y685" s="99">
        <f>+VLOOKUP(PROVEEDORES[[#This Row],[ID RETENCION]],Retenciones!$A$1:$O$25,2,FALSE)</f>
        <v>2.5000000000000001E-2</v>
      </c>
      <c r="Z685" s="125" t="b">
        <f>OR(COUNTIF(PROVEEDORES[[#This Row],[PROVEEDOR]],"*"&amp;'Palabra no opera'!$A$2&amp;"*"))</f>
        <v>0</v>
      </c>
      <c r="AA685" s="24"/>
      <c r="AB685" s="24"/>
      <c r="AC685" s="24"/>
      <c r="AD685" s="24"/>
      <c r="AE685" s="24"/>
    </row>
    <row r="686" spans="1:31" ht="22.2" customHeight="1" x14ac:dyDescent="0.3">
      <c r="A686" s="199" t="str">
        <f>+IF(PROVEEDORES[[#This Row],[FECHA DE PAGO]]=PROVEEDORES[[#This Row],[FECHA DE FACTURACIÓN]],"DE CONTADO","CRÉDITO")</f>
        <v>CRÉDITO</v>
      </c>
      <c r="B686" s="38" t="str">
        <f>+IF((PROVEEDORES[[#This Row],[FECHA DE PAGO]]-PROVEEDORES[[#This Row],[FECHA DE FACTURACIÓN]])&gt;PROVEEDORES[[#This Row],[PLAZO Días]],"PAGO VENCIDO")</f>
        <v>PAGO VENCIDO</v>
      </c>
      <c r="C686" s="20">
        <f>+VLOOKUP(PROVEEDORES[[#This Row],[PROVEEDOR]],TERCEROS_INFO[#All],2,FALSE)</f>
        <v>30</v>
      </c>
      <c r="D686" s="25">
        <f>+SUMIFS(PROVEEDORES[Total],PROVEEDORES[PROVEEDOR],PROVEEDORES[[#This Row],[PROVEEDOR]],PROVEEDORES[FECHA DE PAGO],"")</f>
        <v>0</v>
      </c>
      <c r="E686" s="25"/>
      <c r="F686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686" s="161">
        <v>44790</v>
      </c>
      <c r="H686" s="26" t="s">
        <v>667</v>
      </c>
      <c r="I686" s="161">
        <v>44714</v>
      </c>
      <c r="J686" s="35" t="s">
        <v>1626</v>
      </c>
      <c r="K686" s="21">
        <v>475000</v>
      </c>
      <c r="L686" s="21"/>
      <c r="M686" s="22">
        <f>(PROVEEDORES[[#This Row],[SUBTOTAL]]-PROVEEDORES[[#This Row],[descuento sobre subtotal]])*VLOOKUP(PROVEEDORES[[#This Row],[PROVEEDOR]],TERCEROS_INFO[#All],3,FALSE)</f>
        <v>0</v>
      </c>
      <c r="N686" s="23"/>
      <c r="O686" s="22">
        <f>+PROVEEDORES[[#This Row],[Descuento sobre subtotal %]]*(PROVEEDORES[[#This Row],[SUBTOTAL]]-PROVEEDORES[[#This Row],[descuento sobre subtotal]])</f>
        <v>0</v>
      </c>
      <c r="P686" s="83">
        <f>+IF(PROVEEDORES[[#This Row],[SUBTOTAL]]&lt;PROVEEDORES[[#This Row],[base retencion]],0,PROVEEDORES[[#This Row],[retención aplicada]])</f>
        <v>0</v>
      </c>
      <c r="Q686" s="22">
        <f>+PROVEEDORES[[#This Row],[Rete Fuente %]]*(PROVEEDORES[[#This Row],[SUBTOTAL]]-PROVEEDORES[[#This Row],[descuento sobre subtotal]])</f>
        <v>0</v>
      </c>
      <c r="R686" s="21">
        <f>+PROVEEDORES[[#This Row],[SUBTOTAL]]+PROVEEDORES[[#This Row],[IVA 19%]]-PROVEEDORES[[#This Row],[descuento sobre subtotal]]-PROVEEDORES[[#This Row],[Descuento sobre subtotal $2]]-PROVEEDORES[[#This Row],[Rete Fuente $]]</f>
        <v>475000</v>
      </c>
      <c r="S686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68">
        <f ca="1">IF(PROVEEDORES[[#This Row],[FECHA DE PAGO]]=0,TODAY()-PROVEEDORES[[#This Row],[FECHA DE FACTURACIÓN]]-PROVEEDORES[[#This Row],[PLAZO Días]],0)</f>
        <v>0</v>
      </c>
      <c r="U686" s="113">
        <f>+VLOOKUP(PROVEEDORES[[#This Row],[PROVEEDOR]],Terceros!$A:$D,4,FALSE)</f>
        <v>0</v>
      </c>
      <c r="V686" s="114">
        <f>+YEAR(PROVEEDORES[[#This Row],[FECHA DE FACTURACIÓN]])</f>
        <v>2022</v>
      </c>
      <c r="W686" s="114">
        <f>+MATCH(PROVEEDORES[[#This Row],[año facturado]],Retenciones!$1:$1,0)</f>
        <v>5</v>
      </c>
      <c r="X686" s="115">
        <f>+VLOOKUP(PROVEEDORES[[#This Row],[ID RETENCION]],Retenciones!$A$1:$O$25,PROVEEDORES[[#This Row],[indicador de columna]],FALSE)</f>
        <v>0</v>
      </c>
      <c r="Y686" s="116">
        <f>+VLOOKUP(PROVEEDORES[[#This Row],[ID RETENCION]],Retenciones!$A$1:$O$25,2,FALSE)</f>
        <v>0</v>
      </c>
      <c r="Z686" s="125" t="b">
        <f>OR(COUNTIF(PROVEEDORES[[#This Row],[PROVEEDOR]],"*"&amp;'Palabra no opera'!$A$2&amp;"*"))</f>
        <v>0</v>
      </c>
      <c r="AA686" s="24"/>
      <c r="AB686" s="24"/>
      <c r="AC686" s="24"/>
      <c r="AD686" s="24"/>
      <c r="AE686" s="24"/>
    </row>
    <row r="687" spans="1:31" ht="22.2" customHeight="1" x14ac:dyDescent="0.3">
      <c r="A687" s="66" t="str">
        <f>+IF(PROVEEDORES[[#This Row],[FECHA DE PAGO]]=PROVEEDORES[[#This Row],[FECHA DE FACTURACIÓN]],"DE CONTADO","CRÉDITO")</f>
        <v>CRÉDITO</v>
      </c>
      <c r="B687" s="38" t="str">
        <f>+IF((PROVEEDORES[[#This Row],[FECHA DE PAGO]]-PROVEEDORES[[#This Row],[FECHA DE FACTURACIÓN]])&gt;PROVEEDORES[[#This Row],[PLAZO Días]],"PAGO VENCIDO")</f>
        <v>PAGO VENCIDO</v>
      </c>
      <c r="C687" s="20">
        <f>+VLOOKUP(PROVEEDORES[[#This Row],[PROVEEDOR]],TERCEROS_INFO[#All],2,FALSE)</f>
        <v>45</v>
      </c>
      <c r="D687" s="25">
        <f>+SUMIFS(PROVEEDORES[Total],PROVEEDORES[PROVEEDOR],PROVEEDORES[[#This Row],[PROVEEDOR]],PROVEEDORES[FECHA DE PAGO],"")</f>
        <v>2604910</v>
      </c>
      <c r="E687" s="25"/>
      <c r="F68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87" s="161">
        <v>44510</v>
      </c>
      <c r="H687" s="26" t="s">
        <v>10</v>
      </c>
      <c r="I687" s="161">
        <v>44438</v>
      </c>
      <c r="J687" s="35" t="s">
        <v>449</v>
      </c>
      <c r="K687" s="21">
        <v>400000</v>
      </c>
      <c r="L687" s="21"/>
      <c r="M687" s="22">
        <f>(PROVEEDORES[[#This Row],[SUBTOTAL]]-PROVEEDORES[[#This Row],[descuento sobre subtotal]])*VLOOKUP(PROVEEDORES[[#This Row],[PROVEEDOR]],TERCEROS_INFO[#All],3,FALSE)</f>
        <v>76000</v>
      </c>
      <c r="N687" s="23"/>
      <c r="O687" s="22">
        <f>+PROVEEDORES[[#This Row],[Descuento sobre subtotal %]]*(PROVEEDORES[[#This Row],[SUBTOTAL]]-PROVEEDORES[[#This Row],[descuento sobre subtotal]])</f>
        <v>0</v>
      </c>
      <c r="P687" s="83">
        <f>+IF(PROVEEDORES[[#This Row],[SUBTOTAL]]&lt;PROVEEDORES[[#This Row],[base retencion]],0,PROVEEDORES[[#This Row],[retención aplicada]])</f>
        <v>0</v>
      </c>
      <c r="Q687" s="22">
        <f>+PROVEEDORES[[#This Row],[Rete Fuente %]]*(PROVEEDORES[[#This Row],[SUBTOTAL]]-PROVEEDORES[[#This Row],[descuento sobre subtotal]])</f>
        <v>0</v>
      </c>
      <c r="R687" s="21">
        <f>+PROVEEDORES[[#This Row],[SUBTOTAL]]+PROVEEDORES[[#This Row],[IVA 19%]]-PROVEEDORES[[#This Row],[descuento sobre subtotal]]-PROVEEDORES[[#This Row],[Descuento sobre subtotal $2]]-PROVEEDORES[[#This Row],[Rete Fuente $]]</f>
        <v>476000</v>
      </c>
      <c r="S6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68">
        <f ca="1">IF(PROVEEDORES[[#This Row],[FECHA DE PAGO]]=0,TODAY()-PROVEEDORES[[#This Row],[FECHA DE FACTURACIÓN]]-PROVEEDORES[[#This Row],[PLAZO Días]],0)</f>
        <v>0</v>
      </c>
      <c r="U687" s="96">
        <f>+VLOOKUP(PROVEEDORES[[#This Row],[PROVEEDOR]],Terceros!$A:$D,4,FALSE)</f>
        <v>0</v>
      </c>
      <c r="V687" s="97">
        <f>+YEAR(PROVEEDORES[[#This Row],[FECHA DE FACTURACIÓN]])</f>
        <v>2021</v>
      </c>
      <c r="W687" s="97">
        <f>+MATCH(PROVEEDORES[[#This Row],[año facturado]],Retenciones!$1:$1,0)</f>
        <v>4</v>
      </c>
      <c r="X687" s="98">
        <f>+VLOOKUP(PROVEEDORES[[#This Row],[ID RETENCION]],Retenciones!$A$1:$O$25,PROVEEDORES[[#This Row],[indicador de columna]],FALSE)</f>
        <v>0</v>
      </c>
      <c r="Y687" s="99">
        <f>+VLOOKUP(PROVEEDORES[[#This Row],[ID RETENCION]],Retenciones!$A$1:$O$25,2,FALSE)</f>
        <v>0</v>
      </c>
      <c r="Z687" s="125" t="b">
        <f>OR(COUNTIF(PROVEEDORES[[#This Row],[PROVEEDOR]],"*"&amp;'Palabra no opera'!$A$2&amp;"*"))</f>
        <v>0</v>
      </c>
      <c r="AA687" s="24"/>
      <c r="AB687" s="24"/>
      <c r="AC687" s="24"/>
      <c r="AD687" s="24"/>
      <c r="AE687" s="24"/>
    </row>
    <row r="688" spans="1:31" ht="22.2" customHeight="1" x14ac:dyDescent="0.3">
      <c r="A688" s="66" t="str">
        <f>+IF(PROVEEDORES[[#This Row],[FECHA DE PAGO]]=PROVEEDORES[[#This Row],[FECHA DE FACTURACIÓN]],"DE CONTADO","CRÉDITO")</f>
        <v>CRÉDITO</v>
      </c>
      <c r="B688" s="38" t="str">
        <f>+IF((PROVEEDORES[[#This Row],[FECHA DE PAGO]]-PROVEEDORES[[#This Row],[FECHA DE FACTURACIÓN]])&gt;PROVEEDORES[[#This Row],[PLAZO Días]],"PAGO VENCIDO")</f>
        <v>PAGO VENCIDO</v>
      </c>
      <c r="C688" s="20">
        <f>+VLOOKUP(PROVEEDORES[[#This Row],[PROVEEDOR]],TERCEROS_INFO[#All],2,FALSE)</f>
        <v>30</v>
      </c>
      <c r="D688" s="25">
        <f>+SUMIFS(PROVEEDORES[Total],PROVEEDORES[PROVEEDOR],PROVEEDORES[[#This Row],[PROVEEDOR]],PROVEEDORES[FECHA DE PAGO],"")</f>
        <v>4712021.58</v>
      </c>
      <c r="E688" s="25"/>
      <c r="F68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88" s="161">
        <v>44426</v>
      </c>
      <c r="H688" s="26" t="s">
        <v>17</v>
      </c>
      <c r="I688" s="161">
        <v>44384</v>
      </c>
      <c r="J688" s="35">
        <v>1784491</v>
      </c>
      <c r="K688" s="21">
        <v>401000</v>
      </c>
      <c r="L688" s="21"/>
      <c r="M688" s="22">
        <f>(PROVEEDORES[[#This Row],[SUBTOTAL]]-PROVEEDORES[[#This Row],[descuento sobre subtotal]])*VLOOKUP(PROVEEDORES[[#This Row],[PROVEEDOR]],TERCEROS_INFO[#All],3,FALSE)</f>
        <v>76190</v>
      </c>
      <c r="N688" s="23"/>
      <c r="O688" s="22">
        <f>+PROVEEDORES[[#This Row],[Descuento sobre subtotal %]]*(PROVEEDORES[[#This Row],[SUBTOTAL]]-PROVEEDORES[[#This Row],[descuento sobre subtotal]])</f>
        <v>0</v>
      </c>
      <c r="P688" s="83">
        <f>+IF(PROVEEDORES[[#This Row],[SUBTOTAL]]&lt;PROVEEDORES[[#This Row],[base retencion]],0,PROVEEDORES[[#This Row],[retención aplicada]])</f>
        <v>0</v>
      </c>
      <c r="Q688" s="22">
        <f>+PROVEEDORES[[#This Row],[Rete Fuente %]]*(PROVEEDORES[[#This Row],[SUBTOTAL]]-PROVEEDORES[[#This Row],[descuento sobre subtotal]])</f>
        <v>0</v>
      </c>
      <c r="R688" s="21">
        <f>+PROVEEDORES[[#This Row],[SUBTOTAL]]+PROVEEDORES[[#This Row],[IVA 19%]]-PROVEEDORES[[#This Row],[descuento sobre subtotal]]-PROVEEDORES[[#This Row],[Descuento sobre subtotal $2]]-PROVEEDORES[[#This Row],[Rete Fuente $]]</f>
        <v>477190</v>
      </c>
      <c r="S6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68">
        <f ca="1">IF(PROVEEDORES[[#This Row],[FECHA DE PAGO]]=0,TODAY()-PROVEEDORES[[#This Row],[FECHA DE FACTURACIÓN]]-PROVEEDORES[[#This Row],[PLAZO Días]],0)</f>
        <v>0</v>
      </c>
      <c r="U688" s="96">
        <f>+VLOOKUP(PROVEEDORES[[#This Row],[PROVEEDOR]],Terceros!$A:$D,4,FALSE)</f>
        <v>0</v>
      </c>
      <c r="V688" s="97">
        <f>+YEAR(PROVEEDORES[[#This Row],[FECHA DE FACTURACIÓN]])</f>
        <v>2021</v>
      </c>
      <c r="W688" s="97">
        <f>+MATCH(PROVEEDORES[[#This Row],[año facturado]],Retenciones!$1:$1,0)</f>
        <v>4</v>
      </c>
      <c r="X688" s="98">
        <f>+VLOOKUP(PROVEEDORES[[#This Row],[ID RETENCION]],Retenciones!$A$1:$O$25,PROVEEDORES[[#This Row],[indicador de columna]],FALSE)</f>
        <v>0</v>
      </c>
      <c r="Y688" s="99">
        <f>+VLOOKUP(PROVEEDORES[[#This Row],[ID RETENCION]],Retenciones!$A$1:$O$25,2,FALSE)</f>
        <v>0</v>
      </c>
      <c r="Z688" s="125" t="b">
        <f>OR(COUNTIF(PROVEEDORES[[#This Row],[PROVEEDOR]],"*"&amp;'Palabra no opera'!$A$2&amp;"*"))</f>
        <v>0</v>
      </c>
      <c r="AA688" s="24"/>
      <c r="AB688" s="24"/>
      <c r="AC688" s="24"/>
      <c r="AD688" s="24"/>
      <c r="AE688" s="24"/>
    </row>
    <row r="689" spans="1:31" ht="22.2" customHeight="1" x14ac:dyDescent="0.3">
      <c r="A689" s="66" t="str">
        <f>+IF(PROVEEDORES[[#This Row],[FECHA DE PAGO]]=PROVEEDORES[[#This Row],[FECHA DE FACTURACIÓN]],"DE CONTADO","CRÉDITO")</f>
        <v>CRÉDITO</v>
      </c>
      <c r="B689" s="38" t="str">
        <f>+IF((PROVEEDORES[[#This Row],[FECHA DE PAGO]]-PROVEEDORES[[#This Row],[FECHA DE FACTURACIÓN]])&gt;PROVEEDORES[[#This Row],[PLAZO Días]],"PAGO VENCIDO")</f>
        <v>PAGO VENCIDO</v>
      </c>
      <c r="C689" s="20">
        <f>+VLOOKUP(PROVEEDORES[[#This Row],[PROVEEDOR]],TERCEROS_INFO[#All],2,FALSE)</f>
        <v>30</v>
      </c>
      <c r="D689" s="25">
        <f>+SUMIFS(PROVEEDORES[Total],PROVEEDORES[PROVEEDOR],PROVEEDORES[[#This Row],[PROVEEDOR]],PROVEEDORES[FECHA DE PAGO],"")</f>
        <v>0</v>
      </c>
      <c r="E689" s="25"/>
      <c r="F689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689" s="161">
        <v>44442</v>
      </c>
      <c r="H689" s="26" t="s">
        <v>131</v>
      </c>
      <c r="I689" s="161">
        <v>44404</v>
      </c>
      <c r="J689" s="35">
        <v>37</v>
      </c>
      <c r="K689" s="21">
        <v>504000</v>
      </c>
      <c r="L689" s="21">
        <v>100800</v>
      </c>
      <c r="M689" s="22">
        <f>(PROVEEDORES[[#This Row],[SUBTOTAL]]-PROVEEDORES[[#This Row],[descuento sobre subtotal]])*VLOOKUP(PROVEEDORES[[#This Row],[PROVEEDOR]],TERCEROS_INFO[#All],3,FALSE)</f>
        <v>76608</v>
      </c>
      <c r="N689" s="23"/>
      <c r="O689" s="22">
        <f>+PROVEEDORES[[#This Row],[Descuento sobre subtotal %]]*(PROVEEDORES[[#This Row],[SUBTOTAL]]-PROVEEDORES[[#This Row],[descuento sobre subtotal]])</f>
        <v>0</v>
      </c>
      <c r="P689" s="83">
        <f>+IF(PROVEEDORES[[#This Row],[SUBTOTAL]]&lt;PROVEEDORES[[#This Row],[base retencion]],0,PROVEEDORES[[#This Row],[retención aplicada]])</f>
        <v>0</v>
      </c>
      <c r="Q689" s="22">
        <f>+PROVEEDORES[[#This Row],[Rete Fuente %]]*(PROVEEDORES[[#This Row],[SUBTOTAL]]-PROVEEDORES[[#This Row],[descuento sobre subtotal]])</f>
        <v>0</v>
      </c>
      <c r="R689" s="21">
        <f>+PROVEEDORES[[#This Row],[SUBTOTAL]]+PROVEEDORES[[#This Row],[IVA 19%]]-PROVEEDORES[[#This Row],[descuento sobre subtotal]]-PROVEEDORES[[#This Row],[Descuento sobre subtotal $2]]-PROVEEDORES[[#This Row],[Rete Fuente $]]</f>
        <v>479808</v>
      </c>
      <c r="S6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68">
        <f ca="1">IF(PROVEEDORES[[#This Row],[FECHA DE PAGO]]=0,TODAY()-PROVEEDORES[[#This Row],[FECHA DE FACTURACIÓN]]-PROVEEDORES[[#This Row],[PLAZO Días]],0)</f>
        <v>0</v>
      </c>
      <c r="U689" s="96" t="str">
        <f>+VLOOKUP(PROVEEDORES[[#This Row],[PROVEEDOR]],Terceros!$A:$D,4,FALSE)</f>
        <v>2,5% con base</v>
      </c>
      <c r="V689" s="97">
        <f>+YEAR(PROVEEDORES[[#This Row],[FECHA DE FACTURACIÓN]])</f>
        <v>2021</v>
      </c>
      <c r="W689" s="97">
        <f>+MATCH(PROVEEDORES[[#This Row],[año facturado]],Retenciones!$1:$1,0)</f>
        <v>4</v>
      </c>
      <c r="X689" s="98">
        <f>+VLOOKUP(PROVEEDORES[[#This Row],[ID RETENCION]],Retenciones!$A$1:$O$25,PROVEEDORES[[#This Row],[indicador de columna]],FALSE)</f>
        <v>980000</v>
      </c>
      <c r="Y689" s="99">
        <f>+VLOOKUP(PROVEEDORES[[#This Row],[ID RETENCION]],Retenciones!$A$1:$O$25,2,FALSE)</f>
        <v>2.5000000000000001E-2</v>
      </c>
      <c r="Z689" s="125" t="b">
        <f>OR(COUNTIF(PROVEEDORES[[#This Row],[PROVEEDOR]],"*"&amp;'Palabra no opera'!$A$2&amp;"*"))</f>
        <v>0</v>
      </c>
      <c r="AA689" s="24"/>
      <c r="AB689" s="24"/>
      <c r="AC689" s="24"/>
      <c r="AD689" s="24"/>
      <c r="AE689" s="24"/>
    </row>
    <row r="690" spans="1:31" ht="22.2" customHeight="1" x14ac:dyDescent="0.3">
      <c r="A690" s="66" t="str">
        <f>+IF(PROVEEDORES[[#This Row],[FECHA DE PAGO]]=PROVEEDORES[[#This Row],[FECHA DE FACTURACIÓN]],"DE CONTADO","CRÉDITO")</f>
        <v>DE CONTADO</v>
      </c>
      <c r="B690" s="38" t="b">
        <f>+IF((PROVEEDORES[[#This Row],[FECHA DE PAGO]]-PROVEEDORES[[#This Row],[FECHA DE FACTURACIÓN]])&gt;PROVEEDORES[[#This Row],[PLAZO Días]],"PAGO VENCIDO")</f>
        <v>0</v>
      </c>
      <c r="C690" s="20">
        <f>+VLOOKUP(PROVEEDORES[[#This Row],[PROVEEDOR]],TERCEROS_INFO[#All],2,FALSE)</f>
        <v>30</v>
      </c>
      <c r="D690" s="25">
        <f>+SUMIFS(PROVEEDORES[Total],PROVEEDORES[PROVEEDOR],PROVEEDORES[[#This Row],[PROVEEDOR]],PROVEEDORES[FECHA DE PAGO],"")</f>
        <v>0</v>
      </c>
      <c r="E690" s="25"/>
      <c r="F690" s="58" t="str">
        <f>+VLOOKUP(PROVEEDORES[[#This Row],[PROVEEDOR]],
                       Terceros!$A:$F,
                       5,
                       FALSE)</f>
        <v/>
      </c>
      <c r="G690" s="161">
        <v>44460</v>
      </c>
      <c r="H690" s="26" t="s">
        <v>644</v>
      </c>
      <c r="I690" s="161">
        <v>44460</v>
      </c>
      <c r="J690" s="35" t="s">
        <v>1310</v>
      </c>
      <c r="K690" s="21">
        <v>480000</v>
      </c>
      <c r="L690" s="21"/>
      <c r="M690" s="22">
        <f>(PROVEEDORES[[#This Row],[SUBTOTAL]]-PROVEEDORES[[#This Row],[descuento sobre subtotal]])*VLOOKUP(PROVEEDORES[[#This Row],[PROVEEDOR]],TERCEROS_INFO[#All],3,FALSE)</f>
        <v>0</v>
      </c>
      <c r="N690" s="23"/>
      <c r="O690" s="22">
        <f>+PROVEEDORES[[#This Row],[Descuento sobre subtotal %]]*(PROVEEDORES[[#This Row],[SUBTOTAL]]-PROVEEDORES[[#This Row],[descuento sobre subtotal]])</f>
        <v>0</v>
      </c>
      <c r="P690" s="83">
        <f>+IF(PROVEEDORES[[#This Row],[SUBTOTAL]]&lt;PROVEEDORES[[#This Row],[base retencion]],0,PROVEEDORES[[#This Row],[retención aplicada]])</f>
        <v>0</v>
      </c>
      <c r="Q690" s="22">
        <f>+PROVEEDORES[[#This Row],[Rete Fuente %]]*(PROVEEDORES[[#This Row],[SUBTOTAL]]-PROVEEDORES[[#This Row],[descuento sobre subtotal]])</f>
        <v>0</v>
      </c>
      <c r="R690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6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68">
        <f ca="1">IF(PROVEEDORES[[#This Row],[FECHA DE PAGO]]=0,TODAY()-PROVEEDORES[[#This Row],[FECHA DE FACTURACIÓN]]-PROVEEDORES[[#This Row],[PLAZO Días]],0)</f>
        <v>0</v>
      </c>
      <c r="U690" s="96">
        <f>+VLOOKUP(PROVEEDORES[[#This Row],[PROVEEDOR]],Terceros!$A:$D,4,FALSE)</f>
        <v>0</v>
      </c>
      <c r="V690" s="97">
        <f>+YEAR(PROVEEDORES[[#This Row],[FECHA DE FACTURACIÓN]])</f>
        <v>2021</v>
      </c>
      <c r="W690" s="97">
        <f>+MATCH(PROVEEDORES[[#This Row],[año facturado]],Retenciones!$1:$1,0)</f>
        <v>4</v>
      </c>
      <c r="X690" s="98">
        <f>+VLOOKUP(PROVEEDORES[[#This Row],[ID RETENCION]],Retenciones!$A$1:$O$25,PROVEEDORES[[#This Row],[indicador de columna]],FALSE)</f>
        <v>0</v>
      </c>
      <c r="Y690" s="99">
        <f>+VLOOKUP(PROVEEDORES[[#This Row],[ID RETENCION]],Retenciones!$A$1:$O$25,2,FALSE)</f>
        <v>0</v>
      </c>
      <c r="Z690" s="125" t="b">
        <f>OR(COUNTIF(PROVEEDORES[[#This Row],[PROVEEDOR]],"*"&amp;'Palabra no opera'!$A$2&amp;"*"))</f>
        <v>0</v>
      </c>
      <c r="AA690" s="24"/>
      <c r="AB690" s="24"/>
      <c r="AC690" s="24"/>
      <c r="AD690" s="24"/>
      <c r="AE690" s="24"/>
    </row>
    <row r="691" spans="1:31" ht="22.2" customHeight="1" x14ac:dyDescent="0.3">
      <c r="A691" s="72" t="str">
        <f>+IF(PROVEEDORES[[#This Row],[FECHA DE PAGO]]=PROVEEDORES[[#This Row],[FECHA DE FACTURACIÓN]],"DE CONTADO","CRÉDITO")</f>
        <v>CRÉDITO</v>
      </c>
      <c r="B691" s="38" t="b">
        <f>+IF((PROVEEDORES[[#This Row],[FECHA DE PAGO]]-PROVEEDORES[[#This Row],[FECHA DE FACTURACIÓN]])&gt;PROVEEDORES[[#This Row],[PLAZO Días]],"PAGO VENCIDO")</f>
        <v>0</v>
      </c>
      <c r="C691" s="20">
        <f>+VLOOKUP(PROVEEDORES[[#This Row],[PROVEEDOR]],TERCEROS_INFO[#All],2,FALSE)</f>
        <v>30</v>
      </c>
      <c r="D691" s="25">
        <f>+SUMIFS(PROVEEDORES[Total],PROVEEDORES[PROVEEDOR],PROVEEDORES[[#This Row],[PROVEEDOR]],PROVEEDORES[FECHA DE PAGO],"")</f>
        <v>0</v>
      </c>
      <c r="E691" s="25"/>
      <c r="F691" s="58" t="str">
        <f>+VLOOKUP(PROVEEDORES[[#This Row],[PROVEEDOR]],
                       Terceros!$A:$F,
                       5,
                       FALSE)</f>
        <v/>
      </c>
      <c r="G691" s="161">
        <v>44776</v>
      </c>
      <c r="H691" s="26" t="s">
        <v>680</v>
      </c>
      <c r="I691" s="161">
        <v>44769</v>
      </c>
      <c r="J691" s="35"/>
      <c r="K691" s="21">
        <v>480000</v>
      </c>
      <c r="L691" s="21"/>
      <c r="M691" s="22">
        <f>(PROVEEDORES[[#This Row],[SUBTOTAL]]-PROVEEDORES[[#This Row],[descuento sobre subtotal]])*VLOOKUP(PROVEEDORES[[#This Row],[PROVEEDOR]],TERCEROS_INFO[#All],3,FALSE)</f>
        <v>0</v>
      </c>
      <c r="N691" s="23"/>
      <c r="O691" s="22">
        <f>+PROVEEDORES[[#This Row],[Descuento sobre subtotal %]]*(PROVEEDORES[[#This Row],[SUBTOTAL]]-PROVEEDORES[[#This Row],[descuento sobre subtotal]])</f>
        <v>0</v>
      </c>
      <c r="P691" s="83">
        <f>+IF(PROVEEDORES[[#This Row],[SUBTOTAL]]&lt;PROVEEDORES[[#This Row],[base retencion]],0,PROVEEDORES[[#This Row],[retención aplicada]])</f>
        <v>0</v>
      </c>
      <c r="Q691" s="22">
        <f>+PROVEEDORES[[#This Row],[Rete Fuente %]]*(PROVEEDORES[[#This Row],[SUBTOTAL]]-PROVEEDORES[[#This Row],[descuento sobre subtotal]])</f>
        <v>0</v>
      </c>
      <c r="R691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69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68">
        <f ca="1">IF(PROVEEDORES[[#This Row],[FECHA DE PAGO]]=0,TODAY()-PROVEEDORES[[#This Row],[FECHA DE FACTURACIÓN]]-PROVEEDORES[[#This Row],[PLAZO Días]],0)</f>
        <v>0</v>
      </c>
      <c r="U691" s="113">
        <f>+VLOOKUP(PROVEEDORES[[#This Row],[PROVEEDOR]],Terceros!$A:$D,4,FALSE)</f>
        <v>0</v>
      </c>
      <c r="V691" s="114">
        <f>+YEAR(PROVEEDORES[[#This Row],[FECHA DE FACTURACIÓN]])</f>
        <v>2022</v>
      </c>
      <c r="W691" s="114">
        <f>+MATCH(PROVEEDORES[[#This Row],[año facturado]],Retenciones!$1:$1,0)</f>
        <v>5</v>
      </c>
      <c r="X691" s="115">
        <f>+VLOOKUP(PROVEEDORES[[#This Row],[ID RETENCION]],Retenciones!$A$1:$O$25,PROVEEDORES[[#This Row],[indicador de columna]],FALSE)</f>
        <v>0</v>
      </c>
      <c r="Y691" s="116">
        <f>+VLOOKUP(PROVEEDORES[[#This Row],[ID RETENCION]],Retenciones!$A$1:$O$25,2,FALSE)</f>
        <v>0</v>
      </c>
      <c r="Z691" s="125" t="b">
        <f>OR(COUNTIF(PROVEEDORES[[#This Row],[PROVEEDOR]],"*"&amp;'Palabra no opera'!$A$2&amp;"*"))</f>
        <v>0</v>
      </c>
      <c r="AA691" s="24"/>
      <c r="AB691" s="24"/>
      <c r="AC691" s="24"/>
      <c r="AD691" s="24"/>
      <c r="AE691" s="24"/>
    </row>
    <row r="692" spans="1:31" ht="22.2" customHeight="1" x14ac:dyDescent="0.3">
      <c r="A692" s="195" t="str">
        <f>+IF(PROVEEDORES[[#This Row],[FECHA DE PAGO]]=PROVEEDORES[[#This Row],[FECHA DE FACTURACIÓN]],"DE CONTADO","CRÉDITO")</f>
        <v>CRÉDITO</v>
      </c>
      <c r="B692" s="38" t="b">
        <f>+IF((PROVEEDORES[[#This Row],[FECHA DE PAGO]]-PROVEEDORES[[#This Row],[FECHA DE FACTURACIÓN]])&gt;PROVEEDORES[[#This Row],[PLAZO Días]],"PAGO VENCIDO")</f>
        <v>0</v>
      </c>
      <c r="C692" s="20">
        <f>+VLOOKUP(PROVEEDORES[[#This Row],[PROVEEDOR]],TERCEROS_INFO[#All],2,FALSE)</f>
        <v>30</v>
      </c>
      <c r="D692" s="25">
        <f>+SUMIFS(PROVEEDORES[Total],PROVEEDORES[PROVEEDOR],PROVEEDORES[[#This Row],[PROVEEDOR]],PROVEEDORES[FECHA DE PAGO],"")</f>
        <v>0</v>
      </c>
      <c r="E692" s="25"/>
      <c r="F692" s="58" t="str">
        <f>+VLOOKUP(PROVEEDORES[[#This Row],[PROVEEDOR]],
                       Terceros!$A:$F,
                       5,
                       FALSE)</f>
        <v/>
      </c>
      <c r="G692" s="161">
        <v>44790</v>
      </c>
      <c r="H692" s="26" t="s">
        <v>680</v>
      </c>
      <c r="I692" s="161">
        <v>44776</v>
      </c>
      <c r="J692" s="35"/>
      <c r="K692" s="21">
        <v>480000</v>
      </c>
      <c r="L692" s="21"/>
      <c r="M692" s="22">
        <f>(PROVEEDORES[[#This Row],[SUBTOTAL]]-PROVEEDORES[[#This Row],[descuento sobre subtotal]])*VLOOKUP(PROVEEDORES[[#This Row],[PROVEEDOR]],TERCEROS_INFO[#All],3,FALSE)</f>
        <v>0</v>
      </c>
      <c r="N692" s="23"/>
      <c r="O692" s="22">
        <f>+PROVEEDORES[[#This Row],[Descuento sobre subtotal %]]*(PROVEEDORES[[#This Row],[SUBTOTAL]]-PROVEEDORES[[#This Row],[descuento sobre subtotal]])</f>
        <v>0</v>
      </c>
      <c r="P692" s="83">
        <f>+IF(PROVEEDORES[[#This Row],[SUBTOTAL]]&lt;PROVEEDORES[[#This Row],[base retencion]],0,PROVEEDORES[[#This Row],[retención aplicada]])</f>
        <v>0</v>
      </c>
      <c r="Q692" s="22">
        <f>+PROVEEDORES[[#This Row],[Rete Fuente %]]*(PROVEEDORES[[#This Row],[SUBTOTAL]]-PROVEEDORES[[#This Row],[descuento sobre subtotal]])</f>
        <v>0</v>
      </c>
      <c r="R692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692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68">
        <f ca="1">IF(PROVEEDORES[[#This Row],[FECHA DE PAGO]]=0,TODAY()-PROVEEDORES[[#This Row],[FECHA DE FACTURACIÓN]]-PROVEEDORES[[#This Row],[PLAZO Días]],0)</f>
        <v>0</v>
      </c>
      <c r="U692" s="113">
        <f>+VLOOKUP(PROVEEDORES[[#This Row],[PROVEEDOR]],Terceros!$A:$D,4,FALSE)</f>
        <v>0</v>
      </c>
      <c r="V692" s="114">
        <f>+YEAR(PROVEEDORES[[#This Row],[FECHA DE FACTURACIÓN]])</f>
        <v>2022</v>
      </c>
      <c r="W692" s="114">
        <f>+MATCH(PROVEEDORES[[#This Row],[año facturado]],Retenciones!$1:$1,0)</f>
        <v>5</v>
      </c>
      <c r="X692" s="115">
        <f>+VLOOKUP(PROVEEDORES[[#This Row],[ID RETENCION]],Retenciones!$A$1:$O$25,PROVEEDORES[[#This Row],[indicador de columna]],FALSE)</f>
        <v>0</v>
      </c>
      <c r="Y692" s="116">
        <f>+VLOOKUP(PROVEEDORES[[#This Row],[ID RETENCION]],Retenciones!$A$1:$O$25,2,FALSE)</f>
        <v>0</v>
      </c>
      <c r="Z692" s="125" t="b">
        <f>OR(COUNTIF(PROVEEDORES[[#This Row],[PROVEEDOR]],"*"&amp;'Palabra no opera'!$A$2&amp;"*"))</f>
        <v>0</v>
      </c>
      <c r="AA692" s="24"/>
      <c r="AB692" s="24"/>
      <c r="AC692" s="24"/>
      <c r="AD692" s="24"/>
      <c r="AE692" s="24"/>
    </row>
    <row r="693" spans="1:31" ht="22.2" customHeight="1" x14ac:dyDescent="0.3">
      <c r="A693" s="257" t="str">
        <f>+IF(PROVEEDORES[[#This Row],[FECHA DE PAGO]]=PROVEEDORES[[#This Row],[FECHA DE FACTURACIÓN]],"DE CONTADO","CRÉDITO")</f>
        <v>DE CONTADO</v>
      </c>
      <c r="B693" s="38" t="b">
        <f>+IF((PROVEEDORES[[#This Row],[FECHA DE PAGO]]-PROVEEDORES[[#This Row],[FECHA DE FACTURACIÓN]])&gt;PROVEEDORES[[#This Row],[PLAZO Días]],"PAGO VENCIDO")</f>
        <v>0</v>
      </c>
      <c r="C693" s="20">
        <f>+VLOOKUP(PROVEEDORES[[#This Row],[PROVEEDOR]],TERCEROS_INFO[#All],2,FALSE)</f>
        <v>30</v>
      </c>
      <c r="D693" s="25">
        <f>+SUMIFS(PROVEEDORES[Total],PROVEEDORES[PROVEEDOR],PROVEEDORES[[#This Row],[PROVEEDOR]],PROVEEDORES[FECHA DE PAGO],"")</f>
        <v>1957800</v>
      </c>
      <c r="E693" s="25"/>
      <c r="F693" s="58">
        <f>+VLOOKUP(PROVEEDORES[[#This Row],[PROVEEDOR]],
                       Terceros!$A:$F,
                       5,
                       FALSE)</f>
        <v>0</v>
      </c>
      <c r="G693" s="161">
        <v>44833</v>
      </c>
      <c r="H693" s="26" t="s">
        <v>1725</v>
      </c>
      <c r="I693" s="161">
        <v>44833</v>
      </c>
      <c r="J693" s="35" t="s">
        <v>1730</v>
      </c>
      <c r="K693" s="21">
        <v>481000</v>
      </c>
      <c r="L693" s="21"/>
      <c r="M693" s="22">
        <f>(PROVEEDORES[[#This Row],[SUBTOTAL]]-PROVEEDORES[[#This Row],[descuento sobre subtotal]])*VLOOKUP(PROVEEDORES[[#This Row],[PROVEEDOR]],TERCEROS_INFO[#All],3,FALSE)</f>
        <v>0</v>
      </c>
      <c r="N693" s="23"/>
      <c r="O693" s="22">
        <f>+PROVEEDORES[[#This Row],[Descuento sobre subtotal %]]*(PROVEEDORES[[#This Row],[SUBTOTAL]]-PROVEEDORES[[#This Row],[descuento sobre subtotal]])</f>
        <v>0</v>
      </c>
      <c r="P693" s="83">
        <f>+IF(PROVEEDORES[[#This Row],[SUBTOTAL]]&lt;PROVEEDORES[[#This Row],[base retencion]],0,PROVEEDORES[[#This Row],[retención aplicada]])</f>
        <v>0</v>
      </c>
      <c r="Q693" s="22">
        <f>+PROVEEDORES[[#This Row],[Rete Fuente %]]*(PROVEEDORES[[#This Row],[SUBTOTAL]]-PROVEEDORES[[#This Row],[descuento sobre subtotal]])</f>
        <v>0</v>
      </c>
      <c r="R693" s="21">
        <f>+PROVEEDORES[[#This Row],[SUBTOTAL]]+PROVEEDORES[[#This Row],[IVA 19%]]-PROVEEDORES[[#This Row],[descuento sobre subtotal]]-PROVEEDORES[[#This Row],[Descuento sobre subtotal $2]]-PROVEEDORES[[#This Row],[Rete Fuente $]]</f>
        <v>481000</v>
      </c>
      <c r="S693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68">
        <f ca="1">IF(PROVEEDORES[[#This Row],[FECHA DE PAGO]]=0,TODAY()-PROVEEDORES[[#This Row],[FECHA DE FACTURACIÓN]]-PROVEEDORES[[#This Row],[PLAZO Días]],0)</f>
        <v>0</v>
      </c>
      <c r="U693" s="113">
        <f>+VLOOKUP(PROVEEDORES[[#This Row],[PROVEEDOR]],Terceros!$A:$D,4,FALSE)</f>
        <v>0</v>
      </c>
      <c r="V693" s="114">
        <f>+YEAR(PROVEEDORES[[#This Row],[FECHA DE FACTURACIÓN]])</f>
        <v>2022</v>
      </c>
      <c r="W693" s="114">
        <f>+MATCH(PROVEEDORES[[#This Row],[año facturado]],Retenciones!$1:$1,0)</f>
        <v>5</v>
      </c>
      <c r="X693" s="115">
        <f>+VLOOKUP(PROVEEDORES[[#This Row],[ID RETENCION]],Retenciones!$A$1:$O$25,PROVEEDORES[[#This Row],[indicador de columna]],FALSE)</f>
        <v>0</v>
      </c>
      <c r="Y693" s="116">
        <f>+VLOOKUP(PROVEEDORES[[#This Row],[ID RETENCION]],Retenciones!$A$1:$O$25,2,FALSE)</f>
        <v>0</v>
      </c>
      <c r="Z693" s="125" t="b">
        <f>OR(COUNTIF(PROVEEDORES[[#This Row],[PROVEEDOR]],"*"&amp;'Palabra no opera'!$A$2&amp;"*"))</f>
        <v>0</v>
      </c>
      <c r="AA693" s="24"/>
      <c r="AB693" s="24"/>
      <c r="AC693" s="24"/>
      <c r="AD693" s="24"/>
      <c r="AE693" s="24"/>
    </row>
    <row r="694" spans="1:31" ht="22.2" customHeight="1" x14ac:dyDescent="0.3">
      <c r="A694" s="66" t="str">
        <f>+IF(PROVEEDORES[[#This Row],[FECHA DE PAGO]]=PROVEEDORES[[#This Row],[FECHA DE FACTURACIÓN]],"DE CONTADO","CRÉDITO")</f>
        <v>CRÉDITO</v>
      </c>
      <c r="B694" s="38" t="b">
        <f>+IF((PROVEEDORES[[#This Row],[FECHA DE PAGO]]-PROVEEDORES[[#This Row],[FECHA DE FACTURACIÓN]])&gt;PROVEEDORES[[#This Row],[PLAZO Días]],"PAGO VENCIDO")</f>
        <v>0</v>
      </c>
      <c r="C694" s="20">
        <f>+VLOOKUP(PROVEEDORES[[#This Row],[PROVEEDOR]],TERCEROS_INFO[#All],2,FALSE)</f>
        <v>10</v>
      </c>
      <c r="D694" s="25">
        <f>+SUMIFS(PROVEEDORES[Total],PROVEEDORES[PROVEEDOR],PROVEEDORES[[#This Row],[PROVEEDOR]],PROVEEDORES[FECHA DE PAGO],"")</f>
        <v>0</v>
      </c>
      <c r="E694" s="25"/>
      <c r="F694" s="58" t="str">
        <f>+VLOOKUP(PROVEEDORES[[#This Row],[PROVEEDOR]],
                       Terceros!$A:$F,
                       5,
                       FALSE)</f>
        <v>juanzuluaga@ducon.com.co;girlesa.ruiz@servipilas.com;joriescobar64@gmail.com</v>
      </c>
      <c r="G694" s="161">
        <v>44460</v>
      </c>
      <c r="H694" s="26" t="s">
        <v>916</v>
      </c>
      <c r="I694" s="161">
        <v>44455</v>
      </c>
      <c r="J694" s="35">
        <v>18203</v>
      </c>
      <c r="K694" s="21">
        <v>405000</v>
      </c>
      <c r="L694" s="21"/>
      <c r="M694" s="22">
        <f>(PROVEEDORES[[#This Row],[SUBTOTAL]]-PROVEEDORES[[#This Row],[descuento sobre subtotal]])*VLOOKUP(PROVEEDORES[[#This Row],[PROVEEDOR]],TERCEROS_INFO[#All],3,FALSE)</f>
        <v>76950</v>
      </c>
      <c r="N694" s="23"/>
      <c r="O694" s="22">
        <f>+PROVEEDORES[[#This Row],[Descuento sobre subtotal %]]*(PROVEEDORES[[#This Row],[SUBTOTAL]]-PROVEEDORES[[#This Row],[descuento sobre subtotal]])</f>
        <v>0</v>
      </c>
      <c r="P694" s="83">
        <f>+IF(PROVEEDORES[[#This Row],[SUBTOTAL]]&lt;PROVEEDORES[[#This Row],[base retencion]],0,PROVEEDORES[[#This Row],[retención aplicada]])</f>
        <v>0</v>
      </c>
      <c r="Q694" s="22">
        <f>+PROVEEDORES[[#This Row],[Rete Fuente %]]*(PROVEEDORES[[#This Row],[SUBTOTAL]]-PROVEEDORES[[#This Row],[descuento sobre subtotal]])</f>
        <v>0</v>
      </c>
      <c r="R694" s="21">
        <f>+PROVEEDORES[[#This Row],[SUBTOTAL]]+PROVEEDORES[[#This Row],[IVA 19%]]-PROVEEDORES[[#This Row],[descuento sobre subtotal]]-PROVEEDORES[[#This Row],[Descuento sobre subtotal $2]]-PROVEEDORES[[#This Row],[Rete Fuente $]]</f>
        <v>481950</v>
      </c>
      <c r="S6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68">
        <f ca="1">IF(PROVEEDORES[[#This Row],[FECHA DE PAGO]]=0,TODAY()-PROVEEDORES[[#This Row],[FECHA DE FACTURACIÓN]]-PROVEEDORES[[#This Row],[PLAZO Días]],0)</f>
        <v>0</v>
      </c>
      <c r="U694" s="96" t="str">
        <f>+VLOOKUP(PROVEEDORES[[#This Row],[PROVEEDOR]],Terceros!$A:$D,4,FALSE)</f>
        <v>2,5% con base</v>
      </c>
      <c r="V694" s="97">
        <f>+YEAR(PROVEEDORES[[#This Row],[FECHA DE FACTURACIÓN]])</f>
        <v>2021</v>
      </c>
      <c r="W694" s="97">
        <f>+MATCH(PROVEEDORES[[#This Row],[año facturado]],Retenciones!$1:$1,0)</f>
        <v>4</v>
      </c>
      <c r="X694" s="98">
        <f>+VLOOKUP(PROVEEDORES[[#This Row],[ID RETENCION]],Retenciones!$A$1:$O$25,PROVEEDORES[[#This Row],[indicador de columna]],FALSE)</f>
        <v>980000</v>
      </c>
      <c r="Y694" s="99">
        <f>+VLOOKUP(PROVEEDORES[[#This Row],[ID RETENCION]],Retenciones!$A$1:$O$25,2,FALSE)</f>
        <v>2.5000000000000001E-2</v>
      </c>
      <c r="Z694" s="125" t="b">
        <f>OR(COUNTIF(PROVEEDORES[[#This Row],[PROVEEDOR]],"*"&amp;'Palabra no opera'!$A$2&amp;"*"))</f>
        <v>1</v>
      </c>
      <c r="AA694" s="24"/>
      <c r="AB694" s="24"/>
      <c r="AC694" s="24"/>
      <c r="AD694" s="24"/>
      <c r="AE694" s="24"/>
    </row>
    <row r="695" spans="1:31" ht="22.2" customHeight="1" x14ac:dyDescent="0.3">
      <c r="A695" s="66" t="str">
        <f>+IF(PROVEEDORES[[#This Row],[FECHA DE PAGO]]=PROVEEDORES[[#This Row],[FECHA DE FACTURACIÓN]],"DE CONTADO","CRÉDITO")</f>
        <v>CRÉDITO</v>
      </c>
      <c r="B695" s="38" t="b">
        <f>+IF((PROVEEDORES[[#This Row],[FECHA DE PAGO]]-PROVEEDORES[[#This Row],[FECHA DE FACTURACIÓN]])&gt;PROVEEDORES[[#This Row],[PLAZO Días]],"PAGO VENCIDO")</f>
        <v>0</v>
      </c>
      <c r="C695" s="20">
        <f>+VLOOKUP(PROVEEDORES[[#This Row],[PROVEEDOR]],TERCEROS_INFO[#All],2,FALSE)</f>
        <v>30</v>
      </c>
      <c r="D695" s="25">
        <f>+SUMIFS(PROVEEDORES[Total],PROVEEDORES[PROVEEDOR],PROVEEDORES[[#This Row],[PROVEEDOR]],PROVEEDORES[FECHA DE PAGO],"")</f>
        <v>0</v>
      </c>
      <c r="E695" s="25"/>
      <c r="F695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695" s="161">
        <v>44550</v>
      </c>
      <c r="H695" s="26" t="s">
        <v>930</v>
      </c>
      <c r="I695" s="161">
        <v>44544</v>
      </c>
      <c r="J695" s="35">
        <v>765</v>
      </c>
      <c r="K695" s="21">
        <v>500000</v>
      </c>
      <c r="L695" s="21"/>
      <c r="M695" s="22">
        <f>(PROVEEDORES[[#This Row],[SUBTOTAL]]-PROVEEDORES[[#This Row],[descuento sobre subtotal]])*VLOOKUP(PROVEEDORES[[#This Row],[PROVEEDOR]],TERCEROS_INFO[#All],3,FALSE)</f>
        <v>0</v>
      </c>
      <c r="N695" s="23"/>
      <c r="O695" s="22">
        <f>+PROVEEDORES[[#This Row],[Descuento sobre subtotal %]]*(PROVEEDORES[[#This Row],[SUBTOTAL]]-PROVEEDORES[[#This Row],[descuento sobre subtotal]])</f>
        <v>0</v>
      </c>
      <c r="P695" s="83">
        <f>+IF(PROVEEDORES[[#This Row],[SUBTOTAL]]&lt;PROVEEDORES[[#This Row],[base retencion]],0,PROVEEDORES[[#This Row],[retención aplicada]])</f>
        <v>3.5000000000000003E-2</v>
      </c>
      <c r="Q695" s="22">
        <f>+PROVEEDORES[[#This Row],[Rete Fuente %]]*(PROVEEDORES[[#This Row],[SUBTOTAL]]-PROVEEDORES[[#This Row],[descuento sobre subtotal]])</f>
        <v>17500</v>
      </c>
      <c r="R695" s="21">
        <f>+PROVEEDORES[[#This Row],[SUBTOTAL]]+PROVEEDORES[[#This Row],[IVA 19%]]-PROVEEDORES[[#This Row],[descuento sobre subtotal]]-PROVEEDORES[[#This Row],[Descuento sobre subtotal $2]]-PROVEEDORES[[#This Row],[Rete Fuente $]]</f>
        <v>482500</v>
      </c>
      <c r="S6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5" s="68">
        <f ca="1">IF(PROVEEDORES[[#This Row],[FECHA DE PAGO]]=0,TODAY()-PROVEEDORES[[#This Row],[FECHA DE FACTURACIÓN]]-PROVEEDORES[[#This Row],[PLAZO Días]],0)</f>
        <v>0</v>
      </c>
      <c r="U695" s="96" t="str">
        <f>+VLOOKUP(PROVEEDORES[[#This Row],[PROVEEDOR]],Terceros!$A:$D,4,FALSE)</f>
        <v>3,5% sin base</v>
      </c>
      <c r="V695" s="97">
        <f>+YEAR(PROVEEDORES[[#This Row],[FECHA DE FACTURACIÓN]])</f>
        <v>2021</v>
      </c>
      <c r="W695" s="97">
        <f>+MATCH(PROVEEDORES[[#This Row],[año facturado]],Retenciones!$1:$1,0)</f>
        <v>4</v>
      </c>
      <c r="X695" s="98">
        <f>+VLOOKUP(PROVEEDORES[[#This Row],[ID RETENCION]],Retenciones!$A$1:$O$25,PROVEEDORES[[#This Row],[indicador de columna]],FALSE)</f>
        <v>0</v>
      </c>
      <c r="Y695" s="99">
        <f>+VLOOKUP(PROVEEDORES[[#This Row],[ID RETENCION]],Retenciones!$A$1:$O$25,2,FALSE)</f>
        <v>3.5000000000000003E-2</v>
      </c>
      <c r="Z695" s="125" t="b">
        <f>OR(COUNTIF(PROVEEDORES[[#This Row],[PROVEEDOR]],"*"&amp;'Palabra no opera'!$A$2&amp;"*"))</f>
        <v>1</v>
      </c>
      <c r="AA695" s="24"/>
      <c r="AB695" s="24"/>
      <c r="AC695" s="24"/>
      <c r="AD695" s="24"/>
      <c r="AE695" s="24"/>
    </row>
    <row r="696" spans="1:31" ht="22.2" customHeight="1" x14ac:dyDescent="0.3">
      <c r="A696" s="66" t="str">
        <f>+IF(PROVEEDORES[[#This Row],[FECHA DE PAGO]]=PROVEEDORES[[#This Row],[FECHA DE FACTURACIÓN]],"DE CONTADO","CRÉDITO")</f>
        <v>CRÉDITO</v>
      </c>
      <c r="B696" s="38" t="str">
        <f>+IF((PROVEEDORES[[#This Row],[FECHA DE PAGO]]-PROVEEDORES[[#This Row],[FECHA DE FACTURACIÓN]])&gt;PROVEEDORES[[#This Row],[PLAZO Días]],"PAGO VENCIDO")</f>
        <v>PAGO VENCIDO</v>
      </c>
      <c r="C696" s="20">
        <f>+VLOOKUP(PROVEEDORES[[#This Row],[PROVEEDOR]],TERCEROS_INFO[#All],2,FALSE)</f>
        <v>30</v>
      </c>
      <c r="D696" s="25">
        <f>+SUMIFS(PROVEEDORES[Total],PROVEEDORES[PROVEEDOR],PROVEEDORES[[#This Row],[PROVEEDOR]],PROVEEDORES[FECHA DE PAGO],"")</f>
        <v>0</v>
      </c>
      <c r="E696" s="25"/>
      <c r="F69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96" s="161">
        <v>44264</v>
      </c>
      <c r="H696" s="26" t="s">
        <v>691</v>
      </c>
      <c r="I696" s="161">
        <v>44230</v>
      </c>
      <c r="J696" s="35">
        <v>2610</v>
      </c>
      <c r="K696" s="21">
        <v>483550</v>
      </c>
      <c r="L696" s="21"/>
      <c r="M696" s="22">
        <f>(PROVEEDORES[[#This Row],[SUBTOTAL]]-PROVEEDORES[[#This Row],[descuento sobre subtotal]])*VLOOKUP(PROVEEDORES[[#This Row],[PROVEEDOR]],TERCEROS_INFO[#All],3,FALSE)</f>
        <v>0</v>
      </c>
      <c r="N696" s="23"/>
      <c r="O696" s="22">
        <f>+PROVEEDORES[[#This Row],[Descuento sobre subtotal %]]*(PROVEEDORES[[#This Row],[SUBTOTAL]]-PROVEEDORES[[#This Row],[descuento sobre subtotal]])</f>
        <v>0</v>
      </c>
      <c r="P696" s="83">
        <f>+IF(PROVEEDORES[[#This Row],[SUBTOTAL]]&lt;PROVEEDORES[[#This Row],[base retencion]],0,PROVEEDORES[[#This Row],[retención aplicada]])</f>
        <v>0</v>
      </c>
      <c r="Q696" s="22">
        <f>+PROVEEDORES[[#This Row],[Rete Fuente %]]*(PROVEEDORES[[#This Row],[SUBTOTAL]]-PROVEEDORES[[#This Row],[descuento sobre subtotal]])</f>
        <v>0</v>
      </c>
      <c r="R696" s="21">
        <f>+PROVEEDORES[[#This Row],[SUBTOTAL]]+PROVEEDORES[[#This Row],[IVA 19%]]-PROVEEDORES[[#This Row],[descuento sobre subtotal]]-PROVEEDORES[[#This Row],[Descuento sobre subtotal $2]]-PROVEEDORES[[#This Row],[Rete Fuente $]]</f>
        <v>483550</v>
      </c>
      <c r="S6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6" s="68">
        <f ca="1">IF(PROVEEDORES[[#This Row],[FECHA DE PAGO]]=0,TODAY()-PROVEEDORES[[#This Row],[FECHA DE FACTURACIÓN]]-PROVEEDORES[[#This Row],[PLAZO Días]],0)</f>
        <v>0</v>
      </c>
      <c r="U696" s="96">
        <f>+VLOOKUP(PROVEEDORES[[#This Row],[PROVEEDOR]],Terceros!$A:$D,4,FALSE)</f>
        <v>0</v>
      </c>
      <c r="V696" s="97">
        <f>+YEAR(PROVEEDORES[[#This Row],[FECHA DE FACTURACIÓN]])</f>
        <v>2021</v>
      </c>
      <c r="W696" s="97">
        <f>+MATCH(PROVEEDORES[[#This Row],[año facturado]],Retenciones!$1:$1,0)</f>
        <v>4</v>
      </c>
      <c r="X696" s="98">
        <f>+VLOOKUP(PROVEEDORES[[#This Row],[ID RETENCION]],Retenciones!$A$1:$O$25,PROVEEDORES[[#This Row],[indicador de columna]],FALSE)</f>
        <v>0</v>
      </c>
      <c r="Y696" s="99">
        <f>+VLOOKUP(PROVEEDORES[[#This Row],[ID RETENCION]],Retenciones!$A$1:$O$25,2,FALSE)</f>
        <v>0</v>
      </c>
      <c r="Z696" s="125" t="b">
        <f>OR(COUNTIF(PROVEEDORES[[#This Row],[PROVEEDOR]],"*"&amp;'Palabra no opera'!$A$2&amp;"*"))</f>
        <v>0</v>
      </c>
      <c r="AA696" s="24"/>
      <c r="AB696" s="24"/>
      <c r="AC696" s="24"/>
      <c r="AD696" s="24"/>
      <c r="AE696" s="24"/>
    </row>
    <row r="697" spans="1:31" ht="22.2" customHeight="1" x14ac:dyDescent="0.3">
      <c r="A697" s="66" t="str">
        <f>+IF(PROVEEDORES[[#This Row],[FECHA DE PAGO]]=PROVEEDORES[[#This Row],[FECHA DE FACTURACIÓN]],"DE CONTADO","CRÉDITO")</f>
        <v>DE CONTADO</v>
      </c>
      <c r="B697" s="38" t="b">
        <f>+IF((PROVEEDORES[[#This Row],[FECHA DE PAGO]]-PROVEEDORES[[#This Row],[FECHA DE FACTURACIÓN]])&gt;PROVEEDORES[[#This Row],[PLAZO Días]],"PAGO VENCIDO")</f>
        <v>0</v>
      </c>
      <c r="C697" s="20">
        <f>+VLOOKUP(PROVEEDORES[[#This Row],[PROVEEDOR]],TERCEROS_INFO[#All],2,FALSE)</f>
        <v>30</v>
      </c>
      <c r="D697" s="25">
        <f>+SUMIFS(PROVEEDORES[Total],PROVEEDORES[PROVEEDOR],PROVEEDORES[[#This Row],[PROVEEDOR]],PROVEEDORES[FECHA DE PAGO],"")</f>
        <v>0</v>
      </c>
      <c r="E697" s="25"/>
      <c r="F697" s="58" t="str">
        <f>+VLOOKUP(PROVEEDORES[[#This Row],[PROVEEDOR]],
                       Terceros!$A:$F,
                       5,
                       FALSE)</f>
        <v/>
      </c>
      <c r="G697" s="161">
        <v>44377</v>
      </c>
      <c r="H697" s="26" t="s">
        <v>644</v>
      </c>
      <c r="I697" s="161">
        <v>44377</v>
      </c>
      <c r="J697" s="35" t="s">
        <v>598</v>
      </c>
      <c r="K697" s="21">
        <v>484200</v>
      </c>
      <c r="L697" s="21"/>
      <c r="M697" s="22">
        <f>(PROVEEDORES[[#This Row],[SUBTOTAL]]-PROVEEDORES[[#This Row],[descuento sobre subtotal]])*VLOOKUP(PROVEEDORES[[#This Row],[PROVEEDOR]],TERCEROS_INFO[#All],3,FALSE)</f>
        <v>0</v>
      </c>
      <c r="N697" s="23"/>
      <c r="O697" s="22">
        <f>+PROVEEDORES[[#This Row],[Descuento sobre subtotal %]]*(PROVEEDORES[[#This Row],[SUBTOTAL]]-PROVEEDORES[[#This Row],[descuento sobre subtotal]])</f>
        <v>0</v>
      </c>
      <c r="P697" s="83">
        <f>+IF(PROVEEDORES[[#This Row],[SUBTOTAL]]&lt;PROVEEDORES[[#This Row],[base retencion]],0,PROVEEDORES[[#This Row],[retención aplicada]])</f>
        <v>0</v>
      </c>
      <c r="Q697" s="22">
        <f>+PROVEEDORES[[#This Row],[Rete Fuente %]]*(PROVEEDORES[[#This Row],[SUBTOTAL]]-PROVEEDORES[[#This Row],[descuento sobre subtotal]])</f>
        <v>0</v>
      </c>
      <c r="R697" s="21">
        <f>+PROVEEDORES[[#This Row],[SUBTOTAL]]+PROVEEDORES[[#This Row],[IVA 19%]]-PROVEEDORES[[#This Row],[descuento sobre subtotal]]-PROVEEDORES[[#This Row],[Descuento sobre subtotal $2]]-PROVEEDORES[[#This Row],[Rete Fuente $]]</f>
        <v>484200</v>
      </c>
      <c r="S6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68">
        <f ca="1">IF(PROVEEDORES[[#This Row],[FECHA DE PAGO]]=0,TODAY()-PROVEEDORES[[#This Row],[FECHA DE FACTURACIÓN]]-PROVEEDORES[[#This Row],[PLAZO Días]],0)</f>
        <v>0</v>
      </c>
      <c r="U697" s="96">
        <f>+VLOOKUP(PROVEEDORES[[#This Row],[PROVEEDOR]],Terceros!$A:$D,4,FALSE)</f>
        <v>0</v>
      </c>
      <c r="V697" s="97">
        <f>+YEAR(PROVEEDORES[[#This Row],[FECHA DE FACTURACIÓN]])</f>
        <v>2021</v>
      </c>
      <c r="W697" s="97">
        <f>+MATCH(PROVEEDORES[[#This Row],[año facturado]],Retenciones!$1:$1,0)</f>
        <v>4</v>
      </c>
      <c r="X697" s="98">
        <f>+VLOOKUP(PROVEEDORES[[#This Row],[ID RETENCION]],Retenciones!$A$1:$O$25,PROVEEDORES[[#This Row],[indicador de columna]],FALSE)</f>
        <v>0</v>
      </c>
      <c r="Y697" s="99">
        <f>+VLOOKUP(PROVEEDORES[[#This Row],[ID RETENCION]],Retenciones!$A$1:$O$25,2,FALSE)</f>
        <v>0</v>
      </c>
      <c r="Z697" s="125" t="b">
        <f>OR(COUNTIF(PROVEEDORES[[#This Row],[PROVEEDOR]],"*"&amp;'Palabra no opera'!$A$2&amp;"*"))</f>
        <v>0</v>
      </c>
      <c r="AA697" s="24"/>
      <c r="AB697" s="24"/>
      <c r="AC697" s="24"/>
      <c r="AD697" s="24"/>
      <c r="AE697" s="24"/>
    </row>
    <row r="698" spans="1:31" ht="22.2" customHeight="1" x14ac:dyDescent="0.3">
      <c r="A698" s="66" t="str">
        <f>+IF(PROVEEDORES[[#This Row],[FECHA DE PAGO]]=PROVEEDORES[[#This Row],[FECHA DE FACTURACIÓN]],"DE CONTADO","CRÉDITO")</f>
        <v>DE CONTADO</v>
      </c>
      <c r="B698" s="38" t="b">
        <f>+IF((PROVEEDORES[[#This Row],[FECHA DE PAGO]]-PROVEEDORES[[#This Row],[FECHA DE FACTURACIÓN]])&gt;PROVEEDORES[[#This Row],[PLAZO Días]],"PAGO VENCIDO")</f>
        <v>0</v>
      </c>
      <c r="C698" s="20">
        <f>+VLOOKUP(PROVEEDORES[[#This Row],[PROVEEDOR]],TERCEROS_INFO[#All],2,FALSE)</f>
        <v>30</v>
      </c>
      <c r="D698" s="25">
        <f>+SUMIFS(PROVEEDORES[Total],PROVEEDORES[PROVEEDOR],PROVEEDORES[[#This Row],[PROVEEDOR]],PROVEEDORES[FECHA DE PAGO],"")</f>
        <v>0</v>
      </c>
      <c r="E698" s="25"/>
      <c r="F698" s="58" t="str">
        <f>+VLOOKUP(PROVEEDORES[[#This Row],[PROVEEDOR]],
                       Terceros!$A:$F,
                       5,
                       FALSE)</f>
        <v/>
      </c>
      <c r="G698" s="161">
        <v>44478</v>
      </c>
      <c r="H698" s="26" t="s">
        <v>635</v>
      </c>
      <c r="I698" s="161">
        <v>44478</v>
      </c>
      <c r="J698" s="35" t="s">
        <v>1504</v>
      </c>
      <c r="K698" s="21">
        <v>485000</v>
      </c>
      <c r="L698" s="21"/>
      <c r="M698" s="22">
        <f>(PROVEEDORES[[#This Row],[SUBTOTAL]]-PROVEEDORES[[#This Row],[descuento sobre subtotal]])*VLOOKUP(PROVEEDORES[[#This Row],[PROVEEDOR]],TERCEROS_INFO[#All],3,FALSE)</f>
        <v>0</v>
      </c>
      <c r="N698" s="23"/>
      <c r="O698" s="22">
        <f>+PROVEEDORES[[#This Row],[Descuento sobre subtotal %]]*(PROVEEDORES[[#This Row],[SUBTOTAL]]-PROVEEDORES[[#This Row],[descuento sobre subtotal]])</f>
        <v>0</v>
      </c>
      <c r="P698" s="83">
        <f>+IF(PROVEEDORES[[#This Row],[SUBTOTAL]]&lt;PROVEEDORES[[#This Row],[base retencion]],0,PROVEEDORES[[#This Row],[retención aplicada]])</f>
        <v>0</v>
      </c>
      <c r="Q698" s="22">
        <f>+PROVEEDORES[[#This Row],[Rete Fuente %]]*(PROVEEDORES[[#This Row],[SUBTOTAL]]-PROVEEDORES[[#This Row],[descuento sobre subtotal]])</f>
        <v>0</v>
      </c>
      <c r="R698" s="21">
        <f>+PROVEEDORES[[#This Row],[SUBTOTAL]]+PROVEEDORES[[#This Row],[IVA 19%]]-PROVEEDORES[[#This Row],[descuento sobre subtotal]]-PROVEEDORES[[#This Row],[Descuento sobre subtotal $2]]-PROVEEDORES[[#This Row],[Rete Fuente $]]</f>
        <v>485000</v>
      </c>
      <c r="S6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68">
        <f ca="1">IF(PROVEEDORES[[#This Row],[FECHA DE PAGO]]=0,TODAY()-PROVEEDORES[[#This Row],[FECHA DE FACTURACIÓN]]-PROVEEDORES[[#This Row],[PLAZO Días]],0)</f>
        <v>0</v>
      </c>
      <c r="U698" s="96">
        <f>+VLOOKUP(PROVEEDORES[[#This Row],[PROVEEDOR]],Terceros!$A:$D,4,FALSE)</f>
        <v>0</v>
      </c>
      <c r="V698" s="97">
        <f>+YEAR(PROVEEDORES[[#This Row],[FECHA DE FACTURACIÓN]])</f>
        <v>2021</v>
      </c>
      <c r="W698" s="97">
        <f>+MATCH(PROVEEDORES[[#This Row],[año facturado]],Retenciones!$1:$1,0)</f>
        <v>4</v>
      </c>
      <c r="X698" s="98">
        <f>+VLOOKUP(PROVEEDORES[[#This Row],[ID RETENCION]],Retenciones!$A$1:$O$25,PROVEEDORES[[#This Row],[indicador de columna]],FALSE)</f>
        <v>0</v>
      </c>
      <c r="Y698" s="99">
        <f>+VLOOKUP(PROVEEDORES[[#This Row],[ID RETENCION]],Retenciones!$A$1:$O$25,2,FALSE)</f>
        <v>0</v>
      </c>
      <c r="Z698" s="125" t="b">
        <f>OR(COUNTIF(PROVEEDORES[[#This Row],[PROVEEDOR]],"*"&amp;'Palabra no opera'!$A$2&amp;"*"))</f>
        <v>0</v>
      </c>
      <c r="AA698" s="24"/>
      <c r="AB698" s="24"/>
      <c r="AC698" s="24"/>
      <c r="AD698" s="24"/>
      <c r="AE698" s="24"/>
    </row>
    <row r="699" spans="1:31" ht="22.2" customHeight="1" x14ac:dyDescent="0.3">
      <c r="A699" s="66" t="str">
        <f>+IF(PROVEEDORES[[#This Row],[FECHA DE PAGO]]=PROVEEDORES[[#This Row],[FECHA DE FACTURACIÓN]],"DE CONTADO","CRÉDITO")</f>
        <v>CRÉDITO</v>
      </c>
      <c r="B699" s="38" t="str">
        <f>+IF((PROVEEDORES[[#This Row],[FECHA DE PAGO]]-PROVEEDORES[[#This Row],[FECHA DE FACTURACIÓN]])&gt;PROVEEDORES[[#This Row],[PLAZO Días]],"PAGO VENCIDO")</f>
        <v>PAGO VENCIDO</v>
      </c>
      <c r="C699" s="20">
        <f>+VLOOKUP(PROVEEDORES[[#This Row],[PROVEEDOR]],TERCEROS_INFO[#All],2,FALSE)</f>
        <v>45</v>
      </c>
      <c r="D699" s="25">
        <f>+SUMIFS(PROVEEDORES[Total],PROVEEDORES[PROVEEDOR],PROVEEDORES[[#This Row],[PROVEEDOR]],PROVEEDORES[FECHA DE PAGO],"")</f>
        <v>2604910</v>
      </c>
      <c r="E699" s="25"/>
      <c r="F69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99" s="161">
        <v>44537</v>
      </c>
      <c r="H699" s="26" t="s">
        <v>10</v>
      </c>
      <c r="I699" s="161">
        <v>44488</v>
      </c>
      <c r="J699" s="35" t="s">
        <v>496</v>
      </c>
      <c r="K699" s="21">
        <v>408000</v>
      </c>
      <c r="L699" s="21"/>
      <c r="M699" s="22">
        <f>(PROVEEDORES[[#This Row],[SUBTOTAL]]-PROVEEDORES[[#This Row],[descuento sobre subtotal]])*VLOOKUP(PROVEEDORES[[#This Row],[PROVEEDOR]],TERCEROS_INFO[#All],3,FALSE)</f>
        <v>77520</v>
      </c>
      <c r="N699" s="23"/>
      <c r="O699" s="22">
        <f>+PROVEEDORES[[#This Row],[Descuento sobre subtotal %]]*(PROVEEDORES[[#This Row],[SUBTOTAL]]-PROVEEDORES[[#This Row],[descuento sobre subtotal]])</f>
        <v>0</v>
      </c>
      <c r="P699" s="83">
        <f>+IF(PROVEEDORES[[#This Row],[SUBTOTAL]]&lt;PROVEEDORES[[#This Row],[base retencion]],0,PROVEEDORES[[#This Row],[retención aplicada]])</f>
        <v>0</v>
      </c>
      <c r="Q699" s="22">
        <f>+PROVEEDORES[[#This Row],[Rete Fuente %]]*(PROVEEDORES[[#This Row],[SUBTOTAL]]-PROVEEDORES[[#This Row],[descuento sobre subtotal]])</f>
        <v>0</v>
      </c>
      <c r="R699" s="21">
        <f>+PROVEEDORES[[#This Row],[SUBTOTAL]]+PROVEEDORES[[#This Row],[IVA 19%]]-PROVEEDORES[[#This Row],[descuento sobre subtotal]]-PROVEEDORES[[#This Row],[Descuento sobre subtotal $2]]-PROVEEDORES[[#This Row],[Rete Fuente $]]</f>
        <v>485520</v>
      </c>
      <c r="S6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68">
        <f ca="1">IF(PROVEEDORES[[#This Row],[FECHA DE PAGO]]=0,TODAY()-PROVEEDORES[[#This Row],[FECHA DE FACTURACIÓN]]-PROVEEDORES[[#This Row],[PLAZO Días]],0)</f>
        <v>0</v>
      </c>
      <c r="U699" s="96">
        <f>+VLOOKUP(PROVEEDORES[[#This Row],[PROVEEDOR]],Terceros!$A:$D,4,FALSE)</f>
        <v>0</v>
      </c>
      <c r="V699" s="97">
        <f>+YEAR(PROVEEDORES[[#This Row],[FECHA DE FACTURACIÓN]])</f>
        <v>2021</v>
      </c>
      <c r="W699" s="97">
        <f>+MATCH(PROVEEDORES[[#This Row],[año facturado]],Retenciones!$1:$1,0)</f>
        <v>4</v>
      </c>
      <c r="X699" s="98">
        <f>+VLOOKUP(PROVEEDORES[[#This Row],[ID RETENCION]],Retenciones!$A$1:$O$25,PROVEEDORES[[#This Row],[indicador de columna]],FALSE)</f>
        <v>0</v>
      </c>
      <c r="Y699" s="99">
        <f>+VLOOKUP(PROVEEDORES[[#This Row],[ID RETENCION]],Retenciones!$A$1:$O$25,2,FALSE)</f>
        <v>0</v>
      </c>
      <c r="Z699" s="125" t="b">
        <f>OR(COUNTIF(PROVEEDORES[[#This Row],[PROVEEDOR]],"*"&amp;'Palabra no opera'!$A$2&amp;"*"))</f>
        <v>0</v>
      </c>
      <c r="AA699" s="24"/>
      <c r="AB699" s="24"/>
      <c r="AC699" s="24"/>
      <c r="AD699" s="24"/>
      <c r="AE699" s="24"/>
    </row>
    <row r="700" spans="1:31" ht="22.2" customHeight="1" x14ac:dyDescent="0.3">
      <c r="A700" s="185" t="str">
        <f>+IF(PROVEEDORES[[#This Row],[FECHA DE PAGO]]=PROVEEDORES[[#This Row],[FECHA DE FACTURACIÓN]],"DE CONTADO","CRÉDITO")</f>
        <v>CRÉDITO</v>
      </c>
      <c r="B700" s="38" t="str">
        <f>+IF((PROVEEDORES[[#This Row],[FECHA DE PAGO]]-PROVEEDORES[[#This Row],[FECHA DE FACTURACIÓN]])&gt;PROVEEDORES[[#This Row],[PLAZO Días]],"PAGO VENCIDO")</f>
        <v>PAGO VENCIDO</v>
      </c>
      <c r="C700" s="20">
        <f>+VLOOKUP(PROVEEDORES[[#This Row],[PROVEEDOR]],TERCEROS_INFO[#All],2,FALSE)</f>
        <v>60</v>
      </c>
      <c r="D700" s="25">
        <f>+SUMIFS(PROVEEDORES[Total],PROVEEDORES[PROVEEDOR],PROVEEDORES[[#This Row],[PROVEEDOR]],PROVEEDORES[FECHA DE PAGO],"")</f>
        <v>1520362</v>
      </c>
      <c r="E700" s="25"/>
      <c r="F70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700" s="161">
        <v>44761</v>
      </c>
      <c r="H700" s="26" t="s">
        <v>528</v>
      </c>
      <c r="I700" s="161">
        <v>44643</v>
      </c>
      <c r="J700" s="35" t="s">
        <v>1580</v>
      </c>
      <c r="K700" s="21">
        <v>485688</v>
      </c>
      <c r="L700" s="21"/>
      <c r="M700" s="22">
        <f>(PROVEEDORES[[#This Row],[SUBTOTAL]]-PROVEEDORES[[#This Row],[descuento sobre subtotal]])*VLOOKUP(PROVEEDORES[[#This Row],[PROVEEDOR]],TERCEROS_INFO[#All],3,FALSE)</f>
        <v>0</v>
      </c>
      <c r="N700" s="23"/>
      <c r="O700" s="22">
        <f>+PROVEEDORES[[#This Row],[Descuento sobre subtotal %]]*(PROVEEDORES[[#This Row],[SUBTOTAL]]-PROVEEDORES[[#This Row],[descuento sobre subtotal]])</f>
        <v>0</v>
      </c>
      <c r="P700" s="83">
        <f>+IF(PROVEEDORES[[#This Row],[SUBTOTAL]]&lt;PROVEEDORES[[#This Row],[base retencion]],0,PROVEEDORES[[#This Row],[retención aplicada]])</f>
        <v>0</v>
      </c>
      <c r="Q700" s="22">
        <f>+PROVEEDORES[[#This Row],[Rete Fuente %]]*(PROVEEDORES[[#This Row],[SUBTOTAL]]-PROVEEDORES[[#This Row],[descuento sobre subtotal]])</f>
        <v>0</v>
      </c>
      <c r="R700" s="21">
        <f>+PROVEEDORES[[#This Row],[SUBTOTAL]]+PROVEEDORES[[#This Row],[IVA 19%]]-PROVEEDORES[[#This Row],[descuento sobre subtotal]]-PROVEEDORES[[#This Row],[Descuento sobre subtotal $2]]-PROVEEDORES[[#This Row],[Rete Fuente $]]</f>
        <v>485688</v>
      </c>
      <c r="S700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68">
        <f ca="1">IF(PROVEEDORES[[#This Row],[FECHA DE PAGO]]=0,TODAY()-PROVEEDORES[[#This Row],[FECHA DE FACTURACIÓN]]-PROVEEDORES[[#This Row],[PLAZO Días]],0)</f>
        <v>0</v>
      </c>
      <c r="U700" s="113">
        <f>+VLOOKUP(PROVEEDORES[[#This Row],[PROVEEDOR]],Terceros!$A:$D,4,FALSE)</f>
        <v>0</v>
      </c>
      <c r="V700" s="114">
        <f>+YEAR(PROVEEDORES[[#This Row],[FECHA DE FACTURACIÓN]])</f>
        <v>2022</v>
      </c>
      <c r="W700" s="114">
        <f>+MATCH(PROVEEDORES[[#This Row],[año facturado]],Retenciones!$1:$1,0)</f>
        <v>5</v>
      </c>
      <c r="X700" s="115">
        <f>+VLOOKUP(PROVEEDORES[[#This Row],[ID RETENCION]],Retenciones!$A$1:$O$25,PROVEEDORES[[#This Row],[indicador de columna]],FALSE)</f>
        <v>0</v>
      </c>
      <c r="Y700" s="116">
        <f>+VLOOKUP(PROVEEDORES[[#This Row],[ID RETENCION]],Retenciones!$A$1:$O$25,2,FALSE)</f>
        <v>0</v>
      </c>
      <c r="Z700" s="125" t="b">
        <f>OR(COUNTIF(PROVEEDORES[[#This Row],[PROVEEDOR]],"*"&amp;'Palabra no opera'!$A$2&amp;"*"))</f>
        <v>0</v>
      </c>
      <c r="AA700" s="24"/>
      <c r="AB700" s="24"/>
      <c r="AC700" s="24"/>
      <c r="AD700" s="24"/>
      <c r="AE700" s="24"/>
    </row>
    <row r="701" spans="1:31" ht="22.2" customHeight="1" x14ac:dyDescent="0.3">
      <c r="A701" s="269" t="str">
        <f>+IF(PROVEEDORES[[#This Row],[FECHA DE PAGO]]=PROVEEDORES[[#This Row],[FECHA DE FACTURACIÓN]],"DE CONTADO","CRÉDITO")</f>
        <v>CRÉDITO</v>
      </c>
      <c r="B701" s="38" t="b">
        <f>+IF((PROVEEDORES[[#This Row],[FECHA DE PAGO]]-PROVEEDORES[[#This Row],[FECHA DE FACTURACIÓN]])&gt;PROVEEDORES[[#This Row],[PLAZO Días]],"PAGO VENCIDO")</f>
        <v>0</v>
      </c>
      <c r="C701" s="20">
        <f>+VLOOKUP(PROVEEDORES[[#This Row],[PROVEEDOR]],TERCEROS_INFO[#All],2,FALSE)</f>
        <v>30</v>
      </c>
      <c r="D701" s="25">
        <f>+SUMIFS(PROVEEDORES[Total],PROVEEDORES[PROVEEDOR],PROVEEDORES[[#This Row],[PROVEEDOR]],PROVEEDORES[FECHA DE PAGO],"")</f>
        <v>0</v>
      </c>
      <c r="E701" s="25"/>
      <c r="F70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01" s="161">
        <v>44865</v>
      </c>
      <c r="H701" s="26" t="s">
        <v>1451</v>
      </c>
      <c r="I701" s="161">
        <v>44845</v>
      </c>
      <c r="J701" s="35">
        <v>275</v>
      </c>
      <c r="K701" s="21">
        <v>492000</v>
      </c>
      <c r="L701" s="21"/>
      <c r="M701" s="22">
        <f>(PROVEEDORES[[#This Row],[SUBTOTAL]]-PROVEEDORES[[#This Row],[descuento sobre subtotal]])*VLOOKUP(PROVEEDORES[[#This Row],[PROVEEDOR]],TERCEROS_INFO[#All],3,FALSE)</f>
        <v>0</v>
      </c>
      <c r="N701" s="23"/>
      <c r="O701" s="22">
        <f>+PROVEEDORES[[#This Row],[Descuento sobre subtotal %]]*(PROVEEDORES[[#This Row],[SUBTOTAL]]-PROVEEDORES[[#This Row],[descuento sobre subtotal]])</f>
        <v>0</v>
      </c>
      <c r="P701" s="83">
        <v>0.01</v>
      </c>
      <c r="Q701" s="22">
        <f>+PROVEEDORES[[#This Row],[Rete Fuente %]]*(PROVEEDORES[[#This Row],[SUBTOTAL]]-PROVEEDORES[[#This Row],[descuento sobre subtotal]])</f>
        <v>4920</v>
      </c>
      <c r="R701" s="21">
        <f>+PROVEEDORES[[#This Row],[SUBTOTAL]]+PROVEEDORES[[#This Row],[IVA 19%]]-PROVEEDORES[[#This Row],[descuento sobre subtotal]]-PROVEEDORES[[#This Row],[Descuento sobre subtotal $2]]-PROVEEDORES[[#This Row],[Rete Fuente $]]</f>
        <v>487080</v>
      </c>
      <c r="S701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68">
        <f ca="1">IF(PROVEEDORES[[#This Row],[FECHA DE PAGO]]=0,TODAY()-PROVEEDORES[[#This Row],[FECHA DE FACTURACIÓN]]-PROVEEDORES[[#This Row],[PLAZO Días]],0)</f>
        <v>0</v>
      </c>
      <c r="U701" s="113" t="str">
        <f>+VLOOKUP(PROVEEDORES[[#This Row],[PROVEEDOR]],Terceros!$A:$D,4,FALSE)</f>
        <v>1% con base</v>
      </c>
      <c r="V701" s="114">
        <f>+YEAR(PROVEEDORES[[#This Row],[FECHA DE FACTURACIÓN]])</f>
        <v>2022</v>
      </c>
      <c r="W701" s="114">
        <f>+MATCH(PROVEEDORES[[#This Row],[año facturado]],Retenciones!$1:$1,0)</f>
        <v>5</v>
      </c>
      <c r="X701" s="115">
        <f>+VLOOKUP(PROVEEDORES[[#This Row],[ID RETENCION]],Retenciones!$A$1:$O$25,PROVEEDORES[[#This Row],[indicador de columna]],FALSE)</f>
        <v>152000</v>
      </c>
      <c r="Y701" s="116">
        <f>+VLOOKUP(PROVEEDORES[[#This Row],[ID RETENCION]],Retenciones!$A$1:$O$25,2,FALSE)</f>
        <v>0.01</v>
      </c>
      <c r="Z701" s="125" t="b">
        <f>OR(COUNTIF(PROVEEDORES[[#This Row],[PROVEEDOR]],"*"&amp;'Palabra no opera'!$A$2&amp;"*"))</f>
        <v>0</v>
      </c>
      <c r="AA701" s="24"/>
      <c r="AB701" s="24"/>
      <c r="AC701" s="24"/>
      <c r="AD701" s="24"/>
      <c r="AE701" s="24"/>
    </row>
    <row r="702" spans="1:31" ht="22.2" customHeight="1" x14ac:dyDescent="0.3">
      <c r="A702" s="66" t="str">
        <f>+IF(PROVEEDORES[[#This Row],[FECHA DE PAGO]]=PROVEEDORES[[#This Row],[FECHA DE FACTURACIÓN]],"DE CONTADO","CRÉDITO")</f>
        <v>DE CONTADO</v>
      </c>
      <c r="B702" s="38" t="b">
        <f>+IF((PROVEEDORES[[#This Row],[FECHA DE PAGO]]-PROVEEDORES[[#This Row],[FECHA DE FACTURACIÓN]])&gt;PROVEEDORES[[#This Row],[PLAZO Días]],"PAGO VENCIDO")</f>
        <v>0</v>
      </c>
      <c r="C702" s="20">
        <f>+VLOOKUP(PROVEEDORES[[#This Row],[PROVEEDOR]],TERCEROS_INFO[#All],2,FALSE)</f>
        <v>30</v>
      </c>
      <c r="D702" s="25">
        <f>+SUMIFS(PROVEEDORES[Total],PROVEEDORES[PROVEEDOR],PROVEEDORES[[#This Row],[PROVEEDOR]],PROVEEDORES[FECHA DE PAGO],"")</f>
        <v>0</v>
      </c>
      <c r="E702" s="25"/>
      <c r="F702" s="58" t="str">
        <f>+VLOOKUP(PROVEEDORES[[#This Row],[PROVEEDOR]],
                       Terceros!$A:$F,
                       5,
                       FALSE)</f>
        <v/>
      </c>
      <c r="G702" s="161">
        <v>44316</v>
      </c>
      <c r="H702" s="26" t="s">
        <v>644</v>
      </c>
      <c r="I702" s="161">
        <v>44316</v>
      </c>
      <c r="J702" s="35" t="s">
        <v>597</v>
      </c>
      <c r="K702" s="21">
        <v>487200</v>
      </c>
      <c r="L702" s="21"/>
      <c r="M702" s="22">
        <f>(PROVEEDORES[[#This Row],[SUBTOTAL]]-PROVEEDORES[[#This Row],[descuento sobre subtotal]])*VLOOKUP(PROVEEDORES[[#This Row],[PROVEEDOR]],TERCEROS_INFO[#All],3,FALSE)</f>
        <v>0</v>
      </c>
      <c r="N702" s="23"/>
      <c r="O702" s="22">
        <f>+PROVEEDORES[[#This Row],[Descuento sobre subtotal %]]*(PROVEEDORES[[#This Row],[SUBTOTAL]]-PROVEEDORES[[#This Row],[descuento sobre subtotal]])</f>
        <v>0</v>
      </c>
      <c r="P702" s="83">
        <f>+IF(PROVEEDORES[[#This Row],[SUBTOTAL]]&lt;PROVEEDORES[[#This Row],[base retencion]],0,PROVEEDORES[[#This Row],[retención aplicada]])</f>
        <v>0</v>
      </c>
      <c r="Q702" s="22">
        <f>+PROVEEDORES[[#This Row],[Rete Fuente %]]*(PROVEEDORES[[#This Row],[SUBTOTAL]]-PROVEEDORES[[#This Row],[descuento sobre subtotal]])</f>
        <v>0</v>
      </c>
      <c r="R702" s="21">
        <f>+PROVEEDORES[[#This Row],[SUBTOTAL]]+PROVEEDORES[[#This Row],[IVA 19%]]-PROVEEDORES[[#This Row],[descuento sobre subtotal]]-PROVEEDORES[[#This Row],[Descuento sobre subtotal $2]]-PROVEEDORES[[#This Row],[Rete Fuente $]]</f>
        <v>487200</v>
      </c>
      <c r="S7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68">
        <f ca="1">IF(PROVEEDORES[[#This Row],[FECHA DE PAGO]]=0,TODAY()-PROVEEDORES[[#This Row],[FECHA DE FACTURACIÓN]]-PROVEEDORES[[#This Row],[PLAZO Días]],0)</f>
        <v>0</v>
      </c>
      <c r="U702" s="96">
        <f>+VLOOKUP(PROVEEDORES[[#This Row],[PROVEEDOR]],Terceros!$A:$D,4,FALSE)</f>
        <v>0</v>
      </c>
      <c r="V702" s="97">
        <f>+YEAR(PROVEEDORES[[#This Row],[FECHA DE FACTURACIÓN]])</f>
        <v>2021</v>
      </c>
      <c r="W702" s="97">
        <f>+MATCH(PROVEEDORES[[#This Row],[año facturado]],Retenciones!$1:$1,0)</f>
        <v>4</v>
      </c>
      <c r="X702" s="98">
        <f>+VLOOKUP(PROVEEDORES[[#This Row],[ID RETENCION]],Retenciones!$A$1:$O$25,PROVEEDORES[[#This Row],[indicador de columna]],FALSE)</f>
        <v>0</v>
      </c>
      <c r="Y702" s="99">
        <f>+VLOOKUP(PROVEEDORES[[#This Row],[ID RETENCION]],Retenciones!$A$1:$O$25,2,FALSE)</f>
        <v>0</v>
      </c>
      <c r="Z702" s="125" t="b">
        <f>OR(COUNTIF(PROVEEDORES[[#This Row],[PROVEEDOR]],"*"&amp;'Palabra no opera'!$A$2&amp;"*"))</f>
        <v>0</v>
      </c>
      <c r="AA702" s="24"/>
      <c r="AB702" s="24"/>
      <c r="AC702" s="24"/>
      <c r="AD702" s="24"/>
      <c r="AE702" s="24"/>
    </row>
    <row r="703" spans="1:31" ht="22.2" customHeight="1" x14ac:dyDescent="0.3">
      <c r="A703" s="66" t="str">
        <f>+IF(PROVEEDORES[[#This Row],[FECHA DE PAGO]]=PROVEEDORES[[#This Row],[FECHA DE FACTURACIÓN]],"DE CONTADO","CRÉDITO")</f>
        <v>CRÉDITO</v>
      </c>
      <c r="B703" s="38" t="b">
        <f>+IF((PROVEEDORES[[#This Row],[FECHA DE PAGO]]-PROVEEDORES[[#This Row],[FECHA DE FACTURACIÓN]])&gt;PROVEEDORES[[#This Row],[PLAZO Días]],"PAGO VENCIDO")</f>
        <v>0</v>
      </c>
      <c r="C703" s="20">
        <f>+VLOOKUP(PROVEEDORES[[#This Row],[PROVEEDOR]],TERCEROS_INFO[#All],2,FALSE)</f>
        <v>60</v>
      </c>
      <c r="D703" s="25">
        <f>+SUMIFS(PROVEEDORES[Total],PROVEEDORES[PROVEEDOR],PROVEEDORES[[#This Row],[PROVEEDOR]],PROVEEDORES[FECHA DE PAGO],"")</f>
        <v>1520362</v>
      </c>
      <c r="E703" s="25"/>
      <c r="F70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703" s="161">
        <v>44586</v>
      </c>
      <c r="H703" s="26" t="s">
        <v>528</v>
      </c>
      <c r="I703" s="161">
        <v>44533</v>
      </c>
      <c r="J703" s="35" t="s">
        <v>1538</v>
      </c>
      <c r="K703" s="21">
        <v>487200</v>
      </c>
      <c r="L703" s="21"/>
      <c r="M703" s="22">
        <v>0</v>
      </c>
      <c r="N703" s="23"/>
      <c r="O703" s="22">
        <v>0</v>
      </c>
      <c r="P703" s="83">
        <f>+IF(PROVEEDORES[[#This Row],[SUBTOTAL]]&lt;PROVEEDORES[[#This Row],[base retencion]],0,PROVEEDORES[[#This Row],[retención aplicada]])</f>
        <v>0</v>
      </c>
      <c r="Q703" s="22">
        <f>+PROVEEDORES[[#This Row],[Rete Fuente %]]*(PROVEEDORES[[#This Row],[SUBTOTAL]]-PROVEEDORES[[#This Row],[descuento sobre subtotal]])</f>
        <v>0</v>
      </c>
      <c r="R703" s="21">
        <v>487200</v>
      </c>
      <c r="S7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68">
        <f ca="1">IF(PROVEEDORES[[#This Row],[FECHA DE PAGO]]=0,TODAY()-PROVEEDORES[[#This Row],[FECHA DE FACTURACIÓN]]-PROVEEDORES[[#This Row],[PLAZO Días]],0)</f>
        <v>0</v>
      </c>
      <c r="U703" s="96">
        <f>+VLOOKUP(PROVEEDORES[[#This Row],[PROVEEDOR]],Terceros!$A:$D,4,FALSE)</f>
        <v>0</v>
      </c>
      <c r="V703" s="97">
        <f>+YEAR(PROVEEDORES[[#This Row],[FECHA DE FACTURACIÓN]])</f>
        <v>2021</v>
      </c>
      <c r="W703" s="97">
        <f>+MATCH(PROVEEDORES[[#This Row],[año facturado]],Retenciones!$1:$1,0)</f>
        <v>4</v>
      </c>
      <c r="X703" s="98">
        <f>+VLOOKUP(PROVEEDORES[[#This Row],[ID RETENCION]],Retenciones!$A$1:$O$25,PROVEEDORES[[#This Row],[indicador de columna]],FALSE)</f>
        <v>0</v>
      </c>
      <c r="Y703" s="99">
        <f>+VLOOKUP(PROVEEDORES[[#This Row],[ID RETENCION]],Retenciones!$A$1:$O$25,2,FALSE)</f>
        <v>0</v>
      </c>
      <c r="Z703" s="125" t="b">
        <f>OR(COUNTIF(PROVEEDORES[[#This Row],[PROVEEDOR]],"*"&amp;'Palabra no opera'!$A$2&amp;"*"))</f>
        <v>0</v>
      </c>
      <c r="AA703" s="24"/>
      <c r="AB703" s="24"/>
      <c r="AC703" s="24"/>
      <c r="AD703" s="24"/>
      <c r="AE703" s="24"/>
    </row>
    <row r="704" spans="1:31" ht="22.2" customHeight="1" x14ac:dyDescent="0.3">
      <c r="A704" s="66" t="str">
        <f>+IF(PROVEEDORES[[#This Row],[FECHA DE PAGO]]=PROVEEDORES[[#This Row],[FECHA DE FACTURACIÓN]],"DE CONTADO","CRÉDITO")</f>
        <v>CRÉDITO</v>
      </c>
      <c r="B704" s="38" t="b">
        <f>+IF((PROVEEDORES[[#This Row],[FECHA DE PAGO]]-PROVEEDORES[[#This Row],[FECHA DE FACTURACIÓN]])&gt;PROVEEDORES[[#This Row],[PLAZO Días]],"PAGO VENCIDO")</f>
        <v>0</v>
      </c>
      <c r="C704" s="20">
        <f>+VLOOKUP(PROVEEDORES[[#This Row],[PROVEEDOR]],TERCEROS_INFO[#All],2,FALSE)</f>
        <v>30</v>
      </c>
      <c r="D704" s="25">
        <f>+SUMIFS(PROVEEDORES[Total],PROVEEDORES[PROVEEDOR],PROVEEDORES[[#This Row],[PROVEEDOR]],PROVEEDORES[FECHA DE PAGO],"")</f>
        <v>0</v>
      </c>
      <c r="E704" s="25"/>
      <c r="F704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704" s="161">
        <v>44414</v>
      </c>
      <c r="H704" s="26" t="s">
        <v>670</v>
      </c>
      <c r="I704" s="161">
        <v>44425</v>
      </c>
      <c r="J704" s="35" t="s">
        <v>1484</v>
      </c>
      <c r="K704" s="21">
        <v>488000</v>
      </c>
      <c r="L704" s="21"/>
      <c r="M704" s="22">
        <f>(PROVEEDORES[[#This Row],[SUBTOTAL]]-PROVEEDORES[[#This Row],[descuento sobre subtotal]])*VLOOKUP(PROVEEDORES[[#This Row],[PROVEEDOR]],TERCEROS_INFO[#All],3,FALSE)</f>
        <v>0</v>
      </c>
      <c r="N704" s="23"/>
      <c r="O704" s="22">
        <f>+PROVEEDORES[[#This Row],[Descuento sobre subtotal %]]*(PROVEEDORES[[#This Row],[SUBTOTAL]]-PROVEEDORES[[#This Row],[descuento sobre subtotal]])</f>
        <v>0</v>
      </c>
      <c r="P704" s="83">
        <f>+IF(PROVEEDORES[[#This Row],[SUBTOTAL]]&lt;PROVEEDORES[[#This Row],[base retencion]],0,PROVEEDORES[[#This Row],[retención aplicada]])</f>
        <v>0</v>
      </c>
      <c r="Q704" s="22">
        <f>+PROVEEDORES[[#This Row],[Rete Fuente %]]*(PROVEEDORES[[#This Row],[SUBTOTAL]]-PROVEEDORES[[#This Row],[descuento sobre subtotal]])</f>
        <v>0</v>
      </c>
      <c r="R704" s="21">
        <f>+PROVEEDORES[[#This Row],[SUBTOTAL]]+PROVEEDORES[[#This Row],[IVA 19%]]-PROVEEDORES[[#This Row],[descuento sobre subtotal]]-PROVEEDORES[[#This Row],[Descuento sobre subtotal $2]]-PROVEEDORES[[#This Row],[Rete Fuente $]]</f>
        <v>488000</v>
      </c>
      <c r="S7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68">
        <f ca="1">IF(PROVEEDORES[[#This Row],[FECHA DE PAGO]]=0,TODAY()-PROVEEDORES[[#This Row],[FECHA DE FACTURACIÓN]]-PROVEEDORES[[#This Row],[PLAZO Días]],0)</f>
        <v>0</v>
      </c>
      <c r="U704" s="96">
        <f>+VLOOKUP(PROVEEDORES[[#This Row],[PROVEEDOR]],Terceros!$A:$D,4,FALSE)</f>
        <v>0</v>
      </c>
      <c r="V704" s="97">
        <f>+YEAR(PROVEEDORES[[#This Row],[FECHA DE FACTURACIÓN]])</f>
        <v>2021</v>
      </c>
      <c r="W704" s="97">
        <f>+MATCH(PROVEEDORES[[#This Row],[año facturado]],Retenciones!$1:$1,0)</f>
        <v>4</v>
      </c>
      <c r="X704" s="98">
        <f>+VLOOKUP(PROVEEDORES[[#This Row],[ID RETENCION]],Retenciones!$A$1:$O$25,PROVEEDORES[[#This Row],[indicador de columna]],FALSE)</f>
        <v>0</v>
      </c>
      <c r="Y704" s="99">
        <f>+VLOOKUP(PROVEEDORES[[#This Row],[ID RETENCION]],Retenciones!$A$1:$O$25,2,FALSE)</f>
        <v>0</v>
      </c>
      <c r="Z704" s="125" t="b">
        <f>OR(COUNTIF(PROVEEDORES[[#This Row],[PROVEEDOR]],"*"&amp;'Palabra no opera'!$A$2&amp;"*"))</f>
        <v>0</v>
      </c>
      <c r="AA704" s="24"/>
      <c r="AB704" s="24"/>
      <c r="AC704" s="24"/>
      <c r="AD704" s="24"/>
      <c r="AE704" s="24"/>
    </row>
    <row r="705" spans="1:31" ht="22.2" customHeight="1" x14ac:dyDescent="0.3">
      <c r="A705" s="66" t="str">
        <f>+IF(PROVEEDORES[[#This Row],[FECHA DE PAGO]]=PROVEEDORES[[#This Row],[FECHA DE FACTURACIÓN]],"DE CONTADO","CRÉDITO")</f>
        <v>CRÉDITO</v>
      </c>
      <c r="B705" s="38" t="b">
        <f>+IF((PROVEEDORES[[#This Row],[FECHA DE PAGO]]-PROVEEDORES[[#This Row],[FECHA DE FACTURACIÓN]])&gt;PROVEEDORES[[#This Row],[PLAZO Días]],"PAGO VENCIDO")</f>
        <v>0</v>
      </c>
      <c r="C705" s="20">
        <f>+VLOOKUP(PROVEEDORES[[#This Row],[PROVEEDOR]],TERCEROS_INFO[#All],2,FALSE)</f>
        <v>30</v>
      </c>
      <c r="D705" s="25">
        <f>+SUMIFS(PROVEEDORES[Total],PROVEEDORES[PROVEEDOR],PROVEEDORES[[#This Row],[PROVEEDOR]],PROVEEDORES[FECHA DE PAGO],"")</f>
        <v>0</v>
      </c>
      <c r="E705" s="25"/>
      <c r="F705" s="58" t="str">
        <f>+VLOOKUP(PROVEEDORES[[#This Row],[PROVEEDOR]],
                       Terceros!$A:$F,
                       5,
                       FALSE)</f>
        <v/>
      </c>
      <c r="G705" s="161">
        <v>44355</v>
      </c>
      <c r="H705" s="26" t="s">
        <v>686</v>
      </c>
      <c r="I705" s="161">
        <v>44335</v>
      </c>
      <c r="J705" s="35" t="s">
        <v>1228</v>
      </c>
      <c r="K705" s="21">
        <v>490000</v>
      </c>
      <c r="L705" s="21"/>
      <c r="M705" s="22">
        <f>(PROVEEDORES[[#This Row],[SUBTOTAL]]-PROVEEDORES[[#This Row],[descuento sobre subtotal]])*VLOOKUP(PROVEEDORES[[#This Row],[PROVEEDOR]],TERCEROS_INFO[#All],3,FALSE)</f>
        <v>0</v>
      </c>
      <c r="N705" s="23"/>
      <c r="O705" s="22">
        <f>+PROVEEDORES[[#This Row],[Descuento sobre subtotal %]]*(PROVEEDORES[[#This Row],[SUBTOTAL]]-PROVEEDORES[[#This Row],[descuento sobre subtotal]])</f>
        <v>0</v>
      </c>
      <c r="P705" s="83">
        <f>+IF(PROVEEDORES[[#This Row],[SUBTOTAL]]&lt;PROVEEDORES[[#This Row],[base retencion]],0,PROVEEDORES[[#This Row],[retención aplicada]])</f>
        <v>0</v>
      </c>
      <c r="Q705" s="22">
        <f>+PROVEEDORES[[#This Row],[Rete Fuente %]]*(PROVEEDORES[[#This Row],[SUBTOTAL]]-PROVEEDORES[[#This Row],[descuento sobre subtotal]])</f>
        <v>0</v>
      </c>
      <c r="R705" s="21">
        <f>+PROVEEDORES[[#This Row],[SUBTOTAL]]+PROVEEDORES[[#This Row],[IVA 19%]]-PROVEEDORES[[#This Row],[descuento sobre subtotal]]-PROVEEDORES[[#This Row],[Descuento sobre subtotal $2]]-PROVEEDORES[[#This Row],[Rete Fuente $]]</f>
        <v>490000</v>
      </c>
      <c r="S7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68">
        <f ca="1">IF(PROVEEDORES[[#This Row],[FECHA DE PAGO]]=0,TODAY()-PROVEEDORES[[#This Row],[FECHA DE FACTURACIÓN]]-PROVEEDORES[[#This Row],[PLAZO Días]],0)</f>
        <v>0</v>
      </c>
      <c r="U705" s="96">
        <f>+VLOOKUP(PROVEEDORES[[#This Row],[PROVEEDOR]],Terceros!$A:$D,4,FALSE)</f>
        <v>0</v>
      </c>
      <c r="V705" s="97">
        <f>+YEAR(PROVEEDORES[[#This Row],[FECHA DE FACTURACIÓN]])</f>
        <v>2021</v>
      </c>
      <c r="W705" s="97">
        <f>+MATCH(PROVEEDORES[[#This Row],[año facturado]],Retenciones!$1:$1,0)</f>
        <v>4</v>
      </c>
      <c r="X705" s="98">
        <f>+VLOOKUP(PROVEEDORES[[#This Row],[ID RETENCION]],Retenciones!$A$1:$O$25,PROVEEDORES[[#This Row],[indicador de columna]],FALSE)</f>
        <v>0</v>
      </c>
      <c r="Y705" s="99">
        <f>+VLOOKUP(PROVEEDORES[[#This Row],[ID RETENCION]],Retenciones!$A$1:$O$25,2,FALSE)</f>
        <v>0</v>
      </c>
      <c r="Z705" s="125" t="b">
        <f>OR(COUNTIF(PROVEEDORES[[#This Row],[PROVEEDOR]],"*"&amp;'Palabra no opera'!$A$2&amp;"*"))</f>
        <v>0</v>
      </c>
      <c r="AA705" s="24"/>
      <c r="AB705" s="24"/>
      <c r="AC705" s="24"/>
      <c r="AD705" s="24"/>
      <c r="AE705" s="24"/>
    </row>
    <row r="706" spans="1:31" ht="22.2" customHeight="1" x14ac:dyDescent="0.3">
      <c r="A706" s="269" t="str">
        <f>+IF(PROVEEDORES[[#This Row],[FECHA DE PAGO]]=PROVEEDORES[[#This Row],[FECHA DE FACTURACIÓN]],"DE CONTADO","CRÉDITO")</f>
        <v>CRÉDITO</v>
      </c>
      <c r="B706" s="38" t="b">
        <f>+IF((PROVEEDORES[[#This Row],[FECHA DE PAGO]]-PROVEEDORES[[#This Row],[FECHA DE FACTURACIÓN]])&gt;PROVEEDORES[[#This Row],[PLAZO Días]],"PAGO VENCIDO")</f>
        <v>0</v>
      </c>
      <c r="C706" s="20">
        <f>+VLOOKUP(PROVEEDORES[[#This Row],[PROVEEDOR]],TERCEROS_INFO[#All],2,FALSE)</f>
        <v>30</v>
      </c>
      <c r="D706" s="25">
        <f>+SUMIFS(PROVEEDORES[Total],PROVEEDORES[PROVEEDOR],PROVEEDORES[[#This Row],[PROVEEDOR]],PROVEEDORES[FECHA DE PAGO],"")</f>
        <v>0</v>
      </c>
      <c r="E706" s="25"/>
      <c r="F70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06" s="161">
        <v>44865</v>
      </c>
      <c r="H706" s="26" t="s">
        <v>1450</v>
      </c>
      <c r="I706" s="161">
        <v>44845</v>
      </c>
      <c r="J706" s="35">
        <v>371</v>
      </c>
      <c r="K706" s="21">
        <v>492000</v>
      </c>
      <c r="L706" s="21"/>
      <c r="M706" s="22">
        <f>(PROVEEDORES[[#This Row],[SUBTOTAL]]-PROVEEDORES[[#This Row],[descuento sobre subtotal]])*VLOOKUP(PROVEEDORES[[#This Row],[PROVEEDOR]],TERCEROS_INFO[#All],3,FALSE)</f>
        <v>0</v>
      </c>
      <c r="N706" s="23"/>
      <c r="O706" s="22">
        <f>+PROVEEDORES[[#This Row],[Descuento sobre subtotal %]]*(PROVEEDORES[[#This Row],[SUBTOTAL]]-PROVEEDORES[[#This Row],[descuento sobre subtotal]])</f>
        <v>0</v>
      </c>
      <c r="P706" s="83">
        <f>+IF(PROVEEDORES[[#This Row],[SUBTOTAL]]&lt;PROVEEDORES[[#This Row],[base retencion]],0,PROVEEDORES[[#This Row],[retención aplicada]])</f>
        <v>0</v>
      </c>
      <c r="Q706" s="22">
        <f>+PROVEEDORES[[#This Row],[Rete Fuente %]]*(PROVEEDORES[[#This Row],[SUBTOTAL]]-PROVEEDORES[[#This Row],[descuento sobre subtotal]])</f>
        <v>0</v>
      </c>
      <c r="R706" s="21">
        <f>+PROVEEDORES[[#This Row],[SUBTOTAL]]+PROVEEDORES[[#This Row],[IVA 19%]]-PROVEEDORES[[#This Row],[descuento sobre subtotal]]-PROVEEDORES[[#This Row],[Descuento sobre subtotal $2]]-PROVEEDORES[[#This Row],[Rete Fuente $]]</f>
        <v>492000</v>
      </c>
      <c r="S706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68">
        <f ca="1">IF(PROVEEDORES[[#This Row],[FECHA DE PAGO]]=0,TODAY()-PROVEEDORES[[#This Row],[FECHA DE FACTURACIÓN]]-PROVEEDORES[[#This Row],[PLAZO Días]],0)</f>
        <v>0</v>
      </c>
      <c r="U706" s="113">
        <f>+VLOOKUP(PROVEEDORES[[#This Row],[PROVEEDOR]],Terceros!$A:$D,4,FALSE)</f>
        <v>0</v>
      </c>
      <c r="V706" s="114">
        <f>+YEAR(PROVEEDORES[[#This Row],[FECHA DE FACTURACIÓN]])</f>
        <v>2022</v>
      </c>
      <c r="W706" s="114">
        <f>+MATCH(PROVEEDORES[[#This Row],[año facturado]],Retenciones!$1:$1,0)</f>
        <v>5</v>
      </c>
      <c r="X706" s="115">
        <f>+VLOOKUP(PROVEEDORES[[#This Row],[ID RETENCION]],Retenciones!$A$1:$O$25,PROVEEDORES[[#This Row],[indicador de columna]],FALSE)</f>
        <v>0</v>
      </c>
      <c r="Y706" s="116">
        <f>+VLOOKUP(PROVEEDORES[[#This Row],[ID RETENCION]],Retenciones!$A$1:$O$25,2,FALSE)</f>
        <v>0</v>
      </c>
      <c r="Z706" s="125" t="b">
        <f>OR(COUNTIF(PROVEEDORES[[#This Row],[PROVEEDOR]],"*"&amp;'Palabra no opera'!$A$2&amp;"*"))</f>
        <v>0</v>
      </c>
      <c r="AA706" s="24"/>
      <c r="AB706" s="24"/>
      <c r="AC706" s="24"/>
      <c r="AD706" s="24"/>
      <c r="AE706" s="24"/>
    </row>
    <row r="707" spans="1:31" ht="22.2" customHeight="1" x14ac:dyDescent="0.3">
      <c r="A707" s="207" t="str">
        <f>+IF(PROVEEDORES[[#This Row],[FECHA DE PAGO]]=PROVEEDORES[[#This Row],[FECHA DE FACTURACIÓN]],"DE CONTADO","CRÉDITO")</f>
        <v>CRÉDITO</v>
      </c>
      <c r="B707" s="38" t="str">
        <f>+IF((PROVEEDORES[[#This Row],[FECHA DE PAGO]]-PROVEEDORES[[#This Row],[FECHA DE FACTURACIÓN]])&gt;PROVEEDORES[[#This Row],[PLAZO Días]],"PAGO VENCIDO")</f>
        <v>PAGO VENCIDO</v>
      </c>
      <c r="C707" s="20">
        <f>+VLOOKUP(PROVEEDORES[[#This Row],[PROVEEDOR]],TERCEROS_INFO[#All],2,FALSE)</f>
        <v>30</v>
      </c>
      <c r="D707" s="25">
        <f>+SUMIFS(PROVEEDORES[Total],PROVEEDORES[PROVEEDOR],PROVEEDORES[[#This Row],[PROVEEDOR]],PROVEEDORES[FECHA DE PAGO],"")</f>
        <v>0</v>
      </c>
      <c r="E707" s="25"/>
      <c r="F70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07" s="161">
        <v>44867</v>
      </c>
      <c r="H707" s="26" t="s">
        <v>1637</v>
      </c>
      <c r="I707" s="161">
        <v>44800</v>
      </c>
      <c r="J707" s="35">
        <v>27150</v>
      </c>
      <c r="K707" s="21">
        <v>414000</v>
      </c>
      <c r="L707" s="21"/>
      <c r="M707" s="22">
        <f>(PROVEEDORES[[#This Row],[SUBTOTAL]]-PROVEEDORES[[#This Row],[descuento sobre subtotal]])*VLOOKUP(PROVEEDORES[[#This Row],[PROVEEDOR]],TERCEROS_INFO[#All],3,FALSE)</f>
        <v>78660</v>
      </c>
      <c r="N707" s="23"/>
      <c r="O707" s="22">
        <f>+PROVEEDORES[[#This Row],[Descuento sobre subtotal %]]*(PROVEEDORES[[#This Row],[SUBTOTAL]]-PROVEEDORES[[#This Row],[descuento sobre subtotal]])</f>
        <v>0</v>
      </c>
      <c r="P707" s="83">
        <f>+IF(PROVEEDORES[[#This Row],[SUBTOTAL]]&lt;PROVEEDORES[[#This Row],[base retencion]],0,PROVEEDORES[[#This Row],[retención aplicada]])</f>
        <v>0</v>
      </c>
      <c r="Q707" s="22">
        <f>+PROVEEDORES[[#This Row],[Rete Fuente %]]*(PROVEEDORES[[#This Row],[SUBTOTAL]]-PROVEEDORES[[#This Row],[descuento sobre subtotal]])</f>
        <v>0</v>
      </c>
      <c r="R707" s="21">
        <f>+PROVEEDORES[[#This Row],[SUBTOTAL]]+PROVEEDORES[[#This Row],[IVA 19%]]-PROVEEDORES[[#This Row],[descuento sobre subtotal]]-PROVEEDORES[[#This Row],[Descuento sobre subtotal $2]]-PROVEEDORES[[#This Row],[Rete Fuente $]]</f>
        <v>492660</v>
      </c>
      <c r="S707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68">
        <f ca="1">IF(PROVEEDORES[[#This Row],[FECHA DE PAGO]]=0,TODAY()-PROVEEDORES[[#This Row],[FECHA DE FACTURACIÓN]]-PROVEEDORES[[#This Row],[PLAZO Días]],0)</f>
        <v>0</v>
      </c>
      <c r="U707" s="113" t="str">
        <f>+VLOOKUP(PROVEEDORES[[#This Row],[PROVEEDOR]],Terceros!$A:$D,4,FALSE)</f>
        <v>2,5% con base</v>
      </c>
      <c r="V707" s="114">
        <f>+YEAR(PROVEEDORES[[#This Row],[FECHA DE FACTURACIÓN]])</f>
        <v>2022</v>
      </c>
      <c r="W707" s="114">
        <f>+MATCH(PROVEEDORES[[#This Row],[año facturado]],Retenciones!$1:$1,0)</f>
        <v>5</v>
      </c>
      <c r="X707" s="115">
        <f>+VLOOKUP(PROVEEDORES[[#This Row],[ID RETENCION]],Retenciones!$A$1:$O$25,PROVEEDORES[[#This Row],[indicador de columna]],FALSE)</f>
        <v>1026000</v>
      </c>
      <c r="Y707" s="116">
        <f>+VLOOKUP(PROVEEDORES[[#This Row],[ID RETENCION]],Retenciones!$A$1:$O$25,2,FALSE)</f>
        <v>2.5000000000000001E-2</v>
      </c>
      <c r="Z707" s="125" t="b">
        <f>OR(COUNTIF(PROVEEDORES[[#This Row],[PROVEEDOR]],"*"&amp;'Palabra no opera'!$A$2&amp;"*"))</f>
        <v>0</v>
      </c>
      <c r="AA707" s="24"/>
      <c r="AB707" s="24"/>
      <c r="AC707" s="24"/>
      <c r="AD707" s="24"/>
      <c r="AE707" s="24"/>
    </row>
    <row r="708" spans="1:31" ht="22.2" customHeight="1" x14ac:dyDescent="0.3">
      <c r="A708" s="72" t="str">
        <f>+IF(PROVEEDORES[[#This Row],[FECHA DE PAGO]]=PROVEEDORES[[#This Row],[FECHA DE FACTURACIÓN]],"DE CONTADO","CRÉDITO")</f>
        <v>CRÉDITO</v>
      </c>
      <c r="B708" s="38" t="b">
        <f>+IF((PROVEEDORES[[#This Row],[FECHA DE PAGO]]-PROVEEDORES[[#This Row],[FECHA DE FACTURACIÓN]])&gt;PROVEEDORES[[#This Row],[PLAZO Días]],"PAGO VENCIDO")</f>
        <v>0</v>
      </c>
      <c r="C708" s="20">
        <f>+VLOOKUP(PROVEEDORES[[#This Row],[PROVEEDOR]],TERCEROS_INFO[#All],2,FALSE)</f>
        <v>30</v>
      </c>
      <c r="D708" s="25">
        <f>+SUMIFS(PROVEEDORES[Total],PROVEEDORES[PROVEEDOR],PROVEEDORES[[#This Row],[PROVEEDOR]],PROVEEDORES[FECHA DE PAGO],"")</f>
        <v>2223034.2400000002</v>
      </c>
      <c r="E708" s="25"/>
      <c r="F70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708" s="26" t="s">
        <v>216</v>
      </c>
      <c r="I708" s="161">
        <v>44862</v>
      </c>
      <c r="J708" s="35">
        <v>325476</v>
      </c>
      <c r="K708" s="21">
        <v>414000</v>
      </c>
      <c r="L708" s="21"/>
      <c r="M708" s="22">
        <f>(PROVEEDORES[[#This Row],[SUBTOTAL]]-PROVEEDORES[[#This Row],[descuento sobre subtotal]])*VLOOKUP(PROVEEDORES[[#This Row],[PROVEEDOR]],TERCEROS_INFO[#All],3,FALSE)</f>
        <v>78660</v>
      </c>
      <c r="N708" s="23"/>
      <c r="O708" s="22">
        <f>+PROVEEDORES[[#This Row],[Descuento sobre subtotal %]]*(PROVEEDORES[[#This Row],[SUBTOTAL]]-PROVEEDORES[[#This Row],[descuento sobre subtotal]])</f>
        <v>0</v>
      </c>
      <c r="P708" s="83">
        <f>+IF(PROVEEDORES[[#This Row],[SUBTOTAL]]&lt;PROVEEDORES[[#This Row],[base retencion]],0,PROVEEDORES[[#This Row],[retención aplicada]])</f>
        <v>0</v>
      </c>
      <c r="Q708" s="22">
        <f>+PROVEEDORES[[#This Row],[Rete Fuente %]]*(PROVEEDORES[[#This Row],[SUBTOTAL]]-PROVEEDORES[[#This Row],[descuento sobre subtotal]])</f>
        <v>0</v>
      </c>
      <c r="R708" s="21">
        <f>+PROVEEDORES[[#This Row],[SUBTOTAL]]+PROVEEDORES[[#This Row],[IVA 19%]]-PROVEEDORES[[#This Row],[descuento sobre subtotal]]-PROVEEDORES[[#This Row],[Descuento sobre subtotal $2]]-PROVEEDORES[[#This Row],[Rete Fuente $]]</f>
        <v>492660</v>
      </c>
      <c r="S708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708" s="68">
        <f ca="1">IF(PROVEEDORES[[#This Row],[FECHA DE PAGO]]=0,TODAY()-PROVEEDORES[[#This Row],[FECHA DE FACTURACIÓN]]-PROVEEDORES[[#This Row],[PLAZO Días]],0)</f>
        <v>-17</v>
      </c>
      <c r="U708" s="113" t="str">
        <f>+VLOOKUP(PROVEEDORES[[#This Row],[PROVEEDOR]],Terceros!$A:$D,4,FALSE)</f>
        <v>2,5% con base</v>
      </c>
      <c r="V708" s="114">
        <f>+YEAR(PROVEEDORES[[#This Row],[FECHA DE FACTURACIÓN]])</f>
        <v>2022</v>
      </c>
      <c r="W708" s="114">
        <f>+MATCH(PROVEEDORES[[#This Row],[año facturado]],Retenciones!$1:$1,0)</f>
        <v>5</v>
      </c>
      <c r="X708" s="115">
        <f>+VLOOKUP(PROVEEDORES[[#This Row],[ID RETENCION]],Retenciones!$A$1:$O$25,PROVEEDORES[[#This Row],[indicador de columna]],FALSE)</f>
        <v>1026000</v>
      </c>
      <c r="Y708" s="116">
        <f>+VLOOKUP(PROVEEDORES[[#This Row],[ID RETENCION]],Retenciones!$A$1:$O$25,2,FALSE)</f>
        <v>2.5000000000000001E-2</v>
      </c>
      <c r="Z708" s="125" t="b">
        <f>OR(COUNTIF(PROVEEDORES[[#This Row],[PROVEEDOR]],"*"&amp;'Palabra no opera'!$A$2&amp;"*"))</f>
        <v>0</v>
      </c>
      <c r="AA708" s="24"/>
      <c r="AB708" s="24"/>
      <c r="AC708" s="24"/>
      <c r="AD708" s="24"/>
      <c r="AE708" s="24"/>
    </row>
    <row r="709" spans="1:31" ht="22.2" customHeight="1" x14ac:dyDescent="0.3">
      <c r="A709" s="66" t="str">
        <f>+IF(PROVEEDORES[[#This Row],[FECHA DE PAGO]]=PROVEEDORES[[#This Row],[FECHA DE FACTURACIÓN]],"DE CONTADO","CRÉDITO")</f>
        <v>DE CONTADO</v>
      </c>
      <c r="B709" s="38" t="b">
        <f>+IF((PROVEEDORES[[#This Row],[FECHA DE PAGO]]-PROVEEDORES[[#This Row],[FECHA DE FACTURACIÓN]])&gt;PROVEEDORES[[#This Row],[PLAZO Días]],"PAGO VENCIDO")</f>
        <v>0</v>
      </c>
      <c r="C709" s="20">
        <f>+VLOOKUP(PROVEEDORES[[#This Row],[PROVEEDOR]],TERCEROS_INFO[#All],2,FALSE)</f>
        <v>30</v>
      </c>
      <c r="D709" s="25">
        <f>+SUMIFS(PROVEEDORES[Total],PROVEEDORES[PROVEEDOR],PROVEEDORES[[#This Row],[PROVEEDOR]],PROVEEDORES[FECHA DE PAGO],"")</f>
        <v>0</v>
      </c>
      <c r="E709" s="25"/>
      <c r="F709" s="58" t="str">
        <f>+VLOOKUP(PROVEEDORES[[#This Row],[PROVEEDOR]],
                       Terceros!$A:$F,
                       5,
                       FALSE)</f>
        <v/>
      </c>
      <c r="G709" s="161">
        <v>44372</v>
      </c>
      <c r="H709" s="26" t="s">
        <v>37</v>
      </c>
      <c r="I709" s="161">
        <v>44372</v>
      </c>
      <c r="J709" s="35" t="s">
        <v>361</v>
      </c>
      <c r="K709" s="21">
        <v>420000</v>
      </c>
      <c r="L709" s="21"/>
      <c r="M709" s="22">
        <f>(PROVEEDORES[[#This Row],[SUBTOTAL]]-PROVEEDORES[[#This Row],[descuento sobre subtotal]])*VLOOKUP(PROVEEDORES[[#This Row],[PROVEEDOR]],TERCEROS_INFO[#All],3,FALSE)</f>
        <v>79800</v>
      </c>
      <c r="N709" s="23"/>
      <c r="O709" s="22">
        <f>+PROVEEDORES[[#This Row],[Descuento sobre subtotal %]]*(PROVEEDORES[[#This Row],[SUBTOTAL]]-PROVEEDORES[[#This Row],[descuento sobre subtotal]])</f>
        <v>0</v>
      </c>
      <c r="P709" s="83">
        <f>+IF(PROVEEDORES[[#This Row],[SUBTOTAL]]&lt;PROVEEDORES[[#This Row],[base retencion]],0,PROVEEDORES[[#This Row],[retención aplicada]])</f>
        <v>0</v>
      </c>
      <c r="Q709" s="22">
        <f>+PROVEEDORES[[#This Row],[Rete Fuente %]]*(PROVEEDORES[[#This Row],[SUBTOTAL]]-PROVEEDORES[[#This Row],[descuento sobre subtotal]])</f>
        <v>0</v>
      </c>
      <c r="R709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7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68">
        <f ca="1">IF(PROVEEDORES[[#This Row],[FECHA DE PAGO]]=0,TODAY()-PROVEEDORES[[#This Row],[FECHA DE FACTURACIÓN]]-PROVEEDORES[[#This Row],[PLAZO Días]],0)</f>
        <v>0</v>
      </c>
      <c r="U709" s="96" t="str">
        <f>+VLOOKUP(PROVEEDORES[[#This Row],[PROVEEDOR]],Terceros!$A:$D,4,FALSE)</f>
        <v>2,5% con base</v>
      </c>
      <c r="V709" s="97">
        <f>+YEAR(PROVEEDORES[[#This Row],[FECHA DE FACTURACIÓN]])</f>
        <v>2021</v>
      </c>
      <c r="W709" s="97">
        <f>+MATCH(PROVEEDORES[[#This Row],[año facturado]],Retenciones!$1:$1,0)</f>
        <v>4</v>
      </c>
      <c r="X709" s="98">
        <f>+VLOOKUP(PROVEEDORES[[#This Row],[ID RETENCION]],Retenciones!$A$1:$O$25,PROVEEDORES[[#This Row],[indicador de columna]],FALSE)</f>
        <v>980000</v>
      </c>
      <c r="Y709" s="99">
        <f>+VLOOKUP(PROVEEDORES[[#This Row],[ID RETENCION]],Retenciones!$A$1:$O$25,2,FALSE)</f>
        <v>2.5000000000000001E-2</v>
      </c>
      <c r="Z709" s="125" t="b">
        <f>OR(COUNTIF(PROVEEDORES[[#This Row],[PROVEEDOR]],"*"&amp;'Palabra no opera'!$A$2&amp;"*"))</f>
        <v>0</v>
      </c>
      <c r="AA709" s="24"/>
      <c r="AB709" s="24"/>
      <c r="AC709" s="24"/>
      <c r="AD709" s="24"/>
      <c r="AE709" s="24"/>
    </row>
    <row r="710" spans="1:31" ht="22.2" customHeight="1" x14ac:dyDescent="0.3">
      <c r="A710" s="66" t="str">
        <f>+IF(PROVEEDORES[[#This Row],[FECHA DE PAGO]]=PROVEEDORES[[#This Row],[FECHA DE FACTURACIÓN]],"DE CONTADO","CRÉDITO")</f>
        <v>CRÉDITO</v>
      </c>
      <c r="B710" s="38" t="str">
        <f>+IF((PROVEEDORES[[#This Row],[FECHA DE PAGO]]-PROVEEDORES[[#This Row],[FECHA DE FACTURACIÓN]])&gt;PROVEEDORES[[#This Row],[PLAZO Días]],"PAGO VENCIDO")</f>
        <v>PAGO VENCIDO</v>
      </c>
      <c r="C710" s="20">
        <f>+VLOOKUP(PROVEEDORES[[#This Row],[PROVEEDOR]],TERCEROS_INFO[#All],2,FALSE)</f>
        <v>45</v>
      </c>
      <c r="D710" s="25">
        <f>+SUMIFS(PROVEEDORES[Total],PROVEEDORES[PROVEEDOR],PROVEEDORES[[#This Row],[PROVEEDOR]],PROVEEDORES[FECHA DE PAGO],"")</f>
        <v>2604910</v>
      </c>
      <c r="E710" s="25"/>
      <c r="F71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10" s="161">
        <v>44600</v>
      </c>
      <c r="H710" s="26" t="s">
        <v>10</v>
      </c>
      <c r="I710" s="161">
        <v>44532</v>
      </c>
      <c r="J710" s="35" t="s">
        <v>552</v>
      </c>
      <c r="K710" s="21">
        <v>420000</v>
      </c>
      <c r="L710" s="21"/>
      <c r="M710" s="22">
        <f>(PROVEEDORES[[#This Row],[SUBTOTAL]]-PROVEEDORES[[#This Row],[descuento sobre subtotal]])*VLOOKUP(PROVEEDORES[[#This Row],[PROVEEDOR]],TERCEROS_INFO[#All],3,FALSE)</f>
        <v>79800</v>
      </c>
      <c r="N710" s="23"/>
      <c r="O710" s="22">
        <f>+PROVEEDORES[[#This Row],[Descuento sobre subtotal %]]*(PROVEEDORES[[#This Row],[SUBTOTAL]]-PROVEEDORES[[#This Row],[descuento sobre subtotal]])</f>
        <v>0</v>
      </c>
      <c r="P710" s="83">
        <f>+IF(PROVEEDORES[[#This Row],[SUBTOTAL]]&lt;PROVEEDORES[[#This Row],[base retencion]],0,PROVEEDORES[[#This Row],[retención aplicada]])</f>
        <v>0</v>
      </c>
      <c r="Q710" s="22">
        <f>+PROVEEDORES[[#This Row],[Rete Fuente %]]*(PROVEEDORES[[#This Row],[SUBTOTAL]]-PROVEEDORES[[#This Row],[descuento sobre subtotal]])</f>
        <v>0</v>
      </c>
      <c r="R710" s="21">
        <v>499800</v>
      </c>
      <c r="S7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68">
        <f ca="1">IF(PROVEEDORES[[#This Row],[FECHA DE PAGO]]=0,TODAY()-PROVEEDORES[[#This Row],[FECHA DE FACTURACIÓN]]-PROVEEDORES[[#This Row],[PLAZO Días]],0)</f>
        <v>0</v>
      </c>
      <c r="U710" s="96">
        <f>+VLOOKUP(PROVEEDORES[[#This Row],[PROVEEDOR]],Terceros!$A:$D,4,FALSE)</f>
        <v>0</v>
      </c>
      <c r="V710" s="97">
        <f>+YEAR(PROVEEDORES[[#This Row],[FECHA DE FACTURACIÓN]])</f>
        <v>2021</v>
      </c>
      <c r="W710" s="97">
        <f>+MATCH(PROVEEDORES[[#This Row],[año facturado]],Retenciones!$1:$1,0)</f>
        <v>4</v>
      </c>
      <c r="X710" s="98">
        <f>+VLOOKUP(PROVEEDORES[[#This Row],[ID RETENCION]],Retenciones!$A$1:$O$25,PROVEEDORES[[#This Row],[indicador de columna]],FALSE)</f>
        <v>0</v>
      </c>
      <c r="Y710" s="99">
        <f>+VLOOKUP(PROVEEDORES[[#This Row],[ID RETENCION]],Retenciones!$A$1:$O$25,2,FALSE)</f>
        <v>0</v>
      </c>
      <c r="Z710" s="125" t="b">
        <f>OR(COUNTIF(PROVEEDORES[[#This Row],[PROVEEDOR]],"*"&amp;'Palabra no opera'!$A$2&amp;"*"))</f>
        <v>0</v>
      </c>
      <c r="AA710" s="24"/>
      <c r="AB710" s="24"/>
      <c r="AC710" s="24"/>
      <c r="AD710" s="24"/>
      <c r="AE710" s="24"/>
    </row>
    <row r="711" spans="1:31" ht="22.2" customHeight="1" x14ac:dyDescent="0.3">
      <c r="A711" s="207" t="str">
        <f>+IF(PROVEEDORES[[#This Row],[FECHA DE PAGO]]=PROVEEDORES[[#This Row],[FECHA DE FACTURACIÓN]],"DE CONTADO","CRÉDITO")</f>
        <v>CRÉDITO</v>
      </c>
      <c r="B711" s="38" t="b">
        <f>+IF((PROVEEDORES[[#This Row],[FECHA DE PAGO]]-PROVEEDORES[[#This Row],[FECHA DE FACTURACIÓN]])&gt;PROVEEDORES[[#This Row],[PLAZO Días]],"PAGO VENCIDO")</f>
        <v>0</v>
      </c>
      <c r="C711" s="20">
        <f>+VLOOKUP(PROVEEDORES[[#This Row],[PROVEEDOR]],TERCEROS_INFO[#All],2,FALSE)</f>
        <v>60</v>
      </c>
      <c r="D711" s="25">
        <f>+SUMIFS(PROVEEDORES[Total],PROVEEDORES[PROVEEDOR],PROVEEDORES[[#This Row],[PROVEEDOR]],PROVEEDORES[FECHA DE PAGO],"")</f>
        <v>23264500</v>
      </c>
      <c r="E711" s="25"/>
      <c r="F711" s="58">
        <f>+VLOOKUP(PROVEEDORES[[#This Row],[PROVEEDOR]],
                       Terceros!$A:$F,
                       5,
                       FALSE)</f>
        <v>0</v>
      </c>
      <c r="G711" s="161">
        <v>44848</v>
      </c>
      <c r="H711" s="26" t="s">
        <v>1429</v>
      </c>
      <c r="I711" s="161">
        <v>44790</v>
      </c>
      <c r="J711" s="35" t="s">
        <v>1419</v>
      </c>
      <c r="K711" s="21">
        <v>420000</v>
      </c>
      <c r="L711" s="21"/>
      <c r="M711" s="22">
        <f>(PROVEEDORES[[#This Row],[SUBTOTAL]]-PROVEEDORES[[#This Row],[descuento sobre subtotal]])*VLOOKUP(PROVEEDORES[[#This Row],[PROVEEDOR]],TERCEROS_INFO[#All],3,FALSE)</f>
        <v>79800</v>
      </c>
      <c r="N711" s="23"/>
      <c r="O711" s="22">
        <f>+PROVEEDORES[[#This Row],[Descuento sobre subtotal %]]*(PROVEEDORES[[#This Row],[SUBTOTAL]]-PROVEEDORES[[#This Row],[descuento sobre subtotal]])</f>
        <v>0</v>
      </c>
      <c r="P711" s="83">
        <f>+IF(PROVEEDORES[[#This Row],[SUBTOTAL]]&lt;PROVEEDORES[[#This Row],[base retencion]],0,PROVEEDORES[[#This Row],[retención aplicada]])</f>
        <v>0</v>
      </c>
      <c r="Q711" s="22">
        <f>+PROVEEDORES[[#This Row],[Rete Fuente %]]*(PROVEEDORES[[#This Row],[SUBTOTAL]]-PROVEEDORES[[#This Row],[descuento sobre subtotal]])</f>
        <v>0</v>
      </c>
      <c r="R711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711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68">
        <f ca="1">IF(PROVEEDORES[[#This Row],[FECHA DE PAGO]]=0,TODAY()-PROVEEDORES[[#This Row],[FECHA DE FACTURACIÓN]]-PROVEEDORES[[#This Row],[PLAZO Días]],0)</f>
        <v>0</v>
      </c>
      <c r="U711" s="113">
        <f>+VLOOKUP(PROVEEDORES[[#This Row],[PROVEEDOR]],Terceros!$A:$D,4,FALSE)</f>
        <v>0</v>
      </c>
      <c r="V711" s="114">
        <f>+YEAR(PROVEEDORES[[#This Row],[FECHA DE FACTURACIÓN]])</f>
        <v>2022</v>
      </c>
      <c r="W711" s="114">
        <f>+MATCH(PROVEEDORES[[#This Row],[año facturado]],Retenciones!$1:$1,0)</f>
        <v>5</v>
      </c>
      <c r="X711" s="115">
        <f>+VLOOKUP(PROVEEDORES[[#This Row],[ID RETENCION]],Retenciones!$A$1:$O$25,PROVEEDORES[[#This Row],[indicador de columna]],FALSE)</f>
        <v>0</v>
      </c>
      <c r="Y711" s="116">
        <f>+VLOOKUP(PROVEEDORES[[#This Row],[ID RETENCION]],Retenciones!$A$1:$O$25,2,FALSE)</f>
        <v>0</v>
      </c>
      <c r="Z711" s="125" t="b">
        <f>OR(COUNTIF(PROVEEDORES[[#This Row],[PROVEEDOR]],"*"&amp;'Palabra no opera'!$A$2&amp;"*"))</f>
        <v>1</v>
      </c>
      <c r="AA711" s="24"/>
      <c r="AB711" s="24"/>
      <c r="AC711" s="24"/>
      <c r="AD711" s="24"/>
      <c r="AE711" s="24"/>
    </row>
    <row r="712" spans="1:31" ht="22.2" customHeight="1" x14ac:dyDescent="0.3">
      <c r="A712" s="185" t="str">
        <f>+IF(PROVEEDORES[[#This Row],[FECHA DE PAGO]]=PROVEEDORES[[#This Row],[FECHA DE FACTURACIÓN]],"DE CONTADO","CRÉDITO")</f>
        <v>DE CONTADO</v>
      </c>
      <c r="B712" s="38" t="b">
        <f>+IF((PROVEEDORES[[#This Row],[FECHA DE PAGO]]-PROVEEDORES[[#This Row],[FECHA DE FACTURACIÓN]])&gt;PROVEEDORES[[#This Row],[PLAZO Días]],"PAGO VENCIDO")</f>
        <v>0</v>
      </c>
      <c r="C712" s="20">
        <f>+VLOOKUP(PROVEEDORES[[#This Row],[PROVEEDOR]],TERCEROS_INFO[#All],2,FALSE)</f>
        <v>30</v>
      </c>
      <c r="D712" s="25">
        <f>+SUMIFS(PROVEEDORES[Total],PROVEEDORES[PROVEEDOR],PROVEEDORES[[#This Row],[PROVEEDOR]],PROVEEDORES[FECHA DE PAGO],"")</f>
        <v>0</v>
      </c>
      <c r="E712" s="25"/>
      <c r="F712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712" s="161">
        <v>44755</v>
      </c>
      <c r="H712" s="26" t="s">
        <v>1125</v>
      </c>
      <c r="I712" s="161">
        <v>44755</v>
      </c>
      <c r="J712" s="35">
        <v>524</v>
      </c>
      <c r="K712" s="21">
        <v>420168</v>
      </c>
      <c r="L712" s="21"/>
      <c r="M712" s="22">
        <f>(PROVEEDORES[[#This Row],[SUBTOTAL]]-PROVEEDORES[[#This Row],[descuento sobre subtotal]])*VLOOKUP(PROVEEDORES[[#This Row],[PROVEEDOR]],TERCEROS_INFO[#All],3,FALSE)</f>
        <v>79831.92</v>
      </c>
      <c r="N712" s="23"/>
      <c r="O712" s="22">
        <f>+PROVEEDORES[[#This Row],[Descuento sobre subtotal %]]*(PROVEEDORES[[#This Row],[SUBTOTAL]]-PROVEEDORES[[#This Row],[descuento sobre subtotal]])</f>
        <v>0</v>
      </c>
      <c r="P712" s="83">
        <f>+IF(PROVEEDORES[[#This Row],[SUBTOTAL]]&lt;PROVEEDORES[[#This Row],[base retencion]],0,PROVEEDORES[[#This Row],[retención aplicada]])</f>
        <v>0</v>
      </c>
      <c r="Q712" s="22">
        <f>+PROVEEDORES[[#This Row],[Rete Fuente %]]*(PROVEEDORES[[#This Row],[SUBTOTAL]]-PROVEEDORES[[#This Row],[descuento sobre subtotal]])</f>
        <v>0</v>
      </c>
      <c r="R712" s="21">
        <f>+PROVEEDORES[[#This Row],[SUBTOTAL]]+PROVEEDORES[[#This Row],[IVA 19%]]-PROVEEDORES[[#This Row],[descuento sobre subtotal]]-PROVEEDORES[[#This Row],[Descuento sobre subtotal $2]]-PROVEEDORES[[#This Row],[Rete Fuente $]]</f>
        <v>499999.92</v>
      </c>
      <c r="S712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68">
        <f ca="1">IF(PROVEEDORES[[#This Row],[FECHA DE PAGO]]=0,TODAY()-PROVEEDORES[[#This Row],[FECHA DE FACTURACIÓN]]-PROVEEDORES[[#This Row],[PLAZO Días]],0)</f>
        <v>0</v>
      </c>
      <c r="U712" s="113">
        <f>+VLOOKUP(PROVEEDORES[[#This Row],[PROVEEDOR]],Terceros!$A:$D,4,FALSE)</f>
        <v>0</v>
      </c>
      <c r="V712" s="114">
        <f>+YEAR(PROVEEDORES[[#This Row],[FECHA DE FACTURACIÓN]])</f>
        <v>2022</v>
      </c>
      <c r="W712" s="114">
        <f>+MATCH(PROVEEDORES[[#This Row],[año facturado]],Retenciones!$1:$1,0)</f>
        <v>5</v>
      </c>
      <c r="X712" s="115">
        <f>+VLOOKUP(PROVEEDORES[[#This Row],[ID RETENCION]],Retenciones!$A$1:$O$25,PROVEEDORES[[#This Row],[indicador de columna]],FALSE)</f>
        <v>0</v>
      </c>
      <c r="Y712" s="116">
        <f>+VLOOKUP(PROVEEDORES[[#This Row],[ID RETENCION]],Retenciones!$A$1:$O$25,2,FALSE)</f>
        <v>0</v>
      </c>
      <c r="Z712" s="125" t="b">
        <f>OR(COUNTIF(PROVEEDORES[[#This Row],[PROVEEDOR]],"*"&amp;'Palabra no opera'!$A$2&amp;"*"))</f>
        <v>0</v>
      </c>
      <c r="AA712" s="24"/>
      <c r="AB712" s="24"/>
      <c r="AC712" s="24"/>
      <c r="AD712" s="24"/>
      <c r="AE712" s="24"/>
    </row>
    <row r="713" spans="1:31" ht="22.2" customHeight="1" x14ac:dyDescent="0.3">
      <c r="A713" s="66" t="str">
        <f>+IF(PROVEEDORES[[#This Row],[FECHA DE PAGO]]=PROVEEDORES[[#This Row],[FECHA DE FACTURACIÓN]],"DE CONTADO","CRÉDITO")</f>
        <v>DE CONTADO</v>
      </c>
      <c r="B713" s="38" t="b">
        <f>+IF((PROVEEDORES[[#This Row],[FECHA DE PAGO]]-PROVEEDORES[[#This Row],[FECHA DE FACTURACIÓN]])&gt;PROVEEDORES[[#This Row],[PLAZO Días]],"PAGO VENCIDO")</f>
        <v>0</v>
      </c>
      <c r="C713" s="20">
        <f>+VLOOKUP(PROVEEDORES[[#This Row],[PROVEEDOR]],TERCEROS_INFO[#All],2,FALSE)</f>
        <v>30</v>
      </c>
      <c r="D713" s="25">
        <f>+SUMIFS(PROVEEDORES[Total],PROVEEDORES[PROVEEDOR],PROVEEDORES[[#This Row],[PROVEEDOR]],PROVEEDORES[FECHA DE PAGO],"")</f>
        <v>0</v>
      </c>
      <c r="E713" s="25"/>
      <c r="F713" s="58" t="str">
        <f>+VLOOKUP(PROVEEDORES[[#This Row],[PROVEEDOR]],
                       Terceros!$A:$F,
                       5,
                       FALSE)</f>
        <v/>
      </c>
      <c r="G713" s="161">
        <v>44307</v>
      </c>
      <c r="H713" s="26" t="s">
        <v>673</v>
      </c>
      <c r="I713" s="161">
        <v>44307</v>
      </c>
      <c r="J713" s="35"/>
      <c r="K713" s="21">
        <v>500000</v>
      </c>
      <c r="L713" s="21"/>
      <c r="M713" s="22">
        <f>(PROVEEDORES[[#This Row],[SUBTOTAL]]-PROVEEDORES[[#This Row],[descuento sobre subtotal]])*VLOOKUP(PROVEEDORES[[#This Row],[PROVEEDOR]],TERCEROS_INFO[#All],3,FALSE)</f>
        <v>0</v>
      </c>
      <c r="N713" s="23"/>
      <c r="O713" s="22">
        <f>+PROVEEDORES[[#This Row],[Descuento sobre subtotal %]]*(PROVEEDORES[[#This Row],[SUBTOTAL]]-PROVEEDORES[[#This Row],[descuento sobre subtotal]])</f>
        <v>0</v>
      </c>
      <c r="P713" s="83">
        <f>+IF(PROVEEDORES[[#This Row],[SUBTOTAL]]&lt;PROVEEDORES[[#This Row],[base retencion]],0,PROVEEDORES[[#This Row],[retención aplicada]])</f>
        <v>0</v>
      </c>
      <c r="Q713" s="22">
        <f>+PROVEEDORES[[#This Row],[Rete Fuente %]]*(PROVEEDORES[[#This Row],[SUBTOTAL]]-PROVEEDORES[[#This Row],[descuento sobre subtotal]])</f>
        <v>0</v>
      </c>
      <c r="R713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68">
        <f ca="1">IF(PROVEEDORES[[#This Row],[FECHA DE PAGO]]=0,TODAY()-PROVEEDORES[[#This Row],[FECHA DE FACTURACIÓN]]-PROVEEDORES[[#This Row],[PLAZO Días]],0)</f>
        <v>0</v>
      </c>
      <c r="U713" s="96">
        <f>+VLOOKUP(PROVEEDORES[[#This Row],[PROVEEDOR]],Terceros!$A:$D,4,FALSE)</f>
        <v>0</v>
      </c>
      <c r="V713" s="97">
        <f>+YEAR(PROVEEDORES[[#This Row],[FECHA DE FACTURACIÓN]])</f>
        <v>2021</v>
      </c>
      <c r="W713" s="97">
        <f>+MATCH(PROVEEDORES[[#This Row],[año facturado]],Retenciones!$1:$1,0)</f>
        <v>4</v>
      </c>
      <c r="X713" s="98">
        <f>+VLOOKUP(PROVEEDORES[[#This Row],[ID RETENCION]],Retenciones!$A$1:$O$25,PROVEEDORES[[#This Row],[indicador de columna]],FALSE)</f>
        <v>0</v>
      </c>
      <c r="Y713" s="99">
        <f>+VLOOKUP(PROVEEDORES[[#This Row],[ID RETENCION]],Retenciones!$A$1:$O$25,2,FALSE)</f>
        <v>0</v>
      </c>
      <c r="Z713" s="125" t="b">
        <f>OR(COUNTIF(PROVEEDORES[[#This Row],[PROVEEDOR]],"*"&amp;'Palabra no opera'!$A$2&amp;"*"))</f>
        <v>0</v>
      </c>
      <c r="AA713" s="24"/>
      <c r="AB713" s="24"/>
      <c r="AC713" s="24"/>
      <c r="AD713" s="24"/>
      <c r="AE713" s="24"/>
    </row>
    <row r="714" spans="1:31" ht="22.2" customHeight="1" x14ac:dyDescent="0.3">
      <c r="A714" s="66" t="str">
        <f>+IF(PROVEEDORES[[#This Row],[FECHA DE PAGO]]=PROVEEDORES[[#This Row],[FECHA DE FACTURACIÓN]],"DE CONTADO","CRÉDITO")</f>
        <v>DE CONTADO</v>
      </c>
      <c r="B714" s="38" t="b">
        <f>+IF((PROVEEDORES[[#This Row],[FECHA DE PAGO]]-PROVEEDORES[[#This Row],[FECHA DE FACTURACIÓN]])&gt;PROVEEDORES[[#This Row],[PLAZO Días]],"PAGO VENCIDO")</f>
        <v>0</v>
      </c>
      <c r="C714" s="20">
        <f>+VLOOKUP(PROVEEDORES[[#This Row],[PROVEEDOR]],TERCEROS_INFO[#All],2,FALSE)</f>
        <v>30</v>
      </c>
      <c r="D714" s="25">
        <f>+SUMIFS(PROVEEDORES[Total],PROVEEDORES[PROVEEDOR],PROVEEDORES[[#This Row],[PROVEEDOR]],PROVEEDORES[FECHA DE PAGO],"")</f>
        <v>0</v>
      </c>
      <c r="E714" s="25"/>
      <c r="F714" s="58" t="str">
        <f>+VLOOKUP(PROVEEDORES[[#This Row],[PROVEEDOR]],
                       Terceros!$A:$F,
                       5,
                       FALSE)</f>
        <v/>
      </c>
      <c r="G714" s="161">
        <v>44314</v>
      </c>
      <c r="H714" s="26" t="s">
        <v>673</v>
      </c>
      <c r="I714" s="161">
        <v>44314</v>
      </c>
      <c r="J714" s="35"/>
      <c r="K714" s="21">
        <v>500000</v>
      </c>
      <c r="L714" s="21"/>
      <c r="M714" s="22">
        <f>(PROVEEDORES[[#This Row],[SUBTOTAL]]-PROVEEDORES[[#This Row],[descuento sobre subtotal]])*VLOOKUP(PROVEEDORES[[#This Row],[PROVEEDOR]],TERCEROS_INFO[#All],3,FALSE)</f>
        <v>0</v>
      </c>
      <c r="N714" s="23"/>
      <c r="O714" s="22">
        <f>+PROVEEDORES[[#This Row],[Descuento sobre subtotal %]]*(PROVEEDORES[[#This Row],[SUBTOTAL]]-PROVEEDORES[[#This Row],[descuento sobre subtotal]])</f>
        <v>0</v>
      </c>
      <c r="P714" s="83">
        <f>+IF(PROVEEDORES[[#This Row],[SUBTOTAL]]&lt;PROVEEDORES[[#This Row],[base retencion]],0,PROVEEDORES[[#This Row],[retención aplicada]])</f>
        <v>0</v>
      </c>
      <c r="Q714" s="22">
        <f>+PROVEEDORES[[#This Row],[Rete Fuente %]]*(PROVEEDORES[[#This Row],[SUBTOTAL]]-PROVEEDORES[[#This Row],[descuento sobre subtotal]])</f>
        <v>0</v>
      </c>
      <c r="R714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68">
        <f ca="1">IF(PROVEEDORES[[#This Row],[FECHA DE PAGO]]=0,TODAY()-PROVEEDORES[[#This Row],[FECHA DE FACTURACIÓN]]-PROVEEDORES[[#This Row],[PLAZO Días]],0)</f>
        <v>0</v>
      </c>
      <c r="U714" s="96">
        <f>+VLOOKUP(PROVEEDORES[[#This Row],[PROVEEDOR]],Terceros!$A:$D,4,FALSE)</f>
        <v>0</v>
      </c>
      <c r="V714" s="97">
        <f>+YEAR(PROVEEDORES[[#This Row],[FECHA DE FACTURACIÓN]])</f>
        <v>2021</v>
      </c>
      <c r="W714" s="97">
        <f>+MATCH(PROVEEDORES[[#This Row],[año facturado]],Retenciones!$1:$1,0)</f>
        <v>4</v>
      </c>
      <c r="X714" s="98">
        <f>+VLOOKUP(PROVEEDORES[[#This Row],[ID RETENCION]],Retenciones!$A$1:$O$25,PROVEEDORES[[#This Row],[indicador de columna]],FALSE)</f>
        <v>0</v>
      </c>
      <c r="Y714" s="99">
        <f>+VLOOKUP(PROVEEDORES[[#This Row],[ID RETENCION]],Retenciones!$A$1:$O$25,2,FALSE)</f>
        <v>0</v>
      </c>
      <c r="Z714" s="125" t="b">
        <f>OR(COUNTIF(PROVEEDORES[[#This Row],[PROVEEDOR]],"*"&amp;'Palabra no opera'!$A$2&amp;"*"))</f>
        <v>0</v>
      </c>
      <c r="AA714" s="24"/>
      <c r="AB714" s="24"/>
      <c r="AC714" s="24"/>
      <c r="AD714" s="24"/>
      <c r="AE714" s="24"/>
    </row>
    <row r="715" spans="1:31" ht="22.2" customHeight="1" x14ac:dyDescent="0.3">
      <c r="A715" s="66" t="str">
        <f>+IF(PROVEEDORES[[#This Row],[FECHA DE PAGO]]=PROVEEDORES[[#This Row],[FECHA DE FACTURACIÓN]],"DE CONTADO","CRÉDITO")</f>
        <v>DE CONTADO</v>
      </c>
      <c r="B715" s="38" t="b">
        <f>+IF((PROVEEDORES[[#This Row],[FECHA DE PAGO]]-PROVEEDORES[[#This Row],[FECHA DE FACTURACIÓN]])&gt;PROVEEDORES[[#This Row],[PLAZO Días]],"PAGO VENCIDO")</f>
        <v>0</v>
      </c>
      <c r="C715" s="20">
        <f>+VLOOKUP(PROVEEDORES[[#This Row],[PROVEEDOR]],TERCEROS_INFO[#All],2,FALSE)</f>
        <v>30</v>
      </c>
      <c r="D715" s="25">
        <f>+SUMIFS(PROVEEDORES[Total],PROVEEDORES[PROVEEDOR],PROVEEDORES[[#This Row],[PROVEEDOR]],PROVEEDORES[FECHA DE PAGO],"")</f>
        <v>0</v>
      </c>
      <c r="E715" s="25"/>
      <c r="F715" s="58" t="str">
        <f>+VLOOKUP(PROVEEDORES[[#This Row],[PROVEEDOR]],
                       Terceros!$A:$F,
                       5,
                       FALSE)</f>
        <v/>
      </c>
      <c r="G715" s="161">
        <v>44327</v>
      </c>
      <c r="H715" s="26" t="s">
        <v>673</v>
      </c>
      <c r="I715" s="161">
        <v>44327</v>
      </c>
      <c r="J715" s="35"/>
      <c r="K715" s="21">
        <v>500000</v>
      </c>
      <c r="L715" s="21"/>
      <c r="M715" s="22">
        <f>(PROVEEDORES[[#This Row],[SUBTOTAL]]-PROVEEDORES[[#This Row],[descuento sobre subtotal]])*VLOOKUP(PROVEEDORES[[#This Row],[PROVEEDOR]],TERCEROS_INFO[#All],3,FALSE)</f>
        <v>0</v>
      </c>
      <c r="N715" s="23"/>
      <c r="O715" s="22">
        <f>+PROVEEDORES[[#This Row],[Descuento sobre subtotal %]]*(PROVEEDORES[[#This Row],[SUBTOTAL]]-PROVEEDORES[[#This Row],[descuento sobre subtotal]])</f>
        <v>0</v>
      </c>
      <c r="P715" s="83">
        <f>+IF(PROVEEDORES[[#This Row],[SUBTOTAL]]&lt;PROVEEDORES[[#This Row],[base retencion]],0,PROVEEDORES[[#This Row],[retención aplicada]])</f>
        <v>0</v>
      </c>
      <c r="Q715" s="22">
        <f>+PROVEEDORES[[#This Row],[Rete Fuente %]]*(PROVEEDORES[[#This Row],[SUBTOTAL]]-PROVEEDORES[[#This Row],[descuento sobre subtotal]])</f>
        <v>0</v>
      </c>
      <c r="R715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68">
        <f ca="1">IF(PROVEEDORES[[#This Row],[FECHA DE PAGO]]=0,TODAY()-PROVEEDORES[[#This Row],[FECHA DE FACTURACIÓN]]-PROVEEDORES[[#This Row],[PLAZO Días]],0)</f>
        <v>0</v>
      </c>
      <c r="U715" s="96">
        <f>+VLOOKUP(PROVEEDORES[[#This Row],[PROVEEDOR]],Terceros!$A:$D,4,FALSE)</f>
        <v>0</v>
      </c>
      <c r="V715" s="97">
        <f>+YEAR(PROVEEDORES[[#This Row],[FECHA DE FACTURACIÓN]])</f>
        <v>2021</v>
      </c>
      <c r="W715" s="97">
        <f>+MATCH(PROVEEDORES[[#This Row],[año facturado]],Retenciones!$1:$1,0)</f>
        <v>4</v>
      </c>
      <c r="X715" s="98">
        <f>+VLOOKUP(PROVEEDORES[[#This Row],[ID RETENCION]],Retenciones!$A$1:$O$25,PROVEEDORES[[#This Row],[indicador de columna]],FALSE)</f>
        <v>0</v>
      </c>
      <c r="Y715" s="99">
        <f>+VLOOKUP(PROVEEDORES[[#This Row],[ID RETENCION]],Retenciones!$A$1:$O$25,2,FALSE)</f>
        <v>0</v>
      </c>
      <c r="Z715" s="125" t="b">
        <f>OR(COUNTIF(PROVEEDORES[[#This Row],[PROVEEDOR]],"*"&amp;'Palabra no opera'!$A$2&amp;"*"))</f>
        <v>0</v>
      </c>
      <c r="AA715" s="24"/>
      <c r="AB715" s="24"/>
      <c r="AC715" s="24"/>
      <c r="AD715" s="24"/>
      <c r="AE715" s="24"/>
    </row>
    <row r="716" spans="1:31" ht="22.2" customHeight="1" x14ac:dyDescent="0.3">
      <c r="A716" s="66" t="str">
        <f>+IF(PROVEEDORES[[#This Row],[FECHA DE PAGO]]=PROVEEDORES[[#This Row],[FECHA DE FACTURACIÓN]],"DE CONTADO","CRÉDITO")</f>
        <v>CRÉDITO</v>
      </c>
      <c r="B716" s="38" t="str">
        <f>+IF((PROVEEDORES[[#This Row],[FECHA DE PAGO]]-PROVEEDORES[[#This Row],[FECHA DE FACTURACIÓN]])&gt;PROVEEDORES[[#This Row],[PLAZO Días]],"PAGO VENCIDO")</f>
        <v>PAGO VENCIDO</v>
      </c>
      <c r="C716" s="20">
        <f>+VLOOKUP(PROVEEDORES[[#This Row],[PROVEEDOR]],TERCEROS_INFO[#All],2,FALSE)</f>
        <v>30</v>
      </c>
      <c r="D716" s="25">
        <f>+SUMIFS(PROVEEDORES[Total],PROVEEDORES[PROVEEDOR],PROVEEDORES[[#This Row],[PROVEEDOR]],PROVEEDORES[FECHA DE PAGO],"")</f>
        <v>0</v>
      </c>
      <c r="E716" s="25"/>
      <c r="F716" s="58"/>
      <c r="G716" s="161">
        <v>44522</v>
      </c>
      <c r="H716" s="26" t="s">
        <v>627</v>
      </c>
      <c r="I716" s="161">
        <v>44457</v>
      </c>
      <c r="J716" s="35" t="s">
        <v>1308</v>
      </c>
      <c r="K716" s="21">
        <v>500000</v>
      </c>
      <c r="L716" s="21"/>
      <c r="M716" s="22">
        <f>(PROVEEDORES[[#This Row],[SUBTOTAL]]-PROVEEDORES[[#This Row],[descuento sobre subtotal]])*VLOOKUP(PROVEEDORES[[#This Row],[PROVEEDOR]],TERCEROS_INFO[#All],3,FALSE)</f>
        <v>0</v>
      </c>
      <c r="N716" s="23"/>
      <c r="O716" s="22">
        <f>+PROVEEDORES[[#This Row],[Descuento sobre subtotal %]]*(PROVEEDORES[[#This Row],[SUBTOTAL]]-PROVEEDORES[[#This Row],[descuento sobre subtotal]])</f>
        <v>0</v>
      </c>
      <c r="P716" s="83">
        <f>+IF(PROVEEDORES[[#This Row],[SUBTOTAL]]&lt;PROVEEDORES[[#This Row],[base retencion]],0,PROVEEDORES[[#This Row],[retención aplicada]])</f>
        <v>0</v>
      </c>
      <c r="Q716" s="22">
        <f>+PROVEEDORES[[#This Row],[Rete Fuente %]]*(PROVEEDORES[[#This Row],[SUBTOTAL]]-PROVEEDORES[[#This Row],[descuento sobre subtotal]])</f>
        <v>0</v>
      </c>
      <c r="R716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68">
        <f ca="1">IF(PROVEEDORES[[#This Row],[FECHA DE PAGO]]=0,TODAY()-PROVEEDORES[[#This Row],[FECHA DE FACTURACIÓN]]-PROVEEDORES[[#This Row],[PLAZO Días]],0)</f>
        <v>0</v>
      </c>
      <c r="U716" s="96">
        <f>+VLOOKUP(PROVEEDORES[[#This Row],[PROVEEDOR]],Terceros!$A:$D,4,FALSE)</f>
        <v>0</v>
      </c>
      <c r="V716" s="97">
        <f>+YEAR(PROVEEDORES[[#This Row],[FECHA DE FACTURACIÓN]])</f>
        <v>2021</v>
      </c>
      <c r="W716" s="97">
        <f>+MATCH(PROVEEDORES[[#This Row],[año facturado]],Retenciones!$1:$1,0)</f>
        <v>4</v>
      </c>
      <c r="X716" s="98">
        <f>+VLOOKUP(PROVEEDORES[[#This Row],[ID RETENCION]],Retenciones!$A$1:$O$25,PROVEEDORES[[#This Row],[indicador de columna]],FALSE)</f>
        <v>0</v>
      </c>
      <c r="Y716" s="99">
        <f>+VLOOKUP(PROVEEDORES[[#This Row],[ID RETENCION]],Retenciones!$A$1:$O$25,2,FALSE)</f>
        <v>0</v>
      </c>
      <c r="Z716" s="125" t="b">
        <f>OR(COUNTIF(PROVEEDORES[[#This Row],[PROVEEDOR]],"*"&amp;'Palabra no opera'!$A$2&amp;"*"))</f>
        <v>0</v>
      </c>
      <c r="AA716" s="24"/>
      <c r="AB716" s="24"/>
      <c r="AC716" s="24"/>
      <c r="AD716" s="24"/>
      <c r="AE716" s="24"/>
    </row>
    <row r="717" spans="1:31" ht="22.2" customHeight="1" x14ac:dyDescent="0.3">
      <c r="A717" s="66" t="str">
        <f>+IF(PROVEEDORES[[#This Row],[FECHA DE PAGO]]=PROVEEDORES[[#This Row],[FECHA DE FACTURACIÓN]],"DE CONTADO","CRÉDITO")</f>
        <v>CRÉDITO</v>
      </c>
      <c r="B717" s="38" t="str">
        <f>+IF((PROVEEDORES[[#This Row],[FECHA DE PAGO]]-PROVEEDORES[[#This Row],[FECHA DE FACTURACIÓN]])&gt;PROVEEDORES[[#This Row],[PLAZO Días]],"PAGO VENCIDO")</f>
        <v>PAGO VENCIDO</v>
      </c>
      <c r="C717" s="20">
        <f>+VLOOKUP(PROVEEDORES[[#This Row],[PROVEEDOR]],TERCEROS_INFO[#All],2,FALSE)</f>
        <v>30</v>
      </c>
      <c r="D717" s="25">
        <f>+SUMIFS(PROVEEDORES[Total],PROVEEDORES[PROVEEDOR],PROVEEDORES[[#This Row],[PROVEEDOR]],PROVEEDORES[FECHA DE PAGO],"")</f>
        <v>0</v>
      </c>
      <c r="E717" s="25"/>
      <c r="F717" s="58" t="str">
        <f>+VLOOKUP(PROVEEDORES[[#This Row],[PROVEEDOR]],
                       Terceros!$A:$F,
                       5,
                       FALSE)</f>
        <v/>
      </c>
      <c r="G717" s="161">
        <v>44557</v>
      </c>
      <c r="H717" s="26" t="s">
        <v>686</v>
      </c>
      <c r="I717" s="161">
        <v>44525</v>
      </c>
      <c r="J717" s="35" t="s">
        <v>1533</v>
      </c>
      <c r="K717" s="21">
        <v>500000</v>
      </c>
      <c r="L717" s="21"/>
      <c r="M717" s="22">
        <f>(PROVEEDORES[[#This Row],[SUBTOTAL]]-PROVEEDORES[[#This Row],[descuento sobre subtotal]])*VLOOKUP(PROVEEDORES[[#This Row],[PROVEEDOR]],TERCEROS_INFO[#All],3,FALSE)</f>
        <v>0</v>
      </c>
      <c r="N717" s="23"/>
      <c r="O717" s="22">
        <f>+PROVEEDORES[[#This Row],[Descuento sobre subtotal %]]*(PROVEEDORES[[#This Row],[SUBTOTAL]]-PROVEEDORES[[#This Row],[descuento sobre subtotal]])</f>
        <v>0</v>
      </c>
      <c r="P717" s="83">
        <f>+IF(PROVEEDORES[[#This Row],[SUBTOTAL]]&lt;PROVEEDORES[[#This Row],[base retencion]],0,PROVEEDORES[[#This Row],[retención aplicada]])</f>
        <v>0</v>
      </c>
      <c r="Q717" s="22">
        <f>+PROVEEDORES[[#This Row],[Rete Fuente %]]*(PROVEEDORES[[#This Row],[SUBTOTAL]]-PROVEEDORES[[#This Row],[descuento sobre subtotal]])</f>
        <v>0</v>
      </c>
      <c r="R717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68">
        <f ca="1">IF(PROVEEDORES[[#This Row],[FECHA DE PAGO]]=0,TODAY()-PROVEEDORES[[#This Row],[FECHA DE FACTURACIÓN]]-PROVEEDORES[[#This Row],[PLAZO Días]],0)</f>
        <v>0</v>
      </c>
      <c r="U717" s="96">
        <f>+VLOOKUP(PROVEEDORES[[#This Row],[PROVEEDOR]],Terceros!$A:$D,4,FALSE)</f>
        <v>0</v>
      </c>
      <c r="V717" s="97">
        <f>+YEAR(PROVEEDORES[[#This Row],[FECHA DE FACTURACIÓN]])</f>
        <v>2021</v>
      </c>
      <c r="W717" s="97">
        <f>+MATCH(PROVEEDORES[[#This Row],[año facturado]],Retenciones!$1:$1,0)</f>
        <v>4</v>
      </c>
      <c r="X717" s="98">
        <f>+VLOOKUP(PROVEEDORES[[#This Row],[ID RETENCION]],Retenciones!$A$1:$O$25,PROVEEDORES[[#This Row],[indicador de columna]],FALSE)</f>
        <v>0</v>
      </c>
      <c r="Y717" s="99">
        <f>+VLOOKUP(PROVEEDORES[[#This Row],[ID RETENCION]],Retenciones!$A$1:$O$25,2,FALSE)</f>
        <v>0</v>
      </c>
      <c r="Z717" s="125" t="b">
        <f>OR(COUNTIF(PROVEEDORES[[#This Row],[PROVEEDOR]],"*"&amp;'Palabra no opera'!$A$2&amp;"*"))</f>
        <v>0</v>
      </c>
      <c r="AA717" s="24"/>
      <c r="AB717" s="24"/>
      <c r="AC717" s="24"/>
      <c r="AD717" s="24"/>
      <c r="AE717" s="24"/>
    </row>
    <row r="718" spans="1:31" ht="22.2" customHeight="1" x14ac:dyDescent="0.3">
      <c r="A718" s="207" t="str">
        <f>+IF(PROVEEDORES[[#This Row],[FECHA DE PAGO]]=PROVEEDORES[[#This Row],[FECHA DE FACTURACIÓN]],"DE CONTADO","CRÉDITO")</f>
        <v>DE CONTADO</v>
      </c>
      <c r="B718" s="38" t="b">
        <f>+IF((PROVEEDORES[[#This Row],[FECHA DE PAGO]]-PROVEEDORES[[#This Row],[FECHA DE FACTURACIÓN]])&gt;PROVEEDORES[[#This Row],[PLAZO Días]],"PAGO VENCIDO")</f>
        <v>0</v>
      </c>
      <c r="C718" s="20">
        <f>+VLOOKUP(PROVEEDORES[[#This Row],[PROVEEDOR]],TERCEROS_INFO[#All],2,FALSE)</f>
        <v>30</v>
      </c>
      <c r="D718" s="25">
        <f>+SUMIFS(PROVEEDORES[Total],PROVEEDORES[PROVEEDOR],PROVEEDORES[[#This Row],[PROVEEDOR]],PROVEEDORES[FECHA DE PAGO],"")</f>
        <v>0</v>
      </c>
      <c r="E718" s="25"/>
      <c r="F718" s="58" t="str">
        <f>+VLOOKUP(PROVEEDORES[[#This Row],[PROVEEDOR]],
                       Terceros!$A:$F,
                       5,
                       FALSE)</f>
        <v/>
      </c>
      <c r="G718" s="161">
        <v>44804</v>
      </c>
      <c r="H718" s="26" t="s">
        <v>673</v>
      </c>
      <c r="I718" s="161">
        <v>44804</v>
      </c>
      <c r="J718" s="35"/>
      <c r="K718" s="21">
        <v>500000</v>
      </c>
      <c r="L718" s="21"/>
      <c r="M718" s="22">
        <f>(PROVEEDORES[[#This Row],[SUBTOTAL]]-PROVEEDORES[[#This Row],[descuento sobre subtotal]])*VLOOKUP(PROVEEDORES[[#This Row],[PROVEEDOR]],TERCEROS_INFO[#All],3,FALSE)</f>
        <v>0</v>
      </c>
      <c r="N718" s="23"/>
      <c r="O718" s="22">
        <f>+PROVEEDORES[[#This Row],[Descuento sobre subtotal %]]*(PROVEEDORES[[#This Row],[SUBTOTAL]]-PROVEEDORES[[#This Row],[descuento sobre subtotal]])</f>
        <v>0</v>
      </c>
      <c r="P718" s="83">
        <f>+IF(PROVEEDORES[[#This Row],[SUBTOTAL]]&lt;PROVEEDORES[[#This Row],[base retencion]],0,PROVEEDORES[[#This Row],[retención aplicada]])</f>
        <v>0</v>
      </c>
      <c r="Q718" s="22">
        <f>+PROVEEDORES[[#This Row],[Rete Fuente %]]*(PROVEEDORES[[#This Row],[SUBTOTAL]]-PROVEEDORES[[#This Row],[descuento sobre subtotal]])</f>
        <v>0</v>
      </c>
      <c r="R718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8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68">
        <f ca="1">IF(PROVEEDORES[[#This Row],[FECHA DE PAGO]]=0,TODAY()-PROVEEDORES[[#This Row],[FECHA DE FACTURACIÓN]]-PROVEEDORES[[#This Row],[PLAZO Días]],0)</f>
        <v>0</v>
      </c>
      <c r="U718" s="113">
        <f>+VLOOKUP(PROVEEDORES[[#This Row],[PROVEEDOR]],Terceros!$A:$D,4,FALSE)</f>
        <v>0</v>
      </c>
      <c r="V718" s="114">
        <f>+YEAR(PROVEEDORES[[#This Row],[FECHA DE FACTURACIÓN]])</f>
        <v>2022</v>
      </c>
      <c r="W718" s="114">
        <f>+MATCH(PROVEEDORES[[#This Row],[año facturado]],Retenciones!$1:$1,0)</f>
        <v>5</v>
      </c>
      <c r="X718" s="115">
        <f>+VLOOKUP(PROVEEDORES[[#This Row],[ID RETENCION]],Retenciones!$A$1:$O$25,PROVEEDORES[[#This Row],[indicador de columna]],FALSE)</f>
        <v>0</v>
      </c>
      <c r="Y718" s="116">
        <f>+VLOOKUP(PROVEEDORES[[#This Row],[ID RETENCION]],Retenciones!$A$1:$O$25,2,FALSE)</f>
        <v>0</v>
      </c>
      <c r="Z718" s="125" t="b">
        <f>OR(COUNTIF(PROVEEDORES[[#This Row],[PROVEEDOR]],"*"&amp;'Palabra no opera'!$A$2&amp;"*"))</f>
        <v>0</v>
      </c>
      <c r="AA718" s="24"/>
      <c r="AB718" s="24"/>
      <c r="AC718" s="24"/>
      <c r="AD718" s="24"/>
      <c r="AE718" s="24"/>
    </row>
    <row r="719" spans="1:31" ht="22.2" customHeight="1" x14ac:dyDescent="0.3">
      <c r="A719" s="207" t="str">
        <f>+IF(PROVEEDORES[[#This Row],[FECHA DE PAGO]]=PROVEEDORES[[#This Row],[FECHA DE FACTURACIÓN]],"DE CONTADO","CRÉDITO")</f>
        <v>DE CONTADO</v>
      </c>
      <c r="B719" s="38" t="b">
        <f>+IF((PROVEEDORES[[#This Row],[FECHA DE PAGO]]-PROVEEDORES[[#This Row],[FECHA DE FACTURACIÓN]])&gt;PROVEEDORES[[#This Row],[PLAZO Días]],"PAGO VENCIDO")</f>
        <v>0</v>
      </c>
      <c r="C719" s="20">
        <f>+VLOOKUP(PROVEEDORES[[#This Row],[PROVEEDOR]],TERCEROS_INFO[#All],2,FALSE)</f>
        <v>30</v>
      </c>
      <c r="D719" s="25">
        <f>+SUMIFS(PROVEEDORES[Total],PROVEEDORES[PROVEEDOR],PROVEEDORES[[#This Row],[PROVEEDOR]],PROVEEDORES[FECHA DE PAGO],"")</f>
        <v>0</v>
      </c>
      <c r="E719" s="25"/>
      <c r="F719" s="58" t="str">
        <f>+VLOOKUP(PROVEEDORES[[#This Row],[PROVEEDOR]],
                       Terceros!$A:$F,
                       5,
                       FALSE)</f>
        <v/>
      </c>
      <c r="G719" s="161">
        <v>44804</v>
      </c>
      <c r="H719" s="26" t="s">
        <v>673</v>
      </c>
      <c r="I719" s="161">
        <v>44804</v>
      </c>
      <c r="J719" s="35"/>
      <c r="K719" s="21">
        <v>500000</v>
      </c>
      <c r="L719" s="21"/>
      <c r="M719" s="22">
        <f>(PROVEEDORES[[#This Row],[SUBTOTAL]]-PROVEEDORES[[#This Row],[descuento sobre subtotal]])*VLOOKUP(PROVEEDORES[[#This Row],[PROVEEDOR]],TERCEROS_INFO[#All],3,FALSE)</f>
        <v>0</v>
      </c>
      <c r="N719" s="23"/>
      <c r="O719" s="22">
        <f>+PROVEEDORES[[#This Row],[Descuento sobre subtotal %]]*(PROVEEDORES[[#This Row],[SUBTOTAL]]-PROVEEDORES[[#This Row],[descuento sobre subtotal]])</f>
        <v>0</v>
      </c>
      <c r="P719" s="83">
        <f>+IF(PROVEEDORES[[#This Row],[SUBTOTAL]]&lt;PROVEEDORES[[#This Row],[base retencion]],0,PROVEEDORES[[#This Row],[retención aplicada]])</f>
        <v>0</v>
      </c>
      <c r="Q719" s="22">
        <f>+PROVEEDORES[[#This Row],[Rete Fuente %]]*(PROVEEDORES[[#This Row],[SUBTOTAL]]-PROVEEDORES[[#This Row],[descuento sobre subtotal]])</f>
        <v>0</v>
      </c>
      <c r="R719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9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68">
        <f ca="1">IF(PROVEEDORES[[#This Row],[FECHA DE PAGO]]=0,TODAY()-PROVEEDORES[[#This Row],[FECHA DE FACTURACIÓN]]-PROVEEDORES[[#This Row],[PLAZO Días]],0)</f>
        <v>0</v>
      </c>
      <c r="U719" s="113">
        <f>+VLOOKUP(PROVEEDORES[[#This Row],[PROVEEDOR]],Terceros!$A:$D,4,FALSE)</f>
        <v>0</v>
      </c>
      <c r="V719" s="114">
        <f>+YEAR(PROVEEDORES[[#This Row],[FECHA DE FACTURACIÓN]])</f>
        <v>2022</v>
      </c>
      <c r="W719" s="114">
        <f>+MATCH(PROVEEDORES[[#This Row],[año facturado]],Retenciones!$1:$1,0)</f>
        <v>5</v>
      </c>
      <c r="X719" s="115">
        <f>+VLOOKUP(PROVEEDORES[[#This Row],[ID RETENCION]],Retenciones!$A$1:$O$25,PROVEEDORES[[#This Row],[indicador de columna]],FALSE)</f>
        <v>0</v>
      </c>
      <c r="Y719" s="116">
        <f>+VLOOKUP(PROVEEDORES[[#This Row],[ID RETENCION]],Retenciones!$A$1:$O$25,2,FALSE)</f>
        <v>0</v>
      </c>
      <c r="Z719" s="125" t="b">
        <f>OR(COUNTIF(PROVEEDORES[[#This Row],[PROVEEDOR]],"*"&amp;'Palabra no opera'!$A$2&amp;"*"))</f>
        <v>0</v>
      </c>
      <c r="AA719" s="24"/>
      <c r="AB719" s="24"/>
      <c r="AC719" s="24"/>
      <c r="AD719" s="24"/>
      <c r="AE719" s="24"/>
    </row>
    <row r="720" spans="1:31" ht="22.2" customHeight="1" x14ac:dyDescent="0.3">
      <c r="A720" s="72" t="str">
        <f>+IF(PROVEEDORES[[#This Row],[FECHA DE PAGO]]=PROVEEDORES[[#This Row],[FECHA DE FACTURACIÓN]],"DE CONTADO","CRÉDITO")</f>
        <v>CRÉDITO</v>
      </c>
      <c r="B720" s="38" t="b">
        <f>+IF((PROVEEDORES[[#This Row],[FECHA DE PAGO]]-PROVEEDORES[[#This Row],[FECHA DE FACTURACIÓN]])&gt;PROVEEDORES[[#This Row],[PLAZO Días]],"PAGO VENCIDO")</f>
        <v>0</v>
      </c>
      <c r="C720" s="20">
        <f>+VLOOKUP(PROVEEDORES[[#This Row],[PROVEEDOR]],TERCEROS_INFO[#All],2,FALSE)</f>
        <v>30</v>
      </c>
      <c r="D720" s="25">
        <f>+SUMIFS(PROVEEDORES[Total],PROVEEDORES[PROVEEDOR],PROVEEDORES[[#This Row],[PROVEEDOR]],PROVEEDORES[FECHA DE PAGO],"")</f>
        <v>1645455.6614999999</v>
      </c>
      <c r="E720" s="25"/>
      <c r="F720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720" s="26" t="s">
        <v>79</v>
      </c>
      <c r="I720" s="161">
        <v>44831</v>
      </c>
      <c r="J720" s="35" t="s">
        <v>1715</v>
      </c>
      <c r="K720" s="21">
        <v>420800</v>
      </c>
      <c r="L720" s="21"/>
      <c r="M720" s="22">
        <f>(PROVEEDORES[[#This Row],[SUBTOTAL]]-PROVEEDORES[[#This Row],[descuento sobre subtotal]])*VLOOKUP(PROVEEDORES[[#This Row],[PROVEEDOR]],TERCEROS_INFO[#All],3,FALSE)</f>
        <v>79952</v>
      </c>
      <c r="N720" s="23"/>
      <c r="O720" s="22">
        <f>+PROVEEDORES[[#This Row],[Descuento sobre subtotal %]]*(PROVEEDORES[[#This Row],[SUBTOTAL]]-PROVEEDORES[[#This Row],[descuento sobre subtotal]])</f>
        <v>0</v>
      </c>
      <c r="P720" s="83">
        <f>+IF(PROVEEDORES[[#This Row],[SUBTOTAL]]&lt;PROVEEDORES[[#This Row],[base retencion]],0,PROVEEDORES[[#This Row],[retención aplicada]])</f>
        <v>0</v>
      </c>
      <c r="Q720" s="22">
        <f>+PROVEEDORES[[#This Row],[Rete Fuente %]]*(PROVEEDORES[[#This Row],[SUBTOTAL]]-PROVEEDORES[[#This Row],[descuento sobre subtotal]])</f>
        <v>0</v>
      </c>
      <c r="R720" s="21">
        <f>+PROVEEDORES[[#This Row],[SUBTOTAL]]+PROVEEDORES[[#This Row],[IVA 19%]]-PROVEEDORES[[#This Row],[descuento sobre subtotal]]-PROVEEDORES[[#This Row],[Descuento sobre subtotal $2]]-PROVEEDORES[[#This Row],[Rete Fuente $]]</f>
        <v>500752</v>
      </c>
      <c r="S720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720" s="68">
        <f ca="1">IF(PROVEEDORES[[#This Row],[FECHA DE PAGO]]=0,TODAY()-PROVEEDORES[[#This Row],[FECHA DE FACTURACIÓN]]-PROVEEDORES[[#This Row],[PLAZO Días]],0)</f>
        <v>14</v>
      </c>
      <c r="U720" s="113" t="str">
        <f>+VLOOKUP(PROVEEDORES[[#This Row],[PROVEEDOR]],Terceros!$A:$D,4,FALSE)</f>
        <v>2,5% con base</v>
      </c>
      <c r="V720" s="114">
        <f>+YEAR(PROVEEDORES[[#This Row],[FECHA DE FACTURACIÓN]])</f>
        <v>2022</v>
      </c>
      <c r="W720" s="114">
        <f>+MATCH(PROVEEDORES[[#This Row],[año facturado]],Retenciones!$1:$1,0)</f>
        <v>5</v>
      </c>
      <c r="X720" s="115">
        <f>+VLOOKUP(PROVEEDORES[[#This Row],[ID RETENCION]],Retenciones!$A$1:$O$25,PROVEEDORES[[#This Row],[indicador de columna]],FALSE)</f>
        <v>1026000</v>
      </c>
      <c r="Y720" s="116">
        <f>+VLOOKUP(PROVEEDORES[[#This Row],[ID RETENCION]],Retenciones!$A$1:$O$25,2,FALSE)</f>
        <v>2.5000000000000001E-2</v>
      </c>
      <c r="Z720" s="125" t="b">
        <f>OR(COUNTIF(PROVEEDORES[[#This Row],[PROVEEDOR]],"*"&amp;'Palabra no opera'!$A$2&amp;"*"))</f>
        <v>0</v>
      </c>
      <c r="AA720" s="24"/>
      <c r="AB720" s="24"/>
      <c r="AC720" s="24"/>
      <c r="AD720" s="24"/>
      <c r="AE720" s="24"/>
    </row>
    <row r="721" spans="1:31" ht="22.2" customHeight="1" x14ac:dyDescent="0.3">
      <c r="A721" s="269" t="str">
        <f>+IF(PROVEEDORES[[#This Row],[FECHA DE PAGO]]=PROVEEDORES[[#This Row],[FECHA DE FACTURACIÓN]],"DE CONTADO","CRÉDITO")</f>
        <v>CRÉDITO</v>
      </c>
      <c r="B721" s="38" t="b">
        <f>+IF((PROVEEDORES[[#This Row],[FECHA DE PAGO]]-PROVEEDORES[[#This Row],[FECHA DE FACTURACIÓN]])&gt;PROVEEDORES[[#This Row],[PLAZO Días]],"PAGO VENCIDO")</f>
        <v>0</v>
      </c>
      <c r="C721" s="20">
        <f>+VLOOKUP(PROVEEDORES[[#This Row],[PROVEEDOR]],TERCEROS_INFO[#All],2,FALSE)</f>
        <v>30</v>
      </c>
      <c r="D721" s="25">
        <f>+SUMIFS(PROVEEDORES[Total],PROVEEDORES[PROVEEDOR],PROVEEDORES[[#This Row],[PROVEEDOR]],PROVEEDORES[FECHA DE PAGO],"")</f>
        <v>4712021.58</v>
      </c>
      <c r="E721" s="25"/>
      <c r="F72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721" s="26" t="s">
        <v>17</v>
      </c>
      <c r="I721" s="161">
        <v>44852</v>
      </c>
      <c r="J721" s="35">
        <v>1972877</v>
      </c>
      <c r="K721" s="21">
        <v>428481</v>
      </c>
      <c r="L721" s="21"/>
      <c r="M721" s="22">
        <f>(PROVEEDORES[[#This Row],[SUBTOTAL]]-PROVEEDORES[[#This Row],[descuento sobre subtotal]])*VLOOKUP(PROVEEDORES[[#This Row],[PROVEEDOR]],TERCEROS_INFO[#All],3,FALSE)</f>
        <v>81411.39</v>
      </c>
      <c r="N721" s="23"/>
      <c r="O721" s="22">
        <f>+PROVEEDORES[[#This Row],[Descuento sobre subtotal %]]*(PROVEEDORES[[#This Row],[SUBTOTAL]]-PROVEEDORES[[#This Row],[descuento sobre subtotal]])</f>
        <v>0</v>
      </c>
      <c r="P721" s="83">
        <f>+IF(PROVEEDORES[[#This Row],[SUBTOTAL]]&lt;PROVEEDORES[[#This Row],[base retencion]],0,PROVEEDORES[[#This Row],[retención aplicada]])</f>
        <v>0</v>
      </c>
      <c r="Q721" s="22">
        <f>+PROVEEDORES[[#This Row],[Rete Fuente %]]*(PROVEEDORES[[#This Row],[SUBTOTAL]]-PROVEEDORES[[#This Row],[descuento sobre subtotal]])</f>
        <v>0</v>
      </c>
      <c r="R721" s="21">
        <f>+PROVEEDORES[[#This Row],[SUBTOTAL]]+PROVEEDORES[[#This Row],[IVA 19%]]-PROVEEDORES[[#This Row],[descuento sobre subtotal]]-PROVEEDORES[[#This Row],[Descuento sobre subtotal $2]]-PROVEEDORES[[#This Row],[Rete Fuente $]]</f>
        <v>509892.39</v>
      </c>
      <c r="S721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721" s="68">
        <f ca="1">IF(PROVEEDORES[[#This Row],[FECHA DE PAGO]]=0,TODAY()-PROVEEDORES[[#This Row],[FECHA DE FACTURACIÓN]]-PROVEEDORES[[#This Row],[PLAZO Días]],0)</f>
        <v>-7</v>
      </c>
      <c r="U721" s="113">
        <f>+VLOOKUP(PROVEEDORES[[#This Row],[PROVEEDOR]],Terceros!$A:$D,4,FALSE)</f>
        <v>0</v>
      </c>
      <c r="V721" s="114">
        <f>+YEAR(PROVEEDORES[[#This Row],[FECHA DE FACTURACIÓN]])</f>
        <v>2022</v>
      </c>
      <c r="W721" s="114">
        <f>+MATCH(PROVEEDORES[[#This Row],[año facturado]],Retenciones!$1:$1,0)</f>
        <v>5</v>
      </c>
      <c r="X721" s="115">
        <f>+VLOOKUP(PROVEEDORES[[#This Row],[ID RETENCION]],Retenciones!$A$1:$O$25,PROVEEDORES[[#This Row],[indicador de columna]],FALSE)</f>
        <v>0</v>
      </c>
      <c r="Y721" s="116">
        <f>+VLOOKUP(PROVEEDORES[[#This Row],[ID RETENCION]],Retenciones!$A$1:$O$25,2,FALSE)</f>
        <v>0</v>
      </c>
      <c r="Z721" s="125" t="b">
        <f>OR(COUNTIF(PROVEEDORES[[#This Row],[PROVEEDOR]],"*"&amp;'Palabra no opera'!$A$2&amp;"*"))</f>
        <v>0</v>
      </c>
      <c r="AA721" s="24"/>
      <c r="AB721" s="24"/>
      <c r="AC721" s="24"/>
      <c r="AD721" s="24"/>
      <c r="AE721" s="24"/>
    </row>
    <row r="722" spans="1:31" ht="22.2" customHeight="1" x14ac:dyDescent="0.3">
      <c r="A722" s="120" t="str">
        <f>+IF(PROVEEDORES[[#This Row],[FECHA DE PAGO]]=PROVEEDORES[[#This Row],[FECHA DE FACTURACIÓN]],"DE CONTADO","CRÉDITO")</f>
        <v>CRÉDITO</v>
      </c>
      <c r="B722" s="38" t="str">
        <f>+IF((PROVEEDORES[[#This Row],[FECHA DE PAGO]]-PROVEEDORES[[#This Row],[FECHA DE FACTURACIÓN]])&gt;PROVEEDORES[[#This Row],[PLAZO Días]],"PAGO VENCIDO")</f>
        <v>PAGO VENCIDO</v>
      </c>
      <c r="C722" s="20">
        <f>+VLOOKUP(PROVEEDORES[[#This Row],[PROVEEDOR]],TERCEROS_INFO[#All],2,FALSE)</f>
        <v>30</v>
      </c>
      <c r="D722" s="25">
        <f>+SUMIFS(PROVEEDORES[Total],PROVEEDORES[PROVEEDOR],PROVEEDORES[[#This Row],[PROVEEDOR]],PROVEEDORES[FECHA DE PAGO],"")</f>
        <v>0</v>
      </c>
      <c r="E722" s="25"/>
      <c r="F72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22" s="161">
        <v>44718</v>
      </c>
      <c r="H722" s="26" t="s">
        <v>746</v>
      </c>
      <c r="I722" s="161">
        <v>44672</v>
      </c>
      <c r="J722" s="35">
        <v>2150</v>
      </c>
      <c r="K722" s="21">
        <v>428571.42</v>
      </c>
      <c r="L722" s="21"/>
      <c r="M722" s="22">
        <f>(PROVEEDORES[[#This Row],[SUBTOTAL]]-PROVEEDORES[[#This Row],[descuento sobre subtotal]])*VLOOKUP(PROVEEDORES[[#This Row],[PROVEEDOR]],TERCEROS_INFO[#All],3,FALSE)</f>
        <v>81428.569799999997</v>
      </c>
      <c r="N722" s="23"/>
      <c r="O722" s="22">
        <f>+PROVEEDORES[[#This Row],[Descuento sobre subtotal %]]*(PROVEEDORES[[#This Row],[SUBTOTAL]]-PROVEEDORES[[#This Row],[descuento sobre subtotal]])</f>
        <v>0</v>
      </c>
      <c r="P722" s="83">
        <f>+IF(PROVEEDORES[[#This Row],[SUBTOTAL]]&lt;PROVEEDORES[[#This Row],[base retencion]],0,PROVEEDORES[[#This Row],[retención aplicada]])</f>
        <v>0</v>
      </c>
      <c r="Q722" s="22">
        <f>+PROVEEDORES[[#This Row],[Rete Fuente %]]*(PROVEEDORES[[#This Row],[SUBTOTAL]]-PROVEEDORES[[#This Row],[descuento sobre subtotal]])</f>
        <v>0</v>
      </c>
      <c r="R722" s="21">
        <f>+PROVEEDORES[[#This Row],[SUBTOTAL]]+PROVEEDORES[[#This Row],[IVA 19%]]-PROVEEDORES[[#This Row],[descuento sobre subtotal]]-PROVEEDORES[[#This Row],[Descuento sobre subtotal $2]]-PROVEEDORES[[#This Row],[Rete Fuente $]]</f>
        <v>509999.98979999998</v>
      </c>
      <c r="S7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68">
        <f ca="1">IF(PROVEEDORES[[#This Row],[FECHA DE PAGO]]=0,TODAY()-PROVEEDORES[[#This Row],[FECHA DE FACTURACIÓN]]-PROVEEDORES[[#This Row],[PLAZO Días]],0)</f>
        <v>0</v>
      </c>
      <c r="U722" s="113" t="str">
        <f>+VLOOKUP(PROVEEDORES[[#This Row],[PROVEEDOR]],Terceros!$A:$D,4,FALSE)</f>
        <v>2,5% con base</v>
      </c>
      <c r="V722" s="114">
        <f>+YEAR(PROVEEDORES[[#This Row],[FECHA DE FACTURACIÓN]])</f>
        <v>2022</v>
      </c>
      <c r="W722" s="114">
        <f>+MATCH(PROVEEDORES[[#This Row],[año facturado]],Retenciones!$1:$1,0)</f>
        <v>5</v>
      </c>
      <c r="X722" s="115">
        <f>+VLOOKUP(PROVEEDORES[[#This Row],[ID RETENCION]],Retenciones!$A$1:$O$25,PROVEEDORES[[#This Row],[indicador de columna]],FALSE)</f>
        <v>1026000</v>
      </c>
      <c r="Y722" s="116">
        <f>+VLOOKUP(PROVEEDORES[[#This Row],[ID RETENCION]],Retenciones!$A$1:$O$25,2,FALSE)</f>
        <v>2.5000000000000001E-2</v>
      </c>
      <c r="Z722" s="125" t="b">
        <f>OR(COUNTIF(PROVEEDORES[[#This Row],[PROVEEDOR]],"*"&amp;'Palabra no opera'!$A$2&amp;"*"))</f>
        <v>0</v>
      </c>
      <c r="AA722" s="24"/>
      <c r="AB722" s="24"/>
      <c r="AC722" s="24"/>
      <c r="AD722" s="24"/>
      <c r="AE722" s="24"/>
    </row>
    <row r="723" spans="1:31" ht="22.2" customHeight="1" x14ac:dyDescent="0.3">
      <c r="A723" s="66" t="str">
        <f>+IF(PROVEEDORES[[#This Row],[FECHA DE PAGO]]=PROVEEDORES[[#This Row],[FECHA DE FACTURACIÓN]],"DE CONTADO","CRÉDITO")</f>
        <v>DE CONTADO</v>
      </c>
      <c r="B723" s="38" t="b">
        <f>+IF((PROVEEDORES[[#This Row],[FECHA DE PAGO]]-PROVEEDORES[[#This Row],[FECHA DE FACTURACIÓN]])&gt;PROVEEDORES[[#This Row],[PLAZO Días]],"PAGO VENCIDO")</f>
        <v>0</v>
      </c>
      <c r="C723" s="20">
        <f>+VLOOKUP(PROVEEDORES[[#This Row],[PROVEEDOR]],TERCEROS_INFO[#All],2,FALSE)</f>
        <v>30</v>
      </c>
      <c r="D723" s="25">
        <f>+SUMIFS(PROVEEDORES[Total],PROVEEDORES[PROVEEDOR],PROVEEDORES[[#This Row],[PROVEEDOR]],PROVEEDORES[FECHA DE PAGO],"")</f>
        <v>0</v>
      </c>
      <c r="E723" s="25"/>
      <c r="F723" s="58" t="str">
        <f>+VLOOKUP(PROVEEDORES[[#This Row],[PROVEEDOR]],
                       Terceros!$A:$F,
                       5,
                       FALSE)</f>
        <v/>
      </c>
      <c r="G723" s="161">
        <v>44350</v>
      </c>
      <c r="H723" s="26" t="s">
        <v>635</v>
      </c>
      <c r="I723" s="161">
        <v>44350</v>
      </c>
      <c r="J723" s="35" t="s">
        <v>1244</v>
      </c>
      <c r="K723" s="21">
        <v>510000</v>
      </c>
      <c r="L723" s="21"/>
      <c r="M723" s="22">
        <f>(PROVEEDORES[[#This Row],[SUBTOTAL]]-PROVEEDORES[[#This Row],[descuento sobre subtotal]])*VLOOKUP(PROVEEDORES[[#This Row],[PROVEEDOR]],TERCEROS_INFO[#All],3,FALSE)</f>
        <v>0</v>
      </c>
      <c r="N723" s="23"/>
      <c r="O723" s="22">
        <f>+PROVEEDORES[[#This Row],[Descuento sobre subtotal %]]*(PROVEEDORES[[#This Row],[SUBTOTAL]]-PROVEEDORES[[#This Row],[descuento sobre subtotal]])</f>
        <v>0</v>
      </c>
      <c r="P723" s="83">
        <f>+IF(PROVEEDORES[[#This Row],[SUBTOTAL]]&lt;PROVEEDORES[[#This Row],[base retencion]],0,PROVEEDORES[[#This Row],[retención aplicada]])</f>
        <v>0</v>
      </c>
      <c r="Q723" s="22">
        <f>+PROVEEDORES[[#This Row],[Rete Fuente %]]*(PROVEEDORES[[#This Row],[SUBTOTAL]]-PROVEEDORES[[#This Row],[descuento sobre subtotal]])</f>
        <v>0</v>
      </c>
      <c r="R723" s="21">
        <f>+PROVEEDORES[[#This Row],[SUBTOTAL]]+PROVEEDORES[[#This Row],[IVA 19%]]-PROVEEDORES[[#This Row],[descuento sobre subtotal]]-PROVEEDORES[[#This Row],[Descuento sobre subtotal $2]]-PROVEEDORES[[#This Row],[Rete Fuente $]]</f>
        <v>510000</v>
      </c>
      <c r="S7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68">
        <f ca="1">IF(PROVEEDORES[[#This Row],[FECHA DE PAGO]]=0,TODAY()-PROVEEDORES[[#This Row],[FECHA DE FACTURACIÓN]]-PROVEEDORES[[#This Row],[PLAZO Días]],0)</f>
        <v>0</v>
      </c>
      <c r="U723" s="96">
        <f>+VLOOKUP(PROVEEDORES[[#This Row],[PROVEEDOR]],Terceros!$A:$D,4,FALSE)</f>
        <v>0</v>
      </c>
      <c r="V723" s="97">
        <f>+YEAR(PROVEEDORES[[#This Row],[FECHA DE FACTURACIÓN]])</f>
        <v>2021</v>
      </c>
      <c r="W723" s="97">
        <f>+MATCH(PROVEEDORES[[#This Row],[año facturado]],Retenciones!$1:$1,0)</f>
        <v>4</v>
      </c>
      <c r="X723" s="98">
        <f>+VLOOKUP(PROVEEDORES[[#This Row],[ID RETENCION]],Retenciones!$A$1:$O$25,PROVEEDORES[[#This Row],[indicador de columna]],FALSE)</f>
        <v>0</v>
      </c>
      <c r="Y723" s="99">
        <f>+VLOOKUP(PROVEEDORES[[#This Row],[ID RETENCION]],Retenciones!$A$1:$O$25,2,FALSE)</f>
        <v>0</v>
      </c>
      <c r="Z723" s="125" t="b">
        <f>OR(COUNTIF(PROVEEDORES[[#This Row],[PROVEEDOR]],"*"&amp;'Palabra no opera'!$A$2&amp;"*"))</f>
        <v>0</v>
      </c>
      <c r="AA723" s="24"/>
      <c r="AB723" s="24"/>
      <c r="AC723" s="24"/>
      <c r="AD723" s="24"/>
      <c r="AE723" s="24"/>
    </row>
    <row r="724" spans="1:31" ht="22.2" customHeight="1" x14ac:dyDescent="0.3">
      <c r="A724" s="66" t="str">
        <f>+IF(PROVEEDORES[[#This Row],[FECHA DE PAGO]]=PROVEEDORES[[#This Row],[FECHA DE FACTURACIÓN]],"DE CONTADO","CRÉDITO")</f>
        <v>DE CONTADO</v>
      </c>
      <c r="B724" s="38" t="b">
        <f>+IF((PROVEEDORES[[#This Row],[FECHA DE PAGO]]-PROVEEDORES[[#This Row],[FECHA DE FACTURACIÓN]])&gt;PROVEEDORES[[#This Row],[PLAZO Días]],"PAGO VENCIDO")</f>
        <v>0</v>
      </c>
      <c r="C724" s="20">
        <f>+VLOOKUP(PROVEEDORES[[#This Row],[PROVEEDOR]],TERCEROS_INFO[#All],2,FALSE)</f>
        <v>30</v>
      </c>
      <c r="D724" s="25">
        <f>+SUMIFS(PROVEEDORES[Total],PROVEEDORES[PROVEEDOR],PROVEEDORES[[#This Row],[PROVEEDOR]],PROVEEDORES[FECHA DE PAGO],"")</f>
        <v>0</v>
      </c>
      <c r="E724" s="25"/>
      <c r="F724" s="58" t="str">
        <f>+VLOOKUP(PROVEEDORES[[#This Row],[PROVEEDOR]],
                       Terceros!$A:$F,
                       5,
                       FALSE)</f>
        <v/>
      </c>
      <c r="G724" s="161">
        <v>44447</v>
      </c>
      <c r="H724" s="26" t="s">
        <v>635</v>
      </c>
      <c r="I724" s="161">
        <v>44447</v>
      </c>
      <c r="J724" s="35" t="s">
        <v>1493</v>
      </c>
      <c r="K724" s="21">
        <v>510000</v>
      </c>
      <c r="L724" s="21"/>
      <c r="M724" s="22">
        <f>(PROVEEDORES[[#This Row],[SUBTOTAL]]-PROVEEDORES[[#This Row],[descuento sobre subtotal]])*VLOOKUP(PROVEEDORES[[#This Row],[PROVEEDOR]],TERCEROS_INFO[#All],3,FALSE)</f>
        <v>0</v>
      </c>
      <c r="N724" s="23"/>
      <c r="O724" s="22">
        <f>+PROVEEDORES[[#This Row],[Descuento sobre subtotal %]]*(PROVEEDORES[[#This Row],[SUBTOTAL]]-PROVEEDORES[[#This Row],[descuento sobre subtotal]])</f>
        <v>0</v>
      </c>
      <c r="P724" s="83">
        <f>+IF(PROVEEDORES[[#This Row],[SUBTOTAL]]&lt;PROVEEDORES[[#This Row],[base retencion]],0,PROVEEDORES[[#This Row],[retención aplicada]])</f>
        <v>0</v>
      </c>
      <c r="Q724" s="22">
        <f>+PROVEEDORES[[#This Row],[Rete Fuente %]]*(PROVEEDORES[[#This Row],[SUBTOTAL]]-PROVEEDORES[[#This Row],[descuento sobre subtotal]])</f>
        <v>0</v>
      </c>
      <c r="R724" s="21">
        <f>+PROVEEDORES[[#This Row],[SUBTOTAL]]+PROVEEDORES[[#This Row],[IVA 19%]]-PROVEEDORES[[#This Row],[descuento sobre subtotal]]-PROVEEDORES[[#This Row],[Descuento sobre subtotal $2]]-PROVEEDORES[[#This Row],[Rete Fuente $]]</f>
        <v>510000</v>
      </c>
      <c r="S7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68">
        <f ca="1">IF(PROVEEDORES[[#This Row],[FECHA DE PAGO]]=0,TODAY()-PROVEEDORES[[#This Row],[FECHA DE FACTURACIÓN]]-PROVEEDORES[[#This Row],[PLAZO Días]],0)</f>
        <v>0</v>
      </c>
      <c r="U724" s="96">
        <f>+VLOOKUP(PROVEEDORES[[#This Row],[PROVEEDOR]],Terceros!$A:$D,4,FALSE)</f>
        <v>0</v>
      </c>
      <c r="V724" s="97">
        <f>+YEAR(PROVEEDORES[[#This Row],[FECHA DE FACTURACIÓN]])</f>
        <v>2021</v>
      </c>
      <c r="W724" s="97">
        <f>+MATCH(PROVEEDORES[[#This Row],[año facturado]],Retenciones!$1:$1,0)</f>
        <v>4</v>
      </c>
      <c r="X724" s="98">
        <f>+VLOOKUP(PROVEEDORES[[#This Row],[ID RETENCION]],Retenciones!$A$1:$O$25,PROVEEDORES[[#This Row],[indicador de columna]],FALSE)</f>
        <v>0</v>
      </c>
      <c r="Y724" s="99">
        <f>+VLOOKUP(PROVEEDORES[[#This Row],[ID RETENCION]],Retenciones!$A$1:$O$25,2,FALSE)</f>
        <v>0</v>
      </c>
      <c r="Z724" s="125" t="b">
        <f>OR(COUNTIF(PROVEEDORES[[#This Row],[PROVEEDOR]],"*"&amp;'Palabra no opera'!$A$2&amp;"*"))</f>
        <v>0</v>
      </c>
      <c r="AA724" s="24"/>
      <c r="AB724" s="24"/>
      <c r="AC724" s="24"/>
      <c r="AD724" s="24"/>
      <c r="AE724" s="24"/>
    </row>
    <row r="725" spans="1:31" ht="22.2" customHeight="1" x14ac:dyDescent="0.3">
      <c r="A725" s="66" t="str">
        <f>+IF(PROVEEDORES[[#This Row],[FECHA DE PAGO]]=PROVEEDORES[[#This Row],[FECHA DE FACTURACIÓN]],"DE CONTADO","CRÉDITO")</f>
        <v>DE CONTADO</v>
      </c>
      <c r="B725" s="38" t="b">
        <f>+IF((PROVEEDORES[[#This Row],[FECHA DE PAGO]]-PROVEEDORES[[#This Row],[FECHA DE FACTURACIÓN]])&gt;PROVEEDORES[[#This Row],[PLAZO Días]],"PAGO VENCIDO")</f>
        <v>0</v>
      </c>
      <c r="C725" s="20">
        <f>+VLOOKUP(PROVEEDORES[[#This Row],[PROVEEDOR]],TERCEROS_INFO[#All],2,FALSE)</f>
        <v>30</v>
      </c>
      <c r="D725" s="25">
        <f>+SUMIFS(PROVEEDORES[Total],PROVEEDORES[PROVEEDOR],PROVEEDORES[[#This Row],[PROVEEDOR]],PROVEEDORES[FECHA DE PAGO],"")</f>
        <v>0</v>
      </c>
      <c r="E725" s="25"/>
      <c r="F725" s="58" t="str">
        <f>+VLOOKUP(PROVEEDORES[[#This Row],[PROVEEDOR]],
                       Terceros!$A:$F,
                       5,
                       FALSE)</f>
        <v/>
      </c>
      <c r="G725" s="161">
        <v>44583</v>
      </c>
      <c r="H725" s="26" t="s">
        <v>635</v>
      </c>
      <c r="I725" s="161">
        <v>44583</v>
      </c>
      <c r="J725" s="35" t="s">
        <v>1377</v>
      </c>
      <c r="K725" s="21">
        <v>510000</v>
      </c>
      <c r="L725" s="21"/>
      <c r="M725" s="22">
        <f>(PROVEEDORES[[#This Row],[SUBTOTAL]]-PROVEEDORES[[#This Row],[descuento sobre subtotal]])*VLOOKUP(PROVEEDORES[[#This Row],[PROVEEDOR]],TERCEROS_INFO[#All],3,FALSE)</f>
        <v>0</v>
      </c>
      <c r="N725" s="23"/>
      <c r="O725" s="22">
        <f>+PROVEEDORES[[#This Row],[Descuento sobre subtotal %]]*(PROVEEDORES[[#This Row],[SUBTOTAL]]-PROVEEDORES[[#This Row],[descuento sobre subtotal]])</f>
        <v>0</v>
      </c>
      <c r="P725" s="83">
        <f>+IF(PROVEEDORES[[#This Row],[SUBTOTAL]]&lt;PROVEEDORES[[#This Row],[base retencion]],0,PROVEEDORES[[#This Row],[retención aplicada]])</f>
        <v>0</v>
      </c>
      <c r="Q725" s="22">
        <f>+PROVEEDORES[[#This Row],[Rete Fuente %]]*(PROVEEDORES[[#This Row],[SUBTOTAL]]-PROVEEDORES[[#This Row],[descuento sobre subtotal]])</f>
        <v>0</v>
      </c>
      <c r="R725" s="21">
        <v>510000</v>
      </c>
      <c r="S7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68">
        <f ca="1">IF(PROVEEDORES[[#This Row],[FECHA DE PAGO]]=0,TODAY()-PROVEEDORES[[#This Row],[FECHA DE FACTURACIÓN]]-PROVEEDORES[[#This Row],[PLAZO Días]],0)</f>
        <v>0</v>
      </c>
      <c r="U725" s="96">
        <f>+VLOOKUP(PROVEEDORES[[#This Row],[PROVEEDOR]],Terceros!$A:$D,4,FALSE)</f>
        <v>0</v>
      </c>
      <c r="V725" s="97">
        <f>+YEAR(PROVEEDORES[[#This Row],[FECHA DE FACTURACIÓN]])</f>
        <v>2022</v>
      </c>
      <c r="W725" s="97">
        <f>+MATCH(PROVEEDORES[[#This Row],[año facturado]],Retenciones!$1:$1,0)</f>
        <v>5</v>
      </c>
      <c r="X725" s="98">
        <f>+VLOOKUP(PROVEEDORES[[#This Row],[ID RETENCION]],Retenciones!$A$1:$O$25,PROVEEDORES[[#This Row],[indicador de columna]],FALSE)</f>
        <v>0</v>
      </c>
      <c r="Y725" s="99">
        <f>+VLOOKUP(PROVEEDORES[[#This Row],[ID RETENCION]],Retenciones!$A$1:$O$25,2,FALSE)</f>
        <v>0</v>
      </c>
      <c r="Z725" s="125" t="b">
        <f>OR(COUNTIF(PROVEEDORES[[#This Row],[PROVEEDOR]],"*"&amp;'Palabra no opera'!$A$2&amp;"*"))</f>
        <v>0</v>
      </c>
      <c r="AA725" s="24"/>
      <c r="AB725" s="24"/>
      <c r="AC725" s="24"/>
      <c r="AD725" s="24"/>
      <c r="AE725" s="24"/>
    </row>
    <row r="726" spans="1:31" ht="22.2" customHeight="1" x14ac:dyDescent="0.3">
      <c r="A726" s="66" t="str">
        <f>+IF(PROVEEDORES[[#This Row],[FECHA DE PAGO]]=PROVEEDORES[[#This Row],[FECHA DE FACTURACIÓN]],"DE CONTADO","CRÉDITO")</f>
        <v>CRÉDITO</v>
      </c>
      <c r="B726" s="38" t="str">
        <f>+IF((PROVEEDORES[[#This Row],[FECHA DE PAGO]]-PROVEEDORES[[#This Row],[FECHA DE FACTURACIÓN]])&gt;PROVEEDORES[[#This Row],[PLAZO Días]],"PAGO VENCIDO")</f>
        <v>PAGO VENCIDO</v>
      </c>
      <c r="C726" s="20">
        <f>+VLOOKUP(PROVEEDORES[[#This Row],[PROVEEDOR]],TERCEROS_INFO[#All],2,FALSE)</f>
        <v>30</v>
      </c>
      <c r="D726" s="25">
        <f>+SUMIFS(PROVEEDORES[Total],PROVEEDORES[PROVEEDOR],PROVEEDORES[[#This Row],[PROVEEDOR]],PROVEEDORES[FECHA DE PAGO],"")</f>
        <v>1266521.4319</v>
      </c>
      <c r="E726" s="25"/>
      <c r="F72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26" s="161">
        <v>44558</v>
      </c>
      <c r="H726" s="26" t="s">
        <v>512</v>
      </c>
      <c r="I726" s="161">
        <v>44510</v>
      </c>
      <c r="J726" s="35">
        <v>252</v>
      </c>
      <c r="K726" s="21">
        <v>428571.43</v>
      </c>
      <c r="L726" s="21"/>
      <c r="M726" s="22">
        <f>(PROVEEDORES[[#This Row],[SUBTOTAL]]-PROVEEDORES[[#This Row],[descuento sobre subtotal]])*VLOOKUP(PROVEEDORES[[#This Row],[PROVEEDOR]],TERCEROS_INFO[#All],3,FALSE)</f>
        <v>81428.5717</v>
      </c>
      <c r="N726" s="23"/>
      <c r="O726" s="22">
        <f>+PROVEEDORES[[#This Row],[Descuento sobre subtotal %]]*(PROVEEDORES[[#This Row],[SUBTOTAL]]-PROVEEDORES[[#This Row],[descuento sobre subtotal]])</f>
        <v>0</v>
      </c>
      <c r="P726" s="83">
        <f>+IF(PROVEEDORES[[#This Row],[SUBTOTAL]]&lt;PROVEEDORES[[#This Row],[base retencion]],0,PROVEEDORES[[#This Row],[retención aplicada]])</f>
        <v>0</v>
      </c>
      <c r="Q726" s="22">
        <f>+PROVEEDORES[[#This Row],[Rete Fuente %]]*(PROVEEDORES[[#This Row],[SUBTOTAL]]-PROVEEDORES[[#This Row],[descuento sobre subtotal]])</f>
        <v>0</v>
      </c>
      <c r="R726" s="21">
        <f>+PROVEEDORES[[#This Row],[SUBTOTAL]]+PROVEEDORES[[#This Row],[IVA 19%]]-PROVEEDORES[[#This Row],[descuento sobre subtotal]]-PROVEEDORES[[#This Row],[Descuento sobre subtotal $2]]-PROVEEDORES[[#This Row],[Rete Fuente $]]</f>
        <v>510000.00170000002</v>
      </c>
      <c r="S7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68">
        <f ca="1">IF(PROVEEDORES[[#This Row],[FECHA DE PAGO]]=0,TODAY()-PROVEEDORES[[#This Row],[FECHA DE FACTURACIÓN]]-PROVEEDORES[[#This Row],[PLAZO Días]],0)</f>
        <v>0</v>
      </c>
      <c r="U726" s="96" t="str">
        <f>+VLOOKUP(PROVEEDORES[[#This Row],[PROVEEDOR]],Terceros!$A:$D,4,FALSE)</f>
        <v>2,5% con base</v>
      </c>
      <c r="V726" s="97">
        <f>+YEAR(PROVEEDORES[[#This Row],[FECHA DE FACTURACIÓN]])</f>
        <v>2021</v>
      </c>
      <c r="W726" s="97">
        <f>+MATCH(PROVEEDORES[[#This Row],[año facturado]],Retenciones!$1:$1,0)</f>
        <v>4</v>
      </c>
      <c r="X726" s="98">
        <f>+VLOOKUP(PROVEEDORES[[#This Row],[ID RETENCION]],Retenciones!$A$1:$O$25,PROVEEDORES[[#This Row],[indicador de columna]],FALSE)</f>
        <v>980000</v>
      </c>
      <c r="Y726" s="99">
        <f>+VLOOKUP(PROVEEDORES[[#This Row],[ID RETENCION]],Retenciones!$A$1:$O$25,2,FALSE)</f>
        <v>2.5000000000000001E-2</v>
      </c>
      <c r="Z726" s="125" t="b">
        <f>OR(COUNTIF(PROVEEDORES[[#This Row],[PROVEEDOR]],"*"&amp;'Palabra no opera'!$A$2&amp;"*"))</f>
        <v>0</v>
      </c>
      <c r="AA726" s="24"/>
      <c r="AB726" s="24"/>
      <c r="AC726" s="24"/>
      <c r="AD726" s="24"/>
      <c r="AE726" s="24"/>
    </row>
    <row r="727" spans="1:31" ht="22.2" customHeight="1" x14ac:dyDescent="0.3">
      <c r="A727" s="66" t="str">
        <f>+IF(PROVEEDORES[[#This Row],[FECHA DE PAGO]]=PROVEEDORES[[#This Row],[FECHA DE FACTURACIÓN]],"DE CONTADO","CRÉDITO")</f>
        <v>CRÉDITO</v>
      </c>
      <c r="B727" s="38" t="str">
        <f>+IF((PROVEEDORES[[#This Row],[FECHA DE PAGO]]-PROVEEDORES[[#This Row],[FECHA DE FACTURACIÓN]])&gt;PROVEEDORES[[#This Row],[PLAZO Días]],"PAGO VENCIDO")</f>
        <v>PAGO VENCIDO</v>
      </c>
      <c r="C727" s="20">
        <f>+VLOOKUP(PROVEEDORES[[#This Row],[PROVEEDOR]],TERCEROS_INFO[#All],2,FALSE)</f>
        <v>0</v>
      </c>
      <c r="D727" s="25">
        <f>+SUMIFS(PROVEEDORES[Total],PROVEEDORES[PROVEEDOR],PROVEEDORES[[#This Row],[PROVEEDOR]],PROVEEDORES[FECHA DE PAGO],"")</f>
        <v>0</v>
      </c>
      <c r="E727" s="25"/>
      <c r="F727" s="58"/>
      <c r="G727" s="161">
        <v>44377</v>
      </c>
      <c r="H727" s="26" t="s">
        <v>626</v>
      </c>
      <c r="I727" s="161">
        <v>44364</v>
      </c>
      <c r="J727" s="35"/>
      <c r="K727" s="21">
        <v>514870</v>
      </c>
      <c r="L727" s="21"/>
      <c r="M727" s="22">
        <f>(PROVEEDORES[[#This Row],[SUBTOTAL]]-PROVEEDORES[[#This Row],[descuento sobre subtotal]])*VLOOKUP(PROVEEDORES[[#This Row],[PROVEEDOR]],TERCEROS_INFO[#All],3,FALSE)</f>
        <v>0</v>
      </c>
      <c r="N727" s="23"/>
      <c r="O727" s="22">
        <f>+PROVEEDORES[[#This Row],[Descuento sobre subtotal %]]*(PROVEEDORES[[#This Row],[SUBTOTAL]]-PROVEEDORES[[#This Row],[descuento sobre subtotal]])</f>
        <v>0</v>
      </c>
      <c r="P727" s="83">
        <f>+IF(PROVEEDORES[[#This Row],[SUBTOTAL]]&lt;PROVEEDORES[[#This Row],[base retencion]],0,PROVEEDORES[[#This Row],[retención aplicada]])</f>
        <v>0</v>
      </c>
      <c r="Q727" s="22">
        <f>+PROVEEDORES[[#This Row],[Rete Fuente %]]*(PROVEEDORES[[#This Row],[SUBTOTAL]]-PROVEEDORES[[#This Row],[descuento sobre subtotal]])</f>
        <v>0</v>
      </c>
      <c r="R727" s="21">
        <f>+PROVEEDORES[[#This Row],[SUBTOTAL]]+PROVEEDORES[[#This Row],[IVA 19%]]-PROVEEDORES[[#This Row],[descuento sobre subtotal]]-PROVEEDORES[[#This Row],[Descuento sobre subtotal $2]]-PROVEEDORES[[#This Row],[Rete Fuente $]]</f>
        <v>514870</v>
      </c>
      <c r="S7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68">
        <f ca="1">IF(PROVEEDORES[[#This Row],[FECHA DE PAGO]]=0,TODAY()-PROVEEDORES[[#This Row],[FECHA DE FACTURACIÓN]]-PROVEEDORES[[#This Row],[PLAZO Días]],0)</f>
        <v>0</v>
      </c>
      <c r="U727" s="96">
        <f>+VLOOKUP(PROVEEDORES[[#This Row],[PROVEEDOR]],Terceros!$A:$D,4,FALSE)</f>
        <v>0</v>
      </c>
      <c r="V727" s="97">
        <f>+YEAR(PROVEEDORES[[#This Row],[FECHA DE FACTURACIÓN]])</f>
        <v>2021</v>
      </c>
      <c r="W727" s="97">
        <f>+MATCH(PROVEEDORES[[#This Row],[año facturado]],Retenciones!$1:$1,0)</f>
        <v>4</v>
      </c>
      <c r="X727" s="98">
        <f>+VLOOKUP(PROVEEDORES[[#This Row],[ID RETENCION]],Retenciones!$A$1:$O$25,PROVEEDORES[[#This Row],[indicador de columna]],FALSE)</f>
        <v>0</v>
      </c>
      <c r="Y727" s="99">
        <f>+VLOOKUP(PROVEEDORES[[#This Row],[ID RETENCION]],Retenciones!$A$1:$O$25,2,FALSE)</f>
        <v>0</v>
      </c>
      <c r="Z727" s="125" t="b">
        <f>OR(COUNTIF(PROVEEDORES[[#This Row],[PROVEEDOR]],"*"&amp;'Palabra no opera'!$A$2&amp;"*"))</f>
        <v>0</v>
      </c>
      <c r="AA727" s="24"/>
      <c r="AB727" s="24"/>
      <c r="AC727" s="24"/>
      <c r="AD727" s="24"/>
      <c r="AE727" s="24"/>
    </row>
    <row r="728" spans="1:31" ht="22.2" customHeight="1" x14ac:dyDescent="0.3">
      <c r="A728" s="66" t="str">
        <f>+IF(PROVEEDORES[[#This Row],[FECHA DE PAGO]]=PROVEEDORES[[#This Row],[FECHA DE FACTURACIÓN]],"DE CONTADO","CRÉDITO")</f>
        <v>CRÉDITO</v>
      </c>
      <c r="B728" s="38" t="str">
        <f>+IF((PROVEEDORES[[#This Row],[FECHA DE PAGO]]-PROVEEDORES[[#This Row],[FECHA DE FACTURACIÓN]])&gt;PROVEEDORES[[#This Row],[PLAZO Días]],"PAGO VENCIDO")</f>
        <v>PAGO VENCIDO</v>
      </c>
      <c r="C728" s="20">
        <f>+VLOOKUP(PROVEEDORES[[#This Row],[PROVEEDOR]],TERCEROS_INFO[#All],2,FALSE)</f>
        <v>30</v>
      </c>
      <c r="D728" s="25">
        <f>+SUMIFS(PROVEEDORES[Total],PROVEEDORES[PROVEEDOR],PROVEEDORES[[#This Row],[PROVEEDOR]],PROVEEDORES[FECHA DE PAGO],"")</f>
        <v>2223034.2400000002</v>
      </c>
      <c r="E728" s="25"/>
      <c r="F72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8" s="161">
        <v>44452</v>
      </c>
      <c r="H728" s="26" t="s">
        <v>216</v>
      </c>
      <c r="I728" s="161">
        <v>44419</v>
      </c>
      <c r="J728" s="35">
        <v>345</v>
      </c>
      <c r="K728" s="21">
        <v>435294</v>
      </c>
      <c r="L728" s="21"/>
      <c r="M728" s="22">
        <f>(PROVEEDORES[[#This Row],[SUBTOTAL]]-PROVEEDORES[[#This Row],[descuento sobre subtotal]])*VLOOKUP(PROVEEDORES[[#This Row],[PROVEEDOR]],TERCEROS_INFO[#All],3,FALSE)</f>
        <v>82705.86</v>
      </c>
      <c r="N728" s="23"/>
      <c r="O728" s="22">
        <f>+PROVEEDORES[[#This Row],[Descuento sobre subtotal %]]*(PROVEEDORES[[#This Row],[SUBTOTAL]]-PROVEEDORES[[#This Row],[descuento sobre subtotal]])</f>
        <v>0</v>
      </c>
      <c r="P728" s="83">
        <f>+IF(PROVEEDORES[[#This Row],[SUBTOTAL]]&lt;PROVEEDORES[[#This Row],[base retencion]],0,PROVEEDORES[[#This Row],[retención aplicada]])</f>
        <v>0</v>
      </c>
      <c r="Q728" s="22">
        <f>+PROVEEDORES[[#This Row],[Rete Fuente %]]*(PROVEEDORES[[#This Row],[SUBTOTAL]]-PROVEEDORES[[#This Row],[descuento sobre subtotal]])</f>
        <v>0</v>
      </c>
      <c r="R728" s="21">
        <f>+PROVEEDORES[[#This Row],[SUBTOTAL]]+PROVEEDORES[[#This Row],[IVA 19%]]-PROVEEDORES[[#This Row],[descuento sobre subtotal]]-PROVEEDORES[[#This Row],[Descuento sobre subtotal $2]]-PROVEEDORES[[#This Row],[Rete Fuente $]]</f>
        <v>517999.86</v>
      </c>
      <c r="S7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68">
        <f ca="1">IF(PROVEEDORES[[#This Row],[FECHA DE PAGO]]=0,TODAY()-PROVEEDORES[[#This Row],[FECHA DE FACTURACIÓN]]-PROVEEDORES[[#This Row],[PLAZO Días]],0)</f>
        <v>0</v>
      </c>
      <c r="U728" s="96" t="str">
        <f>+VLOOKUP(PROVEEDORES[[#This Row],[PROVEEDOR]],Terceros!$A:$D,4,FALSE)</f>
        <v>2,5% con base</v>
      </c>
      <c r="V728" s="97">
        <f>+YEAR(PROVEEDORES[[#This Row],[FECHA DE FACTURACIÓN]])</f>
        <v>2021</v>
      </c>
      <c r="W728" s="97">
        <f>+MATCH(PROVEEDORES[[#This Row],[año facturado]],Retenciones!$1:$1,0)</f>
        <v>4</v>
      </c>
      <c r="X728" s="98">
        <f>+VLOOKUP(PROVEEDORES[[#This Row],[ID RETENCION]],Retenciones!$A$1:$O$25,PROVEEDORES[[#This Row],[indicador de columna]],FALSE)</f>
        <v>980000</v>
      </c>
      <c r="Y728" s="99">
        <f>+VLOOKUP(PROVEEDORES[[#This Row],[ID RETENCION]],Retenciones!$A$1:$O$25,2,FALSE)</f>
        <v>2.5000000000000001E-2</v>
      </c>
      <c r="Z728" s="125" t="b">
        <f>OR(COUNTIF(PROVEEDORES[[#This Row],[PROVEEDOR]],"*"&amp;'Palabra no opera'!$A$2&amp;"*"))</f>
        <v>0</v>
      </c>
      <c r="AA728" s="24"/>
      <c r="AB728" s="24"/>
      <c r="AC728" s="24"/>
      <c r="AD728" s="24"/>
      <c r="AE728" s="24"/>
    </row>
    <row r="729" spans="1:31" ht="22.2" customHeight="1" x14ac:dyDescent="0.3">
      <c r="A729" s="66" t="str">
        <f>+IF(PROVEEDORES[[#This Row],[FECHA DE PAGO]]=PROVEEDORES[[#This Row],[FECHA DE FACTURACIÓN]],"DE CONTADO","CRÉDITO")</f>
        <v>DE CONTADO</v>
      </c>
      <c r="B729" s="38" t="b">
        <f>+IF((PROVEEDORES[[#This Row],[FECHA DE PAGO]]-PROVEEDORES[[#This Row],[FECHA DE FACTURACIÓN]])&gt;PROVEEDORES[[#This Row],[PLAZO Días]],"PAGO VENCIDO")</f>
        <v>0</v>
      </c>
      <c r="C729" s="20">
        <f>+VLOOKUP(PROVEEDORES[[#This Row],[PROVEEDOR]],TERCEROS_INFO[#All],2,FALSE)</f>
        <v>30</v>
      </c>
      <c r="D729" s="25">
        <f>+SUMIFS(PROVEEDORES[Total],PROVEEDORES[PROVEEDOR],PROVEEDORES[[#This Row],[PROVEEDOR]],PROVEEDORES[FECHA DE PAGO],"")</f>
        <v>0</v>
      </c>
      <c r="E729" s="25"/>
      <c r="F729" s="58" t="str">
        <f>+VLOOKUP(PROVEEDORES[[#This Row],[PROVEEDOR]],
                       Terceros!$A:$F,
                       5,
                       FALSE)</f>
        <v/>
      </c>
      <c r="G729" s="161">
        <v>44373</v>
      </c>
      <c r="H729" s="26" t="s">
        <v>661</v>
      </c>
      <c r="I729" s="161">
        <v>44373</v>
      </c>
      <c r="J729" s="35" t="s">
        <v>1259</v>
      </c>
      <c r="K729" s="21">
        <v>520000</v>
      </c>
      <c r="L729" s="21"/>
      <c r="M729" s="22">
        <f>(PROVEEDORES[[#This Row],[SUBTOTAL]]-PROVEEDORES[[#This Row],[descuento sobre subtotal]])*VLOOKUP(PROVEEDORES[[#This Row],[PROVEEDOR]],TERCEROS_INFO[#All],3,FALSE)</f>
        <v>0</v>
      </c>
      <c r="N729" s="23"/>
      <c r="O729" s="22">
        <f>+PROVEEDORES[[#This Row],[Descuento sobre subtotal %]]*(PROVEEDORES[[#This Row],[SUBTOTAL]]-PROVEEDORES[[#This Row],[descuento sobre subtotal]])</f>
        <v>0</v>
      </c>
      <c r="P729" s="83">
        <f>+IF(PROVEEDORES[[#This Row],[SUBTOTAL]]&lt;PROVEEDORES[[#This Row],[base retencion]],0,PROVEEDORES[[#This Row],[retención aplicada]])</f>
        <v>0</v>
      </c>
      <c r="Q729" s="22">
        <f>+PROVEEDORES[[#This Row],[Rete Fuente %]]*(PROVEEDORES[[#This Row],[SUBTOTAL]]-PROVEEDORES[[#This Row],[descuento sobre subtotal]])</f>
        <v>0</v>
      </c>
      <c r="R729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7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68">
        <f ca="1">IF(PROVEEDORES[[#This Row],[FECHA DE PAGO]]=0,TODAY()-PROVEEDORES[[#This Row],[FECHA DE FACTURACIÓN]]-PROVEEDORES[[#This Row],[PLAZO Días]],0)</f>
        <v>0</v>
      </c>
      <c r="U729" s="96">
        <f>+VLOOKUP(PROVEEDORES[[#This Row],[PROVEEDOR]],Terceros!$A:$D,4,FALSE)</f>
        <v>0</v>
      </c>
      <c r="V729" s="97">
        <f>+YEAR(PROVEEDORES[[#This Row],[FECHA DE FACTURACIÓN]])</f>
        <v>2021</v>
      </c>
      <c r="W729" s="97">
        <f>+MATCH(PROVEEDORES[[#This Row],[año facturado]],Retenciones!$1:$1,0)</f>
        <v>4</v>
      </c>
      <c r="X729" s="98">
        <f>+VLOOKUP(PROVEEDORES[[#This Row],[ID RETENCION]],Retenciones!$A$1:$O$25,PROVEEDORES[[#This Row],[indicador de columna]],FALSE)</f>
        <v>0</v>
      </c>
      <c r="Y729" s="99">
        <f>+VLOOKUP(PROVEEDORES[[#This Row],[ID RETENCION]],Retenciones!$A$1:$O$25,2,FALSE)</f>
        <v>0</v>
      </c>
      <c r="Z729" s="125" t="b">
        <f>OR(COUNTIF(PROVEEDORES[[#This Row],[PROVEEDOR]],"*"&amp;'Palabra no opera'!$A$2&amp;"*"))</f>
        <v>0</v>
      </c>
      <c r="AA729" s="24"/>
      <c r="AB729" s="24"/>
      <c r="AC729" s="24"/>
      <c r="AD729" s="24"/>
      <c r="AE729" s="24"/>
    </row>
    <row r="730" spans="1:31" ht="22.2" customHeight="1" x14ac:dyDescent="0.3">
      <c r="A730" s="66" t="str">
        <f>+IF(PROVEEDORES[[#This Row],[FECHA DE PAGO]]=PROVEEDORES[[#This Row],[FECHA DE FACTURACIÓN]],"DE CONTADO","CRÉDITO")</f>
        <v>DE CONTADO</v>
      </c>
      <c r="B730" s="38" t="b">
        <f>+IF((PROVEEDORES[[#This Row],[FECHA DE PAGO]]-PROVEEDORES[[#This Row],[FECHA DE FACTURACIÓN]])&gt;PROVEEDORES[[#This Row],[PLAZO Días]],"PAGO VENCIDO")</f>
        <v>0</v>
      </c>
      <c r="C730" s="20">
        <f>+VLOOKUP(PROVEEDORES[[#This Row],[PROVEEDOR]],TERCEROS_INFO[#All],2,FALSE)</f>
        <v>30</v>
      </c>
      <c r="D730" s="25">
        <f>+SUMIFS(PROVEEDORES[Total],PROVEEDORES[PROVEEDOR],PROVEEDORES[[#This Row],[PROVEEDOR]],PROVEEDORES[FECHA DE PAGO],"")</f>
        <v>0</v>
      </c>
      <c r="E730" s="25"/>
      <c r="F730" s="58" t="str">
        <f>+VLOOKUP(PROVEEDORES[[#This Row],[PROVEEDOR]],
                       Terceros!$A:$F,
                       5,
                       FALSE)</f>
        <v/>
      </c>
      <c r="G730" s="161">
        <v>44428</v>
      </c>
      <c r="H730" s="26" t="s">
        <v>661</v>
      </c>
      <c r="I730" s="161">
        <v>44428</v>
      </c>
      <c r="J730" s="35" t="s">
        <v>1289</v>
      </c>
      <c r="K730" s="21">
        <v>520000</v>
      </c>
      <c r="L730" s="21"/>
      <c r="M730" s="22">
        <f>(PROVEEDORES[[#This Row],[SUBTOTAL]]-PROVEEDORES[[#This Row],[descuento sobre subtotal]])*VLOOKUP(PROVEEDORES[[#This Row],[PROVEEDOR]],TERCEROS_INFO[#All],3,FALSE)</f>
        <v>0</v>
      </c>
      <c r="N730" s="23"/>
      <c r="O730" s="22">
        <f>+PROVEEDORES[[#This Row],[Descuento sobre subtotal %]]*(PROVEEDORES[[#This Row],[SUBTOTAL]]-PROVEEDORES[[#This Row],[descuento sobre subtotal]])</f>
        <v>0</v>
      </c>
      <c r="P730" s="83">
        <f>+IF(PROVEEDORES[[#This Row],[SUBTOTAL]]&lt;PROVEEDORES[[#This Row],[base retencion]],0,PROVEEDORES[[#This Row],[retención aplicada]])</f>
        <v>0</v>
      </c>
      <c r="Q730" s="22">
        <f>+PROVEEDORES[[#This Row],[Rete Fuente %]]*(PROVEEDORES[[#This Row],[SUBTOTAL]]-PROVEEDORES[[#This Row],[descuento sobre subtotal]])</f>
        <v>0</v>
      </c>
      <c r="R730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7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68">
        <f ca="1">IF(PROVEEDORES[[#This Row],[FECHA DE PAGO]]=0,TODAY()-PROVEEDORES[[#This Row],[FECHA DE FACTURACIÓN]]-PROVEEDORES[[#This Row],[PLAZO Días]],0)</f>
        <v>0</v>
      </c>
      <c r="U730" s="96">
        <f>+VLOOKUP(PROVEEDORES[[#This Row],[PROVEEDOR]],Terceros!$A:$D,4,FALSE)</f>
        <v>0</v>
      </c>
      <c r="V730" s="97">
        <f>+YEAR(PROVEEDORES[[#This Row],[FECHA DE FACTURACIÓN]])</f>
        <v>2021</v>
      </c>
      <c r="W730" s="97">
        <f>+MATCH(PROVEEDORES[[#This Row],[año facturado]],Retenciones!$1:$1,0)</f>
        <v>4</v>
      </c>
      <c r="X730" s="98">
        <f>+VLOOKUP(PROVEEDORES[[#This Row],[ID RETENCION]],Retenciones!$A$1:$O$25,PROVEEDORES[[#This Row],[indicador de columna]],FALSE)</f>
        <v>0</v>
      </c>
      <c r="Y730" s="99">
        <f>+VLOOKUP(PROVEEDORES[[#This Row],[ID RETENCION]],Retenciones!$A$1:$O$25,2,FALSE)</f>
        <v>0</v>
      </c>
      <c r="Z730" s="125" t="b">
        <f>OR(COUNTIF(PROVEEDORES[[#This Row],[PROVEEDOR]],"*"&amp;'Palabra no opera'!$A$2&amp;"*"))</f>
        <v>0</v>
      </c>
      <c r="AA730" s="24"/>
      <c r="AB730" s="24"/>
      <c r="AC730" s="24"/>
      <c r="AD730" s="24"/>
      <c r="AE730" s="24"/>
    </row>
    <row r="731" spans="1:31" ht="22.2" customHeight="1" x14ac:dyDescent="0.3">
      <c r="A731" s="66" t="str">
        <f>+IF(PROVEEDORES[[#This Row],[FECHA DE PAGO]]=PROVEEDORES[[#This Row],[FECHA DE FACTURACIÓN]],"DE CONTADO","CRÉDITO")</f>
        <v>CRÉDITO</v>
      </c>
      <c r="B731" s="38" t="b">
        <f>+IF((PROVEEDORES[[#This Row],[FECHA DE PAGO]]-PROVEEDORES[[#This Row],[FECHA DE FACTURACIÓN]])&gt;PROVEEDORES[[#This Row],[PLAZO Días]],"PAGO VENCIDO")</f>
        <v>0</v>
      </c>
      <c r="C731" s="20">
        <f>+VLOOKUP(PROVEEDORES[[#This Row],[PROVEEDOR]],TERCEROS_INFO[#All],2,FALSE)</f>
        <v>180</v>
      </c>
      <c r="D731" s="25">
        <f>+SUMIFS(PROVEEDORES[Total],PROVEEDORES[PROVEEDOR],PROVEEDORES[[#This Row],[PROVEEDOR]],PROVEEDORES[FECHA DE PAGO],"")</f>
        <v>920165.12</v>
      </c>
      <c r="E731" s="25"/>
      <c r="F731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731" s="161">
        <v>44498</v>
      </c>
      <c r="H731" s="26" t="s">
        <v>915</v>
      </c>
      <c r="I731" s="161">
        <v>44492</v>
      </c>
      <c r="J731" s="35">
        <v>273100</v>
      </c>
      <c r="K731" s="21">
        <v>440292</v>
      </c>
      <c r="L731" s="21"/>
      <c r="M731" s="22">
        <f>(PROVEEDORES[[#This Row],[SUBTOTAL]]-PROVEEDORES[[#This Row],[descuento sobre subtotal]])*VLOOKUP(PROVEEDORES[[#This Row],[PROVEEDOR]],TERCEROS_INFO[#All],3,FALSE)</f>
        <v>83655.48</v>
      </c>
      <c r="N731" s="23"/>
      <c r="O731" s="22">
        <f>+PROVEEDORES[[#This Row],[Descuento sobre subtotal %]]*(PROVEEDORES[[#This Row],[SUBTOTAL]]-PROVEEDORES[[#This Row],[descuento sobre subtotal]])</f>
        <v>0</v>
      </c>
      <c r="P731" s="83">
        <f>+IF(PROVEEDORES[[#This Row],[SUBTOTAL]]&lt;PROVEEDORES[[#This Row],[base retencion]],0,PROVEEDORES[[#This Row],[retención aplicada]])</f>
        <v>0</v>
      </c>
      <c r="Q731" s="22">
        <f>+PROVEEDORES[[#This Row],[Rete Fuente %]]*(PROVEEDORES[[#This Row],[SUBTOTAL]]-PROVEEDORES[[#This Row],[descuento sobre subtotal]])</f>
        <v>0</v>
      </c>
      <c r="R731" s="21">
        <f>+PROVEEDORES[[#This Row],[SUBTOTAL]]+PROVEEDORES[[#This Row],[IVA 19%]]-PROVEEDORES[[#This Row],[descuento sobre subtotal]]-PROVEEDORES[[#This Row],[Descuento sobre subtotal $2]]-PROVEEDORES[[#This Row],[Rete Fuente $]]</f>
        <v>523947.48</v>
      </c>
      <c r="S7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68">
        <f ca="1">IF(PROVEEDORES[[#This Row],[FECHA DE PAGO]]=0,TODAY()-PROVEEDORES[[#This Row],[FECHA DE FACTURACIÓN]]-PROVEEDORES[[#This Row],[PLAZO Días]],0)</f>
        <v>0</v>
      </c>
      <c r="U731" s="96" t="str">
        <f>+VLOOKUP(PROVEEDORES[[#This Row],[PROVEEDOR]],Terceros!$A:$D,4,FALSE)</f>
        <v>2,5% con base</v>
      </c>
      <c r="V731" s="97">
        <f>+YEAR(PROVEEDORES[[#This Row],[FECHA DE FACTURACIÓN]])</f>
        <v>2021</v>
      </c>
      <c r="W731" s="97">
        <f>+MATCH(PROVEEDORES[[#This Row],[año facturado]],Retenciones!$1:$1,0)</f>
        <v>4</v>
      </c>
      <c r="X731" s="98">
        <f>+VLOOKUP(PROVEEDORES[[#This Row],[ID RETENCION]],Retenciones!$A$1:$O$25,PROVEEDORES[[#This Row],[indicador de columna]],FALSE)</f>
        <v>980000</v>
      </c>
      <c r="Y731" s="99">
        <f>+VLOOKUP(PROVEEDORES[[#This Row],[ID RETENCION]],Retenciones!$A$1:$O$25,2,FALSE)</f>
        <v>2.5000000000000001E-2</v>
      </c>
      <c r="Z731" s="125" t="b">
        <f>OR(COUNTIF(PROVEEDORES[[#This Row],[PROVEEDOR]],"*"&amp;'Palabra no opera'!$A$2&amp;"*"))</f>
        <v>1</v>
      </c>
      <c r="AA731" s="24"/>
      <c r="AB731" s="24"/>
      <c r="AC731" s="24"/>
      <c r="AD731" s="24"/>
      <c r="AE731" s="24"/>
    </row>
    <row r="732" spans="1:31" ht="22.2" customHeight="1" x14ac:dyDescent="0.3">
      <c r="A732" s="66" t="str">
        <f>+IF(PROVEEDORES[[#This Row],[FECHA DE PAGO]]=PROVEEDORES[[#This Row],[FECHA DE FACTURACIÓN]],"DE CONTADO","CRÉDITO")</f>
        <v>CRÉDITO</v>
      </c>
      <c r="B732" s="38" t="str">
        <f>+IF((PROVEEDORES[[#This Row],[FECHA DE PAGO]]-PROVEEDORES[[#This Row],[FECHA DE FACTURACIÓN]])&gt;PROVEEDORES[[#This Row],[PLAZO Días]],"PAGO VENCIDO")</f>
        <v>PAGO VENCIDO</v>
      </c>
      <c r="C732" s="20">
        <f>+VLOOKUP(PROVEEDORES[[#This Row],[PROVEEDOR]],TERCEROS_INFO[#All],2,FALSE)</f>
        <v>45</v>
      </c>
      <c r="D732" s="25">
        <f>+SUMIFS(PROVEEDORES[Total],PROVEEDORES[PROVEEDOR],PROVEEDORES[[#This Row],[PROVEEDOR]],PROVEEDORES[FECHA DE PAGO],"")</f>
        <v>2604910</v>
      </c>
      <c r="E732" s="25"/>
      <c r="F73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32" s="161">
        <v>44427</v>
      </c>
      <c r="H732" s="26" t="s">
        <v>10</v>
      </c>
      <c r="I732" s="161">
        <v>44370</v>
      </c>
      <c r="J732" s="35" t="s">
        <v>360</v>
      </c>
      <c r="K732" s="21">
        <v>442000</v>
      </c>
      <c r="L732" s="21"/>
      <c r="M732" s="22">
        <f>(PROVEEDORES[[#This Row],[SUBTOTAL]]-PROVEEDORES[[#This Row],[descuento sobre subtotal]])*VLOOKUP(PROVEEDORES[[#This Row],[PROVEEDOR]],TERCEROS_INFO[#All],3,FALSE)</f>
        <v>83980</v>
      </c>
      <c r="N732" s="23"/>
      <c r="O732" s="22">
        <f>+PROVEEDORES[[#This Row],[Descuento sobre subtotal %]]*(PROVEEDORES[[#This Row],[SUBTOTAL]]-PROVEEDORES[[#This Row],[descuento sobre subtotal]])</f>
        <v>0</v>
      </c>
      <c r="P732" s="83">
        <f>+IF(PROVEEDORES[[#This Row],[SUBTOTAL]]&lt;PROVEEDORES[[#This Row],[base retencion]],0,PROVEEDORES[[#This Row],[retención aplicada]])</f>
        <v>0</v>
      </c>
      <c r="Q732" s="22">
        <f>+PROVEEDORES[[#This Row],[Rete Fuente %]]*(PROVEEDORES[[#This Row],[SUBTOTAL]]-PROVEEDORES[[#This Row],[descuento sobre subtotal]])</f>
        <v>0</v>
      </c>
      <c r="R732" s="21">
        <f>+PROVEEDORES[[#This Row],[SUBTOTAL]]+PROVEEDORES[[#This Row],[IVA 19%]]-PROVEEDORES[[#This Row],[descuento sobre subtotal]]-PROVEEDORES[[#This Row],[Descuento sobre subtotal $2]]-PROVEEDORES[[#This Row],[Rete Fuente $]]</f>
        <v>525980</v>
      </c>
      <c r="S7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68">
        <f ca="1">IF(PROVEEDORES[[#This Row],[FECHA DE PAGO]]=0,TODAY()-PROVEEDORES[[#This Row],[FECHA DE FACTURACIÓN]]-PROVEEDORES[[#This Row],[PLAZO Días]],0)</f>
        <v>0</v>
      </c>
      <c r="U732" s="96">
        <f>+VLOOKUP(PROVEEDORES[[#This Row],[PROVEEDOR]],Terceros!$A:$D,4,FALSE)</f>
        <v>0</v>
      </c>
      <c r="V732" s="97">
        <f>+YEAR(PROVEEDORES[[#This Row],[FECHA DE FACTURACIÓN]])</f>
        <v>2021</v>
      </c>
      <c r="W732" s="97">
        <f>+MATCH(PROVEEDORES[[#This Row],[año facturado]],Retenciones!$1:$1,0)</f>
        <v>4</v>
      </c>
      <c r="X732" s="98">
        <f>+VLOOKUP(PROVEEDORES[[#This Row],[ID RETENCION]],Retenciones!$A$1:$O$25,PROVEEDORES[[#This Row],[indicador de columna]],FALSE)</f>
        <v>0</v>
      </c>
      <c r="Y732" s="99">
        <f>+VLOOKUP(PROVEEDORES[[#This Row],[ID RETENCION]],Retenciones!$A$1:$O$25,2,FALSE)</f>
        <v>0</v>
      </c>
      <c r="Z732" s="125" t="b">
        <f>OR(COUNTIF(PROVEEDORES[[#This Row],[PROVEEDOR]],"*"&amp;'Palabra no opera'!$A$2&amp;"*"))</f>
        <v>0</v>
      </c>
      <c r="AA732" s="24"/>
      <c r="AB732" s="24"/>
      <c r="AC732" s="24"/>
      <c r="AD732" s="24"/>
      <c r="AE732" s="24"/>
    </row>
    <row r="733" spans="1:31" ht="22.2" customHeight="1" x14ac:dyDescent="0.3">
      <c r="A733" s="66" t="str">
        <f>+IF(PROVEEDORES[[#This Row],[FECHA DE PAGO]]=PROVEEDORES[[#This Row],[FECHA DE FACTURACIÓN]],"DE CONTADO","CRÉDITO")</f>
        <v>DE CONTADO</v>
      </c>
      <c r="B733" s="38" t="b">
        <f>+IF((PROVEEDORES[[#This Row],[FECHA DE PAGO]]-PROVEEDORES[[#This Row],[FECHA DE FACTURACIÓN]])&gt;PROVEEDORES[[#This Row],[PLAZO Días]],"PAGO VENCIDO")</f>
        <v>0</v>
      </c>
      <c r="C733" s="20">
        <f>+VLOOKUP(PROVEEDORES[[#This Row],[PROVEEDOR]],TERCEROS_INFO[#All],2,FALSE)</f>
        <v>30</v>
      </c>
      <c r="D733" s="25">
        <f>+SUMIFS(PROVEEDORES[Total],PROVEEDORES[PROVEEDOR],PROVEEDORES[[#This Row],[PROVEEDOR]],PROVEEDORES[FECHA DE PAGO],"")</f>
        <v>0</v>
      </c>
      <c r="E733" s="25"/>
      <c r="F733" s="58" t="str">
        <f>+VLOOKUP(PROVEEDORES[[#This Row],[PROVEEDOR]],
                       Terceros!$A:$F,
                       5,
                       FALSE)</f>
        <v/>
      </c>
      <c r="G733" s="161">
        <v>44377</v>
      </c>
      <c r="H733" s="26" t="s">
        <v>644</v>
      </c>
      <c r="I733" s="161">
        <v>44377</v>
      </c>
      <c r="J733" s="35" t="s">
        <v>174</v>
      </c>
      <c r="K733" s="21">
        <v>526000</v>
      </c>
      <c r="L733" s="21"/>
      <c r="M733" s="22">
        <f>(PROVEEDORES[[#This Row],[SUBTOTAL]]-PROVEEDORES[[#This Row],[descuento sobre subtotal]])*VLOOKUP(PROVEEDORES[[#This Row],[PROVEEDOR]],TERCEROS_INFO[#All],3,FALSE)</f>
        <v>0</v>
      </c>
      <c r="N733" s="23"/>
      <c r="O733" s="22">
        <f>+PROVEEDORES[[#This Row],[Descuento sobre subtotal %]]*(PROVEEDORES[[#This Row],[SUBTOTAL]]-PROVEEDORES[[#This Row],[descuento sobre subtotal]])</f>
        <v>0</v>
      </c>
      <c r="P733" s="83">
        <f>+IF(PROVEEDORES[[#This Row],[SUBTOTAL]]&lt;PROVEEDORES[[#This Row],[base retencion]],0,PROVEEDORES[[#This Row],[retención aplicada]])</f>
        <v>0</v>
      </c>
      <c r="Q733" s="22">
        <f>+PROVEEDORES[[#This Row],[Rete Fuente %]]*(PROVEEDORES[[#This Row],[SUBTOTAL]]-PROVEEDORES[[#This Row],[descuento sobre subtotal]])</f>
        <v>0</v>
      </c>
      <c r="R733" s="21">
        <f>+PROVEEDORES[[#This Row],[SUBTOTAL]]+PROVEEDORES[[#This Row],[IVA 19%]]-PROVEEDORES[[#This Row],[descuento sobre subtotal]]-PROVEEDORES[[#This Row],[Descuento sobre subtotal $2]]-PROVEEDORES[[#This Row],[Rete Fuente $]]</f>
        <v>526000</v>
      </c>
      <c r="S7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68">
        <f ca="1">IF(PROVEEDORES[[#This Row],[FECHA DE PAGO]]=0,TODAY()-PROVEEDORES[[#This Row],[FECHA DE FACTURACIÓN]]-PROVEEDORES[[#This Row],[PLAZO Días]],0)</f>
        <v>0</v>
      </c>
      <c r="U733" s="96">
        <f>+VLOOKUP(PROVEEDORES[[#This Row],[PROVEEDOR]],Terceros!$A:$D,4,FALSE)</f>
        <v>0</v>
      </c>
      <c r="V733" s="97">
        <f>+YEAR(PROVEEDORES[[#This Row],[FECHA DE FACTURACIÓN]])</f>
        <v>2021</v>
      </c>
      <c r="W733" s="97">
        <f>+MATCH(PROVEEDORES[[#This Row],[año facturado]],Retenciones!$1:$1,0)</f>
        <v>4</v>
      </c>
      <c r="X733" s="98">
        <f>+VLOOKUP(PROVEEDORES[[#This Row],[ID RETENCION]],Retenciones!$A$1:$O$25,PROVEEDORES[[#This Row],[indicador de columna]],FALSE)</f>
        <v>0</v>
      </c>
      <c r="Y733" s="99">
        <f>+VLOOKUP(PROVEEDORES[[#This Row],[ID RETENCION]],Retenciones!$A$1:$O$25,2,FALSE)</f>
        <v>0</v>
      </c>
      <c r="Z733" s="125" t="b">
        <f>OR(COUNTIF(PROVEEDORES[[#This Row],[PROVEEDOR]],"*"&amp;'Palabra no opera'!$A$2&amp;"*"))</f>
        <v>0</v>
      </c>
      <c r="AA733" s="24"/>
      <c r="AB733" s="24"/>
      <c r="AC733" s="24"/>
      <c r="AD733" s="24"/>
      <c r="AE733" s="24"/>
    </row>
    <row r="734" spans="1:31" ht="22.2" customHeight="1" x14ac:dyDescent="0.3">
      <c r="A734" s="257" t="str">
        <f>+IF(PROVEEDORES[[#This Row],[FECHA DE PAGO]]=PROVEEDORES[[#This Row],[FECHA DE FACTURACIÓN]],"DE CONTADO","CRÉDITO")</f>
        <v>CRÉDITO</v>
      </c>
      <c r="B734" s="38" t="str">
        <f>+IF((PROVEEDORES[[#This Row],[FECHA DE PAGO]]-PROVEEDORES[[#This Row],[FECHA DE FACTURACIÓN]])&gt;PROVEEDORES[[#This Row],[PLAZO Días]],"PAGO VENCIDO")</f>
        <v>PAGO VENCIDO</v>
      </c>
      <c r="C734" s="20">
        <f>+VLOOKUP(PROVEEDORES[[#This Row],[PROVEEDOR]],TERCEROS_INFO[#All],2,FALSE)</f>
        <v>30</v>
      </c>
      <c r="D734" s="25">
        <f>+SUMIFS(PROVEEDORES[Total],PROVEEDORES[PROVEEDOR],PROVEEDORES[[#This Row],[PROVEEDOR]],PROVEEDORES[FECHA DE PAGO],"")</f>
        <v>0</v>
      </c>
      <c r="E734" s="25"/>
      <c r="F734" s="58" t="str">
        <f>+VLOOKUP(PROVEEDORES[[#This Row],[PROVEEDOR]],
                       Terceros!$A:$F,
                       5,
                       FALSE)</f>
        <v/>
      </c>
      <c r="G734" s="161">
        <v>44867</v>
      </c>
      <c r="H734" s="267" t="s">
        <v>1732</v>
      </c>
      <c r="I734" s="161">
        <v>44833</v>
      </c>
      <c r="J734" s="35" t="s">
        <v>1733</v>
      </c>
      <c r="K734" s="21">
        <v>527800</v>
      </c>
      <c r="L734" s="21"/>
      <c r="M734" s="22">
        <f>(PROVEEDORES[[#This Row],[SUBTOTAL]]-PROVEEDORES[[#This Row],[descuento sobre subtotal]])*VLOOKUP(PROVEEDORES[[#This Row],[PROVEEDOR]],TERCEROS_INFO[#All],3,FALSE)</f>
        <v>0</v>
      </c>
      <c r="N734" s="23"/>
      <c r="O734" s="22">
        <f>+PROVEEDORES[[#This Row],[Descuento sobre subtotal %]]*(PROVEEDORES[[#This Row],[SUBTOTAL]]-PROVEEDORES[[#This Row],[descuento sobre subtotal]])</f>
        <v>0</v>
      </c>
      <c r="P734" s="83">
        <f>+IF(PROVEEDORES[[#This Row],[SUBTOTAL]]&lt;PROVEEDORES[[#This Row],[base retencion]],0,PROVEEDORES[[#This Row],[retención aplicada]])</f>
        <v>0</v>
      </c>
      <c r="Q734" s="22">
        <f>+PROVEEDORES[[#This Row],[Rete Fuente %]]*(PROVEEDORES[[#This Row],[SUBTOTAL]]-PROVEEDORES[[#This Row],[descuento sobre subtotal]])</f>
        <v>0</v>
      </c>
      <c r="R734" s="21">
        <f>+PROVEEDORES[[#This Row],[SUBTOTAL]]+PROVEEDORES[[#This Row],[IVA 19%]]-PROVEEDORES[[#This Row],[descuento sobre subtotal]]-PROVEEDORES[[#This Row],[Descuento sobre subtotal $2]]-PROVEEDORES[[#This Row],[Rete Fuente $]]</f>
        <v>527800</v>
      </c>
      <c r="S734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68">
        <f ca="1">IF(PROVEEDORES[[#This Row],[FECHA DE PAGO]]=0,TODAY()-PROVEEDORES[[#This Row],[FECHA DE FACTURACIÓN]]-PROVEEDORES[[#This Row],[PLAZO Días]],0)</f>
        <v>0</v>
      </c>
      <c r="U734" s="113">
        <f>+VLOOKUP(PROVEEDORES[[#This Row],[PROVEEDOR]],Terceros!$A:$D,4,FALSE)</f>
        <v>0</v>
      </c>
      <c r="V734" s="114">
        <f>+YEAR(PROVEEDORES[[#This Row],[FECHA DE FACTURACIÓN]])</f>
        <v>2022</v>
      </c>
      <c r="W734" s="114">
        <f>+MATCH(PROVEEDORES[[#This Row],[año facturado]],Retenciones!$1:$1,0)</f>
        <v>5</v>
      </c>
      <c r="X734" s="115">
        <f>+VLOOKUP(PROVEEDORES[[#This Row],[ID RETENCION]],Retenciones!$A$1:$O$25,PROVEEDORES[[#This Row],[indicador de columna]],FALSE)</f>
        <v>0</v>
      </c>
      <c r="Y734" s="116">
        <f>+VLOOKUP(PROVEEDORES[[#This Row],[ID RETENCION]],Retenciones!$A$1:$O$25,2,FALSE)</f>
        <v>0</v>
      </c>
      <c r="Z734" s="125" t="b">
        <f>OR(COUNTIF(PROVEEDORES[[#This Row],[PROVEEDOR]],"*"&amp;'Palabra no opera'!$A$2&amp;"*"))</f>
        <v>0</v>
      </c>
      <c r="AA734" s="24"/>
      <c r="AB734" s="24"/>
      <c r="AC734" s="24"/>
      <c r="AD734" s="24"/>
      <c r="AE734" s="24"/>
    </row>
    <row r="735" spans="1:31" ht="22.2" customHeight="1" x14ac:dyDescent="0.3">
      <c r="A735" s="66" t="str">
        <f>+IF(PROVEEDORES[[#This Row],[FECHA DE PAGO]]=PROVEEDORES[[#This Row],[FECHA DE FACTURACIÓN]],"DE CONTADO","CRÉDITO")</f>
        <v>CRÉDITO</v>
      </c>
      <c r="B735" s="38" t="str">
        <f>+IF((PROVEEDORES[[#This Row],[FECHA DE PAGO]]-PROVEEDORES[[#This Row],[FECHA DE FACTURACIÓN]])&gt;PROVEEDORES[[#This Row],[PLAZO Días]],"PAGO VENCIDO")</f>
        <v>PAGO VENCIDO</v>
      </c>
      <c r="C735" s="20">
        <f>+VLOOKUP(PROVEEDORES[[#This Row],[PROVEEDOR]],TERCEROS_INFO[#All],2,FALSE)</f>
        <v>30</v>
      </c>
      <c r="D735" s="25">
        <f>+SUMIFS(PROVEEDORES[Total],PROVEEDORES[PROVEEDOR],PROVEEDORES[[#This Row],[PROVEEDOR]],PROVEEDORES[FECHA DE PAGO],"")</f>
        <v>0</v>
      </c>
      <c r="E735" s="25"/>
      <c r="F73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35" s="161">
        <v>44389</v>
      </c>
      <c r="H735" s="26" t="s">
        <v>1637</v>
      </c>
      <c r="I735" s="161">
        <v>44343</v>
      </c>
      <c r="J735" s="35">
        <v>7562</v>
      </c>
      <c r="K735" s="21">
        <v>444000</v>
      </c>
      <c r="L735" s="21"/>
      <c r="M735" s="22">
        <f>(PROVEEDORES[[#This Row],[SUBTOTAL]]-PROVEEDORES[[#This Row],[descuento sobre subtotal]])*VLOOKUP(PROVEEDORES[[#This Row],[PROVEEDOR]],TERCEROS_INFO[#All],3,FALSE)</f>
        <v>84360</v>
      </c>
      <c r="N735" s="23"/>
      <c r="O735" s="22">
        <f>+PROVEEDORES[[#This Row],[Descuento sobre subtotal %]]*(PROVEEDORES[[#This Row],[SUBTOTAL]]-PROVEEDORES[[#This Row],[descuento sobre subtotal]])</f>
        <v>0</v>
      </c>
      <c r="P735" s="83">
        <f>+IF(PROVEEDORES[[#This Row],[SUBTOTAL]]&lt;PROVEEDORES[[#This Row],[base retencion]],0,PROVEEDORES[[#This Row],[retención aplicada]])</f>
        <v>0</v>
      </c>
      <c r="Q735" s="22">
        <f>+PROVEEDORES[[#This Row],[Rete Fuente %]]*(PROVEEDORES[[#This Row],[SUBTOTAL]]-PROVEEDORES[[#This Row],[descuento sobre subtotal]])</f>
        <v>0</v>
      </c>
      <c r="R735" s="21">
        <f>+PROVEEDORES[[#This Row],[SUBTOTAL]]+PROVEEDORES[[#This Row],[IVA 19%]]-PROVEEDORES[[#This Row],[descuento sobre subtotal]]-PROVEEDORES[[#This Row],[Descuento sobre subtotal $2]]-PROVEEDORES[[#This Row],[Rete Fuente $]]</f>
        <v>528360</v>
      </c>
      <c r="S7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68">
        <f ca="1">IF(PROVEEDORES[[#This Row],[FECHA DE PAGO]]=0,TODAY()-PROVEEDORES[[#This Row],[FECHA DE FACTURACIÓN]]-PROVEEDORES[[#This Row],[PLAZO Días]],0)</f>
        <v>0</v>
      </c>
      <c r="U735" s="96" t="str">
        <f>+VLOOKUP(PROVEEDORES[[#This Row],[PROVEEDOR]],Terceros!$A:$D,4,FALSE)</f>
        <v>2,5% con base</v>
      </c>
      <c r="V735" s="97">
        <f>+YEAR(PROVEEDORES[[#This Row],[FECHA DE FACTURACIÓN]])</f>
        <v>2021</v>
      </c>
      <c r="W735" s="97">
        <f>+MATCH(PROVEEDORES[[#This Row],[año facturado]],Retenciones!$1:$1,0)</f>
        <v>4</v>
      </c>
      <c r="X735" s="98">
        <f>+VLOOKUP(PROVEEDORES[[#This Row],[ID RETENCION]],Retenciones!$A$1:$O$25,PROVEEDORES[[#This Row],[indicador de columna]],FALSE)</f>
        <v>980000</v>
      </c>
      <c r="Y735" s="99">
        <f>+VLOOKUP(PROVEEDORES[[#This Row],[ID RETENCION]],Retenciones!$A$1:$O$25,2,FALSE)</f>
        <v>2.5000000000000001E-2</v>
      </c>
      <c r="Z735" s="125" t="b">
        <f>OR(COUNTIF(PROVEEDORES[[#This Row],[PROVEEDOR]],"*"&amp;'Palabra no opera'!$A$2&amp;"*"))</f>
        <v>0</v>
      </c>
      <c r="AA735" s="24"/>
      <c r="AB735" s="24"/>
      <c r="AC735" s="24"/>
      <c r="AD735" s="24"/>
      <c r="AE735" s="24"/>
    </row>
    <row r="736" spans="1:31" ht="22.2" customHeight="1" x14ac:dyDescent="0.3">
      <c r="A736" s="66" t="str">
        <f>+IF(PROVEEDORES[[#This Row],[FECHA DE PAGO]]=PROVEEDORES[[#This Row],[FECHA DE FACTURACIÓN]],"DE CONTADO","CRÉDITO")</f>
        <v>CRÉDITO</v>
      </c>
      <c r="B736" s="38" t="str">
        <f>+IF((PROVEEDORES[[#This Row],[FECHA DE PAGO]]-PROVEEDORES[[#This Row],[FECHA DE FACTURACIÓN]])&gt;PROVEEDORES[[#This Row],[PLAZO Días]],"PAGO VENCIDO")</f>
        <v>PAGO VENCIDO</v>
      </c>
      <c r="C736" s="20">
        <f>+VLOOKUP(PROVEEDORES[[#This Row],[PROVEEDOR]],TERCEROS_INFO[#All],2,FALSE)</f>
        <v>30</v>
      </c>
      <c r="D736" s="25">
        <f>+SUMIFS(PROVEEDORES[Total],PROVEEDORES[PROVEEDOR],PROVEEDORES[[#This Row],[PROVEEDOR]],PROVEEDORES[FECHA DE PAGO],"")</f>
        <v>0</v>
      </c>
      <c r="E736" s="25"/>
      <c r="F736" s="58" t="str">
        <f>+VLOOKUP(PROVEEDORES[[#This Row],[PROVEEDOR]],
                       Terceros!$A:$F,
                       5,
                       FALSE)</f>
        <v/>
      </c>
      <c r="G736" s="161">
        <v>44543</v>
      </c>
      <c r="H736" s="26" t="s">
        <v>686</v>
      </c>
      <c r="I736" s="161">
        <v>44506</v>
      </c>
      <c r="J736" s="35" t="s">
        <v>1516</v>
      </c>
      <c r="K736" s="21">
        <v>529000</v>
      </c>
      <c r="L736" s="21"/>
      <c r="M736" s="22">
        <f>(PROVEEDORES[[#This Row],[SUBTOTAL]]-PROVEEDORES[[#This Row],[descuento sobre subtotal]])*VLOOKUP(PROVEEDORES[[#This Row],[PROVEEDOR]],TERCEROS_INFO[#All],3,FALSE)</f>
        <v>0</v>
      </c>
      <c r="N736" s="23"/>
      <c r="O736" s="22">
        <f>+PROVEEDORES[[#This Row],[Descuento sobre subtotal %]]*(PROVEEDORES[[#This Row],[SUBTOTAL]]-PROVEEDORES[[#This Row],[descuento sobre subtotal]])</f>
        <v>0</v>
      </c>
      <c r="P736" s="83">
        <f>+IF(PROVEEDORES[[#This Row],[SUBTOTAL]]&lt;PROVEEDORES[[#This Row],[base retencion]],0,PROVEEDORES[[#This Row],[retención aplicada]])</f>
        <v>0</v>
      </c>
      <c r="Q736" s="22">
        <f>+PROVEEDORES[[#This Row],[Rete Fuente %]]*(PROVEEDORES[[#This Row],[SUBTOTAL]]-PROVEEDORES[[#This Row],[descuento sobre subtotal]])</f>
        <v>0</v>
      </c>
      <c r="R736" s="21">
        <f>+PROVEEDORES[[#This Row],[SUBTOTAL]]+PROVEEDORES[[#This Row],[IVA 19%]]-PROVEEDORES[[#This Row],[descuento sobre subtotal]]-PROVEEDORES[[#This Row],[Descuento sobre subtotal $2]]-PROVEEDORES[[#This Row],[Rete Fuente $]]</f>
        <v>529000</v>
      </c>
      <c r="S7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68">
        <f ca="1">IF(PROVEEDORES[[#This Row],[FECHA DE PAGO]]=0,TODAY()-PROVEEDORES[[#This Row],[FECHA DE FACTURACIÓN]]-PROVEEDORES[[#This Row],[PLAZO Días]],0)</f>
        <v>0</v>
      </c>
      <c r="U736" s="96">
        <f>+VLOOKUP(PROVEEDORES[[#This Row],[PROVEEDOR]],Terceros!$A:$D,4,FALSE)</f>
        <v>0</v>
      </c>
      <c r="V736" s="97">
        <f>+YEAR(PROVEEDORES[[#This Row],[FECHA DE FACTURACIÓN]])</f>
        <v>2021</v>
      </c>
      <c r="W736" s="97">
        <f>+MATCH(PROVEEDORES[[#This Row],[año facturado]],Retenciones!$1:$1,0)</f>
        <v>4</v>
      </c>
      <c r="X736" s="98">
        <f>+VLOOKUP(PROVEEDORES[[#This Row],[ID RETENCION]],Retenciones!$A$1:$O$25,PROVEEDORES[[#This Row],[indicador de columna]],FALSE)</f>
        <v>0</v>
      </c>
      <c r="Y736" s="99">
        <f>+VLOOKUP(PROVEEDORES[[#This Row],[ID RETENCION]],Retenciones!$A$1:$O$25,2,FALSE)</f>
        <v>0</v>
      </c>
      <c r="Z736" s="125" t="b">
        <f>OR(COUNTIF(PROVEEDORES[[#This Row],[PROVEEDOR]],"*"&amp;'Palabra no opera'!$A$2&amp;"*"))</f>
        <v>0</v>
      </c>
      <c r="AA736" s="24"/>
      <c r="AB736" s="24"/>
      <c r="AC736" s="24"/>
      <c r="AD736" s="24"/>
      <c r="AE736" s="24"/>
    </row>
    <row r="737" spans="1:31" ht="22.2" customHeight="1" x14ac:dyDescent="0.3">
      <c r="A737" s="66" t="str">
        <f>+IF(PROVEEDORES[[#This Row],[FECHA DE PAGO]]=PROVEEDORES[[#This Row],[FECHA DE FACTURACIÓN]],"DE CONTADO","CRÉDITO")</f>
        <v>CRÉDITO</v>
      </c>
      <c r="B737" s="38" t="b">
        <f>+IF((PROVEEDORES[[#This Row],[FECHA DE PAGO]]-PROVEEDORES[[#This Row],[FECHA DE FACTURACIÓN]])&gt;PROVEEDORES[[#This Row],[PLAZO Días]],"PAGO VENCIDO")</f>
        <v>0</v>
      </c>
      <c r="C737" s="20">
        <f>+VLOOKUP(PROVEEDORES[[#This Row],[PROVEEDOR]],TERCEROS_INFO[#All],2,FALSE)</f>
        <v>30</v>
      </c>
      <c r="D737" s="25">
        <f>+SUMIFS(PROVEEDORES[Total],PROVEEDORES[PROVEEDOR],PROVEEDORES[[#This Row],[PROVEEDOR]],PROVEEDORES[FECHA DE PAGO],"")</f>
        <v>0</v>
      </c>
      <c r="E737" s="25"/>
      <c r="F73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37" s="161">
        <v>44418</v>
      </c>
      <c r="H737" s="26" t="s">
        <v>1451</v>
      </c>
      <c r="I737" s="161">
        <v>44409</v>
      </c>
      <c r="J737" s="35">
        <v>120</v>
      </c>
      <c r="K737" s="21">
        <v>535000</v>
      </c>
      <c r="L737" s="21"/>
      <c r="M737" s="22">
        <f>(PROVEEDORES[[#This Row],[SUBTOTAL]]-PROVEEDORES[[#This Row],[descuento sobre subtotal]])*VLOOKUP(PROVEEDORES[[#This Row],[PROVEEDOR]],TERCEROS_INFO[#All],3,FALSE)</f>
        <v>0</v>
      </c>
      <c r="N737" s="23"/>
      <c r="O737" s="22">
        <f>+PROVEEDORES[[#This Row],[Descuento sobre subtotal %]]*(PROVEEDORES[[#This Row],[SUBTOTAL]]-PROVEEDORES[[#This Row],[descuento sobre subtotal]])</f>
        <v>0</v>
      </c>
      <c r="P737" s="83">
        <f>+IF(PROVEEDORES[[#This Row],[SUBTOTAL]]&lt;PROVEEDORES[[#This Row],[base retencion]],0,PROVEEDORES[[#This Row],[retención aplicada]])</f>
        <v>0.01</v>
      </c>
      <c r="Q737" s="22">
        <f>+PROVEEDORES[[#This Row],[Rete Fuente %]]*(PROVEEDORES[[#This Row],[SUBTOTAL]]-PROVEEDORES[[#This Row],[descuento sobre subtotal]])</f>
        <v>5350</v>
      </c>
      <c r="R737" s="21">
        <f>+PROVEEDORES[[#This Row],[SUBTOTAL]]+PROVEEDORES[[#This Row],[IVA 19%]]-PROVEEDORES[[#This Row],[descuento sobre subtotal]]-PROVEEDORES[[#This Row],[Descuento sobre subtotal $2]]-PROVEEDORES[[#This Row],[Rete Fuente $]]</f>
        <v>529650</v>
      </c>
      <c r="S7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68">
        <f ca="1">IF(PROVEEDORES[[#This Row],[FECHA DE PAGO]]=0,TODAY()-PROVEEDORES[[#This Row],[FECHA DE FACTURACIÓN]]-PROVEEDORES[[#This Row],[PLAZO Días]],0)</f>
        <v>0</v>
      </c>
      <c r="U737" s="96" t="str">
        <f>+VLOOKUP(PROVEEDORES[[#This Row],[PROVEEDOR]],Terceros!$A:$D,4,FALSE)</f>
        <v>1% con base</v>
      </c>
      <c r="V737" s="97">
        <f>+YEAR(PROVEEDORES[[#This Row],[FECHA DE FACTURACIÓN]])</f>
        <v>2021</v>
      </c>
      <c r="W737" s="97">
        <f>+MATCH(PROVEEDORES[[#This Row],[año facturado]],Retenciones!$1:$1,0)</f>
        <v>4</v>
      </c>
      <c r="X737" s="98">
        <f>+VLOOKUP(PROVEEDORES[[#This Row],[ID RETENCION]],Retenciones!$A$1:$O$25,PROVEEDORES[[#This Row],[indicador de columna]],FALSE)</f>
        <v>145000</v>
      </c>
      <c r="Y737" s="99">
        <f>+VLOOKUP(PROVEEDORES[[#This Row],[ID RETENCION]],Retenciones!$A$1:$O$25,2,FALSE)</f>
        <v>0.01</v>
      </c>
      <c r="Z737" s="125" t="b">
        <f>OR(COUNTIF(PROVEEDORES[[#This Row],[PROVEEDOR]],"*"&amp;'Palabra no opera'!$A$2&amp;"*"))</f>
        <v>0</v>
      </c>
      <c r="AA737" s="24"/>
      <c r="AB737" s="24"/>
      <c r="AC737" s="24"/>
      <c r="AD737" s="24"/>
      <c r="AE737" s="24"/>
    </row>
    <row r="738" spans="1:31" ht="22.2" customHeight="1" x14ac:dyDescent="0.3">
      <c r="A738" s="66" t="str">
        <f>+IF(PROVEEDORES[[#This Row],[FECHA DE PAGO]]=PROVEEDORES[[#This Row],[FECHA DE FACTURACIÓN]],"DE CONTADO","CRÉDITO")</f>
        <v>CRÉDITO</v>
      </c>
      <c r="B738" s="38" t="b">
        <f>+IF((PROVEEDORES[[#This Row],[FECHA DE PAGO]]-PROVEEDORES[[#This Row],[FECHA DE FACTURACIÓN]])&gt;PROVEEDORES[[#This Row],[PLAZO Días]],"PAGO VENCIDO")</f>
        <v>0</v>
      </c>
      <c r="C738" s="20">
        <f>+VLOOKUP(PROVEEDORES[[#This Row],[PROVEEDOR]],TERCEROS_INFO[#All],2,FALSE)</f>
        <v>30</v>
      </c>
      <c r="D738" s="25">
        <f>+SUMIFS(PROVEEDORES[Total],PROVEEDORES[PROVEEDOR],PROVEEDORES[[#This Row],[PROVEEDOR]],PROVEEDORES[FECHA DE PAGO],"")</f>
        <v>0</v>
      </c>
      <c r="E738" s="25"/>
      <c r="F738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738" s="161">
        <v>44264</v>
      </c>
      <c r="H738" s="26" t="s">
        <v>667</v>
      </c>
      <c r="I738" s="161">
        <v>44243</v>
      </c>
      <c r="J738" s="35">
        <v>4110</v>
      </c>
      <c r="K738" s="21">
        <v>530000</v>
      </c>
      <c r="L738" s="21"/>
      <c r="M738" s="22">
        <f>(PROVEEDORES[[#This Row],[SUBTOTAL]]-PROVEEDORES[[#This Row],[descuento sobre subtotal]])*VLOOKUP(PROVEEDORES[[#This Row],[PROVEEDOR]],TERCEROS_INFO[#All],3,FALSE)</f>
        <v>0</v>
      </c>
      <c r="N738" s="23"/>
      <c r="O738" s="22">
        <f>+PROVEEDORES[[#This Row],[Descuento sobre subtotal %]]*(PROVEEDORES[[#This Row],[SUBTOTAL]]-PROVEEDORES[[#This Row],[descuento sobre subtotal]])</f>
        <v>0</v>
      </c>
      <c r="P738" s="83">
        <f>+IF(PROVEEDORES[[#This Row],[SUBTOTAL]]&lt;PROVEEDORES[[#This Row],[base retencion]],0,PROVEEDORES[[#This Row],[retención aplicada]])</f>
        <v>0</v>
      </c>
      <c r="Q738" s="22">
        <f>+PROVEEDORES[[#This Row],[Rete Fuente %]]*(PROVEEDORES[[#This Row],[SUBTOTAL]]-PROVEEDORES[[#This Row],[descuento sobre subtotal]])</f>
        <v>0</v>
      </c>
      <c r="R738" s="21">
        <f>+PROVEEDORES[[#This Row],[SUBTOTAL]]+PROVEEDORES[[#This Row],[IVA 19%]]-PROVEEDORES[[#This Row],[descuento sobre subtotal]]-PROVEEDORES[[#This Row],[Descuento sobre subtotal $2]]-PROVEEDORES[[#This Row],[Rete Fuente $]]</f>
        <v>530000</v>
      </c>
      <c r="S7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68">
        <f ca="1">IF(PROVEEDORES[[#This Row],[FECHA DE PAGO]]=0,TODAY()-PROVEEDORES[[#This Row],[FECHA DE FACTURACIÓN]]-PROVEEDORES[[#This Row],[PLAZO Días]],0)</f>
        <v>0</v>
      </c>
      <c r="U738" s="96">
        <f>+VLOOKUP(PROVEEDORES[[#This Row],[PROVEEDOR]],Terceros!$A:$D,4,FALSE)</f>
        <v>0</v>
      </c>
      <c r="V738" s="97">
        <f>+YEAR(PROVEEDORES[[#This Row],[FECHA DE FACTURACIÓN]])</f>
        <v>2021</v>
      </c>
      <c r="W738" s="97">
        <f>+MATCH(PROVEEDORES[[#This Row],[año facturado]],Retenciones!$1:$1,0)</f>
        <v>4</v>
      </c>
      <c r="X738" s="98">
        <f>+VLOOKUP(PROVEEDORES[[#This Row],[ID RETENCION]],Retenciones!$A$1:$O$25,PROVEEDORES[[#This Row],[indicador de columna]],FALSE)</f>
        <v>0</v>
      </c>
      <c r="Y738" s="99">
        <f>+VLOOKUP(PROVEEDORES[[#This Row],[ID RETENCION]],Retenciones!$A$1:$O$25,2,FALSE)</f>
        <v>0</v>
      </c>
      <c r="Z738" s="125" t="b">
        <f>OR(COUNTIF(PROVEEDORES[[#This Row],[PROVEEDOR]],"*"&amp;'Palabra no opera'!$A$2&amp;"*"))</f>
        <v>0</v>
      </c>
      <c r="AA738" s="24"/>
      <c r="AB738" s="24"/>
      <c r="AC738" s="24"/>
      <c r="AD738" s="24"/>
      <c r="AE738" s="24"/>
    </row>
    <row r="739" spans="1:31" ht="22.2" customHeight="1" x14ac:dyDescent="0.3">
      <c r="A739" s="66" t="str">
        <f>+IF(PROVEEDORES[[#This Row],[FECHA DE PAGO]]=PROVEEDORES[[#This Row],[FECHA DE FACTURACIÓN]],"DE CONTADO","CRÉDITO")</f>
        <v>CRÉDITO</v>
      </c>
      <c r="B739" s="38" t="str">
        <f>+IF((PROVEEDORES[[#This Row],[FECHA DE PAGO]]-PROVEEDORES[[#This Row],[FECHA DE FACTURACIÓN]])&gt;PROVEEDORES[[#This Row],[PLAZO Días]],"PAGO VENCIDO")</f>
        <v>PAGO VENCIDO</v>
      </c>
      <c r="C739" s="20">
        <f>+VLOOKUP(PROVEEDORES[[#This Row],[PROVEEDOR]],TERCEROS_INFO[#All],2,FALSE)</f>
        <v>30</v>
      </c>
      <c r="D739" s="25">
        <f>+SUMIFS(PROVEEDORES[Total],PROVEEDORES[PROVEEDOR],PROVEEDORES[[#This Row],[PROVEEDOR]],PROVEEDORES[FECHA DE PAGO],"")</f>
        <v>0</v>
      </c>
      <c r="E739" s="25"/>
      <c r="F73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739" s="161">
        <v>44657</v>
      </c>
      <c r="H739" s="26" t="s">
        <v>670</v>
      </c>
      <c r="I739" s="161">
        <v>44594</v>
      </c>
      <c r="J739" s="35" t="s">
        <v>1568</v>
      </c>
      <c r="K739" s="21">
        <v>532400</v>
      </c>
      <c r="L739" s="21"/>
      <c r="M739" s="22">
        <v>0</v>
      </c>
      <c r="N739" s="23"/>
      <c r="O739" s="22">
        <v>0</v>
      </c>
      <c r="P739" s="83">
        <f>+IF(PROVEEDORES[[#This Row],[SUBTOTAL]]&lt;PROVEEDORES[[#This Row],[base retencion]],0,PROVEEDORES[[#This Row],[retención aplicada]])</f>
        <v>0</v>
      </c>
      <c r="Q739" s="22">
        <f>+PROVEEDORES[[#This Row],[Rete Fuente %]]*(PROVEEDORES[[#This Row],[SUBTOTAL]]-PROVEEDORES[[#This Row],[descuento sobre subtotal]])</f>
        <v>0</v>
      </c>
      <c r="R739" s="21">
        <v>532400</v>
      </c>
      <c r="S7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68">
        <f ca="1">IF(PROVEEDORES[[#This Row],[FECHA DE PAGO]]=0,TODAY()-PROVEEDORES[[#This Row],[FECHA DE FACTURACIÓN]]-PROVEEDORES[[#This Row],[PLAZO Días]],0)</f>
        <v>0</v>
      </c>
      <c r="U739" s="96">
        <f>+VLOOKUP(PROVEEDORES[[#This Row],[PROVEEDOR]],Terceros!$A:$D,4,FALSE)</f>
        <v>0</v>
      </c>
      <c r="V739" s="97">
        <f>+YEAR(PROVEEDORES[[#This Row],[FECHA DE FACTURACIÓN]])</f>
        <v>2022</v>
      </c>
      <c r="W739" s="97">
        <f>+MATCH(PROVEEDORES[[#This Row],[año facturado]],Retenciones!$1:$1,0)</f>
        <v>5</v>
      </c>
      <c r="X739" s="98">
        <f>+VLOOKUP(PROVEEDORES[[#This Row],[ID RETENCION]],Retenciones!$A$1:$O$25,PROVEEDORES[[#This Row],[indicador de columna]],FALSE)</f>
        <v>0</v>
      </c>
      <c r="Y739" s="99">
        <f>+VLOOKUP(PROVEEDORES[[#This Row],[ID RETENCION]],Retenciones!$A$1:$O$25,2,FALSE)</f>
        <v>0</v>
      </c>
      <c r="Z739" s="125" t="b">
        <f>OR(COUNTIF(PROVEEDORES[[#This Row],[PROVEEDOR]],"*"&amp;'Palabra no opera'!$A$2&amp;"*"))</f>
        <v>0</v>
      </c>
      <c r="AA739" s="24"/>
      <c r="AB739" s="24"/>
      <c r="AC739" s="24"/>
      <c r="AD739" s="24"/>
      <c r="AE739" s="24"/>
    </row>
    <row r="740" spans="1:31" ht="22.2" customHeight="1" x14ac:dyDescent="0.3">
      <c r="A740" s="66" t="str">
        <f>+IF(PROVEEDORES[[#This Row],[FECHA DE PAGO]]=PROVEEDORES[[#This Row],[FECHA DE FACTURACIÓN]],"DE CONTADO","CRÉDITO")</f>
        <v>CRÉDITO</v>
      </c>
      <c r="B740" s="38" t="str">
        <f>+IF((PROVEEDORES[[#This Row],[FECHA DE PAGO]]-PROVEEDORES[[#This Row],[FECHA DE FACTURACIÓN]])&gt;PROVEEDORES[[#This Row],[PLAZO Días]],"PAGO VENCIDO")</f>
        <v>PAGO VENCIDO</v>
      </c>
      <c r="C740" s="20">
        <f>+VLOOKUP(PROVEEDORES[[#This Row],[PROVEEDOR]],TERCEROS_INFO[#All],2,FALSE)</f>
        <v>30</v>
      </c>
      <c r="D740" s="25">
        <f>+SUMIFS(PROVEEDORES[Total],PROVEEDORES[PROVEEDOR],PROVEEDORES[[#This Row],[PROVEEDOR]],PROVEEDORES[FECHA DE PAGO],"")</f>
        <v>2318500</v>
      </c>
      <c r="E740" s="25"/>
      <c r="F740" s="58" t="str">
        <f>+VLOOKUP(PROVEEDORES[[#This Row],[PROVEEDOR]],
                       Terceros!$A:$F,
                       5,
                       FALSE)</f>
        <v/>
      </c>
      <c r="G740" s="161">
        <v>44264</v>
      </c>
      <c r="H740" s="26" t="s">
        <v>629</v>
      </c>
      <c r="I740" s="161">
        <v>44210</v>
      </c>
      <c r="J740" s="35" t="s">
        <v>1184</v>
      </c>
      <c r="K740" s="21">
        <v>534000</v>
      </c>
      <c r="L740" s="21"/>
      <c r="M740" s="22">
        <f>(PROVEEDORES[[#This Row],[SUBTOTAL]]-PROVEEDORES[[#This Row],[descuento sobre subtotal]])*VLOOKUP(PROVEEDORES[[#This Row],[PROVEEDOR]],TERCEROS_INFO[#All],3,FALSE)</f>
        <v>0</v>
      </c>
      <c r="N740" s="23"/>
      <c r="O740" s="22">
        <f>+PROVEEDORES[[#This Row],[Descuento sobre subtotal %]]*(PROVEEDORES[[#This Row],[SUBTOTAL]]-PROVEEDORES[[#This Row],[descuento sobre subtotal]])</f>
        <v>0</v>
      </c>
      <c r="P740" s="83">
        <f>+IF(PROVEEDORES[[#This Row],[SUBTOTAL]]&lt;PROVEEDORES[[#This Row],[base retencion]],0,PROVEEDORES[[#This Row],[retención aplicada]])</f>
        <v>0</v>
      </c>
      <c r="Q740" s="22">
        <f>+PROVEEDORES[[#This Row],[Rete Fuente %]]*(PROVEEDORES[[#This Row],[SUBTOTAL]]-PROVEEDORES[[#This Row],[descuento sobre subtotal]])</f>
        <v>0</v>
      </c>
      <c r="R740" s="21">
        <f>+PROVEEDORES[[#This Row],[SUBTOTAL]]+PROVEEDORES[[#This Row],[IVA 19%]]-PROVEEDORES[[#This Row],[descuento sobre subtotal]]-PROVEEDORES[[#This Row],[Descuento sobre subtotal $2]]-PROVEEDORES[[#This Row],[Rete Fuente $]]</f>
        <v>534000</v>
      </c>
      <c r="S7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68">
        <f ca="1">IF(PROVEEDORES[[#This Row],[FECHA DE PAGO]]=0,TODAY()-PROVEEDORES[[#This Row],[FECHA DE FACTURACIÓN]]-PROVEEDORES[[#This Row],[PLAZO Días]],0)</f>
        <v>0</v>
      </c>
      <c r="U740" s="96">
        <f>+VLOOKUP(PROVEEDORES[[#This Row],[PROVEEDOR]],Terceros!$A:$D,4,FALSE)</f>
        <v>0</v>
      </c>
      <c r="V740" s="97">
        <f>+YEAR(PROVEEDORES[[#This Row],[FECHA DE FACTURACIÓN]])</f>
        <v>2021</v>
      </c>
      <c r="W740" s="97">
        <f>+MATCH(PROVEEDORES[[#This Row],[año facturado]],Retenciones!$1:$1,0)</f>
        <v>4</v>
      </c>
      <c r="X740" s="98">
        <f>+VLOOKUP(PROVEEDORES[[#This Row],[ID RETENCION]],Retenciones!$A$1:$O$25,PROVEEDORES[[#This Row],[indicador de columna]],FALSE)</f>
        <v>0</v>
      </c>
      <c r="Y740" s="99">
        <f>+VLOOKUP(PROVEEDORES[[#This Row],[ID RETENCION]],Retenciones!$A$1:$O$25,2,FALSE)</f>
        <v>0</v>
      </c>
      <c r="Z740" s="125" t="b">
        <f>OR(COUNTIF(PROVEEDORES[[#This Row],[PROVEEDOR]],"*"&amp;'Palabra no opera'!$A$2&amp;"*"))</f>
        <v>0</v>
      </c>
      <c r="AA740" s="24"/>
      <c r="AB740" s="24"/>
      <c r="AC740" s="24"/>
      <c r="AD740" s="24"/>
      <c r="AE740" s="24"/>
    </row>
    <row r="741" spans="1:31" ht="22.2" customHeight="1" x14ac:dyDescent="0.3">
      <c r="A741" s="66" t="str">
        <f>+IF(PROVEEDORES[[#This Row],[FECHA DE PAGO]]=PROVEEDORES[[#This Row],[FECHA DE FACTURACIÓN]],"DE CONTADO","CRÉDITO")</f>
        <v>CRÉDITO</v>
      </c>
      <c r="B741" s="38" t="b">
        <f>+IF((PROVEEDORES[[#This Row],[FECHA DE PAGO]]-PROVEEDORES[[#This Row],[FECHA DE FACTURACIÓN]])&gt;PROVEEDORES[[#This Row],[PLAZO Días]],"PAGO VENCIDO")</f>
        <v>0</v>
      </c>
      <c r="C741" s="20">
        <f>+VLOOKUP(PROVEEDORES[[#This Row],[PROVEEDOR]],TERCEROS_INFO[#All],2,FALSE)</f>
        <v>30</v>
      </c>
      <c r="D741" s="25">
        <f>+SUMIFS(PROVEEDORES[Total],PROVEEDORES[PROVEEDOR],PROVEEDORES[[#This Row],[PROVEEDOR]],PROVEEDORES[FECHA DE PAGO],"")</f>
        <v>0</v>
      </c>
      <c r="E741" s="25"/>
      <c r="F741" s="5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741" s="161">
        <v>44376</v>
      </c>
      <c r="H741" s="26" t="s">
        <v>325</v>
      </c>
      <c r="I741" s="161">
        <v>44372</v>
      </c>
      <c r="J741" s="35" t="s">
        <v>362</v>
      </c>
      <c r="K741" s="21">
        <v>452618</v>
      </c>
      <c r="L741" s="21"/>
      <c r="M741" s="22">
        <f>(PROVEEDORES[[#This Row],[SUBTOTAL]]-PROVEEDORES[[#This Row],[descuento sobre subtotal]])*VLOOKUP(PROVEEDORES[[#This Row],[PROVEEDOR]],TERCEROS_INFO[#All],3,FALSE)</f>
        <v>85997.42</v>
      </c>
      <c r="N741" s="23"/>
      <c r="O741" s="22">
        <f>+PROVEEDORES[[#This Row],[Descuento sobre subtotal %]]*(PROVEEDORES[[#This Row],[SUBTOTAL]]-PROVEEDORES[[#This Row],[descuento sobre subtotal]])</f>
        <v>0</v>
      </c>
      <c r="P741" s="83">
        <f>+IF(PROVEEDORES[[#This Row],[SUBTOTAL]]&lt;PROVEEDORES[[#This Row],[base retencion]],0,PROVEEDORES[[#This Row],[retención aplicada]])</f>
        <v>0.01</v>
      </c>
      <c r="Q741" s="22">
        <f>+PROVEEDORES[[#This Row],[Rete Fuente %]]*(PROVEEDORES[[#This Row],[SUBTOTAL]]-PROVEEDORES[[#This Row],[descuento sobre subtotal]])</f>
        <v>4526.18</v>
      </c>
      <c r="R741" s="21">
        <f>+PROVEEDORES[[#This Row],[SUBTOTAL]]+PROVEEDORES[[#This Row],[IVA 19%]]-PROVEEDORES[[#This Row],[descuento sobre subtotal]]-PROVEEDORES[[#This Row],[Descuento sobre subtotal $2]]-PROVEEDORES[[#This Row],[Rete Fuente $]]</f>
        <v>534089.24</v>
      </c>
      <c r="S7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68">
        <f ca="1">IF(PROVEEDORES[[#This Row],[FECHA DE PAGO]]=0,TODAY()-PROVEEDORES[[#This Row],[FECHA DE FACTURACIÓN]]-PROVEEDORES[[#This Row],[PLAZO Días]],0)</f>
        <v>0</v>
      </c>
      <c r="U741" s="96" t="str">
        <f>+VLOOKUP(PROVEEDORES[[#This Row],[PROVEEDOR]],Terceros!$A:$D,4,FALSE)</f>
        <v>1% sin base</v>
      </c>
      <c r="V741" s="97">
        <f>+YEAR(PROVEEDORES[[#This Row],[FECHA DE FACTURACIÓN]])</f>
        <v>2021</v>
      </c>
      <c r="W741" s="97">
        <f>+MATCH(PROVEEDORES[[#This Row],[año facturado]],Retenciones!$1:$1,0)</f>
        <v>4</v>
      </c>
      <c r="X741" s="98">
        <f>+VLOOKUP(PROVEEDORES[[#This Row],[ID RETENCION]],Retenciones!$A$1:$O$25,PROVEEDORES[[#This Row],[indicador de columna]],FALSE)</f>
        <v>0</v>
      </c>
      <c r="Y741" s="99">
        <f>+VLOOKUP(PROVEEDORES[[#This Row],[ID RETENCION]],Retenciones!$A$1:$O$25,2,FALSE)</f>
        <v>0.01</v>
      </c>
      <c r="Z741" s="125" t="b">
        <f>OR(COUNTIF(PROVEEDORES[[#This Row],[PROVEEDOR]],"*"&amp;'Palabra no opera'!$A$2&amp;"*"))</f>
        <v>0</v>
      </c>
      <c r="AA741" s="24"/>
      <c r="AB741" s="24"/>
      <c r="AC741" s="24"/>
      <c r="AD741" s="24"/>
      <c r="AE741" s="24"/>
    </row>
    <row r="742" spans="1:31" ht="22.2" customHeight="1" x14ac:dyDescent="0.3">
      <c r="A742" s="66" t="str">
        <f>+IF(PROVEEDORES[[#This Row],[FECHA DE PAGO]]=PROVEEDORES[[#This Row],[FECHA DE FACTURACIÓN]],"DE CONTADO","CRÉDITO")</f>
        <v>DE CONTADO</v>
      </c>
      <c r="B742" s="38" t="b">
        <f>+IF((PROVEEDORES[[#This Row],[FECHA DE PAGO]]-PROVEEDORES[[#This Row],[FECHA DE FACTURACIÓN]])&gt;PROVEEDORES[[#This Row],[PLAZO Días]],"PAGO VENCIDO")</f>
        <v>0</v>
      </c>
      <c r="C742" s="20">
        <f>+VLOOKUP(PROVEEDORES[[#This Row],[PROVEEDOR]],TERCEROS_INFO[#All],2,FALSE)</f>
        <v>90</v>
      </c>
      <c r="D742" s="25">
        <f>+SUMIFS(PROVEEDORES[Total],PROVEEDORES[PROVEEDOR],PROVEEDORES[[#This Row],[PROVEEDOR]],PROVEEDORES[FECHA DE PAGO],"")</f>
        <v>0</v>
      </c>
      <c r="E742" s="25"/>
      <c r="F742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742" s="161">
        <v>44531</v>
      </c>
      <c r="H742" s="26" t="s">
        <v>31</v>
      </c>
      <c r="I742" s="161">
        <v>44531</v>
      </c>
      <c r="J742" s="35">
        <v>55161</v>
      </c>
      <c r="K742" s="21">
        <v>536088</v>
      </c>
      <c r="L742" s="21"/>
      <c r="M742" s="22">
        <f>(PROVEEDORES[[#This Row],[SUBTOTAL]]-PROVEEDORES[[#This Row],[descuento sobre subtotal]])*VLOOKUP(PROVEEDORES[[#This Row],[PROVEEDOR]],TERCEROS_INFO[#All],3,FALSE)</f>
        <v>0</v>
      </c>
      <c r="N742" s="23"/>
      <c r="O742" s="22">
        <f>+PROVEEDORES[[#This Row],[Descuento sobre subtotal %]]*(PROVEEDORES[[#This Row],[SUBTOTAL]]-PROVEEDORES[[#This Row],[descuento sobre subtotal]])</f>
        <v>0</v>
      </c>
      <c r="P742" s="83">
        <f>+IF(PROVEEDORES[[#This Row],[SUBTOTAL]]&lt;PROVEEDORES[[#This Row],[base retencion]],0,PROVEEDORES[[#This Row],[retención aplicada]])</f>
        <v>0</v>
      </c>
      <c r="Q742" s="22">
        <f>+PROVEEDORES[[#This Row],[Rete Fuente %]]*(PROVEEDORES[[#This Row],[SUBTOTAL]]-PROVEEDORES[[#This Row],[descuento sobre subtotal]])</f>
        <v>0</v>
      </c>
      <c r="R742" s="21">
        <f>+PROVEEDORES[[#This Row],[SUBTOTAL]]+PROVEEDORES[[#This Row],[IVA 19%]]-PROVEEDORES[[#This Row],[descuento sobre subtotal]]-PROVEEDORES[[#This Row],[Descuento sobre subtotal $2]]-PROVEEDORES[[#This Row],[Rete Fuente $]]</f>
        <v>536088</v>
      </c>
      <c r="S7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68">
        <f ca="1">IF(PROVEEDORES[[#This Row],[FECHA DE PAGO]]=0,TODAY()-PROVEEDORES[[#This Row],[FECHA DE FACTURACIÓN]]-PROVEEDORES[[#This Row],[PLAZO Días]],0)</f>
        <v>0</v>
      </c>
      <c r="U742" s="96">
        <f>+VLOOKUP(PROVEEDORES[[#This Row],[PROVEEDOR]],Terceros!$A:$D,4,FALSE)</f>
        <v>0</v>
      </c>
      <c r="V742" s="97">
        <f>+YEAR(PROVEEDORES[[#This Row],[FECHA DE FACTURACIÓN]])</f>
        <v>2021</v>
      </c>
      <c r="W742" s="97">
        <f>+MATCH(PROVEEDORES[[#This Row],[año facturado]],Retenciones!$1:$1,0)</f>
        <v>4</v>
      </c>
      <c r="X742" s="98">
        <f>+VLOOKUP(PROVEEDORES[[#This Row],[ID RETENCION]],Retenciones!$A$1:$O$25,PROVEEDORES[[#This Row],[indicador de columna]],FALSE)</f>
        <v>0</v>
      </c>
      <c r="Y742" s="99">
        <f>+VLOOKUP(PROVEEDORES[[#This Row],[ID RETENCION]],Retenciones!$A$1:$O$25,2,FALSE)</f>
        <v>0</v>
      </c>
      <c r="Z742" s="125" t="b">
        <f>OR(COUNTIF(PROVEEDORES[[#This Row],[PROVEEDOR]],"*"&amp;'Palabra no opera'!$A$2&amp;"*"))</f>
        <v>0</v>
      </c>
      <c r="AA742" s="24"/>
      <c r="AB742" s="24"/>
      <c r="AC742" s="24"/>
      <c r="AD742" s="24"/>
      <c r="AE742" s="24"/>
    </row>
    <row r="743" spans="1:31" ht="22.2" customHeight="1" x14ac:dyDescent="0.3">
      <c r="A743" s="72" t="str">
        <f>+IF(PROVEEDORES[[#This Row],[FECHA DE PAGO]]=PROVEEDORES[[#This Row],[FECHA DE FACTURACIÓN]],"DE CONTADO","CRÉDITO")</f>
        <v>CRÉDITO</v>
      </c>
      <c r="B743" s="38" t="str">
        <f>+IF((PROVEEDORES[[#This Row],[FECHA DE PAGO]]-PROVEEDORES[[#This Row],[FECHA DE FACTURACIÓN]])&gt;PROVEEDORES[[#This Row],[PLAZO Días]],"PAGO VENCIDO")</f>
        <v>PAGO VENCIDO</v>
      </c>
      <c r="C743" s="20">
        <f>+VLOOKUP(PROVEEDORES[[#This Row],[PROVEEDOR]],TERCEROS_INFO[#All],2,FALSE)</f>
        <v>30</v>
      </c>
      <c r="D743" s="25">
        <f>+SUMIFS(PROVEEDORES[Total],PROVEEDORES[PROVEEDOR],PROVEEDORES[[#This Row],[PROVEEDOR]],PROVEEDORES[FECHA DE PAGO],"")</f>
        <v>0</v>
      </c>
      <c r="E743" s="25"/>
      <c r="F74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43" s="161">
        <v>44853</v>
      </c>
      <c r="H743" s="26" t="s">
        <v>1637</v>
      </c>
      <c r="I743" s="161">
        <v>44763</v>
      </c>
      <c r="J743" s="35">
        <v>26711</v>
      </c>
      <c r="K743" s="21">
        <v>453600</v>
      </c>
      <c r="L743" s="21"/>
      <c r="M743" s="22">
        <f>(PROVEEDORES[[#This Row],[SUBTOTAL]]-PROVEEDORES[[#This Row],[descuento sobre subtotal]])*VLOOKUP(PROVEEDORES[[#This Row],[PROVEEDOR]],TERCEROS_INFO[#All],3,FALSE)</f>
        <v>86184</v>
      </c>
      <c r="N743" s="23"/>
      <c r="O743" s="22">
        <f>+PROVEEDORES[[#This Row],[Descuento sobre subtotal %]]*(PROVEEDORES[[#This Row],[SUBTOTAL]]-PROVEEDORES[[#This Row],[descuento sobre subtotal]])</f>
        <v>0</v>
      </c>
      <c r="P743" s="83">
        <f>+IF(PROVEEDORES[[#This Row],[SUBTOTAL]]&lt;PROVEEDORES[[#This Row],[base retencion]],0,PROVEEDORES[[#This Row],[retención aplicada]])</f>
        <v>0</v>
      </c>
      <c r="Q743" s="22">
        <f>+PROVEEDORES[[#This Row],[Rete Fuente %]]*(PROVEEDORES[[#This Row],[SUBTOTAL]]-PROVEEDORES[[#This Row],[descuento sobre subtotal]])</f>
        <v>0</v>
      </c>
      <c r="R743" s="21">
        <f>+PROVEEDORES[[#This Row],[SUBTOTAL]]+PROVEEDORES[[#This Row],[IVA 19%]]-PROVEEDORES[[#This Row],[descuento sobre subtotal]]-PROVEEDORES[[#This Row],[Descuento sobre subtotal $2]]-PROVEEDORES[[#This Row],[Rete Fuente $]]</f>
        <v>539784</v>
      </c>
      <c r="S74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68">
        <f ca="1">IF(PROVEEDORES[[#This Row],[FECHA DE PAGO]]=0,TODAY()-PROVEEDORES[[#This Row],[FECHA DE FACTURACIÓN]]-PROVEEDORES[[#This Row],[PLAZO Días]],0)</f>
        <v>0</v>
      </c>
      <c r="U743" s="113" t="str">
        <f>+VLOOKUP(PROVEEDORES[[#This Row],[PROVEEDOR]],Terceros!$A:$D,4,FALSE)</f>
        <v>2,5% con base</v>
      </c>
      <c r="V743" s="114">
        <f>+YEAR(PROVEEDORES[[#This Row],[FECHA DE FACTURACIÓN]])</f>
        <v>2022</v>
      </c>
      <c r="W743" s="114">
        <f>+MATCH(PROVEEDORES[[#This Row],[año facturado]],Retenciones!$1:$1,0)</f>
        <v>5</v>
      </c>
      <c r="X743" s="115">
        <f>+VLOOKUP(PROVEEDORES[[#This Row],[ID RETENCION]],Retenciones!$A$1:$O$25,PROVEEDORES[[#This Row],[indicador de columna]],FALSE)</f>
        <v>1026000</v>
      </c>
      <c r="Y743" s="116">
        <f>+VLOOKUP(PROVEEDORES[[#This Row],[ID RETENCION]],Retenciones!$A$1:$O$25,2,FALSE)</f>
        <v>2.5000000000000001E-2</v>
      </c>
      <c r="Z743" s="125" t="b">
        <f>OR(COUNTIF(PROVEEDORES[[#This Row],[PROVEEDOR]],"*"&amp;'Palabra no opera'!$A$2&amp;"*"))</f>
        <v>0</v>
      </c>
      <c r="AA743" s="24"/>
      <c r="AB743" s="24"/>
      <c r="AC743" s="24"/>
      <c r="AD743" s="24"/>
      <c r="AE743" s="24"/>
    </row>
    <row r="744" spans="1:31" ht="22.2" customHeight="1" x14ac:dyDescent="0.3">
      <c r="A744" s="66" t="str">
        <f>+IF(PROVEEDORES[[#This Row],[FECHA DE PAGO]]=PROVEEDORES[[#This Row],[FECHA DE FACTURACIÓN]],"DE CONTADO","CRÉDITO")</f>
        <v>DE CONTADO</v>
      </c>
      <c r="B744" s="38" t="b">
        <f>+IF((PROVEEDORES[[#This Row],[FECHA DE PAGO]]-PROVEEDORES[[#This Row],[FECHA DE FACTURACIÓN]])&gt;PROVEEDORES[[#This Row],[PLAZO Días]],"PAGO VENCIDO")</f>
        <v>0</v>
      </c>
      <c r="C744" s="20">
        <f>+VLOOKUP(PROVEEDORES[[#This Row],[PROVEEDOR]],TERCEROS_INFO[#All],2,FALSE)</f>
        <v>30</v>
      </c>
      <c r="D744" s="25">
        <f>+SUMIFS(PROVEEDORES[Total],PROVEEDORES[PROVEEDOR],PROVEEDORES[[#This Row],[PROVEEDOR]],PROVEEDORES[FECHA DE PAGO],"")</f>
        <v>0</v>
      </c>
      <c r="E744" s="25"/>
      <c r="F744" s="58" t="str">
        <f>+VLOOKUP(PROVEEDORES[[#This Row],[PROVEEDOR]],
                       Terceros!$A:$F,
                       5,
                       FALSE)</f>
        <v/>
      </c>
      <c r="G744" s="161">
        <v>44247</v>
      </c>
      <c r="H744" s="26" t="s">
        <v>635</v>
      </c>
      <c r="I744" s="161">
        <v>44247</v>
      </c>
      <c r="J744" s="35">
        <v>2218</v>
      </c>
      <c r="K744" s="21">
        <v>540000</v>
      </c>
      <c r="L744" s="21"/>
      <c r="M744" s="22">
        <f>(PROVEEDORES[[#This Row],[SUBTOTAL]]-PROVEEDORES[[#This Row],[descuento sobre subtotal]])*VLOOKUP(PROVEEDORES[[#This Row],[PROVEEDOR]],TERCEROS_INFO[#All],3,FALSE)</f>
        <v>0</v>
      </c>
      <c r="N744" s="23"/>
      <c r="O744" s="22">
        <f>+PROVEEDORES[[#This Row],[Descuento sobre subtotal %]]*(PROVEEDORES[[#This Row],[SUBTOTAL]]-PROVEEDORES[[#This Row],[descuento sobre subtotal]])</f>
        <v>0</v>
      </c>
      <c r="P744" s="83">
        <f>+IF(PROVEEDORES[[#This Row],[SUBTOTAL]]&lt;PROVEEDORES[[#This Row],[base retencion]],0,PROVEEDORES[[#This Row],[retención aplicada]])</f>
        <v>0</v>
      </c>
      <c r="Q744" s="22">
        <f>+PROVEEDORES[[#This Row],[Rete Fuente %]]*(PROVEEDORES[[#This Row],[SUBTOTAL]]-PROVEEDORES[[#This Row],[descuento sobre subtotal]])</f>
        <v>0</v>
      </c>
      <c r="R744" s="21">
        <f>+PROVEEDORES[[#This Row],[SUBTOTAL]]+PROVEEDORES[[#This Row],[IVA 19%]]-PROVEEDORES[[#This Row],[descuento sobre subtotal]]-PROVEEDORES[[#This Row],[Descuento sobre subtotal $2]]-PROVEEDORES[[#This Row],[Rete Fuente $]]</f>
        <v>540000</v>
      </c>
      <c r="S7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68">
        <f ca="1">IF(PROVEEDORES[[#This Row],[FECHA DE PAGO]]=0,TODAY()-PROVEEDORES[[#This Row],[FECHA DE FACTURACIÓN]]-PROVEEDORES[[#This Row],[PLAZO Días]],0)</f>
        <v>0</v>
      </c>
      <c r="U744" s="96">
        <f>+VLOOKUP(PROVEEDORES[[#This Row],[PROVEEDOR]],Terceros!$A:$D,4,FALSE)</f>
        <v>0</v>
      </c>
      <c r="V744" s="97">
        <f>+YEAR(PROVEEDORES[[#This Row],[FECHA DE FACTURACIÓN]])</f>
        <v>2021</v>
      </c>
      <c r="W744" s="97">
        <f>+MATCH(PROVEEDORES[[#This Row],[año facturado]],Retenciones!$1:$1,0)</f>
        <v>4</v>
      </c>
      <c r="X744" s="98">
        <f>+VLOOKUP(PROVEEDORES[[#This Row],[ID RETENCION]],Retenciones!$A$1:$O$25,PROVEEDORES[[#This Row],[indicador de columna]],FALSE)</f>
        <v>0</v>
      </c>
      <c r="Y744" s="99">
        <f>+VLOOKUP(PROVEEDORES[[#This Row],[ID RETENCION]],Retenciones!$A$1:$O$25,2,FALSE)</f>
        <v>0</v>
      </c>
      <c r="Z744" s="125" t="b">
        <f>OR(COUNTIF(PROVEEDORES[[#This Row],[PROVEEDOR]],"*"&amp;'Palabra no opera'!$A$2&amp;"*"))</f>
        <v>0</v>
      </c>
      <c r="AA744" s="24"/>
      <c r="AB744" s="24"/>
      <c r="AC744" s="24"/>
      <c r="AD744" s="24"/>
      <c r="AE744" s="24"/>
    </row>
    <row r="745" spans="1:31" ht="22.2" customHeight="1" x14ac:dyDescent="0.3">
      <c r="A745" s="66" t="str">
        <f>+IF(PROVEEDORES[[#This Row],[FECHA DE PAGO]]=PROVEEDORES[[#This Row],[FECHA DE FACTURACIÓN]],"DE CONTADO","CRÉDITO")</f>
        <v>DE CONTADO</v>
      </c>
      <c r="B745" s="38" t="b">
        <f>+IF((PROVEEDORES[[#This Row],[FECHA DE PAGO]]-PROVEEDORES[[#This Row],[FECHA DE FACTURACIÓN]])&gt;PROVEEDORES[[#This Row],[PLAZO Días]],"PAGO VENCIDO")</f>
        <v>0</v>
      </c>
      <c r="C745" s="20">
        <f>+VLOOKUP(PROVEEDORES[[#This Row],[PROVEEDOR]],TERCEROS_INFO[#All],2,FALSE)</f>
        <v>30</v>
      </c>
      <c r="D745" s="25">
        <f>+SUMIFS(PROVEEDORES[Total],PROVEEDORES[PROVEEDOR],PROVEEDORES[[#This Row],[PROVEEDOR]],PROVEEDORES[FECHA DE PAGO],"")</f>
        <v>0</v>
      </c>
      <c r="E745" s="25"/>
      <c r="F745" s="58" t="str">
        <f>+VLOOKUP(PROVEEDORES[[#This Row],[PROVEEDOR]],
                       Terceros!$A:$F,
                       5,
                       FALSE)</f>
        <v/>
      </c>
      <c r="G745" s="161">
        <v>44627</v>
      </c>
      <c r="H745" s="26" t="s">
        <v>661</v>
      </c>
      <c r="I745" s="161">
        <v>44627</v>
      </c>
      <c r="J745" s="35" t="s">
        <v>662</v>
      </c>
      <c r="K745" s="21">
        <v>540000</v>
      </c>
      <c r="L745" s="21"/>
      <c r="M745" s="22">
        <f>(PROVEEDORES[[#This Row],[SUBTOTAL]]-PROVEEDORES[[#This Row],[descuento sobre subtotal]])*VLOOKUP(PROVEEDORES[[#This Row],[PROVEEDOR]],TERCEROS_INFO[#All],3,FALSE)</f>
        <v>0</v>
      </c>
      <c r="N745" s="23"/>
      <c r="O745" s="22">
        <f>+PROVEEDORES[[#This Row],[Descuento sobre subtotal %]]*(PROVEEDORES[[#This Row],[SUBTOTAL]]-PROVEEDORES[[#This Row],[descuento sobre subtotal]])</f>
        <v>0</v>
      </c>
      <c r="P745" s="83">
        <f>+IF(PROVEEDORES[[#This Row],[SUBTOTAL]]&lt;PROVEEDORES[[#This Row],[base retencion]],0,PROVEEDORES[[#This Row],[retención aplicada]])</f>
        <v>0</v>
      </c>
      <c r="Q745" s="22">
        <f>+PROVEEDORES[[#This Row],[Rete Fuente %]]*(PROVEEDORES[[#This Row],[SUBTOTAL]]-PROVEEDORES[[#This Row],[descuento sobre subtotal]])</f>
        <v>0</v>
      </c>
      <c r="R745" s="21">
        <v>540000</v>
      </c>
      <c r="S7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68">
        <f ca="1">IF(PROVEEDORES[[#This Row],[FECHA DE PAGO]]=0,TODAY()-PROVEEDORES[[#This Row],[FECHA DE FACTURACIÓN]]-PROVEEDORES[[#This Row],[PLAZO Días]],0)</f>
        <v>0</v>
      </c>
      <c r="U745" s="96">
        <f>+VLOOKUP(PROVEEDORES[[#This Row],[PROVEEDOR]],Terceros!$A:$D,4,FALSE)</f>
        <v>0</v>
      </c>
      <c r="V745" s="97">
        <f>+YEAR(PROVEEDORES[[#This Row],[FECHA DE FACTURACIÓN]])</f>
        <v>2022</v>
      </c>
      <c r="W745" s="97">
        <f>+MATCH(PROVEEDORES[[#This Row],[año facturado]],Retenciones!$1:$1,0)</f>
        <v>5</v>
      </c>
      <c r="X745" s="98">
        <f>+VLOOKUP(PROVEEDORES[[#This Row],[ID RETENCION]],Retenciones!$A$1:$O$25,PROVEEDORES[[#This Row],[indicador de columna]],FALSE)</f>
        <v>0</v>
      </c>
      <c r="Y745" s="99">
        <f>+VLOOKUP(PROVEEDORES[[#This Row],[ID RETENCION]],Retenciones!$A$1:$O$25,2,FALSE)</f>
        <v>0</v>
      </c>
      <c r="Z745" s="125" t="b">
        <f>OR(COUNTIF(PROVEEDORES[[#This Row],[PROVEEDOR]],"*"&amp;'Palabra no opera'!$A$2&amp;"*"))</f>
        <v>0</v>
      </c>
      <c r="AA745" s="24"/>
      <c r="AB745" s="24"/>
      <c r="AC745" s="24"/>
      <c r="AD745" s="24"/>
      <c r="AE745" s="24"/>
    </row>
    <row r="746" spans="1:31" ht="22.2" customHeight="1" x14ac:dyDescent="0.3">
      <c r="A746" s="72" t="str">
        <f>+IF(PROVEEDORES[[#This Row],[FECHA DE PAGO]]=PROVEEDORES[[#This Row],[FECHA DE FACTURACIÓN]],"DE CONTADO","CRÉDITO")</f>
        <v>CRÉDITO</v>
      </c>
      <c r="B746" s="38" t="str">
        <f>+IF((PROVEEDORES[[#This Row],[FECHA DE PAGO]]-PROVEEDORES[[#This Row],[FECHA DE FACTURACIÓN]])&gt;PROVEEDORES[[#This Row],[PLAZO Días]],"PAGO VENCIDO")</f>
        <v>PAGO VENCIDO</v>
      </c>
      <c r="C746" s="20">
        <f>+VLOOKUP(PROVEEDORES[[#This Row],[PROVEEDOR]],TERCEROS_INFO[#All],2,FALSE)</f>
        <v>0</v>
      </c>
      <c r="D746" s="25">
        <f>+SUMIFS(PROVEEDORES[Total],PROVEEDORES[PROVEEDOR],PROVEEDORES[[#This Row],[PROVEEDOR]],PROVEEDORES[FECHA DE PAGO],"")</f>
        <v>0</v>
      </c>
      <c r="E746" s="25"/>
      <c r="F746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746" s="161">
        <v>44792</v>
      </c>
      <c r="H746" s="26" t="s">
        <v>1136</v>
      </c>
      <c r="I746" s="161">
        <v>44764</v>
      </c>
      <c r="J746" s="35" t="s">
        <v>1402</v>
      </c>
      <c r="K746" s="21">
        <v>470000</v>
      </c>
      <c r="L746" s="21"/>
      <c r="M746" s="22">
        <f>(PROVEEDORES[[#This Row],[SUBTOTAL]]-PROVEEDORES[[#This Row],[descuento sobre subtotal]])*VLOOKUP(PROVEEDORES[[#This Row],[PROVEEDOR]],TERCEROS_INFO[#All],3,FALSE)</f>
        <v>89300</v>
      </c>
      <c r="N746" s="23"/>
      <c r="O746" s="22">
        <f>+PROVEEDORES[[#This Row],[Descuento sobre subtotal %]]*(PROVEEDORES[[#This Row],[SUBTOTAL]]-PROVEEDORES[[#This Row],[descuento sobre subtotal]])</f>
        <v>0</v>
      </c>
      <c r="P746" s="83">
        <f>+IF(PROVEEDORES[[#This Row],[SUBTOTAL]]&lt;PROVEEDORES[[#This Row],[base retencion]],0,PROVEEDORES[[#This Row],[retención aplicada]])</f>
        <v>0.04</v>
      </c>
      <c r="Q746" s="22">
        <f>+PROVEEDORES[[#This Row],[Rete Fuente %]]*(PROVEEDORES[[#This Row],[SUBTOTAL]]-PROVEEDORES[[#This Row],[descuento sobre subtotal]])</f>
        <v>18800</v>
      </c>
      <c r="R746" s="21">
        <f>+PROVEEDORES[[#This Row],[SUBTOTAL]]+PROVEEDORES[[#This Row],[IVA 19%]]-PROVEEDORES[[#This Row],[descuento sobre subtotal]]-PROVEEDORES[[#This Row],[Descuento sobre subtotal $2]]-PROVEEDORES[[#This Row],[Rete Fuente $]]</f>
        <v>540500</v>
      </c>
      <c r="S74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68">
        <f ca="1">IF(PROVEEDORES[[#This Row],[FECHA DE PAGO]]=0,TODAY()-PROVEEDORES[[#This Row],[FECHA DE FACTURACIÓN]]-PROVEEDORES[[#This Row],[PLAZO Días]],0)</f>
        <v>0</v>
      </c>
      <c r="U746" s="113" t="str">
        <f>+VLOOKUP(PROVEEDORES[[#This Row],[PROVEEDOR]],Terceros!$A:$D,4,FALSE)</f>
        <v>4% con base</v>
      </c>
      <c r="V746" s="114">
        <f>+YEAR(PROVEEDORES[[#This Row],[FECHA DE FACTURACIÓN]])</f>
        <v>2022</v>
      </c>
      <c r="W746" s="114">
        <f>+MATCH(PROVEEDORES[[#This Row],[año facturado]],Retenciones!$1:$1,0)</f>
        <v>5</v>
      </c>
      <c r="X746" s="115">
        <f>+VLOOKUP(PROVEEDORES[[#This Row],[ID RETENCION]],Retenciones!$A$1:$O$25,PROVEEDORES[[#This Row],[indicador de columna]],FALSE)</f>
        <v>150000</v>
      </c>
      <c r="Y746" s="116">
        <f>+VLOOKUP(PROVEEDORES[[#This Row],[ID RETENCION]],Retenciones!$A$1:$O$25,2,FALSE)</f>
        <v>0.04</v>
      </c>
      <c r="Z746" s="125" t="b">
        <f>OR(COUNTIF(PROVEEDORES[[#This Row],[PROVEEDOR]],"*"&amp;'Palabra no opera'!$A$2&amp;"*"))</f>
        <v>1</v>
      </c>
      <c r="AA746" s="24"/>
      <c r="AB746" s="24"/>
      <c r="AC746" s="24"/>
      <c r="AD746" s="24"/>
      <c r="AE746" s="24"/>
    </row>
    <row r="747" spans="1:31" ht="22.2" customHeight="1" x14ac:dyDescent="0.3">
      <c r="A747" s="207" t="str">
        <f>+IF(PROVEEDORES[[#This Row],[FECHA DE PAGO]]=PROVEEDORES[[#This Row],[FECHA DE FACTURACIÓN]],"DE CONTADO","CRÉDITO")</f>
        <v>CRÉDITO</v>
      </c>
      <c r="B747" s="38" t="str">
        <f>+IF((PROVEEDORES[[#This Row],[FECHA DE PAGO]]-PROVEEDORES[[#This Row],[FECHA DE FACTURACIÓN]])&gt;PROVEEDORES[[#This Row],[PLAZO Días]],"PAGO VENCIDO")</f>
        <v>PAGO VENCIDO</v>
      </c>
      <c r="C747" s="20">
        <f>+VLOOKUP(PROVEEDORES[[#This Row],[PROVEEDOR]],TERCEROS_INFO[#All],2,FALSE)</f>
        <v>45</v>
      </c>
      <c r="D747" s="25">
        <f>+SUMIFS(PROVEEDORES[Total],PROVEEDORES[PROVEEDOR],PROVEEDORES[[#This Row],[PROVEEDOR]],PROVEEDORES[FECHA DE PAGO],"")</f>
        <v>2604910</v>
      </c>
      <c r="E747" s="25"/>
      <c r="F74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47" s="161">
        <v>44858</v>
      </c>
      <c r="H747" s="26" t="s">
        <v>10</v>
      </c>
      <c r="I747" s="161">
        <v>44791</v>
      </c>
      <c r="J747" s="35" t="s">
        <v>1410</v>
      </c>
      <c r="K747" s="21">
        <v>456000</v>
      </c>
      <c r="L747" s="21"/>
      <c r="M747" s="22">
        <f>(PROVEEDORES[[#This Row],[SUBTOTAL]]-PROVEEDORES[[#This Row],[descuento sobre subtotal]])*VLOOKUP(PROVEEDORES[[#This Row],[PROVEEDOR]],TERCEROS_INFO[#All],3,FALSE)</f>
        <v>86640</v>
      </c>
      <c r="N747" s="23"/>
      <c r="O747" s="22">
        <f>+PROVEEDORES[[#This Row],[Descuento sobre subtotal %]]*(PROVEEDORES[[#This Row],[SUBTOTAL]]-PROVEEDORES[[#This Row],[descuento sobre subtotal]])</f>
        <v>0</v>
      </c>
      <c r="P747" s="83">
        <f>+IF(PROVEEDORES[[#This Row],[SUBTOTAL]]&lt;PROVEEDORES[[#This Row],[base retencion]],0,PROVEEDORES[[#This Row],[retención aplicada]])</f>
        <v>0</v>
      </c>
      <c r="Q747" s="22">
        <f>+PROVEEDORES[[#This Row],[Rete Fuente %]]*(PROVEEDORES[[#This Row],[SUBTOTAL]]-PROVEEDORES[[#This Row],[descuento sobre subtotal]])</f>
        <v>0</v>
      </c>
      <c r="R747" s="21">
        <f>+PROVEEDORES[[#This Row],[SUBTOTAL]]+PROVEEDORES[[#This Row],[IVA 19%]]-PROVEEDORES[[#This Row],[descuento sobre subtotal]]-PROVEEDORES[[#This Row],[Descuento sobre subtotal $2]]-PROVEEDORES[[#This Row],[Rete Fuente $]]</f>
        <v>542640</v>
      </c>
      <c r="S747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68">
        <f ca="1">IF(PROVEEDORES[[#This Row],[FECHA DE PAGO]]=0,TODAY()-PROVEEDORES[[#This Row],[FECHA DE FACTURACIÓN]]-PROVEEDORES[[#This Row],[PLAZO Días]],0)</f>
        <v>0</v>
      </c>
      <c r="U747" s="113">
        <f>+VLOOKUP(PROVEEDORES[[#This Row],[PROVEEDOR]],Terceros!$A:$D,4,FALSE)</f>
        <v>0</v>
      </c>
      <c r="V747" s="114">
        <f>+YEAR(PROVEEDORES[[#This Row],[FECHA DE FACTURACIÓN]])</f>
        <v>2022</v>
      </c>
      <c r="W747" s="114">
        <f>+MATCH(PROVEEDORES[[#This Row],[año facturado]],Retenciones!$1:$1,0)</f>
        <v>5</v>
      </c>
      <c r="X747" s="115">
        <f>+VLOOKUP(PROVEEDORES[[#This Row],[ID RETENCION]],Retenciones!$A$1:$O$25,PROVEEDORES[[#This Row],[indicador de columna]],FALSE)</f>
        <v>0</v>
      </c>
      <c r="Y747" s="116">
        <f>+VLOOKUP(PROVEEDORES[[#This Row],[ID RETENCION]],Retenciones!$A$1:$O$25,2,FALSE)</f>
        <v>0</v>
      </c>
      <c r="Z747" s="125" t="b">
        <f>OR(COUNTIF(PROVEEDORES[[#This Row],[PROVEEDOR]],"*"&amp;'Palabra no opera'!$A$2&amp;"*"))</f>
        <v>0</v>
      </c>
      <c r="AA747" s="24"/>
      <c r="AB747" s="24"/>
      <c r="AC747" s="24"/>
      <c r="AD747" s="24"/>
      <c r="AE747" s="24"/>
    </row>
    <row r="748" spans="1:31" ht="22.2" customHeight="1" x14ac:dyDescent="0.3">
      <c r="A748" s="269" t="str">
        <f>+IF(PROVEEDORES[[#This Row],[FECHA DE PAGO]]=PROVEEDORES[[#This Row],[FECHA DE FACTURACIÓN]],"DE CONTADO","CRÉDITO")</f>
        <v>CRÉDITO</v>
      </c>
      <c r="B748" s="38" t="b">
        <f>+IF((PROVEEDORES[[#This Row],[FECHA DE PAGO]]-PROVEEDORES[[#This Row],[FECHA DE FACTURACIÓN]])&gt;PROVEEDORES[[#This Row],[PLAZO Días]],"PAGO VENCIDO")</f>
        <v>0</v>
      </c>
      <c r="C748" s="20">
        <f>+VLOOKUP(PROVEEDORES[[#This Row],[PROVEEDOR]],TERCEROS_INFO[#All],2,FALSE)</f>
        <v>30</v>
      </c>
      <c r="D748" s="25">
        <f>+SUMIFS(PROVEEDORES[Total],PROVEEDORES[PROVEEDOR],PROVEEDORES[[#This Row],[PROVEEDOR]],PROVEEDORES[FECHA DE PAGO],"")</f>
        <v>0</v>
      </c>
      <c r="E748" s="25"/>
      <c r="F748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8" s="161">
        <v>44869</v>
      </c>
      <c r="H748" s="26" t="s">
        <v>56</v>
      </c>
      <c r="I748" s="161">
        <v>44868</v>
      </c>
      <c r="J748" s="35" t="s">
        <v>1822</v>
      </c>
      <c r="K748" s="21">
        <v>548708</v>
      </c>
      <c r="L748" s="21"/>
      <c r="M748" s="22"/>
      <c r="N748" s="23"/>
      <c r="O748" s="22">
        <f>+PROVEEDORES[[#This Row],[Descuento sobre subtotal %]]*(PROVEEDORES[[#This Row],[SUBTOTAL]]-PROVEEDORES[[#This Row],[descuento sobre subtotal]])</f>
        <v>0</v>
      </c>
      <c r="P748" s="83">
        <f>+IF(PROVEEDORES[[#This Row],[SUBTOTAL]]&lt;PROVEEDORES[[#This Row],[base retencion]],0,PROVEEDORES[[#This Row],[retención aplicada]])</f>
        <v>0</v>
      </c>
      <c r="Q748" s="22">
        <f>+PROVEEDORES[[#This Row],[Rete Fuente %]]*(PROVEEDORES[[#This Row],[SUBTOTAL]]-PROVEEDORES[[#This Row],[descuento sobre subtotal]])</f>
        <v>0</v>
      </c>
      <c r="R748" s="21">
        <f>+PROVEEDORES[[#This Row],[SUBTOTAL]]+PROVEEDORES[[#This Row],[IVA 19%]]-PROVEEDORES[[#This Row],[descuento sobre subtotal]]-PROVEEDORES[[#This Row],[Descuento sobre subtotal $2]]-PROVEEDORES[[#This Row],[Rete Fuente $]]</f>
        <v>548708</v>
      </c>
      <c r="S748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68">
        <f ca="1">IF(PROVEEDORES[[#This Row],[FECHA DE PAGO]]=0,TODAY()-PROVEEDORES[[#This Row],[FECHA DE FACTURACIÓN]]-PROVEEDORES[[#This Row],[PLAZO Días]],0)</f>
        <v>0</v>
      </c>
      <c r="U748" s="113">
        <f>+VLOOKUP(PROVEEDORES[[#This Row],[PROVEEDOR]],Terceros!$A:$D,4,FALSE)</f>
        <v>0</v>
      </c>
      <c r="V748" s="114">
        <f>+YEAR(PROVEEDORES[[#This Row],[FECHA DE FACTURACIÓN]])</f>
        <v>2022</v>
      </c>
      <c r="W748" s="114">
        <f>+MATCH(PROVEEDORES[[#This Row],[año facturado]],Retenciones!$1:$1,0)</f>
        <v>5</v>
      </c>
      <c r="X748" s="115">
        <f>+VLOOKUP(PROVEEDORES[[#This Row],[ID RETENCION]],Retenciones!$A$1:$O$25,PROVEEDORES[[#This Row],[indicador de columna]],FALSE)</f>
        <v>0</v>
      </c>
      <c r="Y748" s="116">
        <f>+VLOOKUP(PROVEEDORES[[#This Row],[ID RETENCION]],Retenciones!$A$1:$O$25,2,FALSE)</f>
        <v>0</v>
      </c>
      <c r="Z748" s="125" t="b">
        <f>OR(COUNTIF(PROVEEDORES[[#This Row],[PROVEEDOR]],"*"&amp;'Palabra no opera'!$A$2&amp;"*"))</f>
        <v>0</v>
      </c>
      <c r="AA748" s="24"/>
      <c r="AB748" s="24"/>
      <c r="AC748" s="24"/>
      <c r="AD748" s="24"/>
      <c r="AE748" s="24"/>
    </row>
    <row r="749" spans="1:31" ht="22.2" customHeight="1" x14ac:dyDescent="0.3">
      <c r="A749" s="66" t="str">
        <f>+IF(PROVEEDORES[[#This Row],[FECHA DE PAGO]]=PROVEEDORES[[#This Row],[FECHA DE FACTURACIÓN]],"DE CONTADO","CRÉDITO")</f>
        <v>CRÉDITO</v>
      </c>
      <c r="B749" s="38" t="str">
        <f>+IF((PROVEEDORES[[#This Row],[FECHA DE PAGO]]-PROVEEDORES[[#This Row],[FECHA DE FACTURACIÓN]])&gt;PROVEEDORES[[#This Row],[PLAZO Días]],"PAGO VENCIDO")</f>
        <v>PAGO VENCIDO</v>
      </c>
      <c r="C749" s="20">
        <f>+VLOOKUP(PROVEEDORES[[#This Row],[PROVEEDOR]],TERCEROS_INFO[#All],2,FALSE)</f>
        <v>30</v>
      </c>
      <c r="D749" s="25">
        <f>+SUMIFS(PROVEEDORES[Total],PROVEEDORES[PROVEEDOR],PROVEEDORES[[#This Row],[PROVEEDOR]],PROVEEDORES[FECHA DE PAGO],"")</f>
        <v>0</v>
      </c>
      <c r="E749" s="25"/>
      <c r="F749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749" s="161">
        <v>44483</v>
      </c>
      <c r="H749" s="26" t="s">
        <v>656</v>
      </c>
      <c r="I749" s="161">
        <v>44440</v>
      </c>
      <c r="J749" s="35" t="s">
        <v>1297</v>
      </c>
      <c r="K749" s="21">
        <v>550000</v>
      </c>
      <c r="L749" s="21"/>
      <c r="M749" s="22">
        <f>(PROVEEDORES[[#This Row],[SUBTOTAL]]-PROVEEDORES[[#This Row],[descuento sobre subtotal]])*VLOOKUP(PROVEEDORES[[#This Row],[PROVEEDOR]],TERCEROS_INFO[#All],3,FALSE)</f>
        <v>0</v>
      </c>
      <c r="N749" s="23"/>
      <c r="O749" s="22">
        <f>+PROVEEDORES[[#This Row],[Descuento sobre subtotal %]]*(PROVEEDORES[[#This Row],[SUBTOTAL]]-PROVEEDORES[[#This Row],[descuento sobre subtotal]])</f>
        <v>0</v>
      </c>
      <c r="P749" s="83">
        <f>+IF(PROVEEDORES[[#This Row],[SUBTOTAL]]&lt;PROVEEDORES[[#This Row],[base retencion]],0,PROVEEDORES[[#This Row],[retención aplicada]])</f>
        <v>0</v>
      </c>
      <c r="Q749" s="22">
        <f>+PROVEEDORES[[#This Row],[Rete Fuente %]]*(PROVEEDORES[[#This Row],[SUBTOTAL]]-PROVEEDORES[[#This Row],[descuento sobre subtotal]])</f>
        <v>0</v>
      </c>
      <c r="R749" s="21">
        <f>+PROVEEDORES[[#This Row],[SUBTOTAL]]+PROVEEDORES[[#This Row],[IVA 19%]]-PROVEEDORES[[#This Row],[descuento sobre subtotal]]-PROVEEDORES[[#This Row],[Descuento sobre subtotal $2]]-PROVEEDORES[[#This Row],[Rete Fuente $]]</f>
        <v>550000</v>
      </c>
      <c r="S7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68">
        <f ca="1">IF(PROVEEDORES[[#This Row],[FECHA DE PAGO]]=0,TODAY()-PROVEEDORES[[#This Row],[FECHA DE FACTURACIÓN]]-PROVEEDORES[[#This Row],[PLAZO Días]],0)</f>
        <v>0</v>
      </c>
      <c r="U749" s="96">
        <f>+VLOOKUP(PROVEEDORES[[#This Row],[PROVEEDOR]],Terceros!$A:$D,4,FALSE)</f>
        <v>0</v>
      </c>
      <c r="V749" s="97">
        <f>+YEAR(PROVEEDORES[[#This Row],[FECHA DE FACTURACIÓN]])</f>
        <v>2021</v>
      </c>
      <c r="W749" s="97">
        <f>+MATCH(PROVEEDORES[[#This Row],[año facturado]],Retenciones!$1:$1,0)</f>
        <v>4</v>
      </c>
      <c r="X749" s="98">
        <f>+VLOOKUP(PROVEEDORES[[#This Row],[ID RETENCION]],Retenciones!$A$1:$O$25,PROVEEDORES[[#This Row],[indicador de columna]],FALSE)</f>
        <v>0</v>
      </c>
      <c r="Y749" s="99">
        <f>+VLOOKUP(PROVEEDORES[[#This Row],[ID RETENCION]],Retenciones!$A$1:$O$25,2,FALSE)</f>
        <v>0</v>
      </c>
      <c r="Z749" s="125" t="b">
        <f>OR(COUNTIF(PROVEEDORES[[#This Row],[PROVEEDOR]],"*"&amp;'Palabra no opera'!$A$2&amp;"*"))</f>
        <v>0</v>
      </c>
      <c r="AA749" s="24"/>
      <c r="AB749" s="24"/>
      <c r="AC749" s="24"/>
      <c r="AD749" s="24"/>
      <c r="AE749" s="24"/>
    </row>
    <row r="750" spans="1:31" ht="22.2" customHeight="1" x14ac:dyDescent="0.3">
      <c r="A750" s="66" t="str">
        <f>+IF(PROVEEDORES[[#This Row],[FECHA DE PAGO]]=PROVEEDORES[[#This Row],[FECHA DE FACTURACIÓN]],"DE CONTADO","CRÉDITO")</f>
        <v>CRÉDITO</v>
      </c>
      <c r="B750" s="38" t="b">
        <f>+IF((PROVEEDORES[[#This Row],[FECHA DE PAGO]]-PROVEEDORES[[#This Row],[FECHA DE FACTURACIÓN]])&gt;PROVEEDORES[[#This Row],[PLAZO Días]],"PAGO VENCIDO")</f>
        <v>0</v>
      </c>
      <c r="C750" s="20">
        <f>+VLOOKUP(PROVEEDORES[[#This Row],[PROVEEDOR]],TERCEROS_INFO[#All],2,FALSE)</f>
        <v>30</v>
      </c>
      <c r="D750" s="25">
        <f>+SUMIFS(PROVEEDORES[Total],PROVEEDORES[PROVEEDOR],PROVEEDORES[[#This Row],[PROVEEDOR]],PROVEEDORES[FECHA DE PAGO],"")</f>
        <v>0</v>
      </c>
      <c r="E750" s="25"/>
      <c r="F75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50" s="161">
        <v>44319</v>
      </c>
      <c r="H750" s="26" t="s">
        <v>1451</v>
      </c>
      <c r="I750" s="161">
        <v>44318</v>
      </c>
      <c r="J750" s="35">
        <v>91</v>
      </c>
      <c r="K750" s="21">
        <v>557000</v>
      </c>
      <c r="L750" s="21"/>
      <c r="M750" s="22">
        <f>(PROVEEDORES[[#This Row],[SUBTOTAL]]-PROVEEDORES[[#This Row],[descuento sobre subtotal]])*VLOOKUP(PROVEEDORES[[#This Row],[PROVEEDOR]],TERCEROS_INFO[#All],3,FALSE)</f>
        <v>0</v>
      </c>
      <c r="N750" s="23"/>
      <c r="O750" s="22">
        <f>+PROVEEDORES[[#This Row],[Descuento sobre subtotal %]]*(PROVEEDORES[[#This Row],[SUBTOTAL]]-PROVEEDORES[[#This Row],[descuento sobre subtotal]])</f>
        <v>0</v>
      </c>
      <c r="P750" s="83">
        <f>+IF(PROVEEDORES[[#This Row],[SUBTOTAL]]&lt;PROVEEDORES[[#This Row],[base retencion]],0,PROVEEDORES[[#This Row],[retención aplicada]])</f>
        <v>0.01</v>
      </c>
      <c r="Q750" s="22">
        <f>+PROVEEDORES[[#This Row],[Rete Fuente %]]*(PROVEEDORES[[#This Row],[SUBTOTAL]]-PROVEEDORES[[#This Row],[descuento sobre subtotal]])</f>
        <v>5570</v>
      </c>
      <c r="R750" s="21">
        <f>+PROVEEDORES[[#This Row],[SUBTOTAL]]+PROVEEDORES[[#This Row],[IVA 19%]]-PROVEEDORES[[#This Row],[descuento sobre subtotal]]-PROVEEDORES[[#This Row],[Descuento sobre subtotal $2]]-PROVEEDORES[[#This Row],[Rete Fuente $]]</f>
        <v>551430</v>
      </c>
      <c r="S7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68">
        <f ca="1">IF(PROVEEDORES[[#This Row],[FECHA DE PAGO]]=0,TODAY()-PROVEEDORES[[#This Row],[FECHA DE FACTURACIÓN]]-PROVEEDORES[[#This Row],[PLAZO Días]],0)</f>
        <v>0</v>
      </c>
      <c r="U750" s="96" t="str">
        <f>+VLOOKUP(PROVEEDORES[[#This Row],[PROVEEDOR]],Terceros!$A:$D,4,FALSE)</f>
        <v>1% con base</v>
      </c>
      <c r="V750" s="97">
        <f>+YEAR(PROVEEDORES[[#This Row],[FECHA DE FACTURACIÓN]])</f>
        <v>2021</v>
      </c>
      <c r="W750" s="97">
        <f>+MATCH(PROVEEDORES[[#This Row],[año facturado]],Retenciones!$1:$1,0)</f>
        <v>4</v>
      </c>
      <c r="X750" s="98">
        <f>+VLOOKUP(PROVEEDORES[[#This Row],[ID RETENCION]],Retenciones!$A$1:$O$25,PROVEEDORES[[#This Row],[indicador de columna]],FALSE)</f>
        <v>145000</v>
      </c>
      <c r="Y750" s="99">
        <f>+VLOOKUP(PROVEEDORES[[#This Row],[ID RETENCION]],Retenciones!$A$1:$O$25,2,FALSE)</f>
        <v>0.01</v>
      </c>
      <c r="Z750" s="125" t="b">
        <f>OR(COUNTIF(PROVEEDORES[[#This Row],[PROVEEDOR]],"*"&amp;'Palabra no opera'!$A$2&amp;"*"))</f>
        <v>0</v>
      </c>
      <c r="AA750" s="24"/>
      <c r="AB750" s="24"/>
      <c r="AC750" s="24"/>
      <c r="AD750" s="24"/>
      <c r="AE750" s="24"/>
    </row>
    <row r="751" spans="1:31" ht="22.2" customHeight="1" x14ac:dyDescent="0.3">
      <c r="A751" s="66" t="str">
        <f>+IF(PROVEEDORES[[#This Row],[FECHA DE PAGO]]=PROVEEDORES[[#This Row],[FECHA DE FACTURACIÓN]],"DE CONTADO","CRÉDITO")</f>
        <v>CRÉDITO</v>
      </c>
      <c r="B751" s="38" t="b">
        <f>+IF((PROVEEDORES[[#This Row],[FECHA DE PAGO]]-PROVEEDORES[[#This Row],[FECHA DE FACTURACIÓN]])&gt;PROVEEDORES[[#This Row],[PLAZO Días]],"PAGO VENCIDO")</f>
        <v>0</v>
      </c>
      <c r="C751" s="20">
        <f>+VLOOKUP(PROVEEDORES[[#This Row],[PROVEEDOR]],TERCEROS_INFO[#All],2,FALSE)</f>
        <v>30</v>
      </c>
      <c r="D751" s="25">
        <f>+SUMIFS(PROVEEDORES[Total],PROVEEDORES[PROVEEDOR],PROVEEDORES[[#This Row],[PROVEEDOR]],PROVEEDORES[FECHA DE PAGO],"")</f>
        <v>4024829</v>
      </c>
      <c r="E751" s="25"/>
      <c r="F75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751" s="161">
        <v>44510</v>
      </c>
      <c r="H751" s="26" t="s">
        <v>345</v>
      </c>
      <c r="I751" s="161">
        <v>44505</v>
      </c>
      <c r="J751" s="35" t="s">
        <v>522</v>
      </c>
      <c r="K751" s="21">
        <v>551501.68000000005</v>
      </c>
      <c r="L751" s="21"/>
      <c r="M751" s="22">
        <f>(PROVEEDORES[[#This Row],[SUBTOTAL]]-PROVEEDORES[[#This Row],[descuento sobre subtotal]])*VLOOKUP(PROVEEDORES[[#This Row],[PROVEEDOR]],TERCEROS_INFO[#All],3,FALSE)</f>
        <v>0</v>
      </c>
      <c r="N751" s="23"/>
      <c r="O751" s="22">
        <f>+PROVEEDORES[[#This Row],[Descuento sobre subtotal %]]*(PROVEEDORES[[#This Row],[SUBTOTAL]]-PROVEEDORES[[#This Row],[descuento sobre subtotal]])</f>
        <v>0</v>
      </c>
      <c r="P751" s="83">
        <f>+IF(PROVEEDORES[[#This Row],[SUBTOTAL]]&lt;PROVEEDORES[[#This Row],[base retencion]],0,PROVEEDORES[[#This Row],[retención aplicada]])</f>
        <v>0</v>
      </c>
      <c r="Q751" s="22">
        <f>+PROVEEDORES[[#This Row],[Rete Fuente %]]*(PROVEEDORES[[#This Row],[SUBTOTAL]]-PROVEEDORES[[#This Row],[descuento sobre subtotal]])</f>
        <v>0</v>
      </c>
      <c r="R751" s="21">
        <f>+PROVEEDORES[[#This Row],[SUBTOTAL]]+PROVEEDORES[[#This Row],[IVA 19%]]-PROVEEDORES[[#This Row],[descuento sobre subtotal]]-PROVEEDORES[[#This Row],[Descuento sobre subtotal $2]]-PROVEEDORES[[#This Row],[Rete Fuente $]]</f>
        <v>551501.68000000005</v>
      </c>
      <c r="S7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68">
        <f ca="1">IF(PROVEEDORES[[#This Row],[FECHA DE PAGO]]=0,TODAY()-PROVEEDORES[[#This Row],[FECHA DE FACTURACIÓN]]-PROVEEDORES[[#This Row],[PLAZO Días]],0)</f>
        <v>0</v>
      </c>
      <c r="U751" s="96">
        <f>+VLOOKUP(PROVEEDORES[[#This Row],[PROVEEDOR]],Terceros!$A:$D,4,FALSE)</f>
        <v>0</v>
      </c>
      <c r="V751" s="97">
        <f>+YEAR(PROVEEDORES[[#This Row],[FECHA DE FACTURACIÓN]])</f>
        <v>2021</v>
      </c>
      <c r="W751" s="97">
        <f>+MATCH(PROVEEDORES[[#This Row],[año facturado]],Retenciones!$1:$1,0)</f>
        <v>4</v>
      </c>
      <c r="X751" s="98">
        <f>+VLOOKUP(PROVEEDORES[[#This Row],[ID RETENCION]],Retenciones!$A$1:$O$25,PROVEEDORES[[#This Row],[indicador de columna]],FALSE)</f>
        <v>0</v>
      </c>
      <c r="Y751" s="99">
        <f>+VLOOKUP(PROVEEDORES[[#This Row],[ID RETENCION]],Retenciones!$A$1:$O$25,2,FALSE)</f>
        <v>0</v>
      </c>
      <c r="Z751" s="125" t="b">
        <f>OR(COUNTIF(PROVEEDORES[[#This Row],[PROVEEDOR]],"*"&amp;'Palabra no opera'!$A$2&amp;"*"))</f>
        <v>0</v>
      </c>
      <c r="AA751" s="24"/>
      <c r="AB751" s="24"/>
      <c r="AC751" s="24"/>
      <c r="AD751" s="24"/>
      <c r="AE751" s="24"/>
    </row>
    <row r="752" spans="1:31" ht="22.2" customHeight="1" x14ac:dyDescent="0.3">
      <c r="A752" s="185" t="str">
        <f>+IF(PROVEEDORES[[#This Row],[FECHA DE PAGO]]=PROVEEDORES[[#This Row],[FECHA DE FACTURACIÓN]],"DE CONTADO","CRÉDITO")</f>
        <v>CRÉDITO</v>
      </c>
      <c r="B752" s="38" t="str">
        <f>+IF((PROVEEDORES[[#This Row],[FECHA DE PAGO]]-PROVEEDORES[[#This Row],[FECHA DE FACTURACIÓN]])&gt;PROVEEDORES[[#This Row],[PLAZO Días]],"PAGO VENCIDO")</f>
        <v>PAGO VENCIDO</v>
      </c>
      <c r="C752" s="20">
        <f>+VLOOKUP(PROVEEDORES[[#This Row],[PROVEEDOR]],TERCEROS_INFO[#All],2,FALSE)</f>
        <v>0</v>
      </c>
      <c r="D752" s="25">
        <f>+SUMIFS(PROVEEDORES[Total],PROVEEDORES[PROVEEDOR],PROVEEDORES[[#This Row],[PROVEEDOR]],PROVEEDORES[FECHA DE PAGO],"")</f>
        <v>0</v>
      </c>
      <c r="E752" s="25"/>
      <c r="F752" s="58">
        <f>+VLOOKUP(PROVEEDORES[[#This Row],[PROVEEDOR]],
                       Terceros!$A:$F,
                       5,
                       FALSE)</f>
        <v>0</v>
      </c>
      <c r="G752" s="161">
        <v>44747</v>
      </c>
      <c r="H752" s="26" t="s">
        <v>1050</v>
      </c>
      <c r="I752" s="161">
        <v>44743</v>
      </c>
      <c r="J752" s="35" t="s">
        <v>1385</v>
      </c>
      <c r="K752" s="21">
        <v>552100</v>
      </c>
      <c r="L752" s="21"/>
      <c r="M752" s="22">
        <f>(PROVEEDORES[[#This Row],[SUBTOTAL]]-PROVEEDORES[[#This Row],[descuento sobre subtotal]])*VLOOKUP(PROVEEDORES[[#This Row],[PROVEEDOR]],TERCEROS_INFO[#All],3,FALSE)</f>
        <v>0</v>
      </c>
      <c r="N752" s="23"/>
      <c r="O752" s="22">
        <f>+PROVEEDORES[[#This Row],[Descuento sobre subtotal %]]*(PROVEEDORES[[#This Row],[SUBTOTAL]]-PROVEEDORES[[#This Row],[descuento sobre subtotal]])</f>
        <v>0</v>
      </c>
      <c r="P752" s="83">
        <f>+IF(PROVEEDORES[[#This Row],[SUBTOTAL]]&lt;PROVEEDORES[[#This Row],[base retencion]],0,PROVEEDORES[[#This Row],[retención aplicada]])</f>
        <v>0</v>
      </c>
      <c r="Q752" s="22">
        <f>+PROVEEDORES[[#This Row],[Rete Fuente %]]*(PROVEEDORES[[#This Row],[SUBTOTAL]]-PROVEEDORES[[#This Row],[descuento sobre subtotal]])</f>
        <v>0</v>
      </c>
      <c r="R752" s="21">
        <f>+PROVEEDORES[[#This Row],[SUBTOTAL]]+PROVEEDORES[[#This Row],[IVA 19%]]-PROVEEDORES[[#This Row],[descuento sobre subtotal]]-PROVEEDORES[[#This Row],[Descuento sobre subtotal $2]]-PROVEEDORES[[#This Row],[Rete Fuente $]]</f>
        <v>552100</v>
      </c>
      <c r="S752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68">
        <f ca="1">IF(PROVEEDORES[[#This Row],[FECHA DE PAGO]]=0,TODAY()-PROVEEDORES[[#This Row],[FECHA DE FACTURACIÓN]]-PROVEEDORES[[#This Row],[PLAZO Días]],0)</f>
        <v>0</v>
      </c>
      <c r="U752" s="113">
        <f>+VLOOKUP(PROVEEDORES[[#This Row],[PROVEEDOR]],Terceros!$A:$D,4,FALSE)</f>
        <v>0</v>
      </c>
      <c r="V752" s="114">
        <f>+YEAR(PROVEEDORES[[#This Row],[FECHA DE FACTURACIÓN]])</f>
        <v>2022</v>
      </c>
      <c r="W752" s="114">
        <f>+MATCH(PROVEEDORES[[#This Row],[año facturado]],Retenciones!$1:$1,0)</f>
        <v>5</v>
      </c>
      <c r="X752" s="115">
        <f>+VLOOKUP(PROVEEDORES[[#This Row],[ID RETENCION]],Retenciones!$A$1:$O$25,PROVEEDORES[[#This Row],[indicador de columna]],FALSE)</f>
        <v>0</v>
      </c>
      <c r="Y752" s="116">
        <f>+VLOOKUP(PROVEEDORES[[#This Row],[ID RETENCION]],Retenciones!$A$1:$O$25,2,FALSE)</f>
        <v>0</v>
      </c>
      <c r="Z752" s="125" t="b">
        <f>OR(COUNTIF(PROVEEDORES[[#This Row],[PROVEEDOR]],"*"&amp;'Palabra no opera'!$A$2&amp;"*"))</f>
        <v>1</v>
      </c>
      <c r="AA752" s="24"/>
      <c r="AB752" s="24"/>
      <c r="AC752" s="24"/>
      <c r="AD752" s="24"/>
      <c r="AE752" s="24"/>
    </row>
    <row r="753" spans="1:31" ht="22.2" customHeight="1" x14ac:dyDescent="0.3">
      <c r="A753" s="66" t="str">
        <f>+IF(PROVEEDORES[[#This Row],[FECHA DE PAGO]]=PROVEEDORES[[#This Row],[FECHA DE FACTURACIÓN]],"DE CONTADO","CRÉDITO")</f>
        <v>CRÉDITO</v>
      </c>
      <c r="B753" s="38" t="str">
        <f>+IF((PROVEEDORES[[#This Row],[FECHA DE PAGO]]-PROVEEDORES[[#This Row],[FECHA DE FACTURACIÓN]])&gt;PROVEEDORES[[#This Row],[PLAZO Días]],"PAGO VENCIDO")</f>
        <v>PAGO VENCIDO</v>
      </c>
      <c r="C753" s="20">
        <f>+VLOOKUP(PROVEEDORES[[#This Row],[PROVEEDOR]],TERCEROS_INFO[#All],2,FALSE)</f>
        <v>30</v>
      </c>
      <c r="D753" s="25">
        <f>+SUMIFS(PROVEEDORES[Total],PROVEEDORES[PROVEEDOR],PROVEEDORES[[#This Row],[PROVEEDOR]],PROVEEDORES[FECHA DE PAGO],"")</f>
        <v>0</v>
      </c>
      <c r="E753" s="25"/>
      <c r="F753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753" s="161">
        <v>44558</v>
      </c>
      <c r="H753" s="26" t="s">
        <v>39</v>
      </c>
      <c r="I753" s="161">
        <v>44524</v>
      </c>
      <c r="J753" s="35">
        <v>954</v>
      </c>
      <c r="K753" s="21">
        <v>469800</v>
      </c>
      <c r="L753" s="21"/>
      <c r="M753" s="22">
        <f>(PROVEEDORES[[#This Row],[SUBTOTAL]]-PROVEEDORES[[#This Row],[descuento sobre subtotal]])*VLOOKUP(PROVEEDORES[[#This Row],[PROVEEDOR]],TERCEROS_INFO[#All],3,FALSE)</f>
        <v>89262</v>
      </c>
      <c r="N753" s="23"/>
      <c r="O753" s="22">
        <f>+PROVEEDORES[[#This Row],[Descuento sobre subtotal %]]*(PROVEEDORES[[#This Row],[SUBTOTAL]]-PROVEEDORES[[#This Row],[descuento sobre subtotal]])</f>
        <v>0</v>
      </c>
      <c r="P753" s="83">
        <f>+IF(PROVEEDORES[[#This Row],[SUBTOTAL]]&lt;PROVEEDORES[[#This Row],[base retencion]],0,PROVEEDORES[[#This Row],[retención aplicada]])</f>
        <v>0</v>
      </c>
      <c r="Q753" s="22">
        <f>+PROVEEDORES[[#This Row],[Rete Fuente %]]*(PROVEEDORES[[#This Row],[SUBTOTAL]]-PROVEEDORES[[#This Row],[descuento sobre subtotal]])</f>
        <v>0</v>
      </c>
      <c r="R753" s="21">
        <f>+PROVEEDORES[[#This Row],[SUBTOTAL]]+PROVEEDORES[[#This Row],[IVA 19%]]-PROVEEDORES[[#This Row],[descuento sobre subtotal]]-PROVEEDORES[[#This Row],[Descuento sobre subtotal $2]]-PROVEEDORES[[#This Row],[Rete Fuente $]]</f>
        <v>559062</v>
      </c>
      <c r="S7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68">
        <f ca="1">IF(PROVEEDORES[[#This Row],[FECHA DE PAGO]]=0,TODAY()-PROVEEDORES[[#This Row],[FECHA DE FACTURACIÓN]]-PROVEEDORES[[#This Row],[PLAZO Días]],0)</f>
        <v>0</v>
      </c>
      <c r="U753" s="96" t="str">
        <f>+VLOOKUP(PROVEEDORES[[#This Row],[PROVEEDOR]],Terceros!$A:$D,4,FALSE)</f>
        <v>2,5% con base</v>
      </c>
      <c r="V753" s="97">
        <f>+YEAR(PROVEEDORES[[#This Row],[FECHA DE FACTURACIÓN]])</f>
        <v>2021</v>
      </c>
      <c r="W753" s="97">
        <f>+MATCH(PROVEEDORES[[#This Row],[año facturado]],Retenciones!$1:$1,0)</f>
        <v>4</v>
      </c>
      <c r="X753" s="98">
        <f>+VLOOKUP(PROVEEDORES[[#This Row],[ID RETENCION]],Retenciones!$A$1:$O$25,PROVEEDORES[[#This Row],[indicador de columna]],FALSE)</f>
        <v>980000</v>
      </c>
      <c r="Y753" s="99">
        <f>+VLOOKUP(PROVEEDORES[[#This Row],[ID RETENCION]],Retenciones!$A$1:$O$25,2,FALSE)</f>
        <v>2.5000000000000001E-2</v>
      </c>
      <c r="Z753" s="125" t="b">
        <f>OR(COUNTIF(PROVEEDORES[[#This Row],[PROVEEDOR]],"*"&amp;'Palabra no opera'!$A$2&amp;"*"))</f>
        <v>0</v>
      </c>
      <c r="AA753" s="24"/>
      <c r="AB753" s="24"/>
      <c r="AC753" s="24"/>
      <c r="AD753" s="24"/>
      <c r="AE753" s="24"/>
    </row>
    <row r="754" spans="1:31" ht="22.2" customHeight="1" x14ac:dyDescent="0.3">
      <c r="A754" s="66" t="str">
        <f>+IF(PROVEEDORES[[#This Row],[FECHA DE PAGO]]=PROVEEDORES[[#This Row],[FECHA DE FACTURACIÓN]],"DE CONTADO","CRÉDITO")</f>
        <v>CRÉDITO</v>
      </c>
      <c r="B754" s="38" t="b">
        <f>+IF((PROVEEDORES[[#This Row],[FECHA DE PAGO]]-PROVEEDORES[[#This Row],[FECHA DE FACTURACIÓN]])&gt;PROVEEDORES[[#This Row],[PLAZO Días]],"PAGO VENCIDO")</f>
        <v>0</v>
      </c>
      <c r="C754" s="20">
        <f>+VLOOKUP(PROVEEDORES[[#This Row],[PROVEEDOR]],TERCEROS_INFO[#All],2,FALSE)</f>
        <v>30</v>
      </c>
      <c r="D754" s="25">
        <f>+SUMIFS(PROVEEDORES[Total],PROVEEDORES[PROVEEDOR],PROVEEDORES[[#This Row],[PROVEEDOR]],PROVEEDORES[FECHA DE PAGO],"")</f>
        <v>2318500</v>
      </c>
      <c r="E754" s="25"/>
      <c r="F754" s="58" t="str">
        <f>+VLOOKUP(PROVEEDORES[[#This Row],[PROVEEDOR]],
                       Terceros!$A:$F,
                       5,
                       FALSE)</f>
        <v/>
      </c>
      <c r="G754" s="161">
        <v>44606</v>
      </c>
      <c r="H754" s="26" t="s">
        <v>629</v>
      </c>
      <c r="I754" s="161">
        <v>44576</v>
      </c>
      <c r="J754" s="35" t="s">
        <v>1372</v>
      </c>
      <c r="K754" s="21">
        <v>560000</v>
      </c>
      <c r="L754" s="21"/>
      <c r="M754" s="22">
        <f>(PROVEEDORES[[#This Row],[SUBTOTAL]]-PROVEEDORES[[#This Row],[descuento sobre subtotal]])*VLOOKUP(PROVEEDORES[[#This Row],[PROVEEDOR]],TERCEROS_INFO[#All],3,FALSE)</f>
        <v>0</v>
      </c>
      <c r="N754" s="23"/>
      <c r="O754" s="22">
        <f>+PROVEEDORES[[#This Row],[Descuento sobre subtotal %]]*(PROVEEDORES[[#This Row],[SUBTOTAL]]-PROVEEDORES[[#This Row],[descuento sobre subtotal]])</f>
        <v>0</v>
      </c>
      <c r="P754" s="83">
        <f>+IF(PROVEEDORES[[#This Row],[SUBTOTAL]]&lt;PROVEEDORES[[#This Row],[base retencion]],0,PROVEEDORES[[#This Row],[retención aplicada]])</f>
        <v>0</v>
      </c>
      <c r="Q754" s="22">
        <f>+PROVEEDORES[[#This Row],[Rete Fuente %]]*(PROVEEDORES[[#This Row],[SUBTOTAL]]-PROVEEDORES[[#This Row],[descuento sobre subtotal]])</f>
        <v>0</v>
      </c>
      <c r="R754" s="21">
        <v>560000</v>
      </c>
      <c r="S7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68">
        <f ca="1">IF(PROVEEDORES[[#This Row],[FECHA DE PAGO]]=0,TODAY()-PROVEEDORES[[#This Row],[FECHA DE FACTURACIÓN]]-PROVEEDORES[[#This Row],[PLAZO Días]],0)</f>
        <v>0</v>
      </c>
      <c r="U754" s="96">
        <f>+VLOOKUP(PROVEEDORES[[#This Row],[PROVEEDOR]],Terceros!$A:$D,4,FALSE)</f>
        <v>0</v>
      </c>
      <c r="V754" s="97">
        <f>+YEAR(PROVEEDORES[[#This Row],[FECHA DE FACTURACIÓN]])</f>
        <v>2022</v>
      </c>
      <c r="W754" s="97">
        <f>+MATCH(PROVEEDORES[[#This Row],[año facturado]],Retenciones!$1:$1,0)</f>
        <v>5</v>
      </c>
      <c r="X754" s="98">
        <f>+VLOOKUP(PROVEEDORES[[#This Row],[ID RETENCION]],Retenciones!$A$1:$O$25,PROVEEDORES[[#This Row],[indicador de columna]],FALSE)</f>
        <v>0</v>
      </c>
      <c r="Y754" s="99">
        <f>+VLOOKUP(PROVEEDORES[[#This Row],[ID RETENCION]],Retenciones!$A$1:$O$25,2,FALSE)</f>
        <v>0</v>
      </c>
      <c r="Z754" s="125" t="b">
        <f>OR(COUNTIF(PROVEEDORES[[#This Row],[PROVEEDOR]],"*"&amp;'Palabra no opera'!$A$2&amp;"*"))</f>
        <v>0</v>
      </c>
      <c r="AA754" s="24"/>
      <c r="AB754" s="24"/>
      <c r="AC754" s="24"/>
      <c r="AD754" s="24"/>
      <c r="AE754" s="24"/>
    </row>
    <row r="755" spans="1:31" ht="22.2" customHeight="1" x14ac:dyDescent="0.3">
      <c r="A755" s="159" t="str">
        <f>+IF(PROVEEDORES[[#This Row],[FECHA DE PAGO]]=PROVEEDORES[[#This Row],[FECHA DE FACTURACIÓN]],"DE CONTADO","CRÉDITO")</f>
        <v>CRÉDITO</v>
      </c>
      <c r="B755" s="38" t="b">
        <f>+IF((PROVEEDORES[[#This Row],[FECHA DE PAGO]]-PROVEEDORES[[#This Row],[FECHA DE FACTURACIÓN]])&gt;PROVEEDORES[[#This Row],[PLAZO Días]],"PAGO VENCIDO")</f>
        <v>0</v>
      </c>
      <c r="C755" s="20">
        <f>+VLOOKUP(PROVEEDORES[[#This Row],[PROVEEDOR]],TERCEROS_INFO[#All],2,FALSE)</f>
        <v>10</v>
      </c>
      <c r="D755" s="25">
        <f>+SUMIFS(PROVEEDORES[Total],PROVEEDORES[PROVEEDOR],PROVEEDORES[[#This Row],[PROVEEDOR]],PROVEEDORES[FECHA DE PAGO],"")</f>
        <v>0</v>
      </c>
      <c r="E755" s="25"/>
      <c r="F755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755" s="161">
        <v>44733</v>
      </c>
      <c r="H755" s="26" t="s">
        <v>904</v>
      </c>
      <c r="I755" s="161">
        <v>44726</v>
      </c>
      <c r="J755" s="35" t="s">
        <v>1037</v>
      </c>
      <c r="K755" s="21">
        <v>562500</v>
      </c>
      <c r="L755" s="21"/>
      <c r="M755" s="22">
        <f>(PROVEEDORES[[#This Row],[SUBTOTAL]]-PROVEEDORES[[#This Row],[descuento sobre subtotal]])*VLOOKUP(PROVEEDORES[[#This Row],[PROVEEDOR]],TERCEROS_INFO[#All],3,FALSE)</f>
        <v>0</v>
      </c>
      <c r="N755" s="23"/>
      <c r="O755" s="22">
        <f>+PROVEEDORES[[#This Row],[Descuento sobre subtotal %]]*(PROVEEDORES[[#This Row],[SUBTOTAL]]-PROVEEDORES[[#This Row],[descuento sobre subtotal]])</f>
        <v>0</v>
      </c>
      <c r="P755" s="83">
        <f>+IF(PROVEEDORES[[#This Row],[SUBTOTAL]]&lt;PROVEEDORES[[#This Row],[base retencion]],0,PROVEEDORES[[#This Row],[retención aplicada]])</f>
        <v>0</v>
      </c>
      <c r="Q755" s="22">
        <f>+PROVEEDORES[[#This Row],[Rete Fuente %]]*(PROVEEDORES[[#This Row],[SUBTOTAL]]-PROVEEDORES[[#This Row],[descuento sobre subtotal]])</f>
        <v>0</v>
      </c>
      <c r="R755" s="21">
        <f>+PROVEEDORES[[#This Row],[SUBTOTAL]]+PROVEEDORES[[#This Row],[IVA 19%]]-PROVEEDORES[[#This Row],[descuento sobre subtotal]]-PROVEEDORES[[#This Row],[Descuento sobre subtotal $2]]-PROVEEDORES[[#This Row],[Rete Fuente $]]</f>
        <v>562500</v>
      </c>
      <c r="S75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5" s="68">
        <f ca="1">IF(PROVEEDORES[[#This Row],[FECHA DE PAGO]]=0,TODAY()-PROVEEDORES[[#This Row],[FECHA DE FACTURACIÓN]]-PROVEEDORES[[#This Row],[PLAZO Días]],0)</f>
        <v>0</v>
      </c>
      <c r="U755" s="113">
        <f>+VLOOKUP(PROVEEDORES[[#This Row],[PROVEEDOR]],Terceros!$A:$D,4,FALSE)</f>
        <v>0</v>
      </c>
      <c r="V755" s="114">
        <f>+YEAR(PROVEEDORES[[#This Row],[FECHA DE FACTURACIÓN]])</f>
        <v>2022</v>
      </c>
      <c r="W755" s="114">
        <f>+MATCH(PROVEEDORES[[#This Row],[año facturado]],Retenciones!$1:$1,0)</f>
        <v>5</v>
      </c>
      <c r="X755" s="115">
        <f>+VLOOKUP(PROVEEDORES[[#This Row],[ID RETENCION]],Retenciones!$A$1:$O$25,PROVEEDORES[[#This Row],[indicador de columna]],FALSE)</f>
        <v>0</v>
      </c>
      <c r="Y755" s="116">
        <f>+VLOOKUP(PROVEEDORES[[#This Row],[ID RETENCION]],Retenciones!$A$1:$O$25,2,FALSE)</f>
        <v>0</v>
      </c>
      <c r="Z755" s="125" t="b">
        <f>OR(COUNTIF(PROVEEDORES[[#This Row],[PROVEEDOR]],"*"&amp;'Palabra no opera'!$A$2&amp;"*"))</f>
        <v>1</v>
      </c>
      <c r="AA755" s="24"/>
      <c r="AB755" s="24"/>
      <c r="AC755" s="24"/>
      <c r="AD755" s="24"/>
      <c r="AE755" s="24"/>
    </row>
    <row r="756" spans="1:31" ht="22.2" customHeight="1" x14ac:dyDescent="0.3">
      <c r="A756" s="66" t="str">
        <f>+IF(PROVEEDORES[[#This Row],[FECHA DE PAGO]]=PROVEEDORES[[#This Row],[FECHA DE FACTURACIÓN]],"DE CONTADO","CRÉDITO")</f>
        <v>DE CONTADO</v>
      </c>
      <c r="B756" s="38" t="b">
        <f>+IF((PROVEEDORES[[#This Row],[FECHA DE PAGO]]-PROVEEDORES[[#This Row],[FECHA DE FACTURACIÓN]])&gt;PROVEEDORES[[#This Row],[PLAZO Días]],"PAGO VENCIDO")</f>
        <v>0</v>
      </c>
      <c r="C756" s="20">
        <f>+VLOOKUP(PROVEEDORES[[#This Row],[PROVEEDOR]],TERCEROS_INFO[#All],2,FALSE)</f>
        <v>30</v>
      </c>
      <c r="D756" s="25">
        <f>+SUMIFS(PROVEEDORES[Total],PROVEEDORES[PROVEEDOR],PROVEEDORES[[#This Row],[PROVEEDOR]],PROVEEDORES[FECHA DE PAGO],"")</f>
        <v>0</v>
      </c>
      <c r="E756" s="25"/>
      <c r="F756" s="58">
        <f>+VLOOKUP(PROVEEDORES[[#This Row],[PROVEEDOR]],
                       Terceros!$A:$F,
                       5,
                       FALSE)</f>
        <v>0</v>
      </c>
      <c r="G756" s="161">
        <v>44637</v>
      </c>
      <c r="H756" s="26" t="s">
        <v>643</v>
      </c>
      <c r="I756" s="161">
        <v>44637</v>
      </c>
      <c r="J756" s="35" t="s">
        <v>1579</v>
      </c>
      <c r="K756" s="21">
        <v>564000</v>
      </c>
      <c r="L756" s="21"/>
      <c r="M756" s="22">
        <f>(PROVEEDORES[[#This Row],[SUBTOTAL]]-PROVEEDORES[[#This Row],[descuento sobre subtotal]])*VLOOKUP(PROVEEDORES[[#This Row],[PROVEEDOR]],TERCEROS_INFO[#All],3,FALSE)</f>
        <v>0</v>
      </c>
      <c r="N756" s="23"/>
      <c r="O756" s="22">
        <f>+PROVEEDORES[[#This Row],[Descuento sobre subtotal %]]*(PROVEEDORES[[#This Row],[SUBTOTAL]]-PROVEEDORES[[#This Row],[descuento sobre subtotal]])</f>
        <v>0</v>
      </c>
      <c r="P756" s="83">
        <f>+IF(PROVEEDORES[[#This Row],[SUBTOTAL]]&lt;PROVEEDORES[[#This Row],[base retencion]],0,PROVEEDORES[[#This Row],[retención aplicada]])</f>
        <v>0</v>
      </c>
      <c r="Q756" s="22">
        <f>+PROVEEDORES[[#This Row],[Rete Fuente %]]*(PROVEEDORES[[#This Row],[SUBTOTAL]]-PROVEEDORES[[#This Row],[descuento sobre subtotal]])</f>
        <v>0</v>
      </c>
      <c r="R756" s="21">
        <v>564000</v>
      </c>
      <c r="S7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68">
        <f ca="1">IF(PROVEEDORES[[#This Row],[FECHA DE PAGO]]=0,TODAY()-PROVEEDORES[[#This Row],[FECHA DE FACTURACIÓN]]-PROVEEDORES[[#This Row],[PLAZO Días]],0)</f>
        <v>0</v>
      </c>
      <c r="U756" s="96">
        <f>+VLOOKUP(PROVEEDORES[[#This Row],[PROVEEDOR]],Terceros!$A:$D,4,FALSE)</f>
        <v>0</v>
      </c>
      <c r="V756" s="97">
        <f>+YEAR(PROVEEDORES[[#This Row],[FECHA DE FACTURACIÓN]])</f>
        <v>2022</v>
      </c>
      <c r="W756" s="97">
        <f>+MATCH(PROVEEDORES[[#This Row],[año facturado]],Retenciones!$1:$1,0)</f>
        <v>5</v>
      </c>
      <c r="X756" s="98">
        <f>+VLOOKUP(PROVEEDORES[[#This Row],[ID RETENCION]],Retenciones!$A$1:$O$25,PROVEEDORES[[#This Row],[indicador de columna]],FALSE)</f>
        <v>0</v>
      </c>
      <c r="Y756" s="99">
        <f>+VLOOKUP(PROVEEDORES[[#This Row],[ID RETENCION]],Retenciones!$A$1:$O$25,2,FALSE)</f>
        <v>0</v>
      </c>
      <c r="Z756" s="125" t="b">
        <f>OR(COUNTIF(PROVEEDORES[[#This Row],[PROVEEDOR]],"*"&amp;'Palabra no opera'!$A$2&amp;"*"))</f>
        <v>0</v>
      </c>
      <c r="AA756" s="24"/>
      <c r="AB756" s="24"/>
      <c r="AC756" s="24"/>
      <c r="AD756" s="24"/>
      <c r="AE756" s="24"/>
    </row>
    <row r="757" spans="1:31" ht="22.2" customHeight="1" x14ac:dyDescent="0.3">
      <c r="A757" s="66" t="str">
        <f>+IF(PROVEEDORES[[#This Row],[FECHA DE PAGO]]=PROVEEDORES[[#This Row],[FECHA DE FACTURACIÓN]],"DE CONTADO","CRÉDITO")</f>
        <v>CRÉDITO</v>
      </c>
      <c r="B757" s="38" t="str">
        <f>+IF((PROVEEDORES[[#This Row],[FECHA DE PAGO]]-PROVEEDORES[[#This Row],[FECHA DE FACTURACIÓN]])&gt;PROVEEDORES[[#This Row],[PLAZO Días]],"PAGO VENCIDO")</f>
        <v>PAGO VENCIDO</v>
      </c>
      <c r="C757" s="20">
        <f>+VLOOKUP(PROVEEDORES[[#This Row],[PROVEEDOR]],TERCEROS_INFO[#All],2,FALSE)</f>
        <v>30</v>
      </c>
      <c r="D757" s="25">
        <f>+SUMIFS(PROVEEDORES[Total],PROVEEDORES[PROVEEDOR],PROVEEDORES[[#This Row],[PROVEEDOR]],PROVEEDORES[FECHA DE PAGO],"")</f>
        <v>2456000</v>
      </c>
      <c r="E757" s="25"/>
      <c r="F75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757" s="161">
        <v>44382</v>
      </c>
      <c r="H757" s="26" t="s">
        <v>623</v>
      </c>
      <c r="I757" s="161">
        <v>44340</v>
      </c>
      <c r="J757" s="35" t="s">
        <v>1233</v>
      </c>
      <c r="K757" s="21">
        <v>565000</v>
      </c>
      <c r="L757" s="21"/>
      <c r="M757" s="22">
        <f>(PROVEEDORES[[#This Row],[SUBTOTAL]]-PROVEEDORES[[#This Row],[descuento sobre subtotal]])*VLOOKUP(PROVEEDORES[[#This Row],[PROVEEDOR]],TERCEROS_INFO[#All],3,FALSE)</f>
        <v>0</v>
      </c>
      <c r="N757" s="23"/>
      <c r="O757" s="22">
        <f>+PROVEEDORES[[#This Row],[Descuento sobre subtotal %]]*(PROVEEDORES[[#This Row],[SUBTOTAL]]-PROVEEDORES[[#This Row],[descuento sobre subtotal]])</f>
        <v>0</v>
      </c>
      <c r="P757" s="83">
        <f>+IF(PROVEEDORES[[#This Row],[SUBTOTAL]]&lt;PROVEEDORES[[#This Row],[base retencion]],0,PROVEEDORES[[#This Row],[retención aplicada]])</f>
        <v>0</v>
      </c>
      <c r="Q757" s="22">
        <f>+PROVEEDORES[[#This Row],[Rete Fuente %]]*(PROVEEDORES[[#This Row],[SUBTOTAL]]-PROVEEDORES[[#This Row],[descuento sobre subtotal]])</f>
        <v>0</v>
      </c>
      <c r="R757" s="21">
        <f>+PROVEEDORES[[#This Row],[SUBTOTAL]]+PROVEEDORES[[#This Row],[IVA 19%]]-PROVEEDORES[[#This Row],[descuento sobre subtotal]]-PROVEEDORES[[#This Row],[Descuento sobre subtotal $2]]-PROVEEDORES[[#This Row],[Rete Fuente $]]</f>
        <v>565000</v>
      </c>
      <c r="S7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68">
        <f ca="1">IF(PROVEEDORES[[#This Row],[FECHA DE PAGO]]=0,TODAY()-PROVEEDORES[[#This Row],[FECHA DE FACTURACIÓN]]-PROVEEDORES[[#This Row],[PLAZO Días]],0)</f>
        <v>0</v>
      </c>
      <c r="U757" s="96">
        <f>+VLOOKUP(PROVEEDORES[[#This Row],[PROVEEDOR]],Terceros!$A:$D,4,FALSE)</f>
        <v>0</v>
      </c>
      <c r="V757" s="97">
        <f>+YEAR(PROVEEDORES[[#This Row],[FECHA DE FACTURACIÓN]])</f>
        <v>2021</v>
      </c>
      <c r="W757" s="97">
        <f>+MATCH(PROVEEDORES[[#This Row],[año facturado]],Retenciones!$1:$1,0)</f>
        <v>4</v>
      </c>
      <c r="X757" s="98">
        <f>+VLOOKUP(PROVEEDORES[[#This Row],[ID RETENCION]],Retenciones!$A$1:$O$25,PROVEEDORES[[#This Row],[indicador de columna]],FALSE)</f>
        <v>0</v>
      </c>
      <c r="Y757" s="99">
        <f>+VLOOKUP(PROVEEDORES[[#This Row],[ID RETENCION]],Retenciones!$A$1:$O$25,2,FALSE)</f>
        <v>0</v>
      </c>
      <c r="Z757" s="125" t="b">
        <f>OR(COUNTIF(PROVEEDORES[[#This Row],[PROVEEDOR]],"*"&amp;'Palabra no opera'!$A$2&amp;"*"))</f>
        <v>0</v>
      </c>
      <c r="AA757" s="24"/>
      <c r="AB757" s="24"/>
      <c r="AC757" s="24"/>
      <c r="AD757" s="24"/>
      <c r="AE757" s="24"/>
    </row>
    <row r="758" spans="1:31" ht="22.2" customHeight="1" x14ac:dyDescent="0.3">
      <c r="A758" s="66" t="str">
        <f>+IF(PROVEEDORES[[#This Row],[FECHA DE PAGO]]=PROVEEDORES[[#This Row],[FECHA DE FACTURACIÓN]],"DE CONTADO","CRÉDITO")</f>
        <v>CRÉDITO</v>
      </c>
      <c r="B758" s="38" t="str">
        <f>+IF((PROVEEDORES[[#This Row],[FECHA DE PAGO]]-PROVEEDORES[[#This Row],[FECHA DE FACTURACIÓN]])&gt;PROVEEDORES[[#This Row],[PLAZO Días]],"PAGO VENCIDO")</f>
        <v>PAGO VENCIDO</v>
      </c>
      <c r="C758" s="20">
        <f>+VLOOKUP(PROVEEDORES[[#This Row],[PROVEEDOR]],TERCEROS_INFO[#All],2,FALSE)</f>
        <v>30</v>
      </c>
      <c r="D758" s="25">
        <f>+SUMIFS(PROVEEDORES[Total],PROVEEDORES[PROVEEDOR],PROVEEDORES[[#This Row],[PROVEEDOR]],PROVEEDORES[FECHA DE PAGO],"")</f>
        <v>1468491.82</v>
      </c>
      <c r="E758" s="25"/>
      <c r="F758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758" s="161">
        <v>44524</v>
      </c>
      <c r="H758" s="26" t="s">
        <v>1638</v>
      </c>
      <c r="I758" s="161">
        <v>44489</v>
      </c>
      <c r="J758" s="35" t="s">
        <v>500</v>
      </c>
      <c r="K758" s="21">
        <v>475143.2</v>
      </c>
      <c r="L758" s="21"/>
      <c r="M758" s="22">
        <f>(PROVEEDORES[[#This Row],[SUBTOTAL]]-PROVEEDORES[[#This Row],[descuento sobre subtotal]])*VLOOKUP(PROVEEDORES[[#This Row],[PROVEEDOR]],TERCEROS_INFO[#All],3,FALSE)</f>
        <v>90277.207999999999</v>
      </c>
      <c r="N758" s="23"/>
      <c r="O758" s="22">
        <f>+PROVEEDORES[[#This Row],[Descuento sobre subtotal %]]*(PROVEEDORES[[#This Row],[SUBTOTAL]]-PROVEEDORES[[#This Row],[descuento sobre subtotal]])</f>
        <v>0</v>
      </c>
      <c r="P758" s="83">
        <f>+IF(PROVEEDORES[[#This Row],[SUBTOTAL]]&lt;PROVEEDORES[[#This Row],[base retencion]],0,PROVEEDORES[[#This Row],[retención aplicada]])</f>
        <v>0</v>
      </c>
      <c r="Q758" s="22">
        <f>+PROVEEDORES[[#This Row],[Rete Fuente %]]*(PROVEEDORES[[#This Row],[SUBTOTAL]]-PROVEEDORES[[#This Row],[descuento sobre subtotal]])</f>
        <v>0</v>
      </c>
      <c r="R758" s="21">
        <f>+PROVEEDORES[[#This Row],[SUBTOTAL]]+PROVEEDORES[[#This Row],[IVA 19%]]-PROVEEDORES[[#This Row],[descuento sobre subtotal]]-PROVEEDORES[[#This Row],[Descuento sobre subtotal $2]]-PROVEEDORES[[#This Row],[Rete Fuente $]]</f>
        <v>565420.40800000005</v>
      </c>
      <c r="S7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68">
        <f ca="1">IF(PROVEEDORES[[#This Row],[FECHA DE PAGO]]=0,TODAY()-PROVEEDORES[[#This Row],[FECHA DE FACTURACIÓN]]-PROVEEDORES[[#This Row],[PLAZO Días]],0)</f>
        <v>0</v>
      </c>
      <c r="U758" s="96" t="str">
        <f>+VLOOKUP(PROVEEDORES[[#This Row],[PROVEEDOR]],Terceros!$A:$D,4,FALSE)</f>
        <v>2,5% con base</v>
      </c>
      <c r="V758" s="97">
        <f>+YEAR(PROVEEDORES[[#This Row],[FECHA DE FACTURACIÓN]])</f>
        <v>2021</v>
      </c>
      <c r="W758" s="97">
        <f>+MATCH(PROVEEDORES[[#This Row],[año facturado]],Retenciones!$1:$1,0)</f>
        <v>4</v>
      </c>
      <c r="X758" s="98">
        <f>+VLOOKUP(PROVEEDORES[[#This Row],[ID RETENCION]],Retenciones!$A$1:$O$25,PROVEEDORES[[#This Row],[indicador de columna]],FALSE)</f>
        <v>980000</v>
      </c>
      <c r="Y758" s="99">
        <f>+VLOOKUP(PROVEEDORES[[#This Row],[ID RETENCION]],Retenciones!$A$1:$O$25,2,FALSE)</f>
        <v>2.5000000000000001E-2</v>
      </c>
      <c r="Z758" s="125" t="b">
        <f>OR(COUNTIF(PROVEEDORES[[#This Row],[PROVEEDOR]],"*"&amp;'Palabra no opera'!$A$2&amp;"*"))</f>
        <v>0</v>
      </c>
      <c r="AA758" s="24"/>
      <c r="AB758" s="24"/>
      <c r="AC758" s="24"/>
      <c r="AD758" s="24"/>
      <c r="AE758" s="24"/>
    </row>
    <row r="759" spans="1:31" ht="22.2" customHeight="1" x14ac:dyDescent="0.3">
      <c r="A759" s="185" t="str">
        <f>+IF(PROVEEDORES[[#This Row],[FECHA DE PAGO]]=PROVEEDORES[[#This Row],[FECHA DE FACTURACIÓN]],"DE CONTADO","CRÉDITO")</f>
        <v>CRÉDITO</v>
      </c>
      <c r="B759" s="38" t="b">
        <f>+IF((PROVEEDORES[[#This Row],[FECHA DE PAGO]]-PROVEEDORES[[#This Row],[FECHA DE FACTURACIÓN]])&gt;PROVEEDORES[[#This Row],[PLAZO Días]],"PAGO VENCIDO")</f>
        <v>0</v>
      </c>
      <c r="C759" s="20">
        <f>+VLOOKUP(PROVEEDORES[[#This Row],[PROVEEDOR]],TERCEROS_INFO[#All],2,FALSE)</f>
        <v>30</v>
      </c>
      <c r="D759" s="25">
        <f>+SUMIFS(PROVEEDORES[Total],PROVEEDORES[PROVEEDOR],PROVEEDORES[[#This Row],[PROVEEDOR]],PROVEEDORES[FECHA DE PAGO],"")</f>
        <v>0</v>
      </c>
      <c r="E759" s="25"/>
      <c r="F759" s="58" t="str">
        <f>+VLOOKUP(PROVEEDORES[[#This Row],[PROVEEDOR]],
                       Terceros!$A:$F,
                       5,
                       FALSE)</f>
        <v/>
      </c>
      <c r="G759" s="161">
        <v>44776</v>
      </c>
      <c r="H759" s="26" t="s">
        <v>1130</v>
      </c>
      <c r="I759" s="161">
        <v>44763</v>
      </c>
      <c r="J759" s="35" t="s">
        <v>1129</v>
      </c>
      <c r="K759" s="21">
        <v>569900</v>
      </c>
      <c r="L759" s="21"/>
      <c r="M759" s="22">
        <f>(PROVEEDORES[[#This Row],[SUBTOTAL]]-PROVEEDORES[[#This Row],[descuento sobre subtotal]])*VLOOKUP(PROVEEDORES[[#This Row],[PROVEEDOR]],TERCEROS_INFO[#All],3,FALSE)</f>
        <v>0</v>
      </c>
      <c r="N759" s="23"/>
      <c r="O759" s="22">
        <f>+PROVEEDORES[[#This Row],[Descuento sobre subtotal %]]*(PROVEEDORES[[#This Row],[SUBTOTAL]]-PROVEEDORES[[#This Row],[descuento sobre subtotal]])</f>
        <v>0</v>
      </c>
      <c r="P759" s="83">
        <f>+IF(PROVEEDORES[[#This Row],[SUBTOTAL]]&lt;PROVEEDORES[[#This Row],[base retencion]],0,PROVEEDORES[[#This Row],[retención aplicada]])</f>
        <v>0</v>
      </c>
      <c r="Q759" s="22">
        <f>+PROVEEDORES[[#This Row],[Rete Fuente %]]*(PROVEEDORES[[#This Row],[SUBTOTAL]]-PROVEEDORES[[#This Row],[descuento sobre subtotal]])</f>
        <v>0</v>
      </c>
      <c r="R759" s="21">
        <f>+PROVEEDORES[[#This Row],[SUBTOTAL]]+PROVEEDORES[[#This Row],[IVA 19%]]-PROVEEDORES[[#This Row],[descuento sobre subtotal]]-PROVEEDORES[[#This Row],[Descuento sobre subtotal $2]]-PROVEEDORES[[#This Row],[Rete Fuente $]]</f>
        <v>569900</v>
      </c>
      <c r="S759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68">
        <f ca="1">IF(PROVEEDORES[[#This Row],[FECHA DE PAGO]]=0,TODAY()-PROVEEDORES[[#This Row],[FECHA DE FACTURACIÓN]]-PROVEEDORES[[#This Row],[PLAZO Días]],0)</f>
        <v>0</v>
      </c>
      <c r="U759" s="113">
        <f>+VLOOKUP(PROVEEDORES[[#This Row],[PROVEEDOR]],Terceros!$A:$D,4,FALSE)</f>
        <v>0</v>
      </c>
      <c r="V759" s="114">
        <f>+YEAR(PROVEEDORES[[#This Row],[FECHA DE FACTURACIÓN]])</f>
        <v>2022</v>
      </c>
      <c r="W759" s="114">
        <f>+MATCH(PROVEEDORES[[#This Row],[año facturado]],Retenciones!$1:$1,0)</f>
        <v>5</v>
      </c>
      <c r="X759" s="115">
        <f>+VLOOKUP(PROVEEDORES[[#This Row],[ID RETENCION]],Retenciones!$A$1:$O$25,PROVEEDORES[[#This Row],[indicador de columna]],FALSE)</f>
        <v>0</v>
      </c>
      <c r="Y759" s="116">
        <f>+VLOOKUP(PROVEEDORES[[#This Row],[ID RETENCION]],Retenciones!$A$1:$O$25,2,FALSE)</f>
        <v>0</v>
      </c>
      <c r="Z759" s="125" t="b">
        <f>OR(COUNTIF(PROVEEDORES[[#This Row],[PROVEEDOR]],"*"&amp;'Palabra no opera'!$A$2&amp;"*"))</f>
        <v>1</v>
      </c>
      <c r="AA759" s="24"/>
      <c r="AB759" s="24"/>
      <c r="AC759" s="24"/>
      <c r="AD759" s="24"/>
      <c r="AE759" s="24"/>
    </row>
    <row r="760" spans="1:31" ht="22.2" customHeight="1" x14ac:dyDescent="0.3">
      <c r="A760" s="72" t="str">
        <f>+IF(PROVEEDORES[[#This Row],[FECHA DE PAGO]]=PROVEEDORES[[#This Row],[FECHA DE FACTURACIÓN]],"DE CONTADO","CRÉDITO")</f>
        <v>CRÉDITO</v>
      </c>
      <c r="B760" s="38" t="b">
        <f>+IF((PROVEEDORES[[#This Row],[FECHA DE PAGO]]-PROVEEDORES[[#This Row],[FECHA DE FACTURACIÓN]])&gt;PROVEEDORES[[#This Row],[PLAZO Días]],"PAGO VENCIDO")</f>
        <v>0</v>
      </c>
      <c r="C760" s="20">
        <f>+VLOOKUP(PROVEEDORES[[#This Row],[PROVEEDOR]],TERCEROS_INFO[#All],2,FALSE)</f>
        <v>30</v>
      </c>
      <c r="D760" s="25">
        <f>+SUMIFS(PROVEEDORES[Total],PROVEEDORES[PROVEEDOR],PROVEEDORES[[#This Row],[PROVEEDOR]],PROVEEDORES[FECHA DE PAGO],"")</f>
        <v>0</v>
      </c>
      <c r="E760" s="25"/>
      <c r="F760" s="58" t="str">
        <f>+VLOOKUP(PROVEEDORES[[#This Row],[PROVEEDOR]],
                       Terceros!$A:$F,
                       5,
                       FALSE)</f>
        <v>Facturas@kinnesis.com;girlesa.ruiz@servipilas.com;joriescobar64@gmail.com</v>
      </c>
      <c r="G760" s="161">
        <v>44733</v>
      </c>
      <c r="H760" s="26" t="s">
        <v>1032</v>
      </c>
      <c r="I760" s="161">
        <v>44727</v>
      </c>
      <c r="J760" s="35" t="s">
        <v>1034</v>
      </c>
      <c r="K760" s="21">
        <v>480000</v>
      </c>
      <c r="L760" s="21"/>
      <c r="M760" s="22">
        <f>(PROVEEDORES[[#This Row],[SUBTOTAL]]-PROVEEDORES[[#This Row],[descuento sobre subtotal]])*VLOOKUP(PROVEEDORES[[#This Row],[PROVEEDOR]],TERCEROS_INFO[#All],3,FALSE)</f>
        <v>91200</v>
      </c>
      <c r="N760" s="23"/>
      <c r="O760" s="22">
        <f>+PROVEEDORES[[#This Row],[Descuento sobre subtotal %]]*(PROVEEDORES[[#This Row],[SUBTOTAL]]-PROVEEDORES[[#This Row],[descuento sobre subtotal]])</f>
        <v>0</v>
      </c>
      <c r="P760" s="83">
        <f>+IF(PROVEEDORES[[#This Row],[SUBTOTAL]]&lt;PROVEEDORES[[#This Row],[base retencion]],0,PROVEEDORES[[#This Row],[retención aplicada]])</f>
        <v>0</v>
      </c>
      <c r="Q760" s="22">
        <f>+PROVEEDORES[[#This Row],[Rete Fuente %]]*(PROVEEDORES[[#This Row],[SUBTOTAL]]-PROVEEDORES[[#This Row],[descuento sobre subtotal]])</f>
        <v>0</v>
      </c>
      <c r="R760" s="21">
        <f>+PROVEEDORES[[#This Row],[SUBTOTAL]]+PROVEEDORES[[#This Row],[IVA 19%]]-PROVEEDORES[[#This Row],[descuento sobre subtotal]]-PROVEEDORES[[#This Row],[Descuento sobre subtotal $2]]-PROVEEDORES[[#This Row],[Rete Fuente $]]</f>
        <v>571200</v>
      </c>
      <c r="S76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68">
        <f ca="1">IF(PROVEEDORES[[#This Row],[FECHA DE PAGO]]=0,TODAY()-PROVEEDORES[[#This Row],[FECHA DE FACTURACIÓN]]-PROVEEDORES[[#This Row],[PLAZO Días]],0)</f>
        <v>0</v>
      </c>
      <c r="U760" s="113" t="str">
        <f>+VLOOKUP(PROVEEDORES[[#This Row],[PROVEEDOR]],Terceros!$A:$D,4,FALSE)</f>
        <v>2,5% con base</v>
      </c>
      <c r="V760" s="114">
        <f>+YEAR(PROVEEDORES[[#This Row],[FECHA DE FACTURACIÓN]])</f>
        <v>2022</v>
      </c>
      <c r="W760" s="114">
        <f>+MATCH(PROVEEDORES[[#This Row],[año facturado]],Retenciones!$1:$1,0)</f>
        <v>5</v>
      </c>
      <c r="X760" s="115">
        <f>+VLOOKUP(PROVEEDORES[[#This Row],[ID RETENCION]],Retenciones!$A$1:$O$25,PROVEEDORES[[#This Row],[indicador de columna]],FALSE)</f>
        <v>1026000</v>
      </c>
      <c r="Y760" s="116">
        <f>+VLOOKUP(PROVEEDORES[[#This Row],[ID RETENCION]],Retenciones!$A$1:$O$25,2,FALSE)</f>
        <v>2.5000000000000001E-2</v>
      </c>
      <c r="Z760" s="125" t="b">
        <f>OR(COUNTIF(PROVEEDORES[[#This Row],[PROVEEDOR]],"*"&amp;'Palabra no opera'!$A$2&amp;"*"))</f>
        <v>0</v>
      </c>
      <c r="AA760" s="24"/>
      <c r="AB760" s="24"/>
      <c r="AC760" s="24"/>
      <c r="AD760" s="24"/>
      <c r="AE760" s="24"/>
    </row>
    <row r="761" spans="1:31" ht="22.2" customHeight="1" x14ac:dyDescent="0.3">
      <c r="A761" s="66" t="str">
        <f>+IF(PROVEEDORES[[#This Row],[FECHA DE PAGO]]=PROVEEDORES[[#This Row],[FECHA DE FACTURACIÓN]],"DE CONTADO","CRÉDITO")</f>
        <v>CRÉDITO</v>
      </c>
      <c r="B761" s="38" t="b">
        <f>+IF((PROVEEDORES[[#This Row],[FECHA DE PAGO]]-PROVEEDORES[[#This Row],[FECHA DE FACTURACIÓN]])&gt;PROVEEDORES[[#This Row],[PLAZO Días]],"PAGO VENCIDO")</f>
        <v>0</v>
      </c>
      <c r="C761" s="20">
        <f>+VLOOKUP(PROVEEDORES[[#This Row],[PROVEEDOR]],TERCEROS_INFO[#All],2,FALSE)</f>
        <v>60</v>
      </c>
      <c r="D761" s="25">
        <f>+SUMIFS(PROVEEDORES[Total],PROVEEDORES[PROVEEDOR],PROVEEDORES[[#This Row],[PROVEEDOR]],PROVEEDORES[FECHA DE PAGO],"")</f>
        <v>1520362</v>
      </c>
      <c r="E761" s="25"/>
      <c r="F761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761" s="161">
        <v>44503</v>
      </c>
      <c r="H761" s="26" t="s">
        <v>528</v>
      </c>
      <c r="I761" s="161">
        <v>44500</v>
      </c>
      <c r="J761" s="35" t="s">
        <v>1339</v>
      </c>
      <c r="K761" s="21">
        <v>571961.4</v>
      </c>
      <c r="L761" s="21"/>
      <c r="M761" s="22">
        <f>(PROVEEDORES[[#This Row],[SUBTOTAL]]-PROVEEDORES[[#This Row],[descuento sobre subtotal]])*VLOOKUP(PROVEEDORES[[#This Row],[PROVEEDOR]],TERCEROS_INFO[#All],3,FALSE)</f>
        <v>0</v>
      </c>
      <c r="N761" s="23"/>
      <c r="O761" s="22">
        <f>+PROVEEDORES[[#This Row],[Descuento sobre subtotal %]]*(PROVEEDORES[[#This Row],[SUBTOTAL]]-PROVEEDORES[[#This Row],[descuento sobre subtotal]])</f>
        <v>0</v>
      </c>
      <c r="P761" s="83">
        <f>+IF(PROVEEDORES[[#This Row],[SUBTOTAL]]&lt;PROVEEDORES[[#This Row],[base retencion]],0,PROVEEDORES[[#This Row],[retención aplicada]])</f>
        <v>0</v>
      </c>
      <c r="Q761" s="22">
        <f>+PROVEEDORES[[#This Row],[Rete Fuente %]]*(PROVEEDORES[[#This Row],[SUBTOTAL]]-PROVEEDORES[[#This Row],[descuento sobre subtotal]])</f>
        <v>0</v>
      </c>
      <c r="R761" s="21">
        <f>+PROVEEDORES[[#This Row],[SUBTOTAL]]+PROVEEDORES[[#This Row],[IVA 19%]]-PROVEEDORES[[#This Row],[descuento sobre subtotal]]-PROVEEDORES[[#This Row],[Descuento sobre subtotal $2]]-PROVEEDORES[[#This Row],[Rete Fuente $]]</f>
        <v>571961.4</v>
      </c>
      <c r="S7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68">
        <f ca="1">IF(PROVEEDORES[[#This Row],[FECHA DE PAGO]]=0,TODAY()-PROVEEDORES[[#This Row],[FECHA DE FACTURACIÓN]]-PROVEEDORES[[#This Row],[PLAZO Días]],0)</f>
        <v>0</v>
      </c>
      <c r="U761" s="96">
        <f>+VLOOKUP(PROVEEDORES[[#This Row],[PROVEEDOR]],Terceros!$A:$D,4,FALSE)</f>
        <v>0</v>
      </c>
      <c r="V761" s="97">
        <f>+YEAR(PROVEEDORES[[#This Row],[FECHA DE FACTURACIÓN]])</f>
        <v>2021</v>
      </c>
      <c r="W761" s="97">
        <f>+MATCH(PROVEEDORES[[#This Row],[año facturado]],Retenciones!$1:$1,0)</f>
        <v>4</v>
      </c>
      <c r="X761" s="98">
        <f>+VLOOKUP(PROVEEDORES[[#This Row],[ID RETENCION]],Retenciones!$A$1:$O$25,PROVEEDORES[[#This Row],[indicador de columna]],FALSE)</f>
        <v>0</v>
      </c>
      <c r="Y761" s="99">
        <f>+VLOOKUP(PROVEEDORES[[#This Row],[ID RETENCION]],Retenciones!$A$1:$O$25,2,FALSE)</f>
        <v>0</v>
      </c>
      <c r="Z761" s="125" t="b">
        <f>OR(COUNTIF(PROVEEDORES[[#This Row],[PROVEEDOR]],"*"&amp;'Palabra no opera'!$A$2&amp;"*"))</f>
        <v>0</v>
      </c>
      <c r="AA761" s="24"/>
      <c r="AB761" s="24"/>
      <c r="AC761" s="24"/>
      <c r="AD761" s="24"/>
      <c r="AE761" s="24"/>
    </row>
    <row r="762" spans="1:31" ht="22.2" customHeight="1" x14ac:dyDescent="0.3">
      <c r="A762" s="66" t="str">
        <f>+IF(PROVEEDORES[[#This Row],[FECHA DE PAGO]]=PROVEEDORES[[#This Row],[FECHA DE FACTURACIÓN]],"DE CONTADO","CRÉDITO")</f>
        <v>CRÉDITO</v>
      </c>
      <c r="B762" s="38" t="str">
        <f>+IF((PROVEEDORES[[#This Row],[FECHA DE PAGO]]-PROVEEDORES[[#This Row],[FECHA DE FACTURACIÓN]])&gt;PROVEEDORES[[#This Row],[PLAZO Días]],"PAGO VENCIDO")</f>
        <v>PAGO VENCIDO</v>
      </c>
      <c r="C762" s="20">
        <f>+VLOOKUP(PROVEEDORES[[#This Row],[PROVEEDOR]],TERCEROS_INFO[#All],2,FALSE)</f>
        <v>20</v>
      </c>
      <c r="D762" s="25">
        <f>+SUMIFS(PROVEEDORES[Total],PROVEEDORES[PROVEEDOR],PROVEEDORES[[#This Row],[PROVEEDOR]],PROVEEDORES[FECHA DE PAGO],"")</f>
        <v>0</v>
      </c>
      <c r="E762" s="25"/>
      <c r="F76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762" s="161">
        <v>44411</v>
      </c>
      <c r="H762" s="26" t="s">
        <v>398</v>
      </c>
      <c r="I762" s="161">
        <v>44386</v>
      </c>
      <c r="J762" s="35" t="s">
        <v>386</v>
      </c>
      <c r="K762" s="21">
        <v>579800</v>
      </c>
      <c r="L762" s="21"/>
      <c r="M762" s="22">
        <f>(PROVEEDORES[[#This Row],[SUBTOTAL]]-PROVEEDORES[[#This Row],[descuento sobre subtotal]])*VLOOKUP(PROVEEDORES[[#This Row],[PROVEEDOR]],TERCEROS_INFO[#All],3,FALSE)</f>
        <v>0</v>
      </c>
      <c r="N762" s="23"/>
      <c r="O762" s="22">
        <f>+PROVEEDORES[[#This Row],[Descuento sobre subtotal %]]*(PROVEEDORES[[#This Row],[SUBTOTAL]]-PROVEEDORES[[#This Row],[descuento sobre subtotal]])</f>
        <v>0</v>
      </c>
      <c r="P762" s="83">
        <f>+IF(PROVEEDORES[[#This Row],[SUBTOTAL]]&lt;PROVEEDORES[[#This Row],[base retencion]],0,PROVEEDORES[[#This Row],[retención aplicada]])</f>
        <v>0.01</v>
      </c>
      <c r="Q762" s="22">
        <f>+PROVEEDORES[[#This Row],[Rete Fuente %]]*(PROVEEDORES[[#This Row],[SUBTOTAL]]-PROVEEDORES[[#This Row],[descuento sobre subtotal]])</f>
        <v>5798</v>
      </c>
      <c r="R762" s="21">
        <f>+PROVEEDORES[[#This Row],[SUBTOTAL]]+PROVEEDORES[[#This Row],[IVA 19%]]-PROVEEDORES[[#This Row],[descuento sobre subtotal]]-PROVEEDORES[[#This Row],[Descuento sobre subtotal $2]]-PROVEEDORES[[#This Row],[Rete Fuente $]]</f>
        <v>574002</v>
      </c>
      <c r="S7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68">
        <f ca="1">IF(PROVEEDORES[[#This Row],[FECHA DE PAGO]]=0,TODAY()-PROVEEDORES[[#This Row],[FECHA DE FACTURACIÓN]]-PROVEEDORES[[#This Row],[PLAZO Días]],0)</f>
        <v>0</v>
      </c>
      <c r="U762" s="96" t="str">
        <f>+VLOOKUP(PROVEEDORES[[#This Row],[PROVEEDOR]],Terceros!$A:$D,4,FALSE)</f>
        <v>1% con base</v>
      </c>
      <c r="V762" s="97">
        <f>+YEAR(PROVEEDORES[[#This Row],[FECHA DE FACTURACIÓN]])</f>
        <v>2021</v>
      </c>
      <c r="W762" s="97">
        <f>+MATCH(PROVEEDORES[[#This Row],[año facturado]],Retenciones!$1:$1,0)</f>
        <v>4</v>
      </c>
      <c r="X762" s="98">
        <f>+VLOOKUP(PROVEEDORES[[#This Row],[ID RETENCION]],Retenciones!$A$1:$O$25,PROVEEDORES[[#This Row],[indicador de columna]],FALSE)</f>
        <v>145000</v>
      </c>
      <c r="Y762" s="99">
        <f>+VLOOKUP(PROVEEDORES[[#This Row],[ID RETENCION]],Retenciones!$A$1:$O$25,2,FALSE)</f>
        <v>0.01</v>
      </c>
      <c r="Z762" s="125" t="b">
        <f>OR(COUNTIF(PROVEEDORES[[#This Row],[PROVEEDOR]],"*"&amp;'Palabra no opera'!$A$2&amp;"*"))</f>
        <v>0</v>
      </c>
      <c r="AA762" s="24"/>
      <c r="AB762" s="24"/>
      <c r="AC762" s="24"/>
      <c r="AD762" s="24"/>
      <c r="AE762" s="24"/>
    </row>
    <row r="763" spans="1:31" ht="22.2" customHeight="1" x14ac:dyDescent="0.3">
      <c r="A763" s="72" t="str">
        <f>+IF(PROVEEDORES[[#This Row],[FECHA DE PAGO]]=PROVEEDORES[[#This Row],[FECHA DE FACTURACIÓN]],"DE CONTADO","CRÉDITO")</f>
        <v>CRÉDITO</v>
      </c>
      <c r="B763" s="38" t="b">
        <f>+IF((PROVEEDORES[[#This Row],[FECHA DE PAGO]]-PROVEEDORES[[#This Row],[FECHA DE FACTURACIÓN]])&gt;PROVEEDORES[[#This Row],[PLAZO Días]],"PAGO VENCIDO")</f>
        <v>0</v>
      </c>
      <c r="C763" s="20">
        <f>+VLOOKUP(PROVEEDORES[[#This Row],[PROVEEDOR]],TERCEROS_INFO[#All],2,FALSE)</f>
        <v>30</v>
      </c>
      <c r="D763" s="25">
        <f>+SUMIFS(PROVEEDORES[Total],PROVEEDORES[PROVEEDOR],PROVEEDORES[[#This Row],[PROVEEDOR]],PROVEEDORES[FECHA DE PAGO],"")</f>
        <v>0</v>
      </c>
      <c r="E763" s="25"/>
      <c r="F763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63" s="161">
        <v>44764</v>
      </c>
      <c r="H763" s="26" t="s">
        <v>56</v>
      </c>
      <c r="I763" s="161">
        <v>44763</v>
      </c>
      <c r="J763" s="35">
        <v>12047</v>
      </c>
      <c r="K763" s="21">
        <v>482447</v>
      </c>
      <c r="L763" s="21"/>
      <c r="M763" s="22">
        <f>(PROVEEDORES[[#This Row],[SUBTOTAL]]-PROVEEDORES[[#This Row],[descuento sobre subtotal]])*VLOOKUP(PROVEEDORES[[#This Row],[PROVEEDOR]],TERCEROS_INFO[#All],3,FALSE)</f>
        <v>91664.930000000008</v>
      </c>
      <c r="N763" s="23"/>
      <c r="O763" s="22">
        <f>+PROVEEDORES[[#This Row],[Descuento sobre subtotal %]]*(PROVEEDORES[[#This Row],[SUBTOTAL]]-PROVEEDORES[[#This Row],[descuento sobre subtotal]])</f>
        <v>0</v>
      </c>
      <c r="P763" s="83">
        <f>+IF(PROVEEDORES[[#This Row],[SUBTOTAL]]&lt;PROVEEDORES[[#This Row],[base retencion]],0,PROVEEDORES[[#This Row],[retención aplicada]])</f>
        <v>0</v>
      </c>
      <c r="Q763" s="22">
        <f>+PROVEEDORES[[#This Row],[Rete Fuente %]]*(PROVEEDORES[[#This Row],[SUBTOTAL]]-PROVEEDORES[[#This Row],[descuento sobre subtotal]])</f>
        <v>0</v>
      </c>
      <c r="R763" s="21">
        <f>+PROVEEDORES[[#This Row],[SUBTOTAL]]+PROVEEDORES[[#This Row],[IVA 19%]]-PROVEEDORES[[#This Row],[descuento sobre subtotal]]-PROVEEDORES[[#This Row],[Descuento sobre subtotal $2]]-PROVEEDORES[[#This Row],[Rete Fuente $]]</f>
        <v>574111.93000000005</v>
      </c>
      <c r="S76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68">
        <f ca="1">IF(PROVEEDORES[[#This Row],[FECHA DE PAGO]]=0,TODAY()-PROVEEDORES[[#This Row],[FECHA DE FACTURACIÓN]]-PROVEEDORES[[#This Row],[PLAZO Días]],0)</f>
        <v>0</v>
      </c>
      <c r="U763" s="113">
        <f>+VLOOKUP(PROVEEDORES[[#This Row],[PROVEEDOR]],Terceros!$A:$D,4,FALSE)</f>
        <v>0</v>
      </c>
      <c r="V763" s="114">
        <f>+YEAR(PROVEEDORES[[#This Row],[FECHA DE FACTURACIÓN]])</f>
        <v>2022</v>
      </c>
      <c r="W763" s="114">
        <f>+MATCH(PROVEEDORES[[#This Row],[año facturado]],Retenciones!$1:$1,0)</f>
        <v>5</v>
      </c>
      <c r="X763" s="115">
        <f>+VLOOKUP(PROVEEDORES[[#This Row],[ID RETENCION]],Retenciones!$A$1:$O$25,PROVEEDORES[[#This Row],[indicador de columna]],FALSE)</f>
        <v>0</v>
      </c>
      <c r="Y763" s="116">
        <f>+VLOOKUP(PROVEEDORES[[#This Row],[ID RETENCION]],Retenciones!$A$1:$O$25,2,FALSE)</f>
        <v>0</v>
      </c>
      <c r="Z763" s="125" t="b">
        <f>OR(COUNTIF(PROVEEDORES[[#This Row],[PROVEEDOR]],"*"&amp;'Palabra no opera'!$A$2&amp;"*"))</f>
        <v>0</v>
      </c>
      <c r="AA763" s="24"/>
      <c r="AB763" s="24"/>
      <c r="AC763" s="24"/>
      <c r="AD763" s="24"/>
      <c r="AE763" s="24"/>
    </row>
    <row r="764" spans="1:31" ht="22.2" customHeight="1" x14ac:dyDescent="0.3">
      <c r="A764" s="66" t="str">
        <f>+IF(PROVEEDORES[[#This Row],[FECHA DE PAGO]]=PROVEEDORES[[#This Row],[FECHA DE FACTURACIÓN]],"DE CONTADO","CRÉDITO")</f>
        <v>CRÉDITO</v>
      </c>
      <c r="B764" s="38" t="str">
        <f>+IF((PROVEEDORES[[#This Row],[FECHA DE PAGO]]-PROVEEDORES[[#This Row],[FECHA DE FACTURACIÓN]])&gt;PROVEEDORES[[#This Row],[PLAZO Días]],"PAGO VENCIDO")</f>
        <v>PAGO VENCIDO</v>
      </c>
      <c r="C764" s="20">
        <f>+VLOOKUP(PROVEEDORES[[#This Row],[PROVEEDOR]],TERCEROS_INFO[#All],2,FALSE)</f>
        <v>30</v>
      </c>
      <c r="D764" s="25">
        <f>+SUMIFS(PROVEEDORES[Total],PROVEEDORES[PROVEEDOR],PROVEEDORES[[#This Row],[PROVEEDOR]],PROVEEDORES[FECHA DE PAGO],"")</f>
        <v>1127400.05</v>
      </c>
      <c r="E764" s="25"/>
      <c r="F76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64" s="161">
        <v>44298</v>
      </c>
      <c r="H764" s="26" t="s">
        <v>47</v>
      </c>
      <c r="I764" s="161">
        <v>44235</v>
      </c>
      <c r="J764" s="35">
        <v>25994</v>
      </c>
      <c r="K764" s="21">
        <v>484254</v>
      </c>
      <c r="L764" s="21"/>
      <c r="M764" s="22">
        <f>(PROVEEDORES[[#This Row],[SUBTOTAL]]-PROVEEDORES[[#This Row],[descuento sobre subtotal]])*VLOOKUP(PROVEEDORES[[#This Row],[PROVEEDOR]],TERCEROS_INFO[#All],3,FALSE)</f>
        <v>92008.26</v>
      </c>
      <c r="N764" s="23"/>
      <c r="O764" s="22">
        <f>+PROVEEDORES[[#This Row],[Descuento sobre subtotal %]]*(PROVEEDORES[[#This Row],[SUBTOTAL]]-PROVEEDORES[[#This Row],[descuento sobre subtotal]])</f>
        <v>0</v>
      </c>
      <c r="P764" s="83">
        <f>+IF(PROVEEDORES[[#This Row],[SUBTOTAL]]&lt;PROVEEDORES[[#This Row],[base retencion]],0,PROVEEDORES[[#This Row],[retención aplicada]])</f>
        <v>0</v>
      </c>
      <c r="Q764" s="22">
        <f>+PROVEEDORES[[#This Row],[Rete Fuente %]]*(PROVEEDORES[[#This Row],[SUBTOTAL]]-PROVEEDORES[[#This Row],[descuento sobre subtotal]])</f>
        <v>0</v>
      </c>
      <c r="R764" s="21">
        <f>+PROVEEDORES[[#This Row],[SUBTOTAL]]+PROVEEDORES[[#This Row],[IVA 19%]]-PROVEEDORES[[#This Row],[descuento sobre subtotal]]-PROVEEDORES[[#This Row],[Descuento sobre subtotal $2]]-PROVEEDORES[[#This Row],[Rete Fuente $]]</f>
        <v>576262.26</v>
      </c>
      <c r="S7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68">
        <f ca="1">IF(PROVEEDORES[[#This Row],[FECHA DE PAGO]]=0,TODAY()-PROVEEDORES[[#This Row],[FECHA DE FACTURACIÓN]]-PROVEEDORES[[#This Row],[PLAZO Días]],0)</f>
        <v>0</v>
      </c>
      <c r="U764" s="96" t="str">
        <f>+VLOOKUP(PROVEEDORES[[#This Row],[PROVEEDOR]],Terceros!$A:$D,4,FALSE)</f>
        <v>2,5% con base</v>
      </c>
      <c r="V764" s="97">
        <f>+YEAR(PROVEEDORES[[#This Row],[FECHA DE FACTURACIÓN]])</f>
        <v>2021</v>
      </c>
      <c r="W764" s="97">
        <f>+MATCH(PROVEEDORES[[#This Row],[año facturado]],Retenciones!$1:$1,0)</f>
        <v>4</v>
      </c>
      <c r="X764" s="98">
        <f>+VLOOKUP(PROVEEDORES[[#This Row],[ID RETENCION]],Retenciones!$A$1:$O$25,PROVEEDORES[[#This Row],[indicador de columna]],FALSE)</f>
        <v>980000</v>
      </c>
      <c r="Y764" s="99">
        <f>+VLOOKUP(PROVEEDORES[[#This Row],[ID RETENCION]],Retenciones!$A$1:$O$25,2,FALSE)</f>
        <v>2.5000000000000001E-2</v>
      </c>
      <c r="Z764" s="125" t="b">
        <f>OR(COUNTIF(PROVEEDORES[[#This Row],[PROVEEDOR]],"*"&amp;'Palabra no opera'!$A$2&amp;"*"))</f>
        <v>0</v>
      </c>
      <c r="AA764" s="24"/>
      <c r="AB764" s="24"/>
      <c r="AC764" s="24"/>
      <c r="AD764" s="24"/>
      <c r="AE764" s="24"/>
    </row>
    <row r="765" spans="1:31" ht="22.2" customHeight="1" x14ac:dyDescent="0.3">
      <c r="A765" s="66" t="str">
        <f>+IF(PROVEEDORES[[#This Row],[FECHA DE PAGO]]=PROVEEDORES[[#This Row],[FECHA DE FACTURACIÓN]],"DE CONTADO","CRÉDITO")</f>
        <v>CRÉDITO</v>
      </c>
      <c r="B765" s="38" t="str">
        <f>+IF((PROVEEDORES[[#This Row],[FECHA DE PAGO]]-PROVEEDORES[[#This Row],[FECHA DE FACTURACIÓN]])&gt;PROVEEDORES[[#This Row],[PLAZO Días]],"PAGO VENCIDO")</f>
        <v>PAGO VENCIDO</v>
      </c>
      <c r="C765" s="20">
        <f>+VLOOKUP(PROVEEDORES[[#This Row],[PROVEEDOR]],TERCEROS_INFO[#All],2,FALSE)</f>
        <v>30</v>
      </c>
      <c r="D765" s="25">
        <f>+SUMIFS(PROVEEDORES[Total],PROVEEDORES[PROVEEDOR],PROVEEDORES[[#This Row],[PROVEEDOR]],PROVEEDORES[FECHA DE PAGO],"")</f>
        <v>4712021.58</v>
      </c>
      <c r="E765" s="25"/>
      <c r="F76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65" s="161">
        <v>44385</v>
      </c>
      <c r="H765" s="26" t="s">
        <v>17</v>
      </c>
      <c r="I765" s="161">
        <v>44350</v>
      </c>
      <c r="J765" s="35">
        <v>1771451</v>
      </c>
      <c r="K765" s="21">
        <v>485101</v>
      </c>
      <c r="L765" s="21"/>
      <c r="M765" s="22">
        <f>(PROVEEDORES[[#This Row],[SUBTOTAL]]-PROVEEDORES[[#This Row],[descuento sobre subtotal]])*VLOOKUP(PROVEEDORES[[#This Row],[PROVEEDOR]],TERCEROS_INFO[#All],3,FALSE)</f>
        <v>92169.19</v>
      </c>
      <c r="N765" s="23"/>
      <c r="O765" s="22">
        <f>+PROVEEDORES[[#This Row],[Descuento sobre subtotal %]]*(PROVEEDORES[[#This Row],[SUBTOTAL]]-PROVEEDORES[[#This Row],[descuento sobre subtotal]])</f>
        <v>0</v>
      </c>
      <c r="P765" s="83">
        <f>+IF(PROVEEDORES[[#This Row],[SUBTOTAL]]&lt;PROVEEDORES[[#This Row],[base retencion]],0,PROVEEDORES[[#This Row],[retención aplicada]])</f>
        <v>0</v>
      </c>
      <c r="Q765" s="22">
        <f>+PROVEEDORES[[#This Row],[Rete Fuente %]]*(PROVEEDORES[[#This Row],[SUBTOTAL]]-PROVEEDORES[[#This Row],[descuento sobre subtotal]])</f>
        <v>0</v>
      </c>
      <c r="R765" s="21">
        <f>+PROVEEDORES[[#This Row],[SUBTOTAL]]+PROVEEDORES[[#This Row],[IVA 19%]]-PROVEEDORES[[#This Row],[descuento sobre subtotal]]-PROVEEDORES[[#This Row],[Descuento sobre subtotal $2]]-PROVEEDORES[[#This Row],[Rete Fuente $]]</f>
        <v>577270.18999999994</v>
      </c>
      <c r="S7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68">
        <f ca="1">IF(PROVEEDORES[[#This Row],[FECHA DE PAGO]]=0,TODAY()-PROVEEDORES[[#This Row],[FECHA DE FACTURACIÓN]]-PROVEEDORES[[#This Row],[PLAZO Días]],0)</f>
        <v>0</v>
      </c>
      <c r="U765" s="96">
        <f>+VLOOKUP(PROVEEDORES[[#This Row],[PROVEEDOR]],Terceros!$A:$D,4,FALSE)</f>
        <v>0</v>
      </c>
      <c r="V765" s="97">
        <f>+YEAR(PROVEEDORES[[#This Row],[FECHA DE FACTURACIÓN]])</f>
        <v>2021</v>
      </c>
      <c r="W765" s="97">
        <f>+MATCH(PROVEEDORES[[#This Row],[año facturado]],Retenciones!$1:$1,0)</f>
        <v>4</v>
      </c>
      <c r="X765" s="98">
        <f>+VLOOKUP(PROVEEDORES[[#This Row],[ID RETENCION]],Retenciones!$A$1:$O$25,PROVEEDORES[[#This Row],[indicador de columna]],FALSE)</f>
        <v>0</v>
      </c>
      <c r="Y765" s="99">
        <f>+VLOOKUP(PROVEEDORES[[#This Row],[ID RETENCION]],Retenciones!$A$1:$O$25,2,FALSE)</f>
        <v>0</v>
      </c>
      <c r="Z765" s="125" t="b">
        <f>OR(COUNTIF(PROVEEDORES[[#This Row],[PROVEEDOR]],"*"&amp;'Palabra no opera'!$A$2&amp;"*"))</f>
        <v>0</v>
      </c>
      <c r="AA765" s="24"/>
      <c r="AB765" s="24"/>
      <c r="AC765" s="24"/>
      <c r="AD765" s="24"/>
      <c r="AE765" s="24"/>
    </row>
    <row r="766" spans="1:31" ht="22.2" customHeight="1" x14ac:dyDescent="0.3">
      <c r="A766" s="207" t="str">
        <f>+IF(PROVEEDORES[[#This Row],[FECHA DE PAGO]]=PROVEEDORES[[#This Row],[FECHA DE FACTURACIÓN]],"DE CONTADO","CRÉDITO")</f>
        <v>CRÉDITO</v>
      </c>
      <c r="B766" s="38" t="str">
        <f>+IF((PROVEEDORES[[#This Row],[FECHA DE PAGO]]-PROVEEDORES[[#This Row],[FECHA DE FACTURACIÓN]])&gt;PROVEEDORES[[#This Row],[PLAZO Días]],"PAGO VENCIDO")</f>
        <v>PAGO VENCIDO</v>
      </c>
      <c r="C766" s="20">
        <f>+VLOOKUP(PROVEEDORES[[#This Row],[PROVEEDOR]],TERCEROS_INFO[#All],2,FALSE)</f>
        <v>30</v>
      </c>
      <c r="D766" s="25">
        <f>+SUMIFS(PROVEEDORES[Total],PROVEEDORES[PROVEEDOR],PROVEEDORES[[#This Row],[PROVEEDOR]],PROVEEDORES[FECHA DE PAGO],"")</f>
        <v>1127400.05</v>
      </c>
      <c r="E766" s="25"/>
      <c r="F76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66" s="161">
        <v>44839</v>
      </c>
      <c r="H766" s="26" t="s">
        <v>47</v>
      </c>
      <c r="I766" s="161">
        <v>44784</v>
      </c>
      <c r="J766" s="35" t="s">
        <v>1418</v>
      </c>
      <c r="K766" s="21">
        <v>486500</v>
      </c>
      <c r="L766" s="21"/>
      <c r="M766" s="22">
        <f>(PROVEEDORES[[#This Row],[SUBTOTAL]]-PROVEEDORES[[#This Row],[descuento sobre subtotal]])*VLOOKUP(PROVEEDORES[[#This Row],[PROVEEDOR]],TERCEROS_INFO[#All],3,FALSE)</f>
        <v>92435</v>
      </c>
      <c r="N766" s="23"/>
      <c r="O766" s="22">
        <f>+PROVEEDORES[[#This Row],[Descuento sobre subtotal %]]*(PROVEEDORES[[#This Row],[SUBTOTAL]]-PROVEEDORES[[#This Row],[descuento sobre subtotal]])</f>
        <v>0</v>
      </c>
      <c r="P766" s="83">
        <f>+IF(PROVEEDORES[[#This Row],[SUBTOTAL]]&lt;PROVEEDORES[[#This Row],[base retencion]],0,PROVEEDORES[[#This Row],[retención aplicada]])</f>
        <v>0</v>
      </c>
      <c r="Q766" s="22">
        <f>+PROVEEDORES[[#This Row],[Rete Fuente %]]*(PROVEEDORES[[#This Row],[SUBTOTAL]]-PROVEEDORES[[#This Row],[descuento sobre subtotal]])</f>
        <v>0</v>
      </c>
      <c r="R766" s="21">
        <f>+PROVEEDORES[[#This Row],[SUBTOTAL]]+PROVEEDORES[[#This Row],[IVA 19%]]-PROVEEDORES[[#This Row],[descuento sobre subtotal]]-PROVEEDORES[[#This Row],[Descuento sobre subtotal $2]]-PROVEEDORES[[#This Row],[Rete Fuente $]]</f>
        <v>578935</v>
      </c>
      <c r="S766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68">
        <f ca="1">IF(PROVEEDORES[[#This Row],[FECHA DE PAGO]]=0,TODAY()-PROVEEDORES[[#This Row],[FECHA DE FACTURACIÓN]]-PROVEEDORES[[#This Row],[PLAZO Días]],0)</f>
        <v>0</v>
      </c>
      <c r="U766" s="113" t="str">
        <f>+VLOOKUP(PROVEEDORES[[#This Row],[PROVEEDOR]],Terceros!$A:$D,4,FALSE)</f>
        <v>2,5% con base</v>
      </c>
      <c r="V766" s="114">
        <f>+YEAR(PROVEEDORES[[#This Row],[FECHA DE FACTURACIÓN]])</f>
        <v>2022</v>
      </c>
      <c r="W766" s="114">
        <f>+MATCH(PROVEEDORES[[#This Row],[año facturado]],Retenciones!$1:$1,0)</f>
        <v>5</v>
      </c>
      <c r="X766" s="115">
        <f>+VLOOKUP(PROVEEDORES[[#This Row],[ID RETENCION]],Retenciones!$A$1:$O$25,PROVEEDORES[[#This Row],[indicador de columna]],FALSE)</f>
        <v>1026000</v>
      </c>
      <c r="Y766" s="116">
        <f>+VLOOKUP(PROVEEDORES[[#This Row],[ID RETENCION]],Retenciones!$A$1:$O$25,2,FALSE)</f>
        <v>2.5000000000000001E-2</v>
      </c>
      <c r="Z766" s="125" t="b">
        <f>OR(COUNTIF(PROVEEDORES[[#This Row],[PROVEEDOR]],"*"&amp;'Palabra no opera'!$A$2&amp;"*"))</f>
        <v>0</v>
      </c>
      <c r="AA766" s="24"/>
      <c r="AB766" s="24"/>
      <c r="AC766" s="24"/>
      <c r="AD766" s="24"/>
      <c r="AE766" s="24"/>
    </row>
    <row r="767" spans="1:31" ht="22.2" customHeight="1" x14ac:dyDescent="0.3">
      <c r="A767" s="213" t="str">
        <f>+IF(PROVEEDORES[[#This Row],[FECHA DE PAGO]]=PROVEEDORES[[#This Row],[FECHA DE FACTURACIÓN]],"DE CONTADO","CRÉDITO")</f>
        <v>DE CONTADO</v>
      </c>
      <c r="B767" s="38" t="b">
        <f>+IF((PROVEEDORES[[#This Row],[FECHA DE PAGO]]-PROVEEDORES[[#This Row],[FECHA DE FACTURACIÓN]])&gt;PROVEEDORES[[#This Row],[PLAZO Días]],"PAGO VENCIDO")</f>
        <v>0</v>
      </c>
      <c r="C767" s="20">
        <f>+VLOOKUP(PROVEEDORES[[#This Row],[PROVEEDOR]],TERCEROS_INFO[#All],2,FALSE)</f>
        <v>30</v>
      </c>
      <c r="D767" s="25">
        <f>+SUMIFS(PROVEEDORES[Total],PROVEEDORES[PROVEEDOR],PROVEEDORES[[#This Row],[PROVEEDOR]],PROVEEDORES[FECHA DE PAGO],"")</f>
        <v>0</v>
      </c>
      <c r="E767" s="25"/>
      <c r="F767" s="58" t="str">
        <f>+VLOOKUP(PROVEEDORES[[#This Row],[PROVEEDOR]],
                       Terceros!$A:$F,
                       5,
                       FALSE)</f>
        <v/>
      </c>
      <c r="G767" s="161">
        <v>44804</v>
      </c>
      <c r="H767" s="26" t="s">
        <v>644</v>
      </c>
      <c r="I767" s="161">
        <v>44804</v>
      </c>
      <c r="J767" s="35" t="s">
        <v>597</v>
      </c>
      <c r="K767" s="21">
        <v>579900</v>
      </c>
      <c r="L767" s="21"/>
      <c r="M767" s="22">
        <f>(PROVEEDORES[[#This Row],[SUBTOTAL]]-PROVEEDORES[[#This Row],[descuento sobre subtotal]])*VLOOKUP(PROVEEDORES[[#This Row],[PROVEEDOR]],TERCEROS_INFO[#All],3,FALSE)</f>
        <v>0</v>
      </c>
      <c r="N767" s="23"/>
      <c r="O767" s="22">
        <f>+PROVEEDORES[[#This Row],[Descuento sobre subtotal %]]*(PROVEEDORES[[#This Row],[SUBTOTAL]]-PROVEEDORES[[#This Row],[descuento sobre subtotal]])</f>
        <v>0</v>
      </c>
      <c r="P767" s="83">
        <f>+IF(PROVEEDORES[[#This Row],[SUBTOTAL]]&lt;PROVEEDORES[[#This Row],[base retencion]],0,PROVEEDORES[[#This Row],[retención aplicada]])</f>
        <v>0</v>
      </c>
      <c r="Q767" s="22">
        <f>+PROVEEDORES[[#This Row],[Rete Fuente %]]*(PROVEEDORES[[#This Row],[SUBTOTAL]]-PROVEEDORES[[#This Row],[descuento sobre subtotal]])</f>
        <v>0</v>
      </c>
      <c r="R767" s="21">
        <f>+PROVEEDORES[[#This Row],[SUBTOTAL]]+PROVEEDORES[[#This Row],[IVA 19%]]-PROVEEDORES[[#This Row],[descuento sobre subtotal]]-PROVEEDORES[[#This Row],[Descuento sobre subtotal $2]]-PROVEEDORES[[#This Row],[Rete Fuente $]]</f>
        <v>579900</v>
      </c>
      <c r="S767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68">
        <f ca="1">IF(PROVEEDORES[[#This Row],[FECHA DE PAGO]]=0,TODAY()-PROVEEDORES[[#This Row],[FECHA DE FACTURACIÓN]]-PROVEEDORES[[#This Row],[PLAZO Días]],0)</f>
        <v>0</v>
      </c>
      <c r="U767" s="113">
        <f>+VLOOKUP(PROVEEDORES[[#This Row],[PROVEEDOR]],Terceros!$A:$D,4,FALSE)</f>
        <v>0</v>
      </c>
      <c r="V767" s="114">
        <f>+YEAR(PROVEEDORES[[#This Row],[FECHA DE FACTURACIÓN]])</f>
        <v>2022</v>
      </c>
      <c r="W767" s="114">
        <f>+MATCH(PROVEEDORES[[#This Row],[año facturado]],Retenciones!$1:$1,0)</f>
        <v>5</v>
      </c>
      <c r="X767" s="115">
        <f>+VLOOKUP(PROVEEDORES[[#This Row],[ID RETENCION]],Retenciones!$A$1:$O$25,PROVEEDORES[[#This Row],[indicador de columna]],FALSE)</f>
        <v>0</v>
      </c>
      <c r="Y767" s="116">
        <f>+VLOOKUP(PROVEEDORES[[#This Row],[ID RETENCION]],Retenciones!$A$1:$O$25,2,FALSE)</f>
        <v>0</v>
      </c>
      <c r="Z767" s="125" t="b">
        <f>OR(COUNTIF(PROVEEDORES[[#This Row],[PROVEEDOR]],"*"&amp;'Palabra no opera'!$A$2&amp;"*"))</f>
        <v>0</v>
      </c>
      <c r="AA767" s="24"/>
      <c r="AB767" s="24"/>
      <c r="AC767" s="24"/>
      <c r="AD767" s="24"/>
      <c r="AE767" s="24"/>
    </row>
    <row r="768" spans="1:31" ht="22.2" customHeight="1" x14ac:dyDescent="0.3">
      <c r="A768" s="66" t="str">
        <f>+IF(PROVEEDORES[[#This Row],[FECHA DE PAGO]]=PROVEEDORES[[#This Row],[FECHA DE FACTURACIÓN]],"DE CONTADO","CRÉDITO")</f>
        <v>CRÉDITO</v>
      </c>
      <c r="B768" s="38" t="str">
        <f>+IF((PROVEEDORES[[#This Row],[FECHA DE PAGO]]-PROVEEDORES[[#This Row],[FECHA DE FACTURACIÓN]])&gt;PROVEEDORES[[#This Row],[PLAZO Días]],"PAGO VENCIDO")</f>
        <v>PAGO VENCIDO</v>
      </c>
      <c r="C768" s="20">
        <f>+VLOOKUP(PROVEEDORES[[#This Row],[PROVEEDOR]],TERCEROS_INFO[#All],2,FALSE)</f>
        <v>0</v>
      </c>
      <c r="D768" s="25">
        <f>+SUMIFS(PROVEEDORES[Total],PROVEEDORES[PROVEEDOR],PROVEEDORES[[#This Row],[PROVEEDOR]],PROVEEDORES[FECHA DE PAGO],"")</f>
        <v>0</v>
      </c>
      <c r="E768" s="25"/>
      <c r="F768" s="58" t="str">
        <f>+VLOOKUP(PROVEEDORES[[#This Row],[PROVEEDOR]],
                       Terceros!$A:$F,
                       5,
                       FALSE)</f>
        <v>contabilidad@comercialweb.com.co;info@servipilas.com</v>
      </c>
      <c r="G768" s="161">
        <v>44229</v>
      </c>
      <c r="H768" s="26" t="s">
        <v>939</v>
      </c>
      <c r="I768" s="161">
        <v>44197</v>
      </c>
      <c r="J768" s="35">
        <v>204</v>
      </c>
      <c r="K768" s="21">
        <v>490000</v>
      </c>
      <c r="L768" s="21"/>
      <c r="M768" s="22">
        <f>(PROVEEDORES[[#This Row],[SUBTOTAL]]-PROVEEDORES[[#This Row],[descuento sobre subtotal]])*VLOOKUP(PROVEEDORES[[#This Row],[PROVEEDOR]],TERCEROS_INFO[#All],3,FALSE)</f>
        <v>93100</v>
      </c>
      <c r="N768" s="23"/>
      <c r="O768" s="22">
        <f>+PROVEEDORES[[#This Row],[Descuento sobre subtotal %]]*(PROVEEDORES[[#This Row],[SUBTOTAL]]-PROVEEDORES[[#This Row],[descuento sobre subtotal]])</f>
        <v>0</v>
      </c>
      <c r="P768" s="83">
        <f>+IF(PROVEEDORES[[#This Row],[SUBTOTAL]]&lt;PROVEEDORES[[#This Row],[base retencion]],0,PROVEEDORES[[#This Row],[retención aplicada]])</f>
        <v>0</v>
      </c>
      <c r="Q768" s="22">
        <f>+PROVEEDORES[[#This Row],[Rete Fuente %]]*(PROVEEDORES[[#This Row],[SUBTOTAL]]-PROVEEDORES[[#This Row],[descuento sobre subtotal]])</f>
        <v>0</v>
      </c>
      <c r="R768" s="21">
        <f>+PROVEEDORES[[#This Row],[SUBTOTAL]]+PROVEEDORES[[#This Row],[IVA 19%]]-PROVEEDORES[[#This Row],[descuento sobre subtotal]]-PROVEEDORES[[#This Row],[Descuento sobre subtotal $2]]-PROVEEDORES[[#This Row],[Rete Fuente $]]</f>
        <v>583100</v>
      </c>
      <c r="S7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68">
        <f ca="1">IF(PROVEEDORES[[#This Row],[FECHA DE PAGO]]=0,TODAY()-PROVEEDORES[[#This Row],[FECHA DE FACTURACIÓN]]-PROVEEDORES[[#This Row],[PLAZO Días]],0)</f>
        <v>0</v>
      </c>
      <c r="U768" s="96">
        <f>+VLOOKUP(PROVEEDORES[[#This Row],[PROVEEDOR]],Terceros!$A:$D,4,FALSE)</f>
        <v>0</v>
      </c>
      <c r="V768" s="97">
        <f>+YEAR(PROVEEDORES[[#This Row],[FECHA DE FACTURACIÓN]])</f>
        <v>2021</v>
      </c>
      <c r="W768" s="97">
        <f>+MATCH(PROVEEDORES[[#This Row],[año facturado]],Retenciones!$1:$1,0)</f>
        <v>4</v>
      </c>
      <c r="X768" s="98">
        <f>+VLOOKUP(PROVEEDORES[[#This Row],[ID RETENCION]],Retenciones!$A$1:$O$25,PROVEEDORES[[#This Row],[indicador de columna]],FALSE)</f>
        <v>0</v>
      </c>
      <c r="Y768" s="99">
        <f>+VLOOKUP(PROVEEDORES[[#This Row],[ID RETENCION]],Retenciones!$A$1:$O$25,2,FALSE)</f>
        <v>0</v>
      </c>
      <c r="Z768" s="125" t="b">
        <f>OR(COUNTIF(PROVEEDORES[[#This Row],[PROVEEDOR]],"*"&amp;'Palabra no opera'!$A$2&amp;"*"))</f>
        <v>1</v>
      </c>
      <c r="AA768" s="24"/>
      <c r="AB768" s="24"/>
      <c r="AC768" s="24"/>
      <c r="AD768" s="24"/>
      <c r="AE768" s="24"/>
    </row>
    <row r="769" spans="1:31" ht="22.2" customHeight="1" x14ac:dyDescent="0.3">
      <c r="A769" s="159" t="str">
        <f>+IF(PROVEEDORES[[#This Row],[FECHA DE PAGO]]=PROVEEDORES[[#This Row],[FECHA DE FACTURACIÓN]],"DE CONTADO","CRÉDITO")</f>
        <v>CRÉDITO</v>
      </c>
      <c r="B769" s="38" t="str">
        <f>+IF((PROVEEDORES[[#This Row],[FECHA DE PAGO]]-PROVEEDORES[[#This Row],[FECHA DE FACTURACIÓN]])&gt;PROVEEDORES[[#This Row],[PLAZO Días]],"PAGO VENCIDO")</f>
        <v>PAGO VENCIDO</v>
      </c>
      <c r="C769" s="20">
        <f>+VLOOKUP(PROVEEDORES[[#This Row],[PROVEEDOR]],TERCEROS_INFO[#All],2,FALSE)</f>
        <v>30</v>
      </c>
      <c r="D769" s="25">
        <f>+SUMIFS(PROVEEDORES[Total],PROVEEDORES[PROVEEDOR],PROVEEDORES[[#This Row],[PROVEEDOR]],PROVEEDORES[FECHA DE PAGO],"")</f>
        <v>4712021.58</v>
      </c>
      <c r="E769" s="25"/>
      <c r="F76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69" s="161">
        <v>44754</v>
      </c>
      <c r="H769" s="26" t="s">
        <v>17</v>
      </c>
      <c r="I769" s="161">
        <v>44722</v>
      </c>
      <c r="J769" s="35" t="s">
        <v>1046</v>
      </c>
      <c r="K769" s="21">
        <v>491000</v>
      </c>
      <c r="L769" s="21"/>
      <c r="M769" s="22">
        <f>(PROVEEDORES[[#This Row],[SUBTOTAL]]-PROVEEDORES[[#This Row],[descuento sobre subtotal]])*VLOOKUP(PROVEEDORES[[#This Row],[PROVEEDOR]],TERCEROS_INFO[#All],3,FALSE)</f>
        <v>93290</v>
      </c>
      <c r="N769" s="23"/>
      <c r="O769" s="22">
        <f>+PROVEEDORES[[#This Row],[Descuento sobre subtotal %]]*(PROVEEDORES[[#This Row],[SUBTOTAL]]-PROVEEDORES[[#This Row],[descuento sobre subtotal]])</f>
        <v>0</v>
      </c>
      <c r="P769" s="83">
        <f>+IF(PROVEEDORES[[#This Row],[SUBTOTAL]]&lt;PROVEEDORES[[#This Row],[base retencion]],0,PROVEEDORES[[#This Row],[retención aplicada]])</f>
        <v>0</v>
      </c>
      <c r="Q769" s="22">
        <f>+PROVEEDORES[[#This Row],[Rete Fuente %]]*(PROVEEDORES[[#This Row],[SUBTOTAL]]-PROVEEDORES[[#This Row],[descuento sobre subtotal]])</f>
        <v>0</v>
      </c>
      <c r="R769" s="21">
        <f>+PROVEEDORES[[#This Row],[SUBTOTAL]]+PROVEEDORES[[#This Row],[IVA 19%]]-PROVEEDORES[[#This Row],[descuento sobre subtotal]]-PROVEEDORES[[#This Row],[Descuento sobre subtotal $2]]-PROVEEDORES[[#This Row],[Rete Fuente $]]</f>
        <v>584290</v>
      </c>
      <c r="S76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68">
        <f ca="1">IF(PROVEEDORES[[#This Row],[FECHA DE PAGO]]=0,TODAY()-PROVEEDORES[[#This Row],[FECHA DE FACTURACIÓN]]-PROVEEDORES[[#This Row],[PLAZO Días]],0)</f>
        <v>0</v>
      </c>
      <c r="U769" s="113">
        <f>+VLOOKUP(PROVEEDORES[[#This Row],[PROVEEDOR]],Terceros!$A:$D,4,FALSE)</f>
        <v>0</v>
      </c>
      <c r="V769" s="114">
        <f>+YEAR(PROVEEDORES[[#This Row],[FECHA DE FACTURACIÓN]])</f>
        <v>2022</v>
      </c>
      <c r="W769" s="114">
        <f>+MATCH(PROVEEDORES[[#This Row],[año facturado]],Retenciones!$1:$1,0)</f>
        <v>5</v>
      </c>
      <c r="X769" s="115">
        <f>+VLOOKUP(PROVEEDORES[[#This Row],[ID RETENCION]],Retenciones!$A$1:$O$25,PROVEEDORES[[#This Row],[indicador de columna]],FALSE)</f>
        <v>0</v>
      </c>
      <c r="Y769" s="116">
        <f>+VLOOKUP(PROVEEDORES[[#This Row],[ID RETENCION]],Retenciones!$A$1:$O$25,2,FALSE)</f>
        <v>0</v>
      </c>
      <c r="Z769" s="125" t="b">
        <f>OR(COUNTIF(PROVEEDORES[[#This Row],[PROVEEDOR]],"*"&amp;'Palabra no opera'!$A$2&amp;"*"))</f>
        <v>0</v>
      </c>
      <c r="AA769" s="24"/>
      <c r="AB769" s="24"/>
      <c r="AC769" s="24"/>
      <c r="AD769" s="24"/>
      <c r="AE769" s="24"/>
    </row>
    <row r="770" spans="1:31" ht="22.2" customHeight="1" x14ac:dyDescent="0.3">
      <c r="A770" s="66" t="str">
        <f>+IF(PROVEEDORES[[#This Row],[FECHA DE PAGO]]=PROVEEDORES[[#This Row],[FECHA DE FACTURACIÓN]],"DE CONTADO","CRÉDITO")</f>
        <v>CRÉDITO</v>
      </c>
      <c r="B770" s="38" t="b">
        <f>+IF((PROVEEDORES[[#This Row],[FECHA DE PAGO]]-PROVEEDORES[[#This Row],[FECHA DE FACTURACIÓN]])&gt;PROVEEDORES[[#This Row],[PLAZO Días]],"PAGO VENCIDO")</f>
        <v>0</v>
      </c>
      <c r="C770" s="20">
        <f>+VLOOKUP(PROVEEDORES[[#This Row],[PROVEEDOR]],TERCEROS_INFO[#All],2,FALSE)</f>
        <v>30</v>
      </c>
      <c r="D770" s="25">
        <f>+SUMIFS(PROVEEDORES[Total],PROVEEDORES[PROVEEDOR],PROVEEDORES[[#This Row],[PROVEEDOR]],PROVEEDORES[FECHA DE PAGO],"")</f>
        <v>0</v>
      </c>
      <c r="E770" s="25"/>
      <c r="F77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70" s="161">
        <v>44459</v>
      </c>
      <c r="H770" s="26" t="s">
        <v>1451</v>
      </c>
      <c r="I770" s="161">
        <v>44453</v>
      </c>
      <c r="J770" s="35">
        <v>135</v>
      </c>
      <c r="K770" s="21">
        <v>592000</v>
      </c>
      <c r="L770" s="21"/>
      <c r="M770" s="22">
        <f>(PROVEEDORES[[#This Row],[SUBTOTAL]]-PROVEEDORES[[#This Row],[descuento sobre subtotal]])*VLOOKUP(PROVEEDORES[[#This Row],[PROVEEDOR]],TERCEROS_INFO[#All],3,FALSE)</f>
        <v>0</v>
      </c>
      <c r="N770" s="23"/>
      <c r="O770" s="22">
        <f>+PROVEEDORES[[#This Row],[Descuento sobre subtotal %]]*(PROVEEDORES[[#This Row],[SUBTOTAL]]-PROVEEDORES[[#This Row],[descuento sobre subtotal]])</f>
        <v>0</v>
      </c>
      <c r="P770" s="83">
        <f>+IF(PROVEEDORES[[#This Row],[SUBTOTAL]]&lt;PROVEEDORES[[#This Row],[base retencion]],0,PROVEEDORES[[#This Row],[retención aplicada]])</f>
        <v>0.01</v>
      </c>
      <c r="Q770" s="22">
        <f>+PROVEEDORES[[#This Row],[Rete Fuente %]]*(PROVEEDORES[[#This Row],[SUBTOTAL]]-PROVEEDORES[[#This Row],[descuento sobre subtotal]])</f>
        <v>5920</v>
      </c>
      <c r="R770" s="21">
        <f>+PROVEEDORES[[#This Row],[SUBTOTAL]]+PROVEEDORES[[#This Row],[IVA 19%]]-PROVEEDORES[[#This Row],[descuento sobre subtotal]]-PROVEEDORES[[#This Row],[Descuento sobre subtotal $2]]-PROVEEDORES[[#This Row],[Rete Fuente $]]</f>
        <v>586080</v>
      </c>
      <c r="S7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68">
        <f ca="1">IF(PROVEEDORES[[#This Row],[FECHA DE PAGO]]=0,TODAY()-PROVEEDORES[[#This Row],[FECHA DE FACTURACIÓN]]-PROVEEDORES[[#This Row],[PLAZO Días]],0)</f>
        <v>0</v>
      </c>
      <c r="U770" s="96" t="str">
        <f>+VLOOKUP(PROVEEDORES[[#This Row],[PROVEEDOR]],Terceros!$A:$D,4,FALSE)</f>
        <v>1% con base</v>
      </c>
      <c r="V770" s="97">
        <f>+YEAR(PROVEEDORES[[#This Row],[FECHA DE FACTURACIÓN]])</f>
        <v>2021</v>
      </c>
      <c r="W770" s="97">
        <f>+MATCH(PROVEEDORES[[#This Row],[año facturado]],Retenciones!$1:$1,0)</f>
        <v>4</v>
      </c>
      <c r="X770" s="98">
        <f>+VLOOKUP(PROVEEDORES[[#This Row],[ID RETENCION]],Retenciones!$A$1:$O$25,PROVEEDORES[[#This Row],[indicador de columna]],FALSE)</f>
        <v>145000</v>
      </c>
      <c r="Y770" s="99">
        <f>+VLOOKUP(PROVEEDORES[[#This Row],[ID RETENCION]],Retenciones!$A$1:$O$25,2,FALSE)</f>
        <v>0.01</v>
      </c>
      <c r="Z770" s="125" t="b">
        <f>OR(COUNTIF(PROVEEDORES[[#This Row],[PROVEEDOR]],"*"&amp;'Palabra no opera'!$A$2&amp;"*"))</f>
        <v>0</v>
      </c>
      <c r="AA770" s="24"/>
      <c r="AB770" s="24"/>
      <c r="AC770" s="24"/>
      <c r="AD770" s="24"/>
      <c r="AE770" s="24"/>
    </row>
    <row r="771" spans="1:31" ht="22.2" customHeight="1" x14ac:dyDescent="0.3">
      <c r="A771" s="66" t="str">
        <f>+IF(PROVEEDORES[[#This Row],[FECHA DE PAGO]]=PROVEEDORES[[#This Row],[FECHA DE FACTURACIÓN]],"DE CONTADO","CRÉDITO")</f>
        <v>CRÉDITO</v>
      </c>
      <c r="B771" s="38" t="str">
        <f>+IF((PROVEEDORES[[#This Row],[FECHA DE PAGO]]-PROVEEDORES[[#This Row],[FECHA DE FACTURACIÓN]])&gt;PROVEEDORES[[#This Row],[PLAZO Días]],"PAGO VENCIDO")</f>
        <v>PAGO VENCIDO</v>
      </c>
      <c r="C771" s="20">
        <f>+VLOOKUP(PROVEEDORES[[#This Row],[PROVEEDOR]],TERCEROS_INFO[#All],2,FALSE)</f>
        <v>45</v>
      </c>
      <c r="D771" s="25">
        <f>+SUMIFS(PROVEEDORES[Total],PROVEEDORES[PROVEEDOR],PROVEEDORES[[#This Row],[PROVEEDOR]],PROVEEDORES[FECHA DE PAGO],"")</f>
        <v>2604910</v>
      </c>
      <c r="E771" s="25"/>
      <c r="F77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71" s="161">
        <v>44411</v>
      </c>
      <c r="H771" s="26" t="s">
        <v>10</v>
      </c>
      <c r="I771" s="161">
        <v>44348</v>
      </c>
      <c r="J771" s="35" t="s">
        <v>342</v>
      </c>
      <c r="K771" s="21">
        <v>495000</v>
      </c>
      <c r="L771" s="21"/>
      <c r="M771" s="22">
        <f>(PROVEEDORES[[#This Row],[SUBTOTAL]]-PROVEEDORES[[#This Row],[descuento sobre subtotal]])*VLOOKUP(PROVEEDORES[[#This Row],[PROVEEDOR]],TERCEROS_INFO[#All],3,FALSE)</f>
        <v>94050</v>
      </c>
      <c r="N771" s="23"/>
      <c r="O771" s="22">
        <f>+PROVEEDORES[[#This Row],[Descuento sobre subtotal %]]*(PROVEEDORES[[#This Row],[SUBTOTAL]]-PROVEEDORES[[#This Row],[descuento sobre subtotal]])</f>
        <v>0</v>
      </c>
      <c r="P771" s="83">
        <f>+IF(PROVEEDORES[[#This Row],[SUBTOTAL]]&lt;PROVEEDORES[[#This Row],[base retencion]],0,PROVEEDORES[[#This Row],[retención aplicada]])</f>
        <v>0</v>
      </c>
      <c r="Q771" s="22">
        <f>+PROVEEDORES[[#This Row],[Rete Fuente %]]*(PROVEEDORES[[#This Row],[SUBTOTAL]]-PROVEEDORES[[#This Row],[descuento sobre subtotal]])</f>
        <v>0</v>
      </c>
      <c r="R771" s="21">
        <f>+PROVEEDORES[[#This Row],[SUBTOTAL]]+PROVEEDORES[[#This Row],[IVA 19%]]-PROVEEDORES[[#This Row],[descuento sobre subtotal]]-PROVEEDORES[[#This Row],[Descuento sobre subtotal $2]]-PROVEEDORES[[#This Row],[Rete Fuente $]]</f>
        <v>589050</v>
      </c>
      <c r="S7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68">
        <f ca="1">IF(PROVEEDORES[[#This Row],[FECHA DE PAGO]]=0,TODAY()-PROVEEDORES[[#This Row],[FECHA DE FACTURACIÓN]]-PROVEEDORES[[#This Row],[PLAZO Días]],0)</f>
        <v>0</v>
      </c>
      <c r="U771" s="96">
        <f>+VLOOKUP(PROVEEDORES[[#This Row],[PROVEEDOR]],Terceros!$A:$D,4,FALSE)</f>
        <v>0</v>
      </c>
      <c r="V771" s="97">
        <f>+YEAR(PROVEEDORES[[#This Row],[FECHA DE FACTURACIÓN]])</f>
        <v>2021</v>
      </c>
      <c r="W771" s="97">
        <f>+MATCH(PROVEEDORES[[#This Row],[año facturado]],Retenciones!$1:$1,0)</f>
        <v>4</v>
      </c>
      <c r="X771" s="98">
        <f>+VLOOKUP(PROVEEDORES[[#This Row],[ID RETENCION]],Retenciones!$A$1:$O$25,PROVEEDORES[[#This Row],[indicador de columna]],FALSE)</f>
        <v>0</v>
      </c>
      <c r="Y771" s="99">
        <f>+VLOOKUP(PROVEEDORES[[#This Row],[ID RETENCION]],Retenciones!$A$1:$O$25,2,FALSE)</f>
        <v>0</v>
      </c>
      <c r="Z771" s="125" t="b">
        <f>OR(COUNTIF(PROVEEDORES[[#This Row],[PROVEEDOR]],"*"&amp;'Palabra no opera'!$A$2&amp;"*"))</f>
        <v>0</v>
      </c>
      <c r="AA771" s="24"/>
      <c r="AB771" s="24"/>
      <c r="AC771" s="24"/>
      <c r="AD771" s="24"/>
      <c r="AE771" s="24"/>
    </row>
    <row r="772" spans="1:31" ht="22.2" customHeight="1" x14ac:dyDescent="0.3">
      <c r="A772" s="144" t="str">
        <f>+IF(PROVEEDORES[[#This Row],[FECHA DE PAGO]]=PROVEEDORES[[#This Row],[FECHA DE FACTURACIÓN]],"DE CONTADO","CRÉDITO")</f>
        <v>CRÉDITO</v>
      </c>
      <c r="B772" s="38" t="b">
        <f>+IF((PROVEEDORES[[#This Row],[FECHA DE PAGO]]-PROVEEDORES[[#This Row],[FECHA DE FACTURACIÓN]])&gt;PROVEEDORES[[#This Row],[PLAZO Días]],"PAGO VENCIDO")</f>
        <v>0</v>
      </c>
      <c r="C772" s="20">
        <f>+VLOOKUP(PROVEEDORES[[#This Row],[PROVEEDOR]],TERCEROS_INFO[#All],2,FALSE)</f>
        <v>30</v>
      </c>
      <c r="D772" s="25">
        <f>+SUMIFS(PROVEEDORES[Total],PROVEEDORES[PROVEEDOR],PROVEEDORES[[#This Row],[PROVEEDOR]],PROVEEDORES[FECHA DE PAGO],"")</f>
        <v>1468491.82</v>
      </c>
      <c r="E772" s="25"/>
      <c r="F772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772" s="161">
        <v>44733</v>
      </c>
      <c r="H772" s="26" t="s">
        <v>1638</v>
      </c>
      <c r="I772" s="161">
        <v>44705</v>
      </c>
      <c r="J772" s="35" t="s">
        <v>981</v>
      </c>
      <c r="K772" s="21">
        <v>499160.34</v>
      </c>
      <c r="L772" s="21"/>
      <c r="M772" s="22">
        <f>(PROVEEDORES[[#This Row],[SUBTOTAL]]-PROVEEDORES[[#This Row],[descuento sobre subtotal]])*VLOOKUP(PROVEEDORES[[#This Row],[PROVEEDOR]],TERCEROS_INFO[#All],3,FALSE)</f>
        <v>94840.464600000007</v>
      </c>
      <c r="N772" s="23"/>
      <c r="O772" s="22">
        <f>+PROVEEDORES[[#This Row],[Descuento sobre subtotal %]]*(PROVEEDORES[[#This Row],[SUBTOTAL]]-PROVEEDORES[[#This Row],[descuento sobre subtotal]])</f>
        <v>0</v>
      </c>
      <c r="P772" s="83">
        <f>+IF(PROVEEDORES[[#This Row],[SUBTOTAL]]&lt;PROVEEDORES[[#This Row],[base retencion]],0,PROVEEDORES[[#This Row],[retención aplicada]])</f>
        <v>0</v>
      </c>
      <c r="Q772" s="22">
        <f>+PROVEEDORES[[#This Row],[Rete Fuente %]]*(PROVEEDORES[[#This Row],[SUBTOTAL]]-PROVEEDORES[[#This Row],[descuento sobre subtotal]])</f>
        <v>0</v>
      </c>
      <c r="R772" s="21">
        <f>+PROVEEDORES[[#This Row],[SUBTOTAL]]+PROVEEDORES[[#This Row],[IVA 19%]]-PROVEEDORES[[#This Row],[descuento sobre subtotal]]-PROVEEDORES[[#This Row],[Descuento sobre subtotal $2]]-PROVEEDORES[[#This Row],[Rete Fuente $]]</f>
        <v>594000.80460000003</v>
      </c>
      <c r="S772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68">
        <f ca="1">IF(PROVEEDORES[[#This Row],[FECHA DE PAGO]]=0,TODAY()-PROVEEDORES[[#This Row],[FECHA DE FACTURACIÓN]]-PROVEEDORES[[#This Row],[PLAZO Días]],0)</f>
        <v>0</v>
      </c>
      <c r="U772" s="113" t="str">
        <f>+VLOOKUP(PROVEEDORES[[#This Row],[PROVEEDOR]],Terceros!$A:$D,4,FALSE)</f>
        <v>2,5% con base</v>
      </c>
      <c r="V772" s="114">
        <f>+YEAR(PROVEEDORES[[#This Row],[FECHA DE FACTURACIÓN]])</f>
        <v>2022</v>
      </c>
      <c r="W772" s="114">
        <f>+MATCH(PROVEEDORES[[#This Row],[año facturado]],Retenciones!$1:$1,0)</f>
        <v>5</v>
      </c>
      <c r="X772" s="115">
        <f>+VLOOKUP(PROVEEDORES[[#This Row],[ID RETENCION]],Retenciones!$A$1:$O$25,PROVEEDORES[[#This Row],[indicador de columna]],FALSE)</f>
        <v>1026000</v>
      </c>
      <c r="Y772" s="116">
        <f>+VLOOKUP(PROVEEDORES[[#This Row],[ID RETENCION]],Retenciones!$A$1:$O$25,2,FALSE)</f>
        <v>2.5000000000000001E-2</v>
      </c>
      <c r="Z772" s="125" t="b">
        <f>OR(COUNTIF(PROVEEDORES[[#This Row],[PROVEEDOR]],"*"&amp;'Palabra no opera'!$A$2&amp;"*"))</f>
        <v>0</v>
      </c>
      <c r="AA772" s="24"/>
      <c r="AB772" s="24"/>
      <c r="AC772" s="24"/>
      <c r="AD772" s="24"/>
      <c r="AE772" s="24"/>
    </row>
    <row r="773" spans="1:31" ht="22.2" customHeight="1" x14ac:dyDescent="0.3">
      <c r="A773" s="72" t="str">
        <f>+IF(PROVEEDORES[[#This Row],[FECHA DE PAGO]]=PROVEEDORES[[#This Row],[FECHA DE FACTURACIÓN]],"DE CONTADO","CRÉDITO")</f>
        <v>DE CONTADO</v>
      </c>
      <c r="B773" s="38" t="b">
        <f>+IF((PROVEEDORES[[#This Row],[FECHA DE PAGO]]-PROVEEDORES[[#This Row],[FECHA DE FACTURACIÓN]])&gt;PROVEEDORES[[#This Row],[PLAZO Días]],"PAGO VENCIDO")</f>
        <v>0</v>
      </c>
      <c r="C773" s="20">
        <f>+VLOOKUP(PROVEEDORES[[#This Row],[PROVEEDOR]],TERCEROS_INFO[#All],2,FALSE)</f>
        <v>30</v>
      </c>
      <c r="D773" s="25">
        <f>+SUMIFS(PROVEEDORES[Total],PROVEEDORES[PROVEEDOR],PROVEEDORES[[#This Row],[PROVEEDOR]],PROVEEDORES[FECHA DE PAGO],"")</f>
        <v>0</v>
      </c>
      <c r="E773" s="25"/>
      <c r="F773" s="58" t="str">
        <f>+VLOOKUP(PROVEEDORES[[#This Row],[PROVEEDOR]],
                       Terceros!$A:$F,
                       5,
                       FALSE)</f>
        <v/>
      </c>
      <c r="G773" s="161">
        <v>44712</v>
      </c>
      <c r="H773" s="26" t="s">
        <v>644</v>
      </c>
      <c r="I773" s="161">
        <v>44712</v>
      </c>
      <c r="J773" s="35" t="s">
        <v>174</v>
      </c>
      <c r="K773" s="21">
        <v>594600</v>
      </c>
      <c r="L773" s="21"/>
      <c r="M773" s="22">
        <f>(PROVEEDORES[[#This Row],[SUBTOTAL]]-PROVEEDORES[[#This Row],[descuento sobre subtotal]])*VLOOKUP(PROVEEDORES[[#This Row],[PROVEEDOR]],TERCEROS_INFO[#All],3,FALSE)</f>
        <v>0</v>
      </c>
      <c r="N773" s="23"/>
      <c r="O773" s="22">
        <f>+PROVEEDORES[[#This Row],[Descuento sobre subtotal %]]*(PROVEEDORES[[#This Row],[SUBTOTAL]]-PROVEEDORES[[#This Row],[descuento sobre subtotal]])</f>
        <v>0</v>
      </c>
      <c r="P773" s="83">
        <f>+IF(PROVEEDORES[[#This Row],[SUBTOTAL]]&lt;PROVEEDORES[[#This Row],[base retencion]],0,PROVEEDORES[[#This Row],[retención aplicada]])</f>
        <v>0</v>
      </c>
      <c r="Q773" s="22">
        <f>+PROVEEDORES[[#This Row],[Rete Fuente %]]*(PROVEEDORES[[#This Row],[SUBTOTAL]]-PROVEEDORES[[#This Row],[descuento sobre subtotal]])</f>
        <v>0</v>
      </c>
      <c r="R773" s="21">
        <f>+PROVEEDORES[[#This Row],[SUBTOTAL]]+PROVEEDORES[[#This Row],[IVA 19%]]-PROVEEDORES[[#This Row],[descuento sobre subtotal]]-PROVEEDORES[[#This Row],[Descuento sobre subtotal $2]]-PROVEEDORES[[#This Row],[Rete Fuente $]]</f>
        <v>594600</v>
      </c>
      <c r="S77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68">
        <f ca="1">IF(PROVEEDORES[[#This Row],[FECHA DE PAGO]]=0,TODAY()-PROVEEDORES[[#This Row],[FECHA DE FACTURACIÓN]]-PROVEEDORES[[#This Row],[PLAZO Días]],0)</f>
        <v>0</v>
      </c>
      <c r="U773" s="113">
        <f>+VLOOKUP(PROVEEDORES[[#This Row],[PROVEEDOR]],Terceros!$A:$D,4,FALSE)</f>
        <v>0</v>
      </c>
      <c r="V773" s="114">
        <f>+YEAR(PROVEEDORES[[#This Row],[FECHA DE FACTURACIÓN]])</f>
        <v>2022</v>
      </c>
      <c r="W773" s="114">
        <f>+MATCH(PROVEEDORES[[#This Row],[año facturado]],Retenciones!$1:$1,0)</f>
        <v>5</v>
      </c>
      <c r="X773" s="115">
        <f>+VLOOKUP(PROVEEDORES[[#This Row],[ID RETENCION]],Retenciones!$A$1:$O$25,PROVEEDORES[[#This Row],[indicador de columna]],FALSE)</f>
        <v>0</v>
      </c>
      <c r="Y773" s="116">
        <f>+VLOOKUP(PROVEEDORES[[#This Row],[ID RETENCION]],Retenciones!$A$1:$O$25,2,FALSE)</f>
        <v>0</v>
      </c>
      <c r="Z773" s="125" t="b">
        <f>OR(COUNTIF(PROVEEDORES[[#This Row],[PROVEEDOR]],"*"&amp;'Palabra no opera'!$A$2&amp;"*"))</f>
        <v>0</v>
      </c>
      <c r="AA773" s="24"/>
      <c r="AB773" s="24"/>
      <c r="AC773" s="24"/>
      <c r="AD773" s="24"/>
      <c r="AE773" s="24"/>
    </row>
    <row r="774" spans="1:31" ht="22.2" customHeight="1" x14ac:dyDescent="0.3">
      <c r="A774" s="159" t="str">
        <f>+IF(PROVEEDORES[[#This Row],[FECHA DE PAGO]]=PROVEEDORES[[#This Row],[FECHA DE FACTURACIÓN]],"DE CONTADO","CRÉDITO")</f>
        <v>DE CONTADO</v>
      </c>
      <c r="B774" s="38" t="b">
        <f>+IF((PROVEEDORES[[#This Row],[FECHA DE PAGO]]-PROVEEDORES[[#This Row],[FECHA DE FACTURACIÓN]])&gt;PROVEEDORES[[#This Row],[PLAZO Días]],"PAGO VENCIDO")</f>
        <v>0</v>
      </c>
      <c r="C774" s="20">
        <f>+VLOOKUP(PROVEEDORES[[#This Row],[PROVEEDOR]],TERCEROS_INFO[#All],2,FALSE)</f>
        <v>30</v>
      </c>
      <c r="D774" s="25">
        <f>+SUMIFS(PROVEEDORES[Total],PROVEEDORES[PROVEEDOR],PROVEEDORES[[#This Row],[PROVEEDOR]],PROVEEDORES[FECHA DE PAGO],"")</f>
        <v>0</v>
      </c>
      <c r="E774" s="25"/>
      <c r="F774" s="58">
        <f>+VLOOKUP(PROVEEDORES[[#This Row],[PROVEEDOR]],
                       Terceros!$A:$F,
                       5,
                       FALSE)</f>
        <v>0</v>
      </c>
      <c r="G774" s="161">
        <v>44726</v>
      </c>
      <c r="H774" s="26" t="s">
        <v>1030</v>
      </c>
      <c r="I774" s="161">
        <v>44726</v>
      </c>
      <c r="J774" s="35" t="s">
        <v>1045</v>
      </c>
      <c r="K774" s="21">
        <v>499800</v>
      </c>
      <c r="L774" s="21"/>
      <c r="M774" s="22">
        <f>(PROVEEDORES[[#This Row],[SUBTOTAL]]-PROVEEDORES[[#This Row],[descuento sobre subtotal]])*VLOOKUP(PROVEEDORES[[#This Row],[PROVEEDOR]],TERCEROS_INFO[#All],3,FALSE)</f>
        <v>94962</v>
      </c>
      <c r="N774" s="23"/>
      <c r="O774" s="22">
        <f>+PROVEEDORES[[#This Row],[Descuento sobre subtotal %]]*(PROVEEDORES[[#This Row],[SUBTOTAL]]-PROVEEDORES[[#This Row],[descuento sobre subtotal]])</f>
        <v>0</v>
      </c>
      <c r="P774" s="83">
        <f>+IF(PROVEEDORES[[#This Row],[SUBTOTAL]]&lt;PROVEEDORES[[#This Row],[base retencion]],0,PROVEEDORES[[#This Row],[retención aplicada]])</f>
        <v>0</v>
      </c>
      <c r="Q774" s="22">
        <f>+PROVEEDORES[[#This Row],[Rete Fuente %]]*(PROVEEDORES[[#This Row],[SUBTOTAL]]-PROVEEDORES[[#This Row],[descuento sobre subtotal]])</f>
        <v>0</v>
      </c>
      <c r="R774" s="21">
        <f>+PROVEEDORES[[#This Row],[SUBTOTAL]]+PROVEEDORES[[#This Row],[IVA 19%]]-PROVEEDORES[[#This Row],[descuento sobre subtotal]]-PROVEEDORES[[#This Row],[Descuento sobre subtotal $2]]-PROVEEDORES[[#This Row],[Rete Fuente $]]</f>
        <v>594762</v>
      </c>
      <c r="S77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68">
        <f ca="1">IF(PROVEEDORES[[#This Row],[FECHA DE PAGO]]=0,TODAY()-PROVEEDORES[[#This Row],[FECHA DE FACTURACIÓN]]-PROVEEDORES[[#This Row],[PLAZO Días]],0)</f>
        <v>0</v>
      </c>
      <c r="U774" s="113" t="str">
        <f>+VLOOKUP(PROVEEDORES[[#This Row],[PROVEEDOR]],Terceros!$A:$D,4,FALSE)</f>
        <v>2,5% con base</v>
      </c>
      <c r="V774" s="114">
        <f>+YEAR(PROVEEDORES[[#This Row],[FECHA DE FACTURACIÓN]])</f>
        <v>2022</v>
      </c>
      <c r="W774" s="114">
        <f>+MATCH(PROVEEDORES[[#This Row],[año facturado]],Retenciones!$1:$1,0)</f>
        <v>5</v>
      </c>
      <c r="X774" s="115">
        <f>+VLOOKUP(PROVEEDORES[[#This Row],[ID RETENCION]],Retenciones!$A$1:$O$25,PROVEEDORES[[#This Row],[indicador de columna]],FALSE)</f>
        <v>1026000</v>
      </c>
      <c r="Y774" s="116">
        <f>+VLOOKUP(PROVEEDORES[[#This Row],[ID RETENCION]],Retenciones!$A$1:$O$25,2,FALSE)</f>
        <v>2.5000000000000001E-2</v>
      </c>
      <c r="Z774" s="125" t="b">
        <f>OR(COUNTIF(PROVEEDORES[[#This Row],[PROVEEDOR]],"*"&amp;'Palabra no opera'!$A$2&amp;"*"))</f>
        <v>0</v>
      </c>
      <c r="AA774" s="24"/>
      <c r="AB774" s="24"/>
      <c r="AC774" s="24"/>
      <c r="AD774" s="24"/>
      <c r="AE774" s="24"/>
    </row>
    <row r="775" spans="1:31" ht="22.2" customHeight="1" x14ac:dyDescent="0.3">
      <c r="A775" s="66" t="str">
        <f>+IF(PROVEEDORES[[#This Row],[FECHA DE PAGO]]=PROVEEDORES[[#This Row],[FECHA DE FACTURACIÓN]],"DE CONTADO","CRÉDITO")</f>
        <v>CRÉDITO</v>
      </c>
      <c r="B775" s="38" t="str">
        <f>+IF((PROVEEDORES[[#This Row],[FECHA DE PAGO]]-PROVEEDORES[[#This Row],[FECHA DE FACTURACIÓN]])&gt;PROVEEDORES[[#This Row],[PLAZO Días]],"PAGO VENCIDO")</f>
        <v>PAGO VENCIDO</v>
      </c>
      <c r="C775" s="20">
        <f>+VLOOKUP(PROVEEDORES[[#This Row],[PROVEEDOR]],TERCEROS_INFO[#All],2,FALSE)</f>
        <v>30</v>
      </c>
      <c r="D775" s="25">
        <f>+SUMIFS(PROVEEDORES[Total],PROVEEDORES[PROVEEDOR],PROVEEDORES[[#This Row],[PROVEEDOR]],PROVEEDORES[FECHA DE PAGO],"")</f>
        <v>0</v>
      </c>
      <c r="E775" s="25"/>
      <c r="F775" s="58" t="str">
        <f>+VLOOKUP(PROVEEDORES[[#This Row],[PROVEEDOR]],
                       Terceros!$A:$F,
                       5,
                       FALSE)</f>
        <v/>
      </c>
      <c r="G775" s="161">
        <v>44340</v>
      </c>
      <c r="H775" s="26" t="s">
        <v>624</v>
      </c>
      <c r="I775" s="161">
        <v>44243</v>
      </c>
      <c r="J775" s="35" t="s">
        <v>1453</v>
      </c>
      <c r="K775" s="21">
        <v>595000</v>
      </c>
      <c r="L775" s="21"/>
      <c r="M775" s="22">
        <f>(PROVEEDORES[[#This Row],[SUBTOTAL]]-PROVEEDORES[[#This Row],[descuento sobre subtotal]])*VLOOKUP(PROVEEDORES[[#This Row],[PROVEEDOR]],TERCEROS_INFO[#All],3,FALSE)</f>
        <v>0</v>
      </c>
      <c r="N775" s="23"/>
      <c r="O775" s="22">
        <f>+PROVEEDORES[[#This Row],[Descuento sobre subtotal %]]*(PROVEEDORES[[#This Row],[SUBTOTAL]]-PROVEEDORES[[#This Row],[descuento sobre subtotal]])</f>
        <v>0</v>
      </c>
      <c r="P775" s="83">
        <f>+IF(PROVEEDORES[[#This Row],[SUBTOTAL]]&lt;PROVEEDORES[[#This Row],[base retencion]],0,PROVEEDORES[[#This Row],[retención aplicada]])</f>
        <v>0</v>
      </c>
      <c r="Q775" s="22">
        <f>+PROVEEDORES[[#This Row],[Rete Fuente %]]*(PROVEEDORES[[#This Row],[SUBTOTAL]]-PROVEEDORES[[#This Row],[descuento sobre subtotal]])</f>
        <v>0</v>
      </c>
      <c r="R775" s="21">
        <f>+PROVEEDORES[[#This Row],[SUBTOTAL]]+PROVEEDORES[[#This Row],[IVA 19%]]-PROVEEDORES[[#This Row],[descuento sobre subtotal]]-PROVEEDORES[[#This Row],[Descuento sobre subtotal $2]]-PROVEEDORES[[#This Row],[Rete Fuente $]]</f>
        <v>595000</v>
      </c>
      <c r="S7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68">
        <f ca="1">IF(PROVEEDORES[[#This Row],[FECHA DE PAGO]]=0,TODAY()-PROVEEDORES[[#This Row],[FECHA DE FACTURACIÓN]]-PROVEEDORES[[#This Row],[PLAZO Días]],0)</f>
        <v>0</v>
      </c>
      <c r="U775" s="96">
        <f>+VLOOKUP(PROVEEDORES[[#This Row],[PROVEEDOR]],Terceros!$A:$D,4,FALSE)</f>
        <v>0</v>
      </c>
      <c r="V775" s="97">
        <f>+YEAR(PROVEEDORES[[#This Row],[FECHA DE FACTURACIÓN]])</f>
        <v>2021</v>
      </c>
      <c r="W775" s="97">
        <f>+MATCH(PROVEEDORES[[#This Row],[año facturado]],Retenciones!$1:$1,0)</f>
        <v>4</v>
      </c>
      <c r="X775" s="98">
        <f>+VLOOKUP(PROVEEDORES[[#This Row],[ID RETENCION]],Retenciones!$A$1:$O$25,PROVEEDORES[[#This Row],[indicador de columna]],FALSE)</f>
        <v>0</v>
      </c>
      <c r="Y775" s="99">
        <f>+VLOOKUP(PROVEEDORES[[#This Row],[ID RETENCION]],Retenciones!$A$1:$O$25,2,FALSE)</f>
        <v>0</v>
      </c>
      <c r="Z775" s="125" t="b">
        <f>OR(COUNTIF(PROVEEDORES[[#This Row],[PROVEEDOR]],"*"&amp;'Palabra no opera'!$A$2&amp;"*"))</f>
        <v>0</v>
      </c>
      <c r="AA775" s="24"/>
      <c r="AB775" s="24"/>
      <c r="AC775" s="24"/>
      <c r="AD775" s="24"/>
      <c r="AE775" s="24"/>
    </row>
    <row r="776" spans="1:31" ht="22.2" customHeight="1" x14ac:dyDescent="0.3">
      <c r="A776" s="66" t="str">
        <f>+IF(PROVEEDORES[[#This Row],[FECHA DE PAGO]]=PROVEEDORES[[#This Row],[FECHA DE FACTURACIÓN]],"DE CONTADO","CRÉDITO")</f>
        <v>CRÉDITO</v>
      </c>
      <c r="B776" s="38" t="str">
        <f>+IF((PROVEEDORES[[#This Row],[FECHA DE PAGO]]-PROVEEDORES[[#This Row],[FECHA DE FACTURACIÓN]])&gt;PROVEEDORES[[#This Row],[PLAZO Días]],"PAGO VENCIDO")</f>
        <v>PAGO VENCIDO</v>
      </c>
      <c r="C776" s="20">
        <f>+VLOOKUP(PROVEEDORES[[#This Row],[PROVEEDOR]],TERCEROS_INFO[#All],2,FALSE)</f>
        <v>30</v>
      </c>
      <c r="D776" s="25">
        <f>+SUMIFS(PROVEEDORES[Total],PROVEEDORES[PROVEEDOR],PROVEEDORES[[#This Row],[PROVEEDOR]],PROVEEDORES[FECHA DE PAGO],"")</f>
        <v>23124164.219999999</v>
      </c>
      <c r="E776" s="25"/>
      <c r="F77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76" s="161">
        <v>44312</v>
      </c>
      <c r="H776" s="26" t="s">
        <v>18</v>
      </c>
      <c r="I776" s="161">
        <v>44265</v>
      </c>
      <c r="J776" s="35">
        <v>1035528</v>
      </c>
      <c r="K776" s="21">
        <v>500285.04</v>
      </c>
      <c r="L776" s="21"/>
      <c r="M776" s="22">
        <f>(PROVEEDORES[[#This Row],[SUBTOTAL]]-PROVEEDORES[[#This Row],[descuento sobre subtotal]])*VLOOKUP(PROVEEDORES[[#This Row],[PROVEEDOR]],TERCEROS_INFO[#All],3,FALSE)</f>
        <v>95054.157599999991</v>
      </c>
      <c r="N776" s="23"/>
      <c r="O776" s="22">
        <f>+PROVEEDORES[[#This Row],[Descuento sobre subtotal %]]*(PROVEEDORES[[#This Row],[SUBTOTAL]]-PROVEEDORES[[#This Row],[descuento sobre subtotal]])</f>
        <v>0</v>
      </c>
      <c r="P776" s="83">
        <f>+IF(PROVEEDORES[[#This Row],[SUBTOTAL]]&lt;PROVEEDORES[[#This Row],[base retencion]],0,PROVEEDORES[[#This Row],[retención aplicada]])</f>
        <v>0</v>
      </c>
      <c r="Q776" s="22">
        <f>+PROVEEDORES[[#This Row],[Rete Fuente %]]*(PROVEEDORES[[#This Row],[SUBTOTAL]]-PROVEEDORES[[#This Row],[descuento sobre subtotal]])</f>
        <v>0</v>
      </c>
      <c r="R776" s="21">
        <f>+PROVEEDORES[[#This Row],[SUBTOTAL]]+PROVEEDORES[[#This Row],[IVA 19%]]-PROVEEDORES[[#This Row],[descuento sobre subtotal]]-PROVEEDORES[[#This Row],[Descuento sobre subtotal $2]]-PROVEEDORES[[#This Row],[Rete Fuente $]]</f>
        <v>595339.19759999996</v>
      </c>
      <c r="S7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68">
        <f ca="1">IF(PROVEEDORES[[#This Row],[FECHA DE PAGO]]=0,TODAY()-PROVEEDORES[[#This Row],[FECHA DE FACTURACIÓN]]-PROVEEDORES[[#This Row],[PLAZO Días]],0)</f>
        <v>0</v>
      </c>
      <c r="U776" s="96" t="str">
        <f>+VLOOKUP(PROVEEDORES[[#This Row],[PROVEEDOR]],Terceros!$A:$D,4,FALSE)</f>
        <v>2,5% con base</v>
      </c>
      <c r="V776" s="97">
        <f>+YEAR(PROVEEDORES[[#This Row],[FECHA DE FACTURACIÓN]])</f>
        <v>2021</v>
      </c>
      <c r="W776" s="97">
        <f>+MATCH(PROVEEDORES[[#This Row],[año facturado]],Retenciones!$1:$1,0)</f>
        <v>4</v>
      </c>
      <c r="X776" s="98">
        <f>+VLOOKUP(PROVEEDORES[[#This Row],[ID RETENCION]],Retenciones!$A$1:$O$25,PROVEEDORES[[#This Row],[indicador de columna]],FALSE)</f>
        <v>980000</v>
      </c>
      <c r="Y776" s="99">
        <f>+VLOOKUP(PROVEEDORES[[#This Row],[ID RETENCION]],Retenciones!$A$1:$O$25,2,FALSE)</f>
        <v>2.5000000000000001E-2</v>
      </c>
      <c r="Z776" s="125" t="b">
        <f>OR(COUNTIF(PROVEEDORES[[#This Row],[PROVEEDOR]],"*"&amp;'Palabra no opera'!$A$2&amp;"*"))</f>
        <v>0</v>
      </c>
      <c r="AA776" s="24"/>
      <c r="AB776" s="24"/>
      <c r="AC776" s="24"/>
      <c r="AD776" s="24"/>
      <c r="AE776" s="24"/>
    </row>
    <row r="777" spans="1:31" ht="22.2" customHeight="1" x14ac:dyDescent="0.3">
      <c r="A777" s="66" t="str">
        <f>+IF(PROVEEDORES[[#This Row],[FECHA DE PAGO]]=PROVEEDORES[[#This Row],[FECHA DE FACTURACIÓN]],"DE CONTADO","CRÉDITO")</f>
        <v>CRÉDITO</v>
      </c>
      <c r="B777" s="38" t="str">
        <f>+IF((PROVEEDORES[[#This Row],[FECHA DE PAGO]]-PROVEEDORES[[#This Row],[FECHA DE FACTURACIÓN]])&gt;PROVEEDORES[[#This Row],[PLAZO Días]],"PAGO VENCIDO")</f>
        <v>PAGO VENCIDO</v>
      </c>
      <c r="C777" s="20">
        <f>+VLOOKUP(PROVEEDORES[[#This Row],[PROVEEDOR]],TERCEROS_INFO[#All],2,FALSE)</f>
        <v>30</v>
      </c>
      <c r="D777" s="25">
        <f>+SUMIFS(PROVEEDORES[Total],PROVEEDORES[PROVEEDOR],PROVEEDORES[[#This Row],[PROVEEDOR]],PROVEEDORES[FECHA DE PAGO],"")</f>
        <v>-101001.25</v>
      </c>
      <c r="E777" s="25"/>
      <c r="F777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777" s="161">
        <v>44614</v>
      </c>
      <c r="H777" s="26" t="s">
        <v>14</v>
      </c>
      <c r="I777" s="161">
        <v>44581</v>
      </c>
      <c r="J777" s="35" t="s">
        <v>770</v>
      </c>
      <c r="K777" s="21">
        <v>509250</v>
      </c>
      <c r="L777" s="21"/>
      <c r="M777" s="22">
        <v>96757.5</v>
      </c>
      <c r="N777" s="23">
        <v>0.02</v>
      </c>
      <c r="O777" s="22">
        <f>+PROVEEDORES[[#This Row],[Descuento sobre subtotal %]]*(PROVEEDORES[[#This Row],[SUBTOTAL]]-PROVEEDORES[[#This Row],[descuento sobre subtotal]])</f>
        <v>10185</v>
      </c>
      <c r="P777" s="83">
        <f>+IF(PROVEEDORES[[#This Row],[SUBTOTAL]]&lt;PROVEEDORES[[#This Row],[base retencion]],0,PROVEEDORES[[#This Row],[retención aplicada]])</f>
        <v>0</v>
      </c>
      <c r="Q777" s="22">
        <f>+PROVEEDORES[[#This Row],[Rete Fuente %]]*(PROVEEDORES[[#This Row],[SUBTOTAL]]-PROVEEDORES[[#This Row],[descuento sobre subtotal]])</f>
        <v>0</v>
      </c>
      <c r="R777" s="21">
        <v>595822.5</v>
      </c>
      <c r="S7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68">
        <f ca="1">IF(PROVEEDORES[[#This Row],[FECHA DE PAGO]]=0,TODAY()-PROVEEDORES[[#This Row],[FECHA DE FACTURACIÓN]]-PROVEEDORES[[#This Row],[PLAZO Días]],0)</f>
        <v>0</v>
      </c>
      <c r="U777" s="96" t="str">
        <f>+VLOOKUP(PROVEEDORES[[#This Row],[PROVEEDOR]],Terceros!$A:$D,4,FALSE)</f>
        <v>2,5% con base</v>
      </c>
      <c r="V777" s="97">
        <f>+YEAR(PROVEEDORES[[#This Row],[FECHA DE FACTURACIÓN]])</f>
        <v>2022</v>
      </c>
      <c r="W777" s="97">
        <f>+MATCH(PROVEEDORES[[#This Row],[año facturado]],Retenciones!$1:$1,0)</f>
        <v>5</v>
      </c>
      <c r="X777" s="98">
        <f>+VLOOKUP(PROVEEDORES[[#This Row],[ID RETENCION]],Retenciones!$A$1:$O$25,PROVEEDORES[[#This Row],[indicador de columna]],FALSE)</f>
        <v>1026000</v>
      </c>
      <c r="Y777" s="99">
        <f>+VLOOKUP(PROVEEDORES[[#This Row],[ID RETENCION]],Retenciones!$A$1:$O$25,2,FALSE)</f>
        <v>2.5000000000000001E-2</v>
      </c>
      <c r="Z777" s="125" t="b">
        <f>OR(COUNTIF(PROVEEDORES[[#This Row],[PROVEEDOR]],"*"&amp;'Palabra no opera'!$A$2&amp;"*"))</f>
        <v>0</v>
      </c>
      <c r="AA777" s="24"/>
      <c r="AB777" s="24"/>
      <c r="AC777" s="24"/>
      <c r="AD777" s="24"/>
      <c r="AE777" s="24"/>
    </row>
    <row r="778" spans="1:31" ht="22.2" customHeight="1" x14ac:dyDescent="0.3">
      <c r="A778" s="66" t="str">
        <f>+IF(PROVEEDORES[[#This Row],[FECHA DE PAGO]]=PROVEEDORES[[#This Row],[FECHA DE FACTURACIÓN]],"DE CONTADO","CRÉDITO")</f>
        <v>CRÉDITO</v>
      </c>
      <c r="B778" s="38" t="str">
        <f>+IF((PROVEEDORES[[#This Row],[FECHA DE PAGO]]-PROVEEDORES[[#This Row],[FECHA DE FACTURACIÓN]])&gt;PROVEEDORES[[#This Row],[PLAZO Días]],"PAGO VENCIDO")</f>
        <v>PAGO VENCIDO</v>
      </c>
      <c r="C778" s="20">
        <f>+VLOOKUP(PROVEEDORES[[#This Row],[PROVEEDOR]],TERCEROS_INFO[#All],2,FALSE)</f>
        <v>30</v>
      </c>
      <c r="D778" s="25">
        <f>+SUMIFS(PROVEEDORES[Total],PROVEEDORES[PROVEEDOR],PROVEEDORES[[#This Row],[PROVEEDOR]],PROVEEDORES[FECHA DE PAGO],"")</f>
        <v>1354000</v>
      </c>
      <c r="E778" s="25"/>
      <c r="F77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78" s="161">
        <v>44272</v>
      </c>
      <c r="H778" s="26" t="s">
        <v>699</v>
      </c>
      <c r="I778" s="161">
        <v>44175</v>
      </c>
      <c r="J778" s="35">
        <v>320167</v>
      </c>
      <c r="K778" s="21">
        <v>596000</v>
      </c>
      <c r="L778" s="21"/>
      <c r="M778" s="22">
        <f>(PROVEEDORES[[#This Row],[SUBTOTAL]]-PROVEEDORES[[#This Row],[descuento sobre subtotal]])*VLOOKUP(PROVEEDORES[[#This Row],[PROVEEDOR]],TERCEROS_INFO[#All],3,FALSE)</f>
        <v>0</v>
      </c>
      <c r="N778" s="23"/>
      <c r="O778" s="22">
        <f>+PROVEEDORES[[#This Row],[Descuento sobre subtotal %]]*(PROVEEDORES[[#This Row],[SUBTOTAL]]-PROVEEDORES[[#This Row],[descuento sobre subtotal]])</f>
        <v>0</v>
      </c>
      <c r="P778" s="83">
        <f>+IF(PROVEEDORES[[#This Row],[SUBTOTAL]]&lt;PROVEEDORES[[#This Row],[base retencion]],0,PROVEEDORES[[#This Row],[retención aplicada]])</f>
        <v>0</v>
      </c>
      <c r="Q778" s="22">
        <f>+PROVEEDORES[[#This Row],[Rete Fuente %]]*(PROVEEDORES[[#This Row],[SUBTOTAL]]-PROVEEDORES[[#This Row],[descuento sobre subtotal]])</f>
        <v>0</v>
      </c>
      <c r="R778" s="21">
        <f>+PROVEEDORES[[#This Row],[SUBTOTAL]]+PROVEEDORES[[#This Row],[IVA 19%]]-PROVEEDORES[[#This Row],[descuento sobre subtotal]]-PROVEEDORES[[#This Row],[Descuento sobre subtotal $2]]-PROVEEDORES[[#This Row],[Rete Fuente $]]</f>
        <v>596000</v>
      </c>
      <c r="S7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68">
        <f ca="1">IF(PROVEEDORES[[#This Row],[FECHA DE PAGO]]=0,TODAY()-PROVEEDORES[[#This Row],[FECHA DE FACTURACIÓN]]-PROVEEDORES[[#This Row],[PLAZO Días]],0)</f>
        <v>0</v>
      </c>
      <c r="U778" s="96">
        <f>+VLOOKUP(PROVEEDORES[[#This Row],[PROVEEDOR]],Terceros!$A:$D,4,FALSE)</f>
        <v>0</v>
      </c>
      <c r="V778" s="97">
        <f>+YEAR(PROVEEDORES[[#This Row],[FECHA DE FACTURACIÓN]])</f>
        <v>2020</v>
      </c>
      <c r="W778" s="97">
        <f>+MATCH(PROVEEDORES[[#This Row],[año facturado]],Retenciones!$1:$1,0)</f>
        <v>3</v>
      </c>
      <c r="X778" s="98">
        <f>+VLOOKUP(PROVEEDORES[[#This Row],[ID RETENCION]],Retenciones!$A$1:$O$25,PROVEEDORES[[#This Row],[indicador de columna]],FALSE)</f>
        <v>0</v>
      </c>
      <c r="Y778" s="99">
        <f>+VLOOKUP(PROVEEDORES[[#This Row],[ID RETENCION]],Retenciones!$A$1:$O$25,2,FALSE)</f>
        <v>0</v>
      </c>
      <c r="Z778" s="125" t="b">
        <f>OR(COUNTIF(PROVEEDORES[[#This Row],[PROVEEDOR]],"*"&amp;'Palabra no opera'!$A$2&amp;"*"))</f>
        <v>0</v>
      </c>
      <c r="AA778" s="24"/>
      <c r="AB778" s="24"/>
      <c r="AC778" s="24"/>
      <c r="AD778" s="24"/>
      <c r="AE778" s="24"/>
    </row>
    <row r="779" spans="1:31" ht="22.2" customHeight="1" x14ac:dyDescent="0.3">
      <c r="A779" s="72" t="str">
        <f>+IF(PROVEEDORES[[#This Row],[FECHA DE PAGO]]=PROVEEDORES[[#This Row],[FECHA DE FACTURACIÓN]],"DE CONTADO","CRÉDITO")</f>
        <v>DE CONTADO</v>
      </c>
      <c r="B779" s="38" t="b">
        <f>+IF((PROVEEDORES[[#This Row],[FECHA DE PAGO]]-PROVEEDORES[[#This Row],[FECHA DE FACTURACIÓN]])&gt;PROVEEDORES[[#This Row],[PLAZO Días]],"PAGO VENCIDO")</f>
        <v>0</v>
      </c>
      <c r="C779" s="20">
        <f>+VLOOKUP(PROVEEDORES[[#This Row],[PROVEEDOR]],TERCEROS_INFO[#All],2,FALSE)</f>
        <v>30</v>
      </c>
      <c r="D779" s="25">
        <f>+SUMIFS(PROVEEDORES[Total],PROVEEDORES[PROVEEDOR],PROVEEDORES[[#This Row],[PROVEEDOR]],PROVEEDORES[FECHA DE PAGO],"")</f>
        <v>0</v>
      </c>
      <c r="E779" s="25"/>
      <c r="F779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779" s="161">
        <v>44760</v>
      </c>
      <c r="H779" s="26" t="s">
        <v>1125</v>
      </c>
      <c r="I779" s="161">
        <v>44760</v>
      </c>
      <c r="J779" s="35">
        <v>527</v>
      </c>
      <c r="K779" s="21">
        <v>501681</v>
      </c>
      <c r="L779" s="21"/>
      <c r="M779" s="22">
        <f>(PROVEEDORES[[#This Row],[SUBTOTAL]]-PROVEEDORES[[#This Row],[descuento sobre subtotal]])*VLOOKUP(PROVEEDORES[[#This Row],[PROVEEDOR]],TERCEROS_INFO[#All],3,FALSE)</f>
        <v>95319.39</v>
      </c>
      <c r="N779" s="23"/>
      <c r="O779" s="22">
        <f>+PROVEEDORES[[#This Row],[Descuento sobre subtotal %]]*(PROVEEDORES[[#This Row],[SUBTOTAL]]-PROVEEDORES[[#This Row],[descuento sobre subtotal]])</f>
        <v>0</v>
      </c>
      <c r="P779" s="83">
        <f>+IF(PROVEEDORES[[#This Row],[SUBTOTAL]]&lt;PROVEEDORES[[#This Row],[base retencion]],0,PROVEEDORES[[#This Row],[retención aplicada]])</f>
        <v>0</v>
      </c>
      <c r="Q779" s="22">
        <f>+PROVEEDORES[[#This Row],[Rete Fuente %]]*(PROVEEDORES[[#This Row],[SUBTOTAL]]-PROVEEDORES[[#This Row],[descuento sobre subtotal]])</f>
        <v>0</v>
      </c>
      <c r="R779" s="21">
        <f>+PROVEEDORES[[#This Row],[SUBTOTAL]]+PROVEEDORES[[#This Row],[IVA 19%]]-PROVEEDORES[[#This Row],[descuento sobre subtotal]]-PROVEEDORES[[#This Row],[Descuento sobre subtotal $2]]-PROVEEDORES[[#This Row],[Rete Fuente $]]</f>
        <v>597000.39</v>
      </c>
      <c r="S77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68">
        <f ca="1">IF(PROVEEDORES[[#This Row],[FECHA DE PAGO]]=0,TODAY()-PROVEEDORES[[#This Row],[FECHA DE FACTURACIÓN]]-PROVEEDORES[[#This Row],[PLAZO Días]],0)</f>
        <v>0</v>
      </c>
      <c r="U779" s="113">
        <f>+VLOOKUP(PROVEEDORES[[#This Row],[PROVEEDOR]],Terceros!$A:$D,4,FALSE)</f>
        <v>0</v>
      </c>
      <c r="V779" s="114">
        <f>+YEAR(PROVEEDORES[[#This Row],[FECHA DE FACTURACIÓN]])</f>
        <v>2022</v>
      </c>
      <c r="W779" s="114">
        <f>+MATCH(PROVEEDORES[[#This Row],[año facturado]],Retenciones!$1:$1,0)</f>
        <v>5</v>
      </c>
      <c r="X779" s="115">
        <f>+VLOOKUP(PROVEEDORES[[#This Row],[ID RETENCION]],Retenciones!$A$1:$O$25,PROVEEDORES[[#This Row],[indicador de columna]],FALSE)</f>
        <v>0</v>
      </c>
      <c r="Y779" s="116">
        <f>+VLOOKUP(PROVEEDORES[[#This Row],[ID RETENCION]],Retenciones!$A$1:$O$25,2,FALSE)</f>
        <v>0</v>
      </c>
      <c r="Z779" s="125" t="b">
        <f>OR(COUNTIF(PROVEEDORES[[#This Row],[PROVEEDOR]],"*"&amp;'Palabra no opera'!$A$2&amp;"*"))</f>
        <v>0</v>
      </c>
      <c r="AA779" s="24"/>
      <c r="AB779" s="24"/>
      <c r="AC779" s="24"/>
      <c r="AD779" s="24"/>
      <c r="AE779" s="24"/>
    </row>
    <row r="780" spans="1:31" ht="22.2" customHeight="1" x14ac:dyDescent="0.3">
      <c r="A780" s="66" t="str">
        <f>+IF(PROVEEDORES[[#This Row],[FECHA DE PAGO]]=PROVEEDORES[[#This Row],[FECHA DE FACTURACIÓN]],"DE CONTADO","CRÉDITO")</f>
        <v>CRÉDITO</v>
      </c>
      <c r="B780" s="38" t="str">
        <f>+IF((PROVEEDORES[[#This Row],[FECHA DE PAGO]]-PROVEEDORES[[#This Row],[FECHA DE FACTURACIÓN]])&gt;PROVEEDORES[[#This Row],[PLAZO Días]],"PAGO VENCIDO")</f>
        <v>PAGO VENCIDO</v>
      </c>
      <c r="C780" s="20">
        <f>+VLOOKUP(PROVEEDORES[[#This Row],[PROVEEDOR]],TERCEROS_INFO[#All],2,FALSE)</f>
        <v>30</v>
      </c>
      <c r="D780" s="25">
        <f>+SUMIFS(PROVEEDORES[Total],PROVEEDORES[PROVEEDOR],PROVEEDORES[[#This Row],[PROVEEDOR]],PROVEEDORES[FECHA DE PAGO],"")</f>
        <v>4712021.58</v>
      </c>
      <c r="E780" s="25"/>
      <c r="F78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80" s="161">
        <v>44510</v>
      </c>
      <c r="H780" s="26" t="s">
        <v>17</v>
      </c>
      <c r="I780" s="161">
        <v>44474</v>
      </c>
      <c r="J780" s="35">
        <v>1823038</v>
      </c>
      <c r="K780" s="21">
        <v>501900</v>
      </c>
      <c r="L780" s="21"/>
      <c r="M780" s="22">
        <f>(PROVEEDORES[[#This Row],[SUBTOTAL]]-PROVEEDORES[[#This Row],[descuento sobre subtotal]])*VLOOKUP(PROVEEDORES[[#This Row],[PROVEEDOR]],TERCEROS_INFO[#All],3,FALSE)</f>
        <v>95361</v>
      </c>
      <c r="N780" s="23"/>
      <c r="O780" s="22">
        <f>+PROVEEDORES[[#This Row],[Descuento sobre subtotal %]]*(PROVEEDORES[[#This Row],[SUBTOTAL]]-PROVEEDORES[[#This Row],[descuento sobre subtotal]])</f>
        <v>0</v>
      </c>
      <c r="P780" s="83">
        <f>+IF(PROVEEDORES[[#This Row],[SUBTOTAL]]&lt;PROVEEDORES[[#This Row],[base retencion]],0,PROVEEDORES[[#This Row],[retención aplicada]])</f>
        <v>0</v>
      </c>
      <c r="Q780" s="22">
        <f>+PROVEEDORES[[#This Row],[Rete Fuente %]]*(PROVEEDORES[[#This Row],[SUBTOTAL]]-PROVEEDORES[[#This Row],[descuento sobre subtotal]])</f>
        <v>0</v>
      </c>
      <c r="R780" s="21">
        <f>+PROVEEDORES[[#This Row],[SUBTOTAL]]+PROVEEDORES[[#This Row],[IVA 19%]]-PROVEEDORES[[#This Row],[descuento sobre subtotal]]-PROVEEDORES[[#This Row],[Descuento sobre subtotal $2]]-PROVEEDORES[[#This Row],[Rete Fuente $]]</f>
        <v>597261</v>
      </c>
      <c r="S7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68">
        <f ca="1">IF(PROVEEDORES[[#This Row],[FECHA DE PAGO]]=0,TODAY()-PROVEEDORES[[#This Row],[FECHA DE FACTURACIÓN]]-PROVEEDORES[[#This Row],[PLAZO Días]],0)</f>
        <v>0</v>
      </c>
      <c r="U780" s="96">
        <f>+VLOOKUP(PROVEEDORES[[#This Row],[PROVEEDOR]],Terceros!$A:$D,4,FALSE)</f>
        <v>0</v>
      </c>
      <c r="V780" s="97">
        <f>+YEAR(PROVEEDORES[[#This Row],[FECHA DE FACTURACIÓN]])</f>
        <v>2021</v>
      </c>
      <c r="W780" s="97">
        <f>+MATCH(PROVEEDORES[[#This Row],[año facturado]],Retenciones!$1:$1,0)</f>
        <v>4</v>
      </c>
      <c r="X780" s="98">
        <f>+VLOOKUP(PROVEEDORES[[#This Row],[ID RETENCION]],Retenciones!$A$1:$O$25,PROVEEDORES[[#This Row],[indicador de columna]],FALSE)</f>
        <v>0</v>
      </c>
      <c r="Y780" s="99">
        <f>+VLOOKUP(PROVEEDORES[[#This Row],[ID RETENCION]],Retenciones!$A$1:$O$25,2,FALSE)</f>
        <v>0</v>
      </c>
      <c r="Z780" s="125" t="b">
        <f>OR(COUNTIF(PROVEEDORES[[#This Row],[PROVEEDOR]],"*"&amp;'Palabra no opera'!$A$2&amp;"*"))</f>
        <v>0</v>
      </c>
      <c r="AA780" s="24"/>
      <c r="AB780" s="24"/>
      <c r="AC780" s="24"/>
      <c r="AD780" s="24"/>
      <c r="AE780" s="24"/>
    </row>
    <row r="781" spans="1:31" ht="22.2" customHeight="1" x14ac:dyDescent="0.3">
      <c r="A781" s="66" t="str">
        <f>+IF(PROVEEDORES[[#This Row],[FECHA DE PAGO]]=PROVEEDORES[[#This Row],[FECHA DE FACTURACIÓN]],"DE CONTADO","CRÉDITO")</f>
        <v>DE CONTADO</v>
      </c>
      <c r="B781" s="38" t="b">
        <f>+IF((PROVEEDORES[[#This Row],[FECHA DE PAGO]]-PROVEEDORES[[#This Row],[FECHA DE FACTURACIÓN]])&gt;PROVEEDORES[[#This Row],[PLAZO Días]],"PAGO VENCIDO")</f>
        <v>0</v>
      </c>
      <c r="C781" s="20">
        <f>+VLOOKUP(PROVEEDORES[[#This Row],[PROVEEDOR]],TERCEROS_INFO[#All],2,FALSE)</f>
        <v>30</v>
      </c>
      <c r="D781" s="25">
        <f>+SUMIFS(PROVEEDORES[Total],PROVEEDORES[PROVEEDOR],PROVEEDORES[[#This Row],[PROVEEDOR]],PROVEEDORES[FECHA DE PAGO],"")</f>
        <v>0</v>
      </c>
      <c r="E781" s="25"/>
      <c r="F781" s="58" t="str">
        <f>+VLOOKUP(PROVEEDORES[[#This Row],[PROVEEDOR]],
                       Terceros!$A:$F,
                       5,
                       FALSE)</f>
        <v/>
      </c>
      <c r="G781" s="161">
        <v>44331</v>
      </c>
      <c r="H781" s="26" t="s">
        <v>673</v>
      </c>
      <c r="I781" s="161">
        <v>44331</v>
      </c>
      <c r="J781" s="35"/>
      <c r="K781" s="21">
        <v>600000</v>
      </c>
      <c r="L781" s="21"/>
      <c r="M781" s="22">
        <f>(PROVEEDORES[[#This Row],[SUBTOTAL]]-PROVEEDORES[[#This Row],[descuento sobre subtotal]])*VLOOKUP(PROVEEDORES[[#This Row],[PROVEEDOR]],TERCEROS_INFO[#All],3,FALSE)</f>
        <v>0</v>
      </c>
      <c r="N781" s="23"/>
      <c r="O781" s="22">
        <f>+PROVEEDORES[[#This Row],[Descuento sobre subtotal %]]*(PROVEEDORES[[#This Row],[SUBTOTAL]]-PROVEEDORES[[#This Row],[descuento sobre subtotal]])</f>
        <v>0</v>
      </c>
      <c r="P781" s="83">
        <f>+IF(PROVEEDORES[[#This Row],[SUBTOTAL]]&lt;PROVEEDORES[[#This Row],[base retencion]],0,PROVEEDORES[[#This Row],[retención aplicada]])</f>
        <v>0</v>
      </c>
      <c r="Q781" s="22">
        <f>+PROVEEDORES[[#This Row],[Rete Fuente %]]*(PROVEEDORES[[#This Row],[SUBTOTAL]]-PROVEEDORES[[#This Row],[descuento sobre subtotal]])</f>
        <v>0</v>
      </c>
      <c r="R781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68">
        <f ca="1">IF(PROVEEDORES[[#This Row],[FECHA DE PAGO]]=0,TODAY()-PROVEEDORES[[#This Row],[FECHA DE FACTURACIÓN]]-PROVEEDORES[[#This Row],[PLAZO Días]],0)</f>
        <v>0</v>
      </c>
      <c r="U781" s="96">
        <f>+VLOOKUP(PROVEEDORES[[#This Row],[PROVEEDOR]],Terceros!$A:$D,4,FALSE)</f>
        <v>0</v>
      </c>
      <c r="V781" s="97">
        <f>+YEAR(PROVEEDORES[[#This Row],[FECHA DE FACTURACIÓN]])</f>
        <v>2021</v>
      </c>
      <c r="W781" s="97">
        <f>+MATCH(PROVEEDORES[[#This Row],[año facturado]],Retenciones!$1:$1,0)</f>
        <v>4</v>
      </c>
      <c r="X781" s="98">
        <f>+VLOOKUP(PROVEEDORES[[#This Row],[ID RETENCION]],Retenciones!$A$1:$O$25,PROVEEDORES[[#This Row],[indicador de columna]],FALSE)</f>
        <v>0</v>
      </c>
      <c r="Y781" s="99">
        <f>+VLOOKUP(PROVEEDORES[[#This Row],[ID RETENCION]],Retenciones!$A$1:$O$25,2,FALSE)</f>
        <v>0</v>
      </c>
      <c r="Z781" s="125" t="b">
        <f>OR(COUNTIF(PROVEEDORES[[#This Row],[PROVEEDOR]],"*"&amp;'Palabra no opera'!$A$2&amp;"*"))</f>
        <v>0</v>
      </c>
      <c r="AA781" s="24"/>
      <c r="AB781" s="24"/>
      <c r="AC781" s="24"/>
      <c r="AD781" s="24"/>
      <c r="AE781" s="24"/>
    </row>
    <row r="782" spans="1:31" ht="22.2" customHeight="1" x14ac:dyDescent="0.3">
      <c r="A782" s="66" t="str">
        <f>+IF(PROVEEDORES[[#This Row],[FECHA DE PAGO]]=PROVEEDORES[[#This Row],[FECHA DE FACTURACIÓN]],"DE CONTADO","CRÉDITO")</f>
        <v>DE CONTADO</v>
      </c>
      <c r="B782" s="38" t="b">
        <f>+IF((PROVEEDORES[[#This Row],[FECHA DE PAGO]]-PROVEEDORES[[#This Row],[FECHA DE FACTURACIÓN]])&gt;PROVEEDORES[[#This Row],[PLAZO Días]],"PAGO VENCIDO")</f>
        <v>0</v>
      </c>
      <c r="C782" s="20">
        <f>+VLOOKUP(PROVEEDORES[[#This Row],[PROVEEDOR]],TERCEROS_INFO[#All],2,FALSE)</f>
        <v>30</v>
      </c>
      <c r="D782" s="25">
        <f>+SUMIFS(PROVEEDORES[Total],PROVEEDORES[PROVEEDOR],PROVEEDORES[[#This Row],[PROVEEDOR]],PROVEEDORES[FECHA DE PAGO],"")</f>
        <v>0</v>
      </c>
      <c r="E782" s="25"/>
      <c r="F782" s="58" t="str">
        <f>+VLOOKUP(PROVEEDORES[[#This Row],[PROVEEDOR]],
                       Terceros!$A:$F,
                       5,
                       FALSE)</f>
        <v/>
      </c>
      <c r="G782" s="161">
        <v>44338</v>
      </c>
      <c r="H782" s="26" t="s">
        <v>673</v>
      </c>
      <c r="I782" s="161">
        <v>44338</v>
      </c>
      <c r="J782" s="35"/>
      <c r="K782" s="21">
        <v>600000</v>
      </c>
      <c r="L782" s="21"/>
      <c r="M782" s="22">
        <f>(PROVEEDORES[[#This Row],[SUBTOTAL]]-PROVEEDORES[[#This Row],[descuento sobre subtotal]])*VLOOKUP(PROVEEDORES[[#This Row],[PROVEEDOR]],TERCEROS_INFO[#All],3,FALSE)</f>
        <v>0</v>
      </c>
      <c r="N782" s="23"/>
      <c r="O782" s="22">
        <f>+PROVEEDORES[[#This Row],[Descuento sobre subtotal %]]*(PROVEEDORES[[#This Row],[SUBTOTAL]]-PROVEEDORES[[#This Row],[descuento sobre subtotal]])</f>
        <v>0</v>
      </c>
      <c r="P782" s="83">
        <f>+IF(PROVEEDORES[[#This Row],[SUBTOTAL]]&lt;PROVEEDORES[[#This Row],[base retencion]],0,PROVEEDORES[[#This Row],[retención aplicada]])</f>
        <v>0</v>
      </c>
      <c r="Q782" s="22">
        <f>+PROVEEDORES[[#This Row],[Rete Fuente %]]*(PROVEEDORES[[#This Row],[SUBTOTAL]]-PROVEEDORES[[#This Row],[descuento sobre subtotal]])</f>
        <v>0</v>
      </c>
      <c r="R782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68">
        <f ca="1">IF(PROVEEDORES[[#This Row],[FECHA DE PAGO]]=0,TODAY()-PROVEEDORES[[#This Row],[FECHA DE FACTURACIÓN]]-PROVEEDORES[[#This Row],[PLAZO Días]],0)</f>
        <v>0</v>
      </c>
      <c r="U782" s="96">
        <f>+VLOOKUP(PROVEEDORES[[#This Row],[PROVEEDOR]],Terceros!$A:$D,4,FALSE)</f>
        <v>0</v>
      </c>
      <c r="V782" s="97">
        <f>+YEAR(PROVEEDORES[[#This Row],[FECHA DE FACTURACIÓN]])</f>
        <v>2021</v>
      </c>
      <c r="W782" s="97">
        <f>+MATCH(PROVEEDORES[[#This Row],[año facturado]],Retenciones!$1:$1,0)</f>
        <v>4</v>
      </c>
      <c r="X782" s="98">
        <f>+VLOOKUP(PROVEEDORES[[#This Row],[ID RETENCION]],Retenciones!$A$1:$O$25,PROVEEDORES[[#This Row],[indicador de columna]],FALSE)</f>
        <v>0</v>
      </c>
      <c r="Y782" s="99">
        <f>+VLOOKUP(PROVEEDORES[[#This Row],[ID RETENCION]],Retenciones!$A$1:$O$25,2,FALSE)</f>
        <v>0</v>
      </c>
      <c r="Z782" s="125" t="b">
        <f>OR(COUNTIF(PROVEEDORES[[#This Row],[PROVEEDOR]],"*"&amp;'Palabra no opera'!$A$2&amp;"*"))</f>
        <v>0</v>
      </c>
      <c r="AA782" s="24"/>
      <c r="AB782" s="24"/>
      <c r="AC782" s="24"/>
      <c r="AD782" s="24"/>
      <c r="AE782" s="24"/>
    </row>
    <row r="783" spans="1:31" ht="22.2" customHeight="1" x14ac:dyDescent="0.3">
      <c r="A783" s="66" t="str">
        <f>+IF(PROVEEDORES[[#This Row],[FECHA DE PAGO]]=PROVEEDORES[[#This Row],[FECHA DE FACTURACIÓN]],"DE CONTADO","CRÉDITO")</f>
        <v>DE CONTADO</v>
      </c>
      <c r="B783" s="38" t="b">
        <f>+IF((PROVEEDORES[[#This Row],[FECHA DE PAGO]]-PROVEEDORES[[#This Row],[FECHA DE FACTURACIÓN]])&gt;PROVEEDORES[[#This Row],[PLAZO Días]],"PAGO VENCIDO")</f>
        <v>0</v>
      </c>
      <c r="C783" s="20">
        <f>+VLOOKUP(PROVEEDORES[[#This Row],[PROVEEDOR]],TERCEROS_INFO[#All],2,FALSE)</f>
        <v>30</v>
      </c>
      <c r="D783" s="25">
        <f>+SUMIFS(PROVEEDORES[Total],PROVEEDORES[PROVEEDOR],PROVEEDORES[[#This Row],[PROVEEDOR]],PROVEEDORES[FECHA DE PAGO],"")</f>
        <v>0</v>
      </c>
      <c r="E783" s="25"/>
      <c r="F783" s="58" t="str">
        <f>+VLOOKUP(PROVEEDORES[[#This Row],[PROVEEDOR]],
                       Terceros!$A:$F,
                       5,
                       FALSE)</f>
        <v/>
      </c>
      <c r="G783" s="161">
        <v>44343</v>
      </c>
      <c r="H783" s="26" t="s">
        <v>673</v>
      </c>
      <c r="I783" s="161">
        <v>44343</v>
      </c>
      <c r="J783" s="35"/>
      <c r="K783" s="21">
        <v>600000</v>
      </c>
      <c r="L783" s="21"/>
      <c r="M783" s="22">
        <f>(PROVEEDORES[[#This Row],[SUBTOTAL]]-PROVEEDORES[[#This Row],[descuento sobre subtotal]])*VLOOKUP(PROVEEDORES[[#This Row],[PROVEEDOR]],TERCEROS_INFO[#All],3,FALSE)</f>
        <v>0</v>
      </c>
      <c r="N783" s="23"/>
      <c r="O783" s="22">
        <f>+PROVEEDORES[[#This Row],[Descuento sobre subtotal %]]*(PROVEEDORES[[#This Row],[SUBTOTAL]]-PROVEEDORES[[#This Row],[descuento sobre subtotal]])</f>
        <v>0</v>
      </c>
      <c r="P783" s="83">
        <f>+IF(PROVEEDORES[[#This Row],[SUBTOTAL]]&lt;PROVEEDORES[[#This Row],[base retencion]],0,PROVEEDORES[[#This Row],[retención aplicada]])</f>
        <v>0</v>
      </c>
      <c r="Q783" s="22">
        <f>+PROVEEDORES[[#This Row],[Rete Fuente %]]*(PROVEEDORES[[#This Row],[SUBTOTAL]]-PROVEEDORES[[#This Row],[descuento sobre subtotal]])</f>
        <v>0</v>
      </c>
      <c r="R783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68">
        <f ca="1">IF(PROVEEDORES[[#This Row],[FECHA DE PAGO]]=0,TODAY()-PROVEEDORES[[#This Row],[FECHA DE FACTURACIÓN]]-PROVEEDORES[[#This Row],[PLAZO Días]],0)</f>
        <v>0</v>
      </c>
      <c r="U783" s="96">
        <f>+VLOOKUP(PROVEEDORES[[#This Row],[PROVEEDOR]],Terceros!$A:$D,4,FALSE)</f>
        <v>0</v>
      </c>
      <c r="V783" s="97">
        <f>+YEAR(PROVEEDORES[[#This Row],[FECHA DE FACTURACIÓN]])</f>
        <v>2021</v>
      </c>
      <c r="W783" s="97">
        <f>+MATCH(PROVEEDORES[[#This Row],[año facturado]],Retenciones!$1:$1,0)</f>
        <v>4</v>
      </c>
      <c r="X783" s="98">
        <f>+VLOOKUP(PROVEEDORES[[#This Row],[ID RETENCION]],Retenciones!$A$1:$O$25,PROVEEDORES[[#This Row],[indicador de columna]],FALSE)</f>
        <v>0</v>
      </c>
      <c r="Y783" s="99">
        <f>+VLOOKUP(PROVEEDORES[[#This Row],[ID RETENCION]],Retenciones!$A$1:$O$25,2,FALSE)</f>
        <v>0</v>
      </c>
      <c r="Z783" s="125" t="b">
        <f>OR(COUNTIF(PROVEEDORES[[#This Row],[PROVEEDOR]],"*"&amp;'Palabra no opera'!$A$2&amp;"*"))</f>
        <v>0</v>
      </c>
      <c r="AA783" s="24"/>
      <c r="AB783" s="24"/>
      <c r="AC783" s="24"/>
      <c r="AD783" s="24"/>
      <c r="AE783" s="24"/>
    </row>
    <row r="784" spans="1:31" ht="22.2" customHeight="1" x14ac:dyDescent="0.3">
      <c r="A784" s="66" t="str">
        <f>+IF(PROVEEDORES[[#This Row],[FECHA DE PAGO]]=PROVEEDORES[[#This Row],[FECHA DE FACTURACIÓN]],"DE CONTADO","CRÉDITO")</f>
        <v>DE CONTADO</v>
      </c>
      <c r="B784" s="38" t="b">
        <f>+IF((PROVEEDORES[[#This Row],[FECHA DE PAGO]]-PROVEEDORES[[#This Row],[FECHA DE FACTURACIÓN]])&gt;PROVEEDORES[[#This Row],[PLAZO Días]],"PAGO VENCIDO")</f>
        <v>0</v>
      </c>
      <c r="C784" s="20">
        <f>+VLOOKUP(PROVEEDORES[[#This Row],[PROVEEDOR]],TERCEROS_INFO[#All],2,FALSE)</f>
        <v>30</v>
      </c>
      <c r="D784" s="25">
        <f>+SUMIFS(PROVEEDORES[Total],PROVEEDORES[PROVEEDOR],PROVEEDORES[[#This Row],[PROVEEDOR]],PROVEEDORES[FECHA DE PAGO],"")</f>
        <v>0</v>
      </c>
      <c r="E784" s="25"/>
      <c r="F784" s="58" t="str">
        <f>+VLOOKUP(PROVEEDORES[[#This Row],[PROVEEDOR]],
                       Terceros!$A:$F,
                       5,
                       FALSE)</f>
        <v/>
      </c>
      <c r="G784" s="161">
        <v>44347</v>
      </c>
      <c r="H784" s="26" t="s">
        <v>673</v>
      </c>
      <c r="I784" s="161">
        <v>44347</v>
      </c>
      <c r="J784" s="35"/>
      <c r="K784" s="21">
        <v>600000</v>
      </c>
      <c r="L784" s="21"/>
      <c r="M784" s="22">
        <f>(PROVEEDORES[[#This Row],[SUBTOTAL]]-PROVEEDORES[[#This Row],[descuento sobre subtotal]])*VLOOKUP(PROVEEDORES[[#This Row],[PROVEEDOR]],TERCEROS_INFO[#All],3,FALSE)</f>
        <v>0</v>
      </c>
      <c r="N784" s="23"/>
      <c r="O784" s="22">
        <f>+PROVEEDORES[[#This Row],[Descuento sobre subtotal %]]*(PROVEEDORES[[#This Row],[SUBTOTAL]]-PROVEEDORES[[#This Row],[descuento sobre subtotal]])</f>
        <v>0</v>
      </c>
      <c r="P784" s="83">
        <f>+IF(PROVEEDORES[[#This Row],[SUBTOTAL]]&lt;PROVEEDORES[[#This Row],[base retencion]],0,PROVEEDORES[[#This Row],[retención aplicada]])</f>
        <v>0</v>
      </c>
      <c r="Q784" s="22">
        <f>+PROVEEDORES[[#This Row],[Rete Fuente %]]*(PROVEEDORES[[#This Row],[SUBTOTAL]]-PROVEEDORES[[#This Row],[descuento sobre subtotal]])</f>
        <v>0</v>
      </c>
      <c r="R784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68">
        <f ca="1">IF(PROVEEDORES[[#This Row],[FECHA DE PAGO]]=0,TODAY()-PROVEEDORES[[#This Row],[FECHA DE FACTURACIÓN]]-PROVEEDORES[[#This Row],[PLAZO Días]],0)</f>
        <v>0</v>
      </c>
      <c r="U784" s="96">
        <f>+VLOOKUP(PROVEEDORES[[#This Row],[PROVEEDOR]],Terceros!$A:$D,4,FALSE)</f>
        <v>0</v>
      </c>
      <c r="V784" s="97">
        <f>+YEAR(PROVEEDORES[[#This Row],[FECHA DE FACTURACIÓN]])</f>
        <v>2021</v>
      </c>
      <c r="W784" s="97">
        <f>+MATCH(PROVEEDORES[[#This Row],[año facturado]],Retenciones!$1:$1,0)</f>
        <v>4</v>
      </c>
      <c r="X784" s="98">
        <f>+VLOOKUP(PROVEEDORES[[#This Row],[ID RETENCION]],Retenciones!$A$1:$O$25,PROVEEDORES[[#This Row],[indicador de columna]],FALSE)</f>
        <v>0</v>
      </c>
      <c r="Y784" s="99">
        <f>+VLOOKUP(PROVEEDORES[[#This Row],[ID RETENCION]],Retenciones!$A$1:$O$25,2,FALSE)</f>
        <v>0</v>
      </c>
      <c r="Z784" s="125" t="b">
        <f>OR(COUNTIF(PROVEEDORES[[#This Row],[PROVEEDOR]],"*"&amp;'Palabra no opera'!$A$2&amp;"*"))</f>
        <v>0</v>
      </c>
      <c r="AA784" s="24"/>
      <c r="AB784" s="24"/>
      <c r="AC784" s="24"/>
      <c r="AD784" s="24"/>
      <c r="AE784" s="24"/>
    </row>
    <row r="785" spans="1:31" ht="22.2" customHeight="1" x14ac:dyDescent="0.3">
      <c r="A785" s="66" t="str">
        <f>+IF(PROVEEDORES[[#This Row],[FECHA DE PAGO]]=PROVEEDORES[[#This Row],[FECHA DE FACTURACIÓN]],"DE CONTADO","CRÉDITO")</f>
        <v>CRÉDITO</v>
      </c>
      <c r="B785" s="38" t="str">
        <f>+IF((PROVEEDORES[[#This Row],[FECHA DE PAGO]]-PROVEEDORES[[#This Row],[FECHA DE FACTURACIÓN]])&gt;PROVEEDORES[[#This Row],[PLAZO Días]],"PAGO VENCIDO")</f>
        <v>PAGO VENCIDO</v>
      </c>
      <c r="C785" s="20">
        <f>+VLOOKUP(PROVEEDORES[[#This Row],[PROVEEDOR]],TERCEROS_INFO[#All],2,FALSE)</f>
        <v>0</v>
      </c>
      <c r="D785" s="25">
        <f>+SUMIFS(PROVEEDORES[Total],PROVEEDORES[PROVEEDOR],PROVEEDORES[[#This Row],[PROVEEDOR]],PROVEEDORES[FECHA DE PAGO],"")</f>
        <v>0</v>
      </c>
      <c r="E785" s="25"/>
      <c r="F785" s="58" t="str">
        <f>+VLOOKUP(PROVEEDORES[[#This Row],[PROVEEDOR]],
                       Terceros!$A:$F,
                       5,
                       FALSE)</f>
        <v>contabilidad@comercialweb.com.co;info@servipilas.com</v>
      </c>
      <c r="G785" s="161">
        <v>44614</v>
      </c>
      <c r="H785" s="26" t="s">
        <v>939</v>
      </c>
      <c r="I785" s="161">
        <v>44596</v>
      </c>
      <c r="J785" s="35">
        <v>915</v>
      </c>
      <c r="K785" s="21">
        <v>600000</v>
      </c>
      <c r="L785" s="21"/>
      <c r="M785" s="22">
        <v>0</v>
      </c>
      <c r="N785" s="23"/>
      <c r="O785" s="22">
        <v>0</v>
      </c>
      <c r="P785" s="83">
        <f>+IF(PROVEEDORES[[#This Row],[SUBTOTAL]]&lt;PROVEEDORES[[#This Row],[base retencion]],0,PROVEEDORES[[#This Row],[retención aplicada]])</f>
        <v>0</v>
      </c>
      <c r="Q785" s="22">
        <f>+PROVEEDORES[[#This Row],[Rete Fuente %]]*(PROVEEDORES[[#This Row],[SUBTOTAL]]-PROVEEDORES[[#This Row],[descuento sobre subtotal]])</f>
        <v>0</v>
      </c>
      <c r="R785" s="21">
        <v>600000</v>
      </c>
      <c r="S7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68">
        <f ca="1">IF(PROVEEDORES[[#This Row],[FECHA DE PAGO]]=0,TODAY()-PROVEEDORES[[#This Row],[FECHA DE FACTURACIÓN]]-PROVEEDORES[[#This Row],[PLAZO Días]],0)</f>
        <v>0</v>
      </c>
      <c r="U785" s="96">
        <f>+VLOOKUP(PROVEEDORES[[#This Row],[PROVEEDOR]],Terceros!$A:$D,4,FALSE)</f>
        <v>0</v>
      </c>
      <c r="V785" s="97">
        <f>+YEAR(PROVEEDORES[[#This Row],[FECHA DE FACTURACIÓN]])</f>
        <v>2022</v>
      </c>
      <c r="W785" s="97">
        <f>+MATCH(PROVEEDORES[[#This Row],[año facturado]],Retenciones!$1:$1,0)</f>
        <v>5</v>
      </c>
      <c r="X785" s="98">
        <f>+VLOOKUP(PROVEEDORES[[#This Row],[ID RETENCION]],Retenciones!$A$1:$O$25,PROVEEDORES[[#This Row],[indicador de columna]],FALSE)</f>
        <v>0</v>
      </c>
      <c r="Y785" s="99">
        <f>+VLOOKUP(PROVEEDORES[[#This Row],[ID RETENCION]],Retenciones!$A$1:$O$25,2,FALSE)</f>
        <v>0</v>
      </c>
      <c r="Z785" s="125" t="b">
        <f>OR(COUNTIF(PROVEEDORES[[#This Row],[PROVEEDOR]],"*"&amp;'Palabra no opera'!$A$2&amp;"*"))</f>
        <v>1</v>
      </c>
      <c r="AA785" s="24"/>
      <c r="AB785" s="24"/>
      <c r="AC785" s="24"/>
      <c r="AD785" s="24"/>
      <c r="AE785" s="24"/>
    </row>
    <row r="786" spans="1:31" ht="22.2" customHeight="1" x14ac:dyDescent="0.3">
      <c r="A786" s="146" t="str">
        <f>+IF(PROVEEDORES[[#This Row],[FECHA DE PAGO]]=PROVEEDORES[[#This Row],[FECHA DE FACTURACIÓN]],"DE CONTADO","CRÉDITO")</f>
        <v>DE CONTADO</v>
      </c>
      <c r="B786" s="38" t="b">
        <f>+IF((PROVEEDORES[[#This Row],[FECHA DE PAGO]]-PROVEEDORES[[#This Row],[FECHA DE FACTURACIÓN]])&gt;PROVEEDORES[[#This Row],[PLAZO Días]],"PAGO VENCIDO")</f>
        <v>0</v>
      </c>
      <c r="C786" s="20">
        <f>+VLOOKUP(PROVEEDORES[[#This Row],[PROVEEDOR]],TERCEROS_INFO[#All],2,FALSE)</f>
        <v>30</v>
      </c>
      <c r="D786" s="25">
        <f>+SUMIFS(PROVEEDORES[Total],PROVEEDORES[PROVEEDOR],PROVEEDORES[[#This Row],[PROVEEDOR]],PROVEEDORES[FECHA DE PAGO],"")</f>
        <v>0</v>
      </c>
      <c r="E786" s="25"/>
      <c r="F786" s="58" t="str">
        <f>+VLOOKUP(PROVEEDORES[[#This Row],[PROVEEDOR]],
                       Terceros!$A:$F,
                       5,
                       FALSE)</f>
        <v/>
      </c>
      <c r="G786" s="161">
        <v>44695</v>
      </c>
      <c r="H786" s="26" t="s">
        <v>636</v>
      </c>
      <c r="I786" s="161">
        <v>44695</v>
      </c>
      <c r="J786" s="35">
        <v>2403</v>
      </c>
      <c r="K786" s="21">
        <v>600000</v>
      </c>
      <c r="L786" s="21"/>
      <c r="M786" s="22">
        <f>(PROVEEDORES[[#This Row],[SUBTOTAL]]-PROVEEDORES[[#This Row],[descuento sobre subtotal]])*VLOOKUP(PROVEEDORES[[#This Row],[PROVEEDOR]],TERCEROS_INFO[#All],3,FALSE)</f>
        <v>0</v>
      </c>
      <c r="N786" s="23"/>
      <c r="O786" s="22">
        <f>+PROVEEDORES[[#This Row],[Descuento sobre subtotal %]]*(PROVEEDORES[[#This Row],[SUBTOTAL]]-PROVEEDORES[[#This Row],[descuento sobre subtotal]])</f>
        <v>0</v>
      </c>
      <c r="P786" s="83">
        <f>+IF(PROVEEDORES[[#This Row],[SUBTOTAL]]&lt;PROVEEDORES[[#This Row],[base retencion]],0,PROVEEDORES[[#This Row],[retención aplicada]])</f>
        <v>0</v>
      </c>
      <c r="Q786" s="22">
        <f>+PROVEEDORES[[#This Row],[Rete Fuente %]]*(PROVEEDORES[[#This Row],[SUBTOTAL]]-PROVEEDORES[[#This Row],[descuento sobre subtotal]])</f>
        <v>0</v>
      </c>
      <c r="R786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6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68">
        <f ca="1">IF(PROVEEDORES[[#This Row],[FECHA DE PAGO]]=0,TODAY()-PROVEEDORES[[#This Row],[FECHA DE FACTURACIÓN]]-PROVEEDORES[[#This Row],[PLAZO Días]],0)</f>
        <v>0</v>
      </c>
      <c r="U786" s="113">
        <f>+VLOOKUP(PROVEEDORES[[#This Row],[PROVEEDOR]],Terceros!$A:$D,4,FALSE)</f>
        <v>0</v>
      </c>
      <c r="V786" s="114">
        <f>+YEAR(PROVEEDORES[[#This Row],[FECHA DE FACTURACIÓN]])</f>
        <v>2022</v>
      </c>
      <c r="W786" s="114">
        <f>+MATCH(PROVEEDORES[[#This Row],[año facturado]],Retenciones!$1:$1,0)</f>
        <v>5</v>
      </c>
      <c r="X786" s="115">
        <f>+VLOOKUP(PROVEEDORES[[#This Row],[ID RETENCION]],Retenciones!$A$1:$O$25,PROVEEDORES[[#This Row],[indicador de columna]],FALSE)</f>
        <v>0</v>
      </c>
      <c r="Y786" s="116">
        <f>+VLOOKUP(PROVEEDORES[[#This Row],[ID RETENCION]],Retenciones!$A$1:$O$25,2,FALSE)</f>
        <v>0</v>
      </c>
      <c r="Z786" s="125" t="b">
        <f>OR(COUNTIF(PROVEEDORES[[#This Row],[PROVEEDOR]],"*"&amp;'Palabra no opera'!$A$2&amp;"*"))</f>
        <v>0</v>
      </c>
      <c r="AA786" s="24"/>
      <c r="AB786" s="24"/>
      <c r="AC786" s="24"/>
      <c r="AD786" s="24"/>
      <c r="AE786" s="24"/>
    </row>
    <row r="787" spans="1:31" ht="22.2" customHeight="1" x14ac:dyDescent="0.3">
      <c r="A787" s="72" t="str">
        <f>+IF(PROVEEDORES[[#This Row],[FECHA DE PAGO]]=PROVEEDORES[[#This Row],[FECHA DE FACTURACIÓN]],"DE CONTADO","CRÉDITO")</f>
        <v>DE CONTADO</v>
      </c>
      <c r="B787" s="38" t="b">
        <f>+IF((PROVEEDORES[[#This Row],[FECHA DE PAGO]]-PROVEEDORES[[#This Row],[FECHA DE FACTURACIÓN]])&gt;PROVEEDORES[[#This Row],[PLAZO Días]],"PAGO VENCIDO")</f>
        <v>0</v>
      </c>
      <c r="C787" s="20">
        <f>+VLOOKUP(PROVEEDORES[[#This Row],[PROVEEDOR]],TERCEROS_INFO[#All],2,FALSE)</f>
        <v>30</v>
      </c>
      <c r="D787" s="25">
        <f>+SUMIFS(PROVEEDORES[Total],PROVEEDORES[PROVEEDOR],PROVEEDORES[[#This Row],[PROVEEDOR]],PROVEEDORES[FECHA DE PAGO],"")</f>
        <v>0</v>
      </c>
      <c r="E787" s="25"/>
      <c r="F787" s="58" t="str">
        <f>+VLOOKUP(PROVEEDORES[[#This Row],[PROVEEDOR]],
                       Terceros!$A:$F,
                       5,
                       FALSE)</f>
        <v/>
      </c>
      <c r="G787" s="161">
        <v>44762</v>
      </c>
      <c r="H787" s="26" t="s">
        <v>635</v>
      </c>
      <c r="I787" s="161">
        <v>44762</v>
      </c>
      <c r="J787" s="35" t="s">
        <v>1621</v>
      </c>
      <c r="K787" s="21">
        <v>600000</v>
      </c>
      <c r="L787" s="21"/>
      <c r="M787" s="22">
        <f>(PROVEEDORES[[#This Row],[SUBTOTAL]]-PROVEEDORES[[#This Row],[descuento sobre subtotal]])*VLOOKUP(PROVEEDORES[[#This Row],[PROVEEDOR]],TERCEROS_INFO[#All],3,FALSE)</f>
        <v>0</v>
      </c>
      <c r="N787" s="23"/>
      <c r="O787" s="22">
        <f>+PROVEEDORES[[#This Row],[Descuento sobre subtotal %]]*(PROVEEDORES[[#This Row],[SUBTOTAL]]-PROVEEDORES[[#This Row],[descuento sobre subtotal]])</f>
        <v>0</v>
      </c>
      <c r="P787" s="83">
        <f>+IF(PROVEEDORES[[#This Row],[SUBTOTAL]]&lt;PROVEEDORES[[#This Row],[base retencion]],0,PROVEEDORES[[#This Row],[retención aplicada]])</f>
        <v>0</v>
      </c>
      <c r="Q787" s="22">
        <f>+PROVEEDORES[[#This Row],[Rete Fuente %]]*(PROVEEDORES[[#This Row],[SUBTOTAL]]-PROVEEDORES[[#This Row],[descuento sobre subtotal]])</f>
        <v>0</v>
      </c>
      <c r="R787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68">
        <f ca="1">IF(PROVEEDORES[[#This Row],[FECHA DE PAGO]]=0,TODAY()-PROVEEDORES[[#This Row],[FECHA DE FACTURACIÓN]]-PROVEEDORES[[#This Row],[PLAZO Días]],0)</f>
        <v>0</v>
      </c>
      <c r="U787" s="113">
        <f>+VLOOKUP(PROVEEDORES[[#This Row],[PROVEEDOR]],Terceros!$A:$D,4,FALSE)</f>
        <v>0</v>
      </c>
      <c r="V787" s="114">
        <f>+YEAR(PROVEEDORES[[#This Row],[FECHA DE FACTURACIÓN]])</f>
        <v>2022</v>
      </c>
      <c r="W787" s="114">
        <f>+MATCH(PROVEEDORES[[#This Row],[año facturado]],Retenciones!$1:$1,0)</f>
        <v>5</v>
      </c>
      <c r="X787" s="115">
        <f>+VLOOKUP(PROVEEDORES[[#This Row],[ID RETENCION]],Retenciones!$A$1:$O$25,PROVEEDORES[[#This Row],[indicador de columna]],FALSE)</f>
        <v>0</v>
      </c>
      <c r="Y787" s="116">
        <f>+VLOOKUP(PROVEEDORES[[#This Row],[ID RETENCION]],Retenciones!$A$1:$O$25,2,FALSE)</f>
        <v>0</v>
      </c>
      <c r="Z787" s="125" t="b">
        <f>OR(COUNTIF(PROVEEDORES[[#This Row],[PROVEEDOR]],"*"&amp;'Palabra no opera'!$A$2&amp;"*"))</f>
        <v>0</v>
      </c>
      <c r="AA787" s="24"/>
      <c r="AB787" s="24"/>
      <c r="AC787" s="24"/>
      <c r="AD787" s="24"/>
      <c r="AE787" s="24"/>
    </row>
    <row r="788" spans="1:31" ht="22.2" customHeight="1" x14ac:dyDescent="0.3">
      <c r="A788" s="72" t="str">
        <f>+IF(PROVEEDORES[[#This Row],[FECHA DE PAGO]]=PROVEEDORES[[#This Row],[FECHA DE FACTURACIÓN]],"DE CONTADO","CRÉDITO")</f>
        <v>DE CONTADO</v>
      </c>
      <c r="B788" s="38" t="b">
        <f>+IF((PROVEEDORES[[#This Row],[FECHA DE PAGO]]-PROVEEDORES[[#This Row],[FECHA DE FACTURACIÓN]])&gt;PROVEEDORES[[#This Row],[PLAZO Días]],"PAGO VENCIDO")</f>
        <v>0</v>
      </c>
      <c r="C788" s="20">
        <f>+VLOOKUP(PROVEEDORES[[#This Row],[PROVEEDOR]],TERCEROS_INFO[#All],2,FALSE)</f>
        <v>0</v>
      </c>
      <c r="D788" s="25">
        <f>+SUMIFS(PROVEEDORES[Total],PROVEEDORES[PROVEEDOR],PROVEEDORES[[#This Row],[PROVEEDOR]],PROVEEDORES[FECHA DE PAGO],"")</f>
        <v>0</v>
      </c>
      <c r="E788" s="25"/>
      <c r="F788" s="58">
        <f>+VLOOKUP(PROVEEDORES[[#This Row],[PROVEEDOR]],
                       Terceros!$A:$F,
                       5,
                       FALSE)</f>
        <v>0</v>
      </c>
      <c r="G788" s="161">
        <v>44775</v>
      </c>
      <c r="H788" s="26" t="s">
        <v>1050</v>
      </c>
      <c r="I788" s="161">
        <v>44775</v>
      </c>
      <c r="J788" s="35" t="s">
        <v>1395</v>
      </c>
      <c r="K788" s="21">
        <v>600000</v>
      </c>
      <c r="L788" s="21"/>
      <c r="M788" s="22">
        <f>(PROVEEDORES[[#This Row],[SUBTOTAL]]-PROVEEDORES[[#This Row],[descuento sobre subtotal]])*VLOOKUP(PROVEEDORES[[#This Row],[PROVEEDOR]],TERCEROS_INFO[#All],3,FALSE)</f>
        <v>0</v>
      </c>
      <c r="N788" s="23"/>
      <c r="O788" s="22">
        <f>+PROVEEDORES[[#This Row],[Descuento sobre subtotal %]]*(PROVEEDORES[[#This Row],[SUBTOTAL]]-PROVEEDORES[[#This Row],[descuento sobre subtotal]])</f>
        <v>0</v>
      </c>
      <c r="P788" s="83">
        <f>+IF(PROVEEDORES[[#This Row],[SUBTOTAL]]&lt;PROVEEDORES[[#This Row],[base retencion]],0,PROVEEDORES[[#This Row],[retención aplicada]])</f>
        <v>0</v>
      </c>
      <c r="Q788" s="22">
        <f>+PROVEEDORES[[#This Row],[Rete Fuente %]]*(PROVEEDORES[[#This Row],[SUBTOTAL]]-PROVEEDORES[[#This Row],[descuento sobre subtotal]])</f>
        <v>0</v>
      </c>
      <c r="R788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68">
        <f ca="1">IF(PROVEEDORES[[#This Row],[FECHA DE PAGO]]=0,TODAY()-PROVEEDORES[[#This Row],[FECHA DE FACTURACIÓN]]-PROVEEDORES[[#This Row],[PLAZO Días]],0)</f>
        <v>0</v>
      </c>
      <c r="U788" s="113">
        <f>+VLOOKUP(PROVEEDORES[[#This Row],[PROVEEDOR]],Terceros!$A:$D,4,FALSE)</f>
        <v>0</v>
      </c>
      <c r="V788" s="114">
        <f>+YEAR(PROVEEDORES[[#This Row],[FECHA DE FACTURACIÓN]])</f>
        <v>2022</v>
      </c>
      <c r="W788" s="114">
        <f>+MATCH(PROVEEDORES[[#This Row],[año facturado]],Retenciones!$1:$1,0)</f>
        <v>5</v>
      </c>
      <c r="X788" s="115">
        <f>+VLOOKUP(PROVEEDORES[[#This Row],[ID RETENCION]],Retenciones!$A$1:$O$25,PROVEEDORES[[#This Row],[indicador de columna]],FALSE)</f>
        <v>0</v>
      </c>
      <c r="Y788" s="116">
        <f>+VLOOKUP(PROVEEDORES[[#This Row],[ID RETENCION]],Retenciones!$A$1:$O$25,2,FALSE)</f>
        <v>0</v>
      </c>
      <c r="Z788" s="125" t="b">
        <f>OR(COUNTIF(PROVEEDORES[[#This Row],[PROVEEDOR]],"*"&amp;'Palabra no opera'!$A$2&amp;"*"))</f>
        <v>1</v>
      </c>
      <c r="AA788" s="24"/>
      <c r="AB788" s="24"/>
      <c r="AC788" s="24"/>
      <c r="AD788" s="24"/>
      <c r="AE788" s="24"/>
    </row>
    <row r="789" spans="1:31" ht="22.2" customHeight="1" x14ac:dyDescent="0.3">
      <c r="A789" s="66" t="str">
        <f>+IF(PROVEEDORES[[#This Row],[FECHA DE PAGO]]=PROVEEDORES[[#This Row],[FECHA DE FACTURACIÓN]],"DE CONTADO","CRÉDITO")</f>
        <v>CRÉDITO</v>
      </c>
      <c r="B789" s="38" t="b">
        <f>+IF((PROVEEDORES[[#This Row],[FECHA DE PAGO]]-PROVEEDORES[[#This Row],[FECHA DE FACTURACIÓN]])&gt;PROVEEDORES[[#This Row],[PLAZO Días]],"PAGO VENCIDO")</f>
        <v>0</v>
      </c>
      <c r="C789" s="20">
        <f>+VLOOKUP(PROVEEDORES[[#This Row],[PROVEEDOR]],TERCEROS_INFO[#All],2,FALSE)</f>
        <v>90</v>
      </c>
      <c r="D789" s="25">
        <f>+SUMIFS(PROVEEDORES[Total],PROVEEDORES[PROVEEDOR],PROVEEDORES[[#This Row],[PROVEEDOR]],PROVEEDORES[FECHA DE PAGO],"")</f>
        <v>2410000</v>
      </c>
      <c r="E789" s="25"/>
      <c r="F789" s="58" t="str">
        <f>+VLOOKUP(PROVEEDORES[[#This Row],[PROVEEDOR]],
                       Terceros!$A:$F,
                       5,
                       FALSE)</f>
        <v/>
      </c>
      <c r="G789" s="161">
        <v>44516</v>
      </c>
      <c r="H789" s="26" t="s">
        <v>651</v>
      </c>
      <c r="I789" s="161">
        <v>44439</v>
      </c>
      <c r="J789" s="35" t="s">
        <v>1489</v>
      </c>
      <c r="K789" s="21">
        <v>605000</v>
      </c>
      <c r="L789" s="21"/>
      <c r="M789" s="22">
        <f>(PROVEEDORES[[#This Row],[SUBTOTAL]]-PROVEEDORES[[#This Row],[descuento sobre subtotal]])*VLOOKUP(PROVEEDORES[[#This Row],[PROVEEDOR]],TERCEROS_INFO[#All],3,FALSE)</f>
        <v>0</v>
      </c>
      <c r="N789" s="23"/>
      <c r="O789" s="22">
        <f>+PROVEEDORES[[#This Row],[Descuento sobre subtotal %]]*(PROVEEDORES[[#This Row],[SUBTOTAL]]-PROVEEDORES[[#This Row],[descuento sobre subtotal]])</f>
        <v>0</v>
      </c>
      <c r="P789" s="83">
        <f>+IF(PROVEEDORES[[#This Row],[SUBTOTAL]]&lt;PROVEEDORES[[#This Row],[base retencion]],0,PROVEEDORES[[#This Row],[retención aplicada]])</f>
        <v>0</v>
      </c>
      <c r="Q789" s="22">
        <f>+PROVEEDORES[[#This Row],[Rete Fuente %]]*(PROVEEDORES[[#This Row],[SUBTOTAL]]-PROVEEDORES[[#This Row],[descuento sobre subtotal]])</f>
        <v>0</v>
      </c>
      <c r="R789" s="21">
        <f>+PROVEEDORES[[#This Row],[SUBTOTAL]]+PROVEEDORES[[#This Row],[IVA 19%]]-PROVEEDORES[[#This Row],[descuento sobre subtotal]]-PROVEEDORES[[#This Row],[Descuento sobre subtotal $2]]-PROVEEDORES[[#This Row],[Rete Fuente $]]</f>
        <v>605000</v>
      </c>
      <c r="S7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68">
        <f ca="1">IF(PROVEEDORES[[#This Row],[FECHA DE PAGO]]=0,TODAY()-PROVEEDORES[[#This Row],[FECHA DE FACTURACIÓN]]-PROVEEDORES[[#This Row],[PLAZO Días]],0)</f>
        <v>0</v>
      </c>
      <c r="U789" s="96">
        <f>+VLOOKUP(PROVEEDORES[[#This Row],[PROVEEDOR]],Terceros!$A:$D,4,FALSE)</f>
        <v>0</v>
      </c>
      <c r="V789" s="97">
        <f>+YEAR(PROVEEDORES[[#This Row],[FECHA DE FACTURACIÓN]])</f>
        <v>2021</v>
      </c>
      <c r="W789" s="97">
        <f>+MATCH(PROVEEDORES[[#This Row],[año facturado]],Retenciones!$1:$1,0)</f>
        <v>4</v>
      </c>
      <c r="X789" s="98">
        <f>+VLOOKUP(PROVEEDORES[[#This Row],[ID RETENCION]],Retenciones!$A$1:$O$25,PROVEEDORES[[#This Row],[indicador de columna]],FALSE)</f>
        <v>0</v>
      </c>
      <c r="Y789" s="99">
        <f>+VLOOKUP(PROVEEDORES[[#This Row],[ID RETENCION]],Retenciones!$A$1:$O$25,2,FALSE)</f>
        <v>0</v>
      </c>
      <c r="Z789" s="125" t="b">
        <f>OR(COUNTIF(PROVEEDORES[[#This Row],[PROVEEDOR]],"*"&amp;'Palabra no opera'!$A$2&amp;"*"))</f>
        <v>0</v>
      </c>
      <c r="AA789" s="24"/>
      <c r="AB789" s="24"/>
      <c r="AC789" s="24"/>
      <c r="AD789" s="24"/>
      <c r="AE789" s="24"/>
    </row>
    <row r="790" spans="1:31" ht="22.2" customHeight="1" x14ac:dyDescent="0.3">
      <c r="A790" s="66" t="str">
        <f>+IF(PROVEEDORES[[#This Row],[FECHA DE PAGO]]=PROVEEDORES[[#This Row],[FECHA DE FACTURACIÓN]],"DE CONTADO","CRÉDITO")</f>
        <v>CRÉDITO</v>
      </c>
      <c r="B790" s="38" t="b">
        <f>+IF((PROVEEDORES[[#This Row],[FECHA DE PAGO]]-PROVEEDORES[[#This Row],[FECHA DE FACTURACIÓN]])&gt;PROVEEDORES[[#This Row],[PLAZO Días]],"PAGO VENCIDO")</f>
        <v>0</v>
      </c>
      <c r="C790" s="20">
        <f>+VLOOKUP(PROVEEDORES[[#This Row],[PROVEEDOR]],TERCEROS_INFO[#All],2,FALSE)</f>
        <v>30</v>
      </c>
      <c r="D790" s="25">
        <f>+SUMIFS(PROVEEDORES[Total],PROVEEDORES[PROVEEDOR],PROVEEDORES[[#This Row],[PROVEEDOR]],PROVEEDORES[FECHA DE PAGO],"")</f>
        <v>0</v>
      </c>
      <c r="E790" s="25"/>
      <c r="F790" s="58">
        <f>+VLOOKUP(PROVEEDORES[[#This Row],[PROVEEDOR]],
                       Terceros!$A:$F,
                       5,
                       FALSE)</f>
        <v>0</v>
      </c>
      <c r="G790" s="161">
        <v>44484</v>
      </c>
      <c r="H790" s="26" t="s">
        <v>931</v>
      </c>
      <c r="I790" s="161">
        <v>44483</v>
      </c>
      <c r="J790" s="35" t="s">
        <v>1330</v>
      </c>
      <c r="K790" s="21">
        <v>524986</v>
      </c>
      <c r="L790" s="21"/>
      <c r="M790" s="22">
        <f>(PROVEEDORES[[#This Row],[SUBTOTAL]]-PROVEEDORES[[#This Row],[descuento sobre subtotal]])*VLOOKUP(PROVEEDORES[[#This Row],[PROVEEDOR]],TERCEROS_INFO[#All],3,FALSE)</f>
        <v>99747.34</v>
      </c>
      <c r="N790" s="23"/>
      <c r="O790" s="22">
        <f>+PROVEEDORES[[#This Row],[Descuento sobre subtotal %]]*(PROVEEDORES[[#This Row],[SUBTOTAL]]-PROVEEDORES[[#This Row],[descuento sobre subtotal]])</f>
        <v>0</v>
      </c>
      <c r="P790" s="83">
        <f>+IF(PROVEEDORES[[#This Row],[SUBTOTAL]]&lt;PROVEEDORES[[#This Row],[base retencion]],0,PROVEEDORES[[#This Row],[retención aplicada]])</f>
        <v>3.5000000000000003E-2</v>
      </c>
      <c r="Q790" s="22">
        <f>+PROVEEDORES[[#This Row],[Rete Fuente %]]*(PROVEEDORES[[#This Row],[SUBTOTAL]]-PROVEEDORES[[#This Row],[descuento sobre subtotal]])</f>
        <v>18374.510000000002</v>
      </c>
      <c r="R790" s="21">
        <f>+PROVEEDORES[[#This Row],[SUBTOTAL]]+PROVEEDORES[[#This Row],[IVA 19%]]-PROVEEDORES[[#This Row],[descuento sobre subtotal]]-PROVEEDORES[[#This Row],[Descuento sobre subtotal $2]]-PROVEEDORES[[#This Row],[Rete Fuente $]]</f>
        <v>606358.82999999996</v>
      </c>
      <c r="S7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68">
        <f ca="1">IF(PROVEEDORES[[#This Row],[FECHA DE PAGO]]=0,TODAY()-PROVEEDORES[[#This Row],[FECHA DE FACTURACIÓN]]-PROVEEDORES[[#This Row],[PLAZO Días]],0)</f>
        <v>0</v>
      </c>
      <c r="U790" s="96" t="str">
        <f>+VLOOKUP(PROVEEDORES[[#This Row],[PROVEEDOR]],Terceros!$A:$D,4,FALSE)</f>
        <v>3,5% sin base</v>
      </c>
      <c r="V790" s="97">
        <f>+YEAR(PROVEEDORES[[#This Row],[FECHA DE FACTURACIÓN]])</f>
        <v>2021</v>
      </c>
      <c r="W790" s="97">
        <f>+MATCH(PROVEEDORES[[#This Row],[año facturado]],Retenciones!$1:$1,0)</f>
        <v>4</v>
      </c>
      <c r="X790" s="98">
        <f>+VLOOKUP(PROVEEDORES[[#This Row],[ID RETENCION]],Retenciones!$A$1:$O$25,PROVEEDORES[[#This Row],[indicador de columna]],FALSE)</f>
        <v>0</v>
      </c>
      <c r="Y790" s="99">
        <f>+VLOOKUP(PROVEEDORES[[#This Row],[ID RETENCION]],Retenciones!$A$1:$O$25,2,FALSE)</f>
        <v>3.5000000000000003E-2</v>
      </c>
      <c r="Z790" s="125" t="b">
        <f>OR(COUNTIF(PROVEEDORES[[#This Row],[PROVEEDOR]],"*"&amp;'Palabra no opera'!$A$2&amp;"*"))</f>
        <v>1</v>
      </c>
      <c r="AA790" s="24"/>
      <c r="AB790" s="24"/>
      <c r="AC790" s="24"/>
      <c r="AD790" s="24"/>
      <c r="AE790" s="24"/>
    </row>
    <row r="791" spans="1:31" ht="22.2" customHeight="1" x14ac:dyDescent="0.3">
      <c r="A791" s="135" t="str">
        <f>+IF(PROVEEDORES[[#This Row],[FECHA DE PAGO]]=PROVEEDORES[[#This Row],[FECHA DE FACTURACIÓN]],"DE CONTADO","CRÉDITO")</f>
        <v>CRÉDITO</v>
      </c>
      <c r="B791" s="38" t="b">
        <f>+IF((PROVEEDORES[[#This Row],[FECHA DE PAGO]]-PROVEEDORES[[#This Row],[FECHA DE FACTURACIÓN]])&gt;PROVEEDORES[[#This Row],[PLAZO Días]],"PAGO VENCIDO")</f>
        <v>0</v>
      </c>
      <c r="C791" s="20">
        <f>+VLOOKUP(PROVEEDORES[[#This Row],[PROVEEDOR]],TERCEROS_INFO[#All],2,FALSE)</f>
        <v>8</v>
      </c>
      <c r="D791" s="25">
        <f>+SUMIFS(PROVEEDORES[Total],PROVEEDORES[PROVEEDOR],PROVEEDORES[[#This Row],[PROVEEDOR]],PROVEEDORES[FECHA DE PAGO],"")</f>
        <v>1814000</v>
      </c>
      <c r="E791" s="25"/>
      <c r="F791" s="58">
        <f>+VLOOKUP(PROVEEDORES[[#This Row],[PROVEEDOR]],
                       Terceros!$A:$F,
                       5,
                       FALSE)</f>
        <v>0</v>
      </c>
      <c r="G791" s="161">
        <v>44698</v>
      </c>
      <c r="H791" s="26" t="s">
        <v>966</v>
      </c>
      <c r="I791" s="161">
        <v>44691</v>
      </c>
      <c r="J791" s="35" t="s">
        <v>1595</v>
      </c>
      <c r="K791" s="21">
        <v>608000</v>
      </c>
      <c r="L791" s="21"/>
      <c r="M791" s="22">
        <f>(PROVEEDORES[[#This Row],[SUBTOTAL]]-PROVEEDORES[[#This Row],[descuento sobre subtotal]])*VLOOKUP(PROVEEDORES[[#This Row],[PROVEEDOR]],TERCEROS_INFO[#All],3,FALSE)</f>
        <v>0</v>
      </c>
      <c r="N791" s="23"/>
      <c r="O791" s="22">
        <f>+PROVEEDORES[[#This Row],[Descuento sobre subtotal %]]*(PROVEEDORES[[#This Row],[SUBTOTAL]]-PROVEEDORES[[#This Row],[descuento sobre subtotal]])</f>
        <v>0</v>
      </c>
      <c r="P791" s="83">
        <f>+IF(PROVEEDORES[[#This Row],[SUBTOTAL]]&lt;PROVEEDORES[[#This Row],[base retencion]],0,PROVEEDORES[[#This Row],[retención aplicada]])</f>
        <v>0</v>
      </c>
      <c r="Q791" s="22">
        <f>+PROVEEDORES[[#This Row],[Rete Fuente %]]*(PROVEEDORES[[#This Row],[SUBTOTAL]]-PROVEEDORES[[#This Row],[descuento sobre subtotal]])</f>
        <v>0</v>
      </c>
      <c r="R791" s="21">
        <f>+PROVEEDORES[[#This Row],[SUBTOTAL]]+PROVEEDORES[[#This Row],[IVA 19%]]-PROVEEDORES[[#This Row],[descuento sobre subtotal]]-PROVEEDORES[[#This Row],[Descuento sobre subtotal $2]]-PROVEEDORES[[#This Row],[Rete Fuente $]]</f>
        <v>608000</v>
      </c>
      <c r="S791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68">
        <f ca="1">IF(PROVEEDORES[[#This Row],[FECHA DE PAGO]]=0,TODAY()-PROVEEDORES[[#This Row],[FECHA DE FACTURACIÓN]]-PROVEEDORES[[#This Row],[PLAZO Días]],0)</f>
        <v>0</v>
      </c>
      <c r="U791" s="113">
        <f>+VLOOKUP(PROVEEDORES[[#This Row],[PROVEEDOR]],Terceros!$A:$D,4,FALSE)</f>
        <v>0</v>
      </c>
      <c r="V791" s="114">
        <f>+YEAR(PROVEEDORES[[#This Row],[FECHA DE FACTURACIÓN]])</f>
        <v>2022</v>
      </c>
      <c r="W791" s="114">
        <f>+MATCH(PROVEEDORES[[#This Row],[año facturado]],Retenciones!$1:$1,0)</f>
        <v>5</v>
      </c>
      <c r="X791" s="115">
        <f>+VLOOKUP(PROVEEDORES[[#This Row],[ID RETENCION]],Retenciones!$A$1:$O$25,PROVEEDORES[[#This Row],[indicador de columna]],FALSE)</f>
        <v>0</v>
      </c>
      <c r="Y791" s="116">
        <f>+VLOOKUP(PROVEEDORES[[#This Row],[ID RETENCION]],Retenciones!$A$1:$O$25,2,FALSE)</f>
        <v>0</v>
      </c>
      <c r="Z791" s="125" t="b">
        <f>OR(COUNTIF(PROVEEDORES[[#This Row],[PROVEEDOR]],"*"&amp;'Palabra no opera'!$A$2&amp;"*"))</f>
        <v>0</v>
      </c>
      <c r="AA791" s="24"/>
      <c r="AB791" s="24"/>
      <c r="AC791" s="24"/>
      <c r="AD791" s="24"/>
      <c r="AE791" s="24"/>
    </row>
    <row r="792" spans="1:31" ht="22.2" customHeight="1" x14ac:dyDescent="0.3">
      <c r="A792" s="66" t="str">
        <f>+IF(PROVEEDORES[[#This Row],[FECHA DE PAGO]]=PROVEEDORES[[#This Row],[FECHA DE FACTURACIÓN]],"DE CONTADO","CRÉDITO")</f>
        <v>CRÉDITO</v>
      </c>
      <c r="B792" s="38" t="b">
        <f>+IF((PROVEEDORES[[#This Row],[FECHA DE PAGO]]-PROVEEDORES[[#This Row],[FECHA DE FACTURACIÓN]])&gt;PROVEEDORES[[#This Row],[PLAZO Días]],"PAGO VENCIDO")</f>
        <v>0</v>
      </c>
      <c r="C792" s="20">
        <f>+VLOOKUP(PROVEEDORES[[#This Row],[PROVEEDOR]],TERCEROS_INFO[#All],2,FALSE)</f>
        <v>30</v>
      </c>
      <c r="D792" s="25">
        <f>+SUMIFS(PROVEEDORES[Total],PROVEEDORES[PROVEEDOR],PROVEEDORES[[#This Row],[PROVEEDOR]],PROVEEDORES[FECHA DE PAGO],"")</f>
        <v>4712021.58</v>
      </c>
      <c r="E792" s="25"/>
      <c r="F79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92" s="161">
        <v>44279</v>
      </c>
      <c r="H792" s="26" t="s">
        <v>17</v>
      </c>
      <c r="I792" s="161">
        <v>44256</v>
      </c>
      <c r="J792" s="35">
        <v>1733179</v>
      </c>
      <c r="K792" s="21">
        <v>512507</v>
      </c>
      <c r="L792" s="21"/>
      <c r="M792" s="22">
        <f>(PROVEEDORES[[#This Row],[SUBTOTAL]]-PROVEEDORES[[#This Row],[descuento sobre subtotal]])*VLOOKUP(PROVEEDORES[[#This Row],[PROVEEDOR]],TERCEROS_INFO[#All],3,FALSE)</f>
        <v>97376.33</v>
      </c>
      <c r="N792" s="23"/>
      <c r="O792" s="22">
        <f>+PROVEEDORES[[#This Row],[Descuento sobre subtotal %]]*(PROVEEDORES[[#This Row],[SUBTOTAL]]-PROVEEDORES[[#This Row],[descuento sobre subtotal]])</f>
        <v>0</v>
      </c>
      <c r="P792" s="83">
        <f>+IF(PROVEEDORES[[#This Row],[SUBTOTAL]]&lt;PROVEEDORES[[#This Row],[base retencion]],0,PROVEEDORES[[#This Row],[retención aplicada]])</f>
        <v>0</v>
      </c>
      <c r="Q792" s="22">
        <f>+PROVEEDORES[[#This Row],[Rete Fuente %]]*(PROVEEDORES[[#This Row],[SUBTOTAL]]-PROVEEDORES[[#This Row],[descuento sobre subtotal]])</f>
        <v>0</v>
      </c>
      <c r="R792" s="21">
        <f>+PROVEEDORES[[#This Row],[SUBTOTAL]]+PROVEEDORES[[#This Row],[IVA 19%]]-PROVEEDORES[[#This Row],[descuento sobre subtotal]]-PROVEEDORES[[#This Row],[Descuento sobre subtotal $2]]-PROVEEDORES[[#This Row],[Rete Fuente $]]</f>
        <v>609883.32999999996</v>
      </c>
      <c r="S7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68">
        <f ca="1">IF(PROVEEDORES[[#This Row],[FECHA DE PAGO]]=0,TODAY()-PROVEEDORES[[#This Row],[FECHA DE FACTURACIÓN]]-PROVEEDORES[[#This Row],[PLAZO Días]],0)</f>
        <v>0</v>
      </c>
      <c r="U792" s="96">
        <f>+VLOOKUP(PROVEEDORES[[#This Row],[PROVEEDOR]],Terceros!$A:$D,4,FALSE)</f>
        <v>0</v>
      </c>
      <c r="V792" s="97">
        <f>+YEAR(PROVEEDORES[[#This Row],[FECHA DE FACTURACIÓN]])</f>
        <v>2021</v>
      </c>
      <c r="W792" s="97">
        <f>+MATCH(PROVEEDORES[[#This Row],[año facturado]],Retenciones!$1:$1,0)</f>
        <v>4</v>
      </c>
      <c r="X792" s="98">
        <f>+VLOOKUP(PROVEEDORES[[#This Row],[ID RETENCION]],Retenciones!$A$1:$O$25,PROVEEDORES[[#This Row],[indicador de columna]],FALSE)</f>
        <v>0</v>
      </c>
      <c r="Y792" s="99">
        <f>+VLOOKUP(PROVEEDORES[[#This Row],[ID RETENCION]],Retenciones!$A$1:$O$25,2,FALSE)</f>
        <v>0</v>
      </c>
      <c r="Z792" s="125" t="b">
        <f>OR(COUNTIF(PROVEEDORES[[#This Row],[PROVEEDOR]],"*"&amp;'Palabra no opera'!$A$2&amp;"*"))</f>
        <v>0</v>
      </c>
      <c r="AA792" s="24"/>
      <c r="AB792" s="24"/>
      <c r="AC792" s="24"/>
      <c r="AD792" s="24"/>
      <c r="AE792" s="24"/>
    </row>
    <row r="793" spans="1:31" ht="22.2" customHeight="1" x14ac:dyDescent="0.3">
      <c r="A793" s="66" t="str">
        <f>+IF(PROVEEDORES[[#This Row],[FECHA DE PAGO]]=PROVEEDORES[[#This Row],[FECHA DE FACTURACIÓN]],"DE CONTADO","CRÉDITO")</f>
        <v>DE CONTADO</v>
      </c>
      <c r="B793" s="38" t="b">
        <f>+IF((PROVEEDORES[[#This Row],[FECHA DE PAGO]]-PROVEEDORES[[#This Row],[FECHA DE FACTURACIÓN]])&gt;PROVEEDORES[[#This Row],[PLAZO Días]],"PAGO VENCIDO")</f>
        <v>0</v>
      </c>
      <c r="C793" s="20">
        <f>+VLOOKUP(PROVEEDORES[[#This Row],[PROVEEDOR]],TERCEROS_INFO[#All],2,FALSE)</f>
        <v>30</v>
      </c>
      <c r="D793" s="25">
        <f>+SUMIFS(PROVEEDORES[Total],PROVEEDORES[PROVEEDOR],PROVEEDORES[[#This Row],[PROVEEDOR]],PROVEEDORES[FECHA DE PAGO],"")</f>
        <v>0</v>
      </c>
      <c r="E793" s="25"/>
      <c r="F793" s="58" t="str">
        <f>+VLOOKUP(PROVEEDORES[[#This Row],[PROVEEDOR]],
                       Terceros!$A:$F,
                       5,
                       FALSE)</f>
        <v/>
      </c>
      <c r="G793" s="161">
        <v>44550</v>
      </c>
      <c r="H793" s="26" t="s">
        <v>635</v>
      </c>
      <c r="I793" s="161">
        <v>44550</v>
      </c>
      <c r="J793" s="35" t="s">
        <v>1546</v>
      </c>
      <c r="K793" s="21">
        <v>610000</v>
      </c>
      <c r="L793" s="21"/>
      <c r="M793" s="22">
        <f>(PROVEEDORES[[#This Row],[SUBTOTAL]]-PROVEEDORES[[#This Row],[descuento sobre subtotal]])*VLOOKUP(PROVEEDORES[[#This Row],[PROVEEDOR]],TERCEROS_INFO[#All],3,FALSE)</f>
        <v>0</v>
      </c>
      <c r="N793" s="23"/>
      <c r="O793" s="22">
        <f>+PROVEEDORES[[#This Row],[Descuento sobre subtotal %]]*(PROVEEDORES[[#This Row],[SUBTOTAL]]-PROVEEDORES[[#This Row],[descuento sobre subtotal]])</f>
        <v>0</v>
      </c>
      <c r="P793" s="83">
        <f>+IF(PROVEEDORES[[#This Row],[SUBTOTAL]]&lt;PROVEEDORES[[#This Row],[base retencion]],0,PROVEEDORES[[#This Row],[retención aplicada]])</f>
        <v>0</v>
      </c>
      <c r="Q793" s="22">
        <f>+PROVEEDORES[[#This Row],[Rete Fuente %]]*(PROVEEDORES[[#This Row],[SUBTOTAL]]-PROVEEDORES[[#This Row],[descuento sobre subtotal]])</f>
        <v>0</v>
      </c>
      <c r="R793" s="21">
        <f>+PROVEEDORES[[#This Row],[SUBTOTAL]]+PROVEEDORES[[#This Row],[IVA 19%]]-PROVEEDORES[[#This Row],[descuento sobre subtotal]]-PROVEEDORES[[#This Row],[Descuento sobre subtotal $2]]-PROVEEDORES[[#This Row],[Rete Fuente $]]</f>
        <v>610000</v>
      </c>
      <c r="S7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68">
        <f ca="1">IF(PROVEEDORES[[#This Row],[FECHA DE PAGO]]=0,TODAY()-PROVEEDORES[[#This Row],[FECHA DE FACTURACIÓN]]-PROVEEDORES[[#This Row],[PLAZO Días]],0)</f>
        <v>0</v>
      </c>
      <c r="U793" s="96">
        <f>+VLOOKUP(PROVEEDORES[[#This Row],[PROVEEDOR]],Terceros!$A:$D,4,FALSE)</f>
        <v>0</v>
      </c>
      <c r="V793" s="97">
        <f>+YEAR(PROVEEDORES[[#This Row],[FECHA DE FACTURACIÓN]])</f>
        <v>2021</v>
      </c>
      <c r="W793" s="97">
        <f>+MATCH(PROVEEDORES[[#This Row],[año facturado]],Retenciones!$1:$1,0)</f>
        <v>4</v>
      </c>
      <c r="X793" s="98">
        <f>+VLOOKUP(PROVEEDORES[[#This Row],[ID RETENCION]],Retenciones!$A$1:$O$25,PROVEEDORES[[#This Row],[indicador de columna]],FALSE)</f>
        <v>0</v>
      </c>
      <c r="Y793" s="99">
        <f>+VLOOKUP(PROVEEDORES[[#This Row],[ID RETENCION]],Retenciones!$A$1:$O$25,2,FALSE)</f>
        <v>0</v>
      </c>
      <c r="Z793" s="125" t="b">
        <f>OR(COUNTIF(PROVEEDORES[[#This Row],[PROVEEDOR]],"*"&amp;'Palabra no opera'!$A$2&amp;"*"))</f>
        <v>0</v>
      </c>
      <c r="AA793" s="24"/>
      <c r="AB793" s="24"/>
      <c r="AC793" s="24"/>
      <c r="AD793" s="24"/>
      <c r="AE793" s="24"/>
    </row>
    <row r="794" spans="1:31" ht="22.2" customHeight="1" x14ac:dyDescent="0.3">
      <c r="A794" s="159" t="str">
        <f>+IF(PROVEEDORES[[#This Row],[FECHA DE PAGO]]=PROVEEDORES[[#This Row],[FECHA DE FACTURACIÓN]],"DE CONTADO","CRÉDITO")</f>
        <v>CRÉDITO</v>
      </c>
      <c r="B794" s="38" t="str">
        <f>+IF((PROVEEDORES[[#This Row],[FECHA DE PAGO]]-PROVEEDORES[[#This Row],[FECHA DE FACTURACIÓN]])&gt;PROVEEDORES[[#This Row],[PLAZO Días]],"PAGO VENCIDO")</f>
        <v>PAGO VENCIDO</v>
      </c>
      <c r="C794" s="20">
        <f>+VLOOKUP(PROVEEDORES[[#This Row],[PROVEEDOR]],TERCEROS_INFO[#All],2,FALSE)</f>
        <v>30</v>
      </c>
      <c r="D794" s="25">
        <f>+SUMIFS(PROVEEDORES[Total],PROVEEDORES[PROVEEDOR],PROVEEDORES[[#This Row],[PROVEEDOR]],PROVEEDORES[FECHA DE PAGO],"")</f>
        <v>23124164.219999999</v>
      </c>
      <c r="E794" s="25"/>
      <c r="F79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94" s="161">
        <v>44776</v>
      </c>
      <c r="H794" s="26" t="s">
        <v>18</v>
      </c>
      <c r="I794" s="161">
        <v>44721</v>
      </c>
      <c r="J794" s="35">
        <v>1054749</v>
      </c>
      <c r="K794" s="21">
        <v>514263.6</v>
      </c>
      <c r="L794" s="21"/>
      <c r="M794" s="22">
        <f>(PROVEEDORES[[#This Row],[SUBTOTAL]]-PROVEEDORES[[#This Row],[descuento sobre subtotal]])*VLOOKUP(PROVEEDORES[[#This Row],[PROVEEDOR]],TERCEROS_INFO[#All],3,FALSE)</f>
        <v>97710.084000000003</v>
      </c>
      <c r="N794" s="23"/>
      <c r="O794" s="22">
        <f>+PROVEEDORES[[#This Row],[Descuento sobre subtotal %]]*(PROVEEDORES[[#This Row],[SUBTOTAL]]-PROVEEDORES[[#This Row],[descuento sobre subtotal]])</f>
        <v>0</v>
      </c>
      <c r="P794" s="83">
        <f>+IF(PROVEEDORES[[#This Row],[SUBTOTAL]]&lt;PROVEEDORES[[#This Row],[base retencion]],0,PROVEEDORES[[#This Row],[retención aplicada]])</f>
        <v>0</v>
      </c>
      <c r="Q794" s="22">
        <f>+PROVEEDORES[[#This Row],[Rete Fuente %]]*(PROVEEDORES[[#This Row],[SUBTOTAL]]-PROVEEDORES[[#This Row],[descuento sobre subtotal]])</f>
        <v>0</v>
      </c>
      <c r="R794" s="21">
        <f>+PROVEEDORES[[#This Row],[SUBTOTAL]]+PROVEEDORES[[#This Row],[IVA 19%]]-PROVEEDORES[[#This Row],[descuento sobre subtotal]]-PROVEEDORES[[#This Row],[Descuento sobre subtotal $2]]-PROVEEDORES[[#This Row],[Rete Fuente $]]</f>
        <v>611973.68400000001</v>
      </c>
      <c r="S79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68">
        <f ca="1">IF(PROVEEDORES[[#This Row],[FECHA DE PAGO]]=0,TODAY()-PROVEEDORES[[#This Row],[FECHA DE FACTURACIÓN]]-PROVEEDORES[[#This Row],[PLAZO Días]],0)</f>
        <v>0</v>
      </c>
      <c r="U794" s="113" t="str">
        <f>+VLOOKUP(PROVEEDORES[[#This Row],[PROVEEDOR]],Terceros!$A:$D,4,FALSE)</f>
        <v>2,5% con base</v>
      </c>
      <c r="V794" s="114">
        <f>+YEAR(PROVEEDORES[[#This Row],[FECHA DE FACTURACIÓN]])</f>
        <v>2022</v>
      </c>
      <c r="W794" s="114">
        <f>+MATCH(PROVEEDORES[[#This Row],[año facturado]],Retenciones!$1:$1,0)</f>
        <v>5</v>
      </c>
      <c r="X794" s="115">
        <f>+VLOOKUP(PROVEEDORES[[#This Row],[ID RETENCION]],Retenciones!$A$1:$O$25,PROVEEDORES[[#This Row],[indicador de columna]],FALSE)</f>
        <v>1026000</v>
      </c>
      <c r="Y794" s="116">
        <f>+VLOOKUP(PROVEEDORES[[#This Row],[ID RETENCION]],Retenciones!$A$1:$O$25,2,FALSE)</f>
        <v>2.5000000000000001E-2</v>
      </c>
      <c r="Z794" s="125" t="b">
        <f>OR(COUNTIF(PROVEEDORES[[#This Row],[PROVEEDOR]],"*"&amp;'Palabra no opera'!$A$2&amp;"*"))</f>
        <v>0</v>
      </c>
      <c r="AA794" s="24"/>
      <c r="AB794" s="24"/>
      <c r="AC794" s="24"/>
      <c r="AD794" s="24"/>
      <c r="AE794" s="24"/>
    </row>
    <row r="795" spans="1:31" ht="22.2" customHeight="1" x14ac:dyDescent="0.3">
      <c r="A795" s="66" t="str">
        <f>+IF(PROVEEDORES[[#This Row],[FECHA DE PAGO]]=PROVEEDORES[[#This Row],[FECHA DE FACTURACIÓN]],"DE CONTADO","CRÉDITO")</f>
        <v>DE CONTADO</v>
      </c>
      <c r="B795" s="38" t="b">
        <f>+IF((PROVEEDORES[[#This Row],[FECHA DE PAGO]]-PROVEEDORES[[#This Row],[FECHA DE FACTURACIÓN]])&gt;PROVEEDORES[[#This Row],[PLAZO Días]],"PAGO VENCIDO")</f>
        <v>0</v>
      </c>
      <c r="C795" s="20">
        <f>+VLOOKUP(PROVEEDORES[[#This Row],[PROVEEDOR]],TERCEROS_INFO[#All],2,FALSE)</f>
        <v>30</v>
      </c>
      <c r="D795" s="25">
        <f>+SUMIFS(PROVEEDORES[Total],PROVEEDORES[PROVEEDOR],PROVEEDORES[[#This Row],[PROVEEDOR]],PROVEEDORES[FECHA DE PAGO],"")</f>
        <v>0</v>
      </c>
      <c r="E795" s="25"/>
      <c r="F795" s="58" t="str">
        <f>+VLOOKUP(PROVEEDORES[[#This Row],[PROVEEDOR]],
                       Terceros!$A:$F,
                       5,
                       FALSE)</f>
        <v/>
      </c>
      <c r="G795" s="161">
        <v>44447</v>
      </c>
      <c r="H795" s="26" t="s">
        <v>624</v>
      </c>
      <c r="I795" s="161">
        <v>44447</v>
      </c>
      <c r="J795" s="35" t="s">
        <v>1492</v>
      </c>
      <c r="K795" s="21">
        <v>612000</v>
      </c>
      <c r="L795" s="21"/>
      <c r="M795" s="22">
        <f>(PROVEEDORES[[#This Row],[SUBTOTAL]]-PROVEEDORES[[#This Row],[descuento sobre subtotal]])*VLOOKUP(PROVEEDORES[[#This Row],[PROVEEDOR]],TERCEROS_INFO[#All],3,FALSE)</f>
        <v>0</v>
      </c>
      <c r="N795" s="23"/>
      <c r="O795" s="22">
        <f>+PROVEEDORES[[#This Row],[Descuento sobre subtotal %]]*(PROVEEDORES[[#This Row],[SUBTOTAL]]-PROVEEDORES[[#This Row],[descuento sobre subtotal]])</f>
        <v>0</v>
      </c>
      <c r="P795" s="83">
        <f>+IF(PROVEEDORES[[#This Row],[SUBTOTAL]]&lt;PROVEEDORES[[#This Row],[base retencion]],0,PROVEEDORES[[#This Row],[retención aplicada]])</f>
        <v>0</v>
      </c>
      <c r="Q795" s="22">
        <f>+PROVEEDORES[[#This Row],[Rete Fuente %]]*(PROVEEDORES[[#This Row],[SUBTOTAL]]-PROVEEDORES[[#This Row],[descuento sobre subtotal]])</f>
        <v>0</v>
      </c>
      <c r="R795" s="21">
        <f>+PROVEEDORES[[#This Row],[SUBTOTAL]]+PROVEEDORES[[#This Row],[IVA 19%]]-PROVEEDORES[[#This Row],[descuento sobre subtotal]]-PROVEEDORES[[#This Row],[Descuento sobre subtotal $2]]-PROVEEDORES[[#This Row],[Rete Fuente $]]</f>
        <v>612000</v>
      </c>
      <c r="S7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68">
        <f ca="1">IF(PROVEEDORES[[#This Row],[FECHA DE PAGO]]=0,TODAY()-PROVEEDORES[[#This Row],[FECHA DE FACTURACIÓN]]-PROVEEDORES[[#This Row],[PLAZO Días]],0)</f>
        <v>0</v>
      </c>
      <c r="U795" s="96">
        <f>+VLOOKUP(PROVEEDORES[[#This Row],[PROVEEDOR]],Terceros!$A:$D,4,FALSE)</f>
        <v>0</v>
      </c>
      <c r="V795" s="97">
        <f>+YEAR(PROVEEDORES[[#This Row],[FECHA DE FACTURACIÓN]])</f>
        <v>2021</v>
      </c>
      <c r="W795" s="97">
        <f>+MATCH(PROVEEDORES[[#This Row],[año facturado]],Retenciones!$1:$1,0)</f>
        <v>4</v>
      </c>
      <c r="X795" s="98">
        <f>+VLOOKUP(PROVEEDORES[[#This Row],[ID RETENCION]],Retenciones!$A$1:$O$25,PROVEEDORES[[#This Row],[indicador de columna]],FALSE)</f>
        <v>0</v>
      </c>
      <c r="Y795" s="99">
        <f>+VLOOKUP(PROVEEDORES[[#This Row],[ID RETENCION]],Retenciones!$A$1:$O$25,2,FALSE)</f>
        <v>0</v>
      </c>
      <c r="Z795" s="125" t="b">
        <f>OR(COUNTIF(PROVEEDORES[[#This Row],[PROVEEDOR]],"*"&amp;'Palabra no opera'!$A$2&amp;"*"))</f>
        <v>0</v>
      </c>
      <c r="AA795" s="24"/>
      <c r="AB795" s="24"/>
      <c r="AC795" s="24"/>
      <c r="AD795" s="24"/>
      <c r="AE795" s="24"/>
    </row>
    <row r="796" spans="1:31" ht="22.2" customHeight="1" x14ac:dyDescent="0.3">
      <c r="A796" s="66" t="str">
        <f>+IF(PROVEEDORES[[#This Row],[FECHA DE PAGO]]=PROVEEDORES[[#This Row],[FECHA DE FACTURACIÓN]],"DE CONTADO","CRÉDITO")</f>
        <v>CRÉDITO</v>
      </c>
      <c r="B796" s="38" t="str">
        <f>+IF((PROVEEDORES[[#This Row],[FECHA DE PAGO]]-PROVEEDORES[[#This Row],[FECHA DE FACTURACIÓN]])&gt;PROVEEDORES[[#This Row],[PLAZO Días]],"PAGO VENCIDO")</f>
        <v>PAGO VENCIDO</v>
      </c>
      <c r="C796" s="20">
        <f>+VLOOKUP(PROVEEDORES[[#This Row],[PROVEEDOR]],TERCEROS_INFO[#All],2,FALSE)</f>
        <v>45</v>
      </c>
      <c r="D796" s="25">
        <f>+SUMIFS(PROVEEDORES[Total],PROVEEDORES[PROVEEDOR],PROVEEDORES[[#This Row],[PROVEEDOR]],PROVEEDORES[FECHA DE PAGO],"")</f>
        <v>2604910</v>
      </c>
      <c r="E796" s="25"/>
      <c r="F79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96" s="161">
        <v>44718</v>
      </c>
      <c r="H796" s="26" t="s">
        <v>10</v>
      </c>
      <c r="I796" s="161">
        <v>44657</v>
      </c>
      <c r="J796" s="35" t="s">
        <v>857</v>
      </c>
      <c r="K796" s="21">
        <v>516000</v>
      </c>
      <c r="L796" s="21"/>
      <c r="M796" s="22">
        <f>(PROVEEDORES[[#This Row],[SUBTOTAL]]-PROVEEDORES[[#This Row],[descuento sobre subtotal]])*VLOOKUP(PROVEEDORES[[#This Row],[PROVEEDOR]],TERCEROS_INFO[#All],3,FALSE)</f>
        <v>98040</v>
      </c>
      <c r="N796" s="23"/>
      <c r="O796" s="22">
        <f>+PROVEEDORES[[#This Row],[Descuento sobre subtotal %]]*(PROVEEDORES[[#This Row],[SUBTOTAL]]-PROVEEDORES[[#This Row],[descuento sobre subtotal]])</f>
        <v>0</v>
      </c>
      <c r="P796" s="83">
        <f>+IF(PROVEEDORES[[#This Row],[SUBTOTAL]]&lt;PROVEEDORES[[#This Row],[base retencion]],0,PROVEEDORES[[#This Row],[retención aplicada]])</f>
        <v>0</v>
      </c>
      <c r="Q796" s="22">
        <f>+PROVEEDORES[[#This Row],[Rete Fuente %]]*(PROVEEDORES[[#This Row],[SUBTOTAL]]-PROVEEDORES[[#This Row],[descuento sobre subtotal]])</f>
        <v>0</v>
      </c>
      <c r="R796" s="21">
        <f>+PROVEEDORES[[#This Row],[SUBTOTAL]]+PROVEEDORES[[#This Row],[IVA 19%]]-PROVEEDORES[[#This Row],[descuento sobre subtotal]]-PROVEEDORES[[#This Row],[Descuento sobre subtotal $2]]-PROVEEDORES[[#This Row],[Rete Fuente $]]</f>
        <v>614040</v>
      </c>
      <c r="S7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68">
        <f ca="1">IF(PROVEEDORES[[#This Row],[FECHA DE PAGO]]=0,TODAY()-PROVEEDORES[[#This Row],[FECHA DE FACTURACIÓN]]-PROVEEDORES[[#This Row],[PLAZO Días]],0)</f>
        <v>0</v>
      </c>
      <c r="U796" s="96">
        <f>+VLOOKUP(PROVEEDORES[[#This Row],[PROVEEDOR]],Terceros!$A:$D,4,FALSE)</f>
        <v>0</v>
      </c>
      <c r="V796" s="97">
        <f>+YEAR(PROVEEDORES[[#This Row],[FECHA DE FACTURACIÓN]])</f>
        <v>2022</v>
      </c>
      <c r="W796" s="97">
        <f>+MATCH(PROVEEDORES[[#This Row],[año facturado]],Retenciones!$1:$1,0)</f>
        <v>5</v>
      </c>
      <c r="X796" s="98">
        <f>+VLOOKUP(PROVEEDORES[[#This Row],[ID RETENCION]],Retenciones!$A$1:$O$25,PROVEEDORES[[#This Row],[indicador de columna]],FALSE)</f>
        <v>0</v>
      </c>
      <c r="Y796" s="99">
        <f>+VLOOKUP(PROVEEDORES[[#This Row],[ID RETENCION]],Retenciones!$A$1:$O$25,2,FALSE)</f>
        <v>0</v>
      </c>
      <c r="Z796" s="125" t="b">
        <f>OR(COUNTIF(PROVEEDORES[[#This Row],[PROVEEDOR]],"*"&amp;'Palabra no opera'!$A$2&amp;"*"))</f>
        <v>0</v>
      </c>
      <c r="AA796" s="24"/>
      <c r="AB796" s="24"/>
      <c r="AC796" s="24"/>
      <c r="AD796" s="24"/>
      <c r="AE796" s="24"/>
    </row>
    <row r="797" spans="1:31" ht="22.2" customHeight="1" x14ac:dyDescent="0.3">
      <c r="A797" s="66" t="str">
        <f>+IF(PROVEEDORES[[#This Row],[FECHA DE PAGO]]=PROVEEDORES[[#This Row],[FECHA DE FACTURACIÓN]],"DE CONTADO","CRÉDITO")</f>
        <v>CRÉDITO</v>
      </c>
      <c r="B797" s="38" t="b">
        <f>+IF((PROVEEDORES[[#This Row],[FECHA DE PAGO]]-PROVEEDORES[[#This Row],[FECHA DE FACTURACIÓN]])&gt;PROVEEDORES[[#This Row],[PLAZO Días]],"PAGO VENCIDO")</f>
        <v>0</v>
      </c>
      <c r="C797" s="20">
        <f>+VLOOKUP(PROVEEDORES[[#This Row],[PROVEEDOR]],TERCEROS_INFO[#All],2,FALSE)</f>
        <v>30</v>
      </c>
      <c r="D797" s="25">
        <f>+SUMIFS(PROVEEDORES[Total],PROVEEDORES[PROVEEDOR],PROVEEDORES[[#This Row],[PROVEEDOR]],PROVEEDORES[FECHA DE PAGO],"")</f>
        <v>0</v>
      </c>
      <c r="E797" s="25"/>
      <c r="F79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7" s="161">
        <v>44510</v>
      </c>
      <c r="H797" s="26" t="s">
        <v>1451</v>
      </c>
      <c r="I797" s="161">
        <v>44508</v>
      </c>
      <c r="J797" s="35">
        <v>159</v>
      </c>
      <c r="K797" s="21">
        <v>624000</v>
      </c>
      <c r="L797" s="21"/>
      <c r="M797" s="22">
        <f>(PROVEEDORES[[#This Row],[SUBTOTAL]]-PROVEEDORES[[#This Row],[descuento sobre subtotal]])*VLOOKUP(PROVEEDORES[[#This Row],[PROVEEDOR]],TERCEROS_INFO[#All],3,FALSE)</f>
        <v>0</v>
      </c>
      <c r="N797" s="23"/>
      <c r="O797" s="22">
        <f>+PROVEEDORES[[#This Row],[Descuento sobre subtotal %]]*(PROVEEDORES[[#This Row],[SUBTOTAL]]-PROVEEDORES[[#This Row],[descuento sobre subtotal]])</f>
        <v>0</v>
      </c>
      <c r="P797" s="83">
        <f>+IF(PROVEEDORES[[#This Row],[SUBTOTAL]]&lt;PROVEEDORES[[#This Row],[base retencion]],0,PROVEEDORES[[#This Row],[retención aplicada]])</f>
        <v>0.01</v>
      </c>
      <c r="Q797" s="22">
        <f>+PROVEEDORES[[#This Row],[Rete Fuente %]]*(PROVEEDORES[[#This Row],[SUBTOTAL]]-PROVEEDORES[[#This Row],[descuento sobre subtotal]])</f>
        <v>6240</v>
      </c>
      <c r="R797" s="21">
        <f>+PROVEEDORES[[#This Row],[SUBTOTAL]]+PROVEEDORES[[#This Row],[IVA 19%]]-PROVEEDORES[[#This Row],[descuento sobre subtotal]]-PROVEEDORES[[#This Row],[Descuento sobre subtotal $2]]-PROVEEDORES[[#This Row],[Rete Fuente $]]</f>
        <v>617760</v>
      </c>
      <c r="S7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68">
        <f ca="1">IF(PROVEEDORES[[#This Row],[FECHA DE PAGO]]=0,TODAY()-PROVEEDORES[[#This Row],[FECHA DE FACTURACIÓN]]-PROVEEDORES[[#This Row],[PLAZO Días]],0)</f>
        <v>0</v>
      </c>
      <c r="U797" s="96" t="str">
        <f>+VLOOKUP(PROVEEDORES[[#This Row],[PROVEEDOR]],Terceros!$A:$D,4,FALSE)</f>
        <v>1% con base</v>
      </c>
      <c r="V797" s="97">
        <f>+YEAR(PROVEEDORES[[#This Row],[FECHA DE FACTURACIÓN]])</f>
        <v>2021</v>
      </c>
      <c r="W797" s="97">
        <f>+MATCH(PROVEEDORES[[#This Row],[año facturado]],Retenciones!$1:$1,0)</f>
        <v>4</v>
      </c>
      <c r="X797" s="98">
        <f>+VLOOKUP(PROVEEDORES[[#This Row],[ID RETENCION]],Retenciones!$A$1:$O$25,PROVEEDORES[[#This Row],[indicador de columna]],FALSE)</f>
        <v>145000</v>
      </c>
      <c r="Y797" s="99">
        <f>+VLOOKUP(PROVEEDORES[[#This Row],[ID RETENCION]],Retenciones!$A$1:$O$25,2,FALSE)</f>
        <v>0.01</v>
      </c>
      <c r="Z797" s="125" t="b">
        <f>OR(COUNTIF(PROVEEDORES[[#This Row],[PROVEEDOR]],"*"&amp;'Palabra no opera'!$A$2&amp;"*"))</f>
        <v>0</v>
      </c>
      <c r="AA797" s="24"/>
      <c r="AB797" s="24"/>
      <c r="AC797" s="24"/>
      <c r="AD797" s="24"/>
      <c r="AE797" s="24"/>
    </row>
    <row r="798" spans="1:31" ht="22.2" customHeight="1" x14ac:dyDescent="0.3">
      <c r="A798" s="66" t="str">
        <f>+IF(PROVEEDORES[[#This Row],[FECHA DE PAGO]]=PROVEEDORES[[#This Row],[FECHA DE FACTURACIÓN]],"DE CONTADO","CRÉDITO")</f>
        <v>CRÉDITO</v>
      </c>
      <c r="B798" s="38" t="str">
        <f>+IF((PROVEEDORES[[#This Row],[FECHA DE PAGO]]-PROVEEDORES[[#This Row],[FECHA DE FACTURACIÓN]])&gt;PROVEEDORES[[#This Row],[PLAZO Días]],"PAGO VENCIDO")</f>
        <v>PAGO VENCIDO</v>
      </c>
      <c r="C798" s="20">
        <f>+VLOOKUP(PROVEEDORES[[#This Row],[PROVEEDOR]],TERCEROS_INFO[#All],2,FALSE)</f>
        <v>30</v>
      </c>
      <c r="D798" s="25">
        <f>+SUMIFS(PROVEEDORES[Total],PROVEEDORES[PROVEEDOR],PROVEEDORES[[#This Row],[PROVEEDOR]],PROVEEDORES[FECHA DE PAGO],"")</f>
        <v>0</v>
      </c>
      <c r="E798" s="25"/>
      <c r="F798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798" s="161">
        <v>44476</v>
      </c>
      <c r="H798" s="26" t="s">
        <v>39</v>
      </c>
      <c r="I798" s="161">
        <v>44442</v>
      </c>
      <c r="J798" s="35">
        <v>785</v>
      </c>
      <c r="K798" s="21">
        <v>519820</v>
      </c>
      <c r="L798" s="21"/>
      <c r="M798" s="22">
        <f>(PROVEEDORES[[#This Row],[SUBTOTAL]]-PROVEEDORES[[#This Row],[descuento sobre subtotal]])*VLOOKUP(PROVEEDORES[[#This Row],[PROVEEDOR]],TERCEROS_INFO[#All],3,FALSE)</f>
        <v>98765.8</v>
      </c>
      <c r="N798" s="23"/>
      <c r="O798" s="22">
        <f>+PROVEEDORES[[#This Row],[Descuento sobre subtotal %]]*(PROVEEDORES[[#This Row],[SUBTOTAL]]-PROVEEDORES[[#This Row],[descuento sobre subtotal]])</f>
        <v>0</v>
      </c>
      <c r="P798" s="83">
        <f>+IF(PROVEEDORES[[#This Row],[SUBTOTAL]]&lt;PROVEEDORES[[#This Row],[base retencion]],0,PROVEEDORES[[#This Row],[retención aplicada]])</f>
        <v>0</v>
      </c>
      <c r="Q798" s="22">
        <f>+PROVEEDORES[[#This Row],[Rete Fuente %]]*(PROVEEDORES[[#This Row],[SUBTOTAL]]-PROVEEDORES[[#This Row],[descuento sobre subtotal]])</f>
        <v>0</v>
      </c>
      <c r="R798" s="21">
        <f>+PROVEEDORES[[#This Row],[SUBTOTAL]]+PROVEEDORES[[#This Row],[IVA 19%]]-PROVEEDORES[[#This Row],[descuento sobre subtotal]]-PROVEEDORES[[#This Row],[Descuento sobre subtotal $2]]-PROVEEDORES[[#This Row],[Rete Fuente $]]</f>
        <v>618585.80000000005</v>
      </c>
      <c r="S7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68">
        <f ca="1">IF(PROVEEDORES[[#This Row],[FECHA DE PAGO]]=0,TODAY()-PROVEEDORES[[#This Row],[FECHA DE FACTURACIÓN]]-PROVEEDORES[[#This Row],[PLAZO Días]],0)</f>
        <v>0</v>
      </c>
      <c r="U798" s="96" t="str">
        <f>+VLOOKUP(PROVEEDORES[[#This Row],[PROVEEDOR]],Terceros!$A:$D,4,FALSE)</f>
        <v>2,5% con base</v>
      </c>
      <c r="V798" s="97">
        <f>+YEAR(PROVEEDORES[[#This Row],[FECHA DE FACTURACIÓN]])</f>
        <v>2021</v>
      </c>
      <c r="W798" s="97">
        <f>+MATCH(PROVEEDORES[[#This Row],[año facturado]],Retenciones!$1:$1,0)</f>
        <v>4</v>
      </c>
      <c r="X798" s="98">
        <f>+VLOOKUP(PROVEEDORES[[#This Row],[ID RETENCION]],Retenciones!$A$1:$O$25,PROVEEDORES[[#This Row],[indicador de columna]],FALSE)</f>
        <v>980000</v>
      </c>
      <c r="Y798" s="99">
        <f>+VLOOKUP(PROVEEDORES[[#This Row],[ID RETENCION]],Retenciones!$A$1:$O$25,2,FALSE)</f>
        <v>2.5000000000000001E-2</v>
      </c>
      <c r="Z798" s="125" t="b">
        <f>OR(COUNTIF(PROVEEDORES[[#This Row],[PROVEEDOR]],"*"&amp;'Palabra no opera'!$A$2&amp;"*"))</f>
        <v>0</v>
      </c>
      <c r="AA798" s="24"/>
      <c r="AB798" s="24"/>
      <c r="AC798" s="24"/>
      <c r="AD798" s="24"/>
      <c r="AE798" s="24"/>
    </row>
    <row r="799" spans="1:31" ht="22.2" customHeight="1" x14ac:dyDescent="0.3">
      <c r="A799" s="66" t="str">
        <f>+IF(PROVEEDORES[[#This Row],[FECHA DE PAGO]]=PROVEEDORES[[#This Row],[FECHA DE FACTURACIÓN]],"DE CONTADO","CRÉDITO")</f>
        <v>CRÉDITO</v>
      </c>
      <c r="B799" s="38" t="str">
        <f>+IF((PROVEEDORES[[#This Row],[FECHA DE PAGO]]-PROVEEDORES[[#This Row],[FECHA DE FACTURACIÓN]])&gt;PROVEEDORES[[#This Row],[PLAZO Días]],"PAGO VENCIDO")</f>
        <v>PAGO VENCIDO</v>
      </c>
      <c r="C799" s="20">
        <f>+VLOOKUP(PROVEEDORES[[#This Row],[PROVEEDOR]],TERCEROS_INFO[#All],2,FALSE)</f>
        <v>30</v>
      </c>
      <c r="D799" s="25">
        <f>+SUMIFS(PROVEEDORES[Total],PROVEEDORES[PROVEEDOR],PROVEEDORES[[#This Row],[PROVEEDOR]],PROVEEDORES[FECHA DE PAGO],"")</f>
        <v>4712021.58</v>
      </c>
      <c r="E799" s="25"/>
      <c r="F79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99" s="161">
        <v>44510</v>
      </c>
      <c r="H799" s="26" t="s">
        <v>17</v>
      </c>
      <c r="I799" s="161">
        <v>44474</v>
      </c>
      <c r="J799" s="35">
        <v>1822901</v>
      </c>
      <c r="K799" s="21">
        <v>521600</v>
      </c>
      <c r="L799" s="21"/>
      <c r="M799" s="22">
        <f>(PROVEEDORES[[#This Row],[SUBTOTAL]]-PROVEEDORES[[#This Row],[descuento sobre subtotal]])*VLOOKUP(PROVEEDORES[[#This Row],[PROVEEDOR]],TERCEROS_INFO[#All],3,FALSE)</f>
        <v>99104</v>
      </c>
      <c r="N799" s="23"/>
      <c r="O799" s="22">
        <f>+PROVEEDORES[[#This Row],[Descuento sobre subtotal %]]*(PROVEEDORES[[#This Row],[SUBTOTAL]]-PROVEEDORES[[#This Row],[descuento sobre subtotal]])</f>
        <v>0</v>
      </c>
      <c r="P799" s="83">
        <f>+IF(PROVEEDORES[[#This Row],[SUBTOTAL]]&lt;PROVEEDORES[[#This Row],[base retencion]],0,PROVEEDORES[[#This Row],[retención aplicada]])</f>
        <v>0</v>
      </c>
      <c r="Q799" s="22">
        <f>+PROVEEDORES[[#This Row],[Rete Fuente %]]*(PROVEEDORES[[#This Row],[SUBTOTAL]]-PROVEEDORES[[#This Row],[descuento sobre subtotal]])</f>
        <v>0</v>
      </c>
      <c r="R799" s="21">
        <f>+PROVEEDORES[[#This Row],[SUBTOTAL]]+PROVEEDORES[[#This Row],[IVA 19%]]-PROVEEDORES[[#This Row],[descuento sobre subtotal]]-PROVEEDORES[[#This Row],[Descuento sobre subtotal $2]]-PROVEEDORES[[#This Row],[Rete Fuente $]]</f>
        <v>620704</v>
      </c>
      <c r="S7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68">
        <f ca="1">IF(PROVEEDORES[[#This Row],[FECHA DE PAGO]]=0,TODAY()-PROVEEDORES[[#This Row],[FECHA DE FACTURACIÓN]]-PROVEEDORES[[#This Row],[PLAZO Días]],0)</f>
        <v>0</v>
      </c>
      <c r="U799" s="96">
        <f>+VLOOKUP(PROVEEDORES[[#This Row],[PROVEEDOR]],Terceros!$A:$D,4,FALSE)</f>
        <v>0</v>
      </c>
      <c r="V799" s="97">
        <f>+YEAR(PROVEEDORES[[#This Row],[FECHA DE FACTURACIÓN]])</f>
        <v>2021</v>
      </c>
      <c r="W799" s="97">
        <f>+MATCH(PROVEEDORES[[#This Row],[año facturado]],Retenciones!$1:$1,0)</f>
        <v>4</v>
      </c>
      <c r="X799" s="98">
        <f>+VLOOKUP(PROVEEDORES[[#This Row],[ID RETENCION]],Retenciones!$A$1:$O$25,PROVEEDORES[[#This Row],[indicador de columna]],FALSE)</f>
        <v>0</v>
      </c>
      <c r="Y799" s="99">
        <f>+VLOOKUP(PROVEEDORES[[#This Row],[ID RETENCION]],Retenciones!$A$1:$O$25,2,FALSE)</f>
        <v>0</v>
      </c>
      <c r="Z799" s="125" t="b">
        <f>OR(COUNTIF(PROVEEDORES[[#This Row],[PROVEEDOR]],"*"&amp;'Palabra no opera'!$A$2&amp;"*"))</f>
        <v>0</v>
      </c>
      <c r="AA799" s="24"/>
      <c r="AB799" s="24"/>
      <c r="AC799" s="24"/>
      <c r="AD799" s="24"/>
      <c r="AE799" s="24"/>
    </row>
    <row r="800" spans="1:31" ht="22.2" customHeight="1" x14ac:dyDescent="0.3">
      <c r="A800" s="66" t="str">
        <f>+IF(PROVEEDORES[[#This Row],[FECHA DE PAGO]]=PROVEEDORES[[#This Row],[FECHA DE FACTURACIÓN]],"DE CONTADO","CRÉDITO")</f>
        <v>CRÉDITO</v>
      </c>
      <c r="B800" s="38" t="str">
        <f>+IF((PROVEEDORES[[#This Row],[FECHA DE PAGO]]-PROVEEDORES[[#This Row],[FECHA DE FACTURACIÓN]])&gt;PROVEEDORES[[#This Row],[PLAZO Días]],"PAGO VENCIDO")</f>
        <v>PAGO VENCIDO</v>
      </c>
      <c r="C800" s="20">
        <f>+VLOOKUP(PROVEEDORES[[#This Row],[PROVEEDOR]],TERCEROS_INFO[#All],2,FALSE)</f>
        <v>30</v>
      </c>
      <c r="D800" s="25">
        <f>+SUMIFS(PROVEEDORES[Total],PROVEEDORES[PROVEEDOR],PROVEEDORES[[#This Row],[PROVEEDOR]],PROVEEDORES[FECHA DE PAGO],"")</f>
        <v>0</v>
      </c>
      <c r="E800" s="25"/>
      <c r="F800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800" s="161">
        <v>44488</v>
      </c>
      <c r="H800" s="26" t="s">
        <v>131</v>
      </c>
      <c r="I800" s="161">
        <v>44432</v>
      </c>
      <c r="J800" s="35">
        <v>40</v>
      </c>
      <c r="K800" s="21">
        <v>522353</v>
      </c>
      <c r="L800" s="21"/>
      <c r="M800" s="22">
        <f>(PROVEEDORES[[#This Row],[SUBTOTAL]]-PROVEEDORES[[#This Row],[descuento sobre subtotal]])*VLOOKUP(PROVEEDORES[[#This Row],[PROVEEDOR]],TERCEROS_INFO[#All],3,FALSE)</f>
        <v>99247.07</v>
      </c>
      <c r="N800" s="23"/>
      <c r="O800" s="22">
        <f>+PROVEEDORES[[#This Row],[Descuento sobre subtotal %]]*(PROVEEDORES[[#This Row],[SUBTOTAL]]-PROVEEDORES[[#This Row],[descuento sobre subtotal]])</f>
        <v>0</v>
      </c>
      <c r="P800" s="83">
        <f>+IF(PROVEEDORES[[#This Row],[SUBTOTAL]]&lt;PROVEEDORES[[#This Row],[base retencion]],0,PROVEEDORES[[#This Row],[retención aplicada]])</f>
        <v>0</v>
      </c>
      <c r="Q800" s="22">
        <f>+PROVEEDORES[[#This Row],[Rete Fuente %]]*(PROVEEDORES[[#This Row],[SUBTOTAL]]-PROVEEDORES[[#This Row],[descuento sobre subtotal]])</f>
        <v>0</v>
      </c>
      <c r="R800" s="21">
        <f>+PROVEEDORES[[#This Row],[SUBTOTAL]]+PROVEEDORES[[#This Row],[IVA 19%]]-PROVEEDORES[[#This Row],[descuento sobre subtotal]]-PROVEEDORES[[#This Row],[Descuento sobre subtotal $2]]-PROVEEDORES[[#This Row],[Rete Fuente $]]</f>
        <v>621600.07000000007</v>
      </c>
      <c r="S8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68">
        <f ca="1">IF(PROVEEDORES[[#This Row],[FECHA DE PAGO]]=0,TODAY()-PROVEEDORES[[#This Row],[FECHA DE FACTURACIÓN]]-PROVEEDORES[[#This Row],[PLAZO Días]],0)</f>
        <v>0</v>
      </c>
      <c r="U800" s="96" t="str">
        <f>+VLOOKUP(PROVEEDORES[[#This Row],[PROVEEDOR]],Terceros!$A:$D,4,FALSE)</f>
        <v>2,5% con base</v>
      </c>
      <c r="V800" s="97">
        <f>+YEAR(PROVEEDORES[[#This Row],[FECHA DE FACTURACIÓN]])</f>
        <v>2021</v>
      </c>
      <c r="W800" s="97">
        <f>+MATCH(PROVEEDORES[[#This Row],[año facturado]],Retenciones!$1:$1,0)</f>
        <v>4</v>
      </c>
      <c r="X800" s="98">
        <f>+VLOOKUP(PROVEEDORES[[#This Row],[ID RETENCION]],Retenciones!$A$1:$O$25,PROVEEDORES[[#This Row],[indicador de columna]],FALSE)</f>
        <v>980000</v>
      </c>
      <c r="Y800" s="99">
        <f>+VLOOKUP(PROVEEDORES[[#This Row],[ID RETENCION]],Retenciones!$A$1:$O$25,2,FALSE)</f>
        <v>2.5000000000000001E-2</v>
      </c>
      <c r="Z800" s="125" t="b">
        <f>OR(COUNTIF(PROVEEDORES[[#This Row],[PROVEEDOR]],"*"&amp;'Palabra no opera'!$A$2&amp;"*"))</f>
        <v>0</v>
      </c>
      <c r="AA800" s="24"/>
      <c r="AB800" s="24"/>
      <c r="AC800" s="24"/>
      <c r="AD800" s="24"/>
      <c r="AE800" s="24"/>
    </row>
    <row r="801" spans="1:31" ht="22.2" customHeight="1" x14ac:dyDescent="0.3">
      <c r="A801" s="66" t="str">
        <f>+IF(PROVEEDORES[[#This Row],[FECHA DE PAGO]]=PROVEEDORES[[#This Row],[FECHA DE FACTURACIÓN]],"DE CONTADO","CRÉDITO")</f>
        <v>CRÉDITO</v>
      </c>
      <c r="B801" s="38" t="str">
        <f>+IF((PROVEEDORES[[#This Row],[FECHA DE PAGO]]-PROVEEDORES[[#This Row],[FECHA DE FACTURACIÓN]])&gt;PROVEEDORES[[#This Row],[PLAZO Días]],"PAGO VENCIDO")</f>
        <v>PAGO VENCIDO</v>
      </c>
      <c r="C801" s="20">
        <f>+VLOOKUP(PROVEEDORES[[#This Row],[PROVEEDOR]],TERCEROS_INFO[#All],2,FALSE)</f>
        <v>30</v>
      </c>
      <c r="D801" s="25">
        <f>+SUMIFS(PROVEEDORES[Total],PROVEEDORES[PROVEEDOR],PROVEEDORES[[#This Row],[PROVEEDOR]],PROVEEDORES[FECHA DE PAGO],"")</f>
        <v>0</v>
      </c>
      <c r="E801" s="25"/>
      <c r="F801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801" s="161">
        <v>44537</v>
      </c>
      <c r="H801" s="26" t="s">
        <v>131</v>
      </c>
      <c r="I801" s="161">
        <v>44491</v>
      </c>
      <c r="J801" s="35">
        <v>43</v>
      </c>
      <c r="K801" s="21">
        <v>522353</v>
      </c>
      <c r="L801" s="21"/>
      <c r="M801" s="22">
        <f>(PROVEEDORES[[#This Row],[SUBTOTAL]]-PROVEEDORES[[#This Row],[descuento sobre subtotal]])*VLOOKUP(PROVEEDORES[[#This Row],[PROVEEDOR]],TERCEROS_INFO[#All],3,FALSE)</f>
        <v>99247.07</v>
      </c>
      <c r="N801" s="23"/>
      <c r="O801" s="22">
        <f>+PROVEEDORES[[#This Row],[Descuento sobre subtotal %]]*(PROVEEDORES[[#This Row],[SUBTOTAL]]-PROVEEDORES[[#This Row],[descuento sobre subtotal]])</f>
        <v>0</v>
      </c>
      <c r="P801" s="83">
        <f>+IF(PROVEEDORES[[#This Row],[SUBTOTAL]]&lt;PROVEEDORES[[#This Row],[base retencion]],0,PROVEEDORES[[#This Row],[retención aplicada]])</f>
        <v>0</v>
      </c>
      <c r="Q801" s="22">
        <f>+PROVEEDORES[[#This Row],[Rete Fuente %]]*(PROVEEDORES[[#This Row],[SUBTOTAL]]-PROVEEDORES[[#This Row],[descuento sobre subtotal]])</f>
        <v>0</v>
      </c>
      <c r="R801" s="21">
        <f>+PROVEEDORES[[#This Row],[SUBTOTAL]]+PROVEEDORES[[#This Row],[IVA 19%]]-PROVEEDORES[[#This Row],[descuento sobre subtotal]]-PROVEEDORES[[#This Row],[Descuento sobre subtotal $2]]-PROVEEDORES[[#This Row],[Rete Fuente $]]</f>
        <v>621600.07000000007</v>
      </c>
      <c r="S8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68">
        <f ca="1">IF(PROVEEDORES[[#This Row],[FECHA DE PAGO]]=0,TODAY()-PROVEEDORES[[#This Row],[FECHA DE FACTURACIÓN]]-PROVEEDORES[[#This Row],[PLAZO Días]],0)</f>
        <v>0</v>
      </c>
      <c r="U801" s="96" t="str">
        <f>+VLOOKUP(PROVEEDORES[[#This Row],[PROVEEDOR]],Terceros!$A:$D,4,FALSE)</f>
        <v>2,5% con base</v>
      </c>
      <c r="V801" s="97">
        <f>+YEAR(PROVEEDORES[[#This Row],[FECHA DE FACTURACIÓN]])</f>
        <v>2021</v>
      </c>
      <c r="W801" s="97">
        <f>+MATCH(PROVEEDORES[[#This Row],[año facturado]],Retenciones!$1:$1,0)</f>
        <v>4</v>
      </c>
      <c r="X801" s="98">
        <f>+VLOOKUP(PROVEEDORES[[#This Row],[ID RETENCION]],Retenciones!$A$1:$O$25,PROVEEDORES[[#This Row],[indicador de columna]],FALSE)</f>
        <v>980000</v>
      </c>
      <c r="Y801" s="99">
        <f>+VLOOKUP(PROVEEDORES[[#This Row],[ID RETENCION]],Retenciones!$A$1:$O$25,2,FALSE)</f>
        <v>2.5000000000000001E-2</v>
      </c>
      <c r="Z801" s="125" t="b">
        <f>OR(COUNTIF(PROVEEDORES[[#This Row],[PROVEEDOR]],"*"&amp;'Palabra no opera'!$A$2&amp;"*"))</f>
        <v>0</v>
      </c>
      <c r="AA801" s="24"/>
      <c r="AB801" s="24"/>
      <c r="AC801" s="24"/>
      <c r="AD801" s="24"/>
      <c r="AE801" s="24"/>
    </row>
    <row r="802" spans="1:31" ht="22.2" customHeight="1" x14ac:dyDescent="0.3">
      <c r="A802" s="66" t="str">
        <f>+IF(PROVEEDORES[[#This Row],[FECHA DE PAGO]]=PROVEEDORES[[#This Row],[FECHA DE FACTURACIÓN]],"DE CONTADO","CRÉDITO")</f>
        <v>CRÉDITO</v>
      </c>
      <c r="B802" s="38" t="str">
        <f>+IF((PROVEEDORES[[#This Row],[FECHA DE PAGO]]-PROVEEDORES[[#This Row],[FECHA DE FACTURACIÓN]])&gt;PROVEEDORES[[#This Row],[PLAZO Días]],"PAGO VENCIDO")</f>
        <v>PAGO VENCIDO</v>
      </c>
      <c r="C802" s="20">
        <f>+VLOOKUP(PROVEEDORES[[#This Row],[PROVEEDOR]],TERCEROS_INFO[#All],2,FALSE)</f>
        <v>30</v>
      </c>
      <c r="D802" s="25">
        <f>+SUMIFS(PROVEEDORES[Total],PROVEEDORES[PROVEEDOR],PROVEEDORES[[#This Row],[PROVEEDOR]],PROVEEDORES[FECHA DE PAGO],"")</f>
        <v>0</v>
      </c>
      <c r="E802" s="25"/>
      <c r="F80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802" s="161">
        <v>44414</v>
      </c>
      <c r="H802" s="26" t="s">
        <v>39</v>
      </c>
      <c r="I802" s="161">
        <v>44369</v>
      </c>
      <c r="J802" s="35">
        <v>610</v>
      </c>
      <c r="K802" s="21">
        <v>522400</v>
      </c>
      <c r="L802" s="21"/>
      <c r="M802" s="22">
        <f>(PROVEEDORES[[#This Row],[SUBTOTAL]]-PROVEEDORES[[#This Row],[descuento sobre subtotal]])*VLOOKUP(PROVEEDORES[[#This Row],[PROVEEDOR]],TERCEROS_INFO[#All],3,FALSE)</f>
        <v>99256</v>
      </c>
      <c r="N802" s="23"/>
      <c r="O802" s="22">
        <f>+PROVEEDORES[[#This Row],[Descuento sobre subtotal %]]*(PROVEEDORES[[#This Row],[SUBTOTAL]]-PROVEEDORES[[#This Row],[descuento sobre subtotal]])</f>
        <v>0</v>
      </c>
      <c r="P802" s="83">
        <f>+IF(PROVEEDORES[[#This Row],[SUBTOTAL]]&lt;PROVEEDORES[[#This Row],[base retencion]],0,PROVEEDORES[[#This Row],[retención aplicada]])</f>
        <v>0</v>
      </c>
      <c r="Q802" s="22">
        <f>+PROVEEDORES[[#This Row],[Rete Fuente %]]*(PROVEEDORES[[#This Row],[SUBTOTAL]]-PROVEEDORES[[#This Row],[descuento sobre subtotal]])</f>
        <v>0</v>
      </c>
      <c r="R802" s="21">
        <f>+PROVEEDORES[[#This Row],[SUBTOTAL]]+PROVEEDORES[[#This Row],[IVA 19%]]-PROVEEDORES[[#This Row],[descuento sobre subtotal]]-PROVEEDORES[[#This Row],[Descuento sobre subtotal $2]]-PROVEEDORES[[#This Row],[Rete Fuente $]]</f>
        <v>621656</v>
      </c>
      <c r="S8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68">
        <f ca="1">IF(PROVEEDORES[[#This Row],[FECHA DE PAGO]]=0,TODAY()-PROVEEDORES[[#This Row],[FECHA DE FACTURACIÓN]]-PROVEEDORES[[#This Row],[PLAZO Días]],0)</f>
        <v>0</v>
      </c>
      <c r="U802" s="96" t="str">
        <f>+VLOOKUP(PROVEEDORES[[#This Row],[PROVEEDOR]],Terceros!$A:$D,4,FALSE)</f>
        <v>2,5% con base</v>
      </c>
      <c r="V802" s="97">
        <f>+YEAR(PROVEEDORES[[#This Row],[FECHA DE FACTURACIÓN]])</f>
        <v>2021</v>
      </c>
      <c r="W802" s="97">
        <f>+MATCH(PROVEEDORES[[#This Row],[año facturado]],Retenciones!$1:$1,0)</f>
        <v>4</v>
      </c>
      <c r="X802" s="98">
        <f>+VLOOKUP(PROVEEDORES[[#This Row],[ID RETENCION]],Retenciones!$A$1:$O$25,PROVEEDORES[[#This Row],[indicador de columna]],FALSE)</f>
        <v>980000</v>
      </c>
      <c r="Y802" s="99">
        <f>+VLOOKUP(PROVEEDORES[[#This Row],[ID RETENCION]],Retenciones!$A$1:$O$25,2,FALSE)</f>
        <v>2.5000000000000001E-2</v>
      </c>
      <c r="Z802" s="125" t="b">
        <f>OR(COUNTIF(PROVEEDORES[[#This Row],[PROVEEDOR]],"*"&amp;'Palabra no opera'!$A$2&amp;"*"))</f>
        <v>0</v>
      </c>
      <c r="AA802" s="24"/>
      <c r="AB802" s="24"/>
      <c r="AC802" s="24"/>
      <c r="AD802" s="24"/>
      <c r="AE802" s="24"/>
    </row>
    <row r="803" spans="1:31" ht="22.2" customHeight="1" x14ac:dyDescent="0.3">
      <c r="A803" s="123" t="str">
        <f>+IF(PROVEEDORES[[#This Row],[FECHA DE PAGO]]=PROVEEDORES[[#This Row],[FECHA DE FACTURACIÓN]],"DE CONTADO","CRÉDITO")</f>
        <v>CRÉDITO</v>
      </c>
      <c r="B803" s="38" t="str">
        <f>+IF((PROVEEDORES[[#This Row],[FECHA DE PAGO]]-PROVEEDORES[[#This Row],[FECHA DE FACTURACIÓN]])&gt;PROVEEDORES[[#This Row],[PLAZO Días]],"PAGO VENCIDO")</f>
        <v>PAGO VENCIDO</v>
      </c>
      <c r="C803" s="20">
        <f>+VLOOKUP(PROVEEDORES[[#This Row],[PROVEEDOR]],TERCEROS_INFO[#All],2,FALSE)</f>
        <v>30</v>
      </c>
      <c r="D803" s="25">
        <f>+SUMIFS(PROVEEDORES[Total],PROVEEDORES[PROVEEDOR],PROVEEDORES[[#This Row],[PROVEEDOR]],PROVEEDORES[FECHA DE PAGO],"")</f>
        <v>1127400.05</v>
      </c>
      <c r="E803" s="25"/>
      <c r="F80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803" s="161">
        <v>44718</v>
      </c>
      <c r="H803" s="26" t="s">
        <v>47</v>
      </c>
      <c r="I803" s="161">
        <v>44676</v>
      </c>
      <c r="J803" s="35" t="s">
        <v>900</v>
      </c>
      <c r="K803" s="21">
        <v>523580</v>
      </c>
      <c r="L803" s="21"/>
      <c r="M803" s="22">
        <f>(PROVEEDORES[[#This Row],[SUBTOTAL]]-PROVEEDORES[[#This Row],[descuento sobre subtotal]])*VLOOKUP(PROVEEDORES[[#This Row],[PROVEEDOR]],TERCEROS_INFO[#All],3,FALSE)</f>
        <v>99480.2</v>
      </c>
      <c r="N803" s="23"/>
      <c r="O803" s="22">
        <f>+PROVEEDORES[[#This Row],[Descuento sobre subtotal %]]*(PROVEEDORES[[#This Row],[SUBTOTAL]]-PROVEEDORES[[#This Row],[descuento sobre subtotal]])</f>
        <v>0</v>
      </c>
      <c r="P803" s="83">
        <f>+IF(PROVEEDORES[[#This Row],[SUBTOTAL]]&lt;PROVEEDORES[[#This Row],[base retencion]],0,PROVEEDORES[[#This Row],[retención aplicada]])</f>
        <v>0</v>
      </c>
      <c r="Q803" s="22">
        <f>+PROVEEDORES[[#This Row],[Rete Fuente %]]*(PROVEEDORES[[#This Row],[SUBTOTAL]]-PROVEEDORES[[#This Row],[descuento sobre subtotal]])</f>
        <v>0</v>
      </c>
      <c r="R803" s="21">
        <f>+PROVEEDORES[[#This Row],[SUBTOTAL]]+PROVEEDORES[[#This Row],[IVA 19%]]-PROVEEDORES[[#This Row],[descuento sobre subtotal]]-PROVEEDORES[[#This Row],[Descuento sobre subtotal $2]]-PROVEEDORES[[#This Row],[Rete Fuente $]]</f>
        <v>623060.19999999995</v>
      </c>
      <c r="S803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68">
        <f ca="1">IF(PROVEEDORES[[#This Row],[FECHA DE PAGO]]=0,TODAY()-PROVEEDORES[[#This Row],[FECHA DE FACTURACIÓN]]-PROVEEDORES[[#This Row],[PLAZO Días]],0)</f>
        <v>0</v>
      </c>
      <c r="U803" s="113" t="str">
        <f>+VLOOKUP(PROVEEDORES[[#This Row],[PROVEEDOR]],Terceros!$A:$D,4,FALSE)</f>
        <v>2,5% con base</v>
      </c>
      <c r="V803" s="114">
        <f>+YEAR(PROVEEDORES[[#This Row],[FECHA DE FACTURACIÓN]])</f>
        <v>2022</v>
      </c>
      <c r="W803" s="114">
        <f>+MATCH(PROVEEDORES[[#This Row],[año facturado]],Retenciones!$1:$1,0)</f>
        <v>5</v>
      </c>
      <c r="X803" s="115">
        <f>+VLOOKUP(PROVEEDORES[[#This Row],[ID RETENCION]],Retenciones!$A$1:$O$25,PROVEEDORES[[#This Row],[indicador de columna]],FALSE)</f>
        <v>1026000</v>
      </c>
      <c r="Y803" s="116">
        <f>+VLOOKUP(PROVEEDORES[[#This Row],[ID RETENCION]],Retenciones!$A$1:$O$25,2,FALSE)</f>
        <v>2.5000000000000001E-2</v>
      </c>
      <c r="Z803" s="125" t="b">
        <f>OR(COUNTIF(PROVEEDORES[[#This Row],[PROVEEDOR]],"*"&amp;'Palabra no opera'!$A$2&amp;"*"))</f>
        <v>0</v>
      </c>
      <c r="AA803" s="24"/>
      <c r="AB803" s="24"/>
      <c r="AC803" s="24"/>
      <c r="AD803" s="24"/>
      <c r="AE803" s="24"/>
    </row>
    <row r="804" spans="1:31" ht="22.2" customHeight="1" x14ac:dyDescent="0.3">
      <c r="A804" s="144" t="str">
        <f>+IF(PROVEEDORES[[#This Row],[FECHA DE PAGO]]=PROVEEDORES[[#This Row],[FECHA DE FACTURACIÓN]],"DE CONTADO","CRÉDITO")</f>
        <v>CRÉDITO</v>
      </c>
      <c r="B804" s="38" t="str">
        <f>+IF((PROVEEDORES[[#This Row],[FECHA DE PAGO]]-PROVEEDORES[[#This Row],[FECHA DE FACTURACIÓN]])&gt;PROVEEDORES[[#This Row],[PLAZO Días]],"PAGO VENCIDO")</f>
        <v>PAGO VENCIDO</v>
      </c>
      <c r="C804" s="20">
        <f>+VLOOKUP(PROVEEDORES[[#This Row],[PROVEEDOR]],TERCEROS_INFO[#All],2,FALSE)</f>
        <v>30</v>
      </c>
      <c r="D804" s="25">
        <f>+SUMIFS(PROVEEDORES[Total],PROVEEDORES[PROVEEDOR],PROVEEDORES[[#This Row],[PROVEEDOR]],PROVEEDORES[FECHA DE PAGO],"")</f>
        <v>1354000</v>
      </c>
      <c r="E804" s="25"/>
      <c r="F80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04" s="161">
        <v>44775</v>
      </c>
      <c r="H804" s="26" t="s">
        <v>699</v>
      </c>
      <c r="I804" s="161">
        <v>44700</v>
      </c>
      <c r="J804" s="35" t="s">
        <v>1599</v>
      </c>
      <c r="K804" s="21">
        <v>624000</v>
      </c>
      <c r="L804" s="21"/>
      <c r="M804" s="22">
        <f>(PROVEEDORES[[#This Row],[SUBTOTAL]]-PROVEEDORES[[#This Row],[descuento sobre subtotal]])*VLOOKUP(PROVEEDORES[[#This Row],[PROVEEDOR]],TERCEROS_INFO[#All],3,FALSE)</f>
        <v>0</v>
      </c>
      <c r="N804" s="23"/>
      <c r="O804" s="22">
        <f>+PROVEEDORES[[#This Row],[Descuento sobre subtotal %]]*(PROVEEDORES[[#This Row],[SUBTOTAL]]-PROVEEDORES[[#This Row],[descuento sobre subtotal]])</f>
        <v>0</v>
      </c>
      <c r="P804" s="83">
        <f>+IF(PROVEEDORES[[#This Row],[SUBTOTAL]]&lt;PROVEEDORES[[#This Row],[base retencion]],0,PROVEEDORES[[#This Row],[retención aplicada]])</f>
        <v>0</v>
      </c>
      <c r="Q804" s="22">
        <f>+PROVEEDORES[[#This Row],[Rete Fuente %]]*(PROVEEDORES[[#This Row],[SUBTOTAL]]-PROVEEDORES[[#This Row],[descuento sobre subtotal]])</f>
        <v>0</v>
      </c>
      <c r="R804" s="21">
        <f>+PROVEEDORES[[#This Row],[SUBTOTAL]]+PROVEEDORES[[#This Row],[IVA 19%]]-PROVEEDORES[[#This Row],[descuento sobre subtotal]]-PROVEEDORES[[#This Row],[Descuento sobre subtotal $2]]-PROVEEDORES[[#This Row],[Rete Fuente $]]</f>
        <v>624000</v>
      </c>
      <c r="S804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68">
        <f ca="1">IF(PROVEEDORES[[#This Row],[FECHA DE PAGO]]=0,TODAY()-PROVEEDORES[[#This Row],[FECHA DE FACTURACIÓN]]-PROVEEDORES[[#This Row],[PLAZO Días]],0)</f>
        <v>0</v>
      </c>
      <c r="U804" s="113">
        <f>+VLOOKUP(PROVEEDORES[[#This Row],[PROVEEDOR]],Terceros!$A:$D,4,FALSE)</f>
        <v>0</v>
      </c>
      <c r="V804" s="114">
        <f>+YEAR(PROVEEDORES[[#This Row],[FECHA DE FACTURACIÓN]])</f>
        <v>2022</v>
      </c>
      <c r="W804" s="114">
        <f>+MATCH(PROVEEDORES[[#This Row],[año facturado]],Retenciones!$1:$1,0)</f>
        <v>5</v>
      </c>
      <c r="X804" s="115">
        <f>+VLOOKUP(PROVEEDORES[[#This Row],[ID RETENCION]],Retenciones!$A$1:$O$25,PROVEEDORES[[#This Row],[indicador de columna]],FALSE)</f>
        <v>0</v>
      </c>
      <c r="Y804" s="116">
        <f>+VLOOKUP(PROVEEDORES[[#This Row],[ID RETENCION]],Retenciones!$A$1:$O$25,2,FALSE)</f>
        <v>0</v>
      </c>
      <c r="Z804" s="125" t="b">
        <f>OR(COUNTIF(PROVEEDORES[[#This Row],[PROVEEDOR]],"*"&amp;'Palabra no opera'!$A$2&amp;"*"))</f>
        <v>0</v>
      </c>
      <c r="AA804" s="24"/>
      <c r="AB804" s="24"/>
      <c r="AC804" s="24"/>
      <c r="AD804" s="24"/>
      <c r="AE804" s="24"/>
    </row>
    <row r="805" spans="1:31" ht="22.2" customHeight="1" x14ac:dyDescent="0.3">
      <c r="A805" s="66" t="str">
        <f>+IF(PROVEEDORES[[#This Row],[FECHA DE PAGO]]=PROVEEDORES[[#This Row],[FECHA DE FACTURACIÓN]],"DE CONTADO","CRÉDITO")</f>
        <v>CRÉDITO</v>
      </c>
      <c r="B805" s="38" t="str">
        <f>+IF((PROVEEDORES[[#This Row],[FECHA DE PAGO]]-PROVEEDORES[[#This Row],[FECHA DE FACTURACIÓN]])&gt;PROVEEDORES[[#This Row],[PLAZO Días]],"PAGO VENCIDO")</f>
        <v>PAGO VENCIDO</v>
      </c>
      <c r="C805" s="20">
        <f>+VLOOKUP(PROVEEDORES[[#This Row],[PROVEEDOR]],TERCEROS_INFO[#All],2,FALSE)</f>
        <v>30</v>
      </c>
      <c r="D805" s="25">
        <f>+SUMIFS(PROVEEDORES[Total],PROVEEDORES[PROVEEDOR],PROVEEDORES[[#This Row],[PROVEEDOR]],PROVEEDORES[FECHA DE PAGO],"")</f>
        <v>23124164.219999999</v>
      </c>
      <c r="E805" s="25"/>
      <c r="F80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05" s="161">
        <v>44488</v>
      </c>
      <c r="H805" s="26" t="s">
        <v>18</v>
      </c>
      <c r="I805" s="161">
        <v>44456</v>
      </c>
      <c r="J805" s="35">
        <v>1043275</v>
      </c>
      <c r="K805" s="21">
        <v>526630.07999999996</v>
      </c>
      <c r="L805" s="21"/>
      <c r="M805" s="22">
        <f>(PROVEEDORES[[#This Row],[SUBTOTAL]]-PROVEEDORES[[#This Row],[descuento sobre subtotal]])*VLOOKUP(PROVEEDORES[[#This Row],[PROVEEDOR]],TERCEROS_INFO[#All],3,FALSE)</f>
        <v>100059.71519999999</v>
      </c>
      <c r="N805" s="23"/>
      <c r="O805" s="22">
        <f>+PROVEEDORES[[#This Row],[Descuento sobre subtotal %]]*(PROVEEDORES[[#This Row],[SUBTOTAL]]-PROVEEDORES[[#This Row],[descuento sobre subtotal]])</f>
        <v>0</v>
      </c>
      <c r="P805" s="83">
        <f>+IF(PROVEEDORES[[#This Row],[SUBTOTAL]]&lt;PROVEEDORES[[#This Row],[base retencion]],0,PROVEEDORES[[#This Row],[retención aplicada]])</f>
        <v>0</v>
      </c>
      <c r="Q805" s="22">
        <f>+PROVEEDORES[[#This Row],[Rete Fuente %]]*(PROVEEDORES[[#This Row],[SUBTOTAL]]-PROVEEDORES[[#This Row],[descuento sobre subtotal]])</f>
        <v>0</v>
      </c>
      <c r="R805" s="21">
        <f>+PROVEEDORES[[#This Row],[SUBTOTAL]]+PROVEEDORES[[#This Row],[IVA 19%]]-PROVEEDORES[[#This Row],[descuento sobre subtotal]]-PROVEEDORES[[#This Row],[Descuento sobre subtotal $2]]-PROVEEDORES[[#This Row],[Rete Fuente $]]</f>
        <v>626689.79519999993</v>
      </c>
      <c r="S8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68">
        <f ca="1">IF(PROVEEDORES[[#This Row],[FECHA DE PAGO]]=0,TODAY()-PROVEEDORES[[#This Row],[FECHA DE FACTURACIÓN]]-PROVEEDORES[[#This Row],[PLAZO Días]],0)</f>
        <v>0</v>
      </c>
      <c r="U805" s="96" t="str">
        <f>+VLOOKUP(PROVEEDORES[[#This Row],[PROVEEDOR]],Terceros!$A:$D,4,FALSE)</f>
        <v>2,5% con base</v>
      </c>
      <c r="V805" s="97">
        <f>+YEAR(PROVEEDORES[[#This Row],[FECHA DE FACTURACIÓN]])</f>
        <v>2021</v>
      </c>
      <c r="W805" s="97">
        <f>+MATCH(PROVEEDORES[[#This Row],[año facturado]],Retenciones!$1:$1,0)</f>
        <v>4</v>
      </c>
      <c r="X805" s="98">
        <f>+VLOOKUP(PROVEEDORES[[#This Row],[ID RETENCION]],Retenciones!$A$1:$O$25,PROVEEDORES[[#This Row],[indicador de columna]],FALSE)</f>
        <v>980000</v>
      </c>
      <c r="Y805" s="99">
        <f>+VLOOKUP(PROVEEDORES[[#This Row],[ID RETENCION]],Retenciones!$A$1:$O$25,2,FALSE)</f>
        <v>2.5000000000000001E-2</v>
      </c>
      <c r="Z805" s="125" t="b">
        <f>OR(COUNTIF(PROVEEDORES[[#This Row],[PROVEEDOR]],"*"&amp;'Palabra no opera'!$A$2&amp;"*"))</f>
        <v>0</v>
      </c>
      <c r="AA805" s="24"/>
      <c r="AB805" s="24"/>
      <c r="AC805" s="24"/>
      <c r="AD805" s="24"/>
      <c r="AE805" s="24"/>
    </row>
    <row r="806" spans="1:31" ht="22.2" customHeight="1" x14ac:dyDescent="0.3">
      <c r="A806" s="66" t="str">
        <f>+IF(PROVEEDORES[[#This Row],[FECHA DE PAGO]]=PROVEEDORES[[#This Row],[FECHA DE FACTURACIÓN]],"DE CONTADO","CRÉDITO")</f>
        <v>CRÉDITO</v>
      </c>
      <c r="B806" s="38" t="b">
        <f>+IF((PROVEEDORES[[#This Row],[FECHA DE PAGO]]-PROVEEDORES[[#This Row],[FECHA DE FACTURACIÓN]])&gt;PROVEEDORES[[#This Row],[PLAZO Días]],"PAGO VENCIDO")</f>
        <v>0</v>
      </c>
      <c r="C806" s="20">
        <f>+VLOOKUP(PROVEEDORES[[#This Row],[PROVEEDOR]],TERCEROS_INFO[#All],2,FALSE)</f>
        <v>30</v>
      </c>
      <c r="D806" s="25">
        <f>+SUMIFS(PROVEEDORES[Total],PROVEEDORES[PROVEEDOR],PROVEEDORES[[#This Row],[PROVEEDOR]],PROVEEDORES[FECHA DE PAGO],"")</f>
        <v>0</v>
      </c>
      <c r="E806" s="25"/>
      <c r="F80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06" s="161">
        <v>44550</v>
      </c>
      <c r="H806" s="26" t="s">
        <v>118</v>
      </c>
      <c r="I806" s="161">
        <v>44546</v>
      </c>
      <c r="J806" s="35" t="s">
        <v>566</v>
      </c>
      <c r="K806" s="21">
        <v>627659</v>
      </c>
      <c r="L806" s="21"/>
      <c r="M806" s="22">
        <f>(PROVEEDORES[[#This Row],[SUBTOTAL]]-PROVEEDORES[[#This Row],[descuento sobre subtotal]])*VLOOKUP(PROVEEDORES[[#This Row],[PROVEEDOR]],TERCEROS_INFO[#All],3,FALSE)</f>
        <v>0</v>
      </c>
      <c r="N806" s="23"/>
      <c r="O806" s="22">
        <f>+PROVEEDORES[[#This Row],[Descuento sobre subtotal %]]*(PROVEEDORES[[#This Row],[SUBTOTAL]]-PROVEEDORES[[#This Row],[descuento sobre subtotal]])</f>
        <v>0</v>
      </c>
      <c r="P806" s="83">
        <f>+IF(PROVEEDORES[[#This Row],[SUBTOTAL]]&lt;PROVEEDORES[[#This Row],[base retencion]],0,PROVEEDORES[[#This Row],[retención aplicada]])</f>
        <v>0</v>
      </c>
      <c r="Q806" s="22">
        <f>+PROVEEDORES[[#This Row],[Rete Fuente %]]*(PROVEEDORES[[#This Row],[SUBTOTAL]]-PROVEEDORES[[#This Row],[descuento sobre subtotal]])</f>
        <v>0</v>
      </c>
      <c r="R806" s="21">
        <f>+PROVEEDORES[[#This Row],[SUBTOTAL]]+PROVEEDORES[[#This Row],[IVA 19%]]-PROVEEDORES[[#This Row],[descuento sobre subtotal]]-PROVEEDORES[[#This Row],[Descuento sobre subtotal $2]]-PROVEEDORES[[#This Row],[Rete Fuente $]]</f>
        <v>627659</v>
      </c>
      <c r="S8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68">
        <f ca="1">IF(PROVEEDORES[[#This Row],[FECHA DE PAGO]]=0,TODAY()-PROVEEDORES[[#This Row],[FECHA DE FACTURACIÓN]]-PROVEEDORES[[#This Row],[PLAZO Días]],0)</f>
        <v>0</v>
      </c>
      <c r="U806" s="96">
        <f>+VLOOKUP(PROVEEDORES[[#This Row],[PROVEEDOR]],Terceros!$A:$D,4,FALSE)</f>
        <v>0</v>
      </c>
      <c r="V806" s="97">
        <f>+YEAR(PROVEEDORES[[#This Row],[FECHA DE FACTURACIÓN]])</f>
        <v>2021</v>
      </c>
      <c r="W806" s="97">
        <f>+MATCH(PROVEEDORES[[#This Row],[año facturado]],Retenciones!$1:$1,0)</f>
        <v>4</v>
      </c>
      <c r="X806" s="98">
        <f>+VLOOKUP(PROVEEDORES[[#This Row],[ID RETENCION]],Retenciones!$A$1:$O$25,PROVEEDORES[[#This Row],[indicador de columna]],FALSE)</f>
        <v>0</v>
      </c>
      <c r="Y806" s="99">
        <f>+VLOOKUP(PROVEEDORES[[#This Row],[ID RETENCION]],Retenciones!$A$1:$O$25,2,FALSE)</f>
        <v>0</v>
      </c>
      <c r="Z806" s="125" t="b">
        <f>OR(COUNTIF(PROVEEDORES[[#This Row],[PROVEEDOR]],"*"&amp;'Palabra no opera'!$A$2&amp;"*"))</f>
        <v>0</v>
      </c>
      <c r="AA806" s="24"/>
      <c r="AB806" s="24"/>
      <c r="AC806" s="24"/>
      <c r="AD806" s="24"/>
      <c r="AE806" s="24"/>
    </row>
    <row r="807" spans="1:31" ht="22.2" customHeight="1" x14ac:dyDescent="0.3">
      <c r="A807" s="66" t="str">
        <f>+IF(PROVEEDORES[[#This Row],[FECHA DE PAGO]]=PROVEEDORES[[#This Row],[FECHA DE FACTURACIÓN]],"DE CONTADO","CRÉDITO")</f>
        <v>DE CONTADO</v>
      </c>
      <c r="B807" s="38" t="b">
        <f>+IF((PROVEEDORES[[#This Row],[FECHA DE PAGO]]-PROVEEDORES[[#This Row],[FECHA DE FACTURACIÓN]])&gt;PROVEEDORES[[#This Row],[PLAZO Días]],"PAGO VENCIDO")</f>
        <v>0</v>
      </c>
      <c r="C807" s="20">
        <f>+VLOOKUP(PROVEEDORES[[#This Row],[PROVEEDOR]],TERCEROS_INFO[#All],2,FALSE)</f>
        <v>30</v>
      </c>
      <c r="D807" s="25">
        <f>+SUMIFS(PROVEEDORES[Total],PROVEEDORES[PROVEEDOR],PROVEEDORES[[#This Row],[PROVEEDOR]],PROVEEDORES[FECHA DE PAGO],"")</f>
        <v>0</v>
      </c>
      <c r="E807" s="25"/>
      <c r="F807" s="58" t="str">
        <f>+VLOOKUP(PROVEEDORES[[#This Row],[PROVEEDOR]],
                       Terceros!$A:$F,
                       5,
                       FALSE)</f>
        <v/>
      </c>
      <c r="G807" s="161">
        <v>44628</v>
      </c>
      <c r="H807" s="26" t="s">
        <v>679</v>
      </c>
      <c r="I807" s="161">
        <v>44628</v>
      </c>
      <c r="J807" s="35" t="s">
        <v>1577</v>
      </c>
      <c r="K807" s="21">
        <v>630000</v>
      </c>
      <c r="L807" s="21"/>
      <c r="M807" s="22">
        <v>0</v>
      </c>
      <c r="N807" s="23"/>
      <c r="O807" s="22">
        <v>0</v>
      </c>
      <c r="P807" s="83">
        <f>+IF(PROVEEDORES[[#This Row],[SUBTOTAL]]&lt;PROVEEDORES[[#This Row],[base retencion]],0,PROVEEDORES[[#This Row],[retención aplicada]])</f>
        <v>0</v>
      </c>
      <c r="Q807" s="22">
        <f>+PROVEEDORES[[#This Row],[Rete Fuente %]]*(PROVEEDORES[[#This Row],[SUBTOTAL]]-PROVEEDORES[[#This Row],[descuento sobre subtotal]])</f>
        <v>0</v>
      </c>
      <c r="R807" s="21">
        <v>630000</v>
      </c>
      <c r="S8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68">
        <f ca="1">IF(PROVEEDORES[[#This Row],[FECHA DE PAGO]]=0,TODAY()-PROVEEDORES[[#This Row],[FECHA DE FACTURACIÓN]]-PROVEEDORES[[#This Row],[PLAZO Días]],0)</f>
        <v>0</v>
      </c>
      <c r="U807" s="96">
        <f>+VLOOKUP(PROVEEDORES[[#This Row],[PROVEEDOR]],Terceros!$A:$D,4,FALSE)</f>
        <v>0</v>
      </c>
      <c r="V807" s="97">
        <f>+YEAR(PROVEEDORES[[#This Row],[FECHA DE FACTURACIÓN]])</f>
        <v>2022</v>
      </c>
      <c r="W807" s="97">
        <f>+MATCH(PROVEEDORES[[#This Row],[año facturado]],Retenciones!$1:$1,0)</f>
        <v>5</v>
      </c>
      <c r="X807" s="98">
        <f>+VLOOKUP(PROVEEDORES[[#This Row],[ID RETENCION]],Retenciones!$A$1:$O$25,PROVEEDORES[[#This Row],[indicador de columna]],FALSE)</f>
        <v>0</v>
      </c>
      <c r="Y807" s="99">
        <f>+VLOOKUP(PROVEEDORES[[#This Row],[ID RETENCION]],Retenciones!$A$1:$O$25,2,FALSE)</f>
        <v>0</v>
      </c>
      <c r="Z807" s="125" t="b">
        <f>OR(COUNTIF(PROVEEDORES[[#This Row],[PROVEEDOR]],"*"&amp;'Palabra no opera'!$A$2&amp;"*"))</f>
        <v>0</v>
      </c>
      <c r="AA807" s="24"/>
      <c r="AB807" s="24"/>
      <c r="AC807" s="24"/>
      <c r="AD807" s="24"/>
      <c r="AE807" s="24"/>
    </row>
    <row r="808" spans="1:31" ht="22.2" customHeight="1" x14ac:dyDescent="0.3">
      <c r="A808" s="66" t="str">
        <f>+IF(PROVEEDORES[[#This Row],[FECHA DE PAGO]]=PROVEEDORES[[#This Row],[FECHA DE FACTURACIÓN]],"DE CONTADO","CRÉDITO")</f>
        <v>CRÉDITO</v>
      </c>
      <c r="B808" s="38" t="b">
        <f>+IF((PROVEEDORES[[#This Row],[FECHA DE PAGO]]-PROVEEDORES[[#This Row],[FECHA DE FACTURACIÓN]])&gt;PROVEEDORES[[#This Row],[PLAZO Días]],"PAGO VENCIDO")</f>
        <v>0</v>
      </c>
      <c r="C808" s="20">
        <f>+VLOOKUP(PROVEEDORES[[#This Row],[PROVEEDOR]],TERCEROS_INFO[#All],2,FALSE)</f>
        <v>30</v>
      </c>
      <c r="D808" s="25">
        <f>+SUMIFS(PROVEEDORES[Total],PROVEEDORES[PROVEEDOR],PROVEEDORES[[#This Row],[PROVEEDOR]],PROVEEDORES[FECHA DE PAGO],"")</f>
        <v>0</v>
      </c>
      <c r="E808" s="25"/>
      <c r="F80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808" s="161">
        <v>44341</v>
      </c>
      <c r="H808" s="26" t="s">
        <v>1451</v>
      </c>
      <c r="I808" s="161">
        <v>44339</v>
      </c>
      <c r="J808" s="35">
        <v>102</v>
      </c>
      <c r="K808" s="21">
        <v>637000</v>
      </c>
      <c r="L808" s="21"/>
      <c r="M808" s="22">
        <f>(PROVEEDORES[[#This Row],[SUBTOTAL]]-PROVEEDORES[[#This Row],[descuento sobre subtotal]])*VLOOKUP(PROVEEDORES[[#This Row],[PROVEEDOR]],TERCEROS_INFO[#All],3,FALSE)</f>
        <v>0</v>
      </c>
      <c r="N808" s="23"/>
      <c r="O808" s="22">
        <f>+PROVEEDORES[[#This Row],[Descuento sobre subtotal %]]*(PROVEEDORES[[#This Row],[SUBTOTAL]]-PROVEEDORES[[#This Row],[descuento sobre subtotal]])</f>
        <v>0</v>
      </c>
      <c r="P808" s="83">
        <f>+IF(PROVEEDORES[[#This Row],[SUBTOTAL]]&lt;PROVEEDORES[[#This Row],[base retencion]],0,PROVEEDORES[[#This Row],[retención aplicada]])</f>
        <v>0.01</v>
      </c>
      <c r="Q808" s="22">
        <f>+PROVEEDORES[[#This Row],[Rete Fuente %]]*(PROVEEDORES[[#This Row],[SUBTOTAL]]-PROVEEDORES[[#This Row],[descuento sobre subtotal]])</f>
        <v>6370</v>
      </c>
      <c r="R808" s="21">
        <f>+PROVEEDORES[[#This Row],[SUBTOTAL]]+PROVEEDORES[[#This Row],[IVA 19%]]-PROVEEDORES[[#This Row],[descuento sobre subtotal]]-PROVEEDORES[[#This Row],[Descuento sobre subtotal $2]]-PROVEEDORES[[#This Row],[Rete Fuente $]]</f>
        <v>630630</v>
      </c>
      <c r="S8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68">
        <f ca="1">IF(PROVEEDORES[[#This Row],[FECHA DE PAGO]]=0,TODAY()-PROVEEDORES[[#This Row],[FECHA DE FACTURACIÓN]]-PROVEEDORES[[#This Row],[PLAZO Días]],0)</f>
        <v>0</v>
      </c>
      <c r="U808" s="96" t="str">
        <f>+VLOOKUP(PROVEEDORES[[#This Row],[PROVEEDOR]],Terceros!$A:$D,4,FALSE)</f>
        <v>1% con base</v>
      </c>
      <c r="V808" s="97">
        <f>+YEAR(PROVEEDORES[[#This Row],[FECHA DE FACTURACIÓN]])</f>
        <v>2021</v>
      </c>
      <c r="W808" s="97">
        <f>+MATCH(PROVEEDORES[[#This Row],[año facturado]],Retenciones!$1:$1,0)</f>
        <v>4</v>
      </c>
      <c r="X808" s="98">
        <f>+VLOOKUP(PROVEEDORES[[#This Row],[ID RETENCION]],Retenciones!$A$1:$O$25,PROVEEDORES[[#This Row],[indicador de columna]],FALSE)</f>
        <v>145000</v>
      </c>
      <c r="Y808" s="99">
        <f>+VLOOKUP(PROVEEDORES[[#This Row],[ID RETENCION]],Retenciones!$A$1:$O$25,2,FALSE)</f>
        <v>0.01</v>
      </c>
      <c r="Z808" s="125" t="b">
        <f>OR(COUNTIF(PROVEEDORES[[#This Row],[PROVEEDOR]],"*"&amp;'Palabra no opera'!$A$2&amp;"*"))</f>
        <v>0</v>
      </c>
      <c r="AA808" s="24"/>
      <c r="AB808" s="24"/>
      <c r="AC808" s="24"/>
      <c r="AD808" s="24"/>
      <c r="AE808" s="24"/>
    </row>
    <row r="809" spans="1:31" ht="22.2" customHeight="1" x14ac:dyDescent="0.3">
      <c r="A809" s="72" t="str">
        <f>+IF(PROVEEDORES[[#This Row],[FECHA DE PAGO]]=PROVEEDORES[[#This Row],[FECHA DE FACTURACIÓN]],"DE CONTADO","CRÉDITO")</f>
        <v>CRÉDITO</v>
      </c>
      <c r="B809" s="38" t="b">
        <f>+IF((PROVEEDORES[[#This Row],[FECHA DE PAGO]]-PROVEEDORES[[#This Row],[FECHA DE FACTURACIÓN]])&gt;PROVEEDORES[[#This Row],[PLAZO Días]],"PAGO VENCIDO")</f>
        <v>0</v>
      </c>
      <c r="C809" s="20">
        <f>+VLOOKUP(PROVEEDORES[[#This Row],[PROVEEDOR]],TERCEROS_INFO[#All],2,FALSE)</f>
        <v>60</v>
      </c>
      <c r="D809" s="25">
        <f>+SUMIFS(PROVEEDORES[Total],PROVEEDORES[PROVEEDOR],PROVEEDORES[[#This Row],[PROVEEDOR]],PROVEEDORES[FECHA DE PAGO],"")</f>
        <v>1520362</v>
      </c>
      <c r="E809" s="25"/>
      <c r="F80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809" s="161">
        <v>44870</v>
      </c>
      <c r="H809" s="26" t="s">
        <v>528</v>
      </c>
      <c r="I809" s="74">
        <v>44841</v>
      </c>
      <c r="J809" s="35" t="s">
        <v>1781</v>
      </c>
      <c r="K809" s="21">
        <v>634582</v>
      </c>
      <c r="L809" s="21"/>
      <c r="M809" s="22">
        <f>(PROVEEDORES[[#This Row],[SUBTOTAL]]-PROVEEDORES[[#This Row],[descuento sobre subtotal]])*VLOOKUP(PROVEEDORES[[#This Row],[PROVEEDOR]],TERCEROS_INFO[#All],3,FALSE)</f>
        <v>0</v>
      </c>
      <c r="N809" s="23"/>
      <c r="O809" s="22">
        <f>+PROVEEDORES[[#This Row],[Descuento sobre subtotal %]]*(PROVEEDORES[[#This Row],[SUBTOTAL]]-PROVEEDORES[[#This Row],[descuento sobre subtotal]])</f>
        <v>0</v>
      </c>
      <c r="P809" s="83">
        <f>+IF(PROVEEDORES[[#This Row],[SUBTOTAL]]&lt;PROVEEDORES[[#This Row],[base retencion]],0,PROVEEDORES[[#This Row],[retención aplicada]])</f>
        <v>0</v>
      </c>
      <c r="Q809" s="22">
        <f>+PROVEEDORES[[#This Row],[Rete Fuente %]]*(PROVEEDORES[[#This Row],[SUBTOTAL]]-PROVEEDORES[[#This Row],[descuento sobre subtotal]])</f>
        <v>0</v>
      </c>
      <c r="R809" s="21">
        <f>+PROVEEDORES[[#This Row],[SUBTOTAL]]+PROVEEDORES[[#This Row],[IVA 19%]]-PROVEEDORES[[#This Row],[descuento sobre subtotal]]-PROVEEDORES[[#This Row],[Descuento sobre subtotal $2]]-PROVEEDORES[[#This Row],[Rete Fuente $]]</f>
        <v>634582</v>
      </c>
      <c r="S80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68">
        <f ca="1">IF(PROVEEDORES[[#This Row],[FECHA DE PAGO]]=0,TODAY()-PROVEEDORES[[#This Row],[FECHA DE FACTURACIÓN]]-PROVEEDORES[[#This Row],[PLAZO Días]],0)</f>
        <v>0</v>
      </c>
      <c r="U809" s="113">
        <f>+VLOOKUP(PROVEEDORES[[#This Row],[PROVEEDOR]],Terceros!$A:$D,4,FALSE)</f>
        <v>0</v>
      </c>
      <c r="V809" s="114">
        <f>+YEAR(PROVEEDORES[[#This Row],[FECHA DE FACTURACIÓN]])</f>
        <v>2022</v>
      </c>
      <c r="W809" s="114">
        <f>+MATCH(PROVEEDORES[[#This Row],[año facturado]],Retenciones!$1:$1,0)</f>
        <v>5</v>
      </c>
      <c r="X809" s="115">
        <f>+VLOOKUP(PROVEEDORES[[#This Row],[ID RETENCION]],Retenciones!$A$1:$O$25,PROVEEDORES[[#This Row],[indicador de columna]],FALSE)</f>
        <v>0</v>
      </c>
      <c r="Y809" s="116">
        <f>+VLOOKUP(PROVEEDORES[[#This Row],[ID RETENCION]],Retenciones!$A$1:$O$25,2,FALSE)</f>
        <v>0</v>
      </c>
      <c r="Z809" s="125" t="b">
        <f>OR(COUNTIF(PROVEEDORES[[#This Row],[PROVEEDOR]],"*"&amp;'Palabra no opera'!$A$2&amp;"*"))</f>
        <v>0</v>
      </c>
      <c r="AA809" s="24"/>
      <c r="AB809" s="24"/>
      <c r="AC809" s="24"/>
      <c r="AD809" s="24"/>
      <c r="AE809" s="24"/>
    </row>
    <row r="810" spans="1:31" ht="22.2" customHeight="1" x14ac:dyDescent="0.3">
      <c r="A810" s="66" t="str">
        <f>+IF(PROVEEDORES[[#This Row],[FECHA DE PAGO]]=PROVEEDORES[[#This Row],[FECHA DE FACTURACIÓN]],"DE CONTADO","CRÉDITO")</f>
        <v>CRÉDITO</v>
      </c>
      <c r="B810" s="38" t="b">
        <f>+IF((PROVEEDORES[[#This Row],[FECHA DE PAGO]]-PROVEEDORES[[#This Row],[FECHA DE FACTURACIÓN]])&gt;PROVEEDORES[[#This Row],[PLAZO Días]],"PAGO VENCIDO")</f>
        <v>0</v>
      </c>
      <c r="C810" s="20">
        <f>+VLOOKUP(PROVEEDORES[[#This Row],[PROVEEDOR]],TERCEROS_INFO[#All],2,FALSE)</f>
        <v>30</v>
      </c>
      <c r="D810" s="25">
        <f>+SUMIFS(PROVEEDORES[Total],PROVEEDORES[PROVEEDOR],PROVEEDORES[[#This Row],[PROVEEDOR]],PROVEEDORES[FECHA DE PAGO],"")</f>
        <v>0</v>
      </c>
      <c r="E810" s="25"/>
      <c r="F810" s="58" t="str">
        <f>+VLOOKUP(PROVEEDORES[[#This Row],[PROVEEDOR]],
                       Terceros!$A:$F,
                       5,
                       FALSE)</f>
        <v/>
      </c>
      <c r="G810" s="161">
        <v>44527</v>
      </c>
      <c r="H810" s="26" t="s">
        <v>638</v>
      </c>
      <c r="I810" s="161">
        <v>44525</v>
      </c>
      <c r="J810" s="35" t="s">
        <v>1347</v>
      </c>
      <c r="K810" s="21">
        <v>636000</v>
      </c>
      <c r="L810" s="21"/>
      <c r="M810" s="22">
        <f>(PROVEEDORES[[#This Row],[SUBTOTAL]]-PROVEEDORES[[#This Row],[descuento sobre subtotal]])*VLOOKUP(PROVEEDORES[[#This Row],[PROVEEDOR]],TERCEROS_INFO[#All],3,FALSE)</f>
        <v>0</v>
      </c>
      <c r="N810" s="23"/>
      <c r="O810" s="22">
        <f>+PROVEEDORES[[#This Row],[Descuento sobre subtotal %]]*(PROVEEDORES[[#This Row],[SUBTOTAL]]-PROVEEDORES[[#This Row],[descuento sobre subtotal]])</f>
        <v>0</v>
      </c>
      <c r="P810" s="83">
        <f>+IF(PROVEEDORES[[#This Row],[SUBTOTAL]]&lt;PROVEEDORES[[#This Row],[base retencion]],0,PROVEEDORES[[#This Row],[retención aplicada]])</f>
        <v>0</v>
      </c>
      <c r="Q810" s="22">
        <f>+PROVEEDORES[[#This Row],[Rete Fuente %]]*(PROVEEDORES[[#This Row],[SUBTOTAL]]-PROVEEDORES[[#This Row],[descuento sobre subtotal]])</f>
        <v>0</v>
      </c>
      <c r="R810" s="21">
        <f>+PROVEEDORES[[#This Row],[SUBTOTAL]]+PROVEEDORES[[#This Row],[IVA 19%]]-PROVEEDORES[[#This Row],[descuento sobre subtotal]]-PROVEEDORES[[#This Row],[Descuento sobre subtotal $2]]-PROVEEDORES[[#This Row],[Rete Fuente $]]</f>
        <v>636000</v>
      </c>
      <c r="S8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68">
        <f ca="1">IF(PROVEEDORES[[#This Row],[FECHA DE PAGO]]=0,TODAY()-PROVEEDORES[[#This Row],[FECHA DE FACTURACIÓN]]-PROVEEDORES[[#This Row],[PLAZO Días]],0)</f>
        <v>0</v>
      </c>
      <c r="U810" s="96">
        <f>+VLOOKUP(PROVEEDORES[[#This Row],[PROVEEDOR]],Terceros!$A:$D,4,FALSE)</f>
        <v>0</v>
      </c>
      <c r="V810" s="97">
        <f>+YEAR(PROVEEDORES[[#This Row],[FECHA DE FACTURACIÓN]])</f>
        <v>2021</v>
      </c>
      <c r="W810" s="97">
        <f>+MATCH(PROVEEDORES[[#This Row],[año facturado]],Retenciones!$1:$1,0)</f>
        <v>4</v>
      </c>
      <c r="X810" s="98">
        <f>+VLOOKUP(PROVEEDORES[[#This Row],[ID RETENCION]],Retenciones!$A$1:$O$25,PROVEEDORES[[#This Row],[indicador de columna]],FALSE)</f>
        <v>0</v>
      </c>
      <c r="Y810" s="99">
        <f>+VLOOKUP(PROVEEDORES[[#This Row],[ID RETENCION]],Retenciones!$A$1:$O$25,2,FALSE)</f>
        <v>0</v>
      </c>
      <c r="Z810" s="125" t="b">
        <f>OR(COUNTIF(PROVEEDORES[[#This Row],[PROVEEDOR]],"*"&amp;'Palabra no opera'!$A$2&amp;"*"))</f>
        <v>0</v>
      </c>
      <c r="AA810" s="24"/>
      <c r="AB810" s="24"/>
      <c r="AC810" s="24"/>
      <c r="AD810" s="24"/>
      <c r="AE810" s="24"/>
    </row>
    <row r="811" spans="1:31" ht="22.2" customHeight="1" x14ac:dyDescent="0.3">
      <c r="A811" s="66" t="str">
        <f>+IF(PROVEEDORES[[#This Row],[FECHA DE PAGO]]=PROVEEDORES[[#This Row],[FECHA DE FACTURACIÓN]],"DE CONTADO","CRÉDITO")</f>
        <v>CRÉDITO</v>
      </c>
      <c r="B811" s="38" t="b">
        <f>+IF((PROVEEDORES[[#This Row],[FECHA DE PAGO]]-PROVEEDORES[[#This Row],[FECHA DE FACTURACIÓN]])&gt;PROVEEDORES[[#This Row],[PLAZO Días]],"PAGO VENCIDO")</f>
        <v>0</v>
      </c>
      <c r="C811" s="20">
        <f>+VLOOKUP(PROVEEDORES[[#This Row],[PROVEEDOR]],TERCEROS_INFO[#All],2,FALSE)</f>
        <v>30</v>
      </c>
      <c r="D811" s="25">
        <f>+SUMIFS(PROVEEDORES[Total],PROVEEDORES[PROVEEDOR],PROVEEDORES[[#This Row],[PROVEEDOR]],PROVEEDORES[FECHA DE PAGO],"")</f>
        <v>0</v>
      </c>
      <c r="E811" s="25"/>
      <c r="F811" s="58">
        <f>+VLOOKUP(PROVEEDORES[[#This Row],[PROVEEDOR]],
                       Terceros!$A:$F,
                       5,
                       FALSE)</f>
        <v>0</v>
      </c>
      <c r="G811" s="161">
        <v>44623</v>
      </c>
      <c r="H811" s="26" t="s">
        <v>700</v>
      </c>
      <c r="I811" s="161">
        <v>44611</v>
      </c>
      <c r="J811" s="35" t="s">
        <v>1573</v>
      </c>
      <c r="K811" s="21">
        <v>637000</v>
      </c>
      <c r="L811" s="21"/>
      <c r="M811" s="22">
        <v>0</v>
      </c>
      <c r="N811" s="23"/>
      <c r="O811" s="22">
        <v>0</v>
      </c>
      <c r="P811" s="83">
        <f>+IF(PROVEEDORES[[#This Row],[SUBTOTAL]]&lt;PROVEEDORES[[#This Row],[base retencion]],0,PROVEEDORES[[#This Row],[retención aplicada]])</f>
        <v>0</v>
      </c>
      <c r="Q811" s="22">
        <f>+PROVEEDORES[[#This Row],[Rete Fuente %]]*(PROVEEDORES[[#This Row],[SUBTOTAL]]-PROVEEDORES[[#This Row],[descuento sobre subtotal]])</f>
        <v>0</v>
      </c>
      <c r="R811" s="21">
        <v>637000</v>
      </c>
      <c r="S8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68">
        <f ca="1">IF(PROVEEDORES[[#This Row],[FECHA DE PAGO]]=0,TODAY()-PROVEEDORES[[#This Row],[FECHA DE FACTURACIÓN]]-PROVEEDORES[[#This Row],[PLAZO Días]],0)</f>
        <v>0</v>
      </c>
      <c r="U811" s="96">
        <f>+VLOOKUP(PROVEEDORES[[#This Row],[PROVEEDOR]],Terceros!$A:$D,4,FALSE)</f>
        <v>0</v>
      </c>
      <c r="V811" s="97">
        <f>+YEAR(PROVEEDORES[[#This Row],[FECHA DE FACTURACIÓN]])</f>
        <v>2022</v>
      </c>
      <c r="W811" s="97">
        <f>+MATCH(PROVEEDORES[[#This Row],[año facturado]],Retenciones!$1:$1,0)</f>
        <v>5</v>
      </c>
      <c r="X811" s="98">
        <f>+VLOOKUP(PROVEEDORES[[#This Row],[ID RETENCION]],Retenciones!$A$1:$O$25,PROVEEDORES[[#This Row],[indicador de columna]],FALSE)</f>
        <v>0</v>
      </c>
      <c r="Y811" s="99">
        <f>+VLOOKUP(PROVEEDORES[[#This Row],[ID RETENCION]],Retenciones!$A$1:$O$25,2,FALSE)</f>
        <v>0</v>
      </c>
      <c r="Z811" s="125" t="b">
        <f>OR(COUNTIF(PROVEEDORES[[#This Row],[PROVEEDOR]],"*"&amp;'Palabra no opera'!$A$2&amp;"*"))</f>
        <v>0</v>
      </c>
      <c r="AA811" s="24"/>
      <c r="AB811" s="24"/>
      <c r="AC811" s="24"/>
      <c r="AD811" s="24"/>
      <c r="AE811" s="24"/>
    </row>
    <row r="812" spans="1:31" ht="22.2" customHeight="1" x14ac:dyDescent="0.3">
      <c r="A812" s="66" t="str">
        <f>+IF(PROVEEDORES[[#This Row],[FECHA DE PAGO]]=PROVEEDORES[[#This Row],[FECHA DE FACTURACIÓN]],"DE CONTADO","CRÉDITO")</f>
        <v>DE CONTADO</v>
      </c>
      <c r="B812" s="38" t="b">
        <f>+IF((PROVEEDORES[[#This Row],[FECHA DE PAGO]]-PROVEEDORES[[#This Row],[FECHA DE FACTURACIÓN]])&gt;PROVEEDORES[[#This Row],[PLAZO Días]],"PAGO VENCIDO")</f>
        <v>0</v>
      </c>
      <c r="C812" s="20">
        <f>+VLOOKUP(PROVEEDORES[[#This Row],[PROVEEDOR]],TERCEROS_INFO[#All],2,FALSE)</f>
        <v>30</v>
      </c>
      <c r="D812" s="25">
        <f>+SUMIFS(PROVEEDORES[Total],PROVEEDORES[PROVEEDOR],PROVEEDORES[[#This Row],[PROVEEDOR]],PROVEEDORES[FECHA DE PAGO],"")</f>
        <v>0</v>
      </c>
      <c r="E812" s="25"/>
      <c r="F812" s="58" t="str">
        <f>+VLOOKUP(PROVEEDORES[[#This Row],[PROVEEDOR]],
                       Terceros!$A:$F,
                       5,
                       FALSE)</f>
        <v/>
      </c>
      <c r="G812" s="161">
        <v>44653</v>
      </c>
      <c r="H812" s="26" t="s">
        <v>661</v>
      </c>
      <c r="I812" s="161">
        <v>44653</v>
      </c>
      <c r="J812" s="35" t="s">
        <v>854</v>
      </c>
      <c r="K812" s="21">
        <v>640000</v>
      </c>
      <c r="L812" s="21"/>
      <c r="M812" s="22">
        <f>(PROVEEDORES[[#This Row],[SUBTOTAL]]-PROVEEDORES[[#This Row],[descuento sobre subtotal]])*VLOOKUP(PROVEEDORES[[#This Row],[PROVEEDOR]],TERCEROS_INFO[#All],3,FALSE)</f>
        <v>0</v>
      </c>
      <c r="N812" s="23"/>
      <c r="O812" s="22">
        <f>+PROVEEDORES[[#This Row],[Descuento sobre subtotal %]]*(PROVEEDORES[[#This Row],[SUBTOTAL]]-PROVEEDORES[[#This Row],[descuento sobre subtotal]])</f>
        <v>0</v>
      </c>
      <c r="P812" s="83">
        <f>+IF(PROVEEDORES[[#This Row],[SUBTOTAL]]&lt;PROVEEDORES[[#This Row],[base retencion]],0,PROVEEDORES[[#This Row],[retención aplicada]])</f>
        <v>0</v>
      </c>
      <c r="Q812" s="22">
        <f>+PROVEEDORES[[#This Row],[Rete Fuente %]]*(PROVEEDORES[[#This Row],[SUBTOTAL]]-PROVEEDORES[[#This Row],[descuento sobre subtotal]])</f>
        <v>0</v>
      </c>
      <c r="R812" s="21">
        <f>+PROVEEDORES[[#This Row],[SUBTOTAL]]+PROVEEDORES[[#This Row],[IVA 19%]]-PROVEEDORES[[#This Row],[descuento sobre subtotal]]-PROVEEDORES[[#This Row],[Descuento sobre subtotal $2]]-PROVEEDORES[[#This Row],[Rete Fuente $]]</f>
        <v>640000</v>
      </c>
      <c r="S8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68">
        <f ca="1">IF(PROVEEDORES[[#This Row],[FECHA DE PAGO]]=0,TODAY()-PROVEEDORES[[#This Row],[FECHA DE FACTURACIÓN]]-PROVEEDORES[[#This Row],[PLAZO Días]],0)</f>
        <v>0</v>
      </c>
      <c r="U812" s="96">
        <f>+VLOOKUP(PROVEEDORES[[#This Row],[PROVEEDOR]],Terceros!$A:$D,4,FALSE)</f>
        <v>0</v>
      </c>
      <c r="V812" s="97">
        <f>+YEAR(PROVEEDORES[[#This Row],[FECHA DE FACTURACIÓN]])</f>
        <v>2022</v>
      </c>
      <c r="W812" s="97">
        <f>+MATCH(PROVEEDORES[[#This Row],[año facturado]],Retenciones!$1:$1,0)</f>
        <v>5</v>
      </c>
      <c r="X812" s="98">
        <f>+VLOOKUP(PROVEEDORES[[#This Row],[ID RETENCION]],Retenciones!$A$1:$O$25,PROVEEDORES[[#This Row],[indicador de columna]],FALSE)</f>
        <v>0</v>
      </c>
      <c r="Y812" s="99">
        <f>+VLOOKUP(PROVEEDORES[[#This Row],[ID RETENCION]],Retenciones!$A$1:$O$25,2,FALSE)</f>
        <v>0</v>
      </c>
      <c r="Z812" s="125" t="b">
        <f>OR(COUNTIF(PROVEEDORES[[#This Row],[PROVEEDOR]],"*"&amp;'Palabra no opera'!$A$2&amp;"*"))</f>
        <v>0</v>
      </c>
      <c r="AA812" s="24"/>
      <c r="AB812" s="24"/>
      <c r="AC812" s="24"/>
      <c r="AD812" s="24"/>
      <c r="AE812" s="24"/>
    </row>
    <row r="813" spans="1:31" ht="22.2" customHeight="1" x14ac:dyDescent="0.3">
      <c r="A813" s="66" t="str">
        <f>+IF(PROVEEDORES[[#This Row],[FECHA DE PAGO]]=PROVEEDORES[[#This Row],[FECHA DE FACTURACIÓN]],"DE CONTADO","CRÉDITO")</f>
        <v>CRÉDITO</v>
      </c>
      <c r="B813" s="38" t="str">
        <f>+IF((PROVEEDORES[[#This Row],[FECHA DE PAGO]]-PROVEEDORES[[#This Row],[FECHA DE FACTURACIÓN]])&gt;PROVEEDORES[[#This Row],[PLAZO Días]],"PAGO VENCIDO")</f>
        <v>PAGO VENCIDO</v>
      </c>
      <c r="C813" s="20">
        <f>+VLOOKUP(PROVEEDORES[[#This Row],[PROVEEDOR]],TERCEROS_INFO[#All],2,FALSE)</f>
        <v>30</v>
      </c>
      <c r="D813" s="25">
        <f>+SUMIFS(PROVEEDORES[Total],PROVEEDORES[PROVEEDOR],PROVEEDORES[[#This Row],[PROVEEDOR]],PROVEEDORES[FECHA DE PAGO],"")</f>
        <v>0</v>
      </c>
      <c r="E813" s="25"/>
      <c r="F81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13" s="161">
        <v>44208</v>
      </c>
      <c r="H813" s="26" t="s">
        <v>1637</v>
      </c>
      <c r="I813" s="161">
        <v>44177</v>
      </c>
      <c r="J813" s="35">
        <v>18964</v>
      </c>
      <c r="K813" s="21">
        <v>539495.79831932776</v>
      </c>
      <c r="L813" s="21"/>
      <c r="M813" s="22">
        <f>(PROVEEDORES[[#This Row],[SUBTOTAL]]-PROVEEDORES[[#This Row],[descuento sobre subtotal]])*VLOOKUP(PROVEEDORES[[#This Row],[PROVEEDOR]],TERCEROS_INFO[#All],3,FALSE)</f>
        <v>102504.20168067228</v>
      </c>
      <c r="N813" s="23"/>
      <c r="O813" s="22">
        <f>+PROVEEDORES[[#This Row],[Descuento sobre subtotal %]]*(PROVEEDORES[[#This Row],[SUBTOTAL]]-PROVEEDORES[[#This Row],[descuento sobre subtotal]])</f>
        <v>0</v>
      </c>
      <c r="P813" s="83">
        <f>+IF(PROVEEDORES[[#This Row],[SUBTOTAL]]&lt;PROVEEDORES[[#This Row],[base retencion]],0,PROVEEDORES[[#This Row],[retención aplicada]])</f>
        <v>0</v>
      </c>
      <c r="Q813" s="22">
        <f>+PROVEEDORES[[#This Row],[Rete Fuente %]]*(PROVEEDORES[[#This Row],[SUBTOTAL]]-PROVEEDORES[[#This Row],[descuento sobre subtotal]])</f>
        <v>0</v>
      </c>
      <c r="R813" s="21">
        <f>+PROVEEDORES[[#This Row],[SUBTOTAL]]+PROVEEDORES[[#This Row],[IVA 19%]]-PROVEEDORES[[#This Row],[descuento sobre subtotal]]-PROVEEDORES[[#This Row],[Descuento sobre subtotal $2]]-PROVEEDORES[[#This Row],[Rete Fuente $]]</f>
        <v>642000</v>
      </c>
      <c r="S8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68">
        <f ca="1">IF(PROVEEDORES[[#This Row],[FECHA DE PAGO]]=0,TODAY()-PROVEEDORES[[#This Row],[FECHA DE FACTURACIÓN]]-PROVEEDORES[[#This Row],[PLAZO Días]],0)</f>
        <v>0</v>
      </c>
      <c r="U813" s="96" t="str">
        <f>+VLOOKUP(PROVEEDORES[[#This Row],[PROVEEDOR]],Terceros!$A:$D,4,FALSE)</f>
        <v>2,5% con base</v>
      </c>
      <c r="V813" s="97">
        <f>+YEAR(PROVEEDORES[[#This Row],[FECHA DE FACTURACIÓN]])</f>
        <v>2020</v>
      </c>
      <c r="W813" s="97">
        <f>+MATCH(PROVEEDORES[[#This Row],[año facturado]],Retenciones!$1:$1,0)</f>
        <v>3</v>
      </c>
      <c r="X813" s="98">
        <f>+VLOOKUP(PROVEEDORES[[#This Row],[ID RETENCION]],Retenciones!$A$1:$O$25,PROVEEDORES[[#This Row],[indicador de columna]],FALSE)</f>
        <v>961000</v>
      </c>
      <c r="Y813" s="99">
        <f>+VLOOKUP(PROVEEDORES[[#This Row],[ID RETENCION]],Retenciones!$A$1:$O$25,2,FALSE)</f>
        <v>2.5000000000000001E-2</v>
      </c>
      <c r="Z813" s="125" t="b">
        <f>OR(COUNTIF(PROVEEDORES[[#This Row],[PROVEEDOR]],"*"&amp;'Palabra no opera'!$A$2&amp;"*"))</f>
        <v>0</v>
      </c>
      <c r="AA813" s="24"/>
      <c r="AB813" s="24"/>
      <c r="AC813" s="24"/>
      <c r="AD813" s="24"/>
      <c r="AE813" s="24"/>
    </row>
    <row r="814" spans="1:31" ht="22.2" customHeight="1" x14ac:dyDescent="0.3">
      <c r="A814" s="66" t="str">
        <f>+IF(PROVEEDORES[[#This Row],[FECHA DE PAGO]]=PROVEEDORES[[#This Row],[FECHA DE FACTURACIÓN]],"DE CONTADO","CRÉDITO")</f>
        <v>CRÉDITO</v>
      </c>
      <c r="B814" s="38" t="str">
        <f>+IF((PROVEEDORES[[#This Row],[FECHA DE PAGO]]-PROVEEDORES[[#This Row],[FECHA DE FACTURACIÓN]])&gt;PROVEEDORES[[#This Row],[PLAZO Días]],"PAGO VENCIDO")</f>
        <v>PAGO VENCIDO</v>
      </c>
      <c r="C814" s="20">
        <f>+VLOOKUP(PROVEEDORES[[#This Row],[PROVEEDOR]],TERCEROS_INFO[#All],2,FALSE)</f>
        <v>30</v>
      </c>
      <c r="D814" s="25">
        <f>+SUMIFS(PROVEEDORES[Total],PROVEEDORES[PROVEEDOR],PROVEEDORES[[#This Row],[PROVEEDOR]],PROVEEDORES[FECHA DE PAGO],"")</f>
        <v>23124164.219999999</v>
      </c>
      <c r="E814" s="25"/>
      <c r="F81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14" s="161">
        <v>44652</v>
      </c>
      <c r="H814" s="26" t="s">
        <v>18</v>
      </c>
      <c r="I814" s="161">
        <v>44610</v>
      </c>
      <c r="J814" s="35">
        <v>1050001</v>
      </c>
      <c r="K814" s="21">
        <v>545207</v>
      </c>
      <c r="L814" s="21"/>
      <c r="M814" s="22">
        <v>103589.33</v>
      </c>
      <c r="N814" s="23"/>
      <c r="O814" s="22">
        <v>0</v>
      </c>
      <c r="P814" s="83">
        <f>+IF(PROVEEDORES[[#This Row],[SUBTOTAL]]&lt;PROVEEDORES[[#This Row],[base retencion]],0,PROVEEDORES[[#This Row],[retención aplicada]])</f>
        <v>0</v>
      </c>
      <c r="Q814" s="22">
        <f>+PROVEEDORES[[#This Row],[Rete Fuente %]]*(PROVEEDORES[[#This Row],[SUBTOTAL]]-PROVEEDORES[[#This Row],[descuento sobre subtotal]])</f>
        <v>0</v>
      </c>
      <c r="R814" s="21">
        <v>648796.32999999996</v>
      </c>
      <c r="S8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68">
        <f ca="1">IF(PROVEEDORES[[#This Row],[FECHA DE PAGO]]=0,TODAY()-PROVEEDORES[[#This Row],[FECHA DE FACTURACIÓN]]-PROVEEDORES[[#This Row],[PLAZO Días]],0)</f>
        <v>0</v>
      </c>
      <c r="U814" s="96" t="str">
        <f>+VLOOKUP(PROVEEDORES[[#This Row],[PROVEEDOR]],Terceros!$A:$D,4,FALSE)</f>
        <v>2,5% con base</v>
      </c>
      <c r="V814" s="97">
        <f>+YEAR(PROVEEDORES[[#This Row],[FECHA DE FACTURACIÓN]])</f>
        <v>2022</v>
      </c>
      <c r="W814" s="97">
        <f>+MATCH(PROVEEDORES[[#This Row],[año facturado]],Retenciones!$1:$1,0)</f>
        <v>5</v>
      </c>
      <c r="X814" s="98">
        <f>+VLOOKUP(PROVEEDORES[[#This Row],[ID RETENCION]],Retenciones!$A$1:$O$25,PROVEEDORES[[#This Row],[indicador de columna]],FALSE)</f>
        <v>1026000</v>
      </c>
      <c r="Y814" s="99">
        <f>+VLOOKUP(PROVEEDORES[[#This Row],[ID RETENCION]],Retenciones!$A$1:$O$25,2,FALSE)</f>
        <v>2.5000000000000001E-2</v>
      </c>
      <c r="Z814" s="125" t="b">
        <f>OR(COUNTIF(PROVEEDORES[[#This Row],[PROVEEDOR]],"*"&amp;'Palabra no opera'!$A$2&amp;"*"))</f>
        <v>0</v>
      </c>
      <c r="AA814" s="24"/>
      <c r="AB814" s="24"/>
      <c r="AC814" s="24"/>
      <c r="AD814" s="24"/>
      <c r="AE814" s="24"/>
    </row>
    <row r="815" spans="1:31" ht="22.2" customHeight="1" x14ac:dyDescent="0.3">
      <c r="A815" s="66" t="str">
        <f>+IF(PROVEEDORES[[#This Row],[FECHA DE PAGO]]=PROVEEDORES[[#This Row],[FECHA DE FACTURACIÓN]],"DE CONTADO","CRÉDITO")</f>
        <v>CRÉDITO</v>
      </c>
      <c r="B815" s="38" t="str">
        <f>+IF((PROVEEDORES[[#This Row],[FECHA DE PAGO]]-PROVEEDORES[[#This Row],[FECHA DE FACTURACIÓN]])&gt;PROVEEDORES[[#This Row],[PLAZO Días]],"PAGO VENCIDO")</f>
        <v>PAGO VENCIDO</v>
      </c>
      <c r="C815" s="20">
        <f>+VLOOKUP(PROVEEDORES[[#This Row],[PROVEEDOR]],TERCEROS_INFO[#All],2,FALSE)</f>
        <v>30</v>
      </c>
      <c r="D815" s="25">
        <f>+SUMIFS(PROVEEDORES[Total],PROVEEDORES[PROVEEDOR],PROVEEDORES[[#This Row],[PROVEEDOR]],PROVEEDORES[FECHA DE PAGO],"")</f>
        <v>23124164.219999999</v>
      </c>
      <c r="E815" s="25"/>
      <c r="F81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15" s="161">
        <v>44662</v>
      </c>
      <c r="H815" s="26" t="s">
        <v>18</v>
      </c>
      <c r="I815" s="161">
        <v>44622</v>
      </c>
      <c r="J815" s="35">
        <v>1050509</v>
      </c>
      <c r="K815" s="21">
        <v>545207</v>
      </c>
      <c r="L815" s="21"/>
      <c r="M815" s="22">
        <v>103589.33</v>
      </c>
      <c r="N815" s="23"/>
      <c r="O815" s="22">
        <v>0</v>
      </c>
      <c r="P815" s="83">
        <f>+IF(PROVEEDORES[[#This Row],[SUBTOTAL]]&lt;PROVEEDORES[[#This Row],[base retencion]],0,PROVEEDORES[[#This Row],[retención aplicada]])</f>
        <v>0</v>
      </c>
      <c r="Q815" s="22">
        <f>+PROVEEDORES[[#This Row],[Rete Fuente %]]*(PROVEEDORES[[#This Row],[SUBTOTAL]]-PROVEEDORES[[#This Row],[descuento sobre subtotal]])</f>
        <v>0</v>
      </c>
      <c r="R815" s="21">
        <v>648796.32999999996</v>
      </c>
      <c r="S8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68">
        <f ca="1">IF(PROVEEDORES[[#This Row],[FECHA DE PAGO]]=0,TODAY()-PROVEEDORES[[#This Row],[FECHA DE FACTURACIÓN]]-PROVEEDORES[[#This Row],[PLAZO Días]],0)</f>
        <v>0</v>
      </c>
      <c r="U815" s="96" t="str">
        <f>+VLOOKUP(PROVEEDORES[[#This Row],[PROVEEDOR]],Terceros!$A:$D,4,FALSE)</f>
        <v>2,5% con base</v>
      </c>
      <c r="V815" s="97">
        <f>+YEAR(PROVEEDORES[[#This Row],[FECHA DE FACTURACIÓN]])</f>
        <v>2022</v>
      </c>
      <c r="W815" s="97">
        <f>+MATCH(PROVEEDORES[[#This Row],[año facturado]],Retenciones!$1:$1,0)</f>
        <v>5</v>
      </c>
      <c r="X815" s="98">
        <f>+VLOOKUP(PROVEEDORES[[#This Row],[ID RETENCION]],Retenciones!$A$1:$O$25,PROVEEDORES[[#This Row],[indicador de columna]],FALSE)</f>
        <v>1026000</v>
      </c>
      <c r="Y815" s="99">
        <f>+VLOOKUP(PROVEEDORES[[#This Row],[ID RETENCION]],Retenciones!$A$1:$O$25,2,FALSE)</f>
        <v>2.5000000000000001E-2</v>
      </c>
      <c r="Z815" s="125" t="b">
        <f>OR(COUNTIF(PROVEEDORES[[#This Row],[PROVEEDOR]],"*"&amp;'Palabra no opera'!$A$2&amp;"*"))</f>
        <v>0</v>
      </c>
      <c r="AA815" s="24"/>
      <c r="AB815" s="24"/>
      <c r="AC815" s="24"/>
      <c r="AD815" s="24"/>
      <c r="AE815" s="24"/>
    </row>
    <row r="816" spans="1:31" ht="22.2" customHeight="1" x14ac:dyDescent="0.3">
      <c r="A816" s="211" t="str">
        <f>+IF(PROVEEDORES[[#This Row],[FECHA DE PAGO]]=PROVEEDORES[[#This Row],[FECHA DE FACTURACIÓN]],"DE CONTADO","CRÉDITO")</f>
        <v>CRÉDITO</v>
      </c>
      <c r="B816" s="38" t="b">
        <f>+IF((PROVEEDORES[[#This Row],[FECHA DE PAGO]]-PROVEEDORES[[#This Row],[FECHA DE FACTURACIÓN]])&gt;PROVEEDORES[[#This Row],[PLAZO Días]],"PAGO VENCIDO")</f>
        <v>0</v>
      </c>
      <c r="C816" s="20">
        <f>+VLOOKUP(PROVEEDORES[[#This Row],[PROVEEDOR]],TERCEROS_INFO[#All],2,FALSE)</f>
        <v>60</v>
      </c>
      <c r="D816" s="25">
        <f>+SUMIFS(PROVEEDORES[Total],PROVEEDORES[PROVEEDOR],PROVEEDORES[[#This Row],[PROVEEDOR]],PROVEEDORES[FECHA DE PAGO],"")</f>
        <v>1520362</v>
      </c>
      <c r="E816" s="25"/>
      <c r="F81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816" s="161">
        <v>44811</v>
      </c>
      <c r="H816" s="26" t="s">
        <v>528</v>
      </c>
      <c r="I816" s="161">
        <v>44803</v>
      </c>
      <c r="J816" s="35" t="s">
        <v>1671</v>
      </c>
      <c r="K816" s="21">
        <v>649894.85</v>
      </c>
      <c r="L816" s="21"/>
      <c r="M816" s="22">
        <f>(PROVEEDORES[[#This Row],[SUBTOTAL]]-PROVEEDORES[[#This Row],[descuento sobre subtotal]])*VLOOKUP(PROVEEDORES[[#This Row],[PROVEEDOR]],TERCEROS_INFO[#All],3,FALSE)</f>
        <v>0</v>
      </c>
      <c r="N816" s="23"/>
      <c r="O816" s="22">
        <f>+PROVEEDORES[[#This Row],[Descuento sobre subtotal %]]*(PROVEEDORES[[#This Row],[SUBTOTAL]]-PROVEEDORES[[#This Row],[descuento sobre subtotal]])</f>
        <v>0</v>
      </c>
      <c r="P816" s="83">
        <f>+IF(PROVEEDORES[[#This Row],[SUBTOTAL]]&lt;PROVEEDORES[[#This Row],[base retencion]],0,PROVEEDORES[[#This Row],[retención aplicada]])</f>
        <v>0</v>
      </c>
      <c r="Q816" s="22">
        <f>+PROVEEDORES[[#This Row],[Rete Fuente %]]*(PROVEEDORES[[#This Row],[SUBTOTAL]]-PROVEEDORES[[#This Row],[descuento sobre subtotal]])</f>
        <v>0</v>
      </c>
      <c r="R816" s="21">
        <f>+PROVEEDORES[[#This Row],[SUBTOTAL]]+PROVEEDORES[[#This Row],[IVA 19%]]-PROVEEDORES[[#This Row],[descuento sobre subtotal]]-PROVEEDORES[[#This Row],[Descuento sobre subtotal $2]]-PROVEEDORES[[#This Row],[Rete Fuente $]]</f>
        <v>649894.85</v>
      </c>
      <c r="S816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68">
        <f ca="1">IF(PROVEEDORES[[#This Row],[FECHA DE PAGO]]=0,TODAY()-PROVEEDORES[[#This Row],[FECHA DE FACTURACIÓN]]-PROVEEDORES[[#This Row],[PLAZO Días]],0)</f>
        <v>0</v>
      </c>
      <c r="U816" s="113">
        <f>+VLOOKUP(PROVEEDORES[[#This Row],[PROVEEDOR]],Terceros!$A:$D,4,FALSE)</f>
        <v>0</v>
      </c>
      <c r="V816" s="114">
        <f>+YEAR(PROVEEDORES[[#This Row],[FECHA DE FACTURACIÓN]])</f>
        <v>2022</v>
      </c>
      <c r="W816" s="114">
        <f>+MATCH(PROVEEDORES[[#This Row],[año facturado]],Retenciones!$1:$1,0)</f>
        <v>5</v>
      </c>
      <c r="X816" s="115">
        <f>+VLOOKUP(PROVEEDORES[[#This Row],[ID RETENCION]],Retenciones!$A$1:$O$25,PROVEEDORES[[#This Row],[indicador de columna]],FALSE)</f>
        <v>0</v>
      </c>
      <c r="Y816" s="116">
        <f>+VLOOKUP(PROVEEDORES[[#This Row],[ID RETENCION]],Retenciones!$A$1:$O$25,2,FALSE)</f>
        <v>0</v>
      </c>
      <c r="Z816" s="125" t="b">
        <f>OR(COUNTIF(PROVEEDORES[[#This Row],[PROVEEDOR]],"*"&amp;'Palabra no opera'!$A$2&amp;"*"))</f>
        <v>0</v>
      </c>
      <c r="AA816" s="24"/>
      <c r="AB816" s="24"/>
      <c r="AC816" s="24"/>
      <c r="AD816" s="24"/>
      <c r="AE816" s="24"/>
    </row>
    <row r="817" spans="1:31" ht="22.2" customHeight="1" x14ac:dyDescent="0.3">
      <c r="A817" s="159" t="str">
        <f>+IF(PROVEEDORES[[#This Row],[FECHA DE PAGO]]=PROVEEDORES[[#This Row],[FECHA DE FACTURACIÓN]],"DE CONTADO","CRÉDITO")</f>
        <v>CRÉDITO</v>
      </c>
      <c r="B817" s="38" t="str">
        <f>+IF((PROVEEDORES[[#This Row],[FECHA DE PAGO]]-PROVEEDORES[[#This Row],[FECHA DE FACTURACIÓN]])&gt;PROVEEDORES[[#This Row],[PLAZO Días]],"PAGO VENCIDO")</f>
        <v>PAGO VENCIDO</v>
      </c>
      <c r="C817" s="20">
        <f>+VLOOKUP(PROVEEDORES[[#This Row],[PROVEEDOR]],TERCEROS_INFO[#All],2,FALSE)</f>
        <v>30</v>
      </c>
      <c r="D817" s="25">
        <f>+SUMIFS(PROVEEDORES[Total],PROVEEDORES[PROVEEDOR],PROVEEDORES[[#This Row],[PROVEEDOR]],PROVEEDORES[FECHA DE PAGO],"")</f>
        <v>0</v>
      </c>
      <c r="E817" s="25"/>
      <c r="F817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17" s="161">
        <v>44764</v>
      </c>
      <c r="H817" s="26" t="s">
        <v>49</v>
      </c>
      <c r="I817" s="161">
        <v>44726</v>
      </c>
      <c r="J817" s="35">
        <v>7440</v>
      </c>
      <c r="K817" s="21">
        <v>546218</v>
      </c>
      <c r="L817" s="21"/>
      <c r="M817" s="22">
        <f>(PROVEEDORES[[#This Row],[SUBTOTAL]]-PROVEEDORES[[#This Row],[descuento sobre subtotal]])*VLOOKUP(PROVEEDORES[[#This Row],[PROVEEDOR]],TERCEROS_INFO[#All],3,FALSE)</f>
        <v>103781.42</v>
      </c>
      <c r="N817" s="23"/>
      <c r="O817" s="22">
        <f>+PROVEEDORES[[#This Row],[Descuento sobre subtotal %]]*(PROVEEDORES[[#This Row],[SUBTOTAL]]-PROVEEDORES[[#This Row],[descuento sobre subtotal]])</f>
        <v>0</v>
      </c>
      <c r="P817" s="83">
        <f>+IF(PROVEEDORES[[#This Row],[SUBTOTAL]]&lt;PROVEEDORES[[#This Row],[base retencion]],0,PROVEEDORES[[#This Row],[retención aplicada]])</f>
        <v>0</v>
      </c>
      <c r="Q817" s="22">
        <f>+PROVEEDORES[[#This Row],[Rete Fuente %]]*(PROVEEDORES[[#This Row],[SUBTOTAL]]-PROVEEDORES[[#This Row],[descuento sobre subtotal]])</f>
        <v>0</v>
      </c>
      <c r="R817" s="21">
        <f>+PROVEEDORES[[#This Row],[SUBTOTAL]]+PROVEEDORES[[#This Row],[IVA 19%]]-PROVEEDORES[[#This Row],[descuento sobre subtotal]]-PROVEEDORES[[#This Row],[Descuento sobre subtotal $2]]-PROVEEDORES[[#This Row],[Rete Fuente $]]</f>
        <v>649999.42000000004</v>
      </c>
      <c r="S81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68">
        <f ca="1">IF(PROVEEDORES[[#This Row],[FECHA DE PAGO]]=0,TODAY()-PROVEEDORES[[#This Row],[FECHA DE FACTURACIÓN]]-PROVEEDORES[[#This Row],[PLAZO Días]],0)</f>
        <v>0</v>
      </c>
      <c r="U817" s="113" t="str">
        <f>+VLOOKUP(PROVEEDORES[[#This Row],[PROVEEDOR]],Terceros!$A:$D,4,FALSE)</f>
        <v>2,5% con base</v>
      </c>
      <c r="V817" s="114">
        <f>+YEAR(PROVEEDORES[[#This Row],[FECHA DE FACTURACIÓN]])</f>
        <v>2022</v>
      </c>
      <c r="W817" s="114">
        <f>+MATCH(PROVEEDORES[[#This Row],[año facturado]],Retenciones!$1:$1,0)</f>
        <v>5</v>
      </c>
      <c r="X817" s="115">
        <f>+VLOOKUP(PROVEEDORES[[#This Row],[ID RETENCION]],Retenciones!$A$1:$O$25,PROVEEDORES[[#This Row],[indicador de columna]],FALSE)</f>
        <v>1026000</v>
      </c>
      <c r="Y817" s="116">
        <f>+VLOOKUP(PROVEEDORES[[#This Row],[ID RETENCION]],Retenciones!$A$1:$O$25,2,FALSE)</f>
        <v>2.5000000000000001E-2</v>
      </c>
      <c r="Z817" s="125" t="b">
        <f>OR(COUNTIF(PROVEEDORES[[#This Row],[PROVEEDOR]],"*"&amp;'Palabra no opera'!$A$2&amp;"*"))</f>
        <v>0</v>
      </c>
      <c r="AA817" s="24"/>
      <c r="AB817" s="24"/>
      <c r="AC817" s="24"/>
      <c r="AD817" s="24"/>
      <c r="AE817" s="24"/>
    </row>
    <row r="818" spans="1:31" ht="22.2" customHeight="1" x14ac:dyDescent="0.3">
      <c r="A818" s="66" t="str">
        <f>+IF(PROVEEDORES[[#This Row],[FECHA DE PAGO]]=PROVEEDORES[[#This Row],[FECHA DE FACTURACIÓN]],"DE CONTADO","CRÉDITO")</f>
        <v>DE CONTADO</v>
      </c>
      <c r="B818" s="38" t="b">
        <f>+IF((PROVEEDORES[[#This Row],[FECHA DE PAGO]]-PROVEEDORES[[#This Row],[FECHA DE FACTURACIÓN]])&gt;PROVEEDORES[[#This Row],[PLAZO Días]],"PAGO VENCIDO")</f>
        <v>0</v>
      </c>
      <c r="C818" s="20">
        <f>+VLOOKUP(PROVEEDORES[[#This Row],[PROVEEDOR]],TERCEROS_INFO[#All],2,FALSE)</f>
        <v>90</v>
      </c>
      <c r="D818" s="25">
        <f>+SUMIFS(PROVEEDORES[Total],PROVEEDORES[PROVEEDOR],PROVEEDORES[[#This Row],[PROVEEDOR]],PROVEEDORES[FECHA DE PAGO],"")</f>
        <v>0</v>
      </c>
      <c r="E818" s="25"/>
      <c r="F818" s="58" t="str">
        <f>+VLOOKUP(PROVEEDORES[[#This Row],[PROVEEDOR]],
                       Terceros!$A:$F,
                       5,
                       FALSE)</f>
        <v/>
      </c>
      <c r="G818" s="161">
        <v>44567</v>
      </c>
      <c r="H818" s="26" t="s">
        <v>657</v>
      </c>
      <c r="I818" s="161">
        <v>44567</v>
      </c>
      <c r="J818" s="35"/>
      <c r="K818" s="21">
        <v>-6831935</v>
      </c>
      <c r="L818" s="21"/>
      <c r="M818" s="22">
        <f>(PROVEEDORES[[#This Row],[SUBTOTAL]]-PROVEEDORES[[#This Row],[descuento sobre subtotal]])*VLOOKUP(PROVEEDORES[[#This Row],[PROVEEDOR]],TERCEROS_INFO[#All],3,FALSE)</f>
        <v>0</v>
      </c>
      <c r="N818" s="23"/>
      <c r="O818" s="22">
        <f>+PROVEEDORES[[#This Row],[Descuento sobre subtotal %]]*(PROVEEDORES[[#This Row],[SUBTOTAL]]-PROVEEDORES[[#This Row],[descuento sobre subtotal]])</f>
        <v>0</v>
      </c>
      <c r="P818" s="83">
        <f>+IF(PROVEEDORES[[#This Row],[SUBTOTAL]]&lt;PROVEEDORES[[#This Row],[base retencion]],0,PROVEEDORES[[#This Row],[retención aplicada]])</f>
        <v>0</v>
      </c>
      <c r="Q818" s="22">
        <f>+PROVEEDORES[[#This Row],[Rete Fuente %]]*(PROVEEDORES[[#This Row],[SUBTOTAL]]-PROVEEDORES[[#This Row],[descuento sobre subtotal]])</f>
        <v>0</v>
      </c>
      <c r="R818" s="21">
        <v>650282</v>
      </c>
      <c r="S8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68">
        <f ca="1">IF(PROVEEDORES[[#This Row],[FECHA DE PAGO]]=0,TODAY()-PROVEEDORES[[#This Row],[FECHA DE FACTURACIÓN]]-PROVEEDORES[[#This Row],[PLAZO Días]],0)</f>
        <v>0</v>
      </c>
      <c r="U818" s="96">
        <f>+VLOOKUP(PROVEEDORES[[#This Row],[PROVEEDOR]],Terceros!$A:$D,4,FALSE)</f>
        <v>0</v>
      </c>
      <c r="V818" s="97">
        <f>+YEAR(PROVEEDORES[[#This Row],[FECHA DE FACTURACIÓN]])</f>
        <v>2022</v>
      </c>
      <c r="W818" s="97">
        <f>+MATCH(PROVEEDORES[[#This Row],[año facturado]],Retenciones!$1:$1,0)</f>
        <v>5</v>
      </c>
      <c r="X818" s="98">
        <f>+VLOOKUP(PROVEEDORES[[#This Row],[ID RETENCION]],Retenciones!$A$1:$O$25,PROVEEDORES[[#This Row],[indicador de columna]],FALSE)</f>
        <v>0</v>
      </c>
      <c r="Y818" s="99">
        <f>+VLOOKUP(PROVEEDORES[[#This Row],[ID RETENCION]],Retenciones!$A$1:$O$25,2,FALSE)</f>
        <v>0</v>
      </c>
      <c r="Z818" s="125" t="b">
        <f>OR(COUNTIF(PROVEEDORES[[#This Row],[PROVEEDOR]],"*"&amp;'Palabra no opera'!$A$2&amp;"*"))</f>
        <v>0</v>
      </c>
      <c r="AA818" s="24"/>
      <c r="AB818" s="24"/>
      <c r="AC818" s="24"/>
      <c r="AD818" s="24"/>
      <c r="AE818" s="24"/>
    </row>
    <row r="819" spans="1:31" ht="22.2" customHeight="1" x14ac:dyDescent="0.3">
      <c r="A819" s="211" t="str">
        <f>+IF(PROVEEDORES[[#This Row],[FECHA DE PAGO]]=PROVEEDORES[[#This Row],[FECHA DE FACTURACIÓN]],"DE CONTADO","CRÉDITO")</f>
        <v>CRÉDITO</v>
      </c>
      <c r="B819" s="38" t="b">
        <f>+IF((PROVEEDORES[[#This Row],[FECHA DE PAGO]]-PROVEEDORES[[#This Row],[FECHA DE FACTURACIÓN]])&gt;PROVEEDORES[[#This Row],[PLAZO Días]],"PAGO VENCIDO")</f>
        <v>0</v>
      </c>
      <c r="C819" s="20">
        <f>+VLOOKUP(PROVEEDORES[[#This Row],[PROVEEDOR]],TERCEROS_INFO[#All],2,FALSE)</f>
        <v>60</v>
      </c>
      <c r="D819" s="25">
        <f>+SUMIFS(PROVEEDORES[Total],PROVEEDORES[PROVEEDOR],PROVEEDORES[[#This Row],[PROVEEDOR]],PROVEEDORES[FECHA DE PAGO],"")</f>
        <v>1520362</v>
      </c>
      <c r="E819" s="25"/>
      <c r="F81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819" s="161">
        <v>44811</v>
      </c>
      <c r="H819" s="26" t="s">
        <v>528</v>
      </c>
      <c r="I819" s="161">
        <v>44803</v>
      </c>
      <c r="J819" s="35" t="s">
        <v>1672</v>
      </c>
      <c r="K819" s="21">
        <v>655693.5</v>
      </c>
      <c r="L819" s="21"/>
      <c r="M819" s="22">
        <f>(PROVEEDORES[[#This Row],[SUBTOTAL]]-PROVEEDORES[[#This Row],[descuento sobre subtotal]])*VLOOKUP(PROVEEDORES[[#This Row],[PROVEEDOR]],TERCEROS_INFO[#All],3,FALSE)</f>
        <v>0</v>
      </c>
      <c r="N819" s="23"/>
      <c r="O819" s="22">
        <f>+PROVEEDORES[[#This Row],[Descuento sobre subtotal %]]*(PROVEEDORES[[#This Row],[SUBTOTAL]]-PROVEEDORES[[#This Row],[descuento sobre subtotal]])</f>
        <v>0</v>
      </c>
      <c r="P819" s="83">
        <f>+IF(PROVEEDORES[[#This Row],[SUBTOTAL]]&lt;PROVEEDORES[[#This Row],[base retencion]],0,PROVEEDORES[[#This Row],[retención aplicada]])</f>
        <v>0</v>
      </c>
      <c r="Q819" s="22">
        <f>+PROVEEDORES[[#This Row],[Rete Fuente %]]*(PROVEEDORES[[#This Row],[SUBTOTAL]]-PROVEEDORES[[#This Row],[descuento sobre subtotal]])</f>
        <v>0</v>
      </c>
      <c r="R819" s="21">
        <f>+PROVEEDORES[[#This Row],[SUBTOTAL]]+PROVEEDORES[[#This Row],[IVA 19%]]-PROVEEDORES[[#This Row],[descuento sobre subtotal]]-PROVEEDORES[[#This Row],[Descuento sobre subtotal $2]]-PROVEEDORES[[#This Row],[Rete Fuente $]]</f>
        <v>655693.5</v>
      </c>
      <c r="S819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68">
        <f ca="1">IF(PROVEEDORES[[#This Row],[FECHA DE PAGO]]=0,TODAY()-PROVEEDORES[[#This Row],[FECHA DE FACTURACIÓN]]-PROVEEDORES[[#This Row],[PLAZO Días]],0)</f>
        <v>0</v>
      </c>
      <c r="U819" s="113">
        <f>+VLOOKUP(PROVEEDORES[[#This Row],[PROVEEDOR]],Terceros!$A:$D,4,FALSE)</f>
        <v>0</v>
      </c>
      <c r="V819" s="114">
        <f>+YEAR(PROVEEDORES[[#This Row],[FECHA DE FACTURACIÓN]])</f>
        <v>2022</v>
      </c>
      <c r="W819" s="114">
        <f>+MATCH(PROVEEDORES[[#This Row],[año facturado]],Retenciones!$1:$1,0)</f>
        <v>5</v>
      </c>
      <c r="X819" s="115">
        <f>+VLOOKUP(PROVEEDORES[[#This Row],[ID RETENCION]],Retenciones!$A$1:$O$25,PROVEEDORES[[#This Row],[indicador de columna]],FALSE)</f>
        <v>0</v>
      </c>
      <c r="Y819" s="116">
        <f>+VLOOKUP(PROVEEDORES[[#This Row],[ID RETENCION]],Retenciones!$A$1:$O$25,2,FALSE)</f>
        <v>0</v>
      </c>
      <c r="Z819" s="125" t="b">
        <f>OR(COUNTIF(PROVEEDORES[[#This Row],[PROVEEDOR]],"*"&amp;'Palabra no opera'!$A$2&amp;"*"))</f>
        <v>0</v>
      </c>
      <c r="AA819" s="24"/>
      <c r="AB819" s="24"/>
      <c r="AC819" s="24"/>
      <c r="AD819" s="24"/>
      <c r="AE819" s="24"/>
    </row>
    <row r="820" spans="1:31" ht="22.2" customHeight="1" x14ac:dyDescent="0.3">
      <c r="A820" s="195" t="str">
        <f>+IF(PROVEEDORES[[#This Row],[FECHA DE PAGO]]=PROVEEDORES[[#This Row],[FECHA DE FACTURACIÓN]],"DE CONTADO","CRÉDITO")</f>
        <v>CRÉDITO</v>
      </c>
      <c r="B820" s="38" t="str">
        <f>+IF((PROVEEDORES[[#This Row],[FECHA DE PAGO]]-PROVEEDORES[[#This Row],[FECHA DE FACTURACIÓN]])&gt;PROVEEDORES[[#This Row],[PLAZO Días]],"PAGO VENCIDO")</f>
        <v>PAGO VENCIDO</v>
      </c>
      <c r="C820" s="20">
        <f>+VLOOKUP(PROVEEDORES[[#This Row],[PROVEEDOR]],TERCEROS_INFO[#All],2,FALSE)</f>
        <v>30</v>
      </c>
      <c r="D820" s="25">
        <f>+SUMIFS(PROVEEDORES[Total],PROVEEDORES[PROVEEDOR],PROVEEDORES[[#This Row],[PROVEEDOR]],PROVEEDORES[FECHA DE PAGO],"")</f>
        <v>845001.15</v>
      </c>
      <c r="E820" s="25"/>
      <c r="F820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820" s="161">
        <v>44869</v>
      </c>
      <c r="H820" s="26" t="s">
        <v>1155</v>
      </c>
      <c r="I820" s="161">
        <v>44781</v>
      </c>
      <c r="J820" s="35" t="s">
        <v>1176</v>
      </c>
      <c r="K820" s="21">
        <v>554622</v>
      </c>
      <c r="L820" s="21"/>
      <c r="M820" s="22">
        <f>(PROVEEDORES[[#This Row],[SUBTOTAL]]-PROVEEDORES[[#This Row],[descuento sobre subtotal]])*VLOOKUP(PROVEEDORES[[#This Row],[PROVEEDOR]],TERCEROS_INFO[#All],3,FALSE)</f>
        <v>105378.18000000001</v>
      </c>
      <c r="N820" s="23"/>
      <c r="O820" s="22">
        <f>+PROVEEDORES[[#This Row],[Descuento sobre subtotal %]]*(PROVEEDORES[[#This Row],[SUBTOTAL]]-PROVEEDORES[[#This Row],[descuento sobre subtotal]])</f>
        <v>0</v>
      </c>
      <c r="P820" s="83">
        <f>+IF(PROVEEDORES[[#This Row],[SUBTOTAL]]&lt;PROVEEDORES[[#This Row],[base retencion]],0,PROVEEDORES[[#This Row],[retención aplicada]])</f>
        <v>0</v>
      </c>
      <c r="Q820" s="22">
        <f>+PROVEEDORES[[#This Row],[Rete Fuente %]]*(PROVEEDORES[[#This Row],[SUBTOTAL]]-PROVEEDORES[[#This Row],[descuento sobre subtotal]])</f>
        <v>0</v>
      </c>
      <c r="R820" s="21">
        <f>+PROVEEDORES[[#This Row],[SUBTOTAL]]+PROVEEDORES[[#This Row],[IVA 19%]]-PROVEEDORES[[#This Row],[descuento sobre subtotal]]-PROVEEDORES[[#This Row],[Descuento sobre subtotal $2]]-PROVEEDORES[[#This Row],[Rete Fuente $]]</f>
        <v>660000.18000000005</v>
      </c>
      <c r="S820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0" s="68">
        <f ca="1">IF(PROVEEDORES[[#This Row],[FECHA DE PAGO]]=0,TODAY()-PROVEEDORES[[#This Row],[FECHA DE FACTURACIÓN]]-PROVEEDORES[[#This Row],[PLAZO Días]],0)</f>
        <v>0</v>
      </c>
      <c r="U820" s="113" t="str">
        <f>+VLOOKUP(PROVEEDORES[[#This Row],[PROVEEDOR]],Terceros!$A:$D,4,FALSE)</f>
        <v>2,5% con base</v>
      </c>
      <c r="V820" s="114">
        <f>+YEAR(PROVEEDORES[[#This Row],[FECHA DE FACTURACIÓN]])</f>
        <v>2022</v>
      </c>
      <c r="W820" s="114">
        <f>+MATCH(PROVEEDORES[[#This Row],[año facturado]],Retenciones!$1:$1,0)</f>
        <v>5</v>
      </c>
      <c r="X820" s="115">
        <f>+VLOOKUP(PROVEEDORES[[#This Row],[ID RETENCION]],Retenciones!$A$1:$O$25,PROVEEDORES[[#This Row],[indicador de columna]],FALSE)</f>
        <v>1026000</v>
      </c>
      <c r="Y820" s="116">
        <f>+VLOOKUP(PROVEEDORES[[#This Row],[ID RETENCION]],Retenciones!$A$1:$O$25,2,FALSE)</f>
        <v>2.5000000000000001E-2</v>
      </c>
      <c r="Z820" s="125" t="b">
        <f>OR(COUNTIF(PROVEEDORES[[#This Row],[PROVEEDOR]],"*"&amp;'Palabra no opera'!$A$2&amp;"*"))</f>
        <v>0</v>
      </c>
      <c r="AA820" s="24"/>
      <c r="AB820" s="24"/>
      <c r="AC820" s="24"/>
      <c r="AD820" s="24"/>
      <c r="AE820" s="24"/>
    </row>
    <row r="821" spans="1:31" ht="22.2" customHeight="1" x14ac:dyDescent="0.3">
      <c r="A821" s="66" t="str">
        <f>+IF(PROVEEDORES[[#This Row],[FECHA DE PAGO]]=PROVEEDORES[[#This Row],[FECHA DE FACTURACIÓN]],"DE CONTADO","CRÉDITO")</f>
        <v>CRÉDITO</v>
      </c>
      <c r="B821" s="38" t="str">
        <f>+IF((PROVEEDORES[[#This Row],[FECHA DE PAGO]]-PROVEEDORES[[#This Row],[FECHA DE FACTURACIÓN]])&gt;PROVEEDORES[[#This Row],[PLAZO Días]],"PAGO VENCIDO")</f>
        <v>PAGO VENCIDO</v>
      </c>
      <c r="C821" s="20">
        <f>+VLOOKUP(PROVEEDORES[[#This Row],[PROVEEDOR]],TERCEROS_INFO[#All],2,FALSE)</f>
        <v>30</v>
      </c>
      <c r="D821" s="25">
        <f>+SUMIFS(PROVEEDORES[Total],PROVEEDORES[PROVEEDOR],PROVEEDORES[[#This Row],[PROVEEDOR]],PROVEEDORES[FECHA DE PAGO],"")</f>
        <v>0</v>
      </c>
      <c r="E821" s="25"/>
      <c r="F82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21" s="161">
        <v>44271</v>
      </c>
      <c r="H821" s="26" t="s">
        <v>24</v>
      </c>
      <c r="I821" s="161">
        <v>44211</v>
      </c>
      <c r="J821" s="35" t="s">
        <v>134</v>
      </c>
      <c r="K821" s="21">
        <v>555000</v>
      </c>
      <c r="L821" s="21"/>
      <c r="M821" s="22">
        <f>(PROVEEDORES[[#This Row],[SUBTOTAL]]-PROVEEDORES[[#This Row],[descuento sobre subtotal]])*VLOOKUP(PROVEEDORES[[#This Row],[PROVEEDOR]],TERCEROS_INFO[#All],3,FALSE)</f>
        <v>105450</v>
      </c>
      <c r="N821" s="23"/>
      <c r="O821" s="22">
        <f>+PROVEEDORES[[#This Row],[Descuento sobre subtotal %]]*(PROVEEDORES[[#This Row],[SUBTOTAL]]-PROVEEDORES[[#This Row],[descuento sobre subtotal]])</f>
        <v>0</v>
      </c>
      <c r="P821" s="83">
        <f>+IF(PROVEEDORES[[#This Row],[SUBTOTAL]]&lt;PROVEEDORES[[#This Row],[base retencion]],0,PROVEEDORES[[#This Row],[retención aplicada]])</f>
        <v>0</v>
      </c>
      <c r="Q821" s="22">
        <f>+PROVEEDORES[[#This Row],[Rete Fuente %]]*(PROVEEDORES[[#This Row],[SUBTOTAL]]-PROVEEDORES[[#This Row],[descuento sobre subtotal]])</f>
        <v>0</v>
      </c>
      <c r="R821" s="21">
        <f>+PROVEEDORES[[#This Row],[SUBTOTAL]]+PROVEEDORES[[#This Row],[IVA 19%]]-PROVEEDORES[[#This Row],[descuento sobre subtotal]]-PROVEEDORES[[#This Row],[Descuento sobre subtotal $2]]-PROVEEDORES[[#This Row],[Rete Fuente $]]</f>
        <v>660450</v>
      </c>
      <c r="S8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68">
        <f ca="1">IF(PROVEEDORES[[#This Row],[FECHA DE PAGO]]=0,TODAY()-PROVEEDORES[[#This Row],[FECHA DE FACTURACIÓN]]-PROVEEDORES[[#This Row],[PLAZO Días]],0)</f>
        <v>0</v>
      </c>
      <c r="U821" s="96" t="str">
        <f>+VLOOKUP(PROVEEDORES[[#This Row],[PROVEEDOR]],Terceros!$A:$D,4,FALSE)</f>
        <v>2,5% con base</v>
      </c>
      <c r="V821" s="97">
        <f>+YEAR(PROVEEDORES[[#This Row],[FECHA DE FACTURACIÓN]])</f>
        <v>2021</v>
      </c>
      <c r="W821" s="97">
        <f>+MATCH(PROVEEDORES[[#This Row],[año facturado]],Retenciones!$1:$1,0)</f>
        <v>4</v>
      </c>
      <c r="X821" s="98">
        <f>+VLOOKUP(PROVEEDORES[[#This Row],[ID RETENCION]],Retenciones!$A$1:$O$25,PROVEEDORES[[#This Row],[indicador de columna]],FALSE)</f>
        <v>980000</v>
      </c>
      <c r="Y821" s="99">
        <f>+VLOOKUP(PROVEEDORES[[#This Row],[ID RETENCION]],Retenciones!$A$1:$O$25,2,FALSE)</f>
        <v>2.5000000000000001E-2</v>
      </c>
      <c r="Z821" s="125" t="b">
        <f>OR(COUNTIF(PROVEEDORES[[#This Row],[PROVEEDOR]],"*"&amp;'Palabra no opera'!$A$2&amp;"*"))</f>
        <v>0</v>
      </c>
      <c r="AA821" s="24"/>
      <c r="AB821" s="24"/>
      <c r="AC821" s="24"/>
      <c r="AD821" s="24"/>
      <c r="AE821" s="24"/>
    </row>
    <row r="822" spans="1:31" ht="22.2" customHeight="1" x14ac:dyDescent="0.3">
      <c r="A822" s="269" t="str">
        <f>+IF(PROVEEDORES[[#This Row],[FECHA DE PAGO]]=PROVEEDORES[[#This Row],[FECHA DE FACTURACIÓN]],"DE CONTADO","CRÉDITO")</f>
        <v>CRÉDITO</v>
      </c>
      <c r="B822" s="38" t="b">
        <f>+IF((PROVEEDORES[[#This Row],[FECHA DE PAGO]]-PROVEEDORES[[#This Row],[FECHA DE FACTURACIÓN]])&gt;PROVEEDORES[[#This Row],[PLAZO Días]],"PAGO VENCIDO")</f>
        <v>0</v>
      </c>
      <c r="C822" s="20">
        <f>+VLOOKUP(PROVEEDORES[[#This Row],[PROVEEDOR]],TERCEROS_INFO[#All],2,FALSE)</f>
        <v>45</v>
      </c>
      <c r="D822" s="25">
        <f>+SUMIFS(PROVEEDORES[Total],PROVEEDORES[PROVEEDOR],PROVEEDORES[[#This Row],[PROVEEDOR]],PROVEEDORES[FECHA DE PAGO],"")</f>
        <v>2604910</v>
      </c>
      <c r="E822" s="25"/>
      <c r="F82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822" s="26" t="s">
        <v>10</v>
      </c>
      <c r="I822" s="161">
        <v>44860</v>
      </c>
      <c r="J822" s="35">
        <v>524553</v>
      </c>
      <c r="K822" s="21">
        <v>558000</v>
      </c>
      <c r="L822" s="21"/>
      <c r="M822" s="22">
        <f>(PROVEEDORES[[#This Row],[SUBTOTAL]]-PROVEEDORES[[#This Row],[descuento sobre subtotal]])*VLOOKUP(PROVEEDORES[[#This Row],[PROVEEDOR]],TERCEROS_INFO[#All],3,FALSE)</f>
        <v>106020</v>
      </c>
      <c r="N822" s="23"/>
      <c r="O822" s="22">
        <f>+PROVEEDORES[[#This Row],[Descuento sobre subtotal %]]*(PROVEEDORES[[#This Row],[SUBTOTAL]]-PROVEEDORES[[#This Row],[descuento sobre subtotal]])</f>
        <v>0</v>
      </c>
      <c r="P822" s="83">
        <f>+IF(PROVEEDORES[[#This Row],[SUBTOTAL]]&lt;PROVEEDORES[[#This Row],[base retencion]],0,PROVEEDORES[[#This Row],[retención aplicada]])</f>
        <v>0</v>
      </c>
      <c r="Q822" s="22">
        <f>+PROVEEDORES[[#This Row],[Rete Fuente %]]*(PROVEEDORES[[#This Row],[SUBTOTAL]]-PROVEEDORES[[#This Row],[descuento sobre subtotal]])</f>
        <v>0</v>
      </c>
      <c r="R822" s="21">
        <f>+PROVEEDORES[[#This Row],[SUBTOTAL]]+PROVEEDORES[[#This Row],[IVA 19%]]-PROVEEDORES[[#This Row],[descuento sobre subtotal]]-PROVEEDORES[[#This Row],[Descuento sobre subtotal $2]]-PROVEEDORES[[#This Row],[Rete Fuente $]]</f>
        <v>664020</v>
      </c>
      <c r="S822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822" s="68">
        <f ca="1">IF(PROVEEDORES[[#This Row],[FECHA DE PAGO]]=0,TODAY()-PROVEEDORES[[#This Row],[FECHA DE FACTURACIÓN]]-PROVEEDORES[[#This Row],[PLAZO Días]],0)</f>
        <v>-30</v>
      </c>
      <c r="U822" s="113">
        <f>+VLOOKUP(PROVEEDORES[[#This Row],[PROVEEDOR]],Terceros!$A:$D,4,FALSE)</f>
        <v>0</v>
      </c>
      <c r="V822" s="114">
        <f>+YEAR(PROVEEDORES[[#This Row],[FECHA DE FACTURACIÓN]])</f>
        <v>2022</v>
      </c>
      <c r="W822" s="114">
        <f>+MATCH(PROVEEDORES[[#This Row],[año facturado]],Retenciones!$1:$1,0)</f>
        <v>5</v>
      </c>
      <c r="X822" s="115">
        <f>+VLOOKUP(PROVEEDORES[[#This Row],[ID RETENCION]],Retenciones!$A$1:$O$25,PROVEEDORES[[#This Row],[indicador de columna]],FALSE)</f>
        <v>0</v>
      </c>
      <c r="Y822" s="116">
        <f>+VLOOKUP(PROVEEDORES[[#This Row],[ID RETENCION]],Retenciones!$A$1:$O$25,2,FALSE)</f>
        <v>0</v>
      </c>
      <c r="Z822" s="125" t="b">
        <f>OR(COUNTIF(PROVEEDORES[[#This Row],[PROVEEDOR]],"*"&amp;'Palabra no opera'!$A$2&amp;"*"))</f>
        <v>0</v>
      </c>
      <c r="AA822" s="24"/>
      <c r="AB822" s="24"/>
      <c r="AC822" s="24"/>
      <c r="AD822" s="24"/>
      <c r="AE822" s="24"/>
    </row>
    <row r="823" spans="1:31" ht="22.2" customHeight="1" x14ac:dyDescent="0.3">
      <c r="A823" s="72" t="str">
        <f>+IF(PROVEEDORES[[#This Row],[FECHA DE PAGO]]=PROVEEDORES[[#This Row],[FECHA DE FACTURACIÓN]],"DE CONTADO","CRÉDITO")</f>
        <v>DE CONTADO</v>
      </c>
      <c r="B823" s="38" t="b">
        <f>+IF((PROVEEDORES[[#This Row],[FECHA DE PAGO]]-PROVEEDORES[[#This Row],[FECHA DE FACTURACIÓN]])&gt;PROVEEDORES[[#This Row],[PLAZO Días]],"PAGO VENCIDO")</f>
        <v>0</v>
      </c>
      <c r="C823" s="20">
        <f>+VLOOKUP(PROVEEDORES[[#This Row],[PROVEEDOR]],TERCEROS_INFO[#All],2,FALSE)</f>
        <v>30</v>
      </c>
      <c r="D823" s="25">
        <f>+SUMIFS(PROVEEDORES[Total],PROVEEDORES[PROVEEDOR],PROVEEDORES[[#This Row],[PROVEEDOR]],PROVEEDORES[FECHA DE PAGO],"")</f>
        <v>0</v>
      </c>
      <c r="E823" s="25"/>
      <c r="F823" s="58" t="str">
        <f>+VLOOKUP(PROVEEDORES[[#This Row],[PROVEEDOR]],
                       Terceros!$A:$F,
                       5,
                       FALSE)</f>
        <v/>
      </c>
      <c r="G823" s="161">
        <v>44742</v>
      </c>
      <c r="H823" s="26" t="s">
        <v>644</v>
      </c>
      <c r="I823" s="161">
        <v>44742</v>
      </c>
      <c r="J823" s="35" t="s">
        <v>597</v>
      </c>
      <c r="K823" s="21">
        <v>670000</v>
      </c>
      <c r="L823" s="21"/>
      <c r="M823" s="22">
        <f>(PROVEEDORES[[#This Row],[SUBTOTAL]]-PROVEEDORES[[#This Row],[descuento sobre subtotal]])*VLOOKUP(PROVEEDORES[[#This Row],[PROVEEDOR]],TERCEROS_INFO[#All],3,FALSE)</f>
        <v>0</v>
      </c>
      <c r="N823" s="23"/>
      <c r="O823" s="22">
        <f>+PROVEEDORES[[#This Row],[Descuento sobre subtotal %]]*(PROVEEDORES[[#This Row],[SUBTOTAL]]-PROVEEDORES[[#This Row],[descuento sobre subtotal]])</f>
        <v>0</v>
      </c>
      <c r="P823" s="83">
        <f>+IF(PROVEEDORES[[#This Row],[SUBTOTAL]]&lt;PROVEEDORES[[#This Row],[base retencion]],0,PROVEEDORES[[#This Row],[retención aplicada]])</f>
        <v>0</v>
      </c>
      <c r="Q823" s="22">
        <f>+PROVEEDORES[[#This Row],[Rete Fuente %]]*(PROVEEDORES[[#This Row],[SUBTOTAL]]-PROVEEDORES[[#This Row],[descuento sobre subtotal]])</f>
        <v>0</v>
      </c>
      <c r="R823" s="21">
        <f>+PROVEEDORES[[#This Row],[SUBTOTAL]]+PROVEEDORES[[#This Row],[IVA 19%]]-PROVEEDORES[[#This Row],[descuento sobre subtotal]]-PROVEEDORES[[#This Row],[Descuento sobre subtotal $2]]-PROVEEDORES[[#This Row],[Rete Fuente $]]</f>
        <v>670000</v>
      </c>
      <c r="S82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68">
        <f ca="1">IF(PROVEEDORES[[#This Row],[FECHA DE PAGO]]=0,TODAY()-PROVEEDORES[[#This Row],[FECHA DE FACTURACIÓN]]-PROVEEDORES[[#This Row],[PLAZO Días]],0)</f>
        <v>0</v>
      </c>
      <c r="U823" s="113">
        <f>+VLOOKUP(PROVEEDORES[[#This Row],[PROVEEDOR]],Terceros!$A:$D,4,FALSE)</f>
        <v>0</v>
      </c>
      <c r="V823" s="114">
        <f>+YEAR(PROVEEDORES[[#This Row],[FECHA DE FACTURACIÓN]])</f>
        <v>2022</v>
      </c>
      <c r="W823" s="114">
        <f>+MATCH(PROVEEDORES[[#This Row],[año facturado]],Retenciones!$1:$1,0)</f>
        <v>5</v>
      </c>
      <c r="X823" s="115">
        <f>+VLOOKUP(PROVEEDORES[[#This Row],[ID RETENCION]],Retenciones!$A$1:$O$25,PROVEEDORES[[#This Row],[indicador de columna]],FALSE)</f>
        <v>0</v>
      </c>
      <c r="Y823" s="116">
        <f>+VLOOKUP(PROVEEDORES[[#This Row],[ID RETENCION]],Retenciones!$A$1:$O$25,2,FALSE)</f>
        <v>0</v>
      </c>
      <c r="Z823" s="125" t="b">
        <f>OR(COUNTIF(PROVEEDORES[[#This Row],[PROVEEDOR]],"*"&amp;'Palabra no opera'!$A$2&amp;"*"))</f>
        <v>0</v>
      </c>
      <c r="AA823" s="24"/>
      <c r="AB823" s="24"/>
      <c r="AC823" s="24"/>
      <c r="AD823" s="24"/>
      <c r="AE823" s="24"/>
    </row>
    <row r="824" spans="1:31" ht="22.2" customHeight="1" x14ac:dyDescent="0.3">
      <c r="A824" s="195" t="str">
        <f>+IF(PROVEEDORES[[#This Row],[FECHA DE PAGO]]=PROVEEDORES[[#This Row],[FECHA DE FACTURACIÓN]],"DE CONTADO","CRÉDITO")</f>
        <v>DE CONTADO</v>
      </c>
      <c r="B824" s="38" t="b">
        <f>+IF((PROVEEDORES[[#This Row],[FECHA DE PAGO]]-PROVEEDORES[[#This Row],[FECHA DE FACTURACIÓN]])&gt;PROVEEDORES[[#This Row],[PLAZO Días]],"PAGO VENCIDO")</f>
        <v>0</v>
      </c>
      <c r="C824" s="20">
        <f>+VLOOKUP(PROVEEDORES[[#This Row],[PROVEEDOR]],TERCEROS_INFO[#All],2,FALSE)</f>
        <v>30</v>
      </c>
      <c r="D824" s="25">
        <f>+SUMIFS(PROVEEDORES[Total],PROVEEDORES[PROVEEDOR],PROVEEDORES[[#This Row],[PROVEEDOR]],PROVEEDORES[FECHA DE PAGO],"")</f>
        <v>0</v>
      </c>
      <c r="E824" s="25"/>
      <c r="F824" s="58" t="str">
        <f>+VLOOKUP(PROVEEDORES[[#This Row],[PROVEEDOR]],
                       Terceros!$A:$F,
                       5,
                       FALSE)</f>
        <v/>
      </c>
      <c r="G824" s="161">
        <v>44773</v>
      </c>
      <c r="H824" s="26" t="s">
        <v>644</v>
      </c>
      <c r="I824" s="161">
        <v>44773</v>
      </c>
      <c r="J824" s="35" t="s">
        <v>598</v>
      </c>
      <c r="K824" s="21">
        <v>671000</v>
      </c>
      <c r="L824" s="21"/>
      <c r="M824" s="22">
        <f>(PROVEEDORES[[#This Row],[SUBTOTAL]]-PROVEEDORES[[#This Row],[descuento sobre subtotal]])*VLOOKUP(PROVEEDORES[[#This Row],[PROVEEDOR]],TERCEROS_INFO[#All],3,FALSE)</f>
        <v>0</v>
      </c>
      <c r="N824" s="23"/>
      <c r="O824" s="22">
        <f>+PROVEEDORES[[#This Row],[Descuento sobre subtotal %]]*(PROVEEDORES[[#This Row],[SUBTOTAL]]-PROVEEDORES[[#This Row],[descuento sobre subtotal]])</f>
        <v>0</v>
      </c>
      <c r="P824" s="83">
        <f>+IF(PROVEEDORES[[#This Row],[SUBTOTAL]]&lt;PROVEEDORES[[#This Row],[base retencion]],0,PROVEEDORES[[#This Row],[retención aplicada]])</f>
        <v>0</v>
      </c>
      <c r="Q824" s="22">
        <f>+PROVEEDORES[[#This Row],[Rete Fuente %]]*(PROVEEDORES[[#This Row],[SUBTOTAL]]-PROVEEDORES[[#This Row],[descuento sobre subtotal]])</f>
        <v>0</v>
      </c>
      <c r="R824" s="21">
        <f>+PROVEEDORES[[#This Row],[SUBTOTAL]]+PROVEEDORES[[#This Row],[IVA 19%]]-PROVEEDORES[[#This Row],[descuento sobre subtotal]]-PROVEEDORES[[#This Row],[Descuento sobre subtotal $2]]-PROVEEDORES[[#This Row],[Rete Fuente $]]</f>
        <v>671000</v>
      </c>
      <c r="S824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68">
        <f ca="1">IF(PROVEEDORES[[#This Row],[FECHA DE PAGO]]=0,TODAY()-PROVEEDORES[[#This Row],[FECHA DE FACTURACIÓN]]-PROVEEDORES[[#This Row],[PLAZO Días]],0)</f>
        <v>0</v>
      </c>
      <c r="U824" s="113">
        <f>+VLOOKUP(PROVEEDORES[[#This Row],[PROVEEDOR]],Terceros!$A:$D,4,FALSE)</f>
        <v>0</v>
      </c>
      <c r="V824" s="114">
        <f>+YEAR(PROVEEDORES[[#This Row],[FECHA DE FACTURACIÓN]])</f>
        <v>2022</v>
      </c>
      <c r="W824" s="114">
        <f>+MATCH(PROVEEDORES[[#This Row],[año facturado]],Retenciones!$1:$1,0)</f>
        <v>5</v>
      </c>
      <c r="X824" s="115">
        <f>+VLOOKUP(PROVEEDORES[[#This Row],[ID RETENCION]],Retenciones!$A$1:$O$25,PROVEEDORES[[#This Row],[indicador de columna]],FALSE)</f>
        <v>0</v>
      </c>
      <c r="Y824" s="116">
        <f>+VLOOKUP(PROVEEDORES[[#This Row],[ID RETENCION]],Retenciones!$A$1:$O$25,2,FALSE)</f>
        <v>0</v>
      </c>
      <c r="Z824" s="125" t="b">
        <f>OR(COUNTIF(PROVEEDORES[[#This Row],[PROVEEDOR]],"*"&amp;'Palabra no opera'!$A$2&amp;"*"))</f>
        <v>0</v>
      </c>
      <c r="AA824" s="24"/>
      <c r="AB824" s="24"/>
      <c r="AC824" s="24"/>
      <c r="AD824" s="24"/>
      <c r="AE824" s="24"/>
    </row>
    <row r="825" spans="1:31" ht="22.2" customHeight="1" x14ac:dyDescent="0.3">
      <c r="A825" s="66" t="str">
        <f>+IF(PROVEEDORES[[#This Row],[FECHA DE PAGO]]=PROVEEDORES[[#This Row],[FECHA DE FACTURACIÓN]],"DE CONTADO","CRÉDITO")</f>
        <v>CRÉDITO</v>
      </c>
      <c r="B825" s="38" t="str">
        <f>+IF((PROVEEDORES[[#This Row],[FECHA DE PAGO]]-PROVEEDORES[[#This Row],[FECHA DE FACTURACIÓN]])&gt;PROVEEDORES[[#This Row],[PLAZO Días]],"PAGO VENCIDO")</f>
        <v>PAGO VENCIDO</v>
      </c>
      <c r="C825" s="20">
        <f>+VLOOKUP(PROVEEDORES[[#This Row],[PROVEEDOR]],TERCEROS_INFO[#All],2,FALSE)</f>
        <v>30</v>
      </c>
      <c r="D825" s="25">
        <f>+SUMIFS(PROVEEDORES[Total],PROVEEDORES[PROVEEDOR],PROVEEDORES[[#This Row],[PROVEEDOR]],PROVEEDORES[FECHA DE PAGO],"")</f>
        <v>0</v>
      </c>
      <c r="E825" s="25"/>
      <c r="F825" s="58" t="str">
        <f>+VLOOKUP(PROVEEDORES[[#This Row],[PROVEEDOR]],
                       Terceros!$A:$F,
                       5,
                       FALSE)</f>
        <v/>
      </c>
      <c r="G825" s="161">
        <v>44442</v>
      </c>
      <c r="H825" s="26" t="s">
        <v>686</v>
      </c>
      <c r="I825" s="161">
        <v>44410</v>
      </c>
      <c r="J825" s="35" t="s">
        <v>1476</v>
      </c>
      <c r="K825" s="21">
        <v>673605</v>
      </c>
      <c r="L825" s="21"/>
      <c r="M825" s="22">
        <f>(PROVEEDORES[[#This Row],[SUBTOTAL]]-PROVEEDORES[[#This Row],[descuento sobre subtotal]])*VLOOKUP(PROVEEDORES[[#This Row],[PROVEEDOR]],TERCEROS_INFO[#All],3,FALSE)</f>
        <v>0</v>
      </c>
      <c r="N825" s="23"/>
      <c r="O825" s="22">
        <f>+PROVEEDORES[[#This Row],[Descuento sobre subtotal %]]*(PROVEEDORES[[#This Row],[SUBTOTAL]]-PROVEEDORES[[#This Row],[descuento sobre subtotal]])</f>
        <v>0</v>
      </c>
      <c r="P825" s="83">
        <f>+IF(PROVEEDORES[[#This Row],[SUBTOTAL]]&lt;PROVEEDORES[[#This Row],[base retencion]],0,PROVEEDORES[[#This Row],[retención aplicada]])</f>
        <v>0</v>
      </c>
      <c r="Q825" s="22">
        <f>+PROVEEDORES[[#This Row],[Rete Fuente %]]*(PROVEEDORES[[#This Row],[SUBTOTAL]]-PROVEEDORES[[#This Row],[descuento sobre subtotal]])</f>
        <v>0</v>
      </c>
      <c r="R825" s="21">
        <f>+PROVEEDORES[[#This Row],[SUBTOTAL]]+PROVEEDORES[[#This Row],[IVA 19%]]-PROVEEDORES[[#This Row],[descuento sobre subtotal]]-PROVEEDORES[[#This Row],[Descuento sobre subtotal $2]]-PROVEEDORES[[#This Row],[Rete Fuente $]]</f>
        <v>673605</v>
      </c>
      <c r="S8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68">
        <f ca="1">IF(PROVEEDORES[[#This Row],[FECHA DE PAGO]]=0,TODAY()-PROVEEDORES[[#This Row],[FECHA DE FACTURACIÓN]]-PROVEEDORES[[#This Row],[PLAZO Días]],0)</f>
        <v>0</v>
      </c>
      <c r="U825" s="96">
        <f>+VLOOKUP(PROVEEDORES[[#This Row],[PROVEEDOR]],Terceros!$A:$D,4,FALSE)</f>
        <v>0</v>
      </c>
      <c r="V825" s="97">
        <f>+YEAR(PROVEEDORES[[#This Row],[FECHA DE FACTURACIÓN]])</f>
        <v>2021</v>
      </c>
      <c r="W825" s="97">
        <f>+MATCH(PROVEEDORES[[#This Row],[año facturado]],Retenciones!$1:$1,0)</f>
        <v>4</v>
      </c>
      <c r="X825" s="98">
        <f>+VLOOKUP(PROVEEDORES[[#This Row],[ID RETENCION]],Retenciones!$A$1:$O$25,PROVEEDORES[[#This Row],[indicador de columna]],FALSE)</f>
        <v>0</v>
      </c>
      <c r="Y825" s="99">
        <f>+VLOOKUP(PROVEEDORES[[#This Row],[ID RETENCION]],Retenciones!$A$1:$O$25,2,FALSE)</f>
        <v>0</v>
      </c>
      <c r="Z825" s="125" t="b">
        <f>OR(COUNTIF(PROVEEDORES[[#This Row],[PROVEEDOR]],"*"&amp;'Palabra no opera'!$A$2&amp;"*"))</f>
        <v>0</v>
      </c>
      <c r="AA825" s="24"/>
      <c r="AB825" s="24"/>
      <c r="AC825" s="24"/>
      <c r="AD825" s="24"/>
      <c r="AE825" s="24"/>
    </row>
    <row r="826" spans="1:31" ht="22.2" customHeight="1" x14ac:dyDescent="0.3">
      <c r="A826" s="66" t="str">
        <f>+IF(PROVEEDORES[[#This Row],[FECHA DE PAGO]]=PROVEEDORES[[#This Row],[FECHA DE FACTURACIÓN]],"DE CONTADO","CRÉDITO")</f>
        <v>CRÉDITO</v>
      </c>
      <c r="B826" s="38" t="b">
        <f>+IF((PROVEEDORES[[#This Row],[FECHA DE PAGO]]-PROVEEDORES[[#This Row],[FECHA DE FACTURACIÓN]])&gt;PROVEEDORES[[#This Row],[PLAZO Días]],"PAGO VENCIDO")</f>
        <v>0</v>
      </c>
      <c r="C826" s="20">
        <f>+VLOOKUP(PROVEEDORES[[#This Row],[PROVEEDOR]],TERCEROS_INFO[#All],2,FALSE)</f>
        <v>30</v>
      </c>
      <c r="D826" s="25">
        <f>+SUMIFS(PROVEEDORES[Total],PROVEEDORES[PROVEEDOR],PROVEEDORES[[#This Row],[PROVEEDOR]],PROVEEDORES[FECHA DE PAGO],"")</f>
        <v>0</v>
      </c>
      <c r="E826" s="25"/>
      <c r="F826" s="58">
        <f>+VLOOKUP(PROVEEDORES[[#This Row],[PROVEEDOR]],
                       Terceros!$A:$F,
                       5,
                       FALSE)</f>
        <v>0</v>
      </c>
      <c r="G826" s="161">
        <v>44357</v>
      </c>
      <c r="H826" s="26" t="s">
        <v>647</v>
      </c>
      <c r="I826" s="161">
        <v>44348</v>
      </c>
      <c r="J826" s="35" t="s">
        <v>1238</v>
      </c>
      <c r="K826" s="21">
        <v>675000</v>
      </c>
      <c r="L826" s="21"/>
      <c r="M826" s="22">
        <f>(PROVEEDORES[[#This Row],[SUBTOTAL]]-PROVEEDORES[[#This Row],[descuento sobre subtotal]])*VLOOKUP(PROVEEDORES[[#This Row],[PROVEEDOR]],TERCEROS_INFO[#All],3,FALSE)</f>
        <v>0</v>
      </c>
      <c r="N826" s="23"/>
      <c r="O826" s="22">
        <f>+PROVEEDORES[[#This Row],[Descuento sobre subtotal %]]*(PROVEEDORES[[#This Row],[SUBTOTAL]]-PROVEEDORES[[#This Row],[descuento sobre subtotal]])</f>
        <v>0</v>
      </c>
      <c r="P826" s="83">
        <f>+IF(PROVEEDORES[[#This Row],[SUBTOTAL]]&lt;PROVEEDORES[[#This Row],[base retencion]],0,PROVEEDORES[[#This Row],[retención aplicada]])</f>
        <v>0</v>
      </c>
      <c r="Q826" s="22">
        <f>+PROVEEDORES[[#This Row],[Rete Fuente %]]*(PROVEEDORES[[#This Row],[SUBTOTAL]]-PROVEEDORES[[#This Row],[descuento sobre subtotal]])</f>
        <v>0</v>
      </c>
      <c r="R826" s="21">
        <f>+PROVEEDORES[[#This Row],[SUBTOTAL]]+PROVEEDORES[[#This Row],[IVA 19%]]-PROVEEDORES[[#This Row],[descuento sobre subtotal]]-PROVEEDORES[[#This Row],[Descuento sobre subtotal $2]]-PROVEEDORES[[#This Row],[Rete Fuente $]]</f>
        <v>675000</v>
      </c>
      <c r="S8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68">
        <f ca="1">IF(PROVEEDORES[[#This Row],[FECHA DE PAGO]]=0,TODAY()-PROVEEDORES[[#This Row],[FECHA DE FACTURACIÓN]]-PROVEEDORES[[#This Row],[PLAZO Días]],0)</f>
        <v>0</v>
      </c>
      <c r="U826" s="96">
        <f>+VLOOKUP(PROVEEDORES[[#This Row],[PROVEEDOR]],Terceros!$A:$D,4,FALSE)</f>
        <v>0</v>
      </c>
      <c r="V826" s="97">
        <f>+YEAR(PROVEEDORES[[#This Row],[FECHA DE FACTURACIÓN]])</f>
        <v>2021</v>
      </c>
      <c r="W826" s="97">
        <f>+MATCH(PROVEEDORES[[#This Row],[año facturado]],Retenciones!$1:$1,0)</f>
        <v>4</v>
      </c>
      <c r="X826" s="98">
        <f>+VLOOKUP(PROVEEDORES[[#This Row],[ID RETENCION]],Retenciones!$A$1:$O$25,PROVEEDORES[[#This Row],[indicador de columna]],FALSE)</f>
        <v>0</v>
      </c>
      <c r="Y826" s="99">
        <f>+VLOOKUP(PROVEEDORES[[#This Row],[ID RETENCION]],Retenciones!$A$1:$O$25,2,FALSE)</f>
        <v>0</v>
      </c>
      <c r="Z826" s="125" t="b">
        <f>OR(COUNTIF(PROVEEDORES[[#This Row],[PROVEEDOR]],"*"&amp;'Palabra no opera'!$A$2&amp;"*"))</f>
        <v>0</v>
      </c>
      <c r="AA826" s="24"/>
      <c r="AB826" s="24"/>
      <c r="AC826" s="24"/>
      <c r="AD826" s="24"/>
      <c r="AE826" s="24"/>
    </row>
    <row r="827" spans="1:31" ht="22.2" customHeight="1" x14ac:dyDescent="0.3">
      <c r="A827" s="66" t="str">
        <f>+IF(PROVEEDORES[[#This Row],[FECHA DE PAGO]]=PROVEEDORES[[#This Row],[FECHA DE FACTURACIÓN]],"DE CONTADO","CRÉDITO")</f>
        <v>CRÉDITO</v>
      </c>
      <c r="B827" s="38" t="str">
        <f>+IF((PROVEEDORES[[#This Row],[FECHA DE PAGO]]-PROVEEDORES[[#This Row],[FECHA DE FACTURACIÓN]])&gt;PROVEEDORES[[#This Row],[PLAZO Días]],"PAGO VENCIDO")</f>
        <v>PAGO VENCIDO</v>
      </c>
      <c r="C827" s="20">
        <f>+VLOOKUP(PROVEEDORES[[#This Row],[PROVEEDOR]],TERCEROS_INFO[#All],2,FALSE)</f>
        <v>30</v>
      </c>
      <c r="D827" s="25">
        <f>+SUMIFS(PROVEEDORES[Total],PROVEEDORES[PROVEEDOR],PROVEEDORES[[#This Row],[PROVEEDOR]],PROVEEDORES[FECHA DE PAGO],"")</f>
        <v>4712021.58</v>
      </c>
      <c r="E827" s="25"/>
      <c r="F82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27" s="161">
        <v>44670</v>
      </c>
      <c r="H827" s="26" t="s">
        <v>17</v>
      </c>
      <c r="I827" s="161">
        <v>44634</v>
      </c>
      <c r="J827" s="35">
        <v>1890377</v>
      </c>
      <c r="K827" s="21">
        <v>570000</v>
      </c>
      <c r="L827" s="21"/>
      <c r="M827" s="22">
        <f>(PROVEEDORES[[#This Row],[SUBTOTAL]]-PROVEEDORES[[#This Row],[descuento sobre subtotal]])*VLOOKUP(PROVEEDORES[[#This Row],[PROVEEDOR]],TERCEROS_INFO[#All],3,FALSE)</f>
        <v>108300</v>
      </c>
      <c r="N827" s="23"/>
      <c r="O827" s="22">
        <f>+PROVEEDORES[[#This Row],[Descuento sobre subtotal %]]*(PROVEEDORES[[#This Row],[SUBTOTAL]]-PROVEEDORES[[#This Row],[descuento sobre subtotal]])</f>
        <v>0</v>
      </c>
      <c r="P827" s="83">
        <f>+IF(PROVEEDORES[[#This Row],[SUBTOTAL]]&lt;PROVEEDORES[[#This Row],[base retencion]],0,PROVEEDORES[[#This Row],[retención aplicada]])</f>
        <v>0</v>
      </c>
      <c r="Q827" s="22">
        <f>+PROVEEDORES[[#This Row],[Rete Fuente %]]*(PROVEEDORES[[#This Row],[SUBTOTAL]]-PROVEEDORES[[#This Row],[descuento sobre subtotal]])</f>
        <v>0</v>
      </c>
      <c r="R827" s="21">
        <f>+PROVEEDORES[[#This Row],[SUBTOTAL]]+PROVEEDORES[[#This Row],[IVA 19%]]-PROVEEDORES[[#This Row],[descuento sobre subtotal]]-PROVEEDORES[[#This Row],[Descuento sobre subtotal $2]]-PROVEEDORES[[#This Row],[Rete Fuente $]]</f>
        <v>678300</v>
      </c>
      <c r="S8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68">
        <f ca="1">IF(PROVEEDORES[[#This Row],[FECHA DE PAGO]]=0,TODAY()-PROVEEDORES[[#This Row],[FECHA DE FACTURACIÓN]]-PROVEEDORES[[#This Row],[PLAZO Días]],0)</f>
        <v>0</v>
      </c>
      <c r="U827" s="96">
        <f>+VLOOKUP(PROVEEDORES[[#This Row],[PROVEEDOR]],Terceros!$A:$D,4,FALSE)</f>
        <v>0</v>
      </c>
      <c r="V827" s="97">
        <f>+YEAR(PROVEEDORES[[#This Row],[FECHA DE FACTURACIÓN]])</f>
        <v>2022</v>
      </c>
      <c r="W827" s="97">
        <f>+MATCH(PROVEEDORES[[#This Row],[año facturado]],Retenciones!$1:$1,0)</f>
        <v>5</v>
      </c>
      <c r="X827" s="98">
        <f>+VLOOKUP(PROVEEDORES[[#This Row],[ID RETENCION]],Retenciones!$A$1:$O$25,PROVEEDORES[[#This Row],[indicador de columna]],FALSE)</f>
        <v>0</v>
      </c>
      <c r="Y827" s="99">
        <f>+VLOOKUP(PROVEEDORES[[#This Row],[ID RETENCION]],Retenciones!$A$1:$O$25,2,FALSE)</f>
        <v>0</v>
      </c>
      <c r="Z827" s="125" t="b">
        <f>OR(COUNTIF(PROVEEDORES[[#This Row],[PROVEEDOR]],"*"&amp;'Palabra no opera'!$A$2&amp;"*"))</f>
        <v>0</v>
      </c>
      <c r="AA827" s="24"/>
      <c r="AB827" s="24"/>
      <c r="AC827" s="24"/>
      <c r="AD827" s="24"/>
      <c r="AE827" s="24"/>
    </row>
    <row r="828" spans="1:31" ht="22.2" customHeight="1" x14ac:dyDescent="0.3">
      <c r="A828" s="269" t="str">
        <f>+IF(PROVEEDORES[[#This Row],[FECHA DE PAGO]]=PROVEEDORES[[#This Row],[FECHA DE FACTURACIÓN]],"DE CONTADO","CRÉDITO")</f>
        <v>CRÉDITO</v>
      </c>
      <c r="B828" s="38" t="b">
        <f>+IF((PROVEEDORES[[#This Row],[FECHA DE PAGO]]-PROVEEDORES[[#This Row],[FECHA DE FACTURACIÓN]])&gt;PROVEEDORES[[#This Row],[PLAZO Días]],"PAGO VENCIDO")</f>
        <v>0</v>
      </c>
      <c r="C828" s="20">
        <f>+VLOOKUP(PROVEEDORES[[#This Row],[PROVEEDOR]],TERCEROS_INFO[#All],2,FALSE)</f>
        <v>30</v>
      </c>
      <c r="D828" s="25">
        <f>+SUMIFS(PROVEEDORES[Total],PROVEEDORES[PROVEEDOR],PROVEEDORES[[#This Row],[PROVEEDOR]],PROVEEDORES[FECHA DE PAGO],"")</f>
        <v>0</v>
      </c>
      <c r="E828" s="25"/>
      <c r="F828" s="58" t="str">
        <f>+VLOOKUP(PROVEEDORES[[#This Row],[PROVEEDOR]],
                       Terceros!$A:$F,
                       5,
                       FALSE)</f>
        <v/>
      </c>
      <c r="G828" s="161">
        <v>44857</v>
      </c>
      <c r="H828" s="26" t="s">
        <v>684</v>
      </c>
      <c r="I828" s="161">
        <v>44856</v>
      </c>
      <c r="J828" s="35" t="s">
        <v>1796</v>
      </c>
      <c r="K828" s="21">
        <v>684000</v>
      </c>
      <c r="L828" s="21"/>
      <c r="M828" s="22">
        <f>(PROVEEDORES[[#This Row],[SUBTOTAL]]-PROVEEDORES[[#This Row],[descuento sobre subtotal]])*VLOOKUP(PROVEEDORES[[#This Row],[PROVEEDOR]],TERCEROS_INFO[#All],3,FALSE)</f>
        <v>0</v>
      </c>
      <c r="N828" s="23"/>
      <c r="O828" s="22">
        <f>+PROVEEDORES[[#This Row],[Descuento sobre subtotal %]]*(PROVEEDORES[[#This Row],[SUBTOTAL]]-PROVEEDORES[[#This Row],[descuento sobre subtotal]])</f>
        <v>0</v>
      </c>
      <c r="P828" s="83">
        <f>+IF(PROVEEDORES[[#This Row],[SUBTOTAL]]&lt;PROVEEDORES[[#This Row],[base retencion]],0,PROVEEDORES[[#This Row],[retención aplicada]])</f>
        <v>0</v>
      </c>
      <c r="Q828" s="22">
        <f>+PROVEEDORES[[#This Row],[Rete Fuente %]]*(PROVEEDORES[[#This Row],[SUBTOTAL]]-PROVEEDORES[[#This Row],[descuento sobre subtotal]])</f>
        <v>0</v>
      </c>
      <c r="R828" s="21">
        <f>+PROVEEDORES[[#This Row],[SUBTOTAL]]+PROVEEDORES[[#This Row],[IVA 19%]]-PROVEEDORES[[#This Row],[descuento sobre subtotal]]-PROVEEDORES[[#This Row],[Descuento sobre subtotal $2]]-PROVEEDORES[[#This Row],[Rete Fuente $]]</f>
        <v>684000</v>
      </c>
      <c r="S828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68">
        <f ca="1">IF(PROVEEDORES[[#This Row],[FECHA DE PAGO]]=0,TODAY()-PROVEEDORES[[#This Row],[FECHA DE FACTURACIÓN]]-PROVEEDORES[[#This Row],[PLAZO Días]],0)</f>
        <v>0</v>
      </c>
      <c r="U828" s="113">
        <f>+VLOOKUP(PROVEEDORES[[#This Row],[PROVEEDOR]],Terceros!$A:$D,4,FALSE)</f>
        <v>0</v>
      </c>
      <c r="V828" s="114">
        <f>+YEAR(PROVEEDORES[[#This Row],[FECHA DE FACTURACIÓN]])</f>
        <v>2022</v>
      </c>
      <c r="W828" s="114">
        <f>+MATCH(PROVEEDORES[[#This Row],[año facturado]],Retenciones!$1:$1,0)</f>
        <v>5</v>
      </c>
      <c r="X828" s="115">
        <f>+VLOOKUP(PROVEEDORES[[#This Row],[ID RETENCION]],Retenciones!$A$1:$O$25,PROVEEDORES[[#This Row],[indicador de columna]],FALSE)</f>
        <v>0</v>
      </c>
      <c r="Y828" s="116">
        <f>+VLOOKUP(PROVEEDORES[[#This Row],[ID RETENCION]],Retenciones!$A$1:$O$25,2,FALSE)</f>
        <v>0</v>
      </c>
      <c r="Z828" s="125" t="b">
        <f>OR(COUNTIF(PROVEEDORES[[#This Row],[PROVEEDOR]],"*"&amp;'Palabra no opera'!$A$2&amp;"*"))</f>
        <v>0</v>
      </c>
      <c r="AA828" s="24"/>
      <c r="AB828" s="24"/>
      <c r="AC828" s="24"/>
      <c r="AD828" s="24"/>
      <c r="AE828" s="24"/>
    </row>
    <row r="829" spans="1:31" ht="22.2" customHeight="1" x14ac:dyDescent="0.3">
      <c r="A829" s="66" t="str">
        <f>+IF(PROVEEDORES[[#This Row],[FECHA DE PAGO]]=PROVEEDORES[[#This Row],[FECHA DE FACTURACIÓN]],"DE CONTADO","CRÉDITO")</f>
        <v>CRÉDITO</v>
      </c>
      <c r="B829" s="38" t="str">
        <f>+IF((PROVEEDORES[[#This Row],[FECHA DE PAGO]]-PROVEEDORES[[#This Row],[FECHA DE FACTURACIÓN]])&gt;PROVEEDORES[[#This Row],[PLAZO Días]],"PAGO VENCIDO")</f>
        <v>PAGO VENCIDO</v>
      </c>
      <c r="C829" s="20">
        <f>+VLOOKUP(PROVEEDORES[[#This Row],[PROVEEDOR]],TERCEROS_INFO[#All],2,FALSE)</f>
        <v>30</v>
      </c>
      <c r="D829" s="25">
        <f>+SUMIFS(PROVEEDORES[Total],PROVEEDORES[PROVEEDOR],PROVEEDORES[[#This Row],[PROVEEDOR]],PROVEEDORES[FECHA DE PAGO],"")</f>
        <v>4712021.58</v>
      </c>
      <c r="E829" s="25"/>
      <c r="F82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29" s="161">
        <v>44461</v>
      </c>
      <c r="H829" s="26" t="s">
        <v>17</v>
      </c>
      <c r="I829" s="161">
        <v>44426</v>
      </c>
      <c r="J829" s="35">
        <v>1801133</v>
      </c>
      <c r="K829" s="21">
        <v>577200</v>
      </c>
      <c r="L829" s="21"/>
      <c r="M829" s="22">
        <f>(PROVEEDORES[[#This Row],[SUBTOTAL]]-PROVEEDORES[[#This Row],[descuento sobre subtotal]])*VLOOKUP(PROVEEDORES[[#This Row],[PROVEEDOR]],TERCEROS_INFO[#All],3,FALSE)</f>
        <v>109668</v>
      </c>
      <c r="N829" s="23"/>
      <c r="O829" s="22">
        <f>+PROVEEDORES[[#This Row],[Descuento sobre subtotal %]]*(PROVEEDORES[[#This Row],[SUBTOTAL]]-PROVEEDORES[[#This Row],[descuento sobre subtotal]])</f>
        <v>0</v>
      </c>
      <c r="P829" s="83">
        <f>+IF(PROVEEDORES[[#This Row],[SUBTOTAL]]&lt;PROVEEDORES[[#This Row],[base retencion]],0,PROVEEDORES[[#This Row],[retención aplicada]])</f>
        <v>0</v>
      </c>
      <c r="Q829" s="22">
        <f>+PROVEEDORES[[#This Row],[Rete Fuente %]]*(PROVEEDORES[[#This Row],[SUBTOTAL]]-PROVEEDORES[[#This Row],[descuento sobre subtotal]])</f>
        <v>0</v>
      </c>
      <c r="R829" s="21">
        <f>+PROVEEDORES[[#This Row],[SUBTOTAL]]+PROVEEDORES[[#This Row],[IVA 19%]]-PROVEEDORES[[#This Row],[descuento sobre subtotal]]-PROVEEDORES[[#This Row],[Descuento sobre subtotal $2]]-PROVEEDORES[[#This Row],[Rete Fuente $]]</f>
        <v>686868</v>
      </c>
      <c r="S8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68">
        <f ca="1">IF(PROVEEDORES[[#This Row],[FECHA DE PAGO]]=0,TODAY()-PROVEEDORES[[#This Row],[FECHA DE FACTURACIÓN]]-PROVEEDORES[[#This Row],[PLAZO Días]],0)</f>
        <v>0</v>
      </c>
      <c r="U829" s="96">
        <f>+VLOOKUP(PROVEEDORES[[#This Row],[PROVEEDOR]],Terceros!$A:$D,4,FALSE)</f>
        <v>0</v>
      </c>
      <c r="V829" s="97">
        <f>+YEAR(PROVEEDORES[[#This Row],[FECHA DE FACTURACIÓN]])</f>
        <v>2021</v>
      </c>
      <c r="W829" s="97">
        <f>+MATCH(PROVEEDORES[[#This Row],[año facturado]],Retenciones!$1:$1,0)</f>
        <v>4</v>
      </c>
      <c r="X829" s="98">
        <f>+VLOOKUP(PROVEEDORES[[#This Row],[ID RETENCION]],Retenciones!$A$1:$O$25,PROVEEDORES[[#This Row],[indicador de columna]],FALSE)</f>
        <v>0</v>
      </c>
      <c r="Y829" s="99">
        <f>+VLOOKUP(PROVEEDORES[[#This Row],[ID RETENCION]],Retenciones!$A$1:$O$25,2,FALSE)</f>
        <v>0</v>
      </c>
      <c r="Z829" s="125" t="b">
        <f>OR(COUNTIF(PROVEEDORES[[#This Row],[PROVEEDOR]],"*"&amp;'Palabra no opera'!$A$2&amp;"*"))</f>
        <v>0</v>
      </c>
      <c r="AA829" s="24"/>
      <c r="AB829" s="24"/>
      <c r="AC829" s="24"/>
      <c r="AD829" s="24"/>
      <c r="AE829" s="24"/>
    </row>
    <row r="830" spans="1:31" ht="22.2" customHeight="1" x14ac:dyDescent="0.3">
      <c r="A830" s="146" t="str">
        <f>+IF(PROVEEDORES[[#This Row],[FECHA DE PAGO]]=PROVEEDORES[[#This Row],[FECHA DE FACTURACIÓN]],"DE CONTADO","CRÉDITO")</f>
        <v>CRÉDITO</v>
      </c>
      <c r="B830" s="38" t="str">
        <f>+IF((PROVEEDORES[[#This Row],[FECHA DE PAGO]]-PROVEEDORES[[#This Row],[FECHA DE FACTURACIÓN]])&gt;PROVEEDORES[[#This Row],[PLAZO Días]],"PAGO VENCIDO")</f>
        <v>PAGO VENCIDO</v>
      </c>
      <c r="C830" s="20">
        <f>+VLOOKUP(PROVEEDORES[[#This Row],[PROVEEDOR]],TERCEROS_INFO[#All],2,FALSE)</f>
        <v>30</v>
      </c>
      <c r="D830" s="25">
        <f>+SUMIFS(PROVEEDORES[Total],PROVEEDORES[PROVEEDOR],PROVEEDORES[[#This Row],[PROVEEDOR]],PROVEEDORES[FECHA DE PAGO],"")</f>
        <v>0</v>
      </c>
      <c r="E830" s="25"/>
      <c r="F830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830" s="161">
        <v>44756</v>
      </c>
      <c r="H830" s="26" t="s">
        <v>39</v>
      </c>
      <c r="I830" s="161">
        <v>44714</v>
      </c>
      <c r="J830" s="35">
        <v>1322</v>
      </c>
      <c r="K830" s="21">
        <v>577750</v>
      </c>
      <c r="L830" s="21"/>
      <c r="M830" s="22">
        <f>(PROVEEDORES[[#This Row],[SUBTOTAL]]-PROVEEDORES[[#This Row],[descuento sobre subtotal]])*VLOOKUP(PROVEEDORES[[#This Row],[PROVEEDOR]],TERCEROS_INFO[#All],3,FALSE)</f>
        <v>109772.5</v>
      </c>
      <c r="N830" s="23"/>
      <c r="O830" s="22">
        <f>+PROVEEDORES[[#This Row],[Descuento sobre subtotal %]]*(PROVEEDORES[[#This Row],[SUBTOTAL]]-PROVEEDORES[[#This Row],[descuento sobre subtotal]])</f>
        <v>0</v>
      </c>
      <c r="P830" s="83">
        <f>+IF(PROVEEDORES[[#This Row],[SUBTOTAL]]&lt;PROVEEDORES[[#This Row],[base retencion]],0,PROVEEDORES[[#This Row],[retención aplicada]])</f>
        <v>0</v>
      </c>
      <c r="Q830" s="22">
        <f>+PROVEEDORES[[#This Row],[Rete Fuente %]]*(PROVEEDORES[[#This Row],[SUBTOTAL]]-PROVEEDORES[[#This Row],[descuento sobre subtotal]])</f>
        <v>0</v>
      </c>
      <c r="R830" s="21">
        <f>+PROVEEDORES[[#This Row],[SUBTOTAL]]+PROVEEDORES[[#This Row],[IVA 19%]]-PROVEEDORES[[#This Row],[descuento sobre subtotal]]-PROVEEDORES[[#This Row],[Descuento sobre subtotal $2]]-PROVEEDORES[[#This Row],[Rete Fuente $]]</f>
        <v>687522.5</v>
      </c>
      <c r="S830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68">
        <f ca="1">IF(PROVEEDORES[[#This Row],[FECHA DE PAGO]]=0,TODAY()-PROVEEDORES[[#This Row],[FECHA DE FACTURACIÓN]]-PROVEEDORES[[#This Row],[PLAZO Días]],0)</f>
        <v>0</v>
      </c>
      <c r="U830" s="113" t="str">
        <f>+VLOOKUP(PROVEEDORES[[#This Row],[PROVEEDOR]],Terceros!$A:$D,4,FALSE)</f>
        <v>2,5% con base</v>
      </c>
      <c r="V830" s="114">
        <f>+YEAR(PROVEEDORES[[#This Row],[FECHA DE FACTURACIÓN]])</f>
        <v>2022</v>
      </c>
      <c r="W830" s="114">
        <f>+MATCH(PROVEEDORES[[#This Row],[año facturado]],Retenciones!$1:$1,0)</f>
        <v>5</v>
      </c>
      <c r="X830" s="115">
        <f>+VLOOKUP(PROVEEDORES[[#This Row],[ID RETENCION]],Retenciones!$A$1:$O$25,PROVEEDORES[[#This Row],[indicador de columna]],FALSE)</f>
        <v>1026000</v>
      </c>
      <c r="Y830" s="116">
        <f>+VLOOKUP(PROVEEDORES[[#This Row],[ID RETENCION]],Retenciones!$A$1:$O$25,2,FALSE)</f>
        <v>2.5000000000000001E-2</v>
      </c>
      <c r="Z830" s="125" t="b">
        <f>OR(COUNTIF(PROVEEDORES[[#This Row],[PROVEEDOR]],"*"&amp;'Palabra no opera'!$A$2&amp;"*"))</f>
        <v>0</v>
      </c>
      <c r="AA830" s="24"/>
      <c r="AB830" s="24"/>
      <c r="AC830" s="24"/>
      <c r="AD830" s="24"/>
      <c r="AE830" s="24"/>
    </row>
    <row r="831" spans="1:31" ht="22.2" customHeight="1" x14ac:dyDescent="0.3">
      <c r="A831" s="66" t="str">
        <f>+IF(PROVEEDORES[[#This Row],[FECHA DE PAGO]]=PROVEEDORES[[#This Row],[FECHA DE FACTURACIÓN]],"DE CONTADO","CRÉDITO")</f>
        <v>CRÉDITO</v>
      </c>
      <c r="B831" s="38" t="str">
        <f>+IF((PROVEEDORES[[#This Row],[FECHA DE PAGO]]-PROVEEDORES[[#This Row],[FECHA DE FACTURACIÓN]])&gt;PROVEEDORES[[#This Row],[PLAZO Días]],"PAGO VENCIDO")</f>
        <v>PAGO VENCIDO</v>
      </c>
      <c r="C831" s="20">
        <f>+VLOOKUP(PROVEEDORES[[#This Row],[PROVEEDOR]],TERCEROS_INFO[#All],2,FALSE)</f>
        <v>30</v>
      </c>
      <c r="D831" s="25">
        <f>+SUMIFS(PROVEEDORES[Total],PROVEEDORES[PROVEEDOR],PROVEEDORES[[#This Row],[PROVEEDOR]],PROVEEDORES[FECHA DE PAGO],"")</f>
        <v>0</v>
      </c>
      <c r="E831" s="25"/>
      <c r="F831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831" s="161">
        <v>44537</v>
      </c>
      <c r="H831" s="26" t="s">
        <v>422</v>
      </c>
      <c r="I831" s="161">
        <v>44489</v>
      </c>
      <c r="J831" s="35">
        <v>10568</v>
      </c>
      <c r="K831" s="21">
        <v>580000</v>
      </c>
      <c r="L831" s="21"/>
      <c r="M831" s="22">
        <f>(PROVEEDORES[[#This Row],[SUBTOTAL]]-PROVEEDORES[[#This Row],[descuento sobre subtotal]])*VLOOKUP(PROVEEDORES[[#This Row],[PROVEEDOR]],TERCEROS_INFO[#All],3,FALSE)</f>
        <v>110200</v>
      </c>
      <c r="N831" s="23"/>
      <c r="O831" s="22">
        <f>+PROVEEDORES[[#This Row],[Descuento sobre subtotal %]]*(PROVEEDORES[[#This Row],[SUBTOTAL]]-PROVEEDORES[[#This Row],[descuento sobre subtotal]])</f>
        <v>0</v>
      </c>
      <c r="P831" s="83">
        <f>+IF(PROVEEDORES[[#This Row],[SUBTOTAL]]&lt;PROVEEDORES[[#This Row],[base retencion]],0,PROVEEDORES[[#This Row],[retención aplicada]])</f>
        <v>0</v>
      </c>
      <c r="Q831" s="22">
        <f>+PROVEEDORES[[#This Row],[Rete Fuente %]]*(PROVEEDORES[[#This Row],[SUBTOTAL]]-PROVEEDORES[[#This Row],[descuento sobre subtotal]])</f>
        <v>0</v>
      </c>
      <c r="R831" s="21">
        <f>+PROVEEDORES[[#This Row],[SUBTOTAL]]+PROVEEDORES[[#This Row],[IVA 19%]]-PROVEEDORES[[#This Row],[descuento sobre subtotal]]-PROVEEDORES[[#This Row],[Descuento sobre subtotal $2]]-PROVEEDORES[[#This Row],[Rete Fuente $]]</f>
        <v>690200</v>
      </c>
      <c r="S8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68">
        <f ca="1">IF(PROVEEDORES[[#This Row],[FECHA DE PAGO]]=0,TODAY()-PROVEEDORES[[#This Row],[FECHA DE FACTURACIÓN]]-PROVEEDORES[[#This Row],[PLAZO Días]],0)</f>
        <v>0</v>
      </c>
      <c r="U831" s="96" t="str">
        <f>+VLOOKUP(PROVEEDORES[[#This Row],[PROVEEDOR]],Terceros!$A:$D,4,FALSE)</f>
        <v>2,5% con base</v>
      </c>
      <c r="V831" s="97">
        <f>+YEAR(PROVEEDORES[[#This Row],[FECHA DE FACTURACIÓN]])</f>
        <v>2021</v>
      </c>
      <c r="W831" s="97">
        <f>+MATCH(PROVEEDORES[[#This Row],[año facturado]],Retenciones!$1:$1,0)</f>
        <v>4</v>
      </c>
      <c r="X831" s="98">
        <f>+VLOOKUP(PROVEEDORES[[#This Row],[ID RETENCION]],Retenciones!$A$1:$O$25,PROVEEDORES[[#This Row],[indicador de columna]],FALSE)</f>
        <v>980000</v>
      </c>
      <c r="Y831" s="99">
        <f>+VLOOKUP(PROVEEDORES[[#This Row],[ID RETENCION]],Retenciones!$A$1:$O$25,2,FALSE)</f>
        <v>2.5000000000000001E-2</v>
      </c>
      <c r="Z831" s="125" t="b">
        <f>OR(COUNTIF(PROVEEDORES[[#This Row],[PROVEEDOR]],"*"&amp;'Palabra no opera'!$A$2&amp;"*"))</f>
        <v>0</v>
      </c>
      <c r="AA831" s="24"/>
      <c r="AB831" s="24"/>
      <c r="AC831" s="24"/>
      <c r="AD831" s="24"/>
      <c r="AE831" s="24"/>
    </row>
    <row r="832" spans="1:31" ht="22.2" customHeight="1" x14ac:dyDescent="0.3">
      <c r="A832" s="66" t="str">
        <f>+IF(PROVEEDORES[[#This Row],[FECHA DE PAGO]]=PROVEEDORES[[#This Row],[FECHA DE FACTURACIÓN]],"DE CONTADO","CRÉDITO")</f>
        <v>DE CONTADO</v>
      </c>
      <c r="B832" s="38" t="b">
        <f>+IF((PROVEEDORES[[#This Row],[FECHA DE PAGO]]-PROVEEDORES[[#This Row],[FECHA DE FACTURACIÓN]])&gt;PROVEEDORES[[#This Row],[PLAZO Días]],"PAGO VENCIDO")</f>
        <v>0</v>
      </c>
      <c r="C832" s="20">
        <f>+VLOOKUP(PROVEEDORES[[#This Row],[PROVEEDOR]],TERCEROS_INFO[#All],2,FALSE)</f>
        <v>30</v>
      </c>
      <c r="D832" s="25">
        <f>+SUMIFS(PROVEEDORES[Total],PROVEEDORES[PROVEEDOR],PROVEEDORES[[#This Row],[PROVEEDOR]],PROVEEDORES[FECHA DE PAGO],"")</f>
        <v>0</v>
      </c>
      <c r="E832" s="25"/>
      <c r="F832" s="58" t="str">
        <f>+VLOOKUP(PROVEEDORES[[#This Row],[PROVEEDOR]],
                       Terceros!$A:$F,
                       5,
                       FALSE)</f>
        <v/>
      </c>
      <c r="G832" s="161">
        <v>44562</v>
      </c>
      <c r="H832" s="26" t="s">
        <v>638</v>
      </c>
      <c r="I832" s="161">
        <v>44562</v>
      </c>
      <c r="J832" s="35" t="s">
        <v>1368</v>
      </c>
      <c r="K832" s="21">
        <v>693200</v>
      </c>
      <c r="L832" s="21"/>
      <c r="M832" s="22">
        <f>(PROVEEDORES[[#This Row],[SUBTOTAL]]-PROVEEDORES[[#This Row],[descuento sobre subtotal]])*VLOOKUP(PROVEEDORES[[#This Row],[PROVEEDOR]],TERCEROS_INFO[#All],3,FALSE)</f>
        <v>0</v>
      </c>
      <c r="N832" s="23"/>
      <c r="O832" s="22">
        <f>+PROVEEDORES[[#This Row],[Descuento sobre subtotal %]]*(PROVEEDORES[[#This Row],[SUBTOTAL]]-PROVEEDORES[[#This Row],[descuento sobre subtotal]])</f>
        <v>0</v>
      </c>
      <c r="P832" s="83">
        <f>+IF(PROVEEDORES[[#This Row],[SUBTOTAL]]&lt;PROVEEDORES[[#This Row],[base retencion]],0,PROVEEDORES[[#This Row],[retención aplicada]])</f>
        <v>0</v>
      </c>
      <c r="Q832" s="22">
        <f>+PROVEEDORES[[#This Row],[Rete Fuente %]]*(PROVEEDORES[[#This Row],[SUBTOTAL]]-PROVEEDORES[[#This Row],[descuento sobre subtotal]])</f>
        <v>0</v>
      </c>
      <c r="R832" s="21">
        <v>693200</v>
      </c>
      <c r="S8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68">
        <f ca="1">IF(PROVEEDORES[[#This Row],[FECHA DE PAGO]]=0,TODAY()-PROVEEDORES[[#This Row],[FECHA DE FACTURACIÓN]]-PROVEEDORES[[#This Row],[PLAZO Días]],0)</f>
        <v>0</v>
      </c>
      <c r="U832" s="96">
        <f>+VLOOKUP(PROVEEDORES[[#This Row],[PROVEEDOR]],Terceros!$A:$D,4,FALSE)</f>
        <v>0</v>
      </c>
      <c r="V832" s="97">
        <f>+YEAR(PROVEEDORES[[#This Row],[FECHA DE FACTURACIÓN]])</f>
        <v>2022</v>
      </c>
      <c r="W832" s="97">
        <f>+MATCH(PROVEEDORES[[#This Row],[año facturado]],Retenciones!$1:$1,0)</f>
        <v>5</v>
      </c>
      <c r="X832" s="98">
        <f>+VLOOKUP(PROVEEDORES[[#This Row],[ID RETENCION]],Retenciones!$A$1:$O$25,PROVEEDORES[[#This Row],[indicador de columna]],FALSE)</f>
        <v>0</v>
      </c>
      <c r="Y832" s="99">
        <f>+VLOOKUP(PROVEEDORES[[#This Row],[ID RETENCION]],Retenciones!$A$1:$O$25,2,FALSE)</f>
        <v>0</v>
      </c>
      <c r="Z832" s="125" t="b">
        <f>OR(COUNTIF(PROVEEDORES[[#This Row],[PROVEEDOR]],"*"&amp;'Palabra no opera'!$A$2&amp;"*"))</f>
        <v>0</v>
      </c>
      <c r="AA832" s="24"/>
      <c r="AB832" s="24"/>
      <c r="AC832" s="24"/>
      <c r="AD832" s="24"/>
      <c r="AE832" s="24"/>
    </row>
    <row r="833" spans="1:31" ht="22.2" customHeight="1" x14ac:dyDescent="0.3">
      <c r="A833" s="257" t="str">
        <f>+IF(PROVEEDORES[[#This Row],[FECHA DE PAGO]]=PROVEEDORES[[#This Row],[FECHA DE FACTURACIÓN]],"DE CONTADO","CRÉDITO")</f>
        <v>CRÉDITO</v>
      </c>
      <c r="B833" s="38" t="b">
        <f>+IF((PROVEEDORES[[#This Row],[FECHA DE PAGO]]-PROVEEDORES[[#This Row],[FECHA DE FACTURACIÓN]])&gt;PROVEEDORES[[#This Row],[PLAZO Días]],"PAGO VENCIDO")</f>
        <v>0</v>
      </c>
      <c r="C833" s="20">
        <f>+VLOOKUP(PROVEEDORES[[#This Row],[PROVEEDOR]],TERCEROS_INFO[#All],2,FALSE)</f>
        <v>30</v>
      </c>
      <c r="D833" s="25">
        <f>+SUMIFS(PROVEEDORES[Total],PROVEEDORES[PROVEEDOR],PROVEEDORES[[#This Row],[PROVEEDOR]],PROVEEDORES[FECHA DE PAGO],"")</f>
        <v>0</v>
      </c>
      <c r="E833" s="25"/>
      <c r="F833" s="58" t="str">
        <f>+VLOOKUP(PROVEEDORES[[#This Row],[PROVEEDOR]],
                       Terceros!$A:$F,
                       5,
                       FALSE)</f>
        <v/>
      </c>
      <c r="G833" s="161">
        <v>44832</v>
      </c>
      <c r="H833" s="26" t="s">
        <v>638</v>
      </c>
      <c r="I833" s="161">
        <v>44831</v>
      </c>
      <c r="J833" s="35" t="s">
        <v>1731</v>
      </c>
      <c r="K833" s="21">
        <v>694000</v>
      </c>
      <c r="L833" s="21"/>
      <c r="M833" s="22">
        <f>(PROVEEDORES[[#This Row],[SUBTOTAL]]-PROVEEDORES[[#This Row],[descuento sobre subtotal]])*VLOOKUP(PROVEEDORES[[#This Row],[PROVEEDOR]],TERCEROS_INFO[#All],3,FALSE)</f>
        <v>0</v>
      </c>
      <c r="N833" s="23"/>
      <c r="O833" s="22">
        <f>+PROVEEDORES[[#This Row],[Descuento sobre subtotal %]]*(PROVEEDORES[[#This Row],[SUBTOTAL]]-PROVEEDORES[[#This Row],[descuento sobre subtotal]])</f>
        <v>0</v>
      </c>
      <c r="P833" s="83">
        <f>+IF(PROVEEDORES[[#This Row],[SUBTOTAL]]&lt;PROVEEDORES[[#This Row],[base retencion]],0,PROVEEDORES[[#This Row],[retención aplicada]])</f>
        <v>0</v>
      </c>
      <c r="Q833" s="22">
        <f>+PROVEEDORES[[#This Row],[Rete Fuente %]]*(PROVEEDORES[[#This Row],[SUBTOTAL]]-PROVEEDORES[[#This Row],[descuento sobre subtotal]])</f>
        <v>0</v>
      </c>
      <c r="R833" s="21">
        <f>+PROVEEDORES[[#This Row],[SUBTOTAL]]+PROVEEDORES[[#This Row],[IVA 19%]]-PROVEEDORES[[#This Row],[descuento sobre subtotal]]-PROVEEDORES[[#This Row],[Descuento sobre subtotal $2]]-PROVEEDORES[[#This Row],[Rete Fuente $]]</f>
        <v>694000</v>
      </c>
      <c r="S833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68">
        <f ca="1">IF(PROVEEDORES[[#This Row],[FECHA DE PAGO]]=0,TODAY()-PROVEEDORES[[#This Row],[FECHA DE FACTURACIÓN]]-PROVEEDORES[[#This Row],[PLAZO Días]],0)</f>
        <v>0</v>
      </c>
      <c r="U833" s="113">
        <f>+VLOOKUP(PROVEEDORES[[#This Row],[PROVEEDOR]],Terceros!$A:$D,4,FALSE)</f>
        <v>0</v>
      </c>
      <c r="V833" s="114">
        <f>+YEAR(PROVEEDORES[[#This Row],[FECHA DE FACTURACIÓN]])</f>
        <v>2022</v>
      </c>
      <c r="W833" s="114">
        <f>+MATCH(PROVEEDORES[[#This Row],[año facturado]],Retenciones!$1:$1,0)</f>
        <v>5</v>
      </c>
      <c r="X833" s="115">
        <f>+VLOOKUP(PROVEEDORES[[#This Row],[ID RETENCION]],Retenciones!$A$1:$O$25,PROVEEDORES[[#This Row],[indicador de columna]],FALSE)</f>
        <v>0</v>
      </c>
      <c r="Y833" s="116">
        <f>+VLOOKUP(PROVEEDORES[[#This Row],[ID RETENCION]],Retenciones!$A$1:$O$25,2,FALSE)</f>
        <v>0</v>
      </c>
      <c r="Z833" s="125" t="b">
        <f>OR(COUNTIF(PROVEEDORES[[#This Row],[PROVEEDOR]],"*"&amp;'Palabra no opera'!$A$2&amp;"*"))</f>
        <v>0</v>
      </c>
      <c r="AA833" s="24"/>
      <c r="AB833" s="24"/>
      <c r="AC833" s="24"/>
      <c r="AD833" s="24"/>
      <c r="AE833" s="24"/>
    </row>
    <row r="834" spans="1:31" ht="22.2" customHeight="1" x14ac:dyDescent="0.3">
      <c r="A834" s="66" t="str">
        <f>+IF(PROVEEDORES[[#This Row],[FECHA DE PAGO]]=PROVEEDORES[[#This Row],[FECHA DE FACTURACIÓN]],"DE CONTADO","CRÉDITO")</f>
        <v>DE CONTADO</v>
      </c>
      <c r="B834" s="38" t="b">
        <f>+IF((PROVEEDORES[[#This Row],[FECHA DE PAGO]]-PROVEEDORES[[#This Row],[FECHA DE FACTURACIÓN]])&gt;PROVEEDORES[[#This Row],[PLAZO Días]],"PAGO VENCIDO")</f>
        <v>0</v>
      </c>
      <c r="C834" s="20">
        <f>+VLOOKUP(PROVEEDORES[[#This Row],[PROVEEDOR]],TERCEROS_INFO[#All],2,FALSE)</f>
        <v>30</v>
      </c>
      <c r="D834" s="25">
        <f>+SUMIFS(PROVEEDORES[Total],PROVEEDORES[PROVEEDOR],PROVEEDORES[[#This Row],[PROVEEDOR]],PROVEEDORES[FECHA DE PAGO],"")</f>
        <v>0</v>
      </c>
      <c r="E834" s="25"/>
      <c r="F834" s="58" t="str">
        <f>+VLOOKUP(PROVEEDORES[[#This Row],[PROVEEDOR]],
                       Terceros!$A:$F,
                       5,
                       FALSE)</f>
        <v>??;girlesa.ruiz@servipilas.com;joriescobar64@gmail.com</v>
      </c>
      <c r="G834" s="161">
        <v>44433</v>
      </c>
      <c r="H834" s="26" t="s">
        <v>646</v>
      </c>
      <c r="I834" s="161">
        <v>44433</v>
      </c>
      <c r="J834" s="35" t="s">
        <v>1488</v>
      </c>
      <c r="K834" s="21">
        <v>696000</v>
      </c>
      <c r="L834" s="21"/>
      <c r="M834" s="22">
        <f>(PROVEEDORES[[#This Row],[SUBTOTAL]]-PROVEEDORES[[#This Row],[descuento sobre subtotal]])*VLOOKUP(PROVEEDORES[[#This Row],[PROVEEDOR]],TERCEROS_INFO[#All],3,FALSE)</f>
        <v>0</v>
      </c>
      <c r="N834" s="23"/>
      <c r="O834" s="22">
        <f>+PROVEEDORES[[#This Row],[Descuento sobre subtotal %]]*(PROVEEDORES[[#This Row],[SUBTOTAL]]-PROVEEDORES[[#This Row],[descuento sobre subtotal]])</f>
        <v>0</v>
      </c>
      <c r="P834" s="83">
        <f>+IF(PROVEEDORES[[#This Row],[SUBTOTAL]]&lt;PROVEEDORES[[#This Row],[base retencion]],0,PROVEEDORES[[#This Row],[retención aplicada]])</f>
        <v>0</v>
      </c>
      <c r="Q834" s="22">
        <f>+PROVEEDORES[[#This Row],[Rete Fuente %]]*(PROVEEDORES[[#This Row],[SUBTOTAL]]-PROVEEDORES[[#This Row],[descuento sobre subtotal]])</f>
        <v>0</v>
      </c>
      <c r="R834" s="21">
        <f>+PROVEEDORES[[#This Row],[SUBTOTAL]]+PROVEEDORES[[#This Row],[IVA 19%]]-PROVEEDORES[[#This Row],[descuento sobre subtotal]]-PROVEEDORES[[#This Row],[Descuento sobre subtotal $2]]-PROVEEDORES[[#This Row],[Rete Fuente $]]</f>
        <v>696000</v>
      </c>
      <c r="S8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68">
        <f ca="1">IF(PROVEEDORES[[#This Row],[FECHA DE PAGO]]=0,TODAY()-PROVEEDORES[[#This Row],[FECHA DE FACTURACIÓN]]-PROVEEDORES[[#This Row],[PLAZO Días]],0)</f>
        <v>0</v>
      </c>
      <c r="U834" s="96">
        <f>+VLOOKUP(PROVEEDORES[[#This Row],[PROVEEDOR]],Terceros!$A:$D,4,FALSE)</f>
        <v>0</v>
      </c>
      <c r="V834" s="97">
        <f>+YEAR(PROVEEDORES[[#This Row],[FECHA DE FACTURACIÓN]])</f>
        <v>2021</v>
      </c>
      <c r="W834" s="97">
        <f>+MATCH(PROVEEDORES[[#This Row],[año facturado]],Retenciones!$1:$1,0)</f>
        <v>4</v>
      </c>
      <c r="X834" s="98">
        <f>+VLOOKUP(PROVEEDORES[[#This Row],[ID RETENCION]],Retenciones!$A$1:$O$25,PROVEEDORES[[#This Row],[indicador de columna]],FALSE)</f>
        <v>0</v>
      </c>
      <c r="Y834" s="99">
        <f>+VLOOKUP(PROVEEDORES[[#This Row],[ID RETENCION]],Retenciones!$A$1:$O$25,2,FALSE)</f>
        <v>0</v>
      </c>
      <c r="Z834" s="125" t="b">
        <f>OR(COUNTIF(PROVEEDORES[[#This Row],[PROVEEDOR]],"*"&amp;'Palabra no opera'!$A$2&amp;"*"))</f>
        <v>0</v>
      </c>
      <c r="AA834" s="24"/>
      <c r="AB834" s="24"/>
      <c r="AC834" s="24"/>
      <c r="AD834" s="24"/>
      <c r="AE834" s="24"/>
    </row>
    <row r="835" spans="1:31" ht="22.2" customHeight="1" x14ac:dyDescent="0.3">
      <c r="A835" s="66" t="str">
        <f>+IF(PROVEEDORES[[#This Row],[FECHA DE PAGO]]=PROVEEDORES[[#This Row],[FECHA DE FACTURACIÓN]],"DE CONTADO","CRÉDITO")</f>
        <v>CRÉDITO</v>
      </c>
      <c r="B835" s="38" t="str">
        <f>+IF((PROVEEDORES[[#This Row],[FECHA DE PAGO]]-PROVEEDORES[[#This Row],[FECHA DE FACTURACIÓN]])&gt;PROVEEDORES[[#This Row],[PLAZO Días]],"PAGO VENCIDO")</f>
        <v>PAGO VENCIDO</v>
      </c>
      <c r="C835" s="20">
        <f>+VLOOKUP(PROVEEDORES[[#This Row],[PROVEEDOR]],TERCEROS_INFO[#All],2,FALSE)</f>
        <v>30</v>
      </c>
      <c r="D835" s="25">
        <f>+SUMIFS(PROVEEDORES[Total],PROVEEDORES[PROVEEDOR],PROVEEDORES[[#This Row],[PROVEEDOR]],PROVEEDORES[FECHA DE PAGO],"")</f>
        <v>0</v>
      </c>
      <c r="E835" s="25"/>
      <c r="F83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35" s="161">
        <v>44442</v>
      </c>
      <c r="H835" s="26" t="s">
        <v>24</v>
      </c>
      <c r="I835" s="161">
        <v>44400</v>
      </c>
      <c r="J835" s="35" t="s">
        <v>390</v>
      </c>
      <c r="K835" s="21">
        <v>585000</v>
      </c>
      <c r="L835" s="21"/>
      <c r="M835" s="22">
        <f>(PROVEEDORES[[#This Row],[SUBTOTAL]]-PROVEEDORES[[#This Row],[descuento sobre subtotal]])*VLOOKUP(PROVEEDORES[[#This Row],[PROVEEDOR]],TERCEROS_INFO[#All],3,FALSE)</f>
        <v>111150</v>
      </c>
      <c r="N835" s="23"/>
      <c r="O835" s="22">
        <f>+PROVEEDORES[[#This Row],[Descuento sobre subtotal %]]*(PROVEEDORES[[#This Row],[SUBTOTAL]]-PROVEEDORES[[#This Row],[descuento sobre subtotal]])</f>
        <v>0</v>
      </c>
      <c r="P835" s="83">
        <f>+IF(PROVEEDORES[[#This Row],[SUBTOTAL]]&lt;PROVEEDORES[[#This Row],[base retencion]],0,PROVEEDORES[[#This Row],[retención aplicada]])</f>
        <v>0</v>
      </c>
      <c r="Q835" s="22">
        <f>+PROVEEDORES[[#This Row],[Rete Fuente %]]*(PROVEEDORES[[#This Row],[SUBTOTAL]]-PROVEEDORES[[#This Row],[descuento sobre subtotal]])</f>
        <v>0</v>
      </c>
      <c r="R835" s="21">
        <f>+PROVEEDORES[[#This Row],[SUBTOTAL]]+PROVEEDORES[[#This Row],[IVA 19%]]-PROVEEDORES[[#This Row],[descuento sobre subtotal]]-PROVEEDORES[[#This Row],[Descuento sobre subtotal $2]]-PROVEEDORES[[#This Row],[Rete Fuente $]]</f>
        <v>696150</v>
      </c>
      <c r="S8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68">
        <f ca="1">IF(PROVEEDORES[[#This Row],[FECHA DE PAGO]]=0,TODAY()-PROVEEDORES[[#This Row],[FECHA DE FACTURACIÓN]]-PROVEEDORES[[#This Row],[PLAZO Días]],0)</f>
        <v>0</v>
      </c>
      <c r="U835" s="96" t="str">
        <f>+VLOOKUP(PROVEEDORES[[#This Row],[PROVEEDOR]],Terceros!$A:$D,4,FALSE)</f>
        <v>2,5% con base</v>
      </c>
      <c r="V835" s="97">
        <f>+YEAR(PROVEEDORES[[#This Row],[FECHA DE FACTURACIÓN]])</f>
        <v>2021</v>
      </c>
      <c r="W835" s="97">
        <f>+MATCH(PROVEEDORES[[#This Row],[año facturado]],Retenciones!$1:$1,0)</f>
        <v>4</v>
      </c>
      <c r="X835" s="98">
        <f>+VLOOKUP(PROVEEDORES[[#This Row],[ID RETENCION]],Retenciones!$A$1:$O$25,PROVEEDORES[[#This Row],[indicador de columna]],FALSE)</f>
        <v>980000</v>
      </c>
      <c r="Y835" s="99">
        <f>+VLOOKUP(PROVEEDORES[[#This Row],[ID RETENCION]],Retenciones!$A$1:$O$25,2,FALSE)</f>
        <v>2.5000000000000001E-2</v>
      </c>
      <c r="Z835" s="125" t="b">
        <f>OR(COUNTIF(PROVEEDORES[[#This Row],[PROVEEDOR]],"*"&amp;'Palabra no opera'!$A$2&amp;"*"))</f>
        <v>0</v>
      </c>
      <c r="AA835" s="24"/>
      <c r="AB835" s="24"/>
      <c r="AC835" s="24"/>
      <c r="AD835" s="24"/>
      <c r="AE835" s="24"/>
    </row>
    <row r="836" spans="1:31" ht="22.2" customHeight="1" x14ac:dyDescent="0.3">
      <c r="A836" s="66" t="str">
        <f>+IF(PROVEEDORES[[#This Row],[FECHA DE PAGO]]=PROVEEDORES[[#This Row],[FECHA DE FACTURACIÓN]],"DE CONTADO","CRÉDITO")</f>
        <v>CRÉDITO</v>
      </c>
      <c r="B836" s="38" t="str">
        <f>+IF((PROVEEDORES[[#This Row],[FECHA DE PAGO]]-PROVEEDORES[[#This Row],[FECHA DE FACTURACIÓN]])&gt;PROVEEDORES[[#This Row],[PLAZO Días]],"PAGO VENCIDO")</f>
        <v>PAGO VENCIDO</v>
      </c>
      <c r="C836" s="20">
        <f>+VLOOKUP(PROVEEDORES[[#This Row],[PROVEEDOR]],TERCEROS_INFO[#All],2,FALSE)</f>
        <v>30</v>
      </c>
      <c r="D836" s="25">
        <f>+SUMIFS(PROVEEDORES[Total],PROVEEDORES[PROVEEDOR],PROVEEDORES[[#This Row],[PROVEEDOR]],PROVEEDORES[FECHA DE PAGO],"")</f>
        <v>0</v>
      </c>
      <c r="E836" s="25"/>
      <c r="F83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36" s="161">
        <v>44442</v>
      </c>
      <c r="H836" s="26" t="s">
        <v>24</v>
      </c>
      <c r="I836" s="161">
        <v>44401</v>
      </c>
      <c r="J836" s="35" t="s">
        <v>389</v>
      </c>
      <c r="K836" s="21">
        <v>585000</v>
      </c>
      <c r="L836" s="21"/>
      <c r="M836" s="22">
        <f>(PROVEEDORES[[#This Row],[SUBTOTAL]]-PROVEEDORES[[#This Row],[descuento sobre subtotal]])*VLOOKUP(PROVEEDORES[[#This Row],[PROVEEDOR]],TERCEROS_INFO[#All],3,FALSE)</f>
        <v>111150</v>
      </c>
      <c r="N836" s="23"/>
      <c r="O836" s="22">
        <f>+PROVEEDORES[[#This Row],[Descuento sobre subtotal %]]*(PROVEEDORES[[#This Row],[SUBTOTAL]]-PROVEEDORES[[#This Row],[descuento sobre subtotal]])</f>
        <v>0</v>
      </c>
      <c r="P836" s="83">
        <f>+IF(PROVEEDORES[[#This Row],[SUBTOTAL]]&lt;PROVEEDORES[[#This Row],[base retencion]],0,PROVEEDORES[[#This Row],[retención aplicada]])</f>
        <v>0</v>
      </c>
      <c r="Q836" s="22">
        <f>+PROVEEDORES[[#This Row],[Rete Fuente %]]*(PROVEEDORES[[#This Row],[SUBTOTAL]]-PROVEEDORES[[#This Row],[descuento sobre subtotal]])</f>
        <v>0</v>
      </c>
      <c r="R836" s="21">
        <f>+PROVEEDORES[[#This Row],[SUBTOTAL]]+PROVEEDORES[[#This Row],[IVA 19%]]-PROVEEDORES[[#This Row],[descuento sobre subtotal]]-PROVEEDORES[[#This Row],[Descuento sobre subtotal $2]]-PROVEEDORES[[#This Row],[Rete Fuente $]]</f>
        <v>696150</v>
      </c>
      <c r="S8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68">
        <f ca="1">IF(PROVEEDORES[[#This Row],[FECHA DE PAGO]]=0,TODAY()-PROVEEDORES[[#This Row],[FECHA DE FACTURACIÓN]]-PROVEEDORES[[#This Row],[PLAZO Días]],0)</f>
        <v>0</v>
      </c>
      <c r="U836" s="96" t="str">
        <f>+VLOOKUP(PROVEEDORES[[#This Row],[PROVEEDOR]],Terceros!$A:$D,4,FALSE)</f>
        <v>2,5% con base</v>
      </c>
      <c r="V836" s="97">
        <f>+YEAR(PROVEEDORES[[#This Row],[FECHA DE FACTURACIÓN]])</f>
        <v>2021</v>
      </c>
      <c r="W836" s="97">
        <f>+MATCH(PROVEEDORES[[#This Row],[año facturado]],Retenciones!$1:$1,0)</f>
        <v>4</v>
      </c>
      <c r="X836" s="98">
        <f>+VLOOKUP(PROVEEDORES[[#This Row],[ID RETENCION]],Retenciones!$A$1:$O$25,PROVEEDORES[[#This Row],[indicador de columna]],FALSE)</f>
        <v>980000</v>
      </c>
      <c r="Y836" s="99">
        <f>+VLOOKUP(PROVEEDORES[[#This Row],[ID RETENCION]],Retenciones!$A$1:$O$25,2,FALSE)</f>
        <v>2.5000000000000001E-2</v>
      </c>
      <c r="Z836" s="125" t="b">
        <f>OR(COUNTIF(PROVEEDORES[[#This Row],[PROVEEDOR]],"*"&amp;'Palabra no opera'!$A$2&amp;"*"))</f>
        <v>0</v>
      </c>
      <c r="AA836" s="24"/>
      <c r="AB836" s="24"/>
      <c r="AC836" s="24"/>
      <c r="AD836" s="24"/>
      <c r="AE836" s="24"/>
    </row>
    <row r="837" spans="1:31" ht="22.2" customHeight="1" x14ac:dyDescent="0.3">
      <c r="A837" s="207" t="str">
        <f>+IF(PROVEEDORES[[#This Row],[FECHA DE PAGO]]=PROVEEDORES[[#This Row],[FECHA DE FACTURACIÓN]],"DE CONTADO","CRÉDITO")</f>
        <v>CRÉDITO</v>
      </c>
      <c r="B837" s="38" t="b">
        <f>+IF((PROVEEDORES[[#This Row],[FECHA DE PAGO]]-PROVEEDORES[[#This Row],[FECHA DE FACTURACIÓN]])&gt;PROVEEDORES[[#This Row],[PLAZO Días]],"PAGO VENCIDO")</f>
        <v>0</v>
      </c>
      <c r="C837" s="20">
        <f>+VLOOKUP(PROVEEDORES[[#This Row],[PROVEEDOR]],TERCEROS_INFO[#All],2,FALSE)</f>
        <v>30</v>
      </c>
      <c r="D837" s="25">
        <f>+SUMIFS(PROVEEDORES[Total],PROVEEDORES[PROVEEDOR],PROVEEDORES[[#This Row],[PROVEEDOR]],PROVEEDORES[FECHA DE PAGO],"")</f>
        <v>0</v>
      </c>
      <c r="E837" s="25"/>
      <c r="F837" s="58" t="str">
        <f>+VLOOKUP(PROVEEDORES[[#This Row],[PROVEEDOR]],
                       Terceros!$A:$F,
                       5,
                       FALSE)</f>
        <v/>
      </c>
      <c r="G837" s="161">
        <v>44809</v>
      </c>
      <c r="H837" s="26" t="s">
        <v>686</v>
      </c>
      <c r="I837" s="161">
        <v>44782</v>
      </c>
      <c r="J837" s="35" t="s">
        <v>1422</v>
      </c>
      <c r="K837" s="21">
        <v>696250</v>
      </c>
      <c r="L837" s="21"/>
      <c r="M837" s="22">
        <f>(PROVEEDORES[[#This Row],[SUBTOTAL]]-PROVEEDORES[[#This Row],[descuento sobre subtotal]])*VLOOKUP(PROVEEDORES[[#This Row],[PROVEEDOR]],TERCEROS_INFO[#All],3,FALSE)</f>
        <v>0</v>
      </c>
      <c r="N837" s="23"/>
      <c r="O837" s="22">
        <f>+PROVEEDORES[[#This Row],[Descuento sobre subtotal %]]*(PROVEEDORES[[#This Row],[SUBTOTAL]]-PROVEEDORES[[#This Row],[descuento sobre subtotal]])</f>
        <v>0</v>
      </c>
      <c r="P837" s="83">
        <f>+IF(PROVEEDORES[[#This Row],[SUBTOTAL]]&lt;PROVEEDORES[[#This Row],[base retencion]],0,PROVEEDORES[[#This Row],[retención aplicada]])</f>
        <v>0</v>
      </c>
      <c r="Q837" s="22">
        <f>+PROVEEDORES[[#This Row],[Rete Fuente %]]*(PROVEEDORES[[#This Row],[SUBTOTAL]]-PROVEEDORES[[#This Row],[descuento sobre subtotal]])</f>
        <v>0</v>
      </c>
      <c r="R837" s="21">
        <f>+PROVEEDORES[[#This Row],[SUBTOTAL]]+PROVEEDORES[[#This Row],[IVA 19%]]-PROVEEDORES[[#This Row],[descuento sobre subtotal]]-PROVEEDORES[[#This Row],[Descuento sobre subtotal $2]]-PROVEEDORES[[#This Row],[Rete Fuente $]]</f>
        <v>696250</v>
      </c>
      <c r="S837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68">
        <f ca="1">IF(PROVEEDORES[[#This Row],[FECHA DE PAGO]]=0,TODAY()-PROVEEDORES[[#This Row],[FECHA DE FACTURACIÓN]]-PROVEEDORES[[#This Row],[PLAZO Días]],0)</f>
        <v>0</v>
      </c>
      <c r="U837" s="113">
        <f>+VLOOKUP(PROVEEDORES[[#This Row],[PROVEEDOR]],Terceros!$A:$D,4,FALSE)</f>
        <v>0</v>
      </c>
      <c r="V837" s="114">
        <f>+YEAR(PROVEEDORES[[#This Row],[FECHA DE FACTURACIÓN]])</f>
        <v>2022</v>
      </c>
      <c r="W837" s="114">
        <f>+MATCH(PROVEEDORES[[#This Row],[año facturado]],Retenciones!$1:$1,0)</f>
        <v>5</v>
      </c>
      <c r="X837" s="115">
        <f>+VLOOKUP(PROVEEDORES[[#This Row],[ID RETENCION]],Retenciones!$A$1:$O$25,PROVEEDORES[[#This Row],[indicador de columna]],FALSE)</f>
        <v>0</v>
      </c>
      <c r="Y837" s="116">
        <f>+VLOOKUP(PROVEEDORES[[#This Row],[ID RETENCION]],Retenciones!$A$1:$O$25,2,FALSE)</f>
        <v>0</v>
      </c>
      <c r="Z837" s="125" t="b">
        <f>OR(COUNTIF(PROVEEDORES[[#This Row],[PROVEEDOR]],"*"&amp;'Palabra no opera'!$A$2&amp;"*"))</f>
        <v>0</v>
      </c>
      <c r="AA837" s="24"/>
      <c r="AB837" s="24"/>
      <c r="AC837" s="24"/>
      <c r="AD837" s="24"/>
      <c r="AE837" s="24"/>
    </row>
    <row r="838" spans="1:31" ht="22.2" customHeight="1" x14ac:dyDescent="0.3">
      <c r="A838" s="66" t="str">
        <f>+IF(PROVEEDORES[[#This Row],[FECHA DE PAGO]]=PROVEEDORES[[#This Row],[FECHA DE FACTURACIÓN]],"DE CONTADO","CRÉDITO")</f>
        <v>CRÉDITO</v>
      </c>
      <c r="B838" s="38" t="str">
        <f>+IF((PROVEEDORES[[#This Row],[FECHA DE PAGO]]-PROVEEDORES[[#This Row],[FECHA DE FACTURACIÓN]])&gt;PROVEEDORES[[#This Row],[PLAZO Días]],"PAGO VENCIDO")</f>
        <v>PAGO VENCIDO</v>
      </c>
      <c r="C838" s="20">
        <f>+VLOOKUP(PROVEEDORES[[#This Row],[PROVEEDOR]],TERCEROS_INFO[#All],2,FALSE)</f>
        <v>30</v>
      </c>
      <c r="D838" s="25">
        <f>+SUMIFS(PROVEEDORES[Total],PROVEEDORES[PROVEEDOR],PROVEEDORES[[#This Row],[PROVEEDOR]],PROVEEDORES[FECHA DE PAGO],"")</f>
        <v>401799.93</v>
      </c>
      <c r="E838" s="25"/>
      <c r="F838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838" s="161">
        <v>44656</v>
      </c>
      <c r="H838" s="26" t="s">
        <v>508</v>
      </c>
      <c r="I838" s="161">
        <v>44620</v>
      </c>
      <c r="J838" s="35" t="s">
        <v>739</v>
      </c>
      <c r="K838" s="21">
        <v>585212</v>
      </c>
      <c r="L838" s="21"/>
      <c r="M838" s="22">
        <f>(PROVEEDORES[[#This Row],[SUBTOTAL]]-PROVEEDORES[[#This Row],[descuento sobre subtotal]])*VLOOKUP(PROVEEDORES[[#This Row],[PROVEEDOR]],TERCEROS_INFO[#All],3,FALSE)</f>
        <v>111190.28</v>
      </c>
      <c r="N838" s="23"/>
      <c r="O838" s="22">
        <f>+PROVEEDORES[[#This Row],[Descuento sobre subtotal %]]*(PROVEEDORES[[#This Row],[SUBTOTAL]]-PROVEEDORES[[#This Row],[descuento sobre subtotal]])</f>
        <v>0</v>
      </c>
      <c r="P838" s="83">
        <f>+IF(PROVEEDORES[[#This Row],[SUBTOTAL]]&lt;PROVEEDORES[[#This Row],[base retencion]],0,PROVEEDORES[[#This Row],[retención aplicada]])</f>
        <v>0</v>
      </c>
      <c r="Q838" s="22">
        <f>+PROVEEDORES[[#This Row],[Rete Fuente %]]*(PROVEEDORES[[#This Row],[SUBTOTAL]]-PROVEEDORES[[#This Row],[descuento sobre subtotal]])</f>
        <v>0</v>
      </c>
      <c r="R838" s="21">
        <v>696402.28</v>
      </c>
      <c r="S8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68">
        <f ca="1">IF(PROVEEDORES[[#This Row],[FECHA DE PAGO]]=0,TODAY()-PROVEEDORES[[#This Row],[FECHA DE FACTURACIÓN]]-PROVEEDORES[[#This Row],[PLAZO Días]],0)</f>
        <v>0</v>
      </c>
      <c r="U838" s="96" t="str">
        <f>+VLOOKUP(PROVEEDORES[[#This Row],[PROVEEDOR]],Terceros!$A:$D,4,FALSE)</f>
        <v>2,5% con base</v>
      </c>
      <c r="V838" s="97">
        <f>+YEAR(PROVEEDORES[[#This Row],[FECHA DE FACTURACIÓN]])</f>
        <v>2022</v>
      </c>
      <c r="W838" s="97">
        <f>+MATCH(PROVEEDORES[[#This Row],[año facturado]],Retenciones!$1:$1,0)</f>
        <v>5</v>
      </c>
      <c r="X838" s="98">
        <f>+VLOOKUP(PROVEEDORES[[#This Row],[ID RETENCION]],Retenciones!$A$1:$O$25,PROVEEDORES[[#This Row],[indicador de columna]],FALSE)</f>
        <v>1026000</v>
      </c>
      <c r="Y838" s="99">
        <f>+VLOOKUP(PROVEEDORES[[#This Row],[ID RETENCION]],Retenciones!$A$1:$O$25,2,FALSE)</f>
        <v>2.5000000000000001E-2</v>
      </c>
      <c r="Z838" s="125" t="b">
        <f>OR(COUNTIF(PROVEEDORES[[#This Row],[PROVEEDOR]],"*"&amp;'Palabra no opera'!$A$2&amp;"*"))</f>
        <v>0</v>
      </c>
      <c r="AA838" s="24"/>
      <c r="AB838" s="24"/>
      <c r="AC838" s="24"/>
      <c r="AD838" s="24"/>
      <c r="AE838" s="24"/>
    </row>
    <row r="839" spans="1:31" ht="22.2" customHeight="1" x14ac:dyDescent="0.3">
      <c r="A839" s="72" t="str">
        <f>+IF(PROVEEDORES[[#This Row],[FECHA DE PAGO]]=PROVEEDORES[[#This Row],[FECHA DE FACTURACIÓN]],"DE CONTADO","CRÉDITO")</f>
        <v>CRÉDITO</v>
      </c>
      <c r="B839" s="38" t="b">
        <f>+IF((PROVEEDORES[[#This Row],[FECHA DE PAGO]]-PROVEEDORES[[#This Row],[FECHA DE FACTURACIÓN]])&gt;PROVEEDORES[[#This Row],[PLAZO Días]],"PAGO VENCIDO")</f>
        <v>0</v>
      </c>
      <c r="C839" s="20">
        <f>+VLOOKUP(PROVEEDORES[[#This Row],[PROVEEDOR]],TERCEROS_INFO[#All],2,FALSE)</f>
        <v>30</v>
      </c>
      <c r="D839" s="25">
        <f>+SUMIFS(PROVEEDORES[Total],PROVEEDORES[PROVEEDOR],PROVEEDORES[[#This Row],[PROVEEDOR]],PROVEEDORES[FECHA DE PAGO],"")</f>
        <v>0</v>
      </c>
      <c r="E839" s="25"/>
      <c r="F839" s="58" t="str">
        <f>+VLOOKUP(PROVEEDORES[[#This Row],[PROVEEDOR]],
                       Terceros!$A:$F,
                       5,
                       FALSE)</f>
        <v/>
      </c>
      <c r="G839" s="161">
        <v>44790</v>
      </c>
      <c r="H839" s="26" t="s">
        <v>1130</v>
      </c>
      <c r="I839" s="161">
        <v>44778</v>
      </c>
      <c r="J839" s="35" t="s">
        <v>1160</v>
      </c>
      <c r="K839" s="21">
        <v>697250</v>
      </c>
      <c r="L839" s="21"/>
      <c r="M839" s="22">
        <f>(PROVEEDORES[[#This Row],[SUBTOTAL]]-PROVEEDORES[[#This Row],[descuento sobre subtotal]])*VLOOKUP(PROVEEDORES[[#This Row],[PROVEEDOR]],TERCEROS_INFO[#All],3,FALSE)</f>
        <v>0</v>
      </c>
      <c r="N839" s="23"/>
      <c r="O839" s="22">
        <f>+PROVEEDORES[[#This Row],[Descuento sobre subtotal %]]*(PROVEEDORES[[#This Row],[SUBTOTAL]]-PROVEEDORES[[#This Row],[descuento sobre subtotal]])</f>
        <v>0</v>
      </c>
      <c r="P839" s="83">
        <f>+IF(PROVEEDORES[[#This Row],[SUBTOTAL]]&lt;PROVEEDORES[[#This Row],[base retencion]],0,PROVEEDORES[[#This Row],[retención aplicada]])</f>
        <v>0</v>
      </c>
      <c r="Q839" s="22">
        <f>+PROVEEDORES[[#This Row],[Rete Fuente %]]*(PROVEEDORES[[#This Row],[SUBTOTAL]]-PROVEEDORES[[#This Row],[descuento sobre subtotal]])</f>
        <v>0</v>
      </c>
      <c r="R839" s="21">
        <f>+PROVEEDORES[[#This Row],[SUBTOTAL]]+PROVEEDORES[[#This Row],[IVA 19%]]-PROVEEDORES[[#This Row],[descuento sobre subtotal]]-PROVEEDORES[[#This Row],[Descuento sobre subtotal $2]]-PROVEEDORES[[#This Row],[Rete Fuente $]]</f>
        <v>697250</v>
      </c>
      <c r="S83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68">
        <f ca="1">IF(PROVEEDORES[[#This Row],[FECHA DE PAGO]]=0,TODAY()-PROVEEDORES[[#This Row],[FECHA DE FACTURACIÓN]]-PROVEEDORES[[#This Row],[PLAZO Días]],0)</f>
        <v>0</v>
      </c>
      <c r="U839" s="113">
        <f>+VLOOKUP(PROVEEDORES[[#This Row],[PROVEEDOR]],Terceros!$A:$D,4,FALSE)</f>
        <v>0</v>
      </c>
      <c r="V839" s="114">
        <f>+YEAR(PROVEEDORES[[#This Row],[FECHA DE FACTURACIÓN]])</f>
        <v>2022</v>
      </c>
      <c r="W839" s="114">
        <f>+MATCH(PROVEEDORES[[#This Row],[año facturado]],Retenciones!$1:$1,0)</f>
        <v>5</v>
      </c>
      <c r="X839" s="115">
        <f>+VLOOKUP(PROVEEDORES[[#This Row],[ID RETENCION]],Retenciones!$A$1:$O$25,PROVEEDORES[[#This Row],[indicador de columna]],FALSE)</f>
        <v>0</v>
      </c>
      <c r="Y839" s="116">
        <f>+VLOOKUP(PROVEEDORES[[#This Row],[ID RETENCION]],Retenciones!$A$1:$O$25,2,FALSE)</f>
        <v>0</v>
      </c>
      <c r="Z839" s="125" t="b">
        <f>OR(COUNTIF(PROVEEDORES[[#This Row],[PROVEEDOR]],"*"&amp;'Palabra no opera'!$A$2&amp;"*"))</f>
        <v>1</v>
      </c>
      <c r="AA839" s="24"/>
      <c r="AB839" s="24"/>
      <c r="AC839" s="24"/>
      <c r="AD839" s="24"/>
      <c r="AE839" s="24"/>
    </row>
    <row r="840" spans="1:31" ht="22.2" customHeight="1" x14ac:dyDescent="0.3">
      <c r="A840" s="66" t="str">
        <f>+IF(PROVEEDORES[[#This Row],[FECHA DE PAGO]]=PROVEEDORES[[#This Row],[FECHA DE FACTURACIÓN]],"DE CONTADO","CRÉDITO")</f>
        <v>CRÉDITO</v>
      </c>
      <c r="B840" s="38" t="b">
        <f>+IF((PROVEEDORES[[#This Row],[FECHA DE PAGO]]-PROVEEDORES[[#This Row],[FECHA DE FACTURACIÓN]])&gt;PROVEEDORES[[#This Row],[PLAZO Días]],"PAGO VENCIDO")</f>
        <v>0</v>
      </c>
      <c r="C840" s="20">
        <f>+VLOOKUP(PROVEEDORES[[#This Row],[PROVEEDOR]],TERCEROS_INFO[#All],2,FALSE)</f>
        <v>30</v>
      </c>
      <c r="D840" s="25">
        <f>+SUMIFS(PROVEEDORES[Total],PROVEEDORES[PROVEEDOR],PROVEEDORES[[#This Row],[PROVEEDOR]],PROVEEDORES[FECHA DE PAGO],"")</f>
        <v>0</v>
      </c>
      <c r="E840" s="25"/>
      <c r="F840" s="58" t="str">
        <f>+VLOOKUP(PROVEEDORES[[#This Row],[PROVEEDOR]],
                       Terceros!$A:$F,
                       5,
                       FALSE)</f>
        <v/>
      </c>
      <c r="G840" s="161">
        <v>44588</v>
      </c>
      <c r="H840" s="26" t="s">
        <v>686</v>
      </c>
      <c r="I840" s="161">
        <v>44580</v>
      </c>
      <c r="J840" s="35" t="s">
        <v>1559</v>
      </c>
      <c r="K840" s="21">
        <v>699000</v>
      </c>
      <c r="L840" s="21"/>
      <c r="M840" s="22">
        <v>0</v>
      </c>
      <c r="N840" s="23"/>
      <c r="O840" s="22">
        <v>0</v>
      </c>
      <c r="P840" s="83">
        <f>+IF(PROVEEDORES[[#This Row],[SUBTOTAL]]&lt;PROVEEDORES[[#This Row],[base retencion]],0,PROVEEDORES[[#This Row],[retención aplicada]])</f>
        <v>0</v>
      </c>
      <c r="Q840" s="22">
        <f>+PROVEEDORES[[#This Row],[Rete Fuente %]]*(PROVEEDORES[[#This Row],[SUBTOTAL]]-PROVEEDORES[[#This Row],[descuento sobre subtotal]])</f>
        <v>0</v>
      </c>
      <c r="R840" s="21">
        <v>699000</v>
      </c>
      <c r="S8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68">
        <f ca="1">IF(PROVEEDORES[[#This Row],[FECHA DE PAGO]]=0,TODAY()-PROVEEDORES[[#This Row],[FECHA DE FACTURACIÓN]]-PROVEEDORES[[#This Row],[PLAZO Días]],0)</f>
        <v>0</v>
      </c>
      <c r="U840" s="96">
        <f>+VLOOKUP(PROVEEDORES[[#This Row],[PROVEEDOR]],Terceros!$A:$D,4,FALSE)</f>
        <v>0</v>
      </c>
      <c r="V840" s="97">
        <f>+YEAR(PROVEEDORES[[#This Row],[FECHA DE FACTURACIÓN]])</f>
        <v>2022</v>
      </c>
      <c r="W840" s="97">
        <f>+MATCH(PROVEEDORES[[#This Row],[año facturado]],Retenciones!$1:$1,0)</f>
        <v>5</v>
      </c>
      <c r="X840" s="98">
        <f>+VLOOKUP(PROVEEDORES[[#This Row],[ID RETENCION]],Retenciones!$A$1:$O$25,PROVEEDORES[[#This Row],[indicador de columna]],FALSE)</f>
        <v>0</v>
      </c>
      <c r="Y840" s="99">
        <f>+VLOOKUP(PROVEEDORES[[#This Row],[ID RETENCION]],Retenciones!$A$1:$O$25,2,FALSE)</f>
        <v>0</v>
      </c>
      <c r="Z840" s="125" t="b">
        <f>OR(COUNTIF(PROVEEDORES[[#This Row],[PROVEEDOR]],"*"&amp;'Palabra no opera'!$A$2&amp;"*"))</f>
        <v>0</v>
      </c>
      <c r="AA840" s="24"/>
      <c r="AB840" s="24"/>
      <c r="AC840" s="24"/>
      <c r="AD840" s="24"/>
      <c r="AE840" s="24"/>
    </row>
    <row r="841" spans="1:31" ht="22.2" customHeight="1" x14ac:dyDescent="0.3">
      <c r="A841" s="66" t="str">
        <f>+IF(PROVEEDORES[[#This Row],[FECHA DE PAGO]]=PROVEEDORES[[#This Row],[FECHA DE FACTURACIÓN]],"DE CONTADO","CRÉDITO")</f>
        <v>CRÉDITO</v>
      </c>
      <c r="B841" s="38" t="str">
        <f>+IF((PROVEEDORES[[#This Row],[FECHA DE PAGO]]-PROVEEDORES[[#This Row],[FECHA DE FACTURACIÓN]])&gt;PROVEEDORES[[#This Row],[PLAZO Días]],"PAGO VENCIDO")</f>
        <v>PAGO VENCIDO</v>
      </c>
      <c r="C841" s="20">
        <f>+VLOOKUP(PROVEEDORES[[#This Row],[PROVEEDOR]],TERCEROS_INFO[#All],2,FALSE)</f>
        <v>30</v>
      </c>
      <c r="D841" s="25">
        <f>+SUMIFS(PROVEEDORES[Total],PROVEEDORES[PROVEEDOR],PROVEEDORES[[#This Row],[PROVEEDOR]],PROVEEDORES[FECHA DE PAGO],"")</f>
        <v>0</v>
      </c>
      <c r="E841" s="25"/>
      <c r="F84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41" s="161">
        <v>44278</v>
      </c>
      <c r="H841" s="26" t="s">
        <v>49</v>
      </c>
      <c r="I841" s="161">
        <v>44242</v>
      </c>
      <c r="J841" s="35">
        <v>1462</v>
      </c>
      <c r="K841" s="21">
        <v>588235</v>
      </c>
      <c r="L841" s="21"/>
      <c r="M841" s="22">
        <f>(PROVEEDORES[[#This Row],[SUBTOTAL]]-PROVEEDORES[[#This Row],[descuento sobre subtotal]])*VLOOKUP(PROVEEDORES[[#This Row],[PROVEEDOR]],TERCEROS_INFO[#All],3,FALSE)</f>
        <v>111764.65</v>
      </c>
      <c r="N841" s="23"/>
      <c r="O841" s="22">
        <f>+PROVEEDORES[[#This Row],[Descuento sobre subtotal %]]*(PROVEEDORES[[#This Row],[SUBTOTAL]]-PROVEEDORES[[#This Row],[descuento sobre subtotal]])</f>
        <v>0</v>
      </c>
      <c r="P841" s="83">
        <f>+IF(PROVEEDORES[[#This Row],[SUBTOTAL]]&lt;PROVEEDORES[[#This Row],[base retencion]],0,PROVEEDORES[[#This Row],[retención aplicada]])</f>
        <v>0</v>
      </c>
      <c r="Q841" s="22">
        <f>+PROVEEDORES[[#This Row],[Rete Fuente %]]*(PROVEEDORES[[#This Row],[SUBTOTAL]]-PROVEEDORES[[#This Row],[descuento sobre subtotal]])</f>
        <v>0</v>
      </c>
      <c r="R841" s="21">
        <f>+PROVEEDORES[[#This Row],[SUBTOTAL]]+PROVEEDORES[[#This Row],[IVA 19%]]-PROVEEDORES[[#This Row],[descuento sobre subtotal]]-PROVEEDORES[[#This Row],[Descuento sobre subtotal $2]]-PROVEEDORES[[#This Row],[Rete Fuente $]]</f>
        <v>699999.65</v>
      </c>
      <c r="S8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68">
        <f ca="1">IF(PROVEEDORES[[#This Row],[FECHA DE PAGO]]=0,TODAY()-PROVEEDORES[[#This Row],[FECHA DE FACTURACIÓN]]-PROVEEDORES[[#This Row],[PLAZO Días]],0)</f>
        <v>0</v>
      </c>
      <c r="U841" s="96" t="str">
        <f>+VLOOKUP(PROVEEDORES[[#This Row],[PROVEEDOR]],Terceros!$A:$D,4,FALSE)</f>
        <v>2,5% con base</v>
      </c>
      <c r="V841" s="97">
        <f>+YEAR(PROVEEDORES[[#This Row],[FECHA DE FACTURACIÓN]])</f>
        <v>2021</v>
      </c>
      <c r="W841" s="97">
        <f>+MATCH(PROVEEDORES[[#This Row],[año facturado]],Retenciones!$1:$1,0)</f>
        <v>4</v>
      </c>
      <c r="X841" s="98">
        <f>+VLOOKUP(PROVEEDORES[[#This Row],[ID RETENCION]],Retenciones!$A$1:$O$25,PROVEEDORES[[#This Row],[indicador de columna]],FALSE)</f>
        <v>980000</v>
      </c>
      <c r="Y841" s="99">
        <f>+VLOOKUP(PROVEEDORES[[#This Row],[ID RETENCION]],Retenciones!$A$1:$O$25,2,FALSE)</f>
        <v>2.5000000000000001E-2</v>
      </c>
      <c r="Z841" s="125" t="b">
        <f>OR(COUNTIF(PROVEEDORES[[#This Row],[PROVEEDOR]],"*"&amp;'Palabra no opera'!$A$2&amp;"*"))</f>
        <v>0</v>
      </c>
      <c r="AA841" s="24"/>
      <c r="AB841" s="24"/>
      <c r="AC841" s="24"/>
      <c r="AD841" s="24"/>
      <c r="AE841" s="24"/>
    </row>
    <row r="842" spans="1:31" ht="22.2" customHeight="1" x14ac:dyDescent="0.3">
      <c r="A842" s="66" t="str">
        <f>+IF(PROVEEDORES[[#This Row],[FECHA DE PAGO]]=PROVEEDORES[[#This Row],[FECHA DE FACTURACIÓN]],"DE CONTADO","CRÉDITO")</f>
        <v>CRÉDITO</v>
      </c>
      <c r="B842" s="38" t="str">
        <f>+IF((PROVEEDORES[[#This Row],[FECHA DE PAGO]]-PROVEEDORES[[#This Row],[FECHA DE FACTURACIÓN]])&gt;PROVEEDORES[[#This Row],[PLAZO Días]],"PAGO VENCIDO")</f>
        <v>PAGO VENCIDO</v>
      </c>
      <c r="C842" s="20">
        <f>+VLOOKUP(PROVEEDORES[[#This Row],[PROVEEDOR]],TERCEROS_INFO[#All],2,FALSE)</f>
        <v>30</v>
      </c>
      <c r="D842" s="25">
        <f>+SUMIFS(PROVEEDORES[Total],PROVEEDORES[PROVEEDOR],PROVEEDORES[[#This Row],[PROVEEDOR]],PROVEEDORES[FECHA DE PAGO],"")</f>
        <v>0</v>
      </c>
      <c r="E842" s="25"/>
      <c r="F84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842" s="161">
        <v>44592</v>
      </c>
      <c r="H842" s="26" t="s">
        <v>688</v>
      </c>
      <c r="I842" s="161">
        <v>44540</v>
      </c>
      <c r="J842" s="35" t="s">
        <v>1542</v>
      </c>
      <c r="K842" s="21">
        <v>700000</v>
      </c>
      <c r="L842" s="21"/>
      <c r="M842" s="22">
        <v>0</v>
      </c>
      <c r="N842" s="23"/>
      <c r="O842" s="22">
        <v>0</v>
      </c>
      <c r="P842" s="83">
        <f>+IF(PROVEEDORES[[#This Row],[SUBTOTAL]]&lt;PROVEEDORES[[#This Row],[base retencion]],0,PROVEEDORES[[#This Row],[retención aplicada]])</f>
        <v>0</v>
      </c>
      <c r="Q842" s="22">
        <f>+PROVEEDORES[[#This Row],[Rete Fuente %]]*(PROVEEDORES[[#This Row],[SUBTOTAL]]-PROVEEDORES[[#This Row],[descuento sobre subtotal]])</f>
        <v>0</v>
      </c>
      <c r="R842" s="21">
        <v>700000</v>
      </c>
      <c r="S8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68">
        <f ca="1">IF(PROVEEDORES[[#This Row],[FECHA DE PAGO]]=0,TODAY()-PROVEEDORES[[#This Row],[FECHA DE FACTURACIÓN]]-PROVEEDORES[[#This Row],[PLAZO Días]],0)</f>
        <v>0</v>
      </c>
      <c r="U842" s="96">
        <f>+VLOOKUP(PROVEEDORES[[#This Row],[PROVEEDOR]],Terceros!$A:$D,4,FALSE)</f>
        <v>0</v>
      </c>
      <c r="V842" s="97">
        <f>+YEAR(PROVEEDORES[[#This Row],[FECHA DE FACTURACIÓN]])</f>
        <v>2021</v>
      </c>
      <c r="W842" s="97">
        <f>+MATCH(PROVEEDORES[[#This Row],[año facturado]],Retenciones!$1:$1,0)</f>
        <v>4</v>
      </c>
      <c r="X842" s="98">
        <f>+VLOOKUP(PROVEEDORES[[#This Row],[ID RETENCION]],Retenciones!$A$1:$O$25,PROVEEDORES[[#This Row],[indicador de columna]],FALSE)</f>
        <v>0</v>
      </c>
      <c r="Y842" s="99">
        <f>+VLOOKUP(PROVEEDORES[[#This Row],[ID RETENCION]],Retenciones!$A$1:$O$25,2,FALSE)</f>
        <v>0</v>
      </c>
      <c r="Z842" s="125" t="b">
        <f>OR(COUNTIF(PROVEEDORES[[#This Row],[PROVEEDOR]],"*"&amp;'Palabra no opera'!$A$2&amp;"*"))</f>
        <v>0</v>
      </c>
      <c r="AA842" s="24"/>
      <c r="AB842" s="24"/>
      <c r="AC842" s="24"/>
      <c r="AD842" s="24"/>
      <c r="AE842" s="24"/>
    </row>
    <row r="843" spans="1:31" ht="22.2" customHeight="1" x14ac:dyDescent="0.3">
      <c r="A843" s="269" t="str">
        <f>+IF(PROVEEDORES[[#This Row],[FECHA DE PAGO]]=PROVEEDORES[[#This Row],[FECHA DE FACTURACIÓN]],"DE CONTADO","CRÉDITO")</f>
        <v>CRÉDITO</v>
      </c>
      <c r="B843" s="38" t="b">
        <f>+IF((PROVEEDORES[[#This Row],[FECHA DE PAGO]]-PROVEEDORES[[#This Row],[FECHA DE FACTURACIÓN]])&gt;PROVEEDORES[[#This Row],[PLAZO Días]],"PAGO VENCIDO")</f>
        <v>0</v>
      </c>
      <c r="C843" s="20">
        <f>+VLOOKUP(PROVEEDORES[[#This Row],[PROVEEDOR]],TERCEROS_INFO[#All],2,FALSE)</f>
        <v>30</v>
      </c>
      <c r="D843" s="25">
        <f>+SUMIFS(PROVEEDORES[Total],PROVEEDORES[PROVEEDOR],PROVEEDORES[[#This Row],[PROVEEDOR]],PROVEEDORES[FECHA DE PAGO],"")</f>
        <v>0</v>
      </c>
      <c r="E843" s="25"/>
      <c r="F843" s="58" t="str">
        <f>+VLOOKUP(PROVEEDORES[[#This Row],[PROVEEDOR]],
                       Terceros!$A:$F,
                       5,
                       FALSE)</f>
        <v/>
      </c>
      <c r="G843" s="161">
        <v>44852</v>
      </c>
      <c r="H843" s="26" t="s">
        <v>1705</v>
      </c>
      <c r="I843" s="161">
        <v>44844</v>
      </c>
      <c r="J843" s="35">
        <v>327</v>
      </c>
      <c r="K843" s="21">
        <v>702000</v>
      </c>
      <c r="L843" s="21"/>
      <c r="M843" s="22">
        <f>(PROVEEDORES[[#This Row],[SUBTOTAL]]-PROVEEDORES[[#This Row],[descuento sobre subtotal]])*VLOOKUP(PROVEEDORES[[#This Row],[PROVEEDOR]],TERCEROS_INFO[#All],3,FALSE)</f>
        <v>0</v>
      </c>
      <c r="N843" s="23"/>
      <c r="O843" s="22">
        <f>+PROVEEDORES[[#This Row],[Descuento sobre subtotal %]]*(PROVEEDORES[[#This Row],[SUBTOTAL]]-PROVEEDORES[[#This Row],[descuento sobre subtotal]])</f>
        <v>0</v>
      </c>
      <c r="P843" s="83">
        <f>+IF(PROVEEDORES[[#This Row],[SUBTOTAL]]&lt;PROVEEDORES[[#This Row],[base retencion]],0,PROVEEDORES[[#This Row],[retención aplicada]])</f>
        <v>0</v>
      </c>
      <c r="Q843" s="22">
        <f>+PROVEEDORES[[#This Row],[Rete Fuente %]]*(PROVEEDORES[[#This Row],[SUBTOTAL]]-PROVEEDORES[[#This Row],[descuento sobre subtotal]])</f>
        <v>0</v>
      </c>
      <c r="R843" s="21">
        <f>+PROVEEDORES[[#This Row],[SUBTOTAL]]+PROVEEDORES[[#This Row],[IVA 19%]]-PROVEEDORES[[#This Row],[descuento sobre subtotal]]-PROVEEDORES[[#This Row],[Descuento sobre subtotal $2]]-PROVEEDORES[[#This Row],[Rete Fuente $]]</f>
        <v>702000</v>
      </c>
      <c r="S843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68">
        <f ca="1">IF(PROVEEDORES[[#This Row],[FECHA DE PAGO]]=0,TODAY()-PROVEEDORES[[#This Row],[FECHA DE FACTURACIÓN]]-PROVEEDORES[[#This Row],[PLAZO Días]],0)</f>
        <v>0</v>
      </c>
      <c r="U843" s="113">
        <f>+VLOOKUP(PROVEEDORES[[#This Row],[PROVEEDOR]],Terceros!$A:$D,4,FALSE)</f>
        <v>0</v>
      </c>
      <c r="V843" s="114">
        <f>+YEAR(PROVEEDORES[[#This Row],[FECHA DE FACTURACIÓN]])</f>
        <v>2022</v>
      </c>
      <c r="W843" s="114">
        <f>+MATCH(PROVEEDORES[[#This Row],[año facturado]],Retenciones!$1:$1,0)</f>
        <v>5</v>
      </c>
      <c r="X843" s="115">
        <f>+VLOOKUP(PROVEEDORES[[#This Row],[ID RETENCION]],Retenciones!$A$1:$O$25,PROVEEDORES[[#This Row],[indicador de columna]],FALSE)</f>
        <v>0</v>
      </c>
      <c r="Y843" s="116">
        <f>+VLOOKUP(PROVEEDORES[[#This Row],[ID RETENCION]],Retenciones!$A$1:$O$25,2,FALSE)</f>
        <v>0</v>
      </c>
      <c r="Z843" s="125" t="b">
        <f>OR(COUNTIF(PROVEEDORES[[#This Row],[PROVEEDOR]],"*"&amp;'Palabra no opera'!$A$2&amp;"*"))</f>
        <v>0</v>
      </c>
      <c r="AA843" s="24"/>
      <c r="AB843" s="24"/>
      <c r="AC843" s="24"/>
      <c r="AD843" s="24"/>
      <c r="AE843" s="24"/>
    </row>
    <row r="844" spans="1:31" ht="22.2" customHeight="1" x14ac:dyDescent="0.3">
      <c r="A844" s="66" t="str">
        <f>+IF(PROVEEDORES[[#This Row],[FECHA DE PAGO]]=PROVEEDORES[[#This Row],[FECHA DE FACTURACIÓN]],"DE CONTADO","CRÉDITO")</f>
        <v>DE CONTADO</v>
      </c>
      <c r="B844" s="38" t="b">
        <f>+IF((PROVEEDORES[[#This Row],[FECHA DE PAGO]]-PROVEEDORES[[#This Row],[FECHA DE FACTURACIÓN]])&gt;PROVEEDORES[[#This Row],[PLAZO Días]],"PAGO VENCIDO")</f>
        <v>0</v>
      </c>
      <c r="C844" s="20">
        <f>+VLOOKUP(PROVEEDORES[[#This Row],[PROVEEDOR]],TERCEROS_INFO[#All],2,FALSE)</f>
        <v>30</v>
      </c>
      <c r="D844" s="25">
        <f>+SUMIFS(PROVEEDORES[Total],PROVEEDORES[PROVEEDOR],PROVEEDORES[[#This Row],[PROVEEDOR]],PROVEEDORES[FECHA DE PAGO],"")</f>
        <v>0</v>
      </c>
      <c r="E844" s="25"/>
      <c r="F844" s="58" t="str">
        <f>+VLOOKUP(PROVEEDORES[[#This Row],[PROVEEDOR]],
                       Terceros!$A:$F,
                       5,
                       FALSE)</f>
        <v/>
      </c>
      <c r="G844" s="161">
        <v>44561</v>
      </c>
      <c r="H844" s="26" t="s">
        <v>644</v>
      </c>
      <c r="I844" s="161">
        <v>44561</v>
      </c>
      <c r="J844" s="35" t="s">
        <v>598</v>
      </c>
      <c r="K844" s="21">
        <v>702500</v>
      </c>
      <c r="L844" s="21"/>
      <c r="M844" s="22">
        <f>(PROVEEDORES[[#This Row],[SUBTOTAL]]-PROVEEDORES[[#This Row],[descuento sobre subtotal]])*VLOOKUP(PROVEEDORES[[#This Row],[PROVEEDOR]],TERCEROS_INFO[#All],3,FALSE)</f>
        <v>0</v>
      </c>
      <c r="N844" s="23"/>
      <c r="O844" s="22">
        <f>+PROVEEDORES[[#This Row],[Descuento sobre subtotal %]]*(PROVEEDORES[[#This Row],[SUBTOTAL]]-PROVEEDORES[[#This Row],[descuento sobre subtotal]])</f>
        <v>0</v>
      </c>
      <c r="P844" s="83">
        <f>+IF(PROVEEDORES[[#This Row],[SUBTOTAL]]&lt;PROVEEDORES[[#This Row],[base retencion]],0,PROVEEDORES[[#This Row],[retención aplicada]])</f>
        <v>0</v>
      </c>
      <c r="Q844" s="22">
        <f>+PROVEEDORES[[#This Row],[Rete Fuente %]]*(PROVEEDORES[[#This Row],[SUBTOTAL]]-PROVEEDORES[[#This Row],[descuento sobre subtotal]])</f>
        <v>0</v>
      </c>
      <c r="R844" s="21">
        <f>+PROVEEDORES[[#This Row],[SUBTOTAL]]+PROVEEDORES[[#This Row],[IVA 19%]]-PROVEEDORES[[#This Row],[descuento sobre subtotal]]-PROVEEDORES[[#This Row],[Descuento sobre subtotal $2]]-PROVEEDORES[[#This Row],[Rete Fuente $]]</f>
        <v>702500</v>
      </c>
      <c r="S8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68">
        <f ca="1">IF(PROVEEDORES[[#This Row],[FECHA DE PAGO]]=0,TODAY()-PROVEEDORES[[#This Row],[FECHA DE FACTURACIÓN]]-PROVEEDORES[[#This Row],[PLAZO Días]],0)</f>
        <v>0</v>
      </c>
      <c r="U844" s="96">
        <f>+VLOOKUP(PROVEEDORES[[#This Row],[PROVEEDOR]],Terceros!$A:$D,4,FALSE)</f>
        <v>0</v>
      </c>
      <c r="V844" s="97">
        <f>+YEAR(PROVEEDORES[[#This Row],[FECHA DE FACTURACIÓN]])</f>
        <v>2021</v>
      </c>
      <c r="W844" s="97">
        <f>+MATCH(PROVEEDORES[[#This Row],[año facturado]],Retenciones!$1:$1,0)</f>
        <v>4</v>
      </c>
      <c r="X844" s="98">
        <f>+VLOOKUP(PROVEEDORES[[#This Row],[ID RETENCION]],Retenciones!$A$1:$O$25,PROVEEDORES[[#This Row],[indicador de columna]],FALSE)</f>
        <v>0</v>
      </c>
      <c r="Y844" s="99">
        <f>+VLOOKUP(PROVEEDORES[[#This Row],[ID RETENCION]],Retenciones!$A$1:$O$25,2,FALSE)</f>
        <v>0</v>
      </c>
      <c r="Z844" s="125" t="b">
        <f>OR(COUNTIF(PROVEEDORES[[#This Row],[PROVEEDOR]],"*"&amp;'Palabra no opera'!$A$2&amp;"*"))</f>
        <v>0</v>
      </c>
      <c r="AA844" s="24"/>
      <c r="AB844" s="24"/>
      <c r="AC844" s="24"/>
      <c r="AD844" s="24"/>
      <c r="AE844" s="24"/>
    </row>
    <row r="845" spans="1:31" ht="22.2" customHeight="1" x14ac:dyDescent="0.3">
      <c r="A845" s="112" t="str">
        <f>+IF(PROVEEDORES[[#This Row],[FECHA DE PAGO]]=PROVEEDORES[[#This Row],[FECHA DE FACTURACIÓN]],"DE CONTADO","CRÉDITO")</f>
        <v>CRÉDITO</v>
      </c>
      <c r="B845" s="38" t="str">
        <f>+IF((PROVEEDORES[[#This Row],[FECHA DE PAGO]]-PROVEEDORES[[#This Row],[FECHA DE FACTURACIÓN]])&gt;PROVEEDORES[[#This Row],[PLAZO Días]],"PAGO VENCIDO")</f>
        <v>PAGO VENCIDO</v>
      </c>
      <c r="C845" s="20">
        <f>+VLOOKUP(PROVEEDORES[[#This Row],[PROVEEDOR]],TERCEROS_INFO[#All],2,FALSE)</f>
        <v>30</v>
      </c>
      <c r="D845" s="25">
        <f>+SUMIFS(PROVEEDORES[Total],PROVEEDORES[PROVEEDOR],PROVEEDORES[[#This Row],[PROVEEDOR]],PROVEEDORES[FECHA DE PAGO],"")</f>
        <v>1354000</v>
      </c>
      <c r="E845" s="25"/>
      <c r="F84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45" s="161">
        <v>44700</v>
      </c>
      <c r="H845" s="26" t="s">
        <v>699</v>
      </c>
      <c r="I845" s="161">
        <v>44669</v>
      </c>
      <c r="J845" s="35" t="s">
        <v>1585</v>
      </c>
      <c r="K845" s="21">
        <v>703500</v>
      </c>
      <c r="L845" s="21"/>
      <c r="M845" s="22">
        <f>(PROVEEDORES[[#This Row],[SUBTOTAL]]-PROVEEDORES[[#This Row],[descuento sobre subtotal]])*VLOOKUP(PROVEEDORES[[#This Row],[PROVEEDOR]],TERCEROS_INFO[#All],3,FALSE)</f>
        <v>0</v>
      </c>
      <c r="N845" s="23"/>
      <c r="O845" s="22">
        <f>+PROVEEDORES[[#This Row],[Descuento sobre subtotal %]]*(PROVEEDORES[[#This Row],[SUBTOTAL]]-PROVEEDORES[[#This Row],[descuento sobre subtotal]])</f>
        <v>0</v>
      </c>
      <c r="P845" s="83">
        <f>+IF(PROVEEDORES[[#This Row],[SUBTOTAL]]&lt;PROVEEDORES[[#This Row],[base retencion]],0,PROVEEDORES[[#This Row],[retención aplicada]])</f>
        <v>0</v>
      </c>
      <c r="Q845" s="22">
        <f>+PROVEEDORES[[#This Row],[Rete Fuente %]]*(PROVEEDORES[[#This Row],[SUBTOTAL]]-PROVEEDORES[[#This Row],[descuento sobre subtotal]])</f>
        <v>0</v>
      </c>
      <c r="R845" s="21">
        <f>+PROVEEDORES[[#This Row],[SUBTOTAL]]+PROVEEDORES[[#This Row],[IVA 19%]]-PROVEEDORES[[#This Row],[descuento sobre subtotal]]-PROVEEDORES[[#This Row],[Descuento sobre subtotal $2]]-PROVEEDORES[[#This Row],[Rete Fuente $]]</f>
        <v>703500</v>
      </c>
      <c r="S845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68">
        <f ca="1">IF(PROVEEDORES[[#This Row],[FECHA DE PAGO]]=0,TODAY()-PROVEEDORES[[#This Row],[FECHA DE FACTURACIÓN]]-PROVEEDORES[[#This Row],[PLAZO Días]],0)</f>
        <v>0</v>
      </c>
      <c r="U845" s="113">
        <f>+VLOOKUP(PROVEEDORES[[#This Row],[PROVEEDOR]],Terceros!$A:$D,4,FALSE)</f>
        <v>0</v>
      </c>
      <c r="V845" s="114">
        <f>+YEAR(PROVEEDORES[[#This Row],[FECHA DE FACTURACIÓN]])</f>
        <v>2022</v>
      </c>
      <c r="W845" s="114">
        <f>+MATCH(PROVEEDORES[[#This Row],[año facturado]],Retenciones!$1:$1,0)</f>
        <v>5</v>
      </c>
      <c r="X845" s="115">
        <f>+VLOOKUP(PROVEEDORES[[#This Row],[ID RETENCION]],Retenciones!$A$1:$O$25,PROVEEDORES[[#This Row],[indicador de columna]],FALSE)</f>
        <v>0</v>
      </c>
      <c r="Y845" s="116">
        <f>+VLOOKUP(PROVEEDORES[[#This Row],[ID RETENCION]],Retenciones!$A$1:$O$25,2,FALSE)</f>
        <v>0</v>
      </c>
      <c r="Z845" s="125" t="b">
        <f>OR(COUNTIF(PROVEEDORES[[#This Row],[PROVEEDOR]],"*"&amp;'Palabra no opera'!$A$2&amp;"*"))</f>
        <v>0</v>
      </c>
      <c r="AA845" s="24"/>
      <c r="AB845" s="24"/>
      <c r="AC845" s="24"/>
      <c r="AD845" s="24"/>
      <c r="AE845" s="24"/>
    </row>
    <row r="846" spans="1:31" ht="22.2" customHeight="1" x14ac:dyDescent="0.3">
      <c r="A846" s="120" t="str">
        <f>+IF(PROVEEDORES[[#This Row],[FECHA DE PAGO]]=PROVEEDORES[[#This Row],[FECHA DE FACTURACIÓN]],"DE CONTADO","CRÉDITO")</f>
        <v>CRÉDITO</v>
      </c>
      <c r="B846" s="38" t="str">
        <f>+IF((PROVEEDORES[[#This Row],[FECHA DE PAGO]]-PROVEEDORES[[#This Row],[FECHA DE FACTURACIÓN]])&gt;PROVEEDORES[[#This Row],[PLAZO Días]],"PAGO VENCIDO")</f>
        <v>PAGO VENCIDO</v>
      </c>
      <c r="C846" s="20">
        <f>+VLOOKUP(PROVEEDORES[[#This Row],[PROVEEDOR]],TERCEROS_INFO[#All],2,FALSE)</f>
        <v>45</v>
      </c>
      <c r="D846" s="25">
        <f>+SUMIFS(PROVEEDORES[Total],PROVEEDORES[PROVEEDOR],PROVEEDORES[[#This Row],[PROVEEDOR]],PROVEEDORES[FECHA DE PAGO],"")</f>
        <v>2604910</v>
      </c>
      <c r="E846" s="25"/>
      <c r="F84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46" s="161">
        <v>44754</v>
      </c>
      <c r="H846" s="26" t="s">
        <v>10</v>
      </c>
      <c r="I846" s="161">
        <v>44673</v>
      </c>
      <c r="J846" s="35" t="s">
        <v>886</v>
      </c>
      <c r="K846" s="21">
        <v>592500</v>
      </c>
      <c r="L846" s="21"/>
      <c r="M846" s="22">
        <f>(PROVEEDORES[[#This Row],[SUBTOTAL]]-PROVEEDORES[[#This Row],[descuento sobre subtotal]])*VLOOKUP(PROVEEDORES[[#This Row],[PROVEEDOR]],TERCEROS_INFO[#All],3,FALSE)</f>
        <v>112575</v>
      </c>
      <c r="N846" s="23"/>
      <c r="O846" s="22">
        <f>+PROVEEDORES[[#This Row],[Descuento sobre subtotal %]]*(PROVEEDORES[[#This Row],[SUBTOTAL]]-PROVEEDORES[[#This Row],[descuento sobre subtotal]])</f>
        <v>0</v>
      </c>
      <c r="P846" s="83">
        <f>+IF(PROVEEDORES[[#This Row],[SUBTOTAL]]&lt;PROVEEDORES[[#This Row],[base retencion]],0,PROVEEDORES[[#This Row],[retención aplicada]])</f>
        <v>0</v>
      </c>
      <c r="Q846" s="22">
        <f>+PROVEEDORES[[#This Row],[Rete Fuente %]]*(PROVEEDORES[[#This Row],[SUBTOTAL]]-PROVEEDORES[[#This Row],[descuento sobre subtotal]])</f>
        <v>0</v>
      </c>
      <c r="R846" s="21">
        <f>+PROVEEDORES[[#This Row],[SUBTOTAL]]+PROVEEDORES[[#This Row],[IVA 19%]]-PROVEEDORES[[#This Row],[descuento sobre subtotal]]-PROVEEDORES[[#This Row],[Descuento sobre subtotal $2]]-PROVEEDORES[[#This Row],[Rete Fuente $]]</f>
        <v>705075</v>
      </c>
      <c r="S8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68">
        <f ca="1">IF(PROVEEDORES[[#This Row],[FECHA DE PAGO]]=0,TODAY()-PROVEEDORES[[#This Row],[FECHA DE FACTURACIÓN]]-PROVEEDORES[[#This Row],[PLAZO Días]],0)</f>
        <v>0</v>
      </c>
      <c r="U846" s="113">
        <f>+VLOOKUP(PROVEEDORES[[#This Row],[PROVEEDOR]],Terceros!$A:$D,4,FALSE)</f>
        <v>0</v>
      </c>
      <c r="V846" s="114">
        <f>+YEAR(PROVEEDORES[[#This Row],[FECHA DE FACTURACIÓN]])</f>
        <v>2022</v>
      </c>
      <c r="W846" s="114">
        <f>+MATCH(PROVEEDORES[[#This Row],[año facturado]],Retenciones!$1:$1,0)</f>
        <v>5</v>
      </c>
      <c r="X846" s="115">
        <f>+VLOOKUP(PROVEEDORES[[#This Row],[ID RETENCION]],Retenciones!$A$1:$O$25,PROVEEDORES[[#This Row],[indicador de columna]],FALSE)</f>
        <v>0</v>
      </c>
      <c r="Y846" s="116">
        <f>+VLOOKUP(PROVEEDORES[[#This Row],[ID RETENCION]],Retenciones!$A$1:$O$25,2,FALSE)</f>
        <v>0</v>
      </c>
      <c r="Z846" s="125" t="b">
        <f>OR(COUNTIF(PROVEEDORES[[#This Row],[PROVEEDOR]],"*"&amp;'Palabra no opera'!$A$2&amp;"*"))</f>
        <v>0</v>
      </c>
      <c r="AA846" s="24"/>
      <c r="AB846" s="24"/>
      <c r="AC846" s="24"/>
      <c r="AD846" s="24"/>
      <c r="AE846" s="24"/>
    </row>
    <row r="847" spans="1:31" ht="22.2" customHeight="1" x14ac:dyDescent="0.3">
      <c r="A847" s="66" t="str">
        <f>+IF(PROVEEDORES[[#This Row],[FECHA DE PAGO]]=PROVEEDORES[[#This Row],[FECHA DE FACTURACIÓN]],"DE CONTADO","CRÉDITO")</f>
        <v>CRÉDITO</v>
      </c>
      <c r="B847" s="38" t="str">
        <f>+IF((PROVEEDORES[[#This Row],[FECHA DE PAGO]]-PROVEEDORES[[#This Row],[FECHA DE FACTURACIÓN]])&gt;PROVEEDORES[[#This Row],[PLAZO Días]],"PAGO VENCIDO")</f>
        <v>PAGO VENCIDO</v>
      </c>
      <c r="C847" s="20">
        <f>+VLOOKUP(PROVEEDORES[[#This Row],[PROVEEDOR]],TERCEROS_INFO[#All],2,FALSE)</f>
        <v>30</v>
      </c>
      <c r="D847" s="25">
        <f>+SUMIFS(PROVEEDORES[Total],PROVEEDORES[PROVEEDOR],PROVEEDORES[[#This Row],[PROVEEDOR]],PROVEEDORES[FECHA DE PAGO],"")</f>
        <v>4712021.58</v>
      </c>
      <c r="E847" s="25"/>
      <c r="F84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47" s="161">
        <v>44558</v>
      </c>
      <c r="H847" s="26" t="s">
        <v>17</v>
      </c>
      <c r="I847" s="161">
        <v>44524</v>
      </c>
      <c r="J847" s="35">
        <v>1844241</v>
      </c>
      <c r="K847" s="21">
        <v>594000</v>
      </c>
      <c r="L847" s="21"/>
      <c r="M847" s="22">
        <f>(PROVEEDORES[[#This Row],[SUBTOTAL]]-PROVEEDORES[[#This Row],[descuento sobre subtotal]])*VLOOKUP(PROVEEDORES[[#This Row],[PROVEEDOR]],TERCEROS_INFO[#All],3,FALSE)</f>
        <v>112860</v>
      </c>
      <c r="N847" s="23"/>
      <c r="O847" s="22">
        <f>+PROVEEDORES[[#This Row],[Descuento sobre subtotal %]]*(PROVEEDORES[[#This Row],[SUBTOTAL]]-PROVEEDORES[[#This Row],[descuento sobre subtotal]])</f>
        <v>0</v>
      </c>
      <c r="P847" s="83">
        <f>+IF(PROVEEDORES[[#This Row],[SUBTOTAL]]&lt;PROVEEDORES[[#This Row],[base retencion]],0,PROVEEDORES[[#This Row],[retención aplicada]])</f>
        <v>0</v>
      </c>
      <c r="Q847" s="22">
        <f>+PROVEEDORES[[#This Row],[Rete Fuente %]]*(PROVEEDORES[[#This Row],[SUBTOTAL]]-PROVEEDORES[[#This Row],[descuento sobre subtotal]])</f>
        <v>0</v>
      </c>
      <c r="R847" s="21">
        <f>+PROVEEDORES[[#This Row],[SUBTOTAL]]+PROVEEDORES[[#This Row],[IVA 19%]]-PROVEEDORES[[#This Row],[descuento sobre subtotal]]-PROVEEDORES[[#This Row],[Descuento sobre subtotal $2]]-PROVEEDORES[[#This Row],[Rete Fuente $]]</f>
        <v>706860</v>
      </c>
      <c r="S8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68">
        <f ca="1">IF(PROVEEDORES[[#This Row],[FECHA DE PAGO]]=0,TODAY()-PROVEEDORES[[#This Row],[FECHA DE FACTURACIÓN]]-PROVEEDORES[[#This Row],[PLAZO Días]],0)</f>
        <v>0</v>
      </c>
      <c r="U847" s="96">
        <f>+VLOOKUP(PROVEEDORES[[#This Row],[PROVEEDOR]],Terceros!$A:$D,4,FALSE)</f>
        <v>0</v>
      </c>
      <c r="V847" s="97">
        <f>+YEAR(PROVEEDORES[[#This Row],[FECHA DE FACTURACIÓN]])</f>
        <v>2021</v>
      </c>
      <c r="W847" s="97">
        <f>+MATCH(PROVEEDORES[[#This Row],[año facturado]],Retenciones!$1:$1,0)</f>
        <v>4</v>
      </c>
      <c r="X847" s="98">
        <f>+VLOOKUP(PROVEEDORES[[#This Row],[ID RETENCION]],Retenciones!$A$1:$O$25,PROVEEDORES[[#This Row],[indicador de columna]],FALSE)</f>
        <v>0</v>
      </c>
      <c r="Y847" s="99">
        <f>+VLOOKUP(PROVEEDORES[[#This Row],[ID RETENCION]],Retenciones!$A$1:$O$25,2,FALSE)</f>
        <v>0</v>
      </c>
      <c r="Z847" s="125" t="b">
        <f>OR(COUNTIF(PROVEEDORES[[#This Row],[PROVEEDOR]],"*"&amp;'Palabra no opera'!$A$2&amp;"*"))</f>
        <v>0</v>
      </c>
      <c r="AA847" s="24"/>
      <c r="AB847" s="24"/>
      <c r="AC847" s="24"/>
      <c r="AD847" s="24"/>
      <c r="AE847" s="24"/>
    </row>
    <row r="848" spans="1:31" ht="22.2" customHeight="1" x14ac:dyDescent="0.3">
      <c r="A848" s="269" t="str">
        <f>+IF(PROVEEDORES[[#This Row],[FECHA DE PAGO]]=PROVEEDORES[[#This Row],[FECHA DE FACTURACIÓN]],"DE CONTADO","CRÉDITO")</f>
        <v>CRÉDITO</v>
      </c>
      <c r="B848" s="38" t="b">
        <f>+IF((PROVEEDORES[[#This Row],[FECHA DE PAGO]]-PROVEEDORES[[#This Row],[FECHA DE FACTURACIÓN]])&gt;PROVEEDORES[[#This Row],[PLAZO Días]],"PAGO VENCIDO")</f>
        <v>0</v>
      </c>
      <c r="C848" s="20">
        <f>+VLOOKUP(PROVEEDORES[[#This Row],[PROVEEDOR]],TERCEROS_INFO[#All],2,FALSE)</f>
        <v>60</v>
      </c>
      <c r="D848" s="25">
        <f>+SUMIFS(PROVEEDORES[Total],PROVEEDORES[PROVEEDOR],PROVEEDORES[[#This Row],[PROVEEDOR]],PROVEEDORES[FECHA DE PAGO],"")</f>
        <v>1520362</v>
      </c>
      <c r="E848" s="25"/>
      <c r="F84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848" s="161">
        <v>44870</v>
      </c>
      <c r="H848" s="26" t="s">
        <v>528</v>
      </c>
      <c r="I848" s="161">
        <v>44859</v>
      </c>
      <c r="J848" s="35">
        <v>1512</v>
      </c>
      <c r="K848" s="21">
        <v>708017</v>
      </c>
      <c r="L848" s="21"/>
      <c r="M848" s="22">
        <f>(PROVEEDORES[[#This Row],[SUBTOTAL]]-PROVEEDORES[[#This Row],[descuento sobre subtotal]])*VLOOKUP(PROVEEDORES[[#This Row],[PROVEEDOR]],TERCEROS_INFO[#All],3,FALSE)</f>
        <v>0</v>
      </c>
      <c r="N848" s="23"/>
      <c r="O848" s="22">
        <f>+PROVEEDORES[[#This Row],[Descuento sobre subtotal %]]*(PROVEEDORES[[#This Row],[SUBTOTAL]]-PROVEEDORES[[#This Row],[descuento sobre subtotal]])</f>
        <v>0</v>
      </c>
      <c r="P848" s="83">
        <f>+IF(PROVEEDORES[[#This Row],[SUBTOTAL]]&lt;PROVEEDORES[[#This Row],[base retencion]],0,PROVEEDORES[[#This Row],[retención aplicada]])</f>
        <v>0</v>
      </c>
      <c r="Q848" s="22">
        <f>+PROVEEDORES[[#This Row],[Rete Fuente %]]*(PROVEEDORES[[#This Row],[SUBTOTAL]]-PROVEEDORES[[#This Row],[descuento sobre subtotal]])</f>
        <v>0</v>
      </c>
      <c r="R848" s="21">
        <f>+PROVEEDORES[[#This Row],[SUBTOTAL]]+PROVEEDORES[[#This Row],[IVA 19%]]-PROVEEDORES[[#This Row],[descuento sobre subtotal]]-PROVEEDORES[[#This Row],[Descuento sobre subtotal $2]]-PROVEEDORES[[#This Row],[Rete Fuente $]]</f>
        <v>708017</v>
      </c>
      <c r="S848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68">
        <f ca="1">IF(PROVEEDORES[[#This Row],[FECHA DE PAGO]]=0,TODAY()-PROVEEDORES[[#This Row],[FECHA DE FACTURACIÓN]]-PROVEEDORES[[#This Row],[PLAZO Días]],0)</f>
        <v>0</v>
      </c>
      <c r="U848" s="113">
        <f>+VLOOKUP(PROVEEDORES[[#This Row],[PROVEEDOR]],Terceros!$A:$D,4,FALSE)</f>
        <v>0</v>
      </c>
      <c r="V848" s="114">
        <f>+YEAR(PROVEEDORES[[#This Row],[FECHA DE FACTURACIÓN]])</f>
        <v>2022</v>
      </c>
      <c r="W848" s="114">
        <f>+MATCH(PROVEEDORES[[#This Row],[año facturado]],Retenciones!$1:$1,0)</f>
        <v>5</v>
      </c>
      <c r="X848" s="115">
        <f>+VLOOKUP(PROVEEDORES[[#This Row],[ID RETENCION]],Retenciones!$A$1:$O$25,PROVEEDORES[[#This Row],[indicador de columna]],FALSE)</f>
        <v>0</v>
      </c>
      <c r="Y848" s="116">
        <f>+VLOOKUP(PROVEEDORES[[#This Row],[ID RETENCION]],Retenciones!$A$1:$O$25,2,FALSE)</f>
        <v>0</v>
      </c>
      <c r="Z848" s="125" t="b">
        <f>OR(COUNTIF(PROVEEDORES[[#This Row],[PROVEEDOR]],"*"&amp;'Palabra no opera'!$A$2&amp;"*"))</f>
        <v>0</v>
      </c>
      <c r="AA848" s="24"/>
      <c r="AB848" s="24"/>
      <c r="AC848" s="24"/>
      <c r="AD848" s="24"/>
      <c r="AE848" s="24"/>
    </row>
    <row r="849" spans="1:31" ht="22.2" customHeight="1" x14ac:dyDescent="0.3">
      <c r="A849" s="66" t="str">
        <f>+IF(PROVEEDORES[[#This Row],[FECHA DE PAGO]]=PROVEEDORES[[#This Row],[FECHA DE FACTURACIÓN]],"DE CONTADO","CRÉDITO")</f>
        <v>CRÉDITO</v>
      </c>
      <c r="B849" s="38" t="str">
        <f>+IF((PROVEEDORES[[#This Row],[FECHA DE PAGO]]-PROVEEDORES[[#This Row],[FECHA DE FACTURACIÓN]])&gt;PROVEEDORES[[#This Row],[PLAZO Días]],"PAGO VENCIDO")</f>
        <v>PAGO VENCIDO</v>
      </c>
      <c r="C849" s="20">
        <f>+VLOOKUP(PROVEEDORES[[#This Row],[PROVEEDOR]],TERCEROS_INFO[#All],2,FALSE)</f>
        <v>45</v>
      </c>
      <c r="D849" s="25">
        <f>+SUMIFS(PROVEEDORES[Total],PROVEEDORES[PROVEEDOR],PROVEEDORES[[#This Row],[PROVEEDOR]],PROVEEDORES[FECHA DE PAGO],"")</f>
        <v>31891814.359999999</v>
      </c>
      <c r="E849" s="25"/>
      <c r="F84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49" s="161">
        <v>44264</v>
      </c>
      <c r="H849" s="26" t="s">
        <v>19</v>
      </c>
      <c r="I849" s="161">
        <v>44214</v>
      </c>
      <c r="J849" s="35" t="s">
        <v>135</v>
      </c>
      <c r="K849" s="21">
        <v>595470</v>
      </c>
      <c r="L849" s="21"/>
      <c r="M849" s="22">
        <f>(PROVEEDORES[[#This Row],[SUBTOTAL]]-PROVEEDORES[[#This Row],[descuento sobre subtotal]])*VLOOKUP(PROVEEDORES[[#This Row],[PROVEEDOR]],TERCEROS_INFO[#All],3,FALSE)</f>
        <v>113139.3</v>
      </c>
      <c r="N849" s="23"/>
      <c r="O849" s="22">
        <f>+PROVEEDORES[[#This Row],[Descuento sobre subtotal %]]*(PROVEEDORES[[#This Row],[SUBTOTAL]]-PROVEEDORES[[#This Row],[descuento sobre subtotal]])</f>
        <v>0</v>
      </c>
      <c r="P849" s="83">
        <f>+IF(PROVEEDORES[[#This Row],[SUBTOTAL]]&lt;PROVEEDORES[[#This Row],[base retencion]],0,PROVEEDORES[[#This Row],[retención aplicada]])</f>
        <v>0</v>
      </c>
      <c r="Q849" s="22">
        <f>+PROVEEDORES[[#This Row],[Rete Fuente %]]*(PROVEEDORES[[#This Row],[SUBTOTAL]]-PROVEEDORES[[#This Row],[descuento sobre subtotal]])</f>
        <v>0</v>
      </c>
      <c r="R849" s="21">
        <f>+PROVEEDORES[[#This Row],[SUBTOTAL]]+PROVEEDORES[[#This Row],[IVA 19%]]-PROVEEDORES[[#This Row],[descuento sobre subtotal]]-PROVEEDORES[[#This Row],[Descuento sobre subtotal $2]]-PROVEEDORES[[#This Row],[Rete Fuente $]]</f>
        <v>708609.3</v>
      </c>
      <c r="S8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68">
        <f ca="1">IF(PROVEEDORES[[#This Row],[FECHA DE PAGO]]=0,TODAY()-PROVEEDORES[[#This Row],[FECHA DE FACTURACIÓN]]-PROVEEDORES[[#This Row],[PLAZO Días]],0)</f>
        <v>0</v>
      </c>
      <c r="U849" s="96">
        <f>+VLOOKUP(PROVEEDORES[[#This Row],[PROVEEDOR]],Terceros!$A:$D,4,FALSE)</f>
        <v>0</v>
      </c>
      <c r="V849" s="97">
        <f>+YEAR(PROVEEDORES[[#This Row],[FECHA DE FACTURACIÓN]])</f>
        <v>2021</v>
      </c>
      <c r="W849" s="97">
        <f>+MATCH(PROVEEDORES[[#This Row],[año facturado]],Retenciones!$1:$1,0)</f>
        <v>4</v>
      </c>
      <c r="X849" s="98">
        <f>+VLOOKUP(PROVEEDORES[[#This Row],[ID RETENCION]],Retenciones!$A$1:$O$25,PROVEEDORES[[#This Row],[indicador de columna]],FALSE)</f>
        <v>0</v>
      </c>
      <c r="Y849" s="99">
        <f>+VLOOKUP(PROVEEDORES[[#This Row],[ID RETENCION]],Retenciones!$A$1:$O$25,2,FALSE)</f>
        <v>0</v>
      </c>
      <c r="Z849" s="125" t="b">
        <f>OR(COUNTIF(PROVEEDORES[[#This Row],[PROVEEDOR]],"*"&amp;'Palabra no opera'!$A$2&amp;"*"))</f>
        <v>0</v>
      </c>
      <c r="AA849" s="24"/>
      <c r="AB849" s="24"/>
      <c r="AC849" s="24"/>
      <c r="AD849" s="24"/>
      <c r="AE849" s="24"/>
    </row>
    <row r="850" spans="1:31" ht="22.2" customHeight="1" x14ac:dyDescent="0.3">
      <c r="A850" s="66" t="str">
        <f>+IF(PROVEEDORES[[#This Row],[FECHA DE PAGO]]=PROVEEDORES[[#This Row],[FECHA DE FACTURACIÓN]],"DE CONTADO","CRÉDITO")</f>
        <v>DE CONTADO</v>
      </c>
      <c r="B850" s="38" t="b">
        <f>+IF((PROVEEDORES[[#This Row],[FECHA DE PAGO]]-PROVEEDORES[[#This Row],[FECHA DE FACTURACIÓN]])&gt;PROVEEDORES[[#This Row],[PLAZO Días]],"PAGO VENCIDO")</f>
        <v>0</v>
      </c>
      <c r="C850" s="20">
        <f>+VLOOKUP(PROVEEDORES[[#This Row],[PROVEEDOR]],TERCEROS_INFO[#All],2,FALSE)</f>
        <v>30</v>
      </c>
      <c r="D850" s="25">
        <f>+SUMIFS(PROVEEDORES[Total],PROVEEDORES[PROVEEDOR],PROVEEDORES[[#This Row],[PROVEEDOR]],PROVEEDORES[FECHA DE PAGO],"")</f>
        <v>0</v>
      </c>
      <c r="E850" s="25"/>
      <c r="F850" s="58" t="str">
        <f>+VLOOKUP(PROVEEDORES[[#This Row],[PROVEEDOR]],
                       Terceros!$A:$F,
                       5,
                       FALSE)</f>
        <v/>
      </c>
      <c r="G850" s="161">
        <v>44347</v>
      </c>
      <c r="H850" s="26" t="s">
        <v>644</v>
      </c>
      <c r="I850" s="161">
        <v>44347</v>
      </c>
      <c r="J850" s="35" t="s">
        <v>174</v>
      </c>
      <c r="K850" s="21">
        <v>709000</v>
      </c>
      <c r="L850" s="21"/>
      <c r="M850" s="22">
        <f>(PROVEEDORES[[#This Row],[SUBTOTAL]]-PROVEEDORES[[#This Row],[descuento sobre subtotal]])*VLOOKUP(PROVEEDORES[[#This Row],[PROVEEDOR]],TERCEROS_INFO[#All],3,FALSE)</f>
        <v>0</v>
      </c>
      <c r="N850" s="23"/>
      <c r="O850" s="22">
        <f>+PROVEEDORES[[#This Row],[Descuento sobre subtotal %]]*(PROVEEDORES[[#This Row],[SUBTOTAL]]-PROVEEDORES[[#This Row],[descuento sobre subtotal]])</f>
        <v>0</v>
      </c>
      <c r="P850" s="83">
        <f>+IF(PROVEEDORES[[#This Row],[SUBTOTAL]]&lt;PROVEEDORES[[#This Row],[base retencion]],0,PROVEEDORES[[#This Row],[retención aplicada]])</f>
        <v>0</v>
      </c>
      <c r="Q850" s="22">
        <f>+PROVEEDORES[[#This Row],[Rete Fuente %]]*(PROVEEDORES[[#This Row],[SUBTOTAL]]-PROVEEDORES[[#This Row],[descuento sobre subtotal]])</f>
        <v>0</v>
      </c>
      <c r="R850" s="21">
        <f>+PROVEEDORES[[#This Row],[SUBTOTAL]]+PROVEEDORES[[#This Row],[IVA 19%]]-PROVEEDORES[[#This Row],[descuento sobre subtotal]]-PROVEEDORES[[#This Row],[Descuento sobre subtotal $2]]-PROVEEDORES[[#This Row],[Rete Fuente $]]</f>
        <v>709000</v>
      </c>
      <c r="S8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68">
        <f ca="1">IF(PROVEEDORES[[#This Row],[FECHA DE PAGO]]=0,TODAY()-PROVEEDORES[[#This Row],[FECHA DE FACTURACIÓN]]-PROVEEDORES[[#This Row],[PLAZO Días]],0)</f>
        <v>0</v>
      </c>
      <c r="U850" s="96">
        <f>+VLOOKUP(PROVEEDORES[[#This Row],[PROVEEDOR]],Terceros!$A:$D,4,FALSE)</f>
        <v>0</v>
      </c>
      <c r="V850" s="97">
        <f>+YEAR(PROVEEDORES[[#This Row],[FECHA DE FACTURACIÓN]])</f>
        <v>2021</v>
      </c>
      <c r="W850" s="97">
        <f>+MATCH(PROVEEDORES[[#This Row],[año facturado]],Retenciones!$1:$1,0)</f>
        <v>4</v>
      </c>
      <c r="X850" s="98">
        <f>+VLOOKUP(PROVEEDORES[[#This Row],[ID RETENCION]],Retenciones!$A$1:$O$25,PROVEEDORES[[#This Row],[indicador de columna]],FALSE)</f>
        <v>0</v>
      </c>
      <c r="Y850" s="99">
        <f>+VLOOKUP(PROVEEDORES[[#This Row],[ID RETENCION]],Retenciones!$A$1:$O$25,2,FALSE)</f>
        <v>0</v>
      </c>
      <c r="Z850" s="125" t="b">
        <f>OR(COUNTIF(PROVEEDORES[[#This Row],[PROVEEDOR]],"*"&amp;'Palabra no opera'!$A$2&amp;"*"))</f>
        <v>0</v>
      </c>
      <c r="AA850" s="24"/>
      <c r="AB850" s="24"/>
      <c r="AC850" s="24"/>
      <c r="AD850" s="24"/>
      <c r="AE850" s="24"/>
    </row>
    <row r="851" spans="1:31" ht="22.2" customHeight="1" x14ac:dyDescent="0.3">
      <c r="A851" s="66" t="str">
        <f>+IF(PROVEEDORES[[#This Row],[FECHA DE PAGO]]=PROVEEDORES[[#This Row],[FECHA DE FACTURACIÓN]],"DE CONTADO","CRÉDITO")</f>
        <v>CRÉDITO</v>
      </c>
      <c r="B851" s="38" t="str">
        <f>+IF((PROVEEDORES[[#This Row],[FECHA DE PAGO]]-PROVEEDORES[[#This Row],[FECHA DE FACTURACIÓN]])&gt;PROVEEDORES[[#This Row],[PLAZO Días]],"PAGO VENCIDO")</f>
        <v>PAGO VENCIDO</v>
      </c>
      <c r="C851" s="20">
        <f>+VLOOKUP(PROVEEDORES[[#This Row],[PROVEEDOR]],TERCEROS_INFO[#All],2,FALSE)</f>
        <v>30</v>
      </c>
      <c r="D851" s="25">
        <f>+SUMIFS(PROVEEDORES[Total],PROVEEDORES[PROVEEDOR],PROVEEDORES[[#This Row],[PROVEEDOR]],PROVEEDORES[FECHA DE PAGO],"")</f>
        <v>3215000</v>
      </c>
      <c r="E851" s="25"/>
      <c r="F851" s="58" t="str">
        <f>+VLOOKUP(PROVEEDORES[[#This Row],[PROVEEDOR]],
                       Terceros!$A:$F,
                       5,
                       FALSE)</f>
        <v/>
      </c>
      <c r="G851" s="161">
        <v>44704</v>
      </c>
      <c r="H851" s="26" t="s">
        <v>671</v>
      </c>
      <c r="I851" s="161">
        <v>44607</v>
      </c>
      <c r="J851" s="35" t="s">
        <v>760</v>
      </c>
      <c r="K851" s="21">
        <v>710000</v>
      </c>
      <c r="L851" s="21"/>
      <c r="M851" s="22">
        <f>(PROVEEDORES[[#This Row],[SUBTOTAL]]-PROVEEDORES[[#This Row],[descuento sobre subtotal]])*VLOOKUP(PROVEEDORES[[#This Row],[PROVEEDOR]],TERCEROS_INFO[#All],3,FALSE)</f>
        <v>0</v>
      </c>
      <c r="N851" s="23"/>
      <c r="O851" s="22">
        <f>+PROVEEDORES[[#This Row],[Descuento sobre subtotal %]]*(PROVEEDORES[[#This Row],[SUBTOTAL]]-PROVEEDORES[[#This Row],[descuento sobre subtotal]])</f>
        <v>0</v>
      </c>
      <c r="P851" s="83">
        <f>+IF(PROVEEDORES[[#This Row],[SUBTOTAL]]&lt;PROVEEDORES[[#This Row],[base retencion]],0,PROVEEDORES[[#This Row],[retención aplicada]])</f>
        <v>0</v>
      </c>
      <c r="Q851" s="22">
        <f>+PROVEEDORES[[#This Row],[Rete Fuente %]]*(PROVEEDORES[[#This Row],[SUBTOTAL]]-PROVEEDORES[[#This Row],[descuento sobre subtotal]])</f>
        <v>0</v>
      </c>
      <c r="R851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8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68">
        <f ca="1">IF(PROVEEDORES[[#This Row],[FECHA DE PAGO]]=0,TODAY()-PROVEEDORES[[#This Row],[FECHA DE FACTURACIÓN]]-PROVEEDORES[[#This Row],[PLAZO Días]],0)</f>
        <v>0</v>
      </c>
      <c r="U851" s="96">
        <f>+VLOOKUP(PROVEEDORES[[#This Row],[PROVEEDOR]],Terceros!$A:$D,4,FALSE)</f>
        <v>0</v>
      </c>
      <c r="V851" s="97">
        <f>+YEAR(PROVEEDORES[[#This Row],[FECHA DE FACTURACIÓN]])</f>
        <v>2022</v>
      </c>
      <c r="W851" s="97">
        <f>+MATCH(PROVEEDORES[[#This Row],[año facturado]],Retenciones!$1:$1,0)</f>
        <v>5</v>
      </c>
      <c r="X851" s="98">
        <f>+VLOOKUP(PROVEEDORES[[#This Row],[ID RETENCION]],Retenciones!$A$1:$O$25,PROVEEDORES[[#This Row],[indicador de columna]],FALSE)</f>
        <v>0</v>
      </c>
      <c r="Y851" s="99">
        <f>+VLOOKUP(PROVEEDORES[[#This Row],[ID RETENCION]],Retenciones!$A$1:$O$25,2,FALSE)</f>
        <v>0</v>
      </c>
      <c r="Z851" s="125" t="b">
        <f>OR(COUNTIF(PROVEEDORES[[#This Row],[PROVEEDOR]],"*"&amp;'Palabra no opera'!$A$2&amp;"*"))</f>
        <v>0</v>
      </c>
      <c r="AA851" s="24"/>
      <c r="AB851" s="24"/>
      <c r="AC851" s="24"/>
      <c r="AD851" s="24"/>
      <c r="AE851" s="24"/>
    </row>
    <row r="852" spans="1:31" ht="22.2" customHeight="1" x14ac:dyDescent="0.3">
      <c r="A852" s="199" t="str">
        <f>+IF(PROVEEDORES[[#This Row],[FECHA DE PAGO]]=PROVEEDORES[[#This Row],[FECHA DE FACTURACIÓN]],"DE CONTADO","CRÉDITO")</f>
        <v>DE CONTADO</v>
      </c>
      <c r="B852" s="38" t="b">
        <f>+IF((PROVEEDORES[[#This Row],[FECHA DE PAGO]]-PROVEEDORES[[#This Row],[FECHA DE FACTURACIÓN]])&gt;PROVEEDORES[[#This Row],[PLAZO Días]],"PAGO VENCIDO")</f>
        <v>0</v>
      </c>
      <c r="C852" s="20">
        <f>+VLOOKUP(PROVEEDORES[[#This Row],[PROVEEDOR]],TERCEROS_INFO[#All],2,FALSE)</f>
        <v>30</v>
      </c>
      <c r="D852" s="25">
        <f>+SUMIFS(PROVEEDORES[Total],PROVEEDORES[PROVEEDOR],PROVEEDORES[[#This Row],[PROVEEDOR]],PROVEEDORES[FECHA DE PAGO],"")</f>
        <v>0</v>
      </c>
      <c r="E852" s="25"/>
      <c r="F852" s="58" t="str">
        <f>+VLOOKUP(PROVEEDORES[[#This Row],[PROVEEDOR]],
                       Terceros!$A:$F,
                       5,
                       FALSE)</f>
        <v/>
      </c>
      <c r="G852" s="161">
        <v>44780</v>
      </c>
      <c r="H852" s="26" t="s">
        <v>661</v>
      </c>
      <c r="I852" s="161">
        <v>44780</v>
      </c>
      <c r="J852" s="35" t="s">
        <v>1179</v>
      </c>
      <c r="K852" s="21">
        <v>710000</v>
      </c>
      <c r="L852" s="21"/>
      <c r="M852" s="22">
        <f>(PROVEEDORES[[#This Row],[SUBTOTAL]]-PROVEEDORES[[#This Row],[descuento sobre subtotal]])*VLOOKUP(PROVEEDORES[[#This Row],[PROVEEDOR]],TERCEROS_INFO[#All],3,FALSE)</f>
        <v>0</v>
      </c>
      <c r="N852" s="23"/>
      <c r="O852" s="22">
        <f>+PROVEEDORES[[#This Row],[Descuento sobre subtotal %]]*(PROVEEDORES[[#This Row],[SUBTOTAL]]-PROVEEDORES[[#This Row],[descuento sobre subtotal]])</f>
        <v>0</v>
      </c>
      <c r="P852" s="83">
        <f>+IF(PROVEEDORES[[#This Row],[SUBTOTAL]]&lt;PROVEEDORES[[#This Row],[base retencion]],0,PROVEEDORES[[#This Row],[retención aplicada]])</f>
        <v>0</v>
      </c>
      <c r="Q852" s="22">
        <f>+PROVEEDORES[[#This Row],[Rete Fuente %]]*(PROVEEDORES[[#This Row],[SUBTOTAL]]-PROVEEDORES[[#This Row],[descuento sobre subtotal]])</f>
        <v>0</v>
      </c>
      <c r="R852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852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68">
        <f ca="1">IF(PROVEEDORES[[#This Row],[FECHA DE PAGO]]=0,TODAY()-PROVEEDORES[[#This Row],[FECHA DE FACTURACIÓN]]-PROVEEDORES[[#This Row],[PLAZO Días]],0)</f>
        <v>0</v>
      </c>
      <c r="U852" s="113">
        <f>+VLOOKUP(PROVEEDORES[[#This Row],[PROVEEDOR]],Terceros!$A:$D,4,FALSE)</f>
        <v>0</v>
      </c>
      <c r="V852" s="114">
        <f>+YEAR(PROVEEDORES[[#This Row],[FECHA DE FACTURACIÓN]])</f>
        <v>2022</v>
      </c>
      <c r="W852" s="114">
        <f>+MATCH(PROVEEDORES[[#This Row],[año facturado]],Retenciones!$1:$1,0)</f>
        <v>5</v>
      </c>
      <c r="X852" s="115">
        <f>+VLOOKUP(PROVEEDORES[[#This Row],[ID RETENCION]],Retenciones!$A$1:$O$25,PROVEEDORES[[#This Row],[indicador de columna]],FALSE)</f>
        <v>0</v>
      </c>
      <c r="Y852" s="116">
        <f>+VLOOKUP(PROVEEDORES[[#This Row],[ID RETENCION]],Retenciones!$A$1:$O$25,2,FALSE)</f>
        <v>0</v>
      </c>
      <c r="Z852" s="125" t="b">
        <f>OR(COUNTIF(PROVEEDORES[[#This Row],[PROVEEDOR]],"*"&amp;'Palabra no opera'!$A$2&amp;"*"))</f>
        <v>0</v>
      </c>
      <c r="AA852" s="24"/>
      <c r="AB852" s="24"/>
      <c r="AC852" s="24"/>
      <c r="AD852" s="24"/>
      <c r="AE852" s="24"/>
    </row>
    <row r="853" spans="1:31" ht="22.2" customHeight="1" x14ac:dyDescent="0.3">
      <c r="A853" s="159" t="str">
        <f>+IF(PROVEEDORES[[#This Row],[FECHA DE PAGO]]=PROVEEDORES[[#This Row],[FECHA DE FACTURACIÓN]],"DE CONTADO","CRÉDITO")</f>
        <v>CRÉDITO</v>
      </c>
      <c r="B853" s="38" t="str">
        <f>+IF((PROVEEDORES[[#This Row],[FECHA DE PAGO]]-PROVEEDORES[[#This Row],[FECHA DE FACTURACIÓN]])&gt;PROVEEDORES[[#This Row],[PLAZO Días]],"PAGO VENCIDO")</f>
        <v>PAGO VENCIDO</v>
      </c>
      <c r="C853" s="20">
        <f>+VLOOKUP(PROVEEDORES[[#This Row],[PROVEEDOR]],TERCEROS_INFO[#All],2,FALSE)</f>
        <v>30</v>
      </c>
      <c r="D853" s="25">
        <f>+SUMIFS(PROVEEDORES[Total],PROVEEDORES[PROVEEDOR],PROVEEDORES[[#This Row],[PROVEEDOR]],PROVEEDORES[FECHA DE PAGO],"")</f>
        <v>0</v>
      </c>
      <c r="E853" s="25"/>
      <c r="F85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53" s="161">
        <v>44776</v>
      </c>
      <c r="H853" s="26" t="s">
        <v>1637</v>
      </c>
      <c r="I853" s="161">
        <v>44740</v>
      </c>
      <c r="J853" s="35">
        <v>26319</v>
      </c>
      <c r="K853" s="21">
        <v>617200</v>
      </c>
      <c r="L853" s="21">
        <v>20400</v>
      </c>
      <c r="M853" s="22">
        <f>(PROVEEDORES[[#This Row],[SUBTOTAL]]-PROVEEDORES[[#This Row],[descuento sobre subtotal]])*VLOOKUP(PROVEEDORES[[#This Row],[PROVEEDOR]],TERCEROS_INFO[#All],3,FALSE)</f>
        <v>113392</v>
      </c>
      <c r="N853" s="23"/>
      <c r="O853" s="22">
        <f>+PROVEEDORES[[#This Row],[Descuento sobre subtotal %]]*(PROVEEDORES[[#This Row],[SUBTOTAL]]-PROVEEDORES[[#This Row],[descuento sobre subtotal]])</f>
        <v>0</v>
      </c>
      <c r="P853" s="83">
        <f>+IF(PROVEEDORES[[#This Row],[SUBTOTAL]]&lt;PROVEEDORES[[#This Row],[base retencion]],0,PROVEEDORES[[#This Row],[retención aplicada]])</f>
        <v>0</v>
      </c>
      <c r="Q853" s="22">
        <f>+PROVEEDORES[[#This Row],[Rete Fuente %]]*(PROVEEDORES[[#This Row],[SUBTOTAL]]-PROVEEDORES[[#This Row],[descuento sobre subtotal]])</f>
        <v>0</v>
      </c>
      <c r="R853" s="21">
        <f>+PROVEEDORES[[#This Row],[SUBTOTAL]]+PROVEEDORES[[#This Row],[IVA 19%]]-PROVEEDORES[[#This Row],[descuento sobre subtotal]]-PROVEEDORES[[#This Row],[Descuento sobre subtotal $2]]-PROVEEDORES[[#This Row],[Rete Fuente $]]</f>
        <v>710192</v>
      </c>
      <c r="S85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68">
        <f ca="1">IF(PROVEEDORES[[#This Row],[FECHA DE PAGO]]=0,TODAY()-PROVEEDORES[[#This Row],[FECHA DE FACTURACIÓN]]-PROVEEDORES[[#This Row],[PLAZO Días]],0)</f>
        <v>0</v>
      </c>
      <c r="U853" s="113" t="str">
        <f>+VLOOKUP(PROVEEDORES[[#This Row],[PROVEEDOR]],Terceros!$A:$D,4,FALSE)</f>
        <v>2,5% con base</v>
      </c>
      <c r="V853" s="114">
        <f>+YEAR(PROVEEDORES[[#This Row],[FECHA DE FACTURACIÓN]])</f>
        <v>2022</v>
      </c>
      <c r="W853" s="114">
        <f>+MATCH(PROVEEDORES[[#This Row],[año facturado]],Retenciones!$1:$1,0)</f>
        <v>5</v>
      </c>
      <c r="X853" s="115">
        <f>+VLOOKUP(PROVEEDORES[[#This Row],[ID RETENCION]],Retenciones!$A$1:$O$25,PROVEEDORES[[#This Row],[indicador de columna]],FALSE)</f>
        <v>1026000</v>
      </c>
      <c r="Y853" s="116">
        <f>+VLOOKUP(PROVEEDORES[[#This Row],[ID RETENCION]],Retenciones!$A$1:$O$25,2,FALSE)</f>
        <v>2.5000000000000001E-2</v>
      </c>
      <c r="Z853" s="125" t="b">
        <f>OR(COUNTIF(PROVEEDORES[[#This Row],[PROVEEDOR]],"*"&amp;'Palabra no opera'!$A$2&amp;"*"))</f>
        <v>0</v>
      </c>
      <c r="AA853" s="24"/>
      <c r="AB853" s="24"/>
      <c r="AC853" s="24"/>
      <c r="AD853" s="24"/>
      <c r="AE853" s="24"/>
    </row>
    <row r="854" spans="1:31" ht="22.2" customHeight="1" x14ac:dyDescent="0.3">
      <c r="A854" s="66" t="str">
        <f>+IF(PROVEEDORES[[#This Row],[FECHA DE PAGO]]=PROVEEDORES[[#This Row],[FECHA DE FACTURACIÓN]],"DE CONTADO","CRÉDITO")</f>
        <v>CRÉDITO</v>
      </c>
      <c r="B854" s="38" t="str">
        <f>+IF((PROVEEDORES[[#This Row],[FECHA DE PAGO]]-PROVEEDORES[[#This Row],[FECHA DE FACTURACIÓN]])&gt;PROVEEDORES[[#This Row],[PLAZO Días]],"PAGO VENCIDO")</f>
        <v>PAGO VENCIDO</v>
      </c>
      <c r="C854" s="20">
        <f>+VLOOKUP(PROVEEDORES[[#This Row],[PROVEEDOR]],TERCEROS_INFO[#All],2,FALSE)</f>
        <v>30</v>
      </c>
      <c r="D854" s="25">
        <f>+SUMIFS(PROVEEDORES[Total],PROVEEDORES[PROVEEDOR],PROVEEDORES[[#This Row],[PROVEEDOR]],PROVEEDORES[FECHA DE PAGO],"")</f>
        <v>0</v>
      </c>
      <c r="E854" s="25"/>
      <c r="F85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854" s="161">
        <v>44536</v>
      </c>
      <c r="H854" s="26" t="s">
        <v>691</v>
      </c>
      <c r="I854" s="161">
        <v>44490</v>
      </c>
      <c r="J854" s="35" t="s">
        <v>1437</v>
      </c>
      <c r="K854" s="21">
        <v>712300</v>
      </c>
      <c r="L854" s="21"/>
      <c r="M854" s="22">
        <f>(PROVEEDORES[[#This Row],[SUBTOTAL]]-PROVEEDORES[[#This Row],[descuento sobre subtotal]])*VLOOKUP(PROVEEDORES[[#This Row],[PROVEEDOR]],TERCEROS_INFO[#All],3,FALSE)</f>
        <v>0</v>
      </c>
      <c r="N854" s="23"/>
      <c r="O854" s="22">
        <f>+PROVEEDORES[[#This Row],[Descuento sobre subtotal %]]*(PROVEEDORES[[#This Row],[SUBTOTAL]]-PROVEEDORES[[#This Row],[descuento sobre subtotal]])</f>
        <v>0</v>
      </c>
      <c r="P854" s="83">
        <f>+IF(PROVEEDORES[[#This Row],[SUBTOTAL]]&lt;PROVEEDORES[[#This Row],[base retencion]],0,PROVEEDORES[[#This Row],[retención aplicada]])</f>
        <v>0</v>
      </c>
      <c r="Q854" s="22">
        <f>+PROVEEDORES[[#This Row],[Rete Fuente %]]*(PROVEEDORES[[#This Row],[SUBTOTAL]]-PROVEEDORES[[#This Row],[descuento sobre subtotal]])</f>
        <v>0</v>
      </c>
      <c r="R854" s="21">
        <f>+PROVEEDORES[[#This Row],[SUBTOTAL]]+PROVEEDORES[[#This Row],[IVA 19%]]-PROVEEDORES[[#This Row],[descuento sobre subtotal]]-PROVEEDORES[[#This Row],[Descuento sobre subtotal $2]]-PROVEEDORES[[#This Row],[Rete Fuente $]]</f>
        <v>712300</v>
      </c>
      <c r="S8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68">
        <f ca="1">IF(PROVEEDORES[[#This Row],[FECHA DE PAGO]]=0,TODAY()-PROVEEDORES[[#This Row],[FECHA DE FACTURACIÓN]]-PROVEEDORES[[#This Row],[PLAZO Días]],0)</f>
        <v>0</v>
      </c>
      <c r="U854" s="96">
        <f>+VLOOKUP(PROVEEDORES[[#This Row],[PROVEEDOR]],Terceros!$A:$D,4,FALSE)</f>
        <v>0</v>
      </c>
      <c r="V854" s="97">
        <f>+YEAR(PROVEEDORES[[#This Row],[FECHA DE FACTURACIÓN]])</f>
        <v>2021</v>
      </c>
      <c r="W854" s="97">
        <f>+MATCH(PROVEEDORES[[#This Row],[año facturado]],Retenciones!$1:$1,0)</f>
        <v>4</v>
      </c>
      <c r="X854" s="98">
        <f>+VLOOKUP(PROVEEDORES[[#This Row],[ID RETENCION]],Retenciones!$A$1:$O$25,PROVEEDORES[[#This Row],[indicador de columna]],FALSE)</f>
        <v>0</v>
      </c>
      <c r="Y854" s="99">
        <f>+VLOOKUP(PROVEEDORES[[#This Row],[ID RETENCION]],Retenciones!$A$1:$O$25,2,FALSE)</f>
        <v>0</v>
      </c>
      <c r="Z854" s="125" t="b">
        <f>OR(COUNTIF(PROVEEDORES[[#This Row],[PROVEEDOR]],"*"&amp;'Palabra no opera'!$A$2&amp;"*"))</f>
        <v>0</v>
      </c>
      <c r="AA854" s="24"/>
      <c r="AB854" s="24"/>
      <c r="AC854" s="24"/>
      <c r="AD854" s="24"/>
      <c r="AE854" s="24"/>
    </row>
    <row r="855" spans="1:31" ht="22.2" customHeight="1" x14ac:dyDescent="0.3">
      <c r="A855" s="66" t="str">
        <f>+IF(PROVEEDORES[[#This Row],[FECHA DE PAGO]]=PROVEEDORES[[#This Row],[FECHA DE FACTURACIÓN]],"DE CONTADO","CRÉDITO")</f>
        <v>CRÉDITO</v>
      </c>
      <c r="B855" s="38" t="str">
        <f>+IF((PROVEEDORES[[#This Row],[FECHA DE PAGO]]-PROVEEDORES[[#This Row],[FECHA DE FACTURACIÓN]])&gt;PROVEEDORES[[#This Row],[PLAZO Días]],"PAGO VENCIDO")</f>
        <v>PAGO VENCIDO</v>
      </c>
      <c r="C855" s="20">
        <f>+VLOOKUP(PROVEEDORES[[#This Row],[PROVEEDOR]],TERCEROS_INFO[#All],2,FALSE)</f>
        <v>0</v>
      </c>
      <c r="D855" s="25">
        <f>+SUMIFS(PROVEEDORES[Total],PROVEEDORES[PROVEEDOR],PROVEEDORES[[#This Row],[PROVEEDOR]],PROVEEDORES[FECHA DE PAGO],"")</f>
        <v>0</v>
      </c>
      <c r="E855" s="25"/>
      <c r="F855" s="58" t="str">
        <f>+VLOOKUP(PROVEEDORES[[#This Row],[PROVEEDOR]],
                       Terceros!$A:$F,
                       5,
                       FALSE)</f>
        <v>contabilidad@comercialweb.com.co;info@servipilas.com</v>
      </c>
      <c r="G855" s="161">
        <v>44239</v>
      </c>
      <c r="H855" s="26" t="s">
        <v>939</v>
      </c>
      <c r="I855" s="161">
        <v>44228</v>
      </c>
      <c r="J855" s="35">
        <v>252</v>
      </c>
      <c r="K855" s="21">
        <v>600000</v>
      </c>
      <c r="L855" s="21"/>
      <c r="M855" s="22">
        <f>(PROVEEDORES[[#This Row],[SUBTOTAL]]-PROVEEDORES[[#This Row],[descuento sobre subtotal]])*VLOOKUP(PROVEEDORES[[#This Row],[PROVEEDOR]],TERCEROS_INFO[#All],3,FALSE)</f>
        <v>114000</v>
      </c>
      <c r="N855" s="23"/>
      <c r="O855" s="22">
        <f>+PROVEEDORES[[#This Row],[Descuento sobre subtotal %]]*(PROVEEDORES[[#This Row],[SUBTOTAL]]-PROVEEDORES[[#This Row],[descuento sobre subtotal]])</f>
        <v>0</v>
      </c>
      <c r="P855" s="83">
        <f>+IF(PROVEEDORES[[#This Row],[SUBTOTAL]]&lt;PROVEEDORES[[#This Row],[base retencion]],0,PROVEEDORES[[#This Row],[retención aplicada]])</f>
        <v>0</v>
      </c>
      <c r="Q855" s="22">
        <f>+PROVEEDORES[[#This Row],[Rete Fuente %]]*(PROVEEDORES[[#This Row],[SUBTOTAL]]-PROVEEDORES[[#This Row],[descuento sobre subtotal]])</f>
        <v>0</v>
      </c>
      <c r="R855" s="21">
        <f>+PROVEEDORES[[#This Row],[SUBTOTAL]]+PROVEEDORES[[#This Row],[IVA 19%]]-PROVEEDORES[[#This Row],[descuento sobre subtotal]]-PROVEEDORES[[#This Row],[Descuento sobre subtotal $2]]-PROVEEDORES[[#This Row],[Rete Fuente $]]</f>
        <v>714000</v>
      </c>
      <c r="S8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68">
        <f ca="1">IF(PROVEEDORES[[#This Row],[FECHA DE PAGO]]=0,TODAY()-PROVEEDORES[[#This Row],[FECHA DE FACTURACIÓN]]-PROVEEDORES[[#This Row],[PLAZO Días]],0)</f>
        <v>0</v>
      </c>
      <c r="U855" s="96">
        <f>+VLOOKUP(PROVEEDORES[[#This Row],[PROVEEDOR]],Terceros!$A:$D,4,FALSE)</f>
        <v>0</v>
      </c>
      <c r="V855" s="97">
        <f>+YEAR(PROVEEDORES[[#This Row],[FECHA DE FACTURACIÓN]])</f>
        <v>2021</v>
      </c>
      <c r="W855" s="97">
        <f>+MATCH(PROVEEDORES[[#This Row],[año facturado]],Retenciones!$1:$1,0)</f>
        <v>4</v>
      </c>
      <c r="X855" s="98">
        <f>+VLOOKUP(PROVEEDORES[[#This Row],[ID RETENCION]],Retenciones!$A$1:$O$25,PROVEEDORES[[#This Row],[indicador de columna]],FALSE)</f>
        <v>0</v>
      </c>
      <c r="Y855" s="99">
        <f>+VLOOKUP(PROVEEDORES[[#This Row],[ID RETENCION]],Retenciones!$A$1:$O$25,2,FALSE)</f>
        <v>0</v>
      </c>
      <c r="Z855" s="125" t="b">
        <f>OR(COUNTIF(PROVEEDORES[[#This Row],[PROVEEDOR]],"*"&amp;'Palabra no opera'!$A$2&amp;"*"))</f>
        <v>1</v>
      </c>
      <c r="AA855" s="24"/>
      <c r="AB855" s="24"/>
      <c r="AC855" s="24"/>
      <c r="AD855" s="24"/>
      <c r="AE855" s="24"/>
    </row>
    <row r="856" spans="1:31" ht="22.2" customHeight="1" x14ac:dyDescent="0.3">
      <c r="A856" s="66" t="str">
        <f>+IF(PROVEEDORES[[#This Row],[FECHA DE PAGO]]=PROVEEDORES[[#This Row],[FECHA DE FACTURACIÓN]],"DE CONTADO","CRÉDITO")</f>
        <v>CRÉDITO</v>
      </c>
      <c r="B856" s="38" t="str">
        <f>+IF((PROVEEDORES[[#This Row],[FECHA DE PAGO]]-PROVEEDORES[[#This Row],[FECHA DE FACTURACIÓN]])&gt;PROVEEDORES[[#This Row],[PLAZO Días]],"PAGO VENCIDO")</f>
        <v>PAGO VENCIDO</v>
      </c>
      <c r="C856" s="20">
        <f>+VLOOKUP(PROVEEDORES[[#This Row],[PROVEEDOR]],TERCEROS_INFO[#All],2,FALSE)</f>
        <v>0</v>
      </c>
      <c r="D856" s="25">
        <f>+SUMIFS(PROVEEDORES[Total],PROVEEDORES[PROVEEDOR],PROVEEDORES[[#This Row],[PROVEEDOR]],PROVEEDORES[FECHA DE PAGO],"")</f>
        <v>0</v>
      </c>
      <c r="E856" s="25"/>
      <c r="F856" s="58" t="str">
        <f>+VLOOKUP(PROVEEDORES[[#This Row],[PROVEEDOR]],
                       Terceros!$A:$F,
                       5,
                       FALSE)</f>
        <v>contabilidad@comercialweb.com.co;info@servipilas.com</v>
      </c>
      <c r="G856" s="161">
        <v>44552</v>
      </c>
      <c r="H856" s="26" t="s">
        <v>939</v>
      </c>
      <c r="I856" s="161">
        <v>44536</v>
      </c>
      <c r="J856" s="35">
        <v>804</v>
      </c>
      <c r="K856" s="21">
        <v>600000</v>
      </c>
      <c r="L856" s="21"/>
      <c r="M856" s="22">
        <f>(PROVEEDORES[[#This Row],[SUBTOTAL]]-PROVEEDORES[[#This Row],[descuento sobre subtotal]])*VLOOKUP(PROVEEDORES[[#This Row],[PROVEEDOR]],TERCEROS_INFO[#All],3,FALSE)</f>
        <v>114000</v>
      </c>
      <c r="N856" s="23"/>
      <c r="O856" s="22">
        <f>+PROVEEDORES[[#This Row],[Descuento sobre subtotal %]]*(PROVEEDORES[[#This Row],[SUBTOTAL]]-PROVEEDORES[[#This Row],[descuento sobre subtotal]])</f>
        <v>0</v>
      </c>
      <c r="P856" s="83">
        <f>+IF(PROVEEDORES[[#This Row],[SUBTOTAL]]&lt;PROVEEDORES[[#This Row],[base retencion]],0,PROVEEDORES[[#This Row],[retención aplicada]])</f>
        <v>0</v>
      </c>
      <c r="Q856" s="22">
        <f>+PROVEEDORES[[#This Row],[Rete Fuente %]]*(PROVEEDORES[[#This Row],[SUBTOTAL]]-PROVEEDORES[[#This Row],[descuento sobre subtotal]])</f>
        <v>0</v>
      </c>
      <c r="R856" s="21">
        <f>+PROVEEDORES[[#This Row],[SUBTOTAL]]+PROVEEDORES[[#This Row],[IVA 19%]]-PROVEEDORES[[#This Row],[descuento sobre subtotal]]-PROVEEDORES[[#This Row],[Descuento sobre subtotal $2]]-PROVEEDORES[[#This Row],[Rete Fuente $]]</f>
        <v>714000</v>
      </c>
      <c r="S8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68">
        <f ca="1">IF(PROVEEDORES[[#This Row],[FECHA DE PAGO]]=0,TODAY()-PROVEEDORES[[#This Row],[FECHA DE FACTURACIÓN]]-PROVEEDORES[[#This Row],[PLAZO Días]],0)</f>
        <v>0</v>
      </c>
      <c r="U856" s="96">
        <f>+VLOOKUP(PROVEEDORES[[#This Row],[PROVEEDOR]],Terceros!$A:$D,4,FALSE)</f>
        <v>0</v>
      </c>
      <c r="V856" s="97">
        <f>+YEAR(PROVEEDORES[[#This Row],[FECHA DE FACTURACIÓN]])</f>
        <v>2021</v>
      </c>
      <c r="W856" s="97">
        <f>+MATCH(PROVEEDORES[[#This Row],[año facturado]],Retenciones!$1:$1,0)</f>
        <v>4</v>
      </c>
      <c r="X856" s="98">
        <f>+VLOOKUP(PROVEEDORES[[#This Row],[ID RETENCION]],Retenciones!$A$1:$O$25,PROVEEDORES[[#This Row],[indicador de columna]],FALSE)</f>
        <v>0</v>
      </c>
      <c r="Y856" s="99">
        <f>+VLOOKUP(PROVEEDORES[[#This Row],[ID RETENCION]],Retenciones!$A$1:$O$25,2,FALSE)</f>
        <v>0</v>
      </c>
      <c r="Z856" s="125" t="b">
        <f>OR(COUNTIF(PROVEEDORES[[#This Row],[PROVEEDOR]],"*"&amp;'Palabra no opera'!$A$2&amp;"*"))</f>
        <v>1</v>
      </c>
      <c r="AA856" s="24"/>
      <c r="AB856" s="24"/>
      <c r="AC856" s="24"/>
      <c r="AD856" s="24"/>
      <c r="AE856" s="24"/>
    </row>
    <row r="857" spans="1:31" ht="22.2" customHeight="1" x14ac:dyDescent="0.3">
      <c r="A857" s="66" t="str">
        <f>+IF(PROVEEDORES[[#This Row],[FECHA DE PAGO]]=PROVEEDORES[[#This Row],[FECHA DE FACTURACIÓN]],"DE CONTADO","CRÉDITO")</f>
        <v>CRÉDITO</v>
      </c>
      <c r="B857" s="38" t="b">
        <f>+IF((PROVEEDORES[[#This Row],[FECHA DE PAGO]]-PROVEEDORES[[#This Row],[FECHA DE FACTURACIÓN]])&gt;PROVEEDORES[[#This Row],[PLAZO Días]],"PAGO VENCIDO")</f>
        <v>0</v>
      </c>
      <c r="C857" s="20">
        <f>+VLOOKUP(PROVEEDORES[[#This Row],[PROVEEDOR]],TERCEROS_INFO[#All],2,FALSE)</f>
        <v>30</v>
      </c>
      <c r="D857" s="25">
        <f>+SUMIFS(PROVEEDORES[Total],PROVEEDORES[PROVEEDOR],PROVEEDORES[[#This Row],[PROVEEDOR]],PROVEEDORES[FECHA DE PAGO],"")</f>
        <v>0</v>
      </c>
      <c r="E857" s="25"/>
      <c r="F85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857" s="161">
        <v>44243</v>
      </c>
      <c r="H857" s="26" t="s">
        <v>670</v>
      </c>
      <c r="I857" s="161">
        <v>44228</v>
      </c>
      <c r="J857" s="35" t="s">
        <v>213</v>
      </c>
      <c r="K857" s="21">
        <v>714500</v>
      </c>
      <c r="L857" s="21"/>
      <c r="M857" s="22">
        <f>(PROVEEDORES[[#This Row],[SUBTOTAL]]-PROVEEDORES[[#This Row],[descuento sobre subtotal]])*VLOOKUP(PROVEEDORES[[#This Row],[PROVEEDOR]],TERCEROS_INFO[#All],3,FALSE)</f>
        <v>0</v>
      </c>
      <c r="N857" s="23"/>
      <c r="O857" s="22">
        <f>+PROVEEDORES[[#This Row],[Descuento sobre subtotal %]]*(PROVEEDORES[[#This Row],[SUBTOTAL]]-PROVEEDORES[[#This Row],[descuento sobre subtotal]])</f>
        <v>0</v>
      </c>
      <c r="P857" s="83">
        <f>+IF(PROVEEDORES[[#This Row],[SUBTOTAL]]&lt;PROVEEDORES[[#This Row],[base retencion]],0,PROVEEDORES[[#This Row],[retención aplicada]])</f>
        <v>0</v>
      </c>
      <c r="Q857" s="22">
        <f>+PROVEEDORES[[#This Row],[Rete Fuente %]]*(PROVEEDORES[[#This Row],[SUBTOTAL]]-PROVEEDORES[[#This Row],[descuento sobre subtotal]])</f>
        <v>0</v>
      </c>
      <c r="R857" s="21">
        <f>+PROVEEDORES[[#This Row],[SUBTOTAL]]+PROVEEDORES[[#This Row],[IVA 19%]]-PROVEEDORES[[#This Row],[descuento sobre subtotal]]-PROVEEDORES[[#This Row],[Descuento sobre subtotal $2]]-PROVEEDORES[[#This Row],[Rete Fuente $]]</f>
        <v>714500</v>
      </c>
      <c r="S8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68">
        <f ca="1">IF(PROVEEDORES[[#This Row],[FECHA DE PAGO]]=0,TODAY()-PROVEEDORES[[#This Row],[FECHA DE FACTURACIÓN]]-PROVEEDORES[[#This Row],[PLAZO Días]],0)</f>
        <v>0</v>
      </c>
      <c r="U857" s="96">
        <f>+VLOOKUP(PROVEEDORES[[#This Row],[PROVEEDOR]],Terceros!$A:$D,4,FALSE)</f>
        <v>0</v>
      </c>
      <c r="V857" s="97">
        <f>+YEAR(PROVEEDORES[[#This Row],[FECHA DE FACTURACIÓN]])</f>
        <v>2021</v>
      </c>
      <c r="W857" s="97">
        <f>+MATCH(PROVEEDORES[[#This Row],[año facturado]],Retenciones!$1:$1,0)</f>
        <v>4</v>
      </c>
      <c r="X857" s="98">
        <f>+VLOOKUP(PROVEEDORES[[#This Row],[ID RETENCION]],Retenciones!$A$1:$O$25,PROVEEDORES[[#This Row],[indicador de columna]],FALSE)</f>
        <v>0</v>
      </c>
      <c r="Y857" s="99">
        <f>+VLOOKUP(PROVEEDORES[[#This Row],[ID RETENCION]],Retenciones!$A$1:$O$25,2,FALSE)</f>
        <v>0</v>
      </c>
      <c r="Z857" s="125" t="b">
        <f>OR(COUNTIF(PROVEEDORES[[#This Row],[PROVEEDOR]],"*"&amp;'Palabra no opera'!$A$2&amp;"*"))</f>
        <v>0</v>
      </c>
      <c r="AA857" s="24"/>
      <c r="AB857" s="24"/>
      <c r="AC857" s="24"/>
      <c r="AD857" s="24"/>
      <c r="AE857" s="24"/>
    </row>
    <row r="858" spans="1:31" ht="22.2" customHeight="1" x14ac:dyDescent="0.3">
      <c r="A858" s="66" t="str">
        <f>+IF(PROVEEDORES[[#This Row],[FECHA DE PAGO]]=PROVEEDORES[[#This Row],[FECHA DE FACTURACIÓN]],"DE CONTADO","CRÉDITO")</f>
        <v>DE CONTADO</v>
      </c>
      <c r="B858" s="38" t="b">
        <f>+IF((PROVEEDORES[[#This Row],[FECHA DE PAGO]]-PROVEEDORES[[#This Row],[FECHA DE FACTURACIÓN]])&gt;PROVEEDORES[[#This Row],[PLAZO Días]],"PAGO VENCIDO")</f>
        <v>0</v>
      </c>
      <c r="C858" s="20">
        <f>+VLOOKUP(PROVEEDORES[[#This Row],[PROVEEDOR]],TERCEROS_INFO[#All],2,FALSE)</f>
        <v>30</v>
      </c>
      <c r="D858" s="25">
        <f>+SUMIFS(PROVEEDORES[Total],PROVEEDORES[PROVEEDOR],PROVEEDORES[[#This Row],[PROVEEDOR]],PROVEEDORES[FECHA DE PAGO],"")</f>
        <v>0</v>
      </c>
      <c r="E858" s="25"/>
      <c r="F858" s="58" t="str">
        <f>+VLOOKUP(PROVEEDORES[[#This Row],[PROVEEDOR]],
                       Terceros!$A:$F,
                       5,
                       FALSE)</f>
        <v/>
      </c>
      <c r="G858" s="161">
        <v>44377</v>
      </c>
      <c r="H858" s="26" t="s">
        <v>644</v>
      </c>
      <c r="I858" s="161">
        <v>44377</v>
      </c>
      <c r="J858" s="35" t="s">
        <v>597</v>
      </c>
      <c r="K858" s="21">
        <v>720000</v>
      </c>
      <c r="L858" s="21"/>
      <c r="M858" s="22">
        <f>(PROVEEDORES[[#This Row],[SUBTOTAL]]-PROVEEDORES[[#This Row],[descuento sobre subtotal]])*VLOOKUP(PROVEEDORES[[#This Row],[PROVEEDOR]],TERCEROS_INFO[#All],3,FALSE)</f>
        <v>0</v>
      </c>
      <c r="N858" s="23"/>
      <c r="O858" s="22">
        <f>+PROVEEDORES[[#This Row],[Descuento sobre subtotal %]]*(PROVEEDORES[[#This Row],[SUBTOTAL]]-PROVEEDORES[[#This Row],[descuento sobre subtotal]])</f>
        <v>0</v>
      </c>
      <c r="P858" s="83">
        <f>+IF(PROVEEDORES[[#This Row],[SUBTOTAL]]&lt;PROVEEDORES[[#This Row],[base retencion]],0,PROVEEDORES[[#This Row],[retención aplicada]])</f>
        <v>0</v>
      </c>
      <c r="Q858" s="22">
        <f>+PROVEEDORES[[#This Row],[Rete Fuente %]]*(PROVEEDORES[[#This Row],[SUBTOTAL]]-PROVEEDORES[[#This Row],[descuento sobre subtotal]])</f>
        <v>0</v>
      </c>
      <c r="R858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8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68">
        <f ca="1">IF(PROVEEDORES[[#This Row],[FECHA DE PAGO]]=0,TODAY()-PROVEEDORES[[#This Row],[FECHA DE FACTURACIÓN]]-PROVEEDORES[[#This Row],[PLAZO Días]],0)</f>
        <v>0</v>
      </c>
      <c r="U858" s="96">
        <f>+VLOOKUP(PROVEEDORES[[#This Row],[PROVEEDOR]],Terceros!$A:$D,4,FALSE)</f>
        <v>0</v>
      </c>
      <c r="V858" s="97">
        <f>+YEAR(PROVEEDORES[[#This Row],[FECHA DE FACTURACIÓN]])</f>
        <v>2021</v>
      </c>
      <c r="W858" s="97">
        <f>+MATCH(PROVEEDORES[[#This Row],[año facturado]],Retenciones!$1:$1,0)</f>
        <v>4</v>
      </c>
      <c r="X858" s="98">
        <f>+VLOOKUP(PROVEEDORES[[#This Row],[ID RETENCION]],Retenciones!$A$1:$O$25,PROVEEDORES[[#This Row],[indicador de columna]],FALSE)</f>
        <v>0</v>
      </c>
      <c r="Y858" s="99">
        <f>+VLOOKUP(PROVEEDORES[[#This Row],[ID RETENCION]],Retenciones!$A$1:$O$25,2,FALSE)</f>
        <v>0</v>
      </c>
      <c r="Z858" s="125" t="b">
        <f>OR(COUNTIF(PROVEEDORES[[#This Row],[PROVEEDOR]],"*"&amp;'Palabra no opera'!$A$2&amp;"*"))</f>
        <v>0</v>
      </c>
      <c r="AA858" s="24"/>
      <c r="AB858" s="24"/>
      <c r="AC858" s="24"/>
      <c r="AD858" s="24"/>
      <c r="AE858" s="24"/>
    </row>
    <row r="859" spans="1:31" ht="22.2" customHeight="1" x14ac:dyDescent="0.3">
      <c r="A859" s="159" t="str">
        <f>+IF(PROVEEDORES[[#This Row],[FECHA DE PAGO]]=PROVEEDORES[[#This Row],[FECHA DE FACTURACIÓN]],"DE CONTADO","CRÉDITO")</f>
        <v>DE CONTADO</v>
      </c>
      <c r="B859" s="38" t="b">
        <f>+IF((PROVEEDORES[[#This Row],[FECHA DE PAGO]]-PROVEEDORES[[#This Row],[FECHA DE FACTURACIÓN]])&gt;PROVEEDORES[[#This Row],[PLAZO Días]],"PAGO VENCIDO")</f>
        <v>0</v>
      </c>
      <c r="C859" s="20">
        <f>+VLOOKUP(PROVEEDORES[[#This Row],[PROVEEDOR]],TERCEROS_INFO[#All],2,FALSE)</f>
        <v>30</v>
      </c>
      <c r="D859" s="25">
        <f>+SUMIFS(PROVEEDORES[Total],PROVEEDORES[PROVEEDOR],PROVEEDORES[[#This Row],[PROVEEDOR]],PROVEEDORES[FECHA DE PAGO],"")</f>
        <v>0</v>
      </c>
      <c r="E859" s="25"/>
      <c r="F859" s="58" t="str">
        <f>+VLOOKUP(PROVEEDORES[[#This Row],[PROVEEDOR]],
                       Terceros!$A:$F,
                       5,
                       FALSE)</f>
        <v/>
      </c>
      <c r="G859" s="161">
        <v>44744</v>
      </c>
      <c r="H859" s="26" t="s">
        <v>661</v>
      </c>
      <c r="I859" s="161">
        <v>44744</v>
      </c>
      <c r="J859" s="35" t="s">
        <v>1097</v>
      </c>
      <c r="K859" s="21">
        <v>720000</v>
      </c>
      <c r="L859" s="21"/>
      <c r="M859" s="22">
        <f>(PROVEEDORES[[#This Row],[SUBTOTAL]]-PROVEEDORES[[#This Row],[descuento sobre subtotal]])*VLOOKUP(PROVEEDORES[[#This Row],[PROVEEDOR]],TERCEROS_INFO[#All],3,FALSE)</f>
        <v>0</v>
      </c>
      <c r="N859" s="23"/>
      <c r="O859" s="22">
        <f>+PROVEEDORES[[#This Row],[Descuento sobre subtotal %]]*(PROVEEDORES[[#This Row],[SUBTOTAL]]-PROVEEDORES[[#This Row],[descuento sobre subtotal]])</f>
        <v>0</v>
      </c>
      <c r="P859" s="83">
        <f>+IF(PROVEEDORES[[#This Row],[SUBTOTAL]]&lt;PROVEEDORES[[#This Row],[base retencion]],0,PROVEEDORES[[#This Row],[retención aplicada]])</f>
        <v>0</v>
      </c>
      <c r="Q859" s="22">
        <f>+PROVEEDORES[[#This Row],[Rete Fuente %]]*(PROVEEDORES[[#This Row],[SUBTOTAL]]-PROVEEDORES[[#This Row],[descuento sobre subtotal]])</f>
        <v>0</v>
      </c>
      <c r="R859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85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68">
        <f ca="1">IF(PROVEEDORES[[#This Row],[FECHA DE PAGO]]=0,TODAY()-PROVEEDORES[[#This Row],[FECHA DE FACTURACIÓN]]-PROVEEDORES[[#This Row],[PLAZO Días]],0)</f>
        <v>0</v>
      </c>
      <c r="U859" s="113">
        <f>+VLOOKUP(PROVEEDORES[[#This Row],[PROVEEDOR]],Terceros!$A:$D,4,FALSE)</f>
        <v>0</v>
      </c>
      <c r="V859" s="114">
        <f>+YEAR(PROVEEDORES[[#This Row],[FECHA DE FACTURACIÓN]])</f>
        <v>2022</v>
      </c>
      <c r="W859" s="114">
        <f>+MATCH(PROVEEDORES[[#This Row],[año facturado]],Retenciones!$1:$1,0)</f>
        <v>5</v>
      </c>
      <c r="X859" s="115">
        <f>+VLOOKUP(PROVEEDORES[[#This Row],[ID RETENCION]],Retenciones!$A$1:$O$25,PROVEEDORES[[#This Row],[indicador de columna]],FALSE)</f>
        <v>0</v>
      </c>
      <c r="Y859" s="116">
        <f>+VLOOKUP(PROVEEDORES[[#This Row],[ID RETENCION]],Retenciones!$A$1:$O$25,2,FALSE)</f>
        <v>0</v>
      </c>
      <c r="Z859" s="125" t="b">
        <f>OR(COUNTIF(PROVEEDORES[[#This Row],[PROVEEDOR]],"*"&amp;'Palabra no opera'!$A$2&amp;"*"))</f>
        <v>0</v>
      </c>
      <c r="AA859" s="24"/>
      <c r="AB859" s="24"/>
      <c r="AC859" s="24"/>
      <c r="AD859" s="24"/>
      <c r="AE859" s="24"/>
    </row>
    <row r="860" spans="1:31" ht="22.2" customHeight="1" x14ac:dyDescent="0.3">
      <c r="A860" s="159" t="str">
        <f>+IF(PROVEEDORES[[#This Row],[FECHA DE PAGO]]=PROVEEDORES[[#This Row],[FECHA DE FACTURACIÓN]],"DE CONTADO","CRÉDITO")</f>
        <v>CRÉDITO</v>
      </c>
      <c r="B860" s="38" t="str">
        <f>+IF((PROVEEDORES[[#This Row],[FECHA DE PAGO]]-PROVEEDORES[[#This Row],[FECHA DE FACTURACIÓN]])&gt;PROVEEDORES[[#This Row],[PLAZO Días]],"PAGO VENCIDO")</f>
        <v>PAGO VENCIDO</v>
      </c>
      <c r="C860" s="20">
        <f>+VLOOKUP(PROVEEDORES[[#This Row],[PROVEEDOR]],TERCEROS_INFO[#All],2,FALSE)</f>
        <v>30</v>
      </c>
      <c r="D860" s="25">
        <f>+SUMIFS(PROVEEDORES[Total],PROVEEDORES[PROVEEDOR],PROVEEDORES[[#This Row],[PROVEEDOR]],PROVEEDORES[FECHA DE PAGO],"")</f>
        <v>1468491.82</v>
      </c>
      <c r="E860" s="25"/>
      <c r="F86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860" s="161">
        <v>44776</v>
      </c>
      <c r="H860" s="26" t="s">
        <v>1638</v>
      </c>
      <c r="I860" s="161">
        <v>44741</v>
      </c>
      <c r="J860" s="35" t="s">
        <v>1095</v>
      </c>
      <c r="K860" s="21">
        <v>605043</v>
      </c>
      <c r="L860" s="21"/>
      <c r="M860" s="22">
        <f>(PROVEEDORES[[#This Row],[SUBTOTAL]]-PROVEEDORES[[#This Row],[descuento sobre subtotal]])*VLOOKUP(PROVEEDORES[[#This Row],[PROVEEDOR]],TERCEROS_INFO[#All],3,FALSE)</f>
        <v>114958.17</v>
      </c>
      <c r="N860" s="23"/>
      <c r="O860" s="22">
        <f>+PROVEEDORES[[#This Row],[Descuento sobre subtotal %]]*(PROVEEDORES[[#This Row],[SUBTOTAL]]-PROVEEDORES[[#This Row],[descuento sobre subtotal]])</f>
        <v>0</v>
      </c>
      <c r="P860" s="83">
        <f>+IF(PROVEEDORES[[#This Row],[SUBTOTAL]]&lt;PROVEEDORES[[#This Row],[base retencion]],0,PROVEEDORES[[#This Row],[retención aplicada]])</f>
        <v>0</v>
      </c>
      <c r="Q860" s="22">
        <f>+PROVEEDORES[[#This Row],[Rete Fuente %]]*(PROVEEDORES[[#This Row],[SUBTOTAL]]-PROVEEDORES[[#This Row],[descuento sobre subtotal]])</f>
        <v>0</v>
      </c>
      <c r="R860" s="21">
        <f>+PROVEEDORES[[#This Row],[SUBTOTAL]]+PROVEEDORES[[#This Row],[IVA 19%]]-PROVEEDORES[[#This Row],[descuento sobre subtotal]]-PROVEEDORES[[#This Row],[Descuento sobre subtotal $2]]-PROVEEDORES[[#This Row],[Rete Fuente $]]</f>
        <v>720001.17</v>
      </c>
      <c r="S860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68">
        <f ca="1">IF(PROVEEDORES[[#This Row],[FECHA DE PAGO]]=0,TODAY()-PROVEEDORES[[#This Row],[FECHA DE FACTURACIÓN]]-PROVEEDORES[[#This Row],[PLAZO Días]],0)</f>
        <v>0</v>
      </c>
      <c r="U860" s="113" t="str">
        <f>+VLOOKUP(PROVEEDORES[[#This Row],[PROVEEDOR]],Terceros!$A:$D,4,FALSE)</f>
        <v>2,5% con base</v>
      </c>
      <c r="V860" s="114">
        <f>+YEAR(PROVEEDORES[[#This Row],[FECHA DE FACTURACIÓN]])</f>
        <v>2022</v>
      </c>
      <c r="W860" s="114">
        <f>+MATCH(PROVEEDORES[[#This Row],[año facturado]],Retenciones!$1:$1,0)</f>
        <v>5</v>
      </c>
      <c r="X860" s="115">
        <f>+VLOOKUP(PROVEEDORES[[#This Row],[ID RETENCION]],Retenciones!$A$1:$O$25,PROVEEDORES[[#This Row],[indicador de columna]],FALSE)</f>
        <v>1026000</v>
      </c>
      <c r="Y860" s="116">
        <f>+VLOOKUP(PROVEEDORES[[#This Row],[ID RETENCION]],Retenciones!$A$1:$O$25,2,FALSE)</f>
        <v>2.5000000000000001E-2</v>
      </c>
      <c r="Z860" s="125" t="b">
        <f>OR(COUNTIF(PROVEEDORES[[#This Row],[PROVEEDOR]],"*"&amp;'Palabra no opera'!$A$2&amp;"*"))</f>
        <v>0</v>
      </c>
      <c r="AA860" s="24"/>
      <c r="AB860" s="24"/>
      <c r="AC860" s="24"/>
      <c r="AD860" s="24"/>
      <c r="AE860" s="24"/>
    </row>
    <row r="861" spans="1:31" ht="22.2" customHeight="1" x14ac:dyDescent="0.3">
      <c r="A861" s="66" t="str">
        <f>+IF(PROVEEDORES[[#This Row],[FECHA DE PAGO]]=PROVEEDORES[[#This Row],[FECHA DE FACTURACIÓN]],"DE CONTADO","CRÉDITO")</f>
        <v>CRÉDITO</v>
      </c>
      <c r="B861" s="38" t="str">
        <f>+IF((PROVEEDORES[[#This Row],[FECHA DE PAGO]]-PROVEEDORES[[#This Row],[FECHA DE FACTURACIÓN]])&gt;PROVEEDORES[[#This Row],[PLAZO Días]],"PAGO VENCIDO")</f>
        <v>PAGO VENCIDO</v>
      </c>
      <c r="C861" s="20">
        <f>+VLOOKUP(PROVEEDORES[[#This Row],[PROVEEDOR]],TERCEROS_INFO[#All],2,FALSE)</f>
        <v>30</v>
      </c>
      <c r="D861" s="25">
        <f>+SUMIFS(PROVEEDORES[Total],PROVEEDORES[PROVEEDOR],PROVEEDORES[[#This Row],[PROVEEDOR]],PROVEEDORES[FECHA DE PAGO],"")</f>
        <v>0</v>
      </c>
      <c r="E861" s="25"/>
      <c r="F861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861" s="161">
        <v>44321</v>
      </c>
      <c r="H861" s="26" t="s">
        <v>46</v>
      </c>
      <c r="I861" s="161">
        <v>44281</v>
      </c>
      <c r="J861" s="35">
        <v>160216733</v>
      </c>
      <c r="K861" s="21">
        <v>606700</v>
      </c>
      <c r="L861" s="21"/>
      <c r="M861" s="22">
        <f>(PROVEEDORES[[#This Row],[SUBTOTAL]]-PROVEEDORES[[#This Row],[descuento sobre subtotal]])*VLOOKUP(PROVEEDORES[[#This Row],[PROVEEDOR]],TERCEROS_INFO[#All],3,FALSE)</f>
        <v>115273</v>
      </c>
      <c r="N861" s="23"/>
      <c r="O861" s="22">
        <f>+PROVEEDORES[[#This Row],[Descuento sobre subtotal %]]*(PROVEEDORES[[#This Row],[SUBTOTAL]]-PROVEEDORES[[#This Row],[descuento sobre subtotal]])</f>
        <v>0</v>
      </c>
      <c r="P861" s="83">
        <f>+IF(PROVEEDORES[[#This Row],[SUBTOTAL]]&lt;PROVEEDORES[[#This Row],[base retencion]],0,PROVEEDORES[[#This Row],[retención aplicada]])</f>
        <v>0</v>
      </c>
      <c r="Q861" s="22">
        <f>+PROVEEDORES[[#This Row],[Rete Fuente %]]*(PROVEEDORES[[#This Row],[SUBTOTAL]]-PROVEEDORES[[#This Row],[descuento sobre subtotal]])</f>
        <v>0</v>
      </c>
      <c r="R861" s="21">
        <f>+PROVEEDORES[[#This Row],[SUBTOTAL]]+PROVEEDORES[[#This Row],[IVA 19%]]-PROVEEDORES[[#This Row],[descuento sobre subtotal]]-PROVEEDORES[[#This Row],[Descuento sobre subtotal $2]]-PROVEEDORES[[#This Row],[Rete Fuente $]]</f>
        <v>721973</v>
      </c>
      <c r="S8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68">
        <f ca="1">IF(PROVEEDORES[[#This Row],[FECHA DE PAGO]]=0,TODAY()-PROVEEDORES[[#This Row],[FECHA DE FACTURACIÓN]]-PROVEEDORES[[#This Row],[PLAZO Días]],0)</f>
        <v>0</v>
      </c>
      <c r="U861" s="96">
        <f>+VLOOKUP(PROVEEDORES[[#This Row],[PROVEEDOR]],Terceros!$A:$D,4,FALSE)</f>
        <v>0</v>
      </c>
      <c r="V861" s="97">
        <f>+YEAR(PROVEEDORES[[#This Row],[FECHA DE FACTURACIÓN]])</f>
        <v>2021</v>
      </c>
      <c r="W861" s="97">
        <f>+MATCH(PROVEEDORES[[#This Row],[año facturado]],Retenciones!$1:$1,0)</f>
        <v>4</v>
      </c>
      <c r="X861" s="98">
        <f>+VLOOKUP(PROVEEDORES[[#This Row],[ID RETENCION]],Retenciones!$A$1:$O$25,PROVEEDORES[[#This Row],[indicador de columna]],FALSE)</f>
        <v>0</v>
      </c>
      <c r="Y861" s="99">
        <f>+VLOOKUP(PROVEEDORES[[#This Row],[ID RETENCION]],Retenciones!$A$1:$O$25,2,FALSE)</f>
        <v>0</v>
      </c>
      <c r="Z861" s="125" t="b">
        <f>OR(COUNTIF(PROVEEDORES[[#This Row],[PROVEEDOR]],"*"&amp;'Palabra no opera'!$A$2&amp;"*"))</f>
        <v>0</v>
      </c>
      <c r="AA861" s="24"/>
      <c r="AB861" s="24"/>
      <c r="AC861" s="24"/>
      <c r="AD861" s="24"/>
      <c r="AE861" s="24"/>
    </row>
    <row r="862" spans="1:31" ht="22.2" customHeight="1" x14ac:dyDescent="0.3">
      <c r="A862" s="66" t="str">
        <f>+IF(PROVEEDORES[[#This Row],[FECHA DE PAGO]]=PROVEEDORES[[#This Row],[FECHA DE FACTURACIÓN]],"DE CONTADO","CRÉDITO")</f>
        <v>CRÉDITO</v>
      </c>
      <c r="B862" s="38" t="str">
        <f>+IF((PROVEEDORES[[#This Row],[FECHA DE PAGO]]-PROVEEDORES[[#This Row],[FECHA DE FACTURACIÓN]])&gt;PROVEEDORES[[#This Row],[PLAZO Días]],"PAGO VENCIDO")</f>
        <v>PAGO VENCIDO</v>
      </c>
      <c r="C862" s="20">
        <f>+VLOOKUP(PROVEEDORES[[#This Row],[PROVEEDOR]],TERCEROS_INFO[#All],2,FALSE)</f>
        <v>30</v>
      </c>
      <c r="D862" s="25">
        <f>+SUMIFS(PROVEEDORES[Total],PROVEEDORES[PROVEEDOR],PROVEEDORES[[#This Row],[PROVEEDOR]],PROVEEDORES[FECHA DE PAGO],"")</f>
        <v>3236000</v>
      </c>
      <c r="E862" s="25"/>
      <c r="F86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862" s="161">
        <v>44355</v>
      </c>
      <c r="H862" s="26" t="s">
        <v>677</v>
      </c>
      <c r="I862" s="161">
        <v>44321</v>
      </c>
      <c r="J862" s="35" t="s">
        <v>1455</v>
      </c>
      <c r="K862" s="21">
        <v>722000</v>
      </c>
      <c r="L862" s="21"/>
      <c r="M862" s="22">
        <f>(PROVEEDORES[[#This Row],[SUBTOTAL]]-PROVEEDORES[[#This Row],[descuento sobre subtotal]])*VLOOKUP(PROVEEDORES[[#This Row],[PROVEEDOR]],TERCEROS_INFO[#All],3,FALSE)</f>
        <v>0</v>
      </c>
      <c r="N862" s="23"/>
      <c r="O862" s="22">
        <f>+PROVEEDORES[[#This Row],[Descuento sobre subtotal %]]*(PROVEEDORES[[#This Row],[SUBTOTAL]]-PROVEEDORES[[#This Row],[descuento sobre subtotal]])</f>
        <v>0</v>
      </c>
      <c r="P862" s="83">
        <f>+IF(PROVEEDORES[[#This Row],[SUBTOTAL]]&lt;PROVEEDORES[[#This Row],[base retencion]],0,PROVEEDORES[[#This Row],[retención aplicada]])</f>
        <v>0</v>
      </c>
      <c r="Q862" s="22">
        <f>+PROVEEDORES[[#This Row],[Rete Fuente %]]*(PROVEEDORES[[#This Row],[SUBTOTAL]]-PROVEEDORES[[#This Row],[descuento sobre subtotal]])</f>
        <v>0</v>
      </c>
      <c r="R862" s="21">
        <f>+PROVEEDORES[[#This Row],[SUBTOTAL]]+PROVEEDORES[[#This Row],[IVA 19%]]-PROVEEDORES[[#This Row],[descuento sobre subtotal]]-PROVEEDORES[[#This Row],[Descuento sobre subtotal $2]]-PROVEEDORES[[#This Row],[Rete Fuente $]]</f>
        <v>722000</v>
      </c>
      <c r="S8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68">
        <f ca="1">IF(PROVEEDORES[[#This Row],[FECHA DE PAGO]]=0,TODAY()-PROVEEDORES[[#This Row],[FECHA DE FACTURACIÓN]]-PROVEEDORES[[#This Row],[PLAZO Días]],0)</f>
        <v>0</v>
      </c>
      <c r="U862" s="96">
        <f>+VLOOKUP(PROVEEDORES[[#This Row],[PROVEEDOR]],Terceros!$A:$D,4,FALSE)</f>
        <v>0</v>
      </c>
      <c r="V862" s="97">
        <f>+YEAR(PROVEEDORES[[#This Row],[FECHA DE FACTURACIÓN]])</f>
        <v>2021</v>
      </c>
      <c r="W862" s="97">
        <f>+MATCH(PROVEEDORES[[#This Row],[año facturado]],Retenciones!$1:$1,0)</f>
        <v>4</v>
      </c>
      <c r="X862" s="98">
        <f>+VLOOKUP(PROVEEDORES[[#This Row],[ID RETENCION]],Retenciones!$A$1:$O$25,PROVEEDORES[[#This Row],[indicador de columna]],FALSE)</f>
        <v>0</v>
      </c>
      <c r="Y862" s="99">
        <f>+VLOOKUP(PROVEEDORES[[#This Row],[ID RETENCION]],Retenciones!$A$1:$O$25,2,FALSE)</f>
        <v>0</v>
      </c>
      <c r="Z862" s="125" t="b">
        <f>OR(COUNTIF(PROVEEDORES[[#This Row],[PROVEEDOR]],"*"&amp;'Palabra no opera'!$A$2&amp;"*"))</f>
        <v>0</v>
      </c>
      <c r="AA862" s="24"/>
      <c r="AB862" s="24"/>
      <c r="AC862" s="24"/>
      <c r="AD862" s="24"/>
      <c r="AE862" s="24"/>
    </row>
    <row r="863" spans="1:31" ht="22.2" customHeight="1" x14ac:dyDescent="0.3">
      <c r="A863" s="66" t="str">
        <f>+IF(PROVEEDORES[[#This Row],[FECHA DE PAGO]]=PROVEEDORES[[#This Row],[FECHA DE FACTURACIÓN]],"DE CONTADO","CRÉDITO")</f>
        <v>DE CONTADO</v>
      </c>
      <c r="B863" s="38" t="b">
        <f>+IF((PROVEEDORES[[#This Row],[FECHA DE PAGO]]-PROVEEDORES[[#This Row],[FECHA DE FACTURACIÓN]])&gt;PROVEEDORES[[#This Row],[PLAZO Días]],"PAGO VENCIDO")</f>
        <v>0</v>
      </c>
      <c r="C863" s="20">
        <f>+VLOOKUP(PROVEEDORES[[#This Row],[PROVEEDOR]],TERCEROS_INFO[#All],2,FALSE)</f>
        <v>30</v>
      </c>
      <c r="D863" s="25">
        <f>+SUMIFS(PROVEEDORES[Total],PROVEEDORES[PROVEEDOR],PROVEEDORES[[#This Row],[PROVEEDOR]],PROVEEDORES[FECHA DE PAGO],"")</f>
        <v>0</v>
      </c>
      <c r="E863" s="25"/>
      <c r="F863" s="58" t="str">
        <f>+VLOOKUP(PROVEEDORES[[#This Row],[PROVEEDOR]],
                       Terceros!$A:$F,
                       5,
                       FALSE)</f>
        <v/>
      </c>
      <c r="G863" s="161">
        <v>44469</v>
      </c>
      <c r="H863" s="26" t="s">
        <v>644</v>
      </c>
      <c r="I863" s="161">
        <v>44469</v>
      </c>
      <c r="J863" s="35" t="s">
        <v>1187</v>
      </c>
      <c r="K863" s="21">
        <v>724000</v>
      </c>
      <c r="L863" s="21"/>
      <c r="M863" s="22">
        <f>(PROVEEDORES[[#This Row],[SUBTOTAL]]-PROVEEDORES[[#This Row],[descuento sobre subtotal]])*VLOOKUP(PROVEEDORES[[#This Row],[PROVEEDOR]],TERCEROS_INFO[#All],3,FALSE)</f>
        <v>0</v>
      </c>
      <c r="N863" s="23"/>
      <c r="O863" s="22">
        <f>+PROVEEDORES[[#This Row],[Descuento sobre subtotal %]]*(PROVEEDORES[[#This Row],[SUBTOTAL]]-PROVEEDORES[[#This Row],[descuento sobre subtotal]])</f>
        <v>0</v>
      </c>
      <c r="P863" s="83">
        <f>+IF(PROVEEDORES[[#This Row],[SUBTOTAL]]&lt;PROVEEDORES[[#This Row],[base retencion]],0,PROVEEDORES[[#This Row],[retención aplicada]])</f>
        <v>0</v>
      </c>
      <c r="Q863" s="22">
        <f>+PROVEEDORES[[#This Row],[Rete Fuente %]]*(PROVEEDORES[[#This Row],[SUBTOTAL]]-PROVEEDORES[[#This Row],[descuento sobre subtotal]])</f>
        <v>0</v>
      </c>
      <c r="R863" s="21">
        <f>+PROVEEDORES[[#This Row],[SUBTOTAL]]+PROVEEDORES[[#This Row],[IVA 19%]]-PROVEEDORES[[#This Row],[descuento sobre subtotal]]-PROVEEDORES[[#This Row],[Descuento sobre subtotal $2]]-PROVEEDORES[[#This Row],[Rete Fuente $]]</f>
        <v>724000</v>
      </c>
      <c r="S8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68">
        <f ca="1">IF(PROVEEDORES[[#This Row],[FECHA DE PAGO]]=0,TODAY()-PROVEEDORES[[#This Row],[FECHA DE FACTURACIÓN]]-PROVEEDORES[[#This Row],[PLAZO Días]],0)</f>
        <v>0</v>
      </c>
      <c r="U863" s="96">
        <f>+VLOOKUP(PROVEEDORES[[#This Row],[PROVEEDOR]],Terceros!$A:$D,4,FALSE)</f>
        <v>0</v>
      </c>
      <c r="V863" s="97">
        <f>+YEAR(PROVEEDORES[[#This Row],[FECHA DE FACTURACIÓN]])</f>
        <v>2021</v>
      </c>
      <c r="W863" s="97">
        <f>+MATCH(PROVEEDORES[[#This Row],[año facturado]],Retenciones!$1:$1,0)</f>
        <v>4</v>
      </c>
      <c r="X863" s="98">
        <f>+VLOOKUP(PROVEEDORES[[#This Row],[ID RETENCION]],Retenciones!$A$1:$O$25,PROVEEDORES[[#This Row],[indicador de columna]],FALSE)</f>
        <v>0</v>
      </c>
      <c r="Y863" s="99">
        <f>+VLOOKUP(PROVEEDORES[[#This Row],[ID RETENCION]],Retenciones!$A$1:$O$25,2,FALSE)</f>
        <v>0</v>
      </c>
      <c r="Z863" s="125" t="b">
        <f>OR(COUNTIF(PROVEEDORES[[#This Row],[PROVEEDOR]],"*"&amp;'Palabra no opera'!$A$2&amp;"*"))</f>
        <v>0</v>
      </c>
      <c r="AA863" s="24"/>
      <c r="AB863" s="24"/>
      <c r="AC863" s="24"/>
      <c r="AD863" s="24"/>
      <c r="AE863" s="24"/>
    </row>
    <row r="864" spans="1:31" ht="22.2" customHeight="1" x14ac:dyDescent="0.3">
      <c r="A864" s="66" t="str">
        <f>+IF(PROVEEDORES[[#This Row],[FECHA DE PAGO]]=PROVEEDORES[[#This Row],[FECHA DE FACTURACIÓN]],"DE CONTADO","CRÉDITO")</f>
        <v>CRÉDITO</v>
      </c>
      <c r="B864" s="38" t="b">
        <f>+IF((PROVEEDORES[[#This Row],[FECHA DE PAGO]]-PROVEEDORES[[#This Row],[FECHA DE FACTURACIÓN]])&gt;PROVEEDORES[[#This Row],[PLAZO Días]],"PAGO VENCIDO")</f>
        <v>0</v>
      </c>
      <c r="C864" s="20">
        <f>+VLOOKUP(PROVEEDORES[[#This Row],[PROVEEDOR]],TERCEROS_INFO[#All],2,FALSE)</f>
        <v>20</v>
      </c>
      <c r="D864" s="25">
        <f>+SUMIFS(PROVEEDORES[Total],PROVEEDORES[PROVEEDOR],PROVEEDORES[[#This Row],[PROVEEDOR]],PROVEEDORES[FECHA DE PAGO],"")</f>
        <v>0</v>
      </c>
      <c r="E864" s="25"/>
      <c r="F86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864" s="161">
        <v>44377</v>
      </c>
      <c r="H864" s="26" t="s">
        <v>397</v>
      </c>
      <c r="I864" s="161">
        <v>44365</v>
      </c>
      <c r="J864" s="35" t="s">
        <v>1252</v>
      </c>
      <c r="K864" s="21">
        <v>732300</v>
      </c>
      <c r="L864" s="21"/>
      <c r="M864" s="22">
        <f>(PROVEEDORES[[#This Row],[SUBTOTAL]]-PROVEEDORES[[#This Row],[descuento sobre subtotal]])*VLOOKUP(PROVEEDORES[[#This Row],[PROVEEDOR]],TERCEROS_INFO[#All],3,FALSE)</f>
        <v>0</v>
      </c>
      <c r="N864" s="23"/>
      <c r="O864" s="22">
        <f>+PROVEEDORES[[#This Row],[Descuento sobre subtotal %]]*(PROVEEDORES[[#This Row],[SUBTOTAL]]-PROVEEDORES[[#This Row],[descuento sobre subtotal]])</f>
        <v>0</v>
      </c>
      <c r="P864" s="83">
        <f>+IF(PROVEEDORES[[#This Row],[SUBTOTAL]]&lt;PROVEEDORES[[#This Row],[base retencion]],0,PROVEEDORES[[#This Row],[retención aplicada]])</f>
        <v>0.01</v>
      </c>
      <c r="Q864" s="22">
        <f>+PROVEEDORES[[#This Row],[Rete Fuente %]]*(PROVEEDORES[[#This Row],[SUBTOTAL]]-PROVEEDORES[[#This Row],[descuento sobre subtotal]])</f>
        <v>7323</v>
      </c>
      <c r="R864" s="21">
        <f>+PROVEEDORES[[#This Row],[SUBTOTAL]]+PROVEEDORES[[#This Row],[IVA 19%]]-PROVEEDORES[[#This Row],[descuento sobre subtotal]]-PROVEEDORES[[#This Row],[Descuento sobre subtotal $2]]-PROVEEDORES[[#This Row],[Rete Fuente $]]</f>
        <v>724977</v>
      </c>
      <c r="S8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68">
        <f ca="1">IF(PROVEEDORES[[#This Row],[FECHA DE PAGO]]=0,TODAY()-PROVEEDORES[[#This Row],[FECHA DE FACTURACIÓN]]-PROVEEDORES[[#This Row],[PLAZO Días]],0)</f>
        <v>0</v>
      </c>
      <c r="U864" s="96" t="str">
        <f>+VLOOKUP(PROVEEDORES[[#This Row],[PROVEEDOR]],Terceros!$A:$D,4,FALSE)</f>
        <v>1% con base</v>
      </c>
      <c r="V864" s="97">
        <f>+YEAR(PROVEEDORES[[#This Row],[FECHA DE FACTURACIÓN]])</f>
        <v>2021</v>
      </c>
      <c r="W864" s="97">
        <f>+MATCH(PROVEEDORES[[#This Row],[año facturado]],Retenciones!$1:$1,0)</f>
        <v>4</v>
      </c>
      <c r="X864" s="98">
        <f>+VLOOKUP(PROVEEDORES[[#This Row],[ID RETENCION]],Retenciones!$A$1:$O$25,PROVEEDORES[[#This Row],[indicador de columna]],FALSE)</f>
        <v>145000</v>
      </c>
      <c r="Y864" s="99">
        <f>+VLOOKUP(PROVEEDORES[[#This Row],[ID RETENCION]],Retenciones!$A$1:$O$25,2,FALSE)</f>
        <v>0.01</v>
      </c>
      <c r="Z864" s="125" t="b">
        <f>OR(COUNTIF(PROVEEDORES[[#This Row],[PROVEEDOR]],"*"&amp;'Palabra no opera'!$A$2&amp;"*"))</f>
        <v>0</v>
      </c>
      <c r="AA864" s="24"/>
      <c r="AB864" s="24"/>
      <c r="AC864" s="24"/>
      <c r="AD864" s="24"/>
      <c r="AE864" s="24"/>
    </row>
    <row r="865" spans="1:31" ht="22.2" customHeight="1" x14ac:dyDescent="0.3">
      <c r="A865" s="159" t="str">
        <f>+IF(PROVEEDORES[[#This Row],[FECHA DE PAGO]]=PROVEEDORES[[#This Row],[FECHA DE FACTURACIÓN]],"DE CONTADO","CRÉDITO")</f>
        <v>CRÉDITO</v>
      </c>
      <c r="B865" s="38" t="str">
        <f>+IF((PROVEEDORES[[#This Row],[FECHA DE PAGO]]-PROVEEDORES[[#This Row],[FECHA DE FACTURACIÓN]])&gt;PROVEEDORES[[#This Row],[PLAZO Días]],"PAGO VENCIDO")</f>
        <v>PAGO VENCIDO</v>
      </c>
      <c r="C865" s="20">
        <f>+VLOOKUP(PROVEEDORES[[#This Row],[PROVEEDOR]],TERCEROS_INFO[#All],2,FALSE)</f>
        <v>30</v>
      </c>
      <c r="D865" s="25">
        <f>+SUMIFS(PROVEEDORES[Total],PROVEEDORES[PROVEEDOR],PROVEEDORES[[#This Row],[PROVEEDOR]],PROVEEDORES[FECHA DE PAGO],"")</f>
        <v>0</v>
      </c>
      <c r="E865" s="25"/>
      <c r="F865" s="58" t="str">
        <f>+VLOOKUP(PROVEEDORES[[#This Row],[PROVEEDOR]],
                       Terceros!$A:$F,
                       5,
                       FALSE)</f>
        <v/>
      </c>
      <c r="G865" s="161">
        <v>44767</v>
      </c>
      <c r="H865" s="26" t="s">
        <v>686</v>
      </c>
      <c r="I865" s="161">
        <v>44735</v>
      </c>
      <c r="J865" s="35" t="s">
        <v>1093</v>
      </c>
      <c r="K865" s="21">
        <v>725000</v>
      </c>
      <c r="L865" s="21"/>
      <c r="M865" s="22">
        <f>(PROVEEDORES[[#This Row],[SUBTOTAL]]-PROVEEDORES[[#This Row],[descuento sobre subtotal]])*VLOOKUP(PROVEEDORES[[#This Row],[PROVEEDOR]],TERCEROS_INFO[#All],3,FALSE)</f>
        <v>0</v>
      </c>
      <c r="N865" s="23"/>
      <c r="O865" s="22">
        <f>+PROVEEDORES[[#This Row],[Descuento sobre subtotal %]]*(PROVEEDORES[[#This Row],[SUBTOTAL]]-PROVEEDORES[[#This Row],[descuento sobre subtotal]])</f>
        <v>0</v>
      </c>
      <c r="P865" s="83">
        <f>+IF(PROVEEDORES[[#This Row],[SUBTOTAL]]&lt;PROVEEDORES[[#This Row],[base retencion]],0,PROVEEDORES[[#This Row],[retención aplicada]])</f>
        <v>0</v>
      </c>
      <c r="Q865" s="22">
        <f>+PROVEEDORES[[#This Row],[Rete Fuente %]]*(PROVEEDORES[[#This Row],[SUBTOTAL]]-PROVEEDORES[[#This Row],[descuento sobre subtotal]])</f>
        <v>0</v>
      </c>
      <c r="R865" s="21">
        <f>+PROVEEDORES[[#This Row],[SUBTOTAL]]+PROVEEDORES[[#This Row],[IVA 19%]]-PROVEEDORES[[#This Row],[descuento sobre subtotal]]-PROVEEDORES[[#This Row],[Descuento sobre subtotal $2]]-PROVEEDORES[[#This Row],[Rete Fuente $]]</f>
        <v>725000</v>
      </c>
      <c r="S86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68">
        <f ca="1">IF(PROVEEDORES[[#This Row],[FECHA DE PAGO]]=0,TODAY()-PROVEEDORES[[#This Row],[FECHA DE FACTURACIÓN]]-PROVEEDORES[[#This Row],[PLAZO Días]],0)</f>
        <v>0</v>
      </c>
      <c r="U865" s="113">
        <f>+VLOOKUP(PROVEEDORES[[#This Row],[PROVEEDOR]],Terceros!$A:$D,4,FALSE)</f>
        <v>0</v>
      </c>
      <c r="V865" s="114">
        <f>+YEAR(PROVEEDORES[[#This Row],[FECHA DE FACTURACIÓN]])</f>
        <v>2022</v>
      </c>
      <c r="W865" s="114">
        <f>+MATCH(PROVEEDORES[[#This Row],[año facturado]],Retenciones!$1:$1,0)</f>
        <v>5</v>
      </c>
      <c r="X865" s="115">
        <f>+VLOOKUP(PROVEEDORES[[#This Row],[ID RETENCION]],Retenciones!$A$1:$O$25,PROVEEDORES[[#This Row],[indicador de columna]],FALSE)</f>
        <v>0</v>
      </c>
      <c r="Y865" s="116">
        <f>+VLOOKUP(PROVEEDORES[[#This Row],[ID RETENCION]],Retenciones!$A$1:$O$25,2,FALSE)</f>
        <v>0</v>
      </c>
      <c r="Z865" s="125" t="b">
        <f>OR(COUNTIF(PROVEEDORES[[#This Row],[PROVEEDOR]],"*"&amp;'Palabra no opera'!$A$2&amp;"*"))</f>
        <v>0</v>
      </c>
      <c r="AA865" s="24"/>
      <c r="AB865" s="24"/>
      <c r="AC865" s="24"/>
      <c r="AD865" s="24"/>
      <c r="AE865" s="24"/>
    </row>
    <row r="866" spans="1:31" ht="22.2" customHeight="1" x14ac:dyDescent="0.3">
      <c r="A866" s="66" t="str">
        <f>+IF(PROVEEDORES[[#This Row],[FECHA DE PAGO]]=PROVEEDORES[[#This Row],[FECHA DE FACTURACIÓN]],"DE CONTADO","CRÉDITO")</f>
        <v>CRÉDITO</v>
      </c>
      <c r="B866" s="38" t="b">
        <f>+IF((PROVEEDORES[[#This Row],[FECHA DE PAGO]]-PROVEEDORES[[#This Row],[FECHA DE FACTURACIÓN]])&gt;PROVEEDORES[[#This Row],[PLAZO Días]],"PAGO VENCIDO")</f>
        <v>0</v>
      </c>
      <c r="C866" s="20">
        <f>+VLOOKUP(PROVEEDORES[[#This Row],[PROVEEDOR]],TERCEROS_INFO[#All],2,FALSE)</f>
        <v>30</v>
      </c>
      <c r="D866" s="25">
        <f>+SUMIFS(PROVEEDORES[Total],PROVEEDORES[PROVEEDOR],PROVEEDORES[[#This Row],[PROVEEDOR]],PROVEEDORES[FECHA DE PAGO],"")</f>
        <v>0</v>
      </c>
      <c r="E866" s="25"/>
      <c r="F86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66" s="161">
        <v>44340</v>
      </c>
      <c r="H866" s="26" t="s">
        <v>927</v>
      </c>
      <c r="I866" s="161">
        <v>44317</v>
      </c>
      <c r="J866" s="35" t="s">
        <v>312</v>
      </c>
      <c r="K866" s="21">
        <v>727051</v>
      </c>
      <c r="L866" s="21"/>
      <c r="M866" s="22">
        <f>(PROVEEDORES[[#This Row],[SUBTOTAL]]-PROVEEDORES[[#This Row],[descuento sobre subtotal]])*VLOOKUP(PROVEEDORES[[#This Row],[PROVEEDOR]],TERCEROS_INFO[#All],3,FALSE)</f>
        <v>0</v>
      </c>
      <c r="N866" s="23"/>
      <c r="O866" s="22">
        <f>+PROVEEDORES[[#This Row],[Descuento sobre subtotal %]]*(PROVEEDORES[[#This Row],[SUBTOTAL]]-PROVEEDORES[[#This Row],[descuento sobre subtotal]])</f>
        <v>0</v>
      </c>
      <c r="P866" s="83">
        <f>+IF(PROVEEDORES[[#This Row],[SUBTOTAL]]&lt;PROVEEDORES[[#This Row],[base retencion]],0,PROVEEDORES[[#This Row],[retención aplicada]])</f>
        <v>0</v>
      </c>
      <c r="Q866" s="22">
        <f>+PROVEEDORES[[#This Row],[Rete Fuente %]]*(PROVEEDORES[[#This Row],[SUBTOTAL]]-PROVEEDORES[[#This Row],[descuento sobre subtotal]])</f>
        <v>0</v>
      </c>
      <c r="R866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68">
        <f ca="1">IF(PROVEEDORES[[#This Row],[FECHA DE PAGO]]=0,TODAY()-PROVEEDORES[[#This Row],[FECHA DE FACTURACIÓN]]-PROVEEDORES[[#This Row],[PLAZO Días]],0)</f>
        <v>0</v>
      </c>
      <c r="U866" s="96">
        <f>+VLOOKUP(PROVEEDORES[[#This Row],[PROVEEDOR]],Terceros!$A:$D,4,FALSE)</f>
        <v>0</v>
      </c>
      <c r="V866" s="97">
        <f>+YEAR(PROVEEDORES[[#This Row],[FECHA DE FACTURACIÓN]])</f>
        <v>2021</v>
      </c>
      <c r="W866" s="97">
        <f>+MATCH(PROVEEDORES[[#This Row],[año facturado]],Retenciones!$1:$1,0)</f>
        <v>4</v>
      </c>
      <c r="X866" s="98">
        <f>+VLOOKUP(PROVEEDORES[[#This Row],[ID RETENCION]],Retenciones!$A$1:$O$25,PROVEEDORES[[#This Row],[indicador de columna]],FALSE)</f>
        <v>0</v>
      </c>
      <c r="Y866" s="99">
        <f>+VLOOKUP(PROVEEDORES[[#This Row],[ID RETENCION]],Retenciones!$A$1:$O$25,2,FALSE)</f>
        <v>0</v>
      </c>
      <c r="Z866" s="125" t="b">
        <f>OR(COUNTIF(PROVEEDORES[[#This Row],[PROVEEDOR]],"*"&amp;'Palabra no opera'!$A$2&amp;"*"))</f>
        <v>1</v>
      </c>
      <c r="AA866" s="24"/>
      <c r="AB866" s="24"/>
      <c r="AC866" s="24"/>
      <c r="AD866" s="24"/>
      <c r="AE866" s="24"/>
    </row>
    <row r="867" spans="1:31" ht="22.2" customHeight="1" x14ac:dyDescent="0.3">
      <c r="A867" s="66" t="str">
        <f>+IF(PROVEEDORES[[#This Row],[FECHA DE PAGO]]=PROVEEDORES[[#This Row],[FECHA DE FACTURACIÓN]],"DE CONTADO","CRÉDITO")</f>
        <v>CRÉDITO</v>
      </c>
      <c r="B867" s="38" t="b">
        <f>+IF((PROVEEDORES[[#This Row],[FECHA DE PAGO]]-PROVEEDORES[[#This Row],[FECHA DE FACTURACIÓN]])&gt;PROVEEDORES[[#This Row],[PLAZO Días]],"PAGO VENCIDO")</f>
        <v>0</v>
      </c>
      <c r="C867" s="20">
        <f>+VLOOKUP(PROVEEDORES[[#This Row],[PROVEEDOR]],TERCEROS_INFO[#All],2,FALSE)</f>
        <v>30</v>
      </c>
      <c r="D867" s="25">
        <f>+SUMIFS(PROVEEDORES[Total],PROVEEDORES[PROVEEDOR],PROVEEDORES[[#This Row],[PROVEEDOR]],PROVEEDORES[FECHA DE PAGO],"")</f>
        <v>0</v>
      </c>
      <c r="E867" s="25"/>
      <c r="F86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67" s="161">
        <v>44368</v>
      </c>
      <c r="H867" s="26" t="s">
        <v>927</v>
      </c>
      <c r="I867" s="161">
        <v>44348</v>
      </c>
      <c r="J867" s="35" t="s">
        <v>312</v>
      </c>
      <c r="K867" s="21">
        <v>727051</v>
      </c>
      <c r="L867" s="21"/>
      <c r="M867" s="22">
        <f>(PROVEEDORES[[#This Row],[SUBTOTAL]]-PROVEEDORES[[#This Row],[descuento sobre subtotal]])*VLOOKUP(PROVEEDORES[[#This Row],[PROVEEDOR]],TERCEROS_INFO[#All],3,FALSE)</f>
        <v>0</v>
      </c>
      <c r="N867" s="23"/>
      <c r="O867" s="22">
        <f>+PROVEEDORES[[#This Row],[Descuento sobre subtotal %]]*(PROVEEDORES[[#This Row],[SUBTOTAL]]-PROVEEDORES[[#This Row],[descuento sobre subtotal]])</f>
        <v>0</v>
      </c>
      <c r="P867" s="83">
        <f>+IF(PROVEEDORES[[#This Row],[SUBTOTAL]]&lt;PROVEEDORES[[#This Row],[base retencion]],0,PROVEEDORES[[#This Row],[retención aplicada]])</f>
        <v>0</v>
      </c>
      <c r="Q867" s="22">
        <f>+PROVEEDORES[[#This Row],[Rete Fuente %]]*(PROVEEDORES[[#This Row],[SUBTOTAL]]-PROVEEDORES[[#This Row],[descuento sobre subtotal]])</f>
        <v>0</v>
      </c>
      <c r="R867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68">
        <f ca="1">IF(PROVEEDORES[[#This Row],[FECHA DE PAGO]]=0,TODAY()-PROVEEDORES[[#This Row],[FECHA DE FACTURACIÓN]]-PROVEEDORES[[#This Row],[PLAZO Días]],0)</f>
        <v>0</v>
      </c>
      <c r="U867" s="96">
        <f>+VLOOKUP(PROVEEDORES[[#This Row],[PROVEEDOR]],Terceros!$A:$D,4,FALSE)</f>
        <v>0</v>
      </c>
      <c r="V867" s="97">
        <f>+YEAR(PROVEEDORES[[#This Row],[FECHA DE FACTURACIÓN]])</f>
        <v>2021</v>
      </c>
      <c r="W867" s="97">
        <f>+MATCH(PROVEEDORES[[#This Row],[año facturado]],Retenciones!$1:$1,0)</f>
        <v>4</v>
      </c>
      <c r="X867" s="98">
        <f>+VLOOKUP(PROVEEDORES[[#This Row],[ID RETENCION]],Retenciones!$A$1:$O$25,PROVEEDORES[[#This Row],[indicador de columna]],FALSE)</f>
        <v>0</v>
      </c>
      <c r="Y867" s="99">
        <f>+VLOOKUP(PROVEEDORES[[#This Row],[ID RETENCION]],Retenciones!$A$1:$O$25,2,FALSE)</f>
        <v>0</v>
      </c>
      <c r="Z867" s="125" t="b">
        <f>OR(COUNTIF(PROVEEDORES[[#This Row],[PROVEEDOR]],"*"&amp;'Palabra no opera'!$A$2&amp;"*"))</f>
        <v>1</v>
      </c>
      <c r="AA867" s="24"/>
      <c r="AB867" s="24"/>
      <c r="AC867" s="24"/>
      <c r="AD867" s="24"/>
      <c r="AE867" s="24"/>
    </row>
    <row r="868" spans="1:31" ht="22.2" customHeight="1" x14ac:dyDescent="0.3">
      <c r="A868" s="66" t="str">
        <f>+IF(PROVEEDORES[[#This Row],[FECHA DE PAGO]]=PROVEEDORES[[#This Row],[FECHA DE FACTURACIÓN]],"DE CONTADO","CRÉDITO")</f>
        <v>CRÉDITO</v>
      </c>
      <c r="B868" s="38" t="b">
        <f>+IF((PROVEEDORES[[#This Row],[FECHA DE PAGO]]-PROVEEDORES[[#This Row],[FECHA DE FACTURACIÓN]])&gt;PROVEEDORES[[#This Row],[PLAZO Días]],"PAGO VENCIDO")</f>
        <v>0</v>
      </c>
      <c r="C868" s="20">
        <f>+VLOOKUP(PROVEEDORES[[#This Row],[PROVEEDOR]],TERCEROS_INFO[#All],2,FALSE)</f>
        <v>30</v>
      </c>
      <c r="D868" s="25">
        <f>+SUMIFS(PROVEEDORES[Total],PROVEEDORES[PROVEEDOR],PROVEEDORES[[#This Row],[PROVEEDOR]],PROVEEDORES[FECHA DE PAGO],"")</f>
        <v>0</v>
      </c>
      <c r="E868" s="25"/>
      <c r="F86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68" s="161">
        <v>44396</v>
      </c>
      <c r="H868" s="26" t="s">
        <v>927</v>
      </c>
      <c r="I868" s="161">
        <v>44378</v>
      </c>
      <c r="J868" s="35" t="s">
        <v>312</v>
      </c>
      <c r="K868" s="21">
        <v>727051</v>
      </c>
      <c r="L868" s="21"/>
      <c r="M868" s="22">
        <f>(PROVEEDORES[[#This Row],[SUBTOTAL]]-PROVEEDORES[[#This Row],[descuento sobre subtotal]])*VLOOKUP(PROVEEDORES[[#This Row],[PROVEEDOR]],TERCEROS_INFO[#All],3,FALSE)</f>
        <v>0</v>
      </c>
      <c r="N868" s="23"/>
      <c r="O868" s="22">
        <f>+PROVEEDORES[[#This Row],[Descuento sobre subtotal %]]*(PROVEEDORES[[#This Row],[SUBTOTAL]]-PROVEEDORES[[#This Row],[descuento sobre subtotal]])</f>
        <v>0</v>
      </c>
      <c r="P868" s="83">
        <f>+IF(PROVEEDORES[[#This Row],[SUBTOTAL]]&lt;PROVEEDORES[[#This Row],[base retencion]],0,PROVEEDORES[[#This Row],[retención aplicada]])</f>
        <v>0</v>
      </c>
      <c r="Q868" s="22">
        <f>+PROVEEDORES[[#This Row],[Rete Fuente %]]*(PROVEEDORES[[#This Row],[SUBTOTAL]]-PROVEEDORES[[#This Row],[descuento sobre subtotal]])</f>
        <v>0</v>
      </c>
      <c r="R868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68">
        <f ca="1">IF(PROVEEDORES[[#This Row],[FECHA DE PAGO]]=0,TODAY()-PROVEEDORES[[#This Row],[FECHA DE FACTURACIÓN]]-PROVEEDORES[[#This Row],[PLAZO Días]],0)</f>
        <v>0</v>
      </c>
      <c r="U868" s="96">
        <f>+VLOOKUP(PROVEEDORES[[#This Row],[PROVEEDOR]],Terceros!$A:$D,4,FALSE)</f>
        <v>0</v>
      </c>
      <c r="V868" s="97">
        <f>+YEAR(PROVEEDORES[[#This Row],[FECHA DE FACTURACIÓN]])</f>
        <v>2021</v>
      </c>
      <c r="W868" s="97">
        <f>+MATCH(PROVEEDORES[[#This Row],[año facturado]],Retenciones!$1:$1,0)</f>
        <v>4</v>
      </c>
      <c r="X868" s="98">
        <f>+VLOOKUP(PROVEEDORES[[#This Row],[ID RETENCION]],Retenciones!$A$1:$O$25,PROVEEDORES[[#This Row],[indicador de columna]],FALSE)</f>
        <v>0</v>
      </c>
      <c r="Y868" s="99">
        <f>+VLOOKUP(PROVEEDORES[[#This Row],[ID RETENCION]],Retenciones!$A$1:$O$25,2,FALSE)</f>
        <v>0</v>
      </c>
      <c r="Z868" s="125" t="b">
        <f>OR(COUNTIF(PROVEEDORES[[#This Row],[PROVEEDOR]],"*"&amp;'Palabra no opera'!$A$2&amp;"*"))</f>
        <v>1</v>
      </c>
      <c r="AA868" s="24"/>
      <c r="AB868" s="24"/>
      <c r="AC868" s="24"/>
      <c r="AD868" s="24"/>
      <c r="AE868" s="24"/>
    </row>
    <row r="869" spans="1:31" ht="22.2" customHeight="1" x14ac:dyDescent="0.3">
      <c r="A869" s="66" t="str">
        <f>+IF(PROVEEDORES[[#This Row],[FECHA DE PAGO]]=PROVEEDORES[[#This Row],[FECHA DE FACTURACIÓN]],"DE CONTADO","CRÉDITO")</f>
        <v>CRÉDITO</v>
      </c>
      <c r="B869" s="38" t="b">
        <f>+IF((PROVEEDORES[[#This Row],[FECHA DE PAGO]]-PROVEEDORES[[#This Row],[FECHA DE FACTURACIÓN]])&gt;PROVEEDORES[[#This Row],[PLAZO Días]],"PAGO VENCIDO")</f>
        <v>0</v>
      </c>
      <c r="C869" s="20">
        <f>+VLOOKUP(PROVEEDORES[[#This Row],[PROVEEDOR]],TERCEROS_INFO[#All],2,FALSE)</f>
        <v>30</v>
      </c>
      <c r="D869" s="25">
        <f>+SUMIFS(PROVEEDORES[Total],PROVEEDORES[PROVEEDOR],PROVEEDORES[[#This Row],[PROVEEDOR]],PROVEEDORES[FECHA DE PAGO],"")</f>
        <v>0</v>
      </c>
      <c r="E869" s="25"/>
      <c r="F86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69" s="161">
        <v>44425</v>
      </c>
      <c r="H869" s="26" t="s">
        <v>927</v>
      </c>
      <c r="I869" s="161">
        <v>44409</v>
      </c>
      <c r="J869" s="35" t="s">
        <v>312</v>
      </c>
      <c r="K869" s="21">
        <v>727051</v>
      </c>
      <c r="L869" s="21"/>
      <c r="M869" s="22">
        <f>(PROVEEDORES[[#This Row],[SUBTOTAL]]-PROVEEDORES[[#This Row],[descuento sobre subtotal]])*VLOOKUP(PROVEEDORES[[#This Row],[PROVEEDOR]],TERCEROS_INFO[#All],3,FALSE)</f>
        <v>0</v>
      </c>
      <c r="N869" s="23"/>
      <c r="O869" s="22">
        <f>+PROVEEDORES[[#This Row],[Descuento sobre subtotal %]]*(PROVEEDORES[[#This Row],[SUBTOTAL]]-PROVEEDORES[[#This Row],[descuento sobre subtotal]])</f>
        <v>0</v>
      </c>
      <c r="P869" s="83">
        <f>+IF(PROVEEDORES[[#This Row],[SUBTOTAL]]&lt;PROVEEDORES[[#This Row],[base retencion]],0,PROVEEDORES[[#This Row],[retención aplicada]])</f>
        <v>0</v>
      </c>
      <c r="Q869" s="22">
        <f>+PROVEEDORES[[#This Row],[Rete Fuente %]]*(PROVEEDORES[[#This Row],[SUBTOTAL]]-PROVEEDORES[[#This Row],[descuento sobre subtotal]])</f>
        <v>0</v>
      </c>
      <c r="R869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68">
        <f ca="1">IF(PROVEEDORES[[#This Row],[FECHA DE PAGO]]=0,TODAY()-PROVEEDORES[[#This Row],[FECHA DE FACTURACIÓN]]-PROVEEDORES[[#This Row],[PLAZO Días]],0)</f>
        <v>0</v>
      </c>
      <c r="U869" s="96">
        <f>+VLOOKUP(PROVEEDORES[[#This Row],[PROVEEDOR]],Terceros!$A:$D,4,FALSE)</f>
        <v>0</v>
      </c>
      <c r="V869" s="97">
        <f>+YEAR(PROVEEDORES[[#This Row],[FECHA DE FACTURACIÓN]])</f>
        <v>2021</v>
      </c>
      <c r="W869" s="97">
        <f>+MATCH(PROVEEDORES[[#This Row],[año facturado]],Retenciones!$1:$1,0)</f>
        <v>4</v>
      </c>
      <c r="X869" s="98">
        <f>+VLOOKUP(PROVEEDORES[[#This Row],[ID RETENCION]],Retenciones!$A$1:$O$25,PROVEEDORES[[#This Row],[indicador de columna]],FALSE)</f>
        <v>0</v>
      </c>
      <c r="Y869" s="99">
        <f>+VLOOKUP(PROVEEDORES[[#This Row],[ID RETENCION]],Retenciones!$A$1:$O$25,2,FALSE)</f>
        <v>0</v>
      </c>
      <c r="Z869" s="125" t="b">
        <f>OR(COUNTIF(PROVEEDORES[[#This Row],[PROVEEDOR]],"*"&amp;'Palabra no opera'!$A$2&amp;"*"))</f>
        <v>1</v>
      </c>
      <c r="AA869" s="24"/>
      <c r="AB869" s="24"/>
      <c r="AC869" s="24"/>
      <c r="AD869" s="24"/>
      <c r="AE869" s="24"/>
    </row>
    <row r="870" spans="1:31" ht="22.2" customHeight="1" x14ac:dyDescent="0.3">
      <c r="A870" s="66" t="str">
        <f>+IF(PROVEEDORES[[#This Row],[FECHA DE PAGO]]=PROVEEDORES[[#This Row],[FECHA DE FACTURACIÓN]],"DE CONTADO","CRÉDITO")</f>
        <v>CRÉDITO</v>
      </c>
      <c r="B870" s="38" t="b">
        <f>+IF((PROVEEDORES[[#This Row],[FECHA DE PAGO]]-PROVEEDORES[[#This Row],[FECHA DE FACTURACIÓN]])&gt;PROVEEDORES[[#This Row],[PLAZO Días]],"PAGO VENCIDO")</f>
        <v>0</v>
      </c>
      <c r="C870" s="20">
        <f>+VLOOKUP(PROVEEDORES[[#This Row],[PROVEEDOR]],TERCEROS_INFO[#All],2,FALSE)</f>
        <v>30</v>
      </c>
      <c r="D870" s="25">
        <f>+SUMIFS(PROVEEDORES[Total],PROVEEDORES[PROVEEDOR],PROVEEDORES[[#This Row],[PROVEEDOR]],PROVEEDORES[FECHA DE PAGO],"")</f>
        <v>0</v>
      </c>
      <c r="E870" s="25"/>
      <c r="F87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70" s="161">
        <v>44456</v>
      </c>
      <c r="H870" s="26" t="s">
        <v>927</v>
      </c>
      <c r="I870" s="161">
        <v>44440</v>
      </c>
      <c r="J870" s="35" t="s">
        <v>312</v>
      </c>
      <c r="K870" s="21">
        <v>727051</v>
      </c>
      <c r="L870" s="21"/>
      <c r="M870" s="22">
        <f>(PROVEEDORES[[#This Row],[SUBTOTAL]]-PROVEEDORES[[#This Row],[descuento sobre subtotal]])*VLOOKUP(PROVEEDORES[[#This Row],[PROVEEDOR]],TERCEROS_INFO[#All],3,FALSE)</f>
        <v>0</v>
      </c>
      <c r="N870" s="23"/>
      <c r="O870" s="22">
        <f>+PROVEEDORES[[#This Row],[Descuento sobre subtotal %]]*(PROVEEDORES[[#This Row],[SUBTOTAL]]-PROVEEDORES[[#This Row],[descuento sobre subtotal]])</f>
        <v>0</v>
      </c>
      <c r="P870" s="83">
        <f>+IF(PROVEEDORES[[#This Row],[SUBTOTAL]]&lt;PROVEEDORES[[#This Row],[base retencion]],0,PROVEEDORES[[#This Row],[retención aplicada]])</f>
        <v>0</v>
      </c>
      <c r="Q870" s="22">
        <f>+PROVEEDORES[[#This Row],[Rete Fuente %]]*(PROVEEDORES[[#This Row],[SUBTOTAL]]-PROVEEDORES[[#This Row],[descuento sobre subtotal]])</f>
        <v>0</v>
      </c>
      <c r="R870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68">
        <f ca="1">IF(PROVEEDORES[[#This Row],[FECHA DE PAGO]]=0,TODAY()-PROVEEDORES[[#This Row],[FECHA DE FACTURACIÓN]]-PROVEEDORES[[#This Row],[PLAZO Días]],0)</f>
        <v>0</v>
      </c>
      <c r="U870" s="96">
        <f>+VLOOKUP(PROVEEDORES[[#This Row],[PROVEEDOR]],Terceros!$A:$D,4,FALSE)</f>
        <v>0</v>
      </c>
      <c r="V870" s="97">
        <f>+YEAR(PROVEEDORES[[#This Row],[FECHA DE FACTURACIÓN]])</f>
        <v>2021</v>
      </c>
      <c r="W870" s="97">
        <f>+MATCH(PROVEEDORES[[#This Row],[año facturado]],Retenciones!$1:$1,0)</f>
        <v>4</v>
      </c>
      <c r="X870" s="98">
        <f>+VLOOKUP(PROVEEDORES[[#This Row],[ID RETENCION]],Retenciones!$A$1:$O$25,PROVEEDORES[[#This Row],[indicador de columna]],FALSE)</f>
        <v>0</v>
      </c>
      <c r="Y870" s="99">
        <f>+VLOOKUP(PROVEEDORES[[#This Row],[ID RETENCION]],Retenciones!$A$1:$O$25,2,FALSE)</f>
        <v>0</v>
      </c>
      <c r="Z870" s="125" t="b">
        <f>OR(COUNTIF(PROVEEDORES[[#This Row],[PROVEEDOR]],"*"&amp;'Palabra no opera'!$A$2&amp;"*"))</f>
        <v>1</v>
      </c>
      <c r="AA870" s="24"/>
      <c r="AB870" s="24"/>
      <c r="AC870" s="24"/>
      <c r="AD870" s="24"/>
      <c r="AE870" s="24"/>
    </row>
    <row r="871" spans="1:31" ht="22.2" customHeight="1" x14ac:dyDescent="0.3">
      <c r="A871" s="66" t="str">
        <f>+IF(PROVEEDORES[[#This Row],[FECHA DE PAGO]]=PROVEEDORES[[#This Row],[FECHA DE FACTURACIÓN]],"DE CONTADO","CRÉDITO")</f>
        <v>CRÉDITO</v>
      </c>
      <c r="B871" s="38" t="b">
        <f>+IF((PROVEEDORES[[#This Row],[FECHA DE PAGO]]-PROVEEDORES[[#This Row],[FECHA DE FACTURACIÓN]])&gt;PROVEEDORES[[#This Row],[PLAZO Días]],"PAGO VENCIDO")</f>
        <v>0</v>
      </c>
      <c r="C871" s="20">
        <f>+VLOOKUP(PROVEEDORES[[#This Row],[PROVEEDOR]],TERCEROS_INFO[#All],2,FALSE)</f>
        <v>30</v>
      </c>
      <c r="D871" s="25">
        <f>+SUMIFS(PROVEEDORES[Total],PROVEEDORES[PROVEEDOR],PROVEEDORES[[#This Row],[PROVEEDOR]],PROVEEDORES[FECHA DE PAGO],"")</f>
        <v>0</v>
      </c>
      <c r="E871" s="25"/>
      <c r="F87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71" s="161">
        <v>44484</v>
      </c>
      <c r="H871" s="26" t="s">
        <v>927</v>
      </c>
      <c r="I871" s="161">
        <v>44470</v>
      </c>
      <c r="J871" s="35" t="s">
        <v>312</v>
      </c>
      <c r="K871" s="21">
        <v>727051</v>
      </c>
      <c r="L871" s="21"/>
      <c r="M871" s="22">
        <f>(PROVEEDORES[[#This Row],[SUBTOTAL]]-PROVEEDORES[[#This Row],[descuento sobre subtotal]])*VLOOKUP(PROVEEDORES[[#This Row],[PROVEEDOR]],TERCEROS_INFO[#All],3,FALSE)</f>
        <v>0</v>
      </c>
      <c r="N871" s="23"/>
      <c r="O871" s="22">
        <f>+PROVEEDORES[[#This Row],[Descuento sobre subtotal %]]*(PROVEEDORES[[#This Row],[SUBTOTAL]]-PROVEEDORES[[#This Row],[descuento sobre subtotal]])</f>
        <v>0</v>
      </c>
      <c r="P871" s="83">
        <f>+IF(PROVEEDORES[[#This Row],[SUBTOTAL]]&lt;PROVEEDORES[[#This Row],[base retencion]],0,PROVEEDORES[[#This Row],[retención aplicada]])</f>
        <v>0</v>
      </c>
      <c r="Q871" s="22">
        <f>+PROVEEDORES[[#This Row],[Rete Fuente %]]*(PROVEEDORES[[#This Row],[SUBTOTAL]]-PROVEEDORES[[#This Row],[descuento sobre subtotal]])</f>
        <v>0</v>
      </c>
      <c r="R871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68">
        <f ca="1">IF(PROVEEDORES[[#This Row],[FECHA DE PAGO]]=0,TODAY()-PROVEEDORES[[#This Row],[FECHA DE FACTURACIÓN]]-PROVEEDORES[[#This Row],[PLAZO Días]],0)</f>
        <v>0</v>
      </c>
      <c r="U871" s="96">
        <f>+VLOOKUP(PROVEEDORES[[#This Row],[PROVEEDOR]],Terceros!$A:$D,4,FALSE)</f>
        <v>0</v>
      </c>
      <c r="V871" s="97">
        <f>+YEAR(PROVEEDORES[[#This Row],[FECHA DE FACTURACIÓN]])</f>
        <v>2021</v>
      </c>
      <c r="W871" s="97">
        <f>+MATCH(PROVEEDORES[[#This Row],[año facturado]],Retenciones!$1:$1,0)</f>
        <v>4</v>
      </c>
      <c r="X871" s="98">
        <f>+VLOOKUP(PROVEEDORES[[#This Row],[ID RETENCION]],Retenciones!$A$1:$O$25,PROVEEDORES[[#This Row],[indicador de columna]],FALSE)</f>
        <v>0</v>
      </c>
      <c r="Y871" s="99">
        <f>+VLOOKUP(PROVEEDORES[[#This Row],[ID RETENCION]],Retenciones!$A$1:$O$25,2,FALSE)</f>
        <v>0</v>
      </c>
      <c r="Z871" s="125" t="b">
        <f>OR(COUNTIF(PROVEEDORES[[#This Row],[PROVEEDOR]],"*"&amp;'Palabra no opera'!$A$2&amp;"*"))</f>
        <v>1</v>
      </c>
      <c r="AA871" s="24"/>
      <c r="AB871" s="24"/>
      <c r="AC871" s="24"/>
      <c r="AD871" s="24"/>
      <c r="AE871" s="24"/>
    </row>
    <row r="872" spans="1:31" ht="22.2" customHeight="1" x14ac:dyDescent="0.3">
      <c r="A872" s="66" t="str">
        <f>+IF(PROVEEDORES[[#This Row],[FECHA DE PAGO]]=PROVEEDORES[[#This Row],[FECHA DE FACTURACIÓN]],"DE CONTADO","CRÉDITO")</f>
        <v>CRÉDITO</v>
      </c>
      <c r="B872" s="38" t="b">
        <f>+IF((PROVEEDORES[[#This Row],[FECHA DE PAGO]]-PROVEEDORES[[#This Row],[FECHA DE FACTURACIÓN]])&gt;PROVEEDORES[[#This Row],[PLAZO Días]],"PAGO VENCIDO")</f>
        <v>0</v>
      </c>
      <c r="C872" s="20">
        <f>+VLOOKUP(PROVEEDORES[[#This Row],[PROVEEDOR]],TERCEROS_INFO[#All],2,FALSE)</f>
        <v>30</v>
      </c>
      <c r="D872" s="25">
        <f>+SUMIFS(PROVEEDORES[Total],PROVEEDORES[PROVEEDOR],PROVEEDORES[[#This Row],[PROVEEDOR]],PROVEEDORES[FECHA DE PAGO],"")</f>
        <v>0</v>
      </c>
      <c r="E872" s="25"/>
      <c r="F87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72" s="161">
        <v>44516</v>
      </c>
      <c r="H872" s="26" t="s">
        <v>927</v>
      </c>
      <c r="I872" s="161">
        <v>44501</v>
      </c>
      <c r="J872" s="35" t="s">
        <v>312</v>
      </c>
      <c r="K872" s="21">
        <v>727051</v>
      </c>
      <c r="L872" s="21"/>
      <c r="M872" s="22">
        <f>(PROVEEDORES[[#This Row],[SUBTOTAL]]-PROVEEDORES[[#This Row],[descuento sobre subtotal]])*VLOOKUP(PROVEEDORES[[#This Row],[PROVEEDOR]],TERCEROS_INFO[#All],3,FALSE)</f>
        <v>0</v>
      </c>
      <c r="N872" s="23"/>
      <c r="O872" s="22">
        <f>+PROVEEDORES[[#This Row],[Descuento sobre subtotal %]]*(PROVEEDORES[[#This Row],[SUBTOTAL]]-PROVEEDORES[[#This Row],[descuento sobre subtotal]])</f>
        <v>0</v>
      </c>
      <c r="P872" s="83">
        <f>+IF(PROVEEDORES[[#This Row],[SUBTOTAL]]&lt;PROVEEDORES[[#This Row],[base retencion]],0,PROVEEDORES[[#This Row],[retención aplicada]])</f>
        <v>0</v>
      </c>
      <c r="Q872" s="22">
        <f>+PROVEEDORES[[#This Row],[Rete Fuente %]]*(PROVEEDORES[[#This Row],[SUBTOTAL]]-PROVEEDORES[[#This Row],[descuento sobre subtotal]])</f>
        <v>0</v>
      </c>
      <c r="R872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68">
        <f ca="1">IF(PROVEEDORES[[#This Row],[FECHA DE PAGO]]=0,TODAY()-PROVEEDORES[[#This Row],[FECHA DE FACTURACIÓN]]-PROVEEDORES[[#This Row],[PLAZO Días]],0)</f>
        <v>0</v>
      </c>
      <c r="U872" s="96">
        <f>+VLOOKUP(PROVEEDORES[[#This Row],[PROVEEDOR]],Terceros!$A:$D,4,FALSE)</f>
        <v>0</v>
      </c>
      <c r="V872" s="97">
        <f>+YEAR(PROVEEDORES[[#This Row],[FECHA DE FACTURACIÓN]])</f>
        <v>2021</v>
      </c>
      <c r="W872" s="97">
        <f>+MATCH(PROVEEDORES[[#This Row],[año facturado]],Retenciones!$1:$1,0)</f>
        <v>4</v>
      </c>
      <c r="X872" s="98">
        <f>+VLOOKUP(PROVEEDORES[[#This Row],[ID RETENCION]],Retenciones!$A$1:$O$25,PROVEEDORES[[#This Row],[indicador de columna]],FALSE)</f>
        <v>0</v>
      </c>
      <c r="Y872" s="99">
        <f>+VLOOKUP(PROVEEDORES[[#This Row],[ID RETENCION]],Retenciones!$A$1:$O$25,2,FALSE)</f>
        <v>0</v>
      </c>
      <c r="Z872" s="125" t="b">
        <f>OR(COUNTIF(PROVEEDORES[[#This Row],[PROVEEDOR]],"*"&amp;'Palabra no opera'!$A$2&amp;"*"))</f>
        <v>1</v>
      </c>
      <c r="AA872" s="24"/>
      <c r="AB872" s="24"/>
      <c r="AC872" s="24"/>
      <c r="AD872" s="24"/>
      <c r="AE872" s="24"/>
    </row>
    <row r="873" spans="1:31" ht="22.2" customHeight="1" x14ac:dyDescent="0.3">
      <c r="A873" s="66" t="str">
        <f>+IF(PROVEEDORES[[#This Row],[FECHA DE PAGO]]=PROVEEDORES[[#This Row],[FECHA DE FACTURACIÓN]],"DE CONTADO","CRÉDITO")</f>
        <v>CRÉDITO</v>
      </c>
      <c r="B873" s="38" t="b">
        <f>+IF((PROVEEDORES[[#This Row],[FECHA DE PAGO]]-PROVEEDORES[[#This Row],[FECHA DE FACTURACIÓN]])&gt;PROVEEDORES[[#This Row],[PLAZO Días]],"PAGO VENCIDO")</f>
        <v>0</v>
      </c>
      <c r="C873" s="20">
        <f>+VLOOKUP(PROVEEDORES[[#This Row],[PROVEEDOR]],TERCEROS_INFO[#All],2,FALSE)</f>
        <v>30</v>
      </c>
      <c r="D873" s="25">
        <f>+SUMIFS(PROVEEDORES[Total],PROVEEDORES[PROVEEDOR],PROVEEDORES[[#This Row],[PROVEEDOR]],PROVEEDORES[FECHA DE PAGO],"")</f>
        <v>0</v>
      </c>
      <c r="E873" s="25"/>
      <c r="F87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73" s="161">
        <v>44543</v>
      </c>
      <c r="H873" s="26" t="s">
        <v>927</v>
      </c>
      <c r="I873" s="161">
        <v>44531</v>
      </c>
      <c r="J873" s="35" t="s">
        <v>312</v>
      </c>
      <c r="K873" s="21">
        <v>727051</v>
      </c>
      <c r="L873" s="21"/>
      <c r="M873" s="22">
        <f>(PROVEEDORES[[#This Row],[SUBTOTAL]]-PROVEEDORES[[#This Row],[descuento sobre subtotal]])*VLOOKUP(PROVEEDORES[[#This Row],[PROVEEDOR]],TERCEROS_INFO[#All],3,FALSE)</f>
        <v>0</v>
      </c>
      <c r="N873" s="23"/>
      <c r="O873" s="22">
        <f>+PROVEEDORES[[#This Row],[Descuento sobre subtotal %]]*(PROVEEDORES[[#This Row],[SUBTOTAL]]-PROVEEDORES[[#This Row],[descuento sobre subtotal]])</f>
        <v>0</v>
      </c>
      <c r="P873" s="83">
        <f>+IF(PROVEEDORES[[#This Row],[SUBTOTAL]]&lt;PROVEEDORES[[#This Row],[base retencion]],0,PROVEEDORES[[#This Row],[retención aplicada]])</f>
        <v>0</v>
      </c>
      <c r="Q873" s="22">
        <f>+PROVEEDORES[[#This Row],[Rete Fuente %]]*(PROVEEDORES[[#This Row],[SUBTOTAL]]-PROVEEDORES[[#This Row],[descuento sobre subtotal]])</f>
        <v>0</v>
      </c>
      <c r="R873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68">
        <f ca="1">IF(PROVEEDORES[[#This Row],[FECHA DE PAGO]]=0,TODAY()-PROVEEDORES[[#This Row],[FECHA DE FACTURACIÓN]]-PROVEEDORES[[#This Row],[PLAZO Días]],0)</f>
        <v>0</v>
      </c>
      <c r="U873" s="96">
        <f>+VLOOKUP(PROVEEDORES[[#This Row],[PROVEEDOR]],Terceros!$A:$D,4,FALSE)</f>
        <v>0</v>
      </c>
      <c r="V873" s="97">
        <f>+YEAR(PROVEEDORES[[#This Row],[FECHA DE FACTURACIÓN]])</f>
        <v>2021</v>
      </c>
      <c r="W873" s="97">
        <f>+MATCH(PROVEEDORES[[#This Row],[año facturado]],Retenciones!$1:$1,0)</f>
        <v>4</v>
      </c>
      <c r="X873" s="98">
        <f>+VLOOKUP(PROVEEDORES[[#This Row],[ID RETENCION]],Retenciones!$A$1:$O$25,PROVEEDORES[[#This Row],[indicador de columna]],FALSE)</f>
        <v>0</v>
      </c>
      <c r="Y873" s="99">
        <f>+VLOOKUP(PROVEEDORES[[#This Row],[ID RETENCION]],Retenciones!$A$1:$O$25,2,FALSE)</f>
        <v>0</v>
      </c>
      <c r="Z873" s="125" t="b">
        <f>OR(COUNTIF(PROVEEDORES[[#This Row],[PROVEEDOR]],"*"&amp;'Palabra no opera'!$A$2&amp;"*"))</f>
        <v>1</v>
      </c>
      <c r="AA873" s="24"/>
      <c r="AB873" s="24"/>
      <c r="AC873" s="24"/>
      <c r="AD873" s="24"/>
      <c r="AE873" s="24"/>
    </row>
    <row r="874" spans="1:31" ht="22.2" customHeight="1" x14ac:dyDescent="0.3">
      <c r="A874" s="195" t="str">
        <f>+IF(PROVEEDORES[[#This Row],[FECHA DE PAGO]]=PROVEEDORES[[#This Row],[FECHA DE FACTURACIÓN]],"DE CONTADO","CRÉDITO")</f>
        <v>DE CONTADO</v>
      </c>
      <c r="B874" s="38" t="b">
        <f>+IF((PROVEEDORES[[#This Row],[FECHA DE PAGO]]-PROVEEDORES[[#This Row],[FECHA DE FACTURACIÓN]])&gt;PROVEEDORES[[#This Row],[PLAZO Días]],"PAGO VENCIDO")</f>
        <v>0</v>
      </c>
      <c r="C874" s="20">
        <f>+VLOOKUP(PROVEEDORES[[#This Row],[PROVEEDOR]],TERCEROS_INFO[#All],2,FALSE)</f>
        <v>30</v>
      </c>
      <c r="D874" s="25">
        <f>+SUMIFS(PROVEEDORES[Total],PROVEEDORES[PROVEEDOR],PROVEEDORES[[#This Row],[PROVEEDOR]],PROVEEDORES[FECHA DE PAGO],"")</f>
        <v>0</v>
      </c>
      <c r="E874" s="25"/>
      <c r="F874" s="58" t="str">
        <f>+VLOOKUP(PROVEEDORES[[#This Row],[PROVEEDOR]],
                       Terceros!$A:$F,
                       5,
                       FALSE)</f>
        <v/>
      </c>
      <c r="G874" s="161">
        <v>44773</v>
      </c>
      <c r="H874" s="26" t="s">
        <v>644</v>
      </c>
      <c r="I874" s="161">
        <v>44773</v>
      </c>
      <c r="J874" s="35" t="s">
        <v>597</v>
      </c>
      <c r="K874" s="21">
        <v>728200</v>
      </c>
      <c r="L874" s="21"/>
      <c r="M874" s="22">
        <f>(PROVEEDORES[[#This Row],[SUBTOTAL]]-PROVEEDORES[[#This Row],[descuento sobre subtotal]])*VLOOKUP(PROVEEDORES[[#This Row],[PROVEEDOR]],TERCEROS_INFO[#All],3,FALSE)</f>
        <v>0</v>
      </c>
      <c r="N874" s="23"/>
      <c r="O874" s="22">
        <f>+PROVEEDORES[[#This Row],[Descuento sobre subtotal %]]*(PROVEEDORES[[#This Row],[SUBTOTAL]]-PROVEEDORES[[#This Row],[descuento sobre subtotal]])</f>
        <v>0</v>
      </c>
      <c r="P874" s="83">
        <f>+IF(PROVEEDORES[[#This Row],[SUBTOTAL]]&lt;PROVEEDORES[[#This Row],[base retencion]],0,PROVEEDORES[[#This Row],[retención aplicada]])</f>
        <v>0</v>
      </c>
      <c r="Q874" s="22">
        <f>+PROVEEDORES[[#This Row],[Rete Fuente %]]*(PROVEEDORES[[#This Row],[SUBTOTAL]]-PROVEEDORES[[#This Row],[descuento sobre subtotal]])</f>
        <v>0</v>
      </c>
      <c r="R874" s="21">
        <f>+PROVEEDORES[[#This Row],[SUBTOTAL]]+PROVEEDORES[[#This Row],[IVA 19%]]-PROVEEDORES[[#This Row],[descuento sobre subtotal]]-PROVEEDORES[[#This Row],[Descuento sobre subtotal $2]]-PROVEEDORES[[#This Row],[Rete Fuente $]]</f>
        <v>728200</v>
      </c>
      <c r="S874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68">
        <f ca="1">IF(PROVEEDORES[[#This Row],[FECHA DE PAGO]]=0,TODAY()-PROVEEDORES[[#This Row],[FECHA DE FACTURACIÓN]]-PROVEEDORES[[#This Row],[PLAZO Días]],0)</f>
        <v>0</v>
      </c>
      <c r="U874" s="113">
        <f>+VLOOKUP(PROVEEDORES[[#This Row],[PROVEEDOR]],Terceros!$A:$D,4,FALSE)</f>
        <v>0</v>
      </c>
      <c r="V874" s="114">
        <f>+YEAR(PROVEEDORES[[#This Row],[FECHA DE FACTURACIÓN]])</f>
        <v>2022</v>
      </c>
      <c r="W874" s="114">
        <f>+MATCH(PROVEEDORES[[#This Row],[año facturado]],Retenciones!$1:$1,0)</f>
        <v>5</v>
      </c>
      <c r="X874" s="115">
        <f>+VLOOKUP(PROVEEDORES[[#This Row],[ID RETENCION]],Retenciones!$A$1:$O$25,PROVEEDORES[[#This Row],[indicador de columna]],FALSE)</f>
        <v>0</v>
      </c>
      <c r="Y874" s="116">
        <f>+VLOOKUP(PROVEEDORES[[#This Row],[ID RETENCION]],Retenciones!$A$1:$O$25,2,FALSE)</f>
        <v>0</v>
      </c>
      <c r="Z874" s="125" t="b">
        <f>OR(COUNTIF(PROVEEDORES[[#This Row],[PROVEEDOR]],"*"&amp;'Palabra no opera'!$A$2&amp;"*"))</f>
        <v>0</v>
      </c>
      <c r="AA874" s="24"/>
      <c r="AB874" s="24"/>
      <c r="AC874" s="24"/>
      <c r="AD874" s="24"/>
      <c r="AE874" s="24"/>
    </row>
    <row r="875" spans="1:31" ht="22.2" customHeight="1" x14ac:dyDescent="0.3">
      <c r="A875" s="66" t="str">
        <f>+IF(PROVEEDORES[[#This Row],[FECHA DE PAGO]]=PROVEEDORES[[#This Row],[FECHA DE FACTURACIÓN]],"DE CONTADO","CRÉDITO")</f>
        <v>CRÉDITO</v>
      </c>
      <c r="B875" s="38" t="b">
        <f>+IF((PROVEEDORES[[#This Row],[FECHA DE PAGO]]-PROVEEDORES[[#This Row],[FECHA DE FACTURACIÓN]])&gt;PROVEEDORES[[#This Row],[PLAZO Días]],"PAGO VENCIDO")</f>
        <v>0</v>
      </c>
      <c r="C875" s="20">
        <f>+VLOOKUP(PROVEEDORES[[#This Row],[PROVEEDOR]],TERCEROS_INFO[#All],2,FALSE)</f>
        <v>30</v>
      </c>
      <c r="D875" s="25">
        <f>+SUMIFS(PROVEEDORES[Total],PROVEEDORES[PROVEEDOR],PROVEEDORES[[#This Row],[PROVEEDOR]],PROVEEDORES[FECHA DE PAGO],"")</f>
        <v>0</v>
      </c>
      <c r="E875" s="25"/>
      <c r="F87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75" s="161">
        <v>44496</v>
      </c>
      <c r="H875" s="26" t="s">
        <v>928</v>
      </c>
      <c r="I875" s="161">
        <v>44480</v>
      </c>
      <c r="J875" s="35" t="s">
        <v>1328</v>
      </c>
      <c r="K875" s="21">
        <v>756882</v>
      </c>
      <c r="L875" s="21"/>
      <c r="M875" s="22">
        <f>(PROVEEDORES[[#This Row],[SUBTOTAL]]-PROVEEDORES[[#This Row],[descuento sobre subtotal]])*VLOOKUP(PROVEEDORES[[#This Row],[PROVEEDOR]],TERCEROS_INFO[#All],3,FALSE)</f>
        <v>0</v>
      </c>
      <c r="N875" s="23"/>
      <c r="O875" s="22">
        <f>+PROVEEDORES[[#This Row],[Descuento sobre subtotal %]]*(PROVEEDORES[[#This Row],[SUBTOTAL]]-PROVEEDORES[[#This Row],[descuento sobre subtotal]])</f>
        <v>0</v>
      </c>
      <c r="P875" s="83">
        <f>+IF(PROVEEDORES[[#This Row],[SUBTOTAL]]&lt;PROVEEDORES[[#This Row],[base retencion]],0,PROVEEDORES[[#This Row],[retención aplicada]])</f>
        <v>3.5000000000000003E-2</v>
      </c>
      <c r="Q875" s="22">
        <f>+PROVEEDORES[[#This Row],[Rete Fuente %]]*(PROVEEDORES[[#This Row],[SUBTOTAL]]-PROVEEDORES[[#This Row],[descuento sobre subtotal]])</f>
        <v>26490.870000000003</v>
      </c>
      <c r="R875" s="21">
        <f>+PROVEEDORES[[#This Row],[SUBTOTAL]]+PROVEEDORES[[#This Row],[IVA 19%]]-PROVEEDORES[[#This Row],[descuento sobre subtotal]]-PROVEEDORES[[#This Row],[Descuento sobre subtotal $2]]-PROVEEDORES[[#This Row],[Rete Fuente $]]</f>
        <v>730391.13</v>
      </c>
      <c r="S8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68">
        <f ca="1">IF(PROVEEDORES[[#This Row],[FECHA DE PAGO]]=0,TODAY()-PROVEEDORES[[#This Row],[FECHA DE FACTURACIÓN]]-PROVEEDORES[[#This Row],[PLAZO Días]],0)</f>
        <v>0</v>
      </c>
      <c r="U875" s="96" t="str">
        <f>+VLOOKUP(PROVEEDORES[[#This Row],[PROVEEDOR]],Terceros!$A:$D,4,FALSE)</f>
        <v>3,5% sin base</v>
      </c>
      <c r="V875" s="97">
        <f>+YEAR(PROVEEDORES[[#This Row],[FECHA DE FACTURACIÓN]])</f>
        <v>2021</v>
      </c>
      <c r="W875" s="97">
        <f>+MATCH(PROVEEDORES[[#This Row],[año facturado]],Retenciones!$1:$1,0)</f>
        <v>4</v>
      </c>
      <c r="X875" s="98">
        <f>+VLOOKUP(PROVEEDORES[[#This Row],[ID RETENCION]],Retenciones!$A$1:$O$25,PROVEEDORES[[#This Row],[indicador de columna]],FALSE)</f>
        <v>0</v>
      </c>
      <c r="Y875" s="99">
        <f>+VLOOKUP(PROVEEDORES[[#This Row],[ID RETENCION]],Retenciones!$A$1:$O$25,2,FALSE)</f>
        <v>3.5000000000000003E-2</v>
      </c>
      <c r="Z875" s="125" t="b">
        <f>OR(COUNTIF(PROVEEDORES[[#This Row],[PROVEEDOR]],"*"&amp;'Palabra no opera'!$A$2&amp;"*"))</f>
        <v>1</v>
      </c>
      <c r="AA875" s="24"/>
      <c r="AB875" s="24"/>
      <c r="AC875" s="24"/>
      <c r="AD875" s="24"/>
      <c r="AE875" s="24"/>
    </row>
    <row r="876" spans="1:31" ht="22.2" customHeight="1" x14ac:dyDescent="0.3">
      <c r="A876" s="66" t="str">
        <f>+IF(PROVEEDORES[[#This Row],[FECHA DE PAGO]]=PROVEEDORES[[#This Row],[FECHA DE FACTURACIÓN]],"DE CONTADO","CRÉDITO")</f>
        <v>CRÉDITO</v>
      </c>
      <c r="B876" s="38" t="str">
        <f>+IF((PROVEEDORES[[#This Row],[FECHA DE PAGO]]-PROVEEDORES[[#This Row],[FECHA DE FACTURACIÓN]])&gt;PROVEEDORES[[#This Row],[PLAZO Días]],"PAGO VENCIDO")</f>
        <v>PAGO VENCIDO</v>
      </c>
      <c r="C876" s="20">
        <f>+VLOOKUP(PROVEEDORES[[#This Row],[PROVEEDOR]],TERCEROS_INFO[#All],2,FALSE)</f>
        <v>30</v>
      </c>
      <c r="D876" s="25">
        <f>+SUMIFS(PROVEEDORES[Total],PROVEEDORES[PROVEEDOR],PROVEEDORES[[#This Row],[PROVEEDOR]],PROVEEDORES[FECHA DE PAGO],"")</f>
        <v>0</v>
      </c>
      <c r="E876" s="25"/>
      <c r="F87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76" s="161">
        <v>44670</v>
      </c>
      <c r="H876" s="26" t="s">
        <v>20</v>
      </c>
      <c r="I876" s="161">
        <v>44615</v>
      </c>
      <c r="J876" s="35">
        <v>6379</v>
      </c>
      <c r="K876" s="21">
        <v>614042</v>
      </c>
      <c r="L876" s="21"/>
      <c r="M876" s="22">
        <v>116667.98</v>
      </c>
      <c r="N876" s="23"/>
      <c r="O876" s="22">
        <v>0</v>
      </c>
      <c r="P876" s="83">
        <f>+IF(PROVEEDORES[[#This Row],[SUBTOTAL]]&lt;PROVEEDORES[[#This Row],[base retencion]],0,PROVEEDORES[[#This Row],[retención aplicada]])</f>
        <v>0</v>
      </c>
      <c r="Q876" s="22">
        <f>+PROVEEDORES[[#This Row],[Rete Fuente %]]*(PROVEEDORES[[#This Row],[SUBTOTAL]]-PROVEEDORES[[#This Row],[descuento sobre subtotal]])</f>
        <v>0</v>
      </c>
      <c r="R876" s="21">
        <v>730709.98</v>
      </c>
      <c r="S8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68">
        <f ca="1">IF(PROVEEDORES[[#This Row],[FECHA DE PAGO]]=0,TODAY()-PROVEEDORES[[#This Row],[FECHA DE FACTURACIÓN]]-PROVEEDORES[[#This Row],[PLAZO Días]],0)</f>
        <v>0</v>
      </c>
      <c r="U876" s="96" t="str">
        <f>+VLOOKUP(PROVEEDORES[[#This Row],[PROVEEDOR]],Terceros!$A:$D,4,FALSE)</f>
        <v>2,5% con base</v>
      </c>
      <c r="V876" s="97">
        <f>+YEAR(PROVEEDORES[[#This Row],[FECHA DE FACTURACIÓN]])</f>
        <v>2022</v>
      </c>
      <c r="W876" s="97">
        <f>+MATCH(PROVEEDORES[[#This Row],[año facturado]],Retenciones!$1:$1,0)</f>
        <v>5</v>
      </c>
      <c r="X876" s="98">
        <f>+VLOOKUP(PROVEEDORES[[#This Row],[ID RETENCION]],Retenciones!$A$1:$O$25,PROVEEDORES[[#This Row],[indicador de columna]],FALSE)</f>
        <v>1026000</v>
      </c>
      <c r="Y876" s="99">
        <f>+VLOOKUP(PROVEEDORES[[#This Row],[ID RETENCION]],Retenciones!$A$1:$O$25,2,FALSE)</f>
        <v>2.5000000000000001E-2</v>
      </c>
      <c r="Z876" s="125" t="b">
        <f>OR(COUNTIF(PROVEEDORES[[#This Row],[PROVEEDOR]],"*"&amp;'Palabra no opera'!$A$2&amp;"*"))</f>
        <v>0</v>
      </c>
      <c r="AA876" s="24"/>
      <c r="AB876" s="24"/>
      <c r="AC876" s="24"/>
      <c r="AD876" s="24"/>
      <c r="AE876" s="24"/>
    </row>
    <row r="877" spans="1:31" ht="22.2" customHeight="1" x14ac:dyDescent="0.3">
      <c r="A877" s="269" t="str">
        <f>+IF(PROVEEDORES[[#This Row],[FECHA DE PAGO]]=PROVEEDORES[[#This Row],[FECHA DE FACTURACIÓN]],"DE CONTADO","CRÉDITO")</f>
        <v>DE CONTADO</v>
      </c>
      <c r="B877" s="38" t="b">
        <f>+IF((PROVEEDORES[[#This Row],[FECHA DE PAGO]]-PROVEEDORES[[#This Row],[FECHA DE FACTURACIÓN]])&gt;PROVEEDORES[[#This Row],[PLAZO Días]],"PAGO VENCIDO")</f>
        <v>0</v>
      </c>
      <c r="C877" s="20">
        <f>+VLOOKUP(PROVEEDORES[[#This Row],[PROVEEDOR]],TERCEROS_INFO[#All],2,FALSE)</f>
        <v>30</v>
      </c>
      <c r="D877" s="25">
        <f>+SUMIFS(PROVEEDORES[Total],PROVEEDORES[PROVEEDOR],PROVEEDORES[[#This Row],[PROVEEDOR]],PROVEEDORES[FECHA DE PAGO],"")</f>
        <v>0</v>
      </c>
      <c r="E877" s="25"/>
      <c r="F877" s="58" t="str">
        <f>+VLOOKUP(PROVEEDORES[[#This Row],[PROVEEDOR]],
                       Terceros!$A:$F,
                       5,
                       FALSE)</f>
        <v/>
      </c>
      <c r="G877" s="161">
        <v>44859</v>
      </c>
      <c r="H877" s="26" t="s">
        <v>684</v>
      </c>
      <c r="I877" s="161">
        <v>44859</v>
      </c>
      <c r="J877" s="35" t="s">
        <v>1802</v>
      </c>
      <c r="K877" s="21">
        <v>732000</v>
      </c>
      <c r="L877" s="21"/>
      <c r="M877" s="22">
        <f>(PROVEEDORES[[#This Row],[SUBTOTAL]]-PROVEEDORES[[#This Row],[descuento sobre subtotal]])*VLOOKUP(PROVEEDORES[[#This Row],[PROVEEDOR]],TERCEROS_INFO[#All],3,FALSE)</f>
        <v>0</v>
      </c>
      <c r="N877" s="23"/>
      <c r="O877" s="22">
        <f>+PROVEEDORES[[#This Row],[Descuento sobre subtotal %]]*(PROVEEDORES[[#This Row],[SUBTOTAL]]-PROVEEDORES[[#This Row],[descuento sobre subtotal]])</f>
        <v>0</v>
      </c>
      <c r="P877" s="83">
        <f>+IF(PROVEEDORES[[#This Row],[SUBTOTAL]]&lt;PROVEEDORES[[#This Row],[base retencion]],0,PROVEEDORES[[#This Row],[retención aplicada]])</f>
        <v>0</v>
      </c>
      <c r="Q877" s="22">
        <f>+PROVEEDORES[[#This Row],[Rete Fuente %]]*(PROVEEDORES[[#This Row],[SUBTOTAL]]-PROVEEDORES[[#This Row],[descuento sobre subtotal]])</f>
        <v>0</v>
      </c>
      <c r="R877" s="21">
        <f>+PROVEEDORES[[#This Row],[SUBTOTAL]]+PROVEEDORES[[#This Row],[IVA 19%]]-PROVEEDORES[[#This Row],[descuento sobre subtotal]]-PROVEEDORES[[#This Row],[Descuento sobre subtotal $2]]-PROVEEDORES[[#This Row],[Rete Fuente $]]</f>
        <v>732000</v>
      </c>
      <c r="S877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68">
        <f ca="1">IF(PROVEEDORES[[#This Row],[FECHA DE PAGO]]=0,TODAY()-PROVEEDORES[[#This Row],[FECHA DE FACTURACIÓN]]-PROVEEDORES[[#This Row],[PLAZO Días]],0)</f>
        <v>0</v>
      </c>
      <c r="U877" s="113">
        <f>+VLOOKUP(PROVEEDORES[[#This Row],[PROVEEDOR]],Terceros!$A:$D,4,FALSE)</f>
        <v>0</v>
      </c>
      <c r="V877" s="114">
        <f>+YEAR(PROVEEDORES[[#This Row],[FECHA DE FACTURACIÓN]])</f>
        <v>2022</v>
      </c>
      <c r="W877" s="114">
        <f>+MATCH(PROVEEDORES[[#This Row],[año facturado]],Retenciones!$1:$1,0)</f>
        <v>5</v>
      </c>
      <c r="X877" s="115">
        <f>+VLOOKUP(PROVEEDORES[[#This Row],[ID RETENCION]],Retenciones!$A$1:$O$25,PROVEEDORES[[#This Row],[indicador de columna]],FALSE)</f>
        <v>0</v>
      </c>
      <c r="Y877" s="116">
        <f>+VLOOKUP(PROVEEDORES[[#This Row],[ID RETENCION]],Retenciones!$A$1:$O$25,2,FALSE)</f>
        <v>0</v>
      </c>
      <c r="Z877" s="125" t="b">
        <f>OR(COUNTIF(PROVEEDORES[[#This Row],[PROVEEDOR]],"*"&amp;'Palabra no opera'!$A$2&amp;"*"))</f>
        <v>0</v>
      </c>
      <c r="AA877" s="24"/>
      <c r="AB877" s="24"/>
      <c r="AC877" s="24"/>
      <c r="AD877" s="24"/>
      <c r="AE877" s="24"/>
    </row>
    <row r="878" spans="1:31" ht="22.2" customHeight="1" x14ac:dyDescent="0.3">
      <c r="A878" s="66" t="str">
        <f>+IF(PROVEEDORES[[#This Row],[FECHA DE PAGO]]=PROVEEDORES[[#This Row],[FECHA DE FACTURACIÓN]],"DE CONTADO","CRÉDITO")</f>
        <v>CRÉDITO</v>
      </c>
      <c r="B878" s="38" t="b">
        <f>+IF((PROVEEDORES[[#This Row],[FECHA DE PAGO]]-PROVEEDORES[[#This Row],[FECHA DE FACTURACIÓN]])&gt;PROVEEDORES[[#This Row],[PLAZO Días]],"PAGO VENCIDO")</f>
        <v>0</v>
      </c>
      <c r="C878" s="20">
        <f>+VLOOKUP(PROVEEDORES[[#This Row],[PROVEEDOR]],TERCEROS_INFO[#All],2,FALSE)</f>
        <v>30</v>
      </c>
      <c r="D878" s="25">
        <f>+SUMIFS(PROVEEDORES[Total],PROVEEDORES[PROVEEDOR],PROVEEDORES[[#This Row],[PROVEEDOR]],PROVEEDORES[FECHA DE PAGO],"")</f>
        <v>0</v>
      </c>
      <c r="E878" s="25"/>
      <c r="F87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878" s="161">
        <v>44491</v>
      </c>
      <c r="H878" s="26" t="s">
        <v>1451</v>
      </c>
      <c r="I878" s="161">
        <v>44488</v>
      </c>
      <c r="J878" s="35">
        <v>151</v>
      </c>
      <c r="K878" s="21">
        <v>740000</v>
      </c>
      <c r="L878" s="21"/>
      <c r="M878" s="22">
        <f>(PROVEEDORES[[#This Row],[SUBTOTAL]]-PROVEEDORES[[#This Row],[descuento sobre subtotal]])*VLOOKUP(PROVEEDORES[[#This Row],[PROVEEDOR]],TERCEROS_INFO[#All],3,FALSE)</f>
        <v>0</v>
      </c>
      <c r="N878" s="23"/>
      <c r="O878" s="22">
        <f>+PROVEEDORES[[#This Row],[Descuento sobre subtotal %]]*(PROVEEDORES[[#This Row],[SUBTOTAL]]-PROVEEDORES[[#This Row],[descuento sobre subtotal]])</f>
        <v>0</v>
      </c>
      <c r="P878" s="83">
        <f>+IF(PROVEEDORES[[#This Row],[SUBTOTAL]]&lt;PROVEEDORES[[#This Row],[base retencion]],0,PROVEEDORES[[#This Row],[retención aplicada]])</f>
        <v>0.01</v>
      </c>
      <c r="Q878" s="22">
        <f>+PROVEEDORES[[#This Row],[Rete Fuente %]]*(PROVEEDORES[[#This Row],[SUBTOTAL]]-PROVEEDORES[[#This Row],[descuento sobre subtotal]])</f>
        <v>7400</v>
      </c>
      <c r="R878" s="21">
        <f>+PROVEEDORES[[#This Row],[SUBTOTAL]]+PROVEEDORES[[#This Row],[IVA 19%]]-PROVEEDORES[[#This Row],[descuento sobre subtotal]]-PROVEEDORES[[#This Row],[Descuento sobre subtotal $2]]-PROVEEDORES[[#This Row],[Rete Fuente $]]</f>
        <v>732600</v>
      </c>
      <c r="S8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68">
        <f ca="1">IF(PROVEEDORES[[#This Row],[FECHA DE PAGO]]=0,TODAY()-PROVEEDORES[[#This Row],[FECHA DE FACTURACIÓN]]-PROVEEDORES[[#This Row],[PLAZO Días]],0)</f>
        <v>0</v>
      </c>
      <c r="U878" s="96" t="str">
        <f>+VLOOKUP(PROVEEDORES[[#This Row],[PROVEEDOR]],Terceros!$A:$D,4,FALSE)</f>
        <v>1% con base</v>
      </c>
      <c r="V878" s="97">
        <f>+YEAR(PROVEEDORES[[#This Row],[FECHA DE FACTURACIÓN]])</f>
        <v>2021</v>
      </c>
      <c r="W878" s="97">
        <f>+MATCH(PROVEEDORES[[#This Row],[año facturado]],Retenciones!$1:$1,0)</f>
        <v>4</v>
      </c>
      <c r="X878" s="98">
        <f>+VLOOKUP(PROVEEDORES[[#This Row],[ID RETENCION]],Retenciones!$A$1:$O$25,PROVEEDORES[[#This Row],[indicador de columna]],FALSE)</f>
        <v>145000</v>
      </c>
      <c r="Y878" s="99">
        <f>+VLOOKUP(PROVEEDORES[[#This Row],[ID RETENCION]],Retenciones!$A$1:$O$25,2,FALSE)</f>
        <v>0.01</v>
      </c>
      <c r="Z878" s="125" t="b">
        <f>OR(COUNTIF(PROVEEDORES[[#This Row],[PROVEEDOR]],"*"&amp;'Palabra no opera'!$A$2&amp;"*"))</f>
        <v>0</v>
      </c>
      <c r="AA878" s="24"/>
      <c r="AB878" s="24"/>
      <c r="AC878" s="24"/>
      <c r="AD878" s="24"/>
      <c r="AE878" s="24"/>
    </row>
    <row r="879" spans="1:31" ht="22.2" customHeight="1" x14ac:dyDescent="0.3">
      <c r="A879" s="120" t="str">
        <f>+IF(PROVEEDORES[[#This Row],[FECHA DE PAGO]]=PROVEEDORES[[#This Row],[FECHA DE FACTURACIÓN]],"DE CONTADO","CRÉDITO")</f>
        <v>CRÉDITO</v>
      </c>
      <c r="B879" s="38" t="b">
        <f>+IF((PROVEEDORES[[#This Row],[FECHA DE PAGO]]-PROVEEDORES[[#This Row],[FECHA DE FACTURACIÓN]])&gt;PROVEEDORES[[#This Row],[PLAZO Días]],"PAGO VENCIDO")</f>
        <v>0</v>
      </c>
      <c r="C879" s="20">
        <f>+VLOOKUP(PROVEEDORES[[#This Row],[PROVEEDOR]],TERCEROS_INFO[#All],2,FALSE)</f>
        <v>60</v>
      </c>
      <c r="D879" s="25">
        <f>+SUMIFS(PROVEEDORES[Total],PROVEEDORES[PROVEEDOR],PROVEEDORES[[#This Row],[PROVEEDOR]],PROVEEDORES[FECHA DE PAGO],"")</f>
        <v>23264500</v>
      </c>
      <c r="E879" s="25"/>
      <c r="F879" s="58">
        <f>+VLOOKUP(PROVEEDORES[[#This Row],[PROVEEDOR]],
                       Terceros!$A:$F,
                       5,
                       FALSE)</f>
        <v>0</v>
      </c>
      <c r="G879" s="161">
        <v>44678</v>
      </c>
      <c r="H879" s="26" t="s">
        <v>1429</v>
      </c>
      <c r="I879" s="161">
        <v>44672</v>
      </c>
      <c r="J879" s="35" t="s">
        <v>891</v>
      </c>
      <c r="K879" s="21">
        <v>615900</v>
      </c>
      <c r="L879" s="21"/>
      <c r="M879" s="22">
        <f>(PROVEEDORES[[#This Row],[SUBTOTAL]]-PROVEEDORES[[#This Row],[descuento sobre subtotal]])*VLOOKUP(PROVEEDORES[[#This Row],[PROVEEDOR]],TERCEROS_INFO[#All],3,FALSE)</f>
        <v>117021</v>
      </c>
      <c r="N879" s="23"/>
      <c r="O879" s="22">
        <f>+PROVEEDORES[[#This Row],[Descuento sobre subtotal %]]*(PROVEEDORES[[#This Row],[SUBTOTAL]]-PROVEEDORES[[#This Row],[descuento sobre subtotal]])</f>
        <v>0</v>
      </c>
      <c r="P879" s="83">
        <f>+IF(PROVEEDORES[[#This Row],[SUBTOTAL]]&lt;PROVEEDORES[[#This Row],[base retencion]],0,PROVEEDORES[[#This Row],[retención aplicada]])</f>
        <v>0</v>
      </c>
      <c r="Q879" s="22">
        <f>+PROVEEDORES[[#This Row],[Rete Fuente %]]*(PROVEEDORES[[#This Row],[SUBTOTAL]]-PROVEEDORES[[#This Row],[descuento sobre subtotal]])</f>
        <v>0</v>
      </c>
      <c r="R879" s="21">
        <f>+PROVEEDORES[[#This Row],[SUBTOTAL]]+PROVEEDORES[[#This Row],[IVA 19%]]-PROVEEDORES[[#This Row],[descuento sobre subtotal]]-PROVEEDORES[[#This Row],[Descuento sobre subtotal $2]]-PROVEEDORES[[#This Row],[Rete Fuente $]]</f>
        <v>732921</v>
      </c>
      <c r="S8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68">
        <f ca="1">IF(PROVEEDORES[[#This Row],[FECHA DE PAGO]]=0,TODAY()-PROVEEDORES[[#This Row],[FECHA DE FACTURACIÓN]]-PROVEEDORES[[#This Row],[PLAZO Días]],0)</f>
        <v>0</v>
      </c>
      <c r="U879" s="113">
        <f>+VLOOKUP(PROVEEDORES[[#This Row],[PROVEEDOR]],Terceros!$A:$D,4,FALSE)</f>
        <v>0</v>
      </c>
      <c r="V879" s="114">
        <f>+YEAR(PROVEEDORES[[#This Row],[FECHA DE FACTURACIÓN]])</f>
        <v>2022</v>
      </c>
      <c r="W879" s="114">
        <f>+MATCH(PROVEEDORES[[#This Row],[año facturado]],Retenciones!$1:$1,0)</f>
        <v>5</v>
      </c>
      <c r="X879" s="115">
        <f>+VLOOKUP(PROVEEDORES[[#This Row],[ID RETENCION]],Retenciones!$A$1:$O$25,PROVEEDORES[[#This Row],[indicador de columna]],FALSE)</f>
        <v>0</v>
      </c>
      <c r="Y879" s="116">
        <f>+VLOOKUP(PROVEEDORES[[#This Row],[ID RETENCION]],Retenciones!$A$1:$O$25,2,FALSE)</f>
        <v>0</v>
      </c>
      <c r="Z879" s="125" t="b">
        <f>OR(COUNTIF(PROVEEDORES[[#This Row],[PROVEEDOR]],"*"&amp;'Palabra no opera'!$A$2&amp;"*"))</f>
        <v>1</v>
      </c>
      <c r="AA879" s="24"/>
      <c r="AB879" s="24"/>
      <c r="AC879" s="24"/>
      <c r="AD879" s="24"/>
      <c r="AE879" s="24"/>
    </row>
    <row r="880" spans="1:31" ht="22.2" customHeight="1" x14ac:dyDescent="0.3">
      <c r="A880" s="144" t="str">
        <f>+IF(PROVEEDORES[[#This Row],[FECHA DE PAGO]]=PROVEEDORES[[#This Row],[FECHA DE FACTURACIÓN]],"DE CONTADO","CRÉDITO")</f>
        <v>CRÉDITO</v>
      </c>
      <c r="B880" s="38" t="str">
        <f>+IF((PROVEEDORES[[#This Row],[FECHA DE PAGO]]-PROVEEDORES[[#This Row],[FECHA DE FACTURACIÓN]])&gt;PROVEEDORES[[#This Row],[PLAZO Días]],"PAGO VENCIDO")</f>
        <v>PAGO VENCIDO</v>
      </c>
      <c r="C880" s="20">
        <f>+VLOOKUP(PROVEEDORES[[#This Row],[PROVEEDOR]],TERCEROS_INFO[#All],2,FALSE)</f>
        <v>30</v>
      </c>
      <c r="D880" s="25">
        <f>+SUMIFS(PROVEEDORES[Total],PROVEEDORES[PROVEEDOR],PROVEEDORES[[#This Row],[PROVEEDOR]],PROVEEDORES[FECHA DE PAGO],"")</f>
        <v>23124164.219999999</v>
      </c>
      <c r="E880" s="25"/>
      <c r="F88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80" s="161">
        <v>44749</v>
      </c>
      <c r="H880" s="26" t="s">
        <v>18</v>
      </c>
      <c r="I880" s="161">
        <v>44701</v>
      </c>
      <c r="J880" s="35">
        <v>1053889</v>
      </c>
      <c r="K880" s="21">
        <v>617136.72</v>
      </c>
      <c r="L880" s="21"/>
      <c r="M880" s="22">
        <f>(PROVEEDORES[[#This Row],[SUBTOTAL]]-PROVEEDORES[[#This Row],[descuento sobre subtotal]])*VLOOKUP(PROVEEDORES[[#This Row],[PROVEEDOR]],TERCEROS_INFO[#All],3,FALSE)</f>
        <v>117255.97679999999</v>
      </c>
      <c r="N880" s="23"/>
      <c r="O880" s="22">
        <f>+PROVEEDORES[[#This Row],[Descuento sobre subtotal %]]*(PROVEEDORES[[#This Row],[SUBTOTAL]]-PROVEEDORES[[#This Row],[descuento sobre subtotal]])</f>
        <v>0</v>
      </c>
      <c r="P880" s="83">
        <f>+IF(PROVEEDORES[[#This Row],[SUBTOTAL]]&lt;PROVEEDORES[[#This Row],[base retencion]],0,PROVEEDORES[[#This Row],[retención aplicada]])</f>
        <v>0</v>
      </c>
      <c r="Q880" s="22">
        <f>+PROVEEDORES[[#This Row],[Rete Fuente %]]*(PROVEEDORES[[#This Row],[SUBTOTAL]]-PROVEEDORES[[#This Row],[descuento sobre subtotal]])</f>
        <v>0</v>
      </c>
      <c r="R880" s="21">
        <f>+PROVEEDORES[[#This Row],[SUBTOTAL]]+PROVEEDORES[[#This Row],[IVA 19%]]-PROVEEDORES[[#This Row],[descuento sobre subtotal]]-PROVEEDORES[[#This Row],[Descuento sobre subtotal $2]]-PROVEEDORES[[#This Row],[Rete Fuente $]]</f>
        <v>734392.69679999992</v>
      </c>
      <c r="S880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68">
        <f ca="1">IF(PROVEEDORES[[#This Row],[FECHA DE PAGO]]=0,TODAY()-PROVEEDORES[[#This Row],[FECHA DE FACTURACIÓN]]-PROVEEDORES[[#This Row],[PLAZO Días]],0)</f>
        <v>0</v>
      </c>
      <c r="U880" s="113" t="str">
        <f>+VLOOKUP(PROVEEDORES[[#This Row],[PROVEEDOR]],Terceros!$A:$D,4,FALSE)</f>
        <v>2,5% con base</v>
      </c>
      <c r="V880" s="114">
        <f>+YEAR(PROVEEDORES[[#This Row],[FECHA DE FACTURACIÓN]])</f>
        <v>2022</v>
      </c>
      <c r="W880" s="114">
        <f>+MATCH(PROVEEDORES[[#This Row],[año facturado]],Retenciones!$1:$1,0)</f>
        <v>5</v>
      </c>
      <c r="X880" s="115">
        <f>+VLOOKUP(PROVEEDORES[[#This Row],[ID RETENCION]],Retenciones!$A$1:$O$25,PROVEEDORES[[#This Row],[indicador de columna]],FALSE)</f>
        <v>1026000</v>
      </c>
      <c r="Y880" s="116">
        <f>+VLOOKUP(PROVEEDORES[[#This Row],[ID RETENCION]],Retenciones!$A$1:$O$25,2,FALSE)</f>
        <v>2.5000000000000001E-2</v>
      </c>
      <c r="Z880" s="125" t="b">
        <f>OR(COUNTIF(PROVEEDORES[[#This Row],[PROVEEDOR]],"*"&amp;'Palabra no opera'!$A$2&amp;"*"))</f>
        <v>0</v>
      </c>
      <c r="AA880" s="24"/>
      <c r="AB880" s="24"/>
      <c r="AC880" s="24"/>
      <c r="AD880" s="24"/>
      <c r="AE880" s="24"/>
    </row>
    <row r="881" spans="1:31" ht="22.2" customHeight="1" x14ac:dyDescent="0.3">
      <c r="A881" s="66" t="str">
        <f>+IF(PROVEEDORES[[#This Row],[FECHA DE PAGO]]=PROVEEDORES[[#This Row],[FECHA DE FACTURACIÓN]],"DE CONTADO","CRÉDITO")</f>
        <v>CRÉDITO</v>
      </c>
      <c r="B881" s="38" t="str">
        <f>+IF((PROVEEDORES[[#This Row],[FECHA DE PAGO]]-PROVEEDORES[[#This Row],[FECHA DE FACTURACIÓN]])&gt;PROVEEDORES[[#This Row],[PLAZO Días]],"PAGO VENCIDO")</f>
        <v>PAGO VENCIDO</v>
      </c>
      <c r="C881" s="20">
        <f>+VLOOKUP(PROVEEDORES[[#This Row],[PROVEEDOR]],TERCEROS_INFO[#All],2,FALSE)</f>
        <v>30</v>
      </c>
      <c r="D881" s="25">
        <f>+SUMIFS(PROVEEDORES[Total],PROVEEDORES[PROVEEDOR],PROVEEDORES[[#This Row],[PROVEEDOR]],PROVEEDORES[FECHA DE PAGO],"")</f>
        <v>0</v>
      </c>
      <c r="E881" s="25"/>
      <c r="F88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81" s="161">
        <v>44533</v>
      </c>
      <c r="H881" s="26" t="s">
        <v>49</v>
      </c>
      <c r="I881" s="161">
        <v>44494</v>
      </c>
      <c r="J881" s="35">
        <v>4554</v>
      </c>
      <c r="K881" s="21">
        <v>617646.41</v>
      </c>
      <c r="L881" s="21"/>
      <c r="M881" s="22">
        <f>(PROVEEDORES[[#This Row],[SUBTOTAL]]-PROVEEDORES[[#This Row],[descuento sobre subtotal]])*VLOOKUP(PROVEEDORES[[#This Row],[PROVEEDOR]],TERCEROS_INFO[#All],3,FALSE)</f>
        <v>117352.81790000001</v>
      </c>
      <c r="N881" s="23"/>
      <c r="O881" s="22">
        <f>+PROVEEDORES[[#This Row],[Descuento sobre subtotal %]]*(PROVEEDORES[[#This Row],[SUBTOTAL]]-PROVEEDORES[[#This Row],[descuento sobre subtotal]])</f>
        <v>0</v>
      </c>
      <c r="P881" s="83">
        <f>+IF(PROVEEDORES[[#This Row],[SUBTOTAL]]&lt;PROVEEDORES[[#This Row],[base retencion]],0,PROVEEDORES[[#This Row],[retención aplicada]])</f>
        <v>0</v>
      </c>
      <c r="Q881" s="22">
        <f>+PROVEEDORES[[#This Row],[Rete Fuente %]]*(PROVEEDORES[[#This Row],[SUBTOTAL]]-PROVEEDORES[[#This Row],[descuento sobre subtotal]])</f>
        <v>0</v>
      </c>
      <c r="R881" s="21">
        <f>+PROVEEDORES[[#This Row],[SUBTOTAL]]+PROVEEDORES[[#This Row],[IVA 19%]]-PROVEEDORES[[#This Row],[descuento sobre subtotal]]-PROVEEDORES[[#This Row],[Descuento sobre subtotal $2]]-PROVEEDORES[[#This Row],[Rete Fuente $]]</f>
        <v>734999.22790000006</v>
      </c>
      <c r="S8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68">
        <f ca="1">IF(PROVEEDORES[[#This Row],[FECHA DE PAGO]]=0,TODAY()-PROVEEDORES[[#This Row],[FECHA DE FACTURACIÓN]]-PROVEEDORES[[#This Row],[PLAZO Días]],0)</f>
        <v>0</v>
      </c>
      <c r="U881" s="96" t="str">
        <f>+VLOOKUP(PROVEEDORES[[#This Row],[PROVEEDOR]],Terceros!$A:$D,4,FALSE)</f>
        <v>2,5% con base</v>
      </c>
      <c r="V881" s="97">
        <f>+YEAR(PROVEEDORES[[#This Row],[FECHA DE FACTURACIÓN]])</f>
        <v>2021</v>
      </c>
      <c r="W881" s="97">
        <f>+MATCH(PROVEEDORES[[#This Row],[año facturado]],Retenciones!$1:$1,0)</f>
        <v>4</v>
      </c>
      <c r="X881" s="98">
        <f>+VLOOKUP(PROVEEDORES[[#This Row],[ID RETENCION]],Retenciones!$A$1:$O$25,PROVEEDORES[[#This Row],[indicador de columna]],FALSE)</f>
        <v>980000</v>
      </c>
      <c r="Y881" s="99">
        <f>+VLOOKUP(PROVEEDORES[[#This Row],[ID RETENCION]],Retenciones!$A$1:$O$25,2,FALSE)</f>
        <v>2.5000000000000001E-2</v>
      </c>
      <c r="Z881" s="125" t="b">
        <f>OR(COUNTIF(PROVEEDORES[[#This Row],[PROVEEDOR]],"*"&amp;'Palabra no opera'!$A$2&amp;"*"))</f>
        <v>0</v>
      </c>
      <c r="AA881" s="24"/>
      <c r="AB881" s="24"/>
      <c r="AC881" s="24"/>
      <c r="AD881" s="24"/>
      <c r="AE881" s="24"/>
    </row>
    <row r="882" spans="1:31" ht="22.2" customHeight="1" x14ac:dyDescent="0.3">
      <c r="A882" s="66" t="str">
        <f>+IF(PROVEEDORES[[#This Row],[FECHA DE PAGO]]=PROVEEDORES[[#This Row],[FECHA DE FACTURACIÓN]],"DE CONTADO","CRÉDITO")</f>
        <v>DE CONTADO</v>
      </c>
      <c r="B882" s="38" t="b">
        <f>+IF((PROVEEDORES[[#This Row],[FECHA DE PAGO]]-PROVEEDORES[[#This Row],[FECHA DE FACTURACIÓN]])&gt;PROVEEDORES[[#This Row],[PLAZO Días]],"PAGO VENCIDO")</f>
        <v>0</v>
      </c>
      <c r="C882" s="20">
        <f>+VLOOKUP(PROVEEDORES[[#This Row],[PROVEEDOR]],TERCEROS_INFO[#All],2,FALSE)</f>
        <v>30</v>
      </c>
      <c r="D882" s="25">
        <f>+SUMIFS(PROVEEDORES[Total],PROVEEDORES[PROVEEDOR],PROVEEDORES[[#This Row],[PROVEEDOR]],PROVEEDORES[FECHA DE PAGO],"")</f>
        <v>0</v>
      </c>
      <c r="E882" s="25"/>
      <c r="F882" s="58" t="str">
        <f>+VLOOKUP(PROVEEDORES[[#This Row],[PROVEEDOR]],
                       Terceros!$A:$F,
                       5,
                       FALSE)</f>
        <v/>
      </c>
      <c r="G882" s="161">
        <v>44530</v>
      </c>
      <c r="H882" s="26" t="s">
        <v>644</v>
      </c>
      <c r="I882" s="161">
        <v>44530</v>
      </c>
      <c r="J882" s="35" t="s">
        <v>75</v>
      </c>
      <c r="K882" s="21">
        <v>739000</v>
      </c>
      <c r="L882" s="21"/>
      <c r="M882" s="22">
        <f>(PROVEEDORES[[#This Row],[SUBTOTAL]]-PROVEEDORES[[#This Row],[descuento sobre subtotal]])*VLOOKUP(PROVEEDORES[[#This Row],[PROVEEDOR]],TERCEROS_INFO[#All],3,FALSE)</f>
        <v>0</v>
      </c>
      <c r="N882" s="23"/>
      <c r="O882" s="22">
        <f>+PROVEEDORES[[#This Row],[Descuento sobre subtotal %]]*(PROVEEDORES[[#This Row],[SUBTOTAL]]-PROVEEDORES[[#This Row],[descuento sobre subtotal]])</f>
        <v>0</v>
      </c>
      <c r="P882" s="83">
        <f>+IF(PROVEEDORES[[#This Row],[SUBTOTAL]]&lt;PROVEEDORES[[#This Row],[base retencion]],0,PROVEEDORES[[#This Row],[retención aplicada]])</f>
        <v>0</v>
      </c>
      <c r="Q882" s="22">
        <f>+PROVEEDORES[[#This Row],[Rete Fuente %]]*(PROVEEDORES[[#This Row],[SUBTOTAL]]-PROVEEDORES[[#This Row],[descuento sobre subtotal]])</f>
        <v>0</v>
      </c>
      <c r="R882" s="21">
        <f>+PROVEEDORES[[#This Row],[SUBTOTAL]]+PROVEEDORES[[#This Row],[IVA 19%]]-PROVEEDORES[[#This Row],[descuento sobre subtotal]]-PROVEEDORES[[#This Row],[Descuento sobre subtotal $2]]-PROVEEDORES[[#This Row],[Rete Fuente $]]</f>
        <v>739000</v>
      </c>
      <c r="S8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68">
        <f ca="1">IF(PROVEEDORES[[#This Row],[FECHA DE PAGO]]=0,TODAY()-PROVEEDORES[[#This Row],[FECHA DE FACTURACIÓN]]-PROVEEDORES[[#This Row],[PLAZO Días]],0)</f>
        <v>0</v>
      </c>
      <c r="U882" s="96">
        <f>+VLOOKUP(PROVEEDORES[[#This Row],[PROVEEDOR]],Terceros!$A:$D,4,FALSE)</f>
        <v>0</v>
      </c>
      <c r="V882" s="97">
        <f>+YEAR(PROVEEDORES[[#This Row],[FECHA DE FACTURACIÓN]])</f>
        <v>2021</v>
      </c>
      <c r="W882" s="97">
        <f>+MATCH(PROVEEDORES[[#This Row],[año facturado]],Retenciones!$1:$1,0)</f>
        <v>4</v>
      </c>
      <c r="X882" s="98">
        <f>+VLOOKUP(PROVEEDORES[[#This Row],[ID RETENCION]],Retenciones!$A$1:$O$25,PROVEEDORES[[#This Row],[indicador de columna]],FALSE)</f>
        <v>0</v>
      </c>
      <c r="Y882" s="99">
        <f>+VLOOKUP(PROVEEDORES[[#This Row],[ID RETENCION]],Retenciones!$A$1:$O$25,2,FALSE)</f>
        <v>0</v>
      </c>
      <c r="Z882" s="125" t="b">
        <f>OR(COUNTIF(PROVEEDORES[[#This Row],[PROVEEDOR]],"*"&amp;'Palabra no opera'!$A$2&amp;"*"))</f>
        <v>0</v>
      </c>
      <c r="AA882" s="24"/>
      <c r="AB882" s="24"/>
      <c r="AC882" s="24"/>
      <c r="AD882" s="24"/>
      <c r="AE882" s="24"/>
    </row>
    <row r="883" spans="1:31" ht="22.2" customHeight="1" x14ac:dyDescent="0.3">
      <c r="A883" s="66" t="str">
        <f>+IF(PROVEEDORES[[#This Row],[FECHA DE PAGO]]=PROVEEDORES[[#This Row],[FECHA DE FACTURACIÓN]],"DE CONTADO","CRÉDITO")</f>
        <v>CRÉDITO</v>
      </c>
      <c r="B883" s="38" t="str">
        <f>+IF((PROVEEDORES[[#This Row],[FECHA DE PAGO]]-PROVEEDORES[[#This Row],[FECHA DE FACTURACIÓN]])&gt;PROVEEDORES[[#This Row],[PLAZO Días]],"PAGO VENCIDO")</f>
        <v>PAGO VENCIDO</v>
      </c>
      <c r="C883" s="20">
        <f>+VLOOKUP(PROVEEDORES[[#This Row],[PROVEEDOR]],TERCEROS_INFO[#All],2,FALSE)</f>
        <v>30</v>
      </c>
      <c r="D883" s="25">
        <f>+SUMIFS(PROVEEDORES[Total],PROVEEDORES[PROVEEDOR],PROVEEDORES[[#This Row],[PROVEEDOR]],PROVEEDORES[FECHA DE PAGO],"")</f>
        <v>0</v>
      </c>
      <c r="E883" s="25"/>
      <c r="F88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83" s="161">
        <v>44546</v>
      </c>
      <c r="H883" s="26" t="s">
        <v>633</v>
      </c>
      <c r="I883" s="161">
        <v>44494</v>
      </c>
      <c r="J883" s="35" t="s">
        <v>1510</v>
      </c>
      <c r="K883" s="21">
        <v>740200</v>
      </c>
      <c r="L883" s="21"/>
      <c r="M883" s="22">
        <f>(PROVEEDORES[[#This Row],[SUBTOTAL]]-PROVEEDORES[[#This Row],[descuento sobre subtotal]])*VLOOKUP(PROVEEDORES[[#This Row],[PROVEEDOR]],TERCEROS_INFO[#All],3,FALSE)</f>
        <v>0</v>
      </c>
      <c r="N883" s="23"/>
      <c r="O883" s="22">
        <f>+PROVEEDORES[[#This Row],[Descuento sobre subtotal %]]*(PROVEEDORES[[#This Row],[SUBTOTAL]]-PROVEEDORES[[#This Row],[descuento sobre subtotal]])</f>
        <v>0</v>
      </c>
      <c r="P883" s="83">
        <f>+IF(PROVEEDORES[[#This Row],[SUBTOTAL]]&lt;PROVEEDORES[[#This Row],[base retencion]],0,PROVEEDORES[[#This Row],[retención aplicada]])</f>
        <v>0</v>
      </c>
      <c r="Q883" s="22">
        <f>+PROVEEDORES[[#This Row],[Rete Fuente %]]*(PROVEEDORES[[#This Row],[SUBTOTAL]]-PROVEEDORES[[#This Row],[descuento sobre subtotal]])</f>
        <v>0</v>
      </c>
      <c r="R883" s="21">
        <f>+PROVEEDORES[[#This Row],[SUBTOTAL]]+PROVEEDORES[[#This Row],[IVA 19%]]-PROVEEDORES[[#This Row],[descuento sobre subtotal]]-PROVEEDORES[[#This Row],[Descuento sobre subtotal $2]]-PROVEEDORES[[#This Row],[Rete Fuente $]]</f>
        <v>740200</v>
      </c>
      <c r="S8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68">
        <f ca="1">IF(PROVEEDORES[[#This Row],[FECHA DE PAGO]]=0,TODAY()-PROVEEDORES[[#This Row],[FECHA DE FACTURACIÓN]]-PROVEEDORES[[#This Row],[PLAZO Días]],0)</f>
        <v>0</v>
      </c>
      <c r="U883" s="96">
        <f>+VLOOKUP(PROVEEDORES[[#This Row],[PROVEEDOR]],Terceros!$A:$D,4,FALSE)</f>
        <v>0</v>
      </c>
      <c r="V883" s="97">
        <f>+YEAR(PROVEEDORES[[#This Row],[FECHA DE FACTURACIÓN]])</f>
        <v>2021</v>
      </c>
      <c r="W883" s="97">
        <f>+MATCH(PROVEEDORES[[#This Row],[año facturado]],Retenciones!$1:$1,0)</f>
        <v>4</v>
      </c>
      <c r="X883" s="98">
        <f>+VLOOKUP(PROVEEDORES[[#This Row],[ID RETENCION]],Retenciones!$A$1:$O$25,PROVEEDORES[[#This Row],[indicador de columna]],FALSE)</f>
        <v>0</v>
      </c>
      <c r="Y883" s="99">
        <f>+VLOOKUP(PROVEEDORES[[#This Row],[ID RETENCION]],Retenciones!$A$1:$O$25,2,FALSE)</f>
        <v>0</v>
      </c>
      <c r="Z883" s="125" t="b">
        <f>OR(COUNTIF(PROVEEDORES[[#This Row],[PROVEEDOR]],"*"&amp;'Palabra no opera'!$A$2&amp;"*"))</f>
        <v>0</v>
      </c>
      <c r="AA883" s="24"/>
      <c r="AB883" s="24"/>
      <c r="AC883" s="24"/>
      <c r="AD883" s="24"/>
      <c r="AE883" s="24"/>
    </row>
    <row r="884" spans="1:31" ht="22.2" customHeight="1" x14ac:dyDescent="0.3">
      <c r="A884" s="66" t="str">
        <f>+IF(PROVEEDORES[[#This Row],[FECHA DE PAGO]]=PROVEEDORES[[#This Row],[FECHA DE FACTURACIÓN]],"DE CONTADO","CRÉDITO")</f>
        <v>CRÉDITO</v>
      </c>
      <c r="B884" s="38" t="b">
        <f>+IF((PROVEEDORES[[#This Row],[FECHA DE PAGO]]-PROVEEDORES[[#This Row],[FECHA DE FACTURACIÓN]])&gt;PROVEEDORES[[#This Row],[PLAZO Días]],"PAGO VENCIDO")</f>
        <v>0</v>
      </c>
      <c r="C884" s="20">
        <f>+VLOOKUP(PROVEEDORES[[#This Row],[PROVEEDOR]],TERCEROS_INFO[#All],2,FALSE)</f>
        <v>30</v>
      </c>
      <c r="D884" s="25">
        <f>+SUMIFS(PROVEEDORES[Total],PROVEEDORES[PROVEEDOR],PROVEEDORES[[#This Row],[PROVEEDOR]],PROVEEDORES[FECHA DE PAGO],"")</f>
        <v>0</v>
      </c>
      <c r="E884" s="25"/>
      <c r="F88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4" s="161">
        <v>44340</v>
      </c>
      <c r="H884" s="26" t="s">
        <v>927</v>
      </c>
      <c r="I884" s="161">
        <v>44317</v>
      </c>
      <c r="J884" s="35" t="s">
        <v>313</v>
      </c>
      <c r="K884" s="21">
        <v>743959</v>
      </c>
      <c r="L884" s="21"/>
      <c r="M884" s="22">
        <f>(PROVEEDORES[[#This Row],[SUBTOTAL]]-PROVEEDORES[[#This Row],[descuento sobre subtotal]])*VLOOKUP(PROVEEDORES[[#This Row],[PROVEEDOR]],TERCEROS_INFO[#All],3,FALSE)</f>
        <v>0</v>
      </c>
      <c r="N884" s="23"/>
      <c r="O884" s="22">
        <f>+PROVEEDORES[[#This Row],[Descuento sobre subtotal %]]*(PROVEEDORES[[#This Row],[SUBTOTAL]]-PROVEEDORES[[#This Row],[descuento sobre subtotal]])</f>
        <v>0</v>
      </c>
      <c r="P884" s="83">
        <f>+IF(PROVEEDORES[[#This Row],[SUBTOTAL]]&lt;PROVEEDORES[[#This Row],[base retencion]],0,PROVEEDORES[[#This Row],[retención aplicada]])</f>
        <v>0</v>
      </c>
      <c r="Q884" s="22">
        <f>+PROVEEDORES[[#This Row],[Rete Fuente %]]*(PROVEEDORES[[#This Row],[SUBTOTAL]]-PROVEEDORES[[#This Row],[descuento sobre subtotal]])</f>
        <v>0</v>
      </c>
      <c r="R884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68">
        <f ca="1">IF(PROVEEDORES[[#This Row],[FECHA DE PAGO]]=0,TODAY()-PROVEEDORES[[#This Row],[FECHA DE FACTURACIÓN]]-PROVEEDORES[[#This Row],[PLAZO Días]],0)</f>
        <v>0</v>
      </c>
      <c r="U884" s="96">
        <f>+VLOOKUP(PROVEEDORES[[#This Row],[PROVEEDOR]],Terceros!$A:$D,4,FALSE)</f>
        <v>0</v>
      </c>
      <c r="V884" s="97">
        <f>+YEAR(PROVEEDORES[[#This Row],[FECHA DE FACTURACIÓN]])</f>
        <v>2021</v>
      </c>
      <c r="W884" s="97">
        <f>+MATCH(PROVEEDORES[[#This Row],[año facturado]],Retenciones!$1:$1,0)</f>
        <v>4</v>
      </c>
      <c r="X884" s="98">
        <f>+VLOOKUP(PROVEEDORES[[#This Row],[ID RETENCION]],Retenciones!$A$1:$O$25,PROVEEDORES[[#This Row],[indicador de columna]],FALSE)</f>
        <v>0</v>
      </c>
      <c r="Y884" s="99">
        <f>+VLOOKUP(PROVEEDORES[[#This Row],[ID RETENCION]],Retenciones!$A$1:$O$25,2,FALSE)</f>
        <v>0</v>
      </c>
      <c r="Z884" s="125" t="b">
        <f>OR(COUNTIF(PROVEEDORES[[#This Row],[PROVEEDOR]],"*"&amp;'Palabra no opera'!$A$2&amp;"*"))</f>
        <v>1</v>
      </c>
      <c r="AA884" s="24"/>
      <c r="AB884" s="24"/>
      <c r="AC884" s="24"/>
      <c r="AD884" s="24"/>
      <c r="AE884" s="24"/>
    </row>
    <row r="885" spans="1:31" ht="22.2" customHeight="1" x14ac:dyDescent="0.3">
      <c r="A885" s="66" t="str">
        <f>+IF(PROVEEDORES[[#This Row],[FECHA DE PAGO]]=PROVEEDORES[[#This Row],[FECHA DE FACTURACIÓN]],"DE CONTADO","CRÉDITO")</f>
        <v>CRÉDITO</v>
      </c>
      <c r="B885" s="38" t="b">
        <f>+IF((PROVEEDORES[[#This Row],[FECHA DE PAGO]]-PROVEEDORES[[#This Row],[FECHA DE FACTURACIÓN]])&gt;PROVEEDORES[[#This Row],[PLAZO Días]],"PAGO VENCIDO")</f>
        <v>0</v>
      </c>
      <c r="C885" s="20">
        <f>+VLOOKUP(PROVEEDORES[[#This Row],[PROVEEDOR]],TERCEROS_INFO[#All],2,FALSE)</f>
        <v>30</v>
      </c>
      <c r="D885" s="25">
        <f>+SUMIFS(PROVEEDORES[Total],PROVEEDORES[PROVEEDOR],PROVEEDORES[[#This Row],[PROVEEDOR]],PROVEEDORES[FECHA DE PAGO],"")</f>
        <v>0</v>
      </c>
      <c r="E885" s="25"/>
      <c r="F88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5" s="161">
        <v>44368</v>
      </c>
      <c r="H885" s="26" t="s">
        <v>927</v>
      </c>
      <c r="I885" s="161">
        <v>44348</v>
      </c>
      <c r="J885" s="35" t="s">
        <v>313</v>
      </c>
      <c r="K885" s="21">
        <v>743959</v>
      </c>
      <c r="L885" s="21"/>
      <c r="M885" s="22">
        <f>(PROVEEDORES[[#This Row],[SUBTOTAL]]-PROVEEDORES[[#This Row],[descuento sobre subtotal]])*VLOOKUP(PROVEEDORES[[#This Row],[PROVEEDOR]],TERCEROS_INFO[#All],3,FALSE)</f>
        <v>0</v>
      </c>
      <c r="N885" s="23"/>
      <c r="O885" s="22">
        <f>+PROVEEDORES[[#This Row],[Descuento sobre subtotal %]]*(PROVEEDORES[[#This Row],[SUBTOTAL]]-PROVEEDORES[[#This Row],[descuento sobre subtotal]])</f>
        <v>0</v>
      </c>
      <c r="P885" s="83">
        <f>+IF(PROVEEDORES[[#This Row],[SUBTOTAL]]&lt;PROVEEDORES[[#This Row],[base retencion]],0,PROVEEDORES[[#This Row],[retención aplicada]])</f>
        <v>0</v>
      </c>
      <c r="Q885" s="22">
        <f>+PROVEEDORES[[#This Row],[Rete Fuente %]]*(PROVEEDORES[[#This Row],[SUBTOTAL]]-PROVEEDORES[[#This Row],[descuento sobre subtotal]])</f>
        <v>0</v>
      </c>
      <c r="R885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68">
        <f ca="1">IF(PROVEEDORES[[#This Row],[FECHA DE PAGO]]=0,TODAY()-PROVEEDORES[[#This Row],[FECHA DE FACTURACIÓN]]-PROVEEDORES[[#This Row],[PLAZO Días]],0)</f>
        <v>0</v>
      </c>
      <c r="U885" s="96">
        <f>+VLOOKUP(PROVEEDORES[[#This Row],[PROVEEDOR]],Terceros!$A:$D,4,FALSE)</f>
        <v>0</v>
      </c>
      <c r="V885" s="97">
        <f>+YEAR(PROVEEDORES[[#This Row],[FECHA DE FACTURACIÓN]])</f>
        <v>2021</v>
      </c>
      <c r="W885" s="97">
        <f>+MATCH(PROVEEDORES[[#This Row],[año facturado]],Retenciones!$1:$1,0)</f>
        <v>4</v>
      </c>
      <c r="X885" s="98">
        <f>+VLOOKUP(PROVEEDORES[[#This Row],[ID RETENCION]],Retenciones!$A$1:$O$25,PROVEEDORES[[#This Row],[indicador de columna]],FALSE)</f>
        <v>0</v>
      </c>
      <c r="Y885" s="99">
        <f>+VLOOKUP(PROVEEDORES[[#This Row],[ID RETENCION]],Retenciones!$A$1:$O$25,2,FALSE)</f>
        <v>0</v>
      </c>
      <c r="Z885" s="125" t="b">
        <f>OR(COUNTIF(PROVEEDORES[[#This Row],[PROVEEDOR]],"*"&amp;'Palabra no opera'!$A$2&amp;"*"))</f>
        <v>1</v>
      </c>
      <c r="AA885" s="24"/>
      <c r="AB885" s="24"/>
      <c r="AC885" s="24"/>
      <c r="AD885" s="24"/>
      <c r="AE885" s="24"/>
    </row>
    <row r="886" spans="1:31" ht="22.2" customHeight="1" x14ac:dyDescent="0.3">
      <c r="A886" s="66" t="str">
        <f>+IF(PROVEEDORES[[#This Row],[FECHA DE PAGO]]=PROVEEDORES[[#This Row],[FECHA DE FACTURACIÓN]],"DE CONTADO","CRÉDITO")</f>
        <v>CRÉDITO</v>
      </c>
      <c r="B886" s="38" t="b">
        <f>+IF((PROVEEDORES[[#This Row],[FECHA DE PAGO]]-PROVEEDORES[[#This Row],[FECHA DE FACTURACIÓN]])&gt;PROVEEDORES[[#This Row],[PLAZO Días]],"PAGO VENCIDO")</f>
        <v>0</v>
      </c>
      <c r="C886" s="20">
        <f>+VLOOKUP(PROVEEDORES[[#This Row],[PROVEEDOR]],TERCEROS_INFO[#All],2,FALSE)</f>
        <v>30</v>
      </c>
      <c r="D886" s="25">
        <f>+SUMIFS(PROVEEDORES[Total],PROVEEDORES[PROVEEDOR],PROVEEDORES[[#This Row],[PROVEEDOR]],PROVEEDORES[FECHA DE PAGO],"")</f>
        <v>0</v>
      </c>
      <c r="E886" s="25"/>
      <c r="F88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6" s="161">
        <v>44396</v>
      </c>
      <c r="H886" s="26" t="s">
        <v>927</v>
      </c>
      <c r="I886" s="161">
        <v>44378</v>
      </c>
      <c r="J886" s="35" t="s">
        <v>313</v>
      </c>
      <c r="K886" s="21">
        <v>743959</v>
      </c>
      <c r="L886" s="21"/>
      <c r="M886" s="22">
        <f>(PROVEEDORES[[#This Row],[SUBTOTAL]]-PROVEEDORES[[#This Row],[descuento sobre subtotal]])*VLOOKUP(PROVEEDORES[[#This Row],[PROVEEDOR]],TERCEROS_INFO[#All],3,FALSE)</f>
        <v>0</v>
      </c>
      <c r="N886" s="23"/>
      <c r="O886" s="22">
        <f>+PROVEEDORES[[#This Row],[Descuento sobre subtotal %]]*(PROVEEDORES[[#This Row],[SUBTOTAL]]-PROVEEDORES[[#This Row],[descuento sobre subtotal]])</f>
        <v>0</v>
      </c>
      <c r="P886" s="83">
        <f>+IF(PROVEEDORES[[#This Row],[SUBTOTAL]]&lt;PROVEEDORES[[#This Row],[base retencion]],0,PROVEEDORES[[#This Row],[retención aplicada]])</f>
        <v>0</v>
      </c>
      <c r="Q886" s="22">
        <f>+PROVEEDORES[[#This Row],[Rete Fuente %]]*(PROVEEDORES[[#This Row],[SUBTOTAL]]-PROVEEDORES[[#This Row],[descuento sobre subtotal]])</f>
        <v>0</v>
      </c>
      <c r="R886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68">
        <f ca="1">IF(PROVEEDORES[[#This Row],[FECHA DE PAGO]]=0,TODAY()-PROVEEDORES[[#This Row],[FECHA DE FACTURACIÓN]]-PROVEEDORES[[#This Row],[PLAZO Días]],0)</f>
        <v>0</v>
      </c>
      <c r="U886" s="96">
        <f>+VLOOKUP(PROVEEDORES[[#This Row],[PROVEEDOR]],Terceros!$A:$D,4,FALSE)</f>
        <v>0</v>
      </c>
      <c r="V886" s="97">
        <f>+YEAR(PROVEEDORES[[#This Row],[FECHA DE FACTURACIÓN]])</f>
        <v>2021</v>
      </c>
      <c r="W886" s="97">
        <f>+MATCH(PROVEEDORES[[#This Row],[año facturado]],Retenciones!$1:$1,0)</f>
        <v>4</v>
      </c>
      <c r="X886" s="98">
        <f>+VLOOKUP(PROVEEDORES[[#This Row],[ID RETENCION]],Retenciones!$A$1:$O$25,PROVEEDORES[[#This Row],[indicador de columna]],FALSE)</f>
        <v>0</v>
      </c>
      <c r="Y886" s="99">
        <f>+VLOOKUP(PROVEEDORES[[#This Row],[ID RETENCION]],Retenciones!$A$1:$O$25,2,FALSE)</f>
        <v>0</v>
      </c>
      <c r="Z886" s="125" t="b">
        <f>OR(COUNTIF(PROVEEDORES[[#This Row],[PROVEEDOR]],"*"&amp;'Palabra no opera'!$A$2&amp;"*"))</f>
        <v>1</v>
      </c>
      <c r="AA886" s="24"/>
      <c r="AB886" s="24"/>
      <c r="AC886" s="24"/>
      <c r="AD886" s="24"/>
      <c r="AE886" s="24"/>
    </row>
    <row r="887" spans="1:31" ht="22.2" customHeight="1" x14ac:dyDescent="0.3">
      <c r="A887" s="66" t="str">
        <f>+IF(PROVEEDORES[[#This Row],[FECHA DE PAGO]]=PROVEEDORES[[#This Row],[FECHA DE FACTURACIÓN]],"DE CONTADO","CRÉDITO")</f>
        <v>CRÉDITO</v>
      </c>
      <c r="B887" s="38" t="b">
        <f>+IF((PROVEEDORES[[#This Row],[FECHA DE PAGO]]-PROVEEDORES[[#This Row],[FECHA DE FACTURACIÓN]])&gt;PROVEEDORES[[#This Row],[PLAZO Días]],"PAGO VENCIDO")</f>
        <v>0</v>
      </c>
      <c r="C887" s="20">
        <f>+VLOOKUP(PROVEEDORES[[#This Row],[PROVEEDOR]],TERCEROS_INFO[#All],2,FALSE)</f>
        <v>30</v>
      </c>
      <c r="D887" s="25">
        <f>+SUMIFS(PROVEEDORES[Total],PROVEEDORES[PROVEEDOR],PROVEEDORES[[#This Row],[PROVEEDOR]],PROVEEDORES[FECHA DE PAGO],"")</f>
        <v>0</v>
      </c>
      <c r="E887" s="25"/>
      <c r="F88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7" s="161">
        <v>44425</v>
      </c>
      <c r="H887" s="26" t="s">
        <v>927</v>
      </c>
      <c r="I887" s="161">
        <v>44409</v>
      </c>
      <c r="J887" s="35" t="s">
        <v>313</v>
      </c>
      <c r="K887" s="21">
        <v>743959</v>
      </c>
      <c r="L887" s="21"/>
      <c r="M887" s="22">
        <f>(PROVEEDORES[[#This Row],[SUBTOTAL]]-PROVEEDORES[[#This Row],[descuento sobre subtotal]])*VLOOKUP(PROVEEDORES[[#This Row],[PROVEEDOR]],TERCEROS_INFO[#All],3,FALSE)</f>
        <v>0</v>
      </c>
      <c r="N887" s="23"/>
      <c r="O887" s="22">
        <f>+PROVEEDORES[[#This Row],[Descuento sobre subtotal %]]*(PROVEEDORES[[#This Row],[SUBTOTAL]]-PROVEEDORES[[#This Row],[descuento sobre subtotal]])</f>
        <v>0</v>
      </c>
      <c r="P887" s="83">
        <f>+IF(PROVEEDORES[[#This Row],[SUBTOTAL]]&lt;PROVEEDORES[[#This Row],[base retencion]],0,PROVEEDORES[[#This Row],[retención aplicada]])</f>
        <v>0</v>
      </c>
      <c r="Q887" s="22">
        <f>+PROVEEDORES[[#This Row],[Rete Fuente %]]*(PROVEEDORES[[#This Row],[SUBTOTAL]]-PROVEEDORES[[#This Row],[descuento sobre subtotal]])</f>
        <v>0</v>
      </c>
      <c r="R887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68">
        <f ca="1">IF(PROVEEDORES[[#This Row],[FECHA DE PAGO]]=0,TODAY()-PROVEEDORES[[#This Row],[FECHA DE FACTURACIÓN]]-PROVEEDORES[[#This Row],[PLAZO Días]],0)</f>
        <v>0</v>
      </c>
      <c r="U887" s="96">
        <f>+VLOOKUP(PROVEEDORES[[#This Row],[PROVEEDOR]],Terceros!$A:$D,4,FALSE)</f>
        <v>0</v>
      </c>
      <c r="V887" s="97">
        <f>+YEAR(PROVEEDORES[[#This Row],[FECHA DE FACTURACIÓN]])</f>
        <v>2021</v>
      </c>
      <c r="W887" s="97">
        <f>+MATCH(PROVEEDORES[[#This Row],[año facturado]],Retenciones!$1:$1,0)</f>
        <v>4</v>
      </c>
      <c r="X887" s="98">
        <f>+VLOOKUP(PROVEEDORES[[#This Row],[ID RETENCION]],Retenciones!$A$1:$O$25,PROVEEDORES[[#This Row],[indicador de columna]],FALSE)</f>
        <v>0</v>
      </c>
      <c r="Y887" s="99">
        <f>+VLOOKUP(PROVEEDORES[[#This Row],[ID RETENCION]],Retenciones!$A$1:$O$25,2,FALSE)</f>
        <v>0</v>
      </c>
      <c r="Z887" s="125" t="b">
        <f>OR(COUNTIF(PROVEEDORES[[#This Row],[PROVEEDOR]],"*"&amp;'Palabra no opera'!$A$2&amp;"*"))</f>
        <v>1</v>
      </c>
      <c r="AA887" s="24"/>
      <c r="AB887" s="24"/>
      <c r="AC887" s="24"/>
      <c r="AD887" s="24"/>
      <c r="AE887" s="24"/>
    </row>
    <row r="888" spans="1:31" ht="22.2" customHeight="1" x14ac:dyDescent="0.3">
      <c r="A888" s="66" t="str">
        <f>+IF(PROVEEDORES[[#This Row],[FECHA DE PAGO]]=PROVEEDORES[[#This Row],[FECHA DE FACTURACIÓN]],"DE CONTADO","CRÉDITO")</f>
        <v>CRÉDITO</v>
      </c>
      <c r="B888" s="38" t="b">
        <f>+IF((PROVEEDORES[[#This Row],[FECHA DE PAGO]]-PROVEEDORES[[#This Row],[FECHA DE FACTURACIÓN]])&gt;PROVEEDORES[[#This Row],[PLAZO Días]],"PAGO VENCIDO")</f>
        <v>0</v>
      </c>
      <c r="C888" s="20">
        <f>+VLOOKUP(PROVEEDORES[[#This Row],[PROVEEDOR]],TERCEROS_INFO[#All],2,FALSE)</f>
        <v>30</v>
      </c>
      <c r="D888" s="25">
        <f>+SUMIFS(PROVEEDORES[Total],PROVEEDORES[PROVEEDOR],PROVEEDORES[[#This Row],[PROVEEDOR]],PROVEEDORES[FECHA DE PAGO],"")</f>
        <v>0</v>
      </c>
      <c r="E888" s="25"/>
      <c r="F88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8" s="161">
        <v>44456</v>
      </c>
      <c r="H888" s="26" t="s">
        <v>927</v>
      </c>
      <c r="I888" s="161">
        <v>44440</v>
      </c>
      <c r="J888" s="35" t="s">
        <v>313</v>
      </c>
      <c r="K888" s="21">
        <v>743959</v>
      </c>
      <c r="L888" s="21"/>
      <c r="M888" s="22">
        <f>(PROVEEDORES[[#This Row],[SUBTOTAL]]-PROVEEDORES[[#This Row],[descuento sobre subtotal]])*VLOOKUP(PROVEEDORES[[#This Row],[PROVEEDOR]],TERCEROS_INFO[#All],3,FALSE)</f>
        <v>0</v>
      </c>
      <c r="N888" s="23"/>
      <c r="O888" s="22">
        <f>+PROVEEDORES[[#This Row],[Descuento sobre subtotal %]]*(PROVEEDORES[[#This Row],[SUBTOTAL]]-PROVEEDORES[[#This Row],[descuento sobre subtotal]])</f>
        <v>0</v>
      </c>
      <c r="P888" s="83">
        <f>+IF(PROVEEDORES[[#This Row],[SUBTOTAL]]&lt;PROVEEDORES[[#This Row],[base retencion]],0,PROVEEDORES[[#This Row],[retención aplicada]])</f>
        <v>0</v>
      </c>
      <c r="Q888" s="22">
        <f>+PROVEEDORES[[#This Row],[Rete Fuente %]]*(PROVEEDORES[[#This Row],[SUBTOTAL]]-PROVEEDORES[[#This Row],[descuento sobre subtotal]])</f>
        <v>0</v>
      </c>
      <c r="R888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68">
        <f ca="1">IF(PROVEEDORES[[#This Row],[FECHA DE PAGO]]=0,TODAY()-PROVEEDORES[[#This Row],[FECHA DE FACTURACIÓN]]-PROVEEDORES[[#This Row],[PLAZO Días]],0)</f>
        <v>0</v>
      </c>
      <c r="U888" s="96">
        <f>+VLOOKUP(PROVEEDORES[[#This Row],[PROVEEDOR]],Terceros!$A:$D,4,FALSE)</f>
        <v>0</v>
      </c>
      <c r="V888" s="97">
        <f>+YEAR(PROVEEDORES[[#This Row],[FECHA DE FACTURACIÓN]])</f>
        <v>2021</v>
      </c>
      <c r="W888" s="97">
        <f>+MATCH(PROVEEDORES[[#This Row],[año facturado]],Retenciones!$1:$1,0)</f>
        <v>4</v>
      </c>
      <c r="X888" s="98">
        <f>+VLOOKUP(PROVEEDORES[[#This Row],[ID RETENCION]],Retenciones!$A$1:$O$25,PROVEEDORES[[#This Row],[indicador de columna]],FALSE)</f>
        <v>0</v>
      </c>
      <c r="Y888" s="99">
        <f>+VLOOKUP(PROVEEDORES[[#This Row],[ID RETENCION]],Retenciones!$A$1:$O$25,2,FALSE)</f>
        <v>0</v>
      </c>
      <c r="Z888" s="125" t="b">
        <f>OR(COUNTIF(PROVEEDORES[[#This Row],[PROVEEDOR]],"*"&amp;'Palabra no opera'!$A$2&amp;"*"))</f>
        <v>1</v>
      </c>
      <c r="AA888" s="24"/>
      <c r="AB888" s="24"/>
      <c r="AC888" s="24"/>
      <c r="AD888" s="24"/>
      <c r="AE888" s="24"/>
    </row>
    <row r="889" spans="1:31" ht="22.2" customHeight="1" x14ac:dyDescent="0.3">
      <c r="A889" s="66" t="str">
        <f>+IF(PROVEEDORES[[#This Row],[FECHA DE PAGO]]=PROVEEDORES[[#This Row],[FECHA DE FACTURACIÓN]],"DE CONTADO","CRÉDITO")</f>
        <v>CRÉDITO</v>
      </c>
      <c r="B889" s="38" t="b">
        <f>+IF((PROVEEDORES[[#This Row],[FECHA DE PAGO]]-PROVEEDORES[[#This Row],[FECHA DE FACTURACIÓN]])&gt;PROVEEDORES[[#This Row],[PLAZO Días]],"PAGO VENCIDO")</f>
        <v>0</v>
      </c>
      <c r="C889" s="20">
        <f>+VLOOKUP(PROVEEDORES[[#This Row],[PROVEEDOR]],TERCEROS_INFO[#All],2,FALSE)</f>
        <v>30</v>
      </c>
      <c r="D889" s="25">
        <f>+SUMIFS(PROVEEDORES[Total],PROVEEDORES[PROVEEDOR],PROVEEDORES[[#This Row],[PROVEEDOR]],PROVEEDORES[FECHA DE PAGO],"")</f>
        <v>0</v>
      </c>
      <c r="E889" s="25"/>
      <c r="F88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9" s="161">
        <v>44484</v>
      </c>
      <c r="H889" s="26" t="s">
        <v>927</v>
      </c>
      <c r="I889" s="161">
        <v>44470</v>
      </c>
      <c r="J889" s="35" t="s">
        <v>313</v>
      </c>
      <c r="K889" s="21">
        <v>743959</v>
      </c>
      <c r="L889" s="21"/>
      <c r="M889" s="22">
        <f>(PROVEEDORES[[#This Row],[SUBTOTAL]]-PROVEEDORES[[#This Row],[descuento sobre subtotal]])*VLOOKUP(PROVEEDORES[[#This Row],[PROVEEDOR]],TERCEROS_INFO[#All],3,FALSE)</f>
        <v>0</v>
      </c>
      <c r="N889" s="23"/>
      <c r="O889" s="22">
        <f>+PROVEEDORES[[#This Row],[Descuento sobre subtotal %]]*(PROVEEDORES[[#This Row],[SUBTOTAL]]-PROVEEDORES[[#This Row],[descuento sobre subtotal]])</f>
        <v>0</v>
      </c>
      <c r="P889" s="83">
        <f>+IF(PROVEEDORES[[#This Row],[SUBTOTAL]]&lt;PROVEEDORES[[#This Row],[base retencion]],0,PROVEEDORES[[#This Row],[retención aplicada]])</f>
        <v>0</v>
      </c>
      <c r="Q889" s="22">
        <f>+PROVEEDORES[[#This Row],[Rete Fuente %]]*(PROVEEDORES[[#This Row],[SUBTOTAL]]-PROVEEDORES[[#This Row],[descuento sobre subtotal]])</f>
        <v>0</v>
      </c>
      <c r="R889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68">
        <f ca="1">IF(PROVEEDORES[[#This Row],[FECHA DE PAGO]]=0,TODAY()-PROVEEDORES[[#This Row],[FECHA DE FACTURACIÓN]]-PROVEEDORES[[#This Row],[PLAZO Días]],0)</f>
        <v>0</v>
      </c>
      <c r="U889" s="96">
        <f>+VLOOKUP(PROVEEDORES[[#This Row],[PROVEEDOR]],Terceros!$A:$D,4,FALSE)</f>
        <v>0</v>
      </c>
      <c r="V889" s="97">
        <f>+YEAR(PROVEEDORES[[#This Row],[FECHA DE FACTURACIÓN]])</f>
        <v>2021</v>
      </c>
      <c r="W889" s="97">
        <f>+MATCH(PROVEEDORES[[#This Row],[año facturado]],Retenciones!$1:$1,0)</f>
        <v>4</v>
      </c>
      <c r="X889" s="98">
        <f>+VLOOKUP(PROVEEDORES[[#This Row],[ID RETENCION]],Retenciones!$A$1:$O$25,PROVEEDORES[[#This Row],[indicador de columna]],FALSE)</f>
        <v>0</v>
      </c>
      <c r="Y889" s="99">
        <f>+VLOOKUP(PROVEEDORES[[#This Row],[ID RETENCION]],Retenciones!$A$1:$O$25,2,FALSE)</f>
        <v>0</v>
      </c>
      <c r="Z889" s="125" t="b">
        <f>OR(COUNTIF(PROVEEDORES[[#This Row],[PROVEEDOR]],"*"&amp;'Palabra no opera'!$A$2&amp;"*"))</f>
        <v>1</v>
      </c>
      <c r="AA889" s="24"/>
      <c r="AB889" s="24"/>
      <c r="AC889" s="24"/>
      <c r="AD889" s="24"/>
      <c r="AE889" s="24"/>
    </row>
    <row r="890" spans="1:31" ht="22.2" customHeight="1" x14ac:dyDescent="0.3">
      <c r="A890" s="66" t="str">
        <f>+IF(PROVEEDORES[[#This Row],[FECHA DE PAGO]]=PROVEEDORES[[#This Row],[FECHA DE FACTURACIÓN]],"DE CONTADO","CRÉDITO")</f>
        <v>CRÉDITO</v>
      </c>
      <c r="B890" s="38" t="b">
        <f>+IF((PROVEEDORES[[#This Row],[FECHA DE PAGO]]-PROVEEDORES[[#This Row],[FECHA DE FACTURACIÓN]])&gt;PROVEEDORES[[#This Row],[PLAZO Días]],"PAGO VENCIDO")</f>
        <v>0</v>
      </c>
      <c r="C890" s="20">
        <f>+VLOOKUP(PROVEEDORES[[#This Row],[PROVEEDOR]],TERCEROS_INFO[#All],2,FALSE)</f>
        <v>30</v>
      </c>
      <c r="D890" s="25">
        <f>+SUMIFS(PROVEEDORES[Total],PROVEEDORES[PROVEEDOR],PROVEEDORES[[#This Row],[PROVEEDOR]],PROVEEDORES[FECHA DE PAGO],"")</f>
        <v>0</v>
      </c>
      <c r="E890" s="25"/>
      <c r="F89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90" s="161">
        <v>44516</v>
      </c>
      <c r="H890" s="26" t="s">
        <v>927</v>
      </c>
      <c r="I890" s="161">
        <v>44501</v>
      </c>
      <c r="J890" s="35" t="s">
        <v>313</v>
      </c>
      <c r="K890" s="21">
        <v>743959</v>
      </c>
      <c r="L890" s="21"/>
      <c r="M890" s="22">
        <f>(PROVEEDORES[[#This Row],[SUBTOTAL]]-PROVEEDORES[[#This Row],[descuento sobre subtotal]])*VLOOKUP(PROVEEDORES[[#This Row],[PROVEEDOR]],TERCEROS_INFO[#All],3,FALSE)</f>
        <v>0</v>
      </c>
      <c r="N890" s="23"/>
      <c r="O890" s="22">
        <f>+PROVEEDORES[[#This Row],[Descuento sobre subtotal %]]*(PROVEEDORES[[#This Row],[SUBTOTAL]]-PROVEEDORES[[#This Row],[descuento sobre subtotal]])</f>
        <v>0</v>
      </c>
      <c r="P890" s="83">
        <f>+IF(PROVEEDORES[[#This Row],[SUBTOTAL]]&lt;PROVEEDORES[[#This Row],[base retencion]],0,PROVEEDORES[[#This Row],[retención aplicada]])</f>
        <v>0</v>
      </c>
      <c r="Q890" s="22">
        <f>+PROVEEDORES[[#This Row],[Rete Fuente %]]*(PROVEEDORES[[#This Row],[SUBTOTAL]]-PROVEEDORES[[#This Row],[descuento sobre subtotal]])</f>
        <v>0</v>
      </c>
      <c r="R890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68">
        <f ca="1">IF(PROVEEDORES[[#This Row],[FECHA DE PAGO]]=0,TODAY()-PROVEEDORES[[#This Row],[FECHA DE FACTURACIÓN]]-PROVEEDORES[[#This Row],[PLAZO Días]],0)</f>
        <v>0</v>
      </c>
      <c r="U890" s="96">
        <f>+VLOOKUP(PROVEEDORES[[#This Row],[PROVEEDOR]],Terceros!$A:$D,4,FALSE)</f>
        <v>0</v>
      </c>
      <c r="V890" s="97">
        <f>+YEAR(PROVEEDORES[[#This Row],[FECHA DE FACTURACIÓN]])</f>
        <v>2021</v>
      </c>
      <c r="W890" s="97">
        <f>+MATCH(PROVEEDORES[[#This Row],[año facturado]],Retenciones!$1:$1,0)</f>
        <v>4</v>
      </c>
      <c r="X890" s="98">
        <f>+VLOOKUP(PROVEEDORES[[#This Row],[ID RETENCION]],Retenciones!$A$1:$O$25,PROVEEDORES[[#This Row],[indicador de columna]],FALSE)</f>
        <v>0</v>
      </c>
      <c r="Y890" s="99">
        <f>+VLOOKUP(PROVEEDORES[[#This Row],[ID RETENCION]],Retenciones!$A$1:$O$25,2,FALSE)</f>
        <v>0</v>
      </c>
      <c r="Z890" s="125" t="b">
        <f>OR(COUNTIF(PROVEEDORES[[#This Row],[PROVEEDOR]],"*"&amp;'Palabra no opera'!$A$2&amp;"*"))</f>
        <v>1</v>
      </c>
      <c r="AA890" s="24"/>
      <c r="AB890" s="24"/>
      <c r="AC890" s="24"/>
      <c r="AD890" s="24"/>
      <c r="AE890" s="24"/>
    </row>
    <row r="891" spans="1:31" ht="22.2" customHeight="1" x14ac:dyDescent="0.3">
      <c r="A891" s="66" t="str">
        <f>+IF(PROVEEDORES[[#This Row],[FECHA DE PAGO]]=PROVEEDORES[[#This Row],[FECHA DE FACTURACIÓN]],"DE CONTADO","CRÉDITO")</f>
        <v>CRÉDITO</v>
      </c>
      <c r="B891" s="38" t="b">
        <f>+IF((PROVEEDORES[[#This Row],[FECHA DE PAGO]]-PROVEEDORES[[#This Row],[FECHA DE FACTURACIÓN]])&gt;PROVEEDORES[[#This Row],[PLAZO Días]],"PAGO VENCIDO")</f>
        <v>0</v>
      </c>
      <c r="C891" s="20">
        <f>+VLOOKUP(PROVEEDORES[[#This Row],[PROVEEDOR]],TERCEROS_INFO[#All],2,FALSE)</f>
        <v>30</v>
      </c>
      <c r="D891" s="25">
        <f>+SUMIFS(PROVEEDORES[Total],PROVEEDORES[PROVEEDOR],PROVEEDORES[[#This Row],[PROVEEDOR]],PROVEEDORES[FECHA DE PAGO],"")</f>
        <v>0</v>
      </c>
      <c r="E891" s="25"/>
      <c r="F89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91" s="161">
        <v>44543</v>
      </c>
      <c r="H891" s="26" t="s">
        <v>927</v>
      </c>
      <c r="I891" s="161">
        <v>44531</v>
      </c>
      <c r="J891" s="35" t="s">
        <v>313</v>
      </c>
      <c r="K891" s="21">
        <v>743959</v>
      </c>
      <c r="L891" s="21"/>
      <c r="M891" s="22">
        <f>(PROVEEDORES[[#This Row],[SUBTOTAL]]-PROVEEDORES[[#This Row],[descuento sobre subtotal]])*VLOOKUP(PROVEEDORES[[#This Row],[PROVEEDOR]],TERCEROS_INFO[#All],3,FALSE)</f>
        <v>0</v>
      </c>
      <c r="N891" s="23"/>
      <c r="O891" s="22">
        <f>+PROVEEDORES[[#This Row],[Descuento sobre subtotal %]]*(PROVEEDORES[[#This Row],[SUBTOTAL]]-PROVEEDORES[[#This Row],[descuento sobre subtotal]])</f>
        <v>0</v>
      </c>
      <c r="P891" s="83">
        <f>+IF(PROVEEDORES[[#This Row],[SUBTOTAL]]&lt;PROVEEDORES[[#This Row],[base retencion]],0,PROVEEDORES[[#This Row],[retención aplicada]])</f>
        <v>0</v>
      </c>
      <c r="Q891" s="22">
        <f>+PROVEEDORES[[#This Row],[Rete Fuente %]]*(PROVEEDORES[[#This Row],[SUBTOTAL]]-PROVEEDORES[[#This Row],[descuento sobre subtotal]])</f>
        <v>0</v>
      </c>
      <c r="R891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68">
        <f ca="1">IF(PROVEEDORES[[#This Row],[FECHA DE PAGO]]=0,TODAY()-PROVEEDORES[[#This Row],[FECHA DE FACTURACIÓN]]-PROVEEDORES[[#This Row],[PLAZO Días]],0)</f>
        <v>0</v>
      </c>
      <c r="U891" s="96">
        <f>+VLOOKUP(PROVEEDORES[[#This Row],[PROVEEDOR]],Terceros!$A:$D,4,FALSE)</f>
        <v>0</v>
      </c>
      <c r="V891" s="97">
        <f>+YEAR(PROVEEDORES[[#This Row],[FECHA DE FACTURACIÓN]])</f>
        <v>2021</v>
      </c>
      <c r="W891" s="97">
        <f>+MATCH(PROVEEDORES[[#This Row],[año facturado]],Retenciones!$1:$1,0)</f>
        <v>4</v>
      </c>
      <c r="X891" s="98">
        <f>+VLOOKUP(PROVEEDORES[[#This Row],[ID RETENCION]],Retenciones!$A$1:$O$25,PROVEEDORES[[#This Row],[indicador de columna]],FALSE)</f>
        <v>0</v>
      </c>
      <c r="Y891" s="99">
        <f>+VLOOKUP(PROVEEDORES[[#This Row],[ID RETENCION]],Retenciones!$A$1:$O$25,2,FALSE)</f>
        <v>0</v>
      </c>
      <c r="Z891" s="125" t="b">
        <f>OR(COUNTIF(PROVEEDORES[[#This Row],[PROVEEDOR]],"*"&amp;'Palabra no opera'!$A$2&amp;"*"))</f>
        <v>1</v>
      </c>
      <c r="AA891" s="24"/>
      <c r="AB891" s="24"/>
      <c r="AC891" s="24"/>
      <c r="AD891" s="24"/>
      <c r="AE891" s="24"/>
    </row>
    <row r="892" spans="1:31" ht="22.2" customHeight="1" x14ac:dyDescent="0.3">
      <c r="A892" s="144" t="str">
        <f>+IF(PROVEEDORES[[#This Row],[FECHA DE PAGO]]=PROVEEDORES[[#This Row],[FECHA DE FACTURACIÓN]],"DE CONTADO","CRÉDITO")</f>
        <v>DE CONTADO</v>
      </c>
      <c r="B892" s="38" t="b">
        <f>+IF((PROVEEDORES[[#This Row],[FECHA DE PAGO]]-PROVEEDORES[[#This Row],[FECHA DE FACTURACIÓN]])&gt;PROVEEDORES[[#This Row],[PLAZO Días]],"PAGO VENCIDO")</f>
        <v>0</v>
      </c>
      <c r="C892" s="20">
        <f>+VLOOKUP(PROVEEDORES[[#This Row],[PROVEEDOR]],TERCEROS_INFO[#All],2,FALSE)</f>
        <v>30</v>
      </c>
      <c r="D892" s="25">
        <f>+SUMIFS(PROVEEDORES[Total],PROVEEDORES[PROVEEDOR],PROVEEDORES[[#This Row],[PROVEEDOR]],PROVEEDORES[FECHA DE PAGO],"")</f>
        <v>1957800</v>
      </c>
      <c r="E892" s="25"/>
      <c r="F892" s="58">
        <f>+VLOOKUP(PROVEEDORES[[#This Row],[PROVEEDOR]],
                       Terceros!$A:$F,
                       5,
                       FALSE)</f>
        <v>0</v>
      </c>
      <c r="G892" s="161">
        <v>44706</v>
      </c>
      <c r="H892" s="26" t="s">
        <v>994</v>
      </c>
      <c r="I892" s="161">
        <v>44706</v>
      </c>
      <c r="J892" s="35" t="s">
        <v>1603</v>
      </c>
      <c r="K892" s="21">
        <v>744000</v>
      </c>
      <c r="L892" s="21"/>
      <c r="M892" s="22">
        <f>(PROVEEDORES[[#This Row],[SUBTOTAL]]-PROVEEDORES[[#This Row],[descuento sobre subtotal]])*VLOOKUP(PROVEEDORES[[#This Row],[PROVEEDOR]],TERCEROS_INFO[#All],3,FALSE)</f>
        <v>0</v>
      </c>
      <c r="N892" s="23"/>
      <c r="O892" s="22">
        <f>+PROVEEDORES[[#This Row],[Descuento sobre subtotal %]]*(PROVEEDORES[[#This Row],[SUBTOTAL]]-PROVEEDORES[[#This Row],[descuento sobre subtotal]])</f>
        <v>0</v>
      </c>
      <c r="P892" s="83">
        <f>+IF(PROVEEDORES[[#This Row],[SUBTOTAL]]&lt;PROVEEDORES[[#This Row],[base retencion]],0,PROVEEDORES[[#This Row],[retención aplicada]])</f>
        <v>0</v>
      </c>
      <c r="Q892" s="22">
        <f>+PROVEEDORES[[#This Row],[Rete Fuente %]]*(PROVEEDORES[[#This Row],[SUBTOTAL]]-PROVEEDORES[[#This Row],[descuento sobre subtotal]])</f>
        <v>0</v>
      </c>
      <c r="R892" s="21">
        <f>+PROVEEDORES[[#This Row],[SUBTOTAL]]+PROVEEDORES[[#This Row],[IVA 19%]]-PROVEEDORES[[#This Row],[descuento sobre subtotal]]-PROVEEDORES[[#This Row],[Descuento sobre subtotal $2]]-PROVEEDORES[[#This Row],[Rete Fuente $]]</f>
        <v>744000</v>
      </c>
      <c r="S892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2" s="68">
        <f ca="1">IF(PROVEEDORES[[#This Row],[FECHA DE PAGO]]=0,TODAY()-PROVEEDORES[[#This Row],[FECHA DE FACTURACIÓN]]-PROVEEDORES[[#This Row],[PLAZO Días]],0)</f>
        <v>0</v>
      </c>
      <c r="U892" s="113">
        <f>+VLOOKUP(PROVEEDORES[[#This Row],[PROVEEDOR]],Terceros!$A:$D,4,FALSE)</f>
        <v>0</v>
      </c>
      <c r="V892" s="114">
        <f>+YEAR(PROVEEDORES[[#This Row],[FECHA DE FACTURACIÓN]])</f>
        <v>2022</v>
      </c>
      <c r="W892" s="114">
        <f>+MATCH(PROVEEDORES[[#This Row],[año facturado]],Retenciones!$1:$1,0)</f>
        <v>5</v>
      </c>
      <c r="X892" s="115">
        <f>+VLOOKUP(PROVEEDORES[[#This Row],[ID RETENCION]],Retenciones!$A$1:$O$25,PROVEEDORES[[#This Row],[indicador de columna]],FALSE)</f>
        <v>0</v>
      </c>
      <c r="Y892" s="116">
        <f>+VLOOKUP(PROVEEDORES[[#This Row],[ID RETENCION]],Retenciones!$A$1:$O$25,2,FALSE)</f>
        <v>0</v>
      </c>
      <c r="Z892" s="125" t="b">
        <f>OR(COUNTIF(PROVEEDORES[[#This Row],[PROVEEDOR]],"*"&amp;'Palabra no opera'!$A$2&amp;"*"))</f>
        <v>0</v>
      </c>
      <c r="AA892" s="24"/>
      <c r="AB892" s="24"/>
      <c r="AC892" s="24"/>
      <c r="AD892" s="24"/>
      <c r="AE892" s="24"/>
    </row>
    <row r="893" spans="1:31" ht="22.2" customHeight="1" x14ac:dyDescent="0.3">
      <c r="A893" s="66" t="str">
        <f>+IF(PROVEEDORES[[#This Row],[FECHA DE PAGO]]=PROVEEDORES[[#This Row],[FECHA DE FACTURACIÓN]],"DE CONTADO","CRÉDITO")</f>
        <v>DE CONTADO</v>
      </c>
      <c r="B893" s="38" t="b">
        <f>+IF((PROVEEDORES[[#This Row],[FECHA DE PAGO]]-PROVEEDORES[[#This Row],[FECHA DE FACTURACIÓN]])&gt;PROVEEDORES[[#This Row],[PLAZO Días]],"PAGO VENCIDO")</f>
        <v>0</v>
      </c>
      <c r="C893" s="20">
        <f>+VLOOKUP(PROVEEDORES[[#This Row],[PROVEEDOR]],TERCEROS_INFO[#All],2,FALSE)</f>
        <v>30</v>
      </c>
      <c r="D893" s="25">
        <f>+SUMIFS(PROVEEDORES[Total],PROVEEDORES[PROVEEDOR],PROVEEDORES[[#This Row],[PROVEEDOR]],PROVEEDORES[FECHA DE PAGO],"")</f>
        <v>0</v>
      </c>
      <c r="E893" s="25"/>
      <c r="F893" s="58" t="str">
        <f>+VLOOKUP(PROVEEDORES[[#This Row],[PROVEEDOR]],
                       Terceros!$A:$F,
                       5,
                       FALSE)</f>
        <v/>
      </c>
      <c r="G893" s="161">
        <v>44651</v>
      </c>
      <c r="H893" s="26" t="s">
        <v>644</v>
      </c>
      <c r="I893" s="161">
        <v>44651</v>
      </c>
      <c r="J893" s="35" t="s">
        <v>597</v>
      </c>
      <c r="K893" s="21">
        <v>747150</v>
      </c>
      <c r="L893" s="21"/>
      <c r="M893" s="22">
        <f>(PROVEEDORES[[#This Row],[SUBTOTAL]]-PROVEEDORES[[#This Row],[descuento sobre subtotal]])*VLOOKUP(PROVEEDORES[[#This Row],[PROVEEDOR]],TERCEROS_INFO[#All],3,FALSE)</f>
        <v>0</v>
      </c>
      <c r="N893" s="23"/>
      <c r="O893" s="22">
        <f>+PROVEEDORES[[#This Row],[Descuento sobre subtotal %]]*(PROVEEDORES[[#This Row],[SUBTOTAL]]-PROVEEDORES[[#This Row],[descuento sobre subtotal]])</f>
        <v>0</v>
      </c>
      <c r="P893" s="83">
        <f>+IF(PROVEEDORES[[#This Row],[SUBTOTAL]]&lt;PROVEEDORES[[#This Row],[base retencion]],0,PROVEEDORES[[#This Row],[retención aplicada]])</f>
        <v>0</v>
      </c>
      <c r="Q893" s="22">
        <f>+PROVEEDORES[[#This Row],[Rete Fuente %]]*(PROVEEDORES[[#This Row],[SUBTOTAL]]-PROVEEDORES[[#This Row],[descuento sobre subtotal]])</f>
        <v>0</v>
      </c>
      <c r="R893" s="21">
        <v>747150</v>
      </c>
      <c r="S8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3" s="68">
        <f ca="1">IF(PROVEEDORES[[#This Row],[FECHA DE PAGO]]=0,TODAY()-PROVEEDORES[[#This Row],[FECHA DE FACTURACIÓN]]-PROVEEDORES[[#This Row],[PLAZO Días]],0)</f>
        <v>0</v>
      </c>
      <c r="U893" s="96">
        <f>+VLOOKUP(PROVEEDORES[[#This Row],[PROVEEDOR]],Terceros!$A:$D,4,FALSE)</f>
        <v>0</v>
      </c>
      <c r="V893" s="97">
        <f>+YEAR(PROVEEDORES[[#This Row],[FECHA DE FACTURACIÓN]])</f>
        <v>2022</v>
      </c>
      <c r="W893" s="97">
        <f>+MATCH(PROVEEDORES[[#This Row],[año facturado]],Retenciones!$1:$1,0)</f>
        <v>5</v>
      </c>
      <c r="X893" s="98">
        <f>+VLOOKUP(PROVEEDORES[[#This Row],[ID RETENCION]],Retenciones!$A$1:$O$25,PROVEEDORES[[#This Row],[indicador de columna]],FALSE)</f>
        <v>0</v>
      </c>
      <c r="Y893" s="99">
        <f>+VLOOKUP(PROVEEDORES[[#This Row],[ID RETENCION]],Retenciones!$A$1:$O$25,2,FALSE)</f>
        <v>0</v>
      </c>
      <c r="Z893" s="125" t="b">
        <f>OR(COUNTIF(PROVEEDORES[[#This Row],[PROVEEDOR]],"*"&amp;'Palabra no opera'!$A$2&amp;"*"))</f>
        <v>0</v>
      </c>
      <c r="AA893" s="24"/>
      <c r="AB893" s="24"/>
      <c r="AC893" s="24"/>
      <c r="AD893" s="24"/>
      <c r="AE893" s="24"/>
    </row>
    <row r="894" spans="1:31" ht="22.2" customHeight="1" x14ac:dyDescent="0.3">
      <c r="A894" s="66" t="str">
        <f>+IF(PROVEEDORES[[#This Row],[FECHA DE PAGO]]=PROVEEDORES[[#This Row],[FECHA DE FACTURACIÓN]],"DE CONTADO","CRÉDITO")</f>
        <v>CRÉDITO</v>
      </c>
      <c r="B894" s="38" t="str">
        <f>+IF((PROVEEDORES[[#This Row],[FECHA DE PAGO]]-PROVEEDORES[[#This Row],[FECHA DE FACTURACIÓN]])&gt;PROVEEDORES[[#This Row],[PLAZO Días]],"PAGO VENCIDO")</f>
        <v>PAGO VENCIDO</v>
      </c>
      <c r="C894" s="20">
        <f>+VLOOKUP(PROVEEDORES[[#This Row],[PROVEEDOR]],TERCEROS_INFO[#All],2,FALSE)</f>
        <v>30</v>
      </c>
      <c r="D894" s="25">
        <f>+SUMIFS(PROVEEDORES[Total],PROVEEDORES[PROVEEDOR],PROVEEDORES[[#This Row],[PROVEEDOR]],PROVEEDORES[FECHA DE PAGO],"")</f>
        <v>1354000</v>
      </c>
      <c r="E894" s="25"/>
      <c r="F89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94" s="161">
        <v>44509</v>
      </c>
      <c r="H894" s="26" t="s">
        <v>699</v>
      </c>
      <c r="I894" s="161">
        <v>44445</v>
      </c>
      <c r="J894" s="35" t="s">
        <v>1490</v>
      </c>
      <c r="K894" s="21">
        <v>748000</v>
      </c>
      <c r="L894" s="21"/>
      <c r="M894" s="22">
        <f>(PROVEEDORES[[#This Row],[SUBTOTAL]]-PROVEEDORES[[#This Row],[descuento sobre subtotal]])*VLOOKUP(PROVEEDORES[[#This Row],[PROVEEDOR]],TERCEROS_INFO[#All],3,FALSE)</f>
        <v>0</v>
      </c>
      <c r="N894" s="23"/>
      <c r="O894" s="22">
        <f>+PROVEEDORES[[#This Row],[Descuento sobre subtotal %]]*(PROVEEDORES[[#This Row],[SUBTOTAL]]-PROVEEDORES[[#This Row],[descuento sobre subtotal]])</f>
        <v>0</v>
      </c>
      <c r="P894" s="83">
        <f>+IF(PROVEEDORES[[#This Row],[SUBTOTAL]]&lt;PROVEEDORES[[#This Row],[base retencion]],0,PROVEEDORES[[#This Row],[retención aplicada]])</f>
        <v>0</v>
      </c>
      <c r="Q894" s="22">
        <f>+PROVEEDORES[[#This Row],[Rete Fuente %]]*(PROVEEDORES[[#This Row],[SUBTOTAL]]-PROVEEDORES[[#This Row],[descuento sobre subtotal]])</f>
        <v>0</v>
      </c>
      <c r="R894" s="21">
        <f>+PROVEEDORES[[#This Row],[SUBTOTAL]]+PROVEEDORES[[#This Row],[IVA 19%]]-PROVEEDORES[[#This Row],[descuento sobre subtotal]]-PROVEEDORES[[#This Row],[Descuento sobre subtotal $2]]-PROVEEDORES[[#This Row],[Rete Fuente $]]</f>
        <v>748000</v>
      </c>
      <c r="S8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68">
        <f ca="1">IF(PROVEEDORES[[#This Row],[FECHA DE PAGO]]=0,TODAY()-PROVEEDORES[[#This Row],[FECHA DE FACTURACIÓN]]-PROVEEDORES[[#This Row],[PLAZO Días]],0)</f>
        <v>0</v>
      </c>
      <c r="U894" s="96">
        <f>+VLOOKUP(PROVEEDORES[[#This Row],[PROVEEDOR]],Terceros!$A:$D,4,FALSE)</f>
        <v>0</v>
      </c>
      <c r="V894" s="97">
        <f>+YEAR(PROVEEDORES[[#This Row],[FECHA DE FACTURACIÓN]])</f>
        <v>2021</v>
      </c>
      <c r="W894" s="97">
        <f>+MATCH(PROVEEDORES[[#This Row],[año facturado]],Retenciones!$1:$1,0)</f>
        <v>4</v>
      </c>
      <c r="X894" s="98">
        <f>+VLOOKUP(PROVEEDORES[[#This Row],[ID RETENCION]],Retenciones!$A$1:$O$25,PROVEEDORES[[#This Row],[indicador de columna]],FALSE)</f>
        <v>0</v>
      </c>
      <c r="Y894" s="99">
        <f>+VLOOKUP(PROVEEDORES[[#This Row],[ID RETENCION]],Retenciones!$A$1:$O$25,2,FALSE)</f>
        <v>0</v>
      </c>
      <c r="Z894" s="125" t="b">
        <f>OR(COUNTIF(PROVEEDORES[[#This Row],[PROVEEDOR]],"*"&amp;'Palabra no opera'!$A$2&amp;"*"))</f>
        <v>0</v>
      </c>
      <c r="AA894" s="24"/>
      <c r="AB894" s="24"/>
      <c r="AC894" s="24"/>
      <c r="AD894" s="24"/>
      <c r="AE894" s="24"/>
    </row>
    <row r="895" spans="1:31" ht="22.2" customHeight="1" x14ac:dyDescent="0.3">
      <c r="A895" s="66" t="str">
        <f>+IF(PROVEEDORES[[#This Row],[FECHA DE PAGO]]=PROVEEDORES[[#This Row],[FECHA DE FACTURACIÓN]],"DE CONTADO","CRÉDITO")</f>
        <v>CRÉDITO</v>
      </c>
      <c r="B895" s="38" t="b">
        <f>+IF((PROVEEDORES[[#This Row],[FECHA DE PAGO]]-PROVEEDORES[[#This Row],[FECHA DE FACTURACIÓN]])&gt;PROVEEDORES[[#This Row],[PLAZO Días]],"PAGO VENCIDO")</f>
        <v>0</v>
      </c>
      <c r="C895" s="20">
        <f>+VLOOKUP(PROVEEDORES[[#This Row],[PROVEEDOR]],TERCEROS_INFO[#All],2,FALSE)</f>
        <v>30</v>
      </c>
      <c r="D895" s="25">
        <f>+SUMIFS(PROVEEDORES[Total],PROVEEDORES[PROVEEDOR],PROVEEDORES[[#This Row],[PROVEEDOR]],PROVEEDORES[FECHA DE PAGO],"")</f>
        <v>0</v>
      </c>
      <c r="E895" s="25"/>
      <c r="F895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895" s="161">
        <v>44426</v>
      </c>
      <c r="H895" s="26" t="s">
        <v>422</v>
      </c>
      <c r="I895" s="161">
        <v>44425</v>
      </c>
      <c r="J895" s="35">
        <v>10348</v>
      </c>
      <c r="K895" s="21">
        <v>630000</v>
      </c>
      <c r="L895" s="21"/>
      <c r="M895" s="22">
        <f>(PROVEEDORES[[#This Row],[SUBTOTAL]]-PROVEEDORES[[#This Row],[descuento sobre subtotal]])*VLOOKUP(PROVEEDORES[[#This Row],[PROVEEDOR]],TERCEROS_INFO[#All],3,FALSE)</f>
        <v>119700</v>
      </c>
      <c r="N895" s="23"/>
      <c r="O895" s="22">
        <f>+PROVEEDORES[[#This Row],[Descuento sobre subtotal %]]*(PROVEEDORES[[#This Row],[SUBTOTAL]]-PROVEEDORES[[#This Row],[descuento sobre subtotal]])</f>
        <v>0</v>
      </c>
      <c r="P895" s="83">
        <f>+IF(PROVEEDORES[[#This Row],[SUBTOTAL]]&lt;PROVEEDORES[[#This Row],[base retencion]],0,PROVEEDORES[[#This Row],[retención aplicada]])</f>
        <v>0</v>
      </c>
      <c r="Q895" s="22">
        <f>+PROVEEDORES[[#This Row],[Rete Fuente %]]*(PROVEEDORES[[#This Row],[SUBTOTAL]]-PROVEEDORES[[#This Row],[descuento sobre subtotal]])</f>
        <v>0</v>
      </c>
      <c r="R895" s="21">
        <f>+PROVEEDORES[[#This Row],[SUBTOTAL]]+PROVEEDORES[[#This Row],[IVA 19%]]-PROVEEDORES[[#This Row],[descuento sobre subtotal]]-PROVEEDORES[[#This Row],[Descuento sobre subtotal $2]]-PROVEEDORES[[#This Row],[Rete Fuente $]]</f>
        <v>749700</v>
      </c>
      <c r="S8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68">
        <f ca="1">IF(PROVEEDORES[[#This Row],[FECHA DE PAGO]]=0,TODAY()-PROVEEDORES[[#This Row],[FECHA DE FACTURACIÓN]]-PROVEEDORES[[#This Row],[PLAZO Días]],0)</f>
        <v>0</v>
      </c>
      <c r="U895" s="96" t="str">
        <f>+VLOOKUP(PROVEEDORES[[#This Row],[PROVEEDOR]],Terceros!$A:$D,4,FALSE)</f>
        <v>2,5% con base</v>
      </c>
      <c r="V895" s="97">
        <f>+YEAR(PROVEEDORES[[#This Row],[FECHA DE FACTURACIÓN]])</f>
        <v>2021</v>
      </c>
      <c r="W895" s="97">
        <f>+MATCH(PROVEEDORES[[#This Row],[año facturado]],Retenciones!$1:$1,0)</f>
        <v>4</v>
      </c>
      <c r="X895" s="98">
        <f>+VLOOKUP(PROVEEDORES[[#This Row],[ID RETENCION]],Retenciones!$A$1:$O$25,PROVEEDORES[[#This Row],[indicador de columna]],FALSE)</f>
        <v>980000</v>
      </c>
      <c r="Y895" s="99">
        <f>+VLOOKUP(PROVEEDORES[[#This Row],[ID RETENCION]],Retenciones!$A$1:$O$25,2,FALSE)</f>
        <v>2.5000000000000001E-2</v>
      </c>
      <c r="Z895" s="125" t="b">
        <f>OR(COUNTIF(PROVEEDORES[[#This Row],[PROVEEDOR]],"*"&amp;'Palabra no opera'!$A$2&amp;"*"))</f>
        <v>0</v>
      </c>
      <c r="AA895" s="24"/>
      <c r="AB895" s="24"/>
      <c r="AC895" s="24"/>
      <c r="AD895" s="24"/>
      <c r="AE895" s="24"/>
    </row>
    <row r="896" spans="1:31" ht="22.2" customHeight="1" x14ac:dyDescent="0.3">
      <c r="A896" s="66" t="str">
        <f>+IF(PROVEEDORES[[#This Row],[FECHA DE PAGO]]=PROVEEDORES[[#This Row],[FECHA DE FACTURACIÓN]],"DE CONTADO","CRÉDITO")</f>
        <v>CRÉDITO</v>
      </c>
      <c r="B896" s="38" t="str">
        <f>+IF((PROVEEDORES[[#This Row],[FECHA DE PAGO]]-PROVEEDORES[[#This Row],[FECHA DE FACTURACIÓN]])&gt;PROVEEDORES[[#This Row],[PLAZO Días]],"PAGO VENCIDO")</f>
        <v>PAGO VENCIDO</v>
      </c>
      <c r="C896" s="20">
        <f>+VLOOKUP(PROVEEDORES[[#This Row],[PROVEEDOR]],TERCEROS_INFO[#All],2,FALSE)</f>
        <v>30</v>
      </c>
      <c r="D896" s="25">
        <f>+SUMIFS(PROVEEDORES[Total],PROVEEDORES[PROVEEDOR],PROVEEDORES[[#This Row],[PROVEEDOR]],PROVEEDORES[FECHA DE PAGO],"")</f>
        <v>4712021.58</v>
      </c>
      <c r="E896" s="25"/>
      <c r="F89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96" s="161">
        <v>44452</v>
      </c>
      <c r="H896" s="26" t="s">
        <v>17</v>
      </c>
      <c r="I896" s="161">
        <v>44417</v>
      </c>
      <c r="J896" s="35">
        <v>1797734</v>
      </c>
      <c r="K896" s="21">
        <v>630150</v>
      </c>
      <c r="L896" s="21"/>
      <c r="M896" s="22">
        <f>(PROVEEDORES[[#This Row],[SUBTOTAL]]-PROVEEDORES[[#This Row],[descuento sobre subtotal]])*VLOOKUP(PROVEEDORES[[#This Row],[PROVEEDOR]],TERCEROS_INFO[#All],3,FALSE)</f>
        <v>119728.5</v>
      </c>
      <c r="N896" s="23"/>
      <c r="O896" s="22">
        <f>+PROVEEDORES[[#This Row],[Descuento sobre subtotal %]]*(PROVEEDORES[[#This Row],[SUBTOTAL]]-PROVEEDORES[[#This Row],[descuento sobre subtotal]])</f>
        <v>0</v>
      </c>
      <c r="P896" s="83">
        <f>+IF(PROVEEDORES[[#This Row],[SUBTOTAL]]&lt;PROVEEDORES[[#This Row],[base retencion]],0,PROVEEDORES[[#This Row],[retención aplicada]])</f>
        <v>0</v>
      </c>
      <c r="Q896" s="22">
        <f>+PROVEEDORES[[#This Row],[Rete Fuente %]]*(PROVEEDORES[[#This Row],[SUBTOTAL]]-PROVEEDORES[[#This Row],[descuento sobre subtotal]])</f>
        <v>0</v>
      </c>
      <c r="R896" s="21">
        <f>+PROVEEDORES[[#This Row],[SUBTOTAL]]+PROVEEDORES[[#This Row],[IVA 19%]]-PROVEEDORES[[#This Row],[descuento sobre subtotal]]-PROVEEDORES[[#This Row],[Descuento sobre subtotal $2]]-PROVEEDORES[[#This Row],[Rete Fuente $]]</f>
        <v>749878.5</v>
      </c>
      <c r="S8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68">
        <f ca="1">IF(PROVEEDORES[[#This Row],[FECHA DE PAGO]]=0,TODAY()-PROVEEDORES[[#This Row],[FECHA DE FACTURACIÓN]]-PROVEEDORES[[#This Row],[PLAZO Días]],0)</f>
        <v>0</v>
      </c>
      <c r="U896" s="96">
        <f>+VLOOKUP(PROVEEDORES[[#This Row],[PROVEEDOR]],Terceros!$A:$D,4,FALSE)</f>
        <v>0</v>
      </c>
      <c r="V896" s="97">
        <f>+YEAR(PROVEEDORES[[#This Row],[FECHA DE FACTURACIÓN]])</f>
        <v>2021</v>
      </c>
      <c r="W896" s="97">
        <f>+MATCH(PROVEEDORES[[#This Row],[año facturado]],Retenciones!$1:$1,0)</f>
        <v>4</v>
      </c>
      <c r="X896" s="98">
        <f>+VLOOKUP(PROVEEDORES[[#This Row],[ID RETENCION]],Retenciones!$A$1:$O$25,PROVEEDORES[[#This Row],[indicador de columna]],FALSE)</f>
        <v>0</v>
      </c>
      <c r="Y896" s="99">
        <f>+VLOOKUP(PROVEEDORES[[#This Row],[ID RETENCION]],Retenciones!$A$1:$O$25,2,FALSE)</f>
        <v>0</v>
      </c>
      <c r="Z896" s="125" t="b">
        <f>OR(COUNTIF(PROVEEDORES[[#This Row],[PROVEEDOR]],"*"&amp;'Palabra no opera'!$A$2&amp;"*"))</f>
        <v>0</v>
      </c>
      <c r="AA896" s="24"/>
      <c r="AB896" s="24"/>
      <c r="AC896" s="24"/>
      <c r="AD896" s="24"/>
      <c r="AE896" s="24"/>
    </row>
    <row r="897" spans="1:31" ht="22.2" customHeight="1" x14ac:dyDescent="0.3">
      <c r="A897" s="221" t="str">
        <f>+IF(PROVEEDORES[[#This Row],[FECHA DE PAGO]]=PROVEEDORES[[#This Row],[FECHA DE FACTURACIÓN]],"DE CONTADO","CRÉDITO")</f>
        <v>CRÉDITO</v>
      </c>
      <c r="B897" s="38" t="str">
        <f>+IF((PROVEEDORES[[#This Row],[FECHA DE PAGO]]-PROVEEDORES[[#This Row],[FECHA DE FACTURACIÓN]])&gt;PROVEEDORES[[#This Row],[PLAZO Días]],"PAGO VENCIDO")</f>
        <v>PAGO VENCIDO</v>
      </c>
      <c r="C897" s="20">
        <f>+VLOOKUP(PROVEEDORES[[#This Row],[PROVEEDOR]],TERCEROS_INFO[#All],2,FALSE)</f>
        <v>30</v>
      </c>
      <c r="D897" s="25">
        <f>+SUMIFS(PROVEEDORES[Total],PROVEEDORES[PROVEEDOR],PROVEEDORES[[#This Row],[PROVEEDOR]],PROVEEDORES[FECHA DE PAGO],"")</f>
        <v>0</v>
      </c>
      <c r="E897" s="25"/>
      <c r="F897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97" s="161">
        <v>44858</v>
      </c>
      <c r="H897" s="26" t="s">
        <v>49</v>
      </c>
      <c r="I897" s="161">
        <v>44819</v>
      </c>
      <c r="J897" s="35" t="s">
        <v>1674</v>
      </c>
      <c r="K897" s="21">
        <v>630252</v>
      </c>
      <c r="L897" s="21"/>
      <c r="M897" s="22">
        <f>(PROVEEDORES[[#This Row],[SUBTOTAL]]-PROVEEDORES[[#This Row],[descuento sobre subtotal]])*VLOOKUP(PROVEEDORES[[#This Row],[PROVEEDOR]],TERCEROS_INFO[#All],3,FALSE)</f>
        <v>119747.88</v>
      </c>
      <c r="N897" s="23"/>
      <c r="O897" s="22">
        <f>+PROVEEDORES[[#This Row],[Descuento sobre subtotal %]]*(PROVEEDORES[[#This Row],[SUBTOTAL]]-PROVEEDORES[[#This Row],[descuento sobre subtotal]])</f>
        <v>0</v>
      </c>
      <c r="P897" s="83">
        <f>+IF(PROVEEDORES[[#This Row],[SUBTOTAL]]&lt;PROVEEDORES[[#This Row],[base retencion]],0,PROVEEDORES[[#This Row],[retención aplicada]])</f>
        <v>0</v>
      </c>
      <c r="Q897" s="22">
        <f>+PROVEEDORES[[#This Row],[Rete Fuente %]]*(PROVEEDORES[[#This Row],[SUBTOTAL]]-PROVEEDORES[[#This Row],[descuento sobre subtotal]])</f>
        <v>0</v>
      </c>
      <c r="R897" s="21">
        <f>+PROVEEDORES[[#This Row],[SUBTOTAL]]+PROVEEDORES[[#This Row],[IVA 19%]]-PROVEEDORES[[#This Row],[descuento sobre subtotal]]-PROVEEDORES[[#This Row],[Descuento sobre subtotal $2]]-PROVEEDORES[[#This Row],[Rete Fuente $]]</f>
        <v>749999.88</v>
      </c>
      <c r="S897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68">
        <f ca="1">IF(PROVEEDORES[[#This Row],[FECHA DE PAGO]]=0,TODAY()-PROVEEDORES[[#This Row],[FECHA DE FACTURACIÓN]]-PROVEEDORES[[#This Row],[PLAZO Días]],0)</f>
        <v>0</v>
      </c>
      <c r="U897" s="113" t="str">
        <f>+VLOOKUP(PROVEEDORES[[#This Row],[PROVEEDOR]],Terceros!$A:$D,4,FALSE)</f>
        <v>2,5% con base</v>
      </c>
      <c r="V897" s="114">
        <f>+YEAR(PROVEEDORES[[#This Row],[FECHA DE FACTURACIÓN]])</f>
        <v>2022</v>
      </c>
      <c r="W897" s="114">
        <f>+MATCH(PROVEEDORES[[#This Row],[año facturado]],Retenciones!$1:$1,0)</f>
        <v>5</v>
      </c>
      <c r="X897" s="115">
        <f>+VLOOKUP(PROVEEDORES[[#This Row],[ID RETENCION]],Retenciones!$A$1:$O$25,PROVEEDORES[[#This Row],[indicador de columna]],FALSE)</f>
        <v>1026000</v>
      </c>
      <c r="Y897" s="116">
        <f>+VLOOKUP(PROVEEDORES[[#This Row],[ID RETENCION]],Retenciones!$A$1:$O$25,2,FALSE)</f>
        <v>2.5000000000000001E-2</v>
      </c>
      <c r="Z897" s="125" t="b">
        <f>OR(COUNTIF(PROVEEDORES[[#This Row],[PROVEEDOR]],"*"&amp;'Palabra no opera'!$A$2&amp;"*"))</f>
        <v>0</v>
      </c>
      <c r="AA897" s="24"/>
      <c r="AB897" s="24"/>
      <c r="AC897" s="24"/>
      <c r="AD897" s="24"/>
      <c r="AE897" s="24"/>
    </row>
    <row r="898" spans="1:31" ht="22.2" customHeight="1" x14ac:dyDescent="0.3">
      <c r="A898" s="66" t="str">
        <f>+IF(PROVEEDORES[[#This Row],[FECHA DE PAGO]]=PROVEEDORES[[#This Row],[FECHA DE FACTURACIÓN]],"DE CONTADO","CRÉDITO")</f>
        <v>DE CONTADO</v>
      </c>
      <c r="B898" s="38" t="b">
        <f>+IF((PROVEEDORES[[#This Row],[FECHA DE PAGO]]-PROVEEDORES[[#This Row],[FECHA DE FACTURACIÓN]])&gt;PROVEEDORES[[#This Row],[PLAZO Días]],"PAGO VENCIDO")</f>
        <v>0</v>
      </c>
      <c r="C898" s="20">
        <f>+VLOOKUP(PROVEEDORES[[#This Row],[PROVEEDOR]],TERCEROS_INFO[#All],2,FALSE)</f>
        <v>30</v>
      </c>
      <c r="D898" s="25">
        <f>+SUMIFS(PROVEEDORES[Total],PROVEEDORES[PROVEEDOR],PROVEEDORES[[#This Row],[PROVEEDOR]],PROVEEDORES[FECHA DE PAGO],"")</f>
        <v>0</v>
      </c>
      <c r="E898" s="25"/>
      <c r="F898" s="58" t="str">
        <f>+VLOOKUP(PROVEEDORES[[#This Row],[PROVEEDOR]],
                       Terceros!$A:$F,
                       5,
                       FALSE)</f>
        <v/>
      </c>
      <c r="G898" s="161">
        <v>44201</v>
      </c>
      <c r="H898" s="26" t="s">
        <v>661</v>
      </c>
      <c r="I898" s="161">
        <v>44201</v>
      </c>
      <c r="J898" s="35" t="s">
        <v>727</v>
      </c>
      <c r="K898" s="21">
        <v>750000</v>
      </c>
      <c r="L898" s="21"/>
      <c r="M898" s="22">
        <f>(PROVEEDORES[[#This Row],[SUBTOTAL]]-PROVEEDORES[[#This Row],[descuento sobre subtotal]])*VLOOKUP(PROVEEDORES[[#This Row],[PROVEEDOR]],TERCEROS_INFO[#All],3,FALSE)</f>
        <v>0</v>
      </c>
      <c r="N898" s="23"/>
      <c r="O898" s="22">
        <f>+PROVEEDORES[[#This Row],[Descuento sobre subtotal %]]*(PROVEEDORES[[#This Row],[SUBTOTAL]]-PROVEEDORES[[#This Row],[descuento sobre subtotal]])</f>
        <v>0</v>
      </c>
      <c r="P898" s="83">
        <f>+IF(PROVEEDORES[[#This Row],[SUBTOTAL]]&lt;PROVEEDORES[[#This Row],[base retencion]],0,PROVEEDORES[[#This Row],[retención aplicada]])</f>
        <v>0</v>
      </c>
      <c r="Q898" s="22">
        <f>+PROVEEDORES[[#This Row],[Rete Fuente %]]*(PROVEEDORES[[#This Row],[SUBTOTAL]]-PROVEEDORES[[#This Row],[descuento sobre subtotal]])</f>
        <v>0</v>
      </c>
      <c r="R898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8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68">
        <f ca="1">IF(PROVEEDORES[[#This Row],[FECHA DE PAGO]]=0,TODAY()-PROVEEDORES[[#This Row],[FECHA DE FACTURACIÓN]]-PROVEEDORES[[#This Row],[PLAZO Días]],0)</f>
        <v>0</v>
      </c>
      <c r="U898" s="96">
        <f>+VLOOKUP(PROVEEDORES[[#This Row],[PROVEEDOR]],Terceros!$A:$D,4,FALSE)</f>
        <v>0</v>
      </c>
      <c r="V898" s="97">
        <f>+YEAR(PROVEEDORES[[#This Row],[FECHA DE FACTURACIÓN]])</f>
        <v>2021</v>
      </c>
      <c r="W898" s="97">
        <f>+MATCH(PROVEEDORES[[#This Row],[año facturado]],Retenciones!$1:$1,0)</f>
        <v>4</v>
      </c>
      <c r="X898" s="98">
        <f>+VLOOKUP(PROVEEDORES[[#This Row],[ID RETENCION]],Retenciones!$A$1:$O$25,PROVEEDORES[[#This Row],[indicador de columna]],FALSE)</f>
        <v>0</v>
      </c>
      <c r="Y898" s="99">
        <f>+VLOOKUP(PROVEEDORES[[#This Row],[ID RETENCION]],Retenciones!$A$1:$O$25,2,FALSE)</f>
        <v>0</v>
      </c>
      <c r="Z898" s="125" t="b">
        <f>OR(COUNTIF(PROVEEDORES[[#This Row],[PROVEEDOR]],"*"&amp;'Palabra no opera'!$A$2&amp;"*"))</f>
        <v>0</v>
      </c>
      <c r="AA898" s="24"/>
      <c r="AB898" s="24"/>
      <c r="AC898" s="24"/>
      <c r="AD898" s="24"/>
      <c r="AE898" s="24"/>
    </row>
    <row r="899" spans="1:31" ht="22.2" customHeight="1" x14ac:dyDescent="0.3">
      <c r="A899" s="72" t="str">
        <f>+IF(PROVEEDORES[[#This Row],[FECHA DE PAGO]]=PROVEEDORES[[#This Row],[FECHA DE FACTURACIÓN]],"DE CONTADO","CRÉDITO")</f>
        <v>CRÉDITO</v>
      </c>
      <c r="B899" s="38" t="str">
        <f>+IF((PROVEEDORES[[#This Row],[FECHA DE PAGO]]-PROVEEDORES[[#This Row],[FECHA DE FACTURACIÓN]])&gt;PROVEEDORES[[#This Row],[PLAZO Días]],"PAGO VENCIDO")</f>
        <v>PAGO VENCIDO</v>
      </c>
      <c r="C899" s="20">
        <f>+VLOOKUP(PROVEEDORES[[#This Row],[PROVEEDOR]],TERCEROS_INFO[#All],2,FALSE)</f>
        <v>30</v>
      </c>
      <c r="D899" s="25">
        <f>+SUMIFS(PROVEEDORES[Total],PROVEEDORES[PROVEEDOR],PROVEEDORES[[#This Row],[PROVEEDOR]],PROVEEDORES[FECHA DE PAGO],"")</f>
        <v>0</v>
      </c>
      <c r="E899" s="25"/>
      <c r="F899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899" s="161">
        <v>44713</v>
      </c>
      <c r="H899" s="26" t="s">
        <v>667</v>
      </c>
      <c r="I899" s="161">
        <v>44672</v>
      </c>
      <c r="J899" s="35" t="s">
        <v>1588</v>
      </c>
      <c r="K899" s="21">
        <v>750000</v>
      </c>
      <c r="L899" s="21"/>
      <c r="M899" s="22">
        <f>(PROVEEDORES[[#This Row],[SUBTOTAL]]-PROVEEDORES[[#This Row],[descuento sobre subtotal]])*VLOOKUP(PROVEEDORES[[#This Row],[PROVEEDOR]],TERCEROS_INFO[#All],3,FALSE)</f>
        <v>0</v>
      </c>
      <c r="N899" s="23"/>
      <c r="O899" s="22">
        <f>+PROVEEDORES[[#This Row],[Descuento sobre subtotal %]]*(PROVEEDORES[[#This Row],[SUBTOTAL]]-PROVEEDORES[[#This Row],[descuento sobre subtotal]])</f>
        <v>0</v>
      </c>
      <c r="P899" s="83">
        <f>+IF(PROVEEDORES[[#This Row],[SUBTOTAL]]&lt;PROVEEDORES[[#This Row],[base retencion]],0,PROVEEDORES[[#This Row],[retención aplicada]])</f>
        <v>0</v>
      </c>
      <c r="Q899" s="22">
        <f>+PROVEEDORES[[#This Row],[Rete Fuente %]]*(PROVEEDORES[[#This Row],[SUBTOTAL]]-PROVEEDORES[[#This Row],[descuento sobre subtotal]])</f>
        <v>0</v>
      </c>
      <c r="R899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89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68">
        <f ca="1">IF(PROVEEDORES[[#This Row],[FECHA DE PAGO]]=0,TODAY()-PROVEEDORES[[#This Row],[FECHA DE FACTURACIÓN]]-PROVEEDORES[[#This Row],[PLAZO Días]],0)</f>
        <v>0</v>
      </c>
      <c r="U899" s="113">
        <f>+VLOOKUP(PROVEEDORES[[#This Row],[PROVEEDOR]],Terceros!$A:$D,4,FALSE)</f>
        <v>0</v>
      </c>
      <c r="V899" s="114">
        <f>+YEAR(PROVEEDORES[[#This Row],[FECHA DE FACTURACIÓN]])</f>
        <v>2022</v>
      </c>
      <c r="W899" s="114">
        <f>+MATCH(PROVEEDORES[[#This Row],[año facturado]],Retenciones!$1:$1,0)</f>
        <v>5</v>
      </c>
      <c r="X899" s="115">
        <f>+VLOOKUP(PROVEEDORES[[#This Row],[ID RETENCION]],Retenciones!$A$1:$O$25,PROVEEDORES[[#This Row],[indicador de columna]],FALSE)</f>
        <v>0</v>
      </c>
      <c r="Y899" s="116">
        <f>+VLOOKUP(PROVEEDORES[[#This Row],[ID RETENCION]],Retenciones!$A$1:$O$25,2,FALSE)</f>
        <v>0</v>
      </c>
      <c r="Z899" s="125" t="b">
        <f>OR(COUNTIF(PROVEEDORES[[#This Row],[PROVEEDOR]],"*"&amp;'Palabra no opera'!$A$2&amp;"*"))</f>
        <v>0</v>
      </c>
      <c r="AA899" s="24"/>
      <c r="AB899" s="24"/>
      <c r="AC899" s="24"/>
      <c r="AD899" s="24"/>
      <c r="AE899" s="24"/>
    </row>
    <row r="900" spans="1:31" ht="22.2" customHeight="1" x14ac:dyDescent="0.3">
      <c r="A900" s="72" t="str">
        <f>+IF(PROVEEDORES[[#This Row],[FECHA DE PAGO]]=PROVEEDORES[[#This Row],[FECHA DE FACTURACIÓN]],"DE CONTADO","CRÉDITO")</f>
        <v>DE CONTADO</v>
      </c>
      <c r="B900" s="38" t="b">
        <f>+IF((PROVEEDORES[[#This Row],[FECHA DE PAGO]]-PROVEEDORES[[#This Row],[FECHA DE FACTURACIÓN]])&gt;PROVEEDORES[[#This Row],[PLAZO Días]],"PAGO VENCIDO")</f>
        <v>0</v>
      </c>
      <c r="C900" s="20">
        <f>+VLOOKUP(PROVEEDORES[[#This Row],[PROVEEDOR]],TERCEROS_INFO[#All],2,FALSE)</f>
        <v>30</v>
      </c>
      <c r="D900" s="25">
        <f>+SUMIFS(PROVEEDORES[Total],PROVEEDORES[PROVEEDOR],PROVEEDORES[[#This Row],[PROVEEDOR]],PROVEEDORES[FECHA DE PAGO],"")</f>
        <v>0</v>
      </c>
      <c r="E900" s="25"/>
      <c r="F900" s="58" t="str">
        <f>+VLOOKUP(PROVEEDORES[[#This Row],[PROVEEDOR]],
                       Terceros!$A:$F,
                       5,
                       FALSE)</f>
        <v/>
      </c>
      <c r="G900" s="161">
        <v>44772</v>
      </c>
      <c r="H900" s="26" t="s">
        <v>661</v>
      </c>
      <c r="I900" s="161">
        <v>44772</v>
      </c>
      <c r="J900" s="35" t="s">
        <v>1148</v>
      </c>
      <c r="K900" s="21">
        <v>750000</v>
      </c>
      <c r="L900" s="21"/>
      <c r="M900" s="22">
        <f>(PROVEEDORES[[#This Row],[SUBTOTAL]]-PROVEEDORES[[#This Row],[descuento sobre subtotal]])*VLOOKUP(PROVEEDORES[[#This Row],[PROVEEDOR]],TERCEROS_INFO[#All],3,FALSE)</f>
        <v>0</v>
      </c>
      <c r="N900" s="23"/>
      <c r="O900" s="22">
        <f>+PROVEEDORES[[#This Row],[Descuento sobre subtotal %]]*(PROVEEDORES[[#This Row],[SUBTOTAL]]-PROVEEDORES[[#This Row],[descuento sobre subtotal]])</f>
        <v>0</v>
      </c>
      <c r="P900" s="83">
        <f>+IF(PROVEEDORES[[#This Row],[SUBTOTAL]]&lt;PROVEEDORES[[#This Row],[base retencion]],0,PROVEEDORES[[#This Row],[retención aplicada]])</f>
        <v>0</v>
      </c>
      <c r="Q900" s="22">
        <f>+PROVEEDORES[[#This Row],[Rete Fuente %]]*(PROVEEDORES[[#This Row],[SUBTOTAL]]-PROVEEDORES[[#This Row],[descuento sobre subtotal]])</f>
        <v>0</v>
      </c>
      <c r="R900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90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68">
        <f ca="1">IF(PROVEEDORES[[#This Row],[FECHA DE PAGO]]=0,TODAY()-PROVEEDORES[[#This Row],[FECHA DE FACTURACIÓN]]-PROVEEDORES[[#This Row],[PLAZO Días]],0)</f>
        <v>0</v>
      </c>
      <c r="U900" s="113">
        <f>+VLOOKUP(PROVEEDORES[[#This Row],[PROVEEDOR]],Terceros!$A:$D,4,FALSE)</f>
        <v>0</v>
      </c>
      <c r="V900" s="114">
        <f>+YEAR(PROVEEDORES[[#This Row],[FECHA DE FACTURACIÓN]])</f>
        <v>2022</v>
      </c>
      <c r="W900" s="114">
        <f>+MATCH(PROVEEDORES[[#This Row],[año facturado]],Retenciones!$1:$1,0)</f>
        <v>5</v>
      </c>
      <c r="X900" s="115">
        <f>+VLOOKUP(PROVEEDORES[[#This Row],[ID RETENCION]],Retenciones!$A$1:$O$25,PROVEEDORES[[#This Row],[indicador de columna]],FALSE)</f>
        <v>0</v>
      </c>
      <c r="Y900" s="116">
        <f>+VLOOKUP(PROVEEDORES[[#This Row],[ID RETENCION]],Retenciones!$A$1:$O$25,2,FALSE)</f>
        <v>0</v>
      </c>
      <c r="Z900" s="125" t="b">
        <f>OR(COUNTIF(PROVEEDORES[[#This Row],[PROVEEDOR]],"*"&amp;'Palabra no opera'!$A$2&amp;"*"))</f>
        <v>0</v>
      </c>
      <c r="AA900" s="24"/>
      <c r="AB900" s="24"/>
      <c r="AC900" s="24"/>
      <c r="AD900" s="24"/>
      <c r="AE900" s="24"/>
    </row>
    <row r="901" spans="1:31" ht="22.2" customHeight="1" x14ac:dyDescent="0.3">
      <c r="A901" s="66" t="str">
        <f>+IF(PROVEEDORES[[#This Row],[FECHA DE PAGO]]=PROVEEDORES[[#This Row],[FECHA DE FACTURACIÓN]],"DE CONTADO","CRÉDITO")</f>
        <v>CRÉDITO</v>
      </c>
      <c r="B901" s="38" t="str">
        <f>+IF((PROVEEDORES[[#This Row],[FECHA DE PAGO]]-PROVEEDORES[[#This Row],[FECHA DE FACTURACIÓN]])&gt;PROVEEDORES[[#This Row],[PLAZO Días]],"PAGO VENCIDO")</f>
        <v>PAGO VENCIDO</v>
      </c>
      <c r="C901" s="20">
        <f>+VLOOKUP(PROVEEDORES[[#This Row],[PROVEEDOR]],TERCEROS_INFO[#All],2,FALSE)</f>
        <v>30</v>
      </c>
      <c r="D901" s="25">
        <f>+SUMIFS(PROVEEDORES[Total],PROVEEDORES[PROVEEDOR],PROVEEDORES[[#This Row],[PROVEEDOR]],PROVEEDORES[FECHA DE PAGO],"")</f>
        <v>0</v>
      </c>
      <c r="E901" s="25"/>
      <c r="F90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01" s="161">
        <v>44239</v>
      </c>
      <c r="H901" s="26" t="s">
        <v>746</v>
      </c>
      <c r="I901" s="161">
        <v>44179</v>
      </c>
      <c r="J901" s="35">
        <v>528</v>
      </c>
      <c r="K901" s="21">
        <v>630252.9411764706</v>
      </c>
      <c r="L901" s="21"/>
      <c r="M901" s="22">
        <f>(PROVEEDORES[[#This Row],[SUBTOTAL]]-PROVEEDORES[[#This Row],[descuento sobre subtotal]])*VLOOKUP(PROVEEDORES[[#This Row],[PROVEEDOR]],TERCEROS_INFO[#All],3,FALSE)</f>
        <v>119748.05882352941</v>
      </c>
      <c r="N901" s="23"/>
      <c r="O901" s="22">
        <f>+PROVEEDORES[[#This Row],[Descuento sobre subtotal %]]*(PROVEEDORES[[#This Row],[SUBTOTAL]]-PROVEEDORES[[#This Row],[descuento sobre subtotal]])</f>
        <v>0</v>
      </c>
      <c r="P901" s="83">
        <f>+IF(PROVEEDORES[[#This Row],[SUBTOTAL]]&lt;PROVEEDORES[[#This Row],[base retencion]],0,PROVEEDORES[[#This Row],[retención aplicada]])</f>
        <v>0</v>
      </c>
      <c r="Q901" s="22">
        <f>+PROVEEDORES[[#This Row],[Rete Fuente %]]*(PROVEEDORES[[#This Row],[SUBTOTAL]]-PROVEEDORES[[#This Row],[descuento sobre subtotal]])</f>
        <v>0</v>
      </c>
      <c r="R901" s="21">
        <f>+PROVEEDORES[[#This Row],[SUBTOTAL]]+PROVEEDORES[[#This Row],[IVA 19%]]-PROVEEDORES[[#This Row],[descuento sobre subtotal]]-PROVEEDORES[[#This Row],[Descuento sobre subtotal $2]]-PROVEEDORES[[#This Row],[Rete Fuente $]]</f>
        <v>750001</v>
      </c>
      <c r="S9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68">
        <f ca="1">IF(PROVEEDORES[[#This Row],[FECHA DE PAGO]]=0,TODAY()-PROVEEDORES[[#This Row],[FECHA DE FACTURACIÓN]]-PROVEEDORES[[#This Row],[PLAZO Días]],0)</f>
        <v>0</v>
      </c>
      <c r="U901" s="96" t="str">
        <f>+VLOOKUP(PROVEEDORES[[#This Row],[PROVEEDOR]],Terceros!$A:$D,4,FALSE)</f>
        <v>2,5% con base</v>
      </c>
      <c r="V901" s="97">
        <f>+YEAR(PROVEEDORES[[#This Row],[FECHA DE FACTURACIÓN]])</f>
        <v>2020</v>
      </c>
      <c r="W901" s="97">
        <f>+MATCH(PROVEEDORES[[#This Row],[año facturado]],Retenciones!$1:$1,0)</f>
        <v>3</v>
      </c>
      <c r="X901" s="98">
        <f>+VLOOKUP(PROVEEDORES[[#This Row],[ID RETENCION]],Retenciones!$A$1:$O$25,PROVEEDORES[[#This Row],[indicador de columna]],FALSE)</f>
        <v>961000</v>
      </c>
      <c r="Y901" s="99">
        <f>+VLOOKUP(PROVEEDORES[[#This Row],[ID RETENCION]],Retenciones!$A$1:$O$25,2,FALSE)</f>
        <v>2.5000000000000001E-2</v>
      </c>
      <c r="Z901" s="125" t="b">
        <f>OR(COUNTIF(PROVEEDORES[[#This Row],[PROVEEDOR]],"*"&amp;'Palabra no opera'!$A$2&amp;"*"))</f>
        <v>0</v>
      </c>
      <c r="AA901" s="24"/>
      <c r="AB901" s="24"/>
      <c r="AC901" s="24"/>
      <c r="AD901" s="24"/>
      <c r="AE901" s="24"/>
    </row>
    <row r="902" spans="1:31" ht="22.2" customHeight="1" x14ac:dyDescent="0.3">
      <c r="A902" s="269" t="str">
        <f>+IF(PROVEEDORES[[#This Row],[FECHA DE PAGO]]=PROVEEDORES[[#This Row],[FECHA DE FACTURACIÓN]],"DE CONTADO","CRÉDITO")</f>
        <v>CRÉDITO</v>
      </c>
      <c r="B902" s="38" t="b">
        <f>+IF((PROVEEDORES[[#This Row],[FECHA DE PAGO]]-PROVEEDORES[[#This Row],[FECHA DE FACTURACIÓN]])&gt;PROVEEDORES[[#This Row],[PLAZO Días]],"PAGO VENCIDO")</f>
        <v>0</v>
      </c>
      <c r="C902" s="20">
        <f>+VLOOKUP(PROVEEDORES[[#This Row],[PROVEEDOR]],TERCEROS_INFO[#All],2,FALSE)</f>
        <v>60</v>
      </c>
      <c r="D902" s="25">
        <f>+SUMIFS(PROVEEDORES[Total],PROVEEDORES[PROVEEDOR],PROVEEDORES[[#This Row],[PROVEEDOR]],PROVEEDORES[FECHA DE PAGO],"")</f>
        <v>1520362</v>
      </c>
      <c r="E902" s="25"/>
      <c r="F902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H902" s="26" t="s">
        <v>528</v>
      </c>
      <c r="I902" s="161">
        <v>44868</v>
      </c>
      <c r="J902" s="35">
        <v>1524</v>
      </c>
      <c r="K902" s="21">
        <v>750052</v>
      </c>
      <c r="L902" s="21"/>
      <c r="M902" s="22">
        <f>(PROVEEDORES[[#This Row],[SUBTOTAL]]-PROVEEDORES[[#This Row],[descuento sobre subtotal]])*VLOOKUP(PROVEEDORES[[#This Row],[PROVEEDOR]],TERCEROS_INFO[#All],3,FALSE)</f>
        <v>0</v>
      </c>
      <c r="N902" s="23"/>
      <c r="O902" s="22">
        <f>+PROVEEDORES[[#This Row],[Descuento sobre subtotal %]]*(PROVEEDORES[[#This Row],[SUBTOTAL]]-PROVEEDORES[[#This Row],[descuento sobre subtotal]])</f>
        <v>0</v>
      </c>
      <c r="P902" s="83">
        <f>+IF(PROVEEDORES[[#This Row],[SUBTOTAL]]&lt;PROVEEDORES[[#This Row],[base retencion]],0,PROVEEDORES[[#This Row],[retención aplicada]])</f>
        <v>0</v>
      </c>
      <c r="Q902" s="22">
        <f>+PROVEEDORES[[#This Row],[Rete Fuente %]]*(PROVEEDORES[[#This Row],[SUBTOTAL]]-PROVEEDORES[[#This Row],[descuento sobre subtotal]])</f>
        <v>0</v>
      </c>
      <c r="R902" s="21">
        <f>+PROVEEDORES[[#This Row],[SUBTOTAL]]+PROVEEDORES[[#This Row],[IVA 19%]]-PROVEEDORES[[#This Row],[descuento sobre subtotal]]-PROVEEDORES[[#This Row],[Descuento sobre subtotal $2]]-PROVEEDORES[[#This Row],[Rete Fuente $]]</f>
        <v>750052</v>
      </c>
      <c r="S902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902" s="68">
        <f ca="1">IF(PROVEEDORES[[#This Row],[FECHA DE PAGO]]=0,TODAY()-PROVEEDORES[[#This Row],[FECHA DE FACTURACIÓN]]-PROVEEDORES[[#This Row],[PLAZO Días]],0)</f>
        <v>-53</v>
      </c>
      <c r="U902" s="113">
        <f>+VLOOKUP(PROVEEDORES[[#This Row],[PROVEEDOR]],Terceros!$A:$D,4,FALSE)</f>
        <v>0</v>
      </c>
      <c r="V902" s="114">
        <f>+YEAR(PROVEEDORES[[#This Row],[FECHA DE FACTURACIÓN]])</f>
        <v>2022</v>
      </c>
      <c r="W902" s="114">
        <f>+MATCH(PROVEEDORES[[#This Row],[año facturado]],Retenciones!$1:$1,0)</f>
        <v>5</v>
      </c>
      <c r="X902" s="115">
        <f>+VLOOKUP(PROVEEDORES[[#This Row],[ID RETENCION]],Retenciones!$A$1:$O$25,PROVEEDORES[[#This Row],[indicador de columna]],FALSE)</f>
        <v>0</v>
      </c>
      <c r="Y902" s="116">
        <f>+VLOOKUP(PROVEEDORES[[#This Row],[ID RETENCION]],Retenciones!$A$1:$O$25,2,FALSE)</f>
        <v>0</v>
      </c>
      <c r="Z902" s="125" t="b">
        <f>OR(COUNTIF(PROVEEDORES[[#This Row],[PROVEEDOR]],"*"&amp;'Palabra no opera'!$A$2&amp;"*"))</f>
        <v>0</v>
      </c>
      <c r="AA902" s="24"/>
      <c r="AB902" s="24"/>
      <c r="AC902" s="24"/>
      <c r="AD902" s="24"/>
      <c r="AE902" s="24"/>
    </row>
    <row r="903" spans="1:31" ht="22.2" customHeight="1" x14ac:dyDescent="0.3">
      <c r="A903" s="66" t="str">
        <f>+IF(PROVEEDORES[[#This Row],[FECHA DE PAGO]]=PROVEEDORES[[#This Row],[FECHA DE FACTURACIÓN]],"DE CONTADO","CRÉDITO")</f>
        <v>DE CONTADO</v>
      </c>
      <c r="B903" s="38" t="b">
        <f>+IF((PROVEEDORES[[#This Row],[FECHA DE PAGO]]-PROVEEDORES[[#This Row],[FECHA DE FACTURACIÓN]])&gt;PROVEEDORES[[#This Row],[PLAZO Días]],"PAGO VENCIDO")</f>
        <v>0</v>
      </c>
      <c r="C903" s="20">
        <f>+VLOOKUP(PROVEEDORES[[#This Row],[PROVEEDOR]],TERCEROS_INFO[#All],2,FALSE)</f>
        <v>30</v>
      </c>
      <c r="D903" s="25">
        <f>+SUMIFS(PROVEEDORES[Total],PROVEEDORES[PROVEEDOR],PROVEEDORES[[#This Row],[PROVEEDOR]],PROVEEDORES[FECHA DE PAGO],"")</f>
        <v>0</v>
      </c>
      <c r="E903" s="25"/>
      <c r="F903" s="58" t="str">
        <f>+VLOOKUP(PROVEEDORES[[#This Row],[PROVEEDOR]],
                       Terceros!$A:$F,
                       5,
                       FALSE)</f>
        <v/>
      </c>
      <c r="G903" s="161">
        <v>44530</v>
      </c>
      <c r="H903" s="26" t="s">
        <v>644</v>
      </c>
      <c r="I903" s="161">
        <v>44530</v>
      </c>
      <c r="J903" s="35" t="s">
        <v>1187</v>
      </c>
      <c r="K903" s="21">
        <v>755000</v>
      </c>
      <c r="L903" s="21"/>
      <c r="M903" s="22">
        <f>(PROVEEDORES[[#This Row],[SUBTOTAL]]-PROVEEDORES[[#This Row],[descuento sobre subtotal]])*VLOOKUP(PROVEEDORES[[#This Row],[PROVEEDOR]],TERCEROS_INFO[#All],3,FALSE)</f>
        <v>0</v>
      </c>
      <c r="N903" s="23"/>
      <c r="O903" s="22">
        <f>+PROVEEDORES[[#This Row],[Descuento sobre subtotal %]]*(PROVEEDORES[[#This Row],[SUBTOTAL]]-PROVEEDORES[[#This Row],[descuento sobre subtotal]])</f>
        <v>0</v>
      </c>
      <c r="P903" s="83">
        <f>+IF(PROVEEDORES[[#This Row],[SUBTOTAL]]&lt;PROVEEDORES[[#This Row],[base retencion]],0,PROVEEDORES[[#This Row],[retención aplicada]])</f>
        <v>0</v>
      </c>
      <c r="Q903" s="22">
        <f>+PROVEEDORES[[#This Row],[Rete Fuente %]]*(PROVEEDORES[[#This Row],[SUBTOTAL]]-PROVEEDORES[[#This Row],[descuento sobre subtotal]])</f>
        <v>0</v>
      </c>
      <c r="R903" s="21">
        <f>+PROVEEDORES[[#This Row],[SUBTOTAL]]+PROVEEDORES[[#This Row],[IVA 19%]]-PROVEEDORES[[#This Row],[descuento sobre subtotal]]-PROVEEDORES[[#This Row],[Descuento sobre subtotal $2]]-PROVEEDORES[[#This Row],[Rete Fuente $]]</f>
        <v>755000</v>
      </c>
      <c r="S9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68">
        <f ca="1">IF(PROVEEDORES[[#This Row],[FECHA DE PAGO]]=0,TODAY()-PROVEEDORES[[#This Row],[FECHA DE FACTURACIÓN]]-PROVEEDORES[[#This Row],[PLAZO Días]],0)</f>
        <v>0</v>
      </c>
      <c r="U903" s="96">
        <f>+VLOOKUP(PROVEEDORES[[#This Row],[PROVEEDOR]],Terceros!$A:$D,4,FALSE)</f>
        <v>0</v>
      </c>
      <c r="V903" s="97">
        <f>+YEAR(PROVEEDORES[[#This Row],[FECHA DE FACTURACIÓN]])</f>
        <v>2021</v>
      </c>
      <c r="W903" s="97">
        <f>+MATCH(PROVEEDORES[[#This Row],[año facturado]],Retenciones!$1:$1,0)</f>
        <v>4</v>
      </c>
      <c r="X903" s="98">
        <f>+VLOOKUP(PROVEEDORES[[#This Row],[ID RETENCION]],Retenciones!$A$1:$O$25,PROVEEDORES[[#This Row],[indicador de columna]],FALSE)</f>
        <v>0</v>
      </c>
      <c r="Y903" s="99">
        <f>+VLOOKUP(PROVEEDORES[[#This Row],[ID RETENCION]],Retenciones!$A$1:$O$25,2,FALSE)</f>
        <v>0</v>
      </c>
      <c r="Z903" s="125" t="b">
        <f>OR(COUNTIF(PROVEEDORES[[#This Row],[PROVEEDOR]],"*"&amp;'Palabra no opera'!$A$2&amp;"*"))</f>
        <v>0</v>
      </c>
      <c r="AA903" s="24"/>
      <c r="AB903" s="24"/>
      <c r="AC903" s="24"/>
      <c r="AD903" s="24"/>
      <c r="AE903" s="24"/>
    </row>
    <row r="904" spans="1:31" ht="22.2" customHeight="1" x14ac:dyDescent="0.3">
      <c r="A904" s="257" t="str">
        <f>+IF(PROVEEDORES[[#This Row],[FECHA DE PAGO]]=PROVEEDORES[[#This Row],[FECHA DE FACTURACIÓN]],"DE CONTADO","CRÉDITO")</f>
        <v>CRÉDITO</v>
      </c>
      <c r="B904" s="38" t="b">
        <f>+IF((PROVEEDORES[[#This Row],[FECHA DE PAGO]]-PROVEEDORES[[#This Row],[FECHA DE FACTURACIÓN]])&gt;PROVEEDORES[[#This Row],[PLAZO Días]],"PAGO VENCIDO")</f>
        <v>0</v>
      </c>
      <c r="C904" s="20">
        <f>+VLOOKUP(PROVEEDORES[[#This Row],[PROVEEDOR]],TERCEROS_INFO[#All],2,FALSE)</f>
        <v>30</v>
      </c>
      <c r="D904" s="25">
        <f>+SUMIFS(PROVEEDORES[Total],PROVEEDORES[PROVEEDOR],PROVEEDORES[[#This Row],[PROVEEDOR]],PROVEEDORES[FECHA DE PAGO],"")</f>
        <v>1645455.6614999999</v>
      </c>
      <c r="E904" s="25"/>
      <c r="F904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904" s="26" t="s">
        <v>79</v>
      </c>
      <c r="I904" s="161">
        <v>44824</v>
      </c>
      <c r="J904" s="35" t="s">
        <v>1710</v>
      </c>
      <c r="K904" s="21">
        <v>634581.85</v>
      </c>
      <c r="L904" s="21"/>
      <c r="M904" s="22">
        <f>(PROVEEDORES[[#This Row],[SUBTOTAL]]-PROVEEDORES[[#This Row],[descuento sobre subtotal]])*VLOOKUP(PROVEEDORES[[#This Row],[PROVEEDOR]],TERCEROS_INFO[#All],3,FALSE)</f>
        <v>120570.5515</v>
      </c>
      <c r="N904" s="23"/>
      <c r="O904" s="22">
        <f>+PROVEEDORES[[#This Row],[Descuento sobre subtotal %]]*(PROVEEDORES[[#This Row],[SUBTOTAL]]-PROVEEDORES[[#This Row],[descuento sobre subtotal]])</f>
        <v>0</v>
      </c>
      <c r="P904" s="83">
        <f>+IF(PROVEEDORES[[#This Row],[SUBTOTAL]]&lt;PROVEEDORES[[#This Row],[base retencion]],0,PROVEEDORES[[#This Row],[retención aplicada]])</f>
        <v>0</v>
      </c>
      <c r="Q904" s="22">
        <f>+PROVEEDORES[[#This Row],[Rete Fuente %]]*(PROVEEDORES[[#This Row],[SUBTOTAL]]-PROVEEDORES[[#This Row],[descuento sobre subtotal]])</f>
        <v>0</v>
      </c>
      <c r="R904" s="21">
        <f>+PROVEEDORES[[#This Row],[SUBTOTAL]]+PROVEEDORES[[#This Row],[IVA 19%]]-PROVEEDORES[[#This Row],[descuento sobre subtotal]]-PROVEEDORES[[#This Row],[Descuento sobre subtotal $2]]-PROVEEDORES[[#This Row],[Rete Fuente $]]</f>
        <v>755152.40149999992</v>
      </c>
      <c r="S904" s="25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904" s="68">
        <f ca="1">IF(PROVEEDORES[[#This Row],[FECHA DE PAGO]]=0,TODAY()-PROVEEDORES[[#This Row],[FECHA DE FACTURACIÓN]]-PROVEEDORES[[#This Row],[PLAZO Días]],0)</f>
        <v>21</v>
      </c>
      <c r="U904" s="113" t="str">
        <f>+VLOOKUP(PROVEEDORES[[#This Row],[PROVEEDOR]],Terceros!$A:$D,4,FALSE)</f>
        <v>2,5% con base</v>
      </c>
      <c r="V904" s="114">
        <f>+YEAR(PROVEEDORES[[#This Row],[FECHA DE FACTURACIÓN]])</f>
        <v>2022</v>
      </c>
      <c r="W904" s="114">
        <f>+MATCH(PROVEEDORES[[#This Row],[año facturado]],Retenciones!$1:$1,0)</f>
        <v>5</v>
      </c>
      <c r="X904" s="115">
        <f>+VLOOKUP(PROVEEDORES[[#This Row],[ID RETENCION]],Retenciones!$A$1:$O$25,PROVEEDORES[[#This Row],[indicador de columna]],FALSE)</f>
        <v>1026000</v>
      </c>
      <c r="Y904" s="116">
        <f>+VLOOKUP(PROVEEDORES[[#This Row],[ID RETENCION]],Retenciones!$A$1:$O$25,2,FALSE)</f>
        <v>2.5000000000000001E-2</v>
      </c>
      <c r="Z904" s="125" t="b">
        <f>OR(COUNTIF(PROVEEDORES[[#This Row],[PROVEEDOR]],"*"&amp;'Palabra no opera'!$A$2&amp;"*"))</f>
        <v>0</v>
      </c>
      <c r="AA904" s="24"/>
      <c r="AB904" s="24"/>
      <c r="AC904" s="24"/>
      <c r="AD904" s="24"/>
      <c r="AE904" s="24"/>
    </row>
    <row r="905" spans="1:31" ht="22.2" customHeight="1" x14ac:dyDescent="0.3">
      <c r="A905" s="66" t="str">
        <f>+IF(PROVEEDORES[[#This Row],[FECHA DE PAGO]]=PROVEEDORES[[#This Row],[FECHA DE FACTURACIÓN]],"DE CONTADO","CRÉDITO")</f>
        <v>CRÉDITO</v>
      </c>
      <c r="B905" s="38" t="b">
        <f>+IF((PROVEEDORES[[#This Row],[FECHA DE PAGO]]-PROVEEDORES[[#This Row],[FECHA DE FACTURACIÓN]])&gt;PROVEEDORES[[#This Row],[PLAZO Días]],"PAGO VENCIDO")</f>
        <v>0</v>
      </c>
      <c r="C905" s="20">
        <f>+VLOOKUP(PROVEEDORES[[#This Row],[PROVEEDOR]],TERCEROS_INFO[#All],2,FALSE)</f>
        <v>30</v>
      </c>
      <c r="D905" s="25">
        <f>+SUMIFS(PROVEEDORES[Total],PROVEEDORES[PROVEEDOR],PROVEEDORES[[#This Row],[PROVEEDOR]],PROVEEDORES[FECHA DE PAGO],"")</f>
        <v>0</v>
      </c>
      <c r="E905" s="25"/>
      <c r="F90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05" s="161">
        <v>44543</v>
      </c>
      <c r="H905" s="26" t="s">
        <v>1451</v>
      </c>
      <c r="I905" s="161">
        <v>44536</v>
      </c>
      <c r="J905" s="35">
        <v>176</v>
      </c>
      <c r="K905" s="21">
        <v>767000</v>
      </c>
      <c r="L905" s="21"/>
      <c r="M905" s="22">
        <f>(PROVEEDORES[[#This Row],[SUBTOTAL]]-PROVEEDORES[[#This Row],[descuento sobre subtotal]])*VLOOKUP(PROVEEDORES[[#This Row],[PROVEEDOR]],TERCEROS_INFO[#All],3,FALSE)</f>
        <v>0</v>
      </c>
      <c r="N905" s="23"/>
      <c r="O905" s="22">
        <f>+PROVEEDORES[[#This Row],[Descuento sobre subtotal %]]*(PROVEEDORES[[#This Row],[SUBTOTAL]]-PROVEEDORES[[#This Row],[descuento sobre subtotal]])</f>
        <v>0</v>
      </c>
      <c r="P905" s="83">
        <f>+IF(PROVEEDORES[[#This Row],[SUBTOTAL]]&lt;PROVEEDORES[[#This Row],[base retencion]],0,PROVEEDORES[[#This Row],[retención aplicada]])</f>
        <v>0.01</v>
      </c>
      <c r="Q905" s="22">
        <f>+PROVEEDORES[[#This Row],[Rete Fuente %]]*(PROVEEDORES[[#This Row],[SUBTOTAL]]-PROVEEDORES[[#This Row],[descuento sobre subtotal]])</f>
        <v>7670</v>
      </c>
      <c r="R905" s="21">
        <f>+PROVEEDORES[[#This Row],[SUBTOTAL]]+PROVEEDORES[[#This Row],[IVA 19%]]-PROVEEDORES[[#This Row],[descuento sobre subtotal]]-PROVEEDORES[[#This Row],[Descuento sobre subtotal $2]]-PROVEEDORES[[#This Row],[Rete Fuente $]]</f>
        <v>759330</v>
      </c>
      <c r="S9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68">
        <f ca="1">IF(PROVEEDORES[[#This Row],[FECHA DE PAGO]]=0,TODAY()-PROVEEDORES[[#This Row],[FECHA DE FACTURACIÓN]]-PROVEEDORES[[#This Row],[PLAZO Días]],0)</f>
        <v>0</v>
      </c>
      <c r="U905" s="96" t="str">
        <f>+VLOOKUP(PROVEEDORES[[#This Row],[PROVEEDOR]],Terceros!$A:$D,4,FALSE)</f>
        <v>1% con base</v>
      </c>
      <c r="V905" s="97">
        <f>+YEAR(PROVEEDORES[[#This Row],[FECHA DE FACTURACIÓN]])</f>
        <v>2021</v>
      </c>
      <c r="W905" s="97">
        <f>+MATCH(PROVEEDORES[[#This Row],[año facturado]],Retenciones!$1:$1,0)</f>
        <v>4</v>
      </c>
      <c r="X905" s="98">
        <f>+VLOOKUP(PROVEEDORES[[#This Row],[ID RETENCION]],Retenciones!$A$1:$O$25,PROVEEDORES[[#This Row],[indicador de columna]],FALSE)</f>
        <v>145000</v>
      </c>
      <c r="Y905" s="99">
        <f>+VLOOKUP(PROVEEDORES[[#This Row],[ID RETENCION]],Retenciones!$A$1:$O$25,2,FALSE)</f>
        <v>0.01</v>
      </c>
      <c r="Z905" s="125" t="b">
        <f>OR(COUNTIF(PROVEEDORES[[#This Row],[PROVEEDOR]],"*"&amp;'Palabra no opera'!$A$2&amp;"*"))</f>
        <v>0</v>
      </c>
      <c r="AA905" s="24"/>
      <c r="AB905" s="24"/>
      <c r="AC905" s="24"/>
      <c r="AD905" s="24"/>
      <c r="AE905" s="24"/>
    </row>
    <row r="906" spans="1:31" ht="22.2" customHeight="1" x14ac:dyDescent="0.3">
      <c r="A906" s="66" t="str">
        <f>+IF(PROVEEDORES[[#This Row],[FECHA DE PAGO]]=PROVEEDORES[[#This Row],[FECHA DE FACTURACIÓN]],"DE CONTADO","CRÉDITO")</f>
        <v>CRÉDITO</v>
      </c>
      <c r="B906" s="38" t="str">
        <f>+IF((PROVEEDORES[[#This Row],[FECHA DE PAGO]]-PROVEEDORES[[#This Row],[FECHA DE FACTURACIÓN]])&gt;PROVEEDORES[[#This Row],[PLAZO Días]],"PAGO VENCIDO")</f>
        <v>PAGO VENCIDO</v>
      </c>
      <c r="C906" s="20">
        <f>+VLOOKUP(PROVEEDORES[[#This Row],[PROVEEDOR]],TERCEROS_INFO[#All],2,FALSE)</f>
        <v>30</v>
      </c>
      <c r="D906" s="25">
        <f>+SUMIFS(PROVEEDORES[Total],PROVEEDORES[PROVEEDOR],PROVEEDORES[[#This Row],[PROVEEDOR]],PROVEEDORES[FECHA DE PAGO],"")</f>
        <v>0</v>
      </c>
      <c r="E906" s="25"/>
      <c r="F90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06" s="161">
        <v>44614</v>
      </c>
      <c r="H906" s="26" t="s">
        <v>1637</v>
      </c>
      <c r="I906" s="161">
        <v>44579</v>
      </c>
      <c r="J906" s="35">
        <v>24344</v>
      </c>
      <c r="K906" s="21">
        <v>640000</v>
      </c>
      <c r="L906" s="21"/>
      <c r="M906" s="22">
        <f>(PROVEEDORES[[#This Row],[SUBTOTAL]]-PROVEEDORES[[#This Row],[descuento sobre subtotal]])*VLOOKUP(PROVEEDORES[[#This Row],[PROVEEDOR]],TERCEROS_INFO[#All],3,FALSE)</f>
        <v>121600</v>
      </c>
      <c r="N906" s="23"/>
      <c r="O906" s="22">
        <f>+PROVEEDORES[[#This Row],[Descuento sobre subtotal %]]*(PROVEEDORES[[#This Row],[SUBTOTAL]]-PROVEEDORES[[#This Row],[descuento sobre subtotal]])</f>
        <v>0</v>
      </c>
      <c r="P906" s="83">
        <f>+IF(PROVEEDORES[[#This Row],[SUBTOTAL]]&lt;PROVEEDORES[[#This Row],[base retencion]],0,PROVEEDORES[[#This Row],[retención aplicada]])</f>
        <v>0</v>
      </c>
      <c r="Q906" s="22">
        <f>+PROVEEDORES[[#This Row],[Rete Fuente %]]*(PROVEEDORES[[#This Row],[SUBTOTAL]]-PROVEEDORES[[#This Row],[descuento sobre subtotal]])</f>
        <v>0</v>
      </c>
      <c r="R906" s="21">
        <v>761600</v>
      </c>
      <c r="S9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68">
        <f ca="1">IF(PROVEEDORES[[#This Row],[FECHA DE PAGO]]=0,TODAY()-PROVEEDORES[[#This Row],[FECHA DE FACTURACIÓN]]-PROVEEDORES[[#This Row],[PLAZO Días]],0)</f>
        <v>0</v>
      </c>
      <c r="U906" s="96" t="str">
        <f>+VLOOKUP(PROVEEDORES[[#This Row],[PROVEEDOR]],Terceros!$A:$D,4,FALSE)</f>
        <v>2,5% con base</v>
      </c>
      <c r="V906" s="97">
        <f>+YEAR(PROVEEDORES[[#This Row],[FECHA DE FACTURACIÓN]])</f>
        <v>2022</v>
      </c>
      <c r="W906" s="97">
        <f>+MATCH(PROVEEDORES[[#This Row],[año facturado]],Retenciones!$1:$1,0)</f>
        <v>5</v>
      </c>
      <c r="X906" s="98">
        <f>+VLOOKUP(PROVEEDORES[[#This Row],[ID RETENCION]],Retenciones!$A$1:$O$25,PROVEEDORES[[#This Row],[indicador de columna]],FALSE)</f>
        <v>1026000</v>
      </c>
      <c r="Y906" s="99">
        <f>+VLOOKUP(PROVEEDORES[[#This Row],[ID RETENCION]],Retenciones!$A$1:$O$25,2,FALSE)</f>
        <v>2.5000000000000001E-2</v>
      </c>
      <c r="Z906" s="125" t="b">
        <f>OR(COUNTIF(PROVEEDORES[[#This Row],[PROVEEDOR]],"*"&amp;'Palabra no opera'!$A$2&amp;"*"))</f>
        <v>0</v>
      </c>
      <c r="AA906" s="24"/>
      <c r="AB906" s="24"/>
      <c r="AC906" s="24"/>
      <c r="AD906" s="24"/>
      <c r="AE906" s="24"/>
    </row>
    <row r="907" spans="1:31" ht="22.2" customHeight="1" x14ac:dyDescent="0.3">
      <c r="A907" s="120" t="str">
        <f>+IF(PROVEEDORES[[#This Row],[FECHA DE PAGO]]=PROVEEDORES[[#This Row],[FECHA DE FACTURACIÓN]],"DE CONTADO","CRÉDITO")</f>
        <v>CRÉDITO</v>
      </c>
      <c r="B907" s="38" t="str">
        <f>+IF((PROVEEDORES[[#This Row],[FECHA DE PAGO]]-PROVEEDORES[[#This Row],[FECHA DE FACTURACIÓN]])&gt;PROVEEDORES[[#This Row],[PLAZO Días]],"PAGO VENCIDO")</f>
        <v>PAGO VENCIDO</v>
      </c>
      <c r="C907" s="20">
        <f>+VLOOKUP(PROVEEDORES[[#This Row],[PROVEEDOR]],TERCEROS_INFO[#All],2,FALSE)</f>
        <v>30</v>
      </c>
      <c r="D907" s="25">
        <f>+SUMIFS(PROVEEDORES[Total],PROVEEDORES[PROVEEDOR],PROVEEDORES[[#This Row],[PROVEEDOR]],PROVEEDORES[FECHA DE PAGO],"")</f>
        <v>0</v>
      </c>
      <c r="E907" s="25"/>
      <c r="F90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07" s="161">
        <v>44704</v>
      </c>
      <c r="H907" s="26" t="s">
        <v>1637</v>
      </c>
      <c r="I907" s="161">
        <v>44669</v>
      </c>
      <c r="J907" s="35">
        <v>25352</v>
      </c>
      <c r="K907" s="21">
        <v>640000</v>
      </c>
      <c r="L907" s="21"/>
      <c r="M907" s="22">
        <f>(PROVEEDORES[[#This Row],[SUBTOTAL]]-PROVEEDORES[[#This Row],[descuento sobre subtotal]])*VLOOKUP(PROVEEDORES[[#This Row],[PROVEEDOR]],TERCEROS_INFO[#All],3,FALSE)</f>
        <v>121600</v>
      </c>
      <c r="N907" s="23"/>
      <c r="O907" s="22">
        <f>+PROVEEDORES[[#This Row],[Descuento sobre subtotal %]]*(PROVEEDORES[[#This Row],[SUBTOTAL]]-PROVEEDORES[[#This Row],[descuento sobre subtotal]])</f>
        <v>0</v>
      </c>
      <c r="P907" s="83">
        <f>+IF(PROVEEDORES[[#This Row],[SUBTOTAL]]&lt;PROVEEDORES[[#This Row],[base retencion]],0,PROVEEDORES[[#This Row],[retención aplicada]])</f>
        <v>0</v>
      </c>
      <c r="Q907" s="22">
        <f>+PROVEEDORES[[#This Row],[Rete Fuente %]]*(PROVEEDORES[[#This Row],[SUBTOTAL]]-PROVEEDORES[[#This Row],[descuento sobre subtotal]])</f>
        <v>0</v>
      </c>
      <c r="R907" s="21">
        <f>+PROVEEDORES[[#This Row],[SUBTOTAL]]+PROVEEDORES[[#This Row],[IVA 19%]]-PROVEEDORES[[#This Row],[descuento sobre subtotal]]-PROVEEDORES[[#This Row],[Descuento sobre subtotal $2]]-PROVEEDORES[[#This Row],[Rete Fuente $]]</f>
        <v>761600</v>
      </c>
      <c r="S90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68">
        <f ca="1">IF(PROVEEDORES[[#This Row],[FECHA DE PAGO]]=0,TODAY()-PROVEEDORES[[#This Row],[FECHA DE FACTURACIÓN]]-PROVEEDORES[[#This Row],[PLAZO Días]],0)</f>
        <v>0</v>
      </c>
      <c r="U907" s="113" t="str">
        <f>+VLOOKUP(PROVEEDORES[[#This Row],[PROVEEDOR]],Terceros!$A:$D,4,FALSE)</f>
        <v>2,5% con base</v>
      </c>
      <c r="V907" s="114">
        <f>+YEAR(PROVEEDORES[[#This Row],[FECHA DE FACTURACIÓN]])</f>
        <v>2022</v>
      </c>
      <c r="W907" s="114">
        <f>+MATCH(PROVEEDORES[[#This Row],[año facturado]],Retenciones!$1:$1,0)</f>
        <v>5</v>
      </c>
      <c r="X907" s="115">
        <f>+VLOOKUP(PROVEEDORES[[#This Row],[ID RETENCION]],Retenciones!$A$1:$O$25,PROVEEDORES[[#This Row],[indicador de columna]],FALSE)</f>
        <v>1026000</v>
      </c>
      <c r="Y907" s="116">
        <f>+VLOOKUP(PROVEEDORES[[#This Row],[ID RETENCION]],Retenciones!$A$1:$O$25,2,FALSE)</f>
        <v>2.5000000000000001E-2</v>
      </c>
      <c r="Z907" s="125" t="b">
        <f>OR(COUNTIF(PROVEEDORES[[#This Row],[PROVEEDOR]],"*"&amp;'Palabra no opera'!$A$2&amp;"*"))</f>
        <v>0</v>
      </c>
      <c r="AA907" s="24"/>
      <c r="AB907" s="24"/>
      <c r="AC907" s="24"/>
      <c r="AD907" s="24"/>
      <c r="AE907" s="24"/>
    </row>
    <row r="908" spans="1:31" ht="22.2" customHeight="1" x14ac:dyDescent="0.3">
      <c r="A908" s="66" t="str">
        <f>+IF(PROVEEDORES[[#This Row],[FECHA DE PAGO]]=PROVEEDORES[[#This Row],[FECHA DE FACTURACIÓN]],"DE CONTADO","CRÉDITO")</f>
        <v>CRÉDITO</v>
      </c>
      <c r="B908" s="38" t="str">
        <f>+IF((PROVEEDORES[[#This Row],[FECHA DE PAGO]]-PROVEEDORES[[#This Row],[FECHA DE FACTURACIÓN]])&gt;PROVEEDORES[[#This Row],[PLAZO Días]],"PAGO VENCIDO")</f>
        <v>PAGO VENCIDO</v>
      </c>
      <c r="C908" s="20">
        <f>+VLOOKUP(PROVEEDORES[[#This Row],[PROVEEDOR]],TERCEROS_INFO[#All],2,FALSE)</f>
        <v>13</v>
      </c>
      <c r="D908" s="25">
        <f>+SUMIFS(PROVEEDORES[Total],PROVEEDORES[PROVEEDOR],PROVEEDORES[[#This Row],[PROVEEDOR]],PROVEEDORES[FECHA DE PAGO],"")</f>
        <v>0</v>
      </c>
      <c r="E908" s="25"/>
      <c r="F908" s="58">
        <f>+VLOOKUP(PROVEEDORES[[#This Row],[PROVEEDOR]],
                       Terceros!$A:$F,
                       5,
                       FALSE)</f>
        <v>0</v>
      </c>
      <c r="G908" s="161">
        <v>44334</v>
      </c>
      <c r="H908" s="26" t="s">
        <v>934</v>
      </c>
      <c r="I908" s="161">
        <v>44317</v>
      </c>
      <c r="J908" s="35"/>
      <c r="K908" s="21">
        <v>765395</v>
      </c>
      <c r="L908" s="21"/>
      <c r="M908" s="22">
        <f>(PROVEEDORES[[#This Row],[SUBTOTAL]]-PROVEEDORES[[#This Row],[descuento sobre subtotal]])*VLOOKUP(PROVEEDORES[[#This Row],[PROVEEDOR]],TERCEROS_INFO[#All],3,FALSE)</f>
        <v>0</v>
      </c>
      <c r="N908" s="23"/>
      <c r="O908" s="22">
        <f>+PROVEEDORES[[#This Row],[Descuento sobre subtotal %]]*(PROVEEDORES[[#This Row],[SUBTOTAL]]-PROVEEDORES[[#This Row],[descuento sobre subtotal]])</f>
        <v>0</v>
      </c>
      <c r="P908" s="83">
        <f>+IF(PROVEEDORES[[#This Row],[SUBTOTAL]]&lt;PROVEEDORES[[#This Row],[base retencion]],0,PROVEEDORES[[#This Row],[retención aplicada]])</f>
        <v>0</v>
      </c>
      <c r="Q908" s="22">
        <f>+PROVEEDORES[[#This Row],[Rete Fuente %]]*(PROVEEDORES[[#This Row],[SUBTOTAL]]-PROVEEDORES[[#This Row],[descuento sobre subtotal]])</f>
        <v>0</v>
      </c>
      <c r="R908" s="21">
        <f>+PROVEEDORES[[#This Row],[SUBTOTAL]]+PROVEEDORES[[#This Row],[IVA 19%]]-PROVEEDORES[[#This Row],[descuento sobre subtotal]]-PROVEEDORES[[#This Row],[Descuento sobre subtotal $2]]-PROVEEDORES[[#This Row],[Rete Fuente $]]</f>
        <v>765395</v>
      </c>
      <c r="S9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68">
        <f ca="1">IF(PROVEEDORES[[#This Row],[FECHA DE PAGO]]=0,TODAY()-PROVEEDORES[[#This Row],[FECHA DE FACTURACIÓN]]-PROVEEDORES[[#This Row],[PLAZO Días]],0)</f>
        <v>0</v>
      </c>
      <c r="U908" s="96">
        <f>+VLOOKUP(PROVEEDORES[[#This Row],[PROVEEDOR]],Terceros!$A:$D,4,FALSE)</f>
        <v>0</v>
      </c>
      <c r="V908" s="97">
        <f>+YEAR(PROVEEDORES[[#This Row],[FECHA DE FACTURACIÓN]])</f>
        <v>2021</v>
      </c>
      <c r="W908" s="97">
        <f>+MATCH(PROVEEDORES[[#This Row],[año facturado]],Retenciones!$1:$1,0)</f>
        <v>4</v>
      </c>
      <c r="X908" s="98">
        <f>+VLOOKUP(PROVEEDORES[[#This Row],[ID RETENCION]],Retenciones!$A$1:$O$25,PROVEEDORES[[#This Row],[indicador de columna]],FALSE)</f>
        <v>0</v>
      </c>
      <c r="Y908" s="99">
        <f>+VLOOKUP(PROVEEDORES[[#This Row],[ID RETENCION]],Retenciones!$A$1:$O$25,2,FALSE)</f>
        <v>0</v>
      </c>
      <c r="Z908" s="125" t="b">
        <f>OR(COUNTIF(PROVEEDORES[[#This Row],[PROVEEDOR]],"*"&amp;'Palabra no opera'!$A$2&amp;"*"))</f>
        <v>1</v>
      </c>
      <c r="AA908" s="24"/>
      <c r="AB908" s="24"/>
      <c r="AC908" s="24"/>
      <c r="AD908" s="24"/>
      <c r="AE908" s="24"/>
    </row>
    <row r="909" spans="1:31" ht="22.2" customHeight="1" x14ac:dyDescent="0.3">
      <c r="A909" s="66" t="str">
        <f>+IF(PROVEEDORES[[#This Row],[FECHA DE PAGO]]=PROVEEDORES[[#This Row],[FECHA DE FACTURACIÓN]],"DE CONTADO","CRÉDITO")</f>
        <v>CRÉDITO</v>
      </c>
      <c r="B909" s="38" t="b">
        <f>+IF((PROVEEDORES[[#This Row],[FECHA DE PAGO]]-PROVEEDORES[[#This Row],[FECHA DE FACTURACIÓN]])&gt;PROVEEDORES[[#This Row],[PLAZO Días]],"PAGO VENCIDO")</f>
        <v>0</v>
      </c>
      <c r="C909" s="20">
        <f>+VLOOKUP(PROVEEDORES[[#This Row],[PROVEEDOR]],TERCEROS_INFO[#All],2,FALSE)</f>
        <v>30</v>
      </c>
      <c r="D909" s="25">
        <f>+SUMIFS(PROVEEDORES[Total],PROVEEDORES[PROVEEDOR],PROVEEDORES[[#This Row],[PROVEEDOR]],PROVEEDORES[FECHA DE PAGO],"")</f>
        <v>1127400.05</v>
      </c>
      <c r="E909" s="25"/>
      <c r="F909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909" s="161">
        <v>44652</v>
      </c>
      <c r="H909" s="26" t="s">
        <v>47</v>
      </c>
      <c r="I909" s="161">
        <v>44629</v>
      </c>
      <c r="J909" s="35" t="s">
        <v>738</v>
      </c>
      <c r="K909" s="21">
        <v>643885</v>
      </c>
      <c r="L909" s="21"/>
      <c r="M909" s="22">
        <f>(PROVEEDORES[[#This Row],[SUBTOTAL]]-PROVEEDORES[[#This Row],[descuento sobre subtotal]])*VLOOKUP(PROVEEDORES[[#This Row],[PROVEEDOR]],TERCEROS_INFO[#All],3,FALSE)</f>
        <v>122338.15</v>
      </c>
      <c r="N909" s="23"/>
      <c r="O909" s="22">
        <f>+PROVEEDORES[[#This Row],[Descuento sobre subtotal %]]*(PROVEEDORES[[#This Row],[SUBTOTAL]]-PROVEEDORES[[#This Row],[descuento sobre subtotal]])</f>
        <v>0</v>
      </c>
      <c r="P909" s="83">
        <f>+IF(PROVEEDORES[[#This Row],[SUBTOTAL]]&lt;PROVEEDORES[[#This Row],[base retencion]],0,PROVEEDORES[[#This Row],[retención aplicada]])</f>
        <v>0</v>
      </c>
      <c r="Q909" s="22">
        <f>+PROVEEDORES[[#This Row],[Rete Fuente %]]*(PROVEEDORES[[#This Row],[SUBTOTAL]]-PROVEEDORES[[#This Row],[descuento sobre subtotal]])</f>
        <v>0</v>
      </c>
      <c r="R909" s="21">
        <v>766223.15</v>
      </c>
      <c r="S9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68">
        <f ca="1">IF(PROVEEDORES[[#This Row],[FECHA DE PAGO]]=0,TODAY()-PROVEEDORES[[#This Row],[FECHA DE FACTURACIÓN]]-PROVEEDORES[[#This Row],[PLAZO Días]],0)</f>
        <v>0</v>
      </c>
      <c r="U909" s="96" t="str">
        <f>+VLOOKUP(PROVEEDORES[[#This Row],[PROVEEDOR]],Terceros!$A:$D,4,FALSE)</f>
        <v>2,5% con base</v>
      </c>
      <c r="V909" s="97">
        <f>+YEAR(PROVEEDORES[[#This Row],[FECHA DE FACTURACIÓN]])</f>
        <v>2022</v>
      </c>
      <c r="W909" s="97">
        <f>+MATCH(PROVEEDORES[[#This Row],[año facturado]],Retenciones!$1:$1,0)</f>
        <v>5</v>
      </c>
      <c r="X909" s="98">
        <f>+VLOOKUP(PROVEEDORES[[#This Row],[ID RETENCION]],Retenciones!$A$1:$O$25,PROVEEDORES[[#This Row],[indicador de columna]],FALSE)</f>
        <v>1026000</v>
      </c>
      <c r="Y909" s="99">
        <f>+VLOOKUP(PROVEEDORES[[#This Row],[ID RETENCION]],Retenciones!$A$1:$O$25,2,FALSE)</f>
        <v>2.5000000000000001E-2</v>
      </c>
      <c r="Z909" s="125" t="b">
        <f>OR(COUNTIF(PROVEEDORES[[#This Row],[PROVEEDOR]],"*"&amp;'Palabra no opera'!$A$2&amp;"*"))</f>
        <v>0</v>
      </c>
      <c r="AA909" s="24"/>
      <c r="AB909" s="24"/>
      <c r="AC909" s="24"/>
      <c r="AD909" s="24"/>
      <c r="AE909" s="24"/>
    </row>
    <row r="910" spans="1:31" ht="22.2" customHeight="1" x14ac:dyDescent="0.3">
      <c r="A910" s="269" t="str">
        <f>+IF(PROVEEDORES[[#This Row],[FECHA DE PAGO]]=PROVEEDORES[[#This Row],[FECHA DE FACTURACIÓN]],"DE CONTADO","CRÉDITO")</f>
        <v>CRÉDITO</v>
      </c>
      <c r="B910" s="38" t="b">
        <f>+IF((PROVEEDORES[[#This Row],[FECHA DE PAGO]]-PROVEEDORES[[#This Row],[FECHA DE FACTURACIÓN]])&gt;PROVEEDORES[[#This Row],[PLAZO Días]],"PAGO VENCIDO")</f>
        <v>0</v>
      </c>
      <c r="C910" s="20">
        <f>+VLOOKUP(PROVEEDORES[[#This Row],[PROVEEDOR]],TERCEROS_INFO[#All],2,FALSE)</f>
        <v>60</v>
      </c>
      <c r="D910" s="25">
        <f>+SUMIFS(PROVEEDORES[Total],PROVEEDORES[PROVEEDOR],PROVEEDORES[[#This Row],[PROVEEDOR]],PROVEEDORES[FECHA DE PAGO],"")</f>
        <v>1520362</v>
      </c>
      <c r="E910" s="25"/>
      <c r="F91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H910" s="26" t="s">
        <v>528</v>
      </c>
      <c r="I910" s="161">
        <v>44868</v>
      </c>
      <c r="J910" s="35">
        <v>1525</v>
      </c>
      <c r="K910" s="21">
        <v>770310</v>
      </c>
      <c r="L910" s="21"/>
      <c r="M910" s="22">
        <f>(PROVEEDORES[[#This Row],[SUBTOTAL]]-PROVEEDORES[[#This Row],[descuento sobre subtotal]])*VLOOKUP(PROVEEDORES[[#This Row],[PROVEEDOR]],TERCEROS_INFO[#All],3,FALSE)</f>
        <v>0</v>
      </c>
      <c r="N910" s="23"/>
      <c r="O910" s="22">
        <f>+PROVEEDORES[[#This Row],[Descuento sobre subtotal %]]*(PROVEEDORES[[#This Row],[SUBTOTAL]]-PROVEEDORES[[#This Row],[descuento sobre subtotal]])</f>
        <v>0</v>
      </c>
      <c r="P910" s="83">
        <f>+IF(PROVEEDORES[[#This Row],[SUBTOTAL]]&lt;PROVEEDORES[[#This Row],[base retencion]],0,PROVEEDORES[[#This Row],[retención aplicada]])</f>
        <v>0</v>
      </c>
      <c r="Q910" s="22">
        <f>+PROVEEDORES[[#This Row],[Rete Fuente %]]*(PROVEEDORES[[#This Row],[SUBTOTAL]]-PROVEEDORES[[#This Row],[descuento sobre subtotal]])</f>
        <v>0</v>
      </c>
      <c r="R910" s="21">
        <f>+PROVEEDORES[[#This Row],[SUBTOTAL]]+PROVEEDORES[[#This Row],[IVA 19%]]-PROVEEDORES[[#This Row],[descuento sobre subtotal]]-PROVEEDORES[[#This Row],[Descuento sobre subtotal $2]]-PROVEEDORES[[#This Row],[Rete Fuente $]]</f>
        <v>770310</v>
      </c>
      <c r="S910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910" s="68">
        <f ca="1">IF(PROVEEDORES[[#This Row],[FECHA DE PAGO]]=0,TODAY()-PROVEEDORES[[#This Row],[FECHA DE FACTURACIÓN]]-PROVEEDORES[[#This Row],[PLAZO Días]],0)</f>
        <v>-53</v>
      </c>
      <c r="U910" s="113">
        <f>+VLOOKUP(PROVEEDORES[[#This Row],[PROVEEDOR]],Terceros!$A:$D,4,FALSE)</f>
        <v>0</v>
      </c>
      <c r="V910" s="114">
        <f>+YEAR(PROVEEDORES[[#This Row],[FECHA DE FACTURACIÓN]])</f>
        <v>2022</v>
      </c>
      <c r="W910" s="114">
        <f>+MATCH(PROVEEDORES[[#This Row],[año facturado]],Retenciones!$1:$1,0)</f>
        <v>5</v>
      </c>
      <c r="X910" s="115">
        <f>+VLOOKUP(PROVEEDORES[[#This Row],[ID RETENCION]],Retenciones!$A$1:$O$25,PROVEEDORES[[#This Row],[indicador de columna]],FALSE)</f>
        <v>0</v>
      </c>
      <c r="Y910" s="116">
        <f>+VLOOKUP(PROVEEDORES[[#This Row],[ID RETENCION]],Retenciones!$A$1:$O$25,2,FALSE)</f>
        <v>0</v>
      </c>
      <c r="Z910" s="125" t="b">
        <f>OR(COUNTIF(PROVEEDORES[[#This Row],[PROVEEDOR]],"*"&amp;'Palabra no opera'!$A$2&amp;"*"))</f>
        <v>0</v>
      </c>
      <c r="AA910" s="24"/>
      <c r="AB910" s="24"/>
      <c r="AC910" s="24"/>
      <c r="AD910" s="24"/>
      <c r="AE910" s="24"/>
    </row>
    <row r="911" spans="1:31" ht="22.2" customHeight="1" x14ac:dyDescent="0.3">
      <c r="A911" s="66" t="str">
        <f>+IF(PROVEEDORES[[#This Row],[FECHA DE PAGO]]=PROVEEDORES[[#This Row],[FECHA DE FACTURACIÓN]],"DE CONTADO","CRÉDITO")</f>
        <v>CRÉDITO</v>
      </c>
      <c r="B911" s="38" t="b">
        <f>+IF((PROVEEDORES[[#This Row],[FECHA DE PAGO]]-PROVEEDORES[[#This Row],[FECHA DE FACTURACIÓN]])&gt;PROVEEDORES[[#This Row],[PLAZO Días]],"PAGO VENCIDO")</f>
        <v>0</v>
      </c>
      <c r="C911" s="20">
        <f>+VLOOKUP(PROVEEDORES[[#This Row],[PROVEEDOR]],TERCEROS_INFO[#All],2,FALSE)</f>
        <v>30</v>
      </c>
      <c r="D911" s="25">
        <f>+SUMIFS(PROVEEDORES[Total],PROVEEDORES[PROVEEDOR],PROVEEDORES[[#This Row],[PROVEEDOR]],PROVEEDORES[FECHA DE PAGO],"")</f>
        <v>0</v>
      </c>
      <c r="E911" s="25"/>
      <c r="F911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911" s="161">
        <v>44208</v>
      </c>
      <c r="H911" s="26" t="s">
        <v>633</v>
      </c>
      <c r="I911" s="161">
        <v>44183</v>
      </c>
      <c r="J911" s="35" t="s">
        <v>97</v>
      </c>
      <c r="K911" s="21">
        <v>770400</v>
      </c>
      <c r="L911" s="21"/>
      <c r="M911" s="22">
        <f>(PROVEEDORES[[#This Row],[SUBTOTAL]]-PROVEEDORES[[#This Row],[descuento sobre subtotal]])*VLOOKUP(PROVEEDORES[[#This Row],[PROVEEDOR]],TERCEROS_INFO[#All],3,FALSE)</f>
        <v>0</v>
      </c>
      <c r="N911" s="23"/>
      <c r="O911" s="22">
        <f>+PROVEEDORES[[#This Row],[Descuento sobre subtotal %]]*(PROVEEDORES[[#This Row],[SUBTOTAL]]-PROVEEDORES[[#This Row],[descuento sobre subtotal]])</f>
        <v>0</v>
      </c>
      <c r="P911" s="83">
        <f>+IF(PROVEEDORES[[#This Row],[SUBTOTAL]]&lt;PROVEEDORES[[#This Row],[base retencion]],0,PROVEEDORES[[#This Row],[retención aplicada]])</f>
        <v>0</v>
      </c>
      <c r="Q911" s="22">
        <f>+PROVEEDORES[[#This Row],[Rete Fuente %]]*(PROVEEDORES[[#This Row],[SUBTOTAL]]-PROVEEDORES[[#This Row],[descuento sobre subtotal]])</f>
        <v>0</v>
      </c>
      <c r="R911" s="21">
        <f>+PROVEEDORES[[#This Row],[SUBTOTAL]]+PROVEEDORES[[#This Row],[IVA 19%]]-PROVEEDORES[[#This Row],[descuento sobre subtotal]]-PROVEEDORES[[#This Row],[Descuento sobre subtotal $2]]-PROVEEDORES[[#This Row],[Rete Fuente $]]</f>
        <v>770400</v>
      </c>
      <c r="S9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68">
        <f ca="1">IF(PROVEEDORES[[#This Row],[FECHA DE PAGO]]=0,TODAY()-PROVEEDORES[[#This Row],[FECHA DE FACTURACIÓN]]-PROVEEDORES[[#This Row],[PLAZO Días]],0)</f>
        <v>0</v>
      </c>
      <c r="U911" s="96">
        <f>+VLOOKUP(PROVEEDORES[[#This Row],[PROVEEDOR]],Terceros!$A:$D,4,FALSE)</f>
        <v>0</v>
      </c>
      <c r="V911" s="97">
        <f>+YEAR(PROVEEDORES[[#This Row],[FECHA DE FACTURACIÓN]])</f>
        <v>2020</v>
      </c>
      <c r="W911" s="97">
        <f>+MATCH(PROVEEDORES[[#This Row],[año facturado]],Retenciones!$1:$1,0)</f>
        <v>3</v>
      </c>
      <c r="X911" s="98">
        <f>+VLOOKUP(PROVEEDORES[[#This Row],[ID RETENCION]],Retenciones!$A$1:$O$25,PROVEEDORES[[#This Row],[indicador de columna]],FALSE)</f>
        <v>0</v>
      </c>
      <c r="Y911" s="99">
        <f>+VLOOKUP(PROVEEDORES[[#This Row],[ID RETENCION]],Retenciones!$A$1:$O$25,2,FALSE)</f>
        <v>0</v>
      </c>
      <c r="Z911" s="125" t="b">
        <f>OR(COUNTIF(PROVEEDORES[[#This Row],[PROVEEDOR]],"*"&amp;'Palabra no opera'!$A$2&amp;"*"))</f>
        <v>0</v>
      </c>
      <c r="AA911" s="24"/>
      <c r="AB911" s="24"/>
      <c r="AC911" s="24"/>
      <c r="AD911" s="24"/>
      <c r="AE911" s="24"/>
    </row>
    <row r="912" spans="1:31" ht="22.2" customHeight="1" x14ac:dyDescent="0.3">
      <c r="A912" s="66" t="str">
        <f>+IF(PROVEEDORES[[#This Row],[FECHA DE PAGO]]=PROVEEDORES[[#This Row],[FECHA DE FACTURACIÓN]],"DE CONTADO","CRÉDITO")</f>
        <v>CRÉDITO</v>
      </c>
      <c r="B912" s="38" t="str">
        <f>+IF((PROVEEDORES[[#This Row],[FECHA DE PAGO]]-PROVEEDORES[[#This Row],[FECHA DE FACTURACIÓN]])&gt;PROVEEDORES[[#This Row],[PLAZO Días]],"PAGO VENCIDO")</f>
        <v>PAGO VENCIDO</v>
      </c>
      <c r="C912" s="20">
        <f>+VLOOKUP(PROVEEDORES[[#This Row],[PROVEEDOR]],TERCEROS_INFO[#All],2,FALSE)</f>
        <v>30</v>
      </c>
      <c r="D912" s="25">
        <f>+SUMIFS(PROVEEDORES[Total],PROVEEDORES[PROVEEDOR],PROVEEDORES[[#This Row],[PROVEEDOR]],PROVEEDORES[FECHA DE PAGO],"")</f>
        <v>0</v>
      </c>
      <c r="E912" s="25"/>
      <c r="F912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912" s="161">
        <v>44411</v>
      </c>
      <c r="H912" s="26" t="s">
        <v>633</v>
      </c>
      <c r="I912" s="161">
        <v>44380</v>
      </c>
      <c r="J912" s="35" t="s">
        <v>1467</v>
      </c>
      <c r="K912" s="21">
        <v>773200</v>
      </c>
      <c r="L912" s="21"/>
      <c r="M912" s="22">
        <f>(PROVEEDORES[[#This Row],[SUBTOTAL]]-PROVEEDORES[[#This Row],[descuento sobre subtotal]])*VLOOKUP(PROVEEDORES[[#This Row],[PROVEEDOR]],TERCEROS_INFO[#All],3,FALSE)</f>
        <v>0</v>
      </c>
      <c r="N912" s="23"/>
      <c r="O912" s="22">
        <f>+PROVEEDORES[[#This Row],[Descuento sobre subtotal %]]*(PROVEEDORES[[#This Row],[SUBTOTAL]]-PROVEEDORES[[#This Row],[descuento sobre subtotal]])</f>
        <v>0</v>
      </c>
      <c r="P912" s="83">
        <f>+IF(PROVEEDORES[[#This Row],[SUBTOTAL]]&lt;PROVEEDORES[[#This Row],[base retencion]],0,PROVEEDORES[[#This Row],[retención aplicada]])</f>
        <v>0</v>
      </c>
      <c r="Q912" s="22">
        <f>+PROVEEDORES[[#This Row],[Rete Fuente %]]*(PROVEEDORES[[#This Row],[SUBTOTAL]]-PROVEEDORES[[#This Row],[descuento sobre subtotal]])</f>
        <v>0</v>
      </c>
      <c r="R912" s="21">
        <f>+PROVEEDORES[[#This Row],[SUBTOTAL]]+PROVEEDORES[[#This Row],[IVA 19%]]-PROVEEDORES[[#This Row],[descuento sobre subtotal]]-PROVEEDORES[[#This Row],[Descuento sobre subtotal $2]]-PROVEEDORES[[#This Row],[Rete Fuente $]]</f>
        <v>773200</v>
      </c>
      <c r="S9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68">
        <f ca="1">IF(PROVEEDORES[[#This Row],[FECHA DE PAGO]]=0,TODAY()-PROVEEDORES[[#This Row],[FECHA DE FACTURACIÓN]]-PROVEEDORES[[#This Row],[PLAZO Días]],0)</f>
        <v>0</v>
      </c>
      <c r="U912" s="96">
        <f>+VLOOKUP(PROVEEDORES[[#This Row],[PROVEEDOR]],Terceros!$A:$D,4,FALSE)</f>
        <v>0</v>
      </c>
      <c r="V912" s="97">
        <f>+YEAR(PROVEEDORES[[#This Row],[FECHA DE FACTURACIÓN]])</f>
        <v>2021</v>
      </c>
      <c r="W912" s="97">
        <f>+MATCH(PROVEEDORES[[#This Row],[año facturado]],Retenciones!$1:$1,0)</f>
        <v>4</v>
      </c>
      <c r="X912" s="98">
        <f>+VLOOKUP(PROVEEDORES[[#This Row],[ID RETENCION]],Retenciones!$A$1:$O$25,PROVEEDORES[[#This Row],[indicador de columna]],FALSE)</f>
        <v>0</v>
      </c>
      <c r="Y912" s="99">
        <f>+VLOOKUP(PROVEEDORES[[#This Row],[ID RETENCION]],Retenciones!$A$1:$O$25,2,FALSE)</f>
        <v>0</v>
      </c>
      <c r="Z912" s="125" t="b">
        <f>OR(COUNTIF(PROVEEDORES[[#This Row],[PROVEEDOR]],"*"&amp;'Palabra no opera'!$A$2&amp;"*"))</f>
        <v>0</v>
      </c>
      <c r="AA912" s="24"/>
      <c r="AB912" s="24"/>
      <c r="AC912" s="24"/>
      <c r="AD912" s="24"/>
      <c r="AE912" s="24"/>
    </row>
    <row r="913" spans="1:31" ht="22.2" customHeight="1" x14ac:dyDescent="0.3">
      <c r="A913" s="66" t="str">
        <f>+IF(PROVEEDORES[[#This Row],[FECHA DE PAGO]]=PROVEEDORES[[#This Row],[FECHA DE FACTURACIÓN]],"DE CONTADO","CRÉDITO")</f>
        <v>CRÉDITO</v>
      </c>
      <c r="B913" s="38" t="b">
        <f>+IF((PROVEEDORES[[#This Row],[FECHA DE PAGO]]-PROVEEDORES[[#This Row],[FECHA DE FACTURACIÓN]])&gt;PROVEEDORES[[#This Row],[PLAZO Días]],"PAGO VENCIDO")</f>
        <v>0</v>
      </c>
      <c r="C913" s="20">
        <f>+VLOOKUP(PROVEEDORES[[#This Row],[PROVEEDOR]],TERCEROS_INFO[#All],2,FALSE)</f>
        <v>90</v>
      </c>
      <c r="D913" s="25">
        <f>+SUMIFS(PROVEEDORES[Total],PROVEEDORES[PROVEEDOR],PROVEEDORES[[#This Row],[PROVEEDOR]],PROVEEDORES[FECHA DE PAGO],"")</f>
        <v>2410000</v>
      </c>
      <c r="E913" s="25"/>
      <c r="F913" s="58" t="str">
        <f>+VLOOKUP(PROVEEDORES[[#This Row],[PROVEEDOR]],
                       Terceros!$A:$F,
                       5,
                       FALSE)</f>
        <v/>
      </c>
      <c r="G913" s="161">
        <v>44414</v>
      </c>
      <c r="H913" s="26" t="s">
        <v>651</v>
      </c>
      <c r="I913" s="161">
        <v>44379</v>
      </c>
      <c r="J913" s="35" t="s">
        <v>1467</v>
      </c>
      <c r="K913" s="21">
        <v>773200</v>
      </c>
      <c r="L913" s="21"/>
      <c r="M913" s="22">
        <f>(PROVEEDORES[[#This Row],[SUBTOTAL]]-PROVEEDORES[[#This Row],[descuento sobre subtotal]])*VLOOKUP(PROVEEDORES[[#This Row],[PROVEEDOR]],TERCEROS_INFO[#All],3,FALSE)</f>
        <v>0</v>
      </c>
      <c r="N913" s="23"/>
      <c r="O913" s="22">
        <f>+PROVEEDORES[[#This Row],[Descuento sobre subtotal %]]*(PROVEEDORES[[#This Row],[SUBTOTAL]]-PROVEEDORES[[#This Row],[descuento sobre subtotal]])</f>
        <v>0</v>
      </c>
      <c r="P913" s="83">
        <f>+IF(PROVEEDORES[[#This Row],[SUBTOTAL]]&lt;PROVEEDORES[[#This Row],[base retencion]],0,PROVEEDORES[[#This Row],[retención aplicada]])</f>
        <v>0</v>
      </c>
      <c r="Q913" s="22">
        <f>+PROVEEDORES[[#This Row],[Rete Fuente %]]*(PROVEEDORES[[#This Row],[SUBTOTAL]]-PROVEEDORES[[#This Row],[descuento sobre subtotal]])</f>
        <v>0</v>
      </c>
      <c r="R913" s="21">
        <f>+PROVEEDORES[[#This Row],[SUBTOTAL]]+PROVEEDORES[[#This Row],[IVA 19%]]-PROVEEDORES[[#This Row],[descuento sobre subtotal]]-PROVEEDORES[[#This Row],[Descuento sobre subtotal $2]]-PROVEEDORES[[#This Row],[Rete Fuente $]]</f>
        <v>773200</v>
      </c>
      <c r="S9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68">
        <f ca="1">IF(PROVEEDORES[[#This Row],[FECHA DE PAGO]]=0,TODAY()-PROVEEDORES[[#This Row],[FECHA DE FACTURACIÓN]]-PROVEEDORES[[#This Row],[PLAZO Días]],0)</f>
        <v>0</v>
      </c>
      <c r="U913" s="96">
        <f>+VLOOKUP(PROVEEDORES[[#This Row],[PROVEEDOR]],Terceros!$A:$D,4,FALSE)</f>
        <v>0</v>
      </c>
      <c r="V913" s="97">
        <f>+YEAR(PROVEEDORES[[#This Row],[FECHA DE FACTURACIÓN]])</f>
        <v>2021</v>
      </c>
      <c r="W913" s="97">
        <f>+MATCH(PROVEEDORES[[#This Row],[año facturado]],Retenciones!$1:$1,0)</f>
        <v>4</v>
      </c>
      <c r="X913" s="98">
        <f>+VLOOKUP(PROVEEDORES[[#This Row],[ID RETENCION]],Retenciones!$A$1:$O$25,PROVEEDORES[[#This Row],[indicador de columna]],FALSE)</f>
        <v>0</v>
      </c>
      <c r="Y913" s="99">
        <f>+VLOOKUP(PROVEEDORES[[#This Row],[ID RETENCION]],Retenciones!$A$1:$O$25,2,FALSE)</f>
        <v>0</v>
      </c>
      <c r="Z913" s="125" t="b">
        <f>OR(COUNTIF(PROVEEDORES[[#This Row],[PROVEEDOR]],"*"&amp;'Palabra no opera'!$A$2&amp;"*"))</f>
        <v>0</v>
      </c>
      <c r="AA913" s="24"/>
      <c r="AB913" s="24"/>
      <c r="AC913" s="24"/>
      <c r="AD913" s="24"/>
      <c r="AE913" s="24"/>
    </row>
    <row r="914" spans="1:31" ht="22.2" customHeight="1" x14ac:dyDescent="0.3">
      <c r="A914" s="66" t="str">
        <f>+IF(PROVEEDORES[[#This Row],[FECHA DE PAGO]]=PROVEEDORES[[#This Row],[FECHA DE FACTURACIÓN]],"DE CONTADO","CRÉDITO")</f>
        <v>CRÉDITO</v>
      </c>
      <c r="B914" s="38" t="str">
        <f>+IF((PROVEEDORES[[#This Row],[FECHA DE PAGO]]-PROVEEDORES[[#This Row],[FECHA DE FACTURACIÓN]])&gt;PROVEEDORES[[#This Row],[PLAZO Días]],"PAGO VENCIDO")</f>
        <v>PAGO VENCIDO</v>
      </c>
      <c r="C914" s="20">
        <f>+VLOOKUP(PROVEEDORES[[#This Row],[PROVEEDOR]],TERCEROS_INFO[#All],2,FALSE)</f>
        <v>30</v>
      </c>
      <c r="D914" s="25">
        <f>+SUMIFS(PROVEEDORES[Total],PROVEEDORES[PROVEEDOR],PROVEEDORES[[#This Row],[PROVEEDOR]],PROVEEDORES[FECHA DE PAGO],"")</f>
        <v>0</v>
      </c>
      <c r="E914" s="25"/>
      <c r="F91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14" s="161">
        <v>44408</v>
      </c>
      <c r="H914" s="26" t="s">
        <v>691</v>
      </c>
      <c r="I914" s="161">
        <v>44336</v>
      </c>
      <c r="J914" s="35" t="s">
        <v>1230</v>
      </c>
      <c r="K914" s="21">
        <v>773500</v>
      </c>
      <c r="L914" s="21"/>
      <c r="M914" s="22">
        <f>(PROVEEDORES[[#This Row],[SUBTOTAL]]-PROVEEDORES[[#This Row],[descuento sobre subtotal]])*VLOOKUP(PROVEEDORES[[#This Row],[PROVEEDOR]],TERCEROS_INFO[#All],3,FALSE)</f>
        <v>0</v>
      </c>
      <c r="N914" s="23"/>
      <c r="O914" s="22">
        <f>+PROVEEDORES[[#This Row],[Descuento sobre subtotal %]]*(PROVEEDORES[[#This Row],[SUBTOTAL]]-PROVEEDORES[[#This Row],[descuento sobre subtotal]])</f>
        <v>0</v>
      </c>
      <c r="P914" s="83">
        <f>+IF(PROVEEDORES[[#This Row],[SUBTOTAL]]&lt;PROVEEDORES[[#This Row],[base retencion]],0,PROVEEDORES[[#This Row],[retención aplicada]])</f>
        <v>0</v>
      </c>
      <c r="Q914" s="22">
        <f>+PROVEEDORES[[#This Row],[Rete Fuente %]]*(PROVEEDORES[[#This Row],[SUBTOTAL]]-PROVEEDORES[[#This Row],[descuento sobre subtotal]])</f>
        <v>0</v>
      </c>
      <c r="R914" s="21">
        <f>+PROVEEDORES[[#This Row],[SUBTOTAL]]+PROVEEDORES[[#This Row],[IVA 19%]]-PROVEEDORES[[#This Row],[descuento sobre subtotal]]-PROVEEDORES[[#This Row],[Descuento sobre subtotal $2]]-PROVEEDORES[[#This Row],[Rete Fuente $]]</f>
        <v>773500</v>
      </c>
      <c r="S9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68">
        <f ca="1">IF(PROVEEDORES[[#This Row],[FECHA DE PAGO]]=0,TODAY()-PROVEEDORES[[#This Row],[FECHA DE FACTURACIÓN]]-PROVEEDORES[[#This Row],[PLAZO Días]],0)</f>
        <v>0</v>
      </c>
      <c r="U914" s="96">
        <f>+VLOOKUP(PROVEEDORES[[#This Row],[PROVEEDOR]],Terceros!$A:$D,4,FALSE)</f>
        <v>0</v>
      </c>
      <c r="V914" s="97">
        <f>+YEAR(PROVEEDORES[[#This Row],[FECHA DE FACTURACIÓN]])</f>
        <v>2021</v>
      </c>
      <c r="W914" s="97">
        <f>+MATCH(PROVEEDORES[[#This Row],[año facturado]],Retenciones!$1:$1,0)</f>
        <v>4</v>
      </c>
      <c r="X914" s="98">
        <f>+VLOOKUP(PROVEEDORES[[#This Row],[ID RETENCION]],Retenciones!$A$1:$O$25,PROVEEDORES[[#This Row],[indicador de columna]],FALSE)</f>
        <v>0</v>
      </c>
      <c r="Y914" s="99">
        <f>+VLOOKUP(PROVEEDORES[[#This Row],[ID RETENCION]],Retenciones!$A$1:$O$25,2,FALSE)</f>
        <v>0</v>
      </c>
      <c r="Z914" s="125" t="b">
        <f>OR(COUNTIF(PROVEEDORES[[#This Row],[PROVEEDOR]],"*"&amp;'Palabra no opera'!$A$2&amp;"*"))</f>
        <v>0</v>
      </c>
      <c r="AA914" s="24"/>
      <c r="AB914" s="24"/>
      <c r="AC914" s="24"/>
      <c r="AD914" s="24"/>
      <c r="AE914" s="24"/>
    </row>
    <row r="915" spans="1:31" ht="22.2" customHeight="1" x14ac:dyDescent="0.3">
      <c r="A915" s="72" t="str">
        <f>+IF(PROVEEDORES[[#This Row],[FECHA DE PAGO]]=PROVEEDORES[[#This Row],[FECHA DE FACTURACIÓN]],"DE CONTADO","CRÉDITO")</f>
        <v>DE CONTADO</v>
      </c>
      <c r="B915" s="38" t="b">
        <f>+IF((PROVEEDORES[[#This Row],[FECHA DE PAGO]]-PROVEEDORES[[#This Row],[FECHA DE FACTURACIÓN]])&gt;PROVEEDORES[[#This Row],[PLAZO Días]],"PAGO VENCIDO")</f>
        <v>0</v>
      </c>
      <c r="C915" s="20">
        <f>+VLOOKUP(PROVEEDORES[[#This Row],[PROVEEDOR]],TERCEROS_INFO[#All],2,FALSE)</f>
        <v>30</v>
      </c>
      <c r="D915" s="25">
        <f>+SUMIFS(PROVEEDORES[Total],PROVEEDORES[PROVEEDOR],PROVEEDORES[[#This Row],[PROVEEDOR]],PROVEEDORES[FECHA DE PAGO],"")</f>
        <v>0</v>
      </c>
      <c r="E915" s="25"/>
      <c r="F915" s="58" t="str">
        <f>+VLOOKUP(PROVEEDORES[[#This Row],[PROVEEDOR]],
                       Terceros!$A:$F,
                       5,
                       FALSE)</f>
        <v/>
      </c>
      <c r="G915" s="161">
        <v>44681</v>
      </c>
      <c r="H915" s="26" t="s">
        <v>644</v>
      </c>
      <c r="I915" s="161">
        <v>44681</v>
      </c>
      <c r="J915" s="35" t="s">
        <v>174</v>
      </c>
      <c r="K915" s="21">
        <v>775000</v>
      </c>
      <c r="L915" s="21"/>
      <c r="M915" s="22">
        <f>(PROVEEDORES[[#This Row],[SUBTOTAL]]-PROVEEDORES[[#This Row],[descuento sobre subtotal]])*VLOOKUP(PROVEEDORES[[#This Row],[PROVEEDOR]],TERCEROS_INFO[#All],3,FALSE)</f>
        <v>0</v>
      </c>
      <c r="N915" s="23"/>
      <c r="O915" s="22">
        <f>+PROVEEDORES[[#This Row],[Descuento sobre subtotal %]]*(PROVEEDORES[[#This Row],[SUBTOTAL]]-PROVEEDORES[[#This Row],[descuento sobre subtotal]])</f>
        <v>0</v>
      </c>
      <c r="P915" s="83">
        <f>+IF(PROVEEDORES[[#This Row],[SUBTOTAL]]&lt;PROVEEDORES[[#This Row],[base retencion]],0,PROVEEDORES[[#This Row],[retención aplicada]])</f>
        <v>0</v>
      </c>
      <c r="Q915" s="22">
        <f>+PROVEEDORES[[#This Row],[Rete Fuente %]]*(PROVEEDORES[[#This Row],[SUBTOTAL]]-PROVEEDORES[[#This Row],[descuento sobre subtotal]])</f>
        <v>0</v>
      </c>
      <c r="R915" s="21">
        <f>+PROVEEDORES[[#This Row],[SUBTOTAL]]+PROVEEDORES[[#This Row],[IVA 19%]]-PROVEEDORES[[#This Row],[descuento sobre subtotal]]-PROVEEDORES[[#This Row],[Descuento sobre subtotal $2]]-PROVEEDORES[[#This Row],[Rete Fuente $]]</f>
        <v>775000</v>
      </c>
      <c r="S91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68">
        <f ca="1">IF(PROVEEDORES[[#This Row],[FECHA DE PAGO]]=0,TODAY()-PROVEEDORES[[#This Row],[FECHA DE FACTURACIÓN]]-PROVEEDORES[[#This Row],[PLAZO Días]],0)</f>
        <v>0</v>
      </c>
      <c r="U915" s="113">
        <f>+VLOOKUP(PROVEEDORES[[#This Row],[PROVEEDOR]],Terceros!$A:$D,4,FALSE)</f>
        <v>0</v>
      </c>
      <c r="V915" s="114">
        <f>+YEAR(PROVEEDORES[[#This Row],[FECHA DE FACTURACIÓN]])</f>
        <v>2022</v>
      </c>
      <c r="W915" s="114">
        <f>+MATCH(PROVEEDORES[[#This Row],[año facturado]],Retenciones!$1:$1,0)</f>
        <v>5</v>
      </c>
      <c r="X915" s="115">
        <f>+VLOOKUP(PROVEEDORES[[#This Row],[ID RETENCION]],Retenciones!$A$1:$O$25,PROVEEDORES[[#This Row],[indicador de columna]],FALSE)</f>
        <v>0</v>
      </c>
      <c r="Y915" s="116">
        <f>+VLOOKUP(PROVEEDORES[[#This Row],[ID RETENCION]],Retenciones!$A$1:$O$25,2,FALSE)</f>
        <v>0</v>
      </c>
      <c r="Z915" s="125" t="b">
        <f>OR(COUNTIF(PROVEEDORES[[#This Row],[PROVEEDOR]],"*"&amp;'Palabra no opera'!$A$2&amp;"*"))</f>
        <v>0</v>
      </c>
      <c r="AA915" s="24"/>
      <c r="AB915" s="24"/>
      <c r="AC915" s="24"/>
      <c r="AD915" s="24"/>
      <c r="AE915" s="24"/>
    </row>
    <row r="916" spans="1:31" ht="22.2" customHeight="1" x14ac:dyDescent="0.3">
      <c r="A916" s="66" t="str">
        <f>+IF(PROVEEDORES[[#This Row],[FECHA DE PAGO]]=PROVEEDORES[[#This Row],[FECHA DE FACTURACIÓN]],"DE CONTADO","CRÉDITO")</f>
        <v>DE CONTADO</v>
      </c>
      <c r="B916" s="38" t="b">
        <f>+IF((PROVEEDORES[[#This Row],[FECHA DE PAGO]]-PROVEEDORES[[#This Row],[FECHA DE FACTURACIÓN]])&gt;PROVEEDORES[[#This Row],[PLAZO Días]],"PAGO VENCIDO")</f>
        <v>0</v>
      </c>
      <c r="C916" s="20">
        <f>+VLOOKUP(PROVEEDORES[[#This Row],[PROVEEDOR]],TERCEROS_INFO[#All],2,FALSE)</f>
        <v>30</v>
      </c>
      <c r="D916" s="25">
        <f>+SUMIFS(PROVEEDORES[Total],PROVEEDORES[PROVEEDOR],PROVEEDORES[[#This Row],[PROVEEDOR]],PROVEEDORES[FECHA DE PAGO],"")</f>
        <v>0</v>
      </c>
      <c r="E916" s="25"/>
      <c r="F916" s="58" t="str">
        <f>+VLOOKUP(PROVEEDORES[[#This Row],[PROVEEDOR]],
                       Terceros!$A:$F,
                       5,
                       FALSE)</f>
        <v/>
      </c>
      <c r="G916" s="161">
        <v>44369</v>
      </c>
      <c r="H916" s="26" t="s">
        <v>1130</v>
      </c>
      <c r="I916" s="161">
        <v>44369</v>
      </c>
      <c r="J916" s="35"/>
      <c r="K916" s="21">
        <v>775866</v>
      </c>
      <c r="L916" s="21"/>
      <c r="M916" s="22">
        <f>(PROVEEDORES[[#This Row],[SUBTOTAL]]-PROVEEDORES[[#This Row],[descuento sobre subtotal]])*VLOOKUP(PROVEEDORES[[#This Row],[PROVEEDOR]],TERCEROS_INFO[#All],3,FALSE)</f>
        <v>0</v>
      </c>
      <c r="N916" s="23"/>
      <c r="O916" s="22">
        <f>+PROVEEDORES[[#This Row],[Descuento sobre subtotal %]]*(PROVEEDORES[[#This Row],[SUBTOTAL]]-PROVEEDORES[[#This Row],[descuento sobre subtotal]])</f>
        <v>0</v>
      </c>
      <c r="P916" s="83">
        <f>+IF(PROVEEDORES[[#This Row],[SUBTOTAL]]&lt;PROVEEDORES[[#This Row],[base retencion]],0,PROVEEDORES[[#This Row],[retención aplicada]])</f>
        <v>0</v>
      </c>
      <c r="Q916" s="22">
        <f>+PROVEEDORES[[#This Row],[Rete Fuente %]]*(PROVEEDORES[[#This Row],[SUBTOTAL]]-PROVEEDORES[[#This Row],[descuento sobre subtotal]])</f>
        <v>0</v>
      </c>
      <c r="R916" s="21">
        <f>+PROVEEDORES[[#This Row],[SUBTOTAL]]+PROVEEDORES[[#This Row],[IVA 19%]]-PROVEEDORES[[#This Row],[descuento sobre subtotal]]-PROVEEDORES[[#This Row],[Descuento sobre subtotal $2]]-PROVEEDORES[[#This Row],[Rete Fuente $]]</f>
        <v>775866</v>
      </c>
      <c r="S9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68">
        <f ca="1">IF(PROVEEDORES[[#This Row],[FECHA DE PAGO]]=0,TODAY()-PROVEEDORES[[#This Row],[FECHA DE FACTURACIÓN]]-PROVEEDORES[[#This Row],[PLAZO Días]],0)</f>
        <v>0</v>
      </c>
      <c r="U916" s="96">
        <f>+VLOOKUP(PROVEEDORES[[#This Row],[PROVEEDOR]],Terceros!$A:$D,4,FALSE)</f>
        <v>0</v>
      </c>
      <c r="V916" s="97">
        <f>+YEAR(PROVEEDORES[[#This Row],[FECHA DE FACTURACIÓN]])</f>
        <v>2021</v>
      </c>
      <c r="W916" s="97">
        <f>+MATCH(PROVEEDORES[[#This Row],[año facturado]],Retenciones!$1:$1,0)</f>
        <v>4</v>
      </c>
      <c r="X916" s="98">
        <f>+VLOOKUP(PROVEEDORES[[#This Row],[ID RETENCION]],Retenciones!$A$1:$O$25,PROVEEDORES[[#This Row],[indicador de columna]],FALSE)</f>
        <v>0</v>
      </c>
      <c r="Y916" s="99">
        <f>+VLOOKUP(PROVEEDORES[[#This Row],[ID RETENCION]],Retenciones!$A$1:$O$25,2,FALSE)</f>
        <v>0</v>
      </c>
      <c r="Z916" s="125" t="b">
        <f>OR(COUNTIF(PROVEEDORES[[#This Row],[PROVEEDOR]],"*"&amp;'Palabra no opera'!$A$2&amp;"*"))</f>
        <v>1</v>
      </c>
      <c r="AA916" s="24"/>
      <c r="AB916" s="24"/>
      <c r="AC916" s="24"/>
      <c r="AD916" s="24"/>
      <c r="AE916" s="24"/>
    </row>
    <row r="917" spans="1:31" ht="22.2" customHeight="1" x14ac:dyDescent="0.3">
      <c r="A917" s="257" t="str">
        <f>+IF(PROVEEDORES[[#This Row],[FECHA DE PAGO]]=PROVEEDORES[[#This Row],[FECHA DE FACTURACIÓN]],"DE CONTADO","CRÉDITO")</f>
        <v>DE CONTADO</v>
      </c>
      <c r="B917" s="38" t="b">
        <f>+IF((PROVEEDORES[[#This Row],[FECHA DE PAGO]]-PROVEEDORES[[#This Row],[FECHA DE FACTURACIÓN]])&gt;PROVEEDORES[[#This Row],[PLAZO Días]],"PAGO VENCIDO")</f>
        <v>0</v>
      </c>
      <c r="C917" s="20">
        <f>+VLOOKUP(PROVEEDORES[[#This Row],[PROVEEDOR]],TERCEROS_INFO[#All],2,FALSE)</f>
        <v>30</v>
      </c>
      <c r="D917" s="25">
        <f>+SUMIFS(PROVEEDORES[Total],PROVEEDORES[PROVEEDOR],PROVEEDORES[[#This Row],[PROVEEDOR]],PROVEEDORES[FECHA DE PAGO],"")</f>
        <v>0</v>
      </c>
      <c r="E917" s="25"/>
      <c r="F917" s="58" t="str">
        <f>+VLOOKUP(PROVEEDORES[[#This Row],[PROVEEDOR]],
                       Terceros!$A:$F,
                       5,
                       FALSE)</f>
        <v/>
      </c>
      <c r="G917" s="161">
        <v>44834</v>
      </c>
      <c r="H917" s="26" t="s">
        <v>644</v>
      </c>
      <c r="I917" s="161">
        <v>44834</v>
      </c>
      <c r="J917" s="35" t="s">
        <v>1749</v>
      </c>
      <c r="K917" s="21">
        <v>776000</v>
      </c>
      <c r="L917" s="21"/>
      <c r="M917" s="22">
        <f>(PROVEEDORES[[#This Row],[SUBTOTAL]]-PROVEEDORES[[#This Row],[descuento sobre subtotal]])*VLOOKUP(PROVEEDORES[[#This Row],[PROVEEDOR]],TERCEROS_INFO[#All],3,FALSE)</f>
        <v>0</v>
      </c>
      <c r="N917" s="23"/>
      <c r="O917" s="22">
        <f>+PROVEEDORES[[#This Row],[Descuento sobre subtotal %]]*(PROVEEDORES[[#This Row],[SUBTOTAL]]-PROVEEDORES[[#This Row],[descuento sobre subtotal]])</f>
        <v>0</v>
      </c>
      <c r="P917" s="83">
        <f>+IF(PROVEEDORES[[#This Row],[SUBTOTAL]]&lt;PROVEEDORES[[#This Row],[base retencion]],0,PROVEEDORES[[#This Row],[retención aplicada]])</f>
        <v>0</v>
      </c>
      <c r="Q917" s="22">
        <f>+PROVEEDORES[[#This Row],[Rete Fuente %]]*(PROVEEDORES[[#This Row],[SUBTOTAL]]-PROVEEDORES[[#This Row],[descuento sobre subtotal]])</f>
        <v>0</v>
      </c>
      <c r="R917" s="21">
        <f>+PROVEEDORES[[#This Row],[SUBTOTAL]]+PROVEEDORES[[#This Row],[IVA 19%]]-PROVEEDORES[[#This Row],[descuento sobre subtotal]]-PROVEEDORES[[#This Row],[Descuento sobre subtotal $2]]-PROVEEDORES[[#This Row],[Rete Fuente $]]</f>
        <v>776000</v>
      </c>
      <c r="S917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68">
        <f ca="1">IF(PROVEEDORES[[#This Row],[FECHA DE PAGO]]=0,TODAY()-PROVEEDORES[[#This Row],[FECHA DE FACTURACIÓN]]-PROVEEDORES[[#This Row],[PLAZO Días]],0)</f>
        <v>0</v>
      </c>
      <c r="U917" s="113">
        <f>+VLOOKUP(PROVEEDORES[[#This Row],[PROVEEDOR]],Terceros!$A:$D,4,FALSE)</f>
        <v>0</v>
      </c>
      <c r="V917" s="114">
        <f>+YEAR(PROVEEDORES[[#This Row],[FECHA DE FACTURACIÓN]])</f>
        <v>2022</v>
      </c>
      <c r="W917" s="114">
        <f>+MATCH(PROVEEDORES[[#This Row],[año facturado]],Retenciones!$1:$1,0)</f>
        <v>5</v>
      </c>
      <c r="X917" s="115">
        <f>+VLOOKUP(PROVEEDORES[[#This Row],[ID RETENCION]],Retenciones!$A$1:$O$25,PROVEEDORES[[#This Row],[indicador de columna]],FALSE)</f>
        <v>0</v>
      </c>
      <c r="Y917" s="116">
        <f>+VLOOKUP(PROVEEDORES[[#This Row],[ID RETENCION]],Retenciones!$A$1:$O$25,2,FALSE)</f>
        <v>0</v>
      </c>
      <c r="Z917" s="125" t="b">
        <f>OR(COUNTIF(PROVEEDORES[[#This Row],[PROVEEDOR]],"*"&amp;'Palabra no opera'!$A$2&amp;"*"))</f>
        <v>0</v>
      </c>
      <c r="AA917" s="24"/>
      <c r="AB917" s="24"/>
      <c r="AC917" s="24"/>
      <c r="AD917" s="24"/>
      <c r="AE917" s="24"/>
    </row>
    <row r="918" spans="1:31" ht="22.2" customHeight="1" x14ac:dyDescent="0.3">
      <c r="A918" s="257" t="str">
        <f>+IF(PROVEEDORES[[#This Row],[FECHA DE PAGO]]=PROVEEDORES[[#This Row],[FECHA DE FACTURACIÓN]],"DE CONTADO","CRÉDITO")</f>
        <v>CRÉDITO</v>
      </c>
      <c r="B918" s="38" t="str">
        <f>+IF((PROVEEDORES[[#This Row],[FECHA DE PAGO]]-PROVEEDORES[[#This Row],[FECHA DE FACTURACIÓN]])&gt;PROVEEDORES[[#This Row],[PLAZO Días]],"PAGO VENCIDO")</f>
        <v>PAGO VENCIDO</v>
      </c>
      <c r="C918" s="20">
        <f>+VLOOKUP(PROVEEDORES[[#This Row],[PROVEEDOR]],TERCEROS_INFO[#All],2,FALSE)</f>
        <v>30</v>
      </c>
      <c r="D918" s="25">
        <f>+SUMIFS(PROVEEDORES[Total],PROVEEDORES[PROVEEDOR],PROVEEDORES[[#This Row],[PROVEEDOR]],PROVEEDORES[FECHA DE PAGO],"")</f>
        <v>0</v>
      </c>
      <c r="E918" s="25"/>
      <c r="F918" s="58">
        <f>+VLOOKUP(PROVEEDORES[[#This Row],[PROVEEDOR]],
                       Terceros!$A:$F,
                       5,
                       FALSE)</f>
        <v>0</v>
      </c>
      <c r="G918" s="161">
        <v>44865</v>
      </c>
      <c r="H918" s="267" t="s">
        <v>1738</v>
      </c>
      <c r="I918" s="161">
        <v>44833</v>
      </c>
      <c r="J918" s="35" t="s">
        <v>1739</v>
      </c>
      <c r="K918" s="21">
        <v>864400</v>
      </c>
      <c r="L918" s="21"/>
      <c r="M918" s="22">
        <f>(PROVEEDORES[[#This Row],[SUBTOTAL]]-PROVEEDORES[[#This Row],[descuento sobre subtotal]])*VLOOKUP(PROVEEDORES[[#This Row],[PROVEEDOR]],TERCEROS_INFO[#All],3,FALSE)</f>
        <v>0</v>
      </c>
      <c r="N918" s="23">
        <v>0.1</v>
      </c>
      <c r="O918" s="22">
        <f>+PROVEEDORES[[#This Row],[Descuento sobre subtotal %]]*(PROVEEDORES[[#This Row],[SUBTOTAL]]-PROVEEDORES[[#This Row],[descuento sobre subtotal]])</f>
        <v>86440</v>
      </c>
      <c r="P918" s="83">
        <f>+IF(PROVEEDORES[[#This Row],[SUBTOTAL]]&lt;PROVEEDORES[[#This Row],[base retencion]],0,PROVEEDORES[[#This Row],[retención aplicada]])</f>
        <v>0</v>
      </c>
      <c r="Q918" s="22">
        <f>+PROVEEDORES[[#This Row],[Rete Fuente %]]*(PROVEEDORES[[#This Row],[SUBTOTAL]]-PROVEEDORES[[#This Row],[descuento sobre subtotal]])</f>
        <v>0</v>
      </c>
      <c r="R918" s="21">
        <f>+PROVEEDORES[[#This Row],[SUBTOTAL]]+PROVEEDORES[[#This Row],[IVA 19%]]-PROVEEDORES[[#This Row],[descuento sobre subtotal]]-PROVEEDORES[[#This Row],[Descuento sobre subtotal $2]]-PROVEEDORES[[#This Row],[Rete Fuente $]]</f>
        <v>777960</v>
      </c>
      <c r="S918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68">
        <f ca="1">IF(PROVEEDORES[[#This Row],[FECHA DE PAGO]]=0,TODAY()-PROVEEDORES[[#This Row],[FECHA DE FACTURACIÓN]]-PROVEEDORES[[#This Row],[PLAZO Días]],0)</f>
        <v>0</v>
      </c>
      <c r="U918" s="113">
        <f>+VLOOKUP(PROVEEDORES[[#This Row],[PROVEEDOR]],Terceros!$A:$D,4,FALSE)</f>
        <v>0</v>
      </c>
      <c r="V918" s="114">
        <f>+YEAR(PROVEEDORES[[#This Row],[FECHA DE FACTURACIÓN]])</f>
        <v>2022</v>
      </c>
      <c r="W918" s="114">
        <f>+MATCH(PROVEEDORES[[#This Row],[año facturado]],Retenciones!$1:$1,0)</f>
        <v>5</v>
      </c>
      <c r="X918" s="115">
        <f>+VLOOKUP(PROVEEDORES[[#This Row],[ID RETENCION]],Retenciones!$A$1:$O$25,PROVEEDORES[[#This Row],[indicador de columna]],FALSE)</f>
        <v>0</v>
      </c>
      <c r="Y918" s="116">
        <f>+VLOOKUP(PROVEEDORES[[#This Row],[ID RETENCION]],Retenciones!$A$1:$O$25,2,FALSE)</f>
        <v>0</v>
      </c>
      <c r="Z918" s="125" t="b">
        <f>OR(COUNTIF(PROVEEDORES[[#This Row],[PROVEEDOR]],"*"&amp;'Palabra no opera'!$A$2&amp;"*"))</f>
        <v>0</v>
      </c>
      <c r="AA918" s="24"/>
      <c r="AB918" s="24"/>
      <c r="AC918" s="24"/>
      <c r="AD918" s="24"/>
      <c r="AE918" s="24"/>
    </row>
    <row r="919" spans="1:31" ht="22.2" customHeight="1" x14ac:dyDescent="0.3">
      <c r="A919" s="144" t="str">
        <f>+IF(PROVEEDORES[[#This Row],[FECHA DE PAGO]]=PROVEEDORES[[#This Row],[FECHA DE FACTURACIÓN]],"DE CONTADO","CRÉDITO")</f>
        <v>CRÉDITO</v>
      </c>
      <c r="B919" s="38" t="str">
        <f>+IF((PROVEEDORES[[#This Row],[FECHA DE PAGO]]-PROVEEDORES[[#This Row],[FECHA DE FACTURACIÓN]])&gt;PROVEEDORES[[#This Row],[PLAZO Días]],"PAGO VENCIDO")</f>
        <v>PAGO VENCIDO</v>
      </c>
      <c r="C919" s="20">
        <v>90</v>
      </c>
      <c r="D919" s="25">
        <f>+SUMIFS(PROVEEDORES[Total],PROVEEDORES[PROVEEDOR],PROVEEDORES[[#This Row],[PROVEEDOR]],PROVEEDORES[FECHA DE PAGO],"")</f>
        <v>0</v>
      </c>
      <c r="E919" s="25" t="s">
        <v>1636</v>
      </c>
      <c r="F919" s="58">
        <f>+VLOOKUP(PROVEEDORES[[#This Row],[PROVEEDOR]],
                       Terceros!$A:$F,
                       5,
                       FALSE)</f>
        <v>0</v>
      </c>
      <c r="G919" s="161">
        <v>44805</v>
      </c>
      <c r="H919" s="26" t="s">
        <v>908</v>
      </c>
      <c r="I919" s="161">
        <v>44706</v>
      </c>
      <c r="J919" s="35" t="s">
        <v>1384</v>
      </c>
      <c r="K919" s="21">
        <v>655462.18000000005</v>
      </c>
      <c r="L919" s="21"/>
      <c r="M919" s="22">
        <f>(PROVEEDORES[[#This Row],[SUBTOTAL]]-PROVEEDORES[[#This Row],[descuento sobre subtotal]])*VLOOKUP(PROVEEDORES[[#This Row],[PROVEEDOR]],TERCEROS_INFO[#All],3,FALSE)</f>
        <v>124537.81420000001</v>
      </c>
      <c r="N919" s="23"/>
      <c r="O919" s="22">
        <f>+PROVEEDORES[[#This Row],[Descuento sobre subtotal %]]*(PROVEEDORES[[#This Row],[SUBTOTAL]]-PROVEEDORES[[#This Row],[descuento sobre subtotal]])</f>
        <v>0</v>
      </c>
      <c r="P919" s="83">
        <v>0</v>
      </c>
      <c r="Q919" s="22">
        <f>+PROVEEDORES[[#This Row],[Rete Fuente %]]*(PROVEEDORES[[#This Row],[SUBTOTAL]]-PROVEEDORES[[#This Row],[descuento sobre subtotal]])</f>
        <v>0</v>
      </c>
      <c r="R919" s="21">
        <f>+PROVEEDORES[[#This Row],[SUBTOTAL]]+PROVEEDORES[[#This Row],[IVA 19%]]-PROVEEDORES[[#This Row],[descuento sobre subtotal]]-PROVEEDORES[[#This Row],[Descuento sobre subtotal $2]]-PROVEEDORES[[#This Row],[Rete Fuente $]]</f>
        <v>779999.99420000007</v>
      </c>
      <c r="S919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68">
        <f ca="1">IF(PROVEEDORES[[#This Row],[FECHA DE PAGO]]=0,TODAY()-PROVEEDORES[[#This Row],[FECHA DE FACTURACIÓN]]-PROVEEDORES[[#This Row],[PLAZO Días]],0)</f>
        <v>0</v>
      </c>
      <c r="U919" s="113" t="str">
        <f>+VLOOKUP(PROVEEDORES[[#This Row],[PROVEEDOR]],Terceros!$A:$D,4,FALSE)</f>
        <v>4% sin base</v>
      </c>
      <c r="V919" s="114">
        <f>+YEAR(PROVEEDORES[[#This Row],[FECHA DE FACTURACIÓN]])</f>
        <v>2022</v>
      </c>
      <c r="W919" s="114">
        <f>+MATCH(PROVEEDORES[[#This Row],[año facturado]],Retenciones!$1:$1,0)</f>
        <v>5</v>
      </c>
      <c r="X919" s="115">
        <f>+VLOOKUP(PROVEEDORES[[#This Row],[ID RETENCION]],Retenciones!$A$1:$O$25,PROVEEDORES[[#This Row],[indicador de columna]],FALSE)</f>
        <v>0</v>
      </c>
      <c r="Y919" s="116">
        <f>+VLOOKUP(PROVEEDORES[[#This Row],[ID RETENCION]],Retenciones!$A$1:$O$25,2,FALSE)</f>
        <v>0.04</v>
      </c>
      <c r="Z919" s="125" t="b">
        <f>OR(COUNTIF(PROVEEDORES[[#This Row],[PROVEEDOR]],"*"&amp;'Palabra no opera'!$A$2&amp;"*"))</f>
        <v>1</v>
      </c>
      <c r="AA919" s="24"/>
      <c r="AB919" s="24"/>
      <c r="AC919" s="24"/>
      <c r="AD919" s="24"/>
      <c r="AE919" s="24"/>
    </row>
    <row r="920" spans="1:31" ht="22.2" customHeight="1" x14ac:dyDescent="0.3">
      <c r="A920" s="66" t="str">
        <f>+IF(PROVEEDORES[[#This Row],[FECHA DE PAGO]]=PROVEEDORES[[#This Row],[FECHA DE FACTURACIÓN]],"DE CONTADO","CRÉDITO")</f>
        <v>CRÉDITO</v>
      </c>
      <c r="B920" s="38" t="str">
        <f>+IF((PROVEEDORES[[#This Row],[FECHA DE PAGO]]-PROVEEDORES[[#This Row],[FECHA DE FACTURACIÓN]])&gt;PROVEEDORES[[#This Row],[PLAZO Días]],"PAGO VENCIDO")</f>
        <v>PAGO VENCIDO</v>
      </c>
      <c r="C920" s="20">
        <f>+VLOOKUP(PROVEEDORES[[#This Row],[PROVEEDOR]],TERCEROS_INFO[#All],2,FALSE)</f>
        <v>30</v>
      </c>
      <c r="D920" s="25">
        <f>+SUMIFS(PROVEEDORES[Total],PROVEEDORES[PROVEEDOR],PROVEEDORES[[#This Row],[PROVEEDOR]],PROVEEDORES[FECHA DE PAGO],"")</f>
        <v>1354000</v>
      </c>
      <c r="E920" s="25"/>
      <c r="F92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20" s="161">
        <v>44411</v>
      </c>
      <c r="H920" s="26" t="s">
        <v>699</v>
      </c>
      <c r="I920" s="161">
        <v>44335</v>
      </c>
      <c r="J920" s="35" t="s">
        <v>1456</v>
      </c>
      <c r="K920" s="21">
        <v>780000</v>
      </c>
      <c r="L920" s="21"/>
      <c r="M920" s="22">
        <f>(PROVEEDORES[[#This Row],[SUBTOTAL]]-PROVEEDORES[[#This Row],[descuento sobre subtotal]])*VLOOKUP(PROVEEDORES[[#This Row],[PROVEEDOR]],TERCEROS_INFO[#All],3,FALSE)</f>
        <v>0</v>
      </c>
      <c r="N920" s="23"/>
      <c r="O920" s="22">
        <f>+PROVEEDORES[[#This Row],[Descuento sobre subtotal %]]*(PROVEEDORES[[#This Row],[SUBTOTAL]]-PROVEEDORES[[#This Row],[descuento sobre subtotal]])</f>
        <v>0</v>
      </c>
      <c r="P920" s="83">
        <f>+IF(PROVEEDORES[[#This Row],[SUBTOTAL]]&lt;PROVEEDORES[[#This Row],[base retencion]],0,PROVEEDORES[[#This Row],[retención aplicada]])</f>
        <v>0</v>
      </c>
      <c r="Q920" s="22">
        <f>+PROVEEDORES[[#This Row],[Rete Fuente %]]*(PROVEEDORES[[#This Row],[SUBTOTAL]]-PROVEEDORES[[#This Row],[descuento sobre subtotal]])</f>
        <v>0</v>
      </c>
      <c r="R920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9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68">
        <f ca="1">IF(PROVEEDORES[[#This Row],[FECHA DE PAGO]]=0,TODAY()-PROVEEDORES[[#This Row],[FECHA DE FACTURACIÓN]]-PROVEEDORES[[#This Row],[PLAZO Días]],0)</f>
        <v>0</v>
      </c>
      <c r="U920" s="96">
        <f>+VLOOKUP(PROVEEDORES[[#This Row],[PROVEEDOR]],Terceros!$A:$D,4,FALSE)</f>
        <v>0</v>
      </c>
      <c r="V920" s="97">
        <f>+YEAR(PROVEEDORES[[#This Row],[FECHA DE FACTURACIÓN]])</f>
        <v>2021</v>
      </c>
      <c r="W920" s="97">
        <f>+MATCH(PROVEEDORES[[#This Row],[año facturado]],Retenciones!$1:$1,0)</f>
        <v>4</v>
      </c>
      <c r="X920" s="98">
        <f>+VLOOKUP(PROVEEDORES[[#This Row],[ID RETENCION]],Retenciones!$A$1:$O$25,PROVEEDORES[[#This Row],[indicador de columna]],FALSE)</f>
        <v>0</v>
      </c>
      <c r="Y920" s="99">
        <f>+VLOOKUP(PROVEEDORES[[#This Row],[ID RETENCION]],Retenciones!$A$1:$O$25,2,FALSE)</f>
        <v>0</v>
      </c>
      <c r="Z920" s="125" t="b">
        <f>OR(COUNTIF(PROVEEDORES[[#This Row],[PROVEEDOR]],"*"&amp;'Palabra no opera'!$A$2&amp;"*"))</f>
        <v>0</v>
      </c>
      <c r="AA920" s="24"/>
      <c r="AB920" s="24"/>
      <c r="AC920" s="24"/>
      <c r="AD920" s="24"/>
      <c r="AE920" s="24"/>
    </row>
    <row r="921" spans="1:31" ht="22.2" customHeight="1" x14ac:dyDescent="0.3">
      <c r="A921" s="66" t="str">
        <f>+IF(PROVEEDORES[[#This Row],[FECHA DE PAGO]]=PROVEEDORES[[#This Row],[FECHA DE FACTURACIÓN]],"DE CONTADO","CRÉDITO")</f>
        <v>CRÉDITO</v>
      </c>
      <c r="B921" s="38" t="str">
        <f>+IF((PROVEEDORES[[#This Row],[FECHA DE PAGO]]-PROVEEDORES[[#This Row],[FECHA DE FACTURACIÓN]])&gt;PROVEEDORES[[#This Row],[PLAZO Días]],"PAGO VENCIDO")</f>
        <v>PAGO VENCIDO</v>
      </c>
      <c r="C921" s="20">
        <f>+VLOOKUP(PROVEEDORES[[#This Row],[PROVEEDOR]],TERCEROS_INFO[#All],2,FALSE)</f>
        <v>30</v>
      </c>
      <c r="D921" s="25">
        <f>+SUMIFS(PROVEEDORES[Total],PROVEEDORES[PROVEEDOR],PROVEEDORES[[#This Row],[PROVEEDOR]],PROVEEDORES[FECHA DE PAGO],"")</f>
        <v>3236000</v>
      </c>
      <c r="E921" s="25"/>
      <c r="F92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921" s="161">
        <v>44411</v>
      </c>
      <c r="H921" s="26" t="s">
        <v>677</v>
      </c>
      <c r="I921" s="161">
        <v>44379</v>
      </c>
      <c r="J921" s="35" t="s">
        <v>1468</v>
      </c>
      <c r="K921" s="21">
        <v>780000</v>
      </c>
      <c r="L921" s="21"/>
      <c r="M921" s="22">
        <f>(PROVEEDORES[[#This Row],[SUBTOTAL]]-PROVEEDORES[[#This Row],[descuento sobre subtotal]])*VLOOKUP(PROVEEDORES[[#This Row],[PROVEEDOR]],TERCEROS_INFO[#All],3,FALSE)</f>
        <v>0</v>
      </c>
      <c r="N921" s="23"/>
      <c r="O921" s="22">
        <f>+PROVEEDORES[[#This Row],[Descuento sobre subtotal %]]*(PROVEEDORES[[#This Row],[SUBTOTAL]]-PROVEEDORES[[#This Row],[descuento sobre subtotal]])</f>
        <v>0</v>
      </c>
      <c r="P921" s="83">
        <f>+IF(PROVEEDORES[[#This Row],[SUBTOTAL]]&lt;PROVEEDORES[[#This Row],[base retencion]],0,PROVEEDORES[[#This Row],[retención aplicada]])</f>
        <v>0</v>
      </c>
      <c r="Q921" s="22">
        <f>+PROVEEDORES[[#This Row],[Rete Fuente %]]*(PROVEEDORES[[#This Row],[SUBTOTAL]]-PROVEEDORES[[#This Row],[descuento sobre subtotal]])</f>
        <v>0</v>
      </c>
      <c r="R921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9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68">
        <f ca="1">IF(PROVEEDORES[[#This Row],[FECHA DE PAGO]]=0,TODAY()-PROVEEDORES[[#This Row],[FECHA DE FACTURACIÓN]]-PROVEEDORES[[#This Row],[PLAZO Días]],0)</f>
        <v>0</v>
      </c>
      <c r="U921" s="96">
        <f>+VLOOKUP(PROVEEDORES[[#This Row],[PROVEEDOR]],Terceros!$A:$D,4,FALSE)</f>
        <v>0</v>
      </c>
      <c r="V921" s="97">
        <f>+YEAR(PROVEEDORES[[#This Row],[FECHA DE FACTURACIÓN]])</f>
        <v>2021</v>
      </c>
      <c r="W921" s="97">
        <f>+MATCH(PROVEEDORES[[#This Row],[año facturado]],Retenciones!$1:$1,0)</f>
        <v>4</v>
      </c>
      <c r="X921" s="98">
        <f>+VLOOKUP(PROVEEDORES[[#This Row],[ID RETENCION]],Retenciones!$A$1:$O$25,PROVEEDORES[[#This Row],[indicador de columna]],FALSE)</f>
        <v>0</v>
      </c>
      <c r="Y921" s="99">
        <f>+VLOOKUP(PROVEEDORES[[#This Row],[ID RETENCION]],Retenciones!$A$1:$O$25,2,FALSE)</f>
        <v>0</v>
      </c>
      <c r="Z921" s="125" t="b">
        <f>OR(COUNTIF(PROVEEDORES[[#This Row],[PROVEEDOR]],"*"&amp;'Palabra no opera'!$A$2&amp;"*"))</f>
        <v>0</v>
      </c>
      <c r="AA921" s="24"/>
      <c r="AB921" s="24"/>
      <c r="AC921" s="24"/>
      <c r="AD921" s="24"/>
      <c r="AE921" s="24"/>
    </row>
    <row r="922" spans="1:31" ht="22.2" customHeight="1" x14ac:dyDescent="0.3">
      <c r="A922" s="72" t="str">
        <f>+IF(PROVEEDORES[[#This Row],[FECHA DE PAGO]]=PROVEEDORES[[#This Row],[FECHA DE FACTURACIÓN]],"DE CONTADO","CRÉDITO")</f>
        <v>CRÉDITO</v>
      </c>
      <c r="B922" s="38" t="str">
        <f>+IF((PROVEEDORES[[#This Row],[FECHA DE PAGO]]-PROVEEDORES[[#This Row],[FECHA DE FACTURACIÓN]])&gt;PROVEEDORES[[#This Row],[PLAZO Días]],"PAGO VENCIDO")</f>
        <v>PAGO VENCIDO</v>
      </c>
      <c r="C922" s="20">
        <f>+VLOOKUP(PROVEEDORES[[#This Row],[PROVEEDOR]],TERCEROS_INFO[#All],2,FALSE)</f>
        <v>30</v>
      </c>
      <c r="D922" s="25">
        <f>+SUMIFS(PROVEEDORES[Total],PROVEEDORES[PROVEEDOR],PROVEEDORES[[#This Row],[PROVEEDOR]],PROVEEDORES[FECHA DE PAGO],"")</f>
        <v>1354000</v>
      </c>
      <c r="E922" s="25"/>
      <c r="F92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22" s="161">
        <v>44853</v>
      </c>
      <c r="H922" s="266" t="s">
        <v>699</v>
      </c>
      <c r="I922" s="161">
        <v>44765</v>
      </c>
      <c r="J922" s="35" t="s">
        <v>1622</v>
      </c>
      <c r="K922" s="21">
        <v>780000</v>
      </c>
      <c r="L922" s="21"/>
      <c r="M922" s="22">
        <f>(PROVEEDORES[[#This Row],[SUBTOTAL]]-PROVEEDORES[[#This Row],[descuento sobre subtotal]])*VLOOKUP(PROVEEDORES[[#This Row],[PROVEEDOR]],TERCEROS_INFO[#All],3,FALSE)</f>
        <v>0</v>
      </c>
      <c r="N922" s="23"/>
      <c r="O922" s="22">
        <f>+PROVEEDORES[[#This Row],[Descuento sobre subtotal %]]*(PROVEEDORES[[#This Row],[SUBTOTAL]]-PROVEEDORES[[#This Row],[descuento sobre subtotal]])</f>
        <v>0</v>
      </c>
      <c r="P922" s="83">
        <f>+IF(PROVEEDORES[[#This Row],[SUBTOTAL]]&lt;PROVEEDORES[[#This Row],[base retencion]],0,PROVEEDORES[[#This Row],[retención aplicada]])</f>
        <v>0</v>
      </c>
      <c r="Q922" s="22">
        <f>+PROVEEDORES[[#This Row],[Rete Fuente %]]*(PROVEEDORES[[#This Row],[SUBTOTAL]]-PROVEEDORES[[#This Row],[descuento sobre subtotal]])</f>
        <v>0</v>
      </c>
      <c r="R922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92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68">
        <f ca="1">IF(PROVEEDORES[[#This Row],[FECHA DE PAGO]]=0,TODAY()-PROVEEDORES[[#This Row],[FECHA DE FACTURACIÓN]]-PROVEEDORES[[#This Row],[PLAZO Días]],0)</f>
        <v>0</v>
      </c>
      <c r="U922" s="113">
        <f>+VLOOKUP(PROVEEDORES[[#This Row],[PROVEEDOR]],Terceros!$A:$D,4,FALSE)</f>
        <v>0</v>
      </c>
      <c r="V922" s="114">
        <f>+YEAR(PROVEEDORES[[#This Row],[FECHA DE FACTURACIÓN]])</f>
        <v>2022</v>
      </c>
      <c r="W922" s="114">
        <f>+MATCH(PROVEEDORES[[#This Row],[año facturado]],Retenciones!$1:$1,0)</f>
        <v>5</v>
      </c>
      <c r="X922" s="115">
        <f>+VLOOKUP(PROVEEDORES[[#This Row],[ID RETENCION]],Retenciones!$A$1:$O$25,PROVEEDORES[[#This Row],[indicador de columna]],FALSE)</f>
        <v>0</v>
      </c>
      <c r="Y922" s="116">
        <f>+VLOOKUP(PROVEEDORES[[#This Row],[ID RETENCION]],Retenciones!$A$1:$O$25,2,FALSE)</f>
        <v>0</v>
      </c>
      <c r="Z922" s="125" t="b">
        <f>OR(COUNTIF(PROVEEDORES[[#This Row],[PROVEEDOR]],"*"&amp;'Palabra no opera'!$A$2&amp;"*"))</f>
        <v>0</v>
      </c>
      <c r="AA922" s="24"/>
      <c r="AB922" s="24"/>
      <c r="AC922" s="24"/>
      <c r="AD922" s="24"/>
      <c r="AE922" s="24"/>
    </row>
    <row r="923" spans="1:31" ht="22.2" customHeight="1" x14ac:dyDescent="0.3">
      <c r="A923" s="157" t="str">
        <f>+IF(PROVEEDORES[[#This Row],[FECHA DE PAGO]]=PROVEEDORES[[#This Row],[FECHA DE FACTURACIÓN]],"DE CONTADO","CRÉDITO")</f>
        <v>DE CONTADO</v>
      </c>
      <c r="B923" s="38" t="b">
        <f>+IF((PROVEEDORES[[#This Row],[FECHA DE PAGO]]-PROVEEDORES[[#This Row],[FECHA DE FACTURACIÓN]])&gt;PROVEEDORES[[#This Row],[PLAZO Días]],"PAGO VENCIDO")</f>
        <v>0</v>
      </c>
      <c r="C923" s="20">
        <f>+VLOOKUP(PROVEEDORES[[#This Row],[PROVEEDOR]],TERCEROS_INFO[#All],2,FALSE)</f>
        <v>30</v>
      </c>
      <c r="D923" s="25">
        <f>+SUMIFS(PROVEEDORES[Total],PROVEEDORES[PROVEEDOR],PROVEEDORES[[#This Row],[PROVEEDOR]],PROVEEDORES[FECHA DE PAGO],"")</f>
        <v>0</v>
      </c>
      <c r="E923" s="25"/>
      <c r="F923" s="58" t="str">
        <f>+VLOOKUP(PROVEEDORES[[#This Row],[PROVEEDOR]],
                       Terceros!$A:$F,
                       5,
                       FALSE)</f>
        <v/>
      </c>
      <c r="G923" s="161">
        <v>44722</v>
      </c>
      <c r="H923" s="26" t="s">
        <v>673</v>
      </c>
      <c r="I923" s="161">
        <v>44722</v>
      </c>
      <c r="J923" s="35"/>
      <c r="K923" s="21">
        <v>782000</v>
      </c>
      <c r="L923" s="21"/>
      <c r="M923" s="22">
        <f>(PROVEEDORES[[#This Row],[SUBTOTAL]]-PROVEEDORES[[#This Row],[descuento sobre subtotal]])*VLOOKUP(PROVEEDORES[[#This Row],[PROVEEDOR]],TERCEROS_INFO[#All],3,FALSE)</f>
        <v>0</v>
      </c>
      <c r="N923" s="23"/>
      <c r="O923" s="22">
        <f>+PROVEEDORES[[#This Row],[Descuento sobre subtotal %]]*(PROVEEDORES[[#This Row],[SUBTOTAL]]-PROVEEDORES[[#This Row],[descuento sobre subtotal]])</f>
        <v>0</v>
      </c>
      <c r="P923" s="83">
        <f>+IF(PROVEEDORES[[#This Row],[SUBTOTAL]]&lt;PROVEEDORES[[#This Row],[base retencion]],0,PROVEEDORES[[#This Row],[retención aplicada]])</f>
        <v>0</v>
      </c>
      <c r="Q923" s="22">
        <f>+PROVEEDORES[[#This Row],[Rete Fuente %]]*(PROVEEDORES[[#This Row],[SUBTOTAL]]-PROVEEDORES[[#This Row],[descuento sobre subtotal]])</f>
        <v>0</v>
      </c>
      <c r="R923" s="21">
        <f>+PROVEEDORES[[#This Row],[SUBTOTAL]]+PROVEEDORES[[#This Row],[IVA 19%]]-PROVEEDORES[[#This Row],[descuento sobre subtotal]]-PROVEEDORES[[#This Row],[Descuento sobre subtotal $2]]-PROVEEDORES[[#This Row],[Rete Fuente $]]</f>
        <v>782000</v>
      </c>
      <c r="S923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68">
        <f ca="1">IF(PROVEEDORES[[#This Row],[FECHA DE PAGO]]=0,TODAY()-PROVEEDORES[[#This Row],[FECHA DE FACTURACIÓN]]-PROVEEDORES[[#This Row],[PLAZO Días]],0)</f>
        <v>0</v>
      </c>
      <c r="U923" s="113">
        <f>+VLOOKUP(PROVEEDORES[[#This Row],[PROVEEDOR]],Terceros!$A:$D,4,FALSE)</f>
        <v>0</v>
      </c>
      <c r="V923" s="114">
        <f>+YEAR(PROVEEDORES[[#This Row],[FECHA DE FACTURACIÓN]])</f>
        <v>2022</v>
      </c>
      <c r="W923" s="114">
        <f>+MATCH(PROVEEDORES[[#This Row],[año facturado]],Retenciones!$1:$1,0)</f>
        <v>5</v>
      </c>
      <c r="X923" s="115">
        <f>+VLOOKUP(PROVEEDORES[[#This Row],[ID RETENCION]],Retenciones!$A$1:$O$25,PROVEEDORES[[#This Row],[indicador de columna]],FALSE)</f>
        <v>0</v>
      </c>
      <c r="Y923" s="116">
        <f>+VLOOKUP(PROVEEDORES[[#This Row],[ID RETENCION]],Retenciones!$A$1:$O$25,2,FALSE)</f>
        <v>0</v>
      </c>
      <c r="Z923" s="125" t="b">
        <f>OR(COUNTIF(PROVEEDORES[[#This Row],[PROVEEDOR]],"*"&amp;'Palabra no opera'!$A$2&amp;"*"))</f>
        <v>0</v>
      </c>
      <c r="AA923" s="24"/>
      <c r="AB923" s="24"/>
      <c r="AC923" s="24"/>
      <c r="AD923" s="24"/>
      <c r="AE923" s="24"/>
    </row>
    <row r="924" spans="1:31" ht="22.2" customHeight="1" x14ac:dyDescent="0.3">
      <c r="A924" s="66" t="str">
        <f>+IF(PROVEEDORES[[#This Row],[FECHA DE PAGO]]=PROVEEDORES[[#This Row],[FECHA DE FACTURACIÓN]],"DE CONTADO","CRÉDITO")</f>
        <v>CRÉDITO</v>
      </c>
      <c r="B924" s="38" t="str">
        <f>+IF((PROVEEDORES[[#This Row],[FECHA DE PAGO]]-PROVEEDORES[[#This Row],[FECHA DE FACTURACIÓN]])&gt;PROVEEDORES[[#This Row],[PLAZO Días]],"PAGO VENCIDO")</f>
        <v>PAGO VENCIDO</v>
      </c>
      <c r="C924" s="20">
        <f>+VLOOKUP(PROVEEDORES[[#This Row],[PROVEEDOR]],TERCEROS_INFO[#All],2,FALSE)</f>
        <v>30</v>
      </c>
      <c r="D924" s="25">
        <f>+SUMIFS(PROVEEDORES[Total],PROVEEDORES[PROVEEDOR],PROVEEDORES[[#This Row],[PROVEEDOR]],PROVEEDORES[FECHA DE PAGO],"")</f>
        <v>23124164.219999999</v>
      </c>
      <c r="E924" s="25"/>
      <c r="F92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24" s="161">
        <v>44488</v>
      </c>
      <c r="H924" s="26" t="s">
        <v>18</v>
      </c>
      <c r="I924" s="161">
        <v>44441</v>
      </c>
      <c r="J924" s="35">
        <v>1042560</v>
      </c>
      <c r="K924" s="21">
        <v>658286.4</v>
      </c>
      <c r="L924" s="21"/>
      <c r="M924" s="22">
        <f>(PROVEEDORES[[#This Row],[SUBTOTAL]]-PROVEEDORES[[#This Row],[descuento sobre subtotal]])*VLOOKUP(PROVEEDORES[[#This Row],[PROVEEDOR]],TERCEROS_INFO[#All],3,FALSE)</f>
        <v>125074.41600000001</v>
      </c>
      <c r="N924" s="23"/>
      <c r="O924" s="22">
        <f>+PROVEEDORES[[#This Row],[Descuento sobre subtotal %]]*(PROVEEDORES[[#This Row],[SUBTOTAL]]-PROVEEDORES[[#This Row],[descuento sobre subtotal]])</f>
        <v>0</v>
      </c>
      <c r="P924" s="83">
        <f>+IF(PROVEEDORES[[#This Row],[SUBTOTAL]]&lt;PROVEEDORES[[#This Row],[base retencion]],0,PROVEEDORES[[#This Row],[retención aplicada]])</f>
        <v>0</v>
      </c>
      <c r="Q924" s="22">
        <f>+PROVEEDORES[[#This Row],[Rete Fuente %]]*(PROVEEDORES[[#This Row],[SUBTOTAL]]-PROVEEDORES[[#This Row],[descuento sobre subtotal]])</f>
        <v>0</v>
      </c>
      <c r="R924" s="21">
        <f>+PROVEEDORES[[#This Row],[SUBTOTAL]]+PROVEEDORES[[#This Row],[IVA 19%]]-PROVEEDORES[[#This Row],[descuento sobre subtotal]]-PROVEEDORES[[#This Row],[Descuento sobre subtotal $2]]-PROVEEDORES[[#This Row],[Rete Fuente $]]</f>
        <v>783360.81599999999</v>
      </c>
      <c r="S9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68">
        <f ca="1">IF(PROVEEDORES[[#This Row],[FECHA DE PAGO]]=0,TODAY()-PROVEEDORES[[#This Row],[FECHA DE FACTURACIÓN]]-PROVEEDORES[[#This Row],[PLAZO Días]],0)</f>
        <v>0</v>
      </c>
      <c r="U924" s="96" t="str">
        <f>+VLOOKUP(PROVEEDORES[[#This Row],[PROVEEDOR]],Terceros!$A:$D,4,FALSE)</f>
        <v>2,5% con base</v>
      </c>
      <c r="V924" s="97">
        <f>+YEAR(PROVEEDORES[[#This Row],[FECHA DE FACTURACIÓN]])</f>
        <v>2021</v>
      </c>
      <c r="W924" s="97">
        <f>+MATCH(PROVEEDORES[[#This Row],[año facturado]],Retenciones!$1:$1,0)</f>
        <v>4</v>
      </c>
      <c r="X924" s="98">
        <f>+VLOOKUP(PROVEEDORES[[#This Row],[ID RETENCION]],Retenciones!$A$1:$O$25,PROVEEDORES[[#This Row],[indicador de columna]],FALSE)</f>
        <v>980000</v>
      </c>
      <c r="Y924" s="99">
        <f>+VLOOKUP(PROVEEDORES[[#This Row],[ID RETENCION]],Retenciones!$A$1:$O$25,2,FALSE)</f>
        <v>2.5000000000000001E-2</v>
      </c>
      <c r="Z924" s="125" t="b">
        <f>OR(COUNTIF(PROVEEDORES[[#This Row],[PROVEEDOR]],"*"&amp;'Palabra no opera'!$A$2&amp;"*"))</f>
        <v>0</v>
      </c>
      <c r="AA924" s="24"/>
      <c r="AB924" s="24"/>
      <c r="AC924" s="24"/>
      <c r="AD924" s="24"/>
      <c r="AE924" s="24"/>
    </row>
    <row r="925" spans="1:31" ht="22.2" customHeight="1" x14ac:dyDescent="0.3">
      <c r="A925" s="66" t="str">
        <f>+IF(PROVEEDORES[[#This Row],[FECHA DE PAGO]]=PROVEEDORES[[#This Row],[FECHA DE FACTURACIÓN]],"DE CONTADO","CRÉDITO")</f>
        <v>DE CONTADO</v>
      </c>
      <c r="B925" s="38" t="b">
        <f>+IF((PROVEEDORES[[#This Row],[FECHA DE PAGO]]-PROVEEDORES[[#This Row],[FECHA DE FACTURACIÓN]])&gt;PROVEEDORES[[#This Row],[PLAZO Días]],"PAGO VENCIDO")</f>
        <v>0</v>
      </c>
      <c r="C925" s="20">
        <f>+VLOOKUP(PROVEEDORES[[#This Row],[PROVEEDOR]],TERCEROS_INFO[#All],2,FALSE)</f>
        <v>30</v>
      </c>
      <c r="D925" s="25">
        <f>+SUMIFS(PROVEEDORES[Total],PROVEEDORES[PROVEEDOR],PROVEEDORES[[#This Row],[PROVEEDOR]],PROVEEDORES[FECHA DE PAGO],"")</f>
        <v>0</v>
      </c>
      <c r="E925" s="25"/>
      <c r="F925" s="58" t="str">
        <f>+VLOOKUP(PROVEEDORES[[#This Row],[PROVEEDOR]],
                       Terceros!$A:$F,
                       5,
                       FALSE)</f>
        <v/>
      </c>
      <c r="G925" s="161">
        <v>44561</v>
      </c>
      <c r="H925" s="26" t="s">
        <v>644</v>
      </c>
      <c r="I925" s="161">
        <v>44561</v>
      </c>
      <c r="J925" s="35" t="s">
        <v>174</v>
      </c>
      <c r="K925" s="21">
        <v>784600</v>
      </c>
      <c r="L925" s="21"/>
      <c r="M925" s="22">
        <f>(PROVEEDORES[[#This Row],[SUBTOTAL]]-PROVEEDORES[[#This Row],[descuento sobre subtotal]])*VLOOKUP(PROVEEDORES[[#This Row],[PROVEEDOR]],TERCEROS_INFO[#All],3,FALSE)</f>
        <v>0</v>
      </c>
      <c r="N925" s="23"/>
      <c r="O925" s="22">
        <f>+PROVEEDORES[[#This Row],[Descuento sobre subtotal %]]*(PROVEEDORES[[#This Row],[SUBTOTAL]]-PROVEEDORES[[#This Row],[descuento sobre subtotal]])</f>
        <v>0</v>
      </c>
      <c r="P925" s="83">
        <f>+IF(PROVEEDORES[[#This Row],[SUBTOTAL]]&lt;PROVEEDORES[[#This Row],[base retencion]],0,PROVEEDORES[[#This Row],[retención aplicada]])</f>
        <v>0</v>
      </c>
      <c r="Q925" s="22">
        <f>+PROVEEDORES[[#This Row],[Rete Fuente %]]*(PROVEEDORES[[#This Row],[SUBTOTAL]]-PROVEEDORES[[#This Row],[descuento sobre subtotal]])</f>
        <v>0</v>
      </c>
      <c r="R925" s="21">
        <f>+PROVEEDORES[[#This Row],[SUBTOTAL]]+PROVEEDORES[[#This Row],[IVA 19%]]-PROVEEDORES[[#This Row],[descuento sobre subtotal]]-PROVEEDORES[[#This Row],[Descuento sobre subtotal $2]]-PROVEEDORES[[#This Row],[Rete Fuente $]]</f>
        <v>784600</v>
      </c>
      <c r="S9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68">
        <f ca="1">IF(PROVEEDORES[[#This Row],[FECHA DE PAGO]]=0,TODAY()-PROVEEDORES[[#This Row],[FECHA DE FACTURACIÓN]]-PROVEEDORES[[#This Row],[PLAZO Días]],0)</f>
        <v>0</v>
      </c>
      <c r="U925" s="96">
        <f>+VLOOKUP(PROVEEDORES[[#This Row],[PROVEEDOR]],Terceros!$A:$D,4,FALSE)</f>
        <v>0</v>
      </c>
      <c r="V925" s="97">
        <f>+YEAR(PROVEEDORES[[#This Row],[FECHA DE FACTURACIÓN]])</f>
        <v>2021</v>
      </c>
      <c r="W925" s="97">
        <f>+MATCH(PROVEEDORES[[#This Row],[año facturado]],Retenciones!$1:$1,0)</f>
        <v>4</v>
      </c>
      <c r="X925" s="98">
        <f>+VLOOKUP(PROVEEDORES[[#This Row],[ID RETENCION]],Retenciones!$A$1:$O$25,PROVEEDORES[[#This Row],[indicador de columna]],FALSE)</f>
        <v>0</v>
      </c>
      <c r="Y925" s="99">
        <f>+VLOOKUP(PROVEEDORES[[#This Row],[ID RETENCION]],Retenciones!$A$1:$O$25,2,FALSE)</f>
        <v>0</v>
      </c>
      <c r="Z925" s="125" t="b">
        <f>OR(COUNTIF(PROVEEDORES[[#This Row],[PROVEEDOR]],"*"&amp;'Palabra no opera'!$A$2&amp;"*"))</f>
        <v>0</v>
      </c>
      <c r="AA925" s="24"/>
      <c r="AB925" s="24"/>
      <c r="AC925" s="24"/>
      <c r="AD925" s="24"/>
      <c r="AE925" s="24"/>
    </row>
    <row r="926" spans="1:31" ht="22.2" customHeight="1" x14ac:dyDescent="0.3">
      <c r="A926" s="66" t="str">
        <f>+IF(PROVEEDORES[[#This Row],[FECHA DE PAGO]]=PROVEEDORES[[#This Row],[FECHA DE FACTURACIÓN]],"DE CONTADO","CRÉDITO")</f>
        <v>CRÉDITO</v>
      </c>
      <c r="B926" s="38" t="str">
        <f>+IF((PROVEEDORES[[#This Row],[FECHA DE PAGO]]-PROVEEDORES[[#This Row],[FECHA DE FACTURACIÓN]])&gt;PROVEEDORES[[#This Row],[PLAZO Días]],"PAGO VENCIDO")</f>
        <v>PAGO VENCIDO</v>
      </c>
      <c r="C926" s="20">
        <f>+VLOOKUP(PROVEEDORES[[#This Row],[PROVEEDOR]],TERCEROS_INFO[#All],2,FALSE)</f>
        <v>30</v>
      </c>
      <c r="D926" s="25">
        <f>+SUMIFS(PROVEEDORES[Total],PROVEEDORES[PROVEEDOR],PROVEEDORES[[#This Row],[PROVEEDOR]],PROVEEDORES[FECHA DE PAGO],"")</f>
        <v>0</v>
      </c>
      <c r="E926" s="25"/>
      <c r="F926" s="58" t="str">
        <f>+VLOOKUP(PROVEEDORES[[#This Row],[PROVEEDOR]],
                       Terceros!$A:$F,
                       5,
                       FALSE)</f>
        <v/>
      </c>
      <c r="G926" s="161">
        <v>44221</v>
      </c>
      <c r="H926" s="26" t="s">
        <v>634</v>
      </c>
      <c r="I926" s="161">
        <v>44168</v>
      </c>
      <c r="J926" s="35"/>
      <c r="K926" s="21">
        <v>785000</v>
      </c>
      <c r="L926" s="21"/>
      <c r="M926" s="22">
        <f>(PROVEEDORES[[#This Row],[SUBTOTAL]]-PROVEEDORES[[#This Row],[descuento sobre subtotal]])*VLOOKUP(PROVEEDORES[[#This Row],[PROVEEDOR]],TERCEROS_INFO[#All],3,FALSE)</f>
        <v>0</v>
      </c>
      <c r="N926" s="23"/>
      <c r="O926" s="22">
        <f>+PROVEEDORES[[#This Row],[Descuento sobre subtotal %]]*(PROVEEDORES[[#This Row],[SUBTOTAL]]-PROVEEDORES[[#This Row],[descuento sobre subtotal]])</f>
        <v>0</v>
      </c>
      <c r="P926" s="83">
        <f>+IF(PROVEEDORES[[#This Row],[SUBTOTAL]]&lt;PROVEEDORES[[#This Row],[base retencion]],0,PROVEEDORES[[#This Row],[retención aplicada]])</f>
        <v>0</v>
      </c>
      <c r="Q926" s="22">
        <f>+PROVEEDORES[[#This Row],[Rete Fuente %]]*(PROVEEDORES[[#This Row],[SUBTOTAL]]-PROVEEDORES[[#This Row],[descuento sobre subtotal]])</f>
        <v>0</v>
      </c>
      <c r="R926" s="21">
        <f>+PROVEEDORES[[#This Row],[SUBTOTAL]]+PROVEEDORES[[#This Row],[IVA 19%]]-PROVEEDORES[[#This Row],[descuento sobre subtotal]]-PROVEEDORES[[#This Row],[Descuento sobre subtotal $2]]-PROVEEDORES[[#This Row],[Rete Fuente $]]</f>
        <v>785000</v>
      </c>
      <c r="S9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68">
        <f ca="1">IF(PROVEEDORES[[#This Row],[FECHA DE PAGO]]=0,TODAY()-PROVEEDORES[[#This Row],[FECHA DE FACTURACIÓN]]-PROVEEDORES[[#This Row],[PLAZO Días]],0)</f>
        <v>0</v>
      </c>
      <c r="U926" s="96">
        <f>+VLOOKUP(PROVEEDORES[[#This Row],[PROVEEDOR]],Terceros!$A:$D,4,FALSE)</f>
        <v>0</v>
      </c>
      <c r="V926" s="97">
        <f>+YEAR(PROVEEDORES[[#This Row],[FECHA DE FACTURACIÓN]])</f>
        <v>2020</v>
      </c>
      <c r="W926" s="97">
        <f>+MATCH(PROVEEDORES[[#This Row],[año facturado]],Retenciones!$1:$1,0)</f>
        <v>3</v>
      </c>
      <c r="X926" s="98">
        <f>+VLOOKUP(PROVEEDORES[[#This Row],[ID RETENCION]],Retenciones!$A$1:$O$25,PROVEEDORES[[#This Row],[indicador de columna]],FALSE)</f>
        <v>0</v>
      </c>
      <c r="Y926" s="99">
        <f>+VLOOKUP(PROVEEDORES[[#This Row],[ID RETENCION]],Retenciones!$A$1:$O$25,2,FALSE)</f>
        <v>0</v>
      </c>
      <c r="Z926" s="125" t="b">
        <f>OR(COUNTIF(PROVEEDORES[[#This Row],[PROVEEDOR]],"*"&amp;'Palabra no opera'!$A$2&amp;"*"))</f>
        <v>0</v>
      </c>
      <c r="AA926" s="24"/>
      <c r="AB926" s="24"/>
      <c r="AC926" s="24"/>
      <c r="AD926" s="24"/>
      <c r="AE926" s="24"/>
    </row>
    <row r="927" spans="1:31" ht="22.2" customHeight="1" x14ac:dyDescent="0.3">
      <c r="A927" s="133" t="str">
        <f>+IF(PROVEEDORES[[#This Row],[FECHA DE PAGO]]=PROVEEDORES[[#This Row],[FECHA DE FACTURACIÓN]],"DE CONTADO","CRÉDITO")</f>
        <v>CRÉDITO</v>
      </c>
      <c r="B927" s="38" t="str">
        <f>+IF((PROVEEDORES[[#This Row],[FECHA DE PAGO]]-PROVEEDORES[[#This Row],[FECHA DE FACTURACIÓN]])&gt;PROVEEDORES[[#This Row],[PLAZO Días]],"PAGO VENCIDO")</f>
        <v>PAGO VENCIDO</v>
      </c>
      <c r="C927" s="20">
        <f>+VLOOKUP(PROVEEDORES[[#This Row],[PROVEEDOR]],TERCEROS_INFO[#All],2,FALSE)</f>
        <v>30</v>
      </c>
      <c r="D927" s="25">
        <f>+SUMIFS(PROVEEDORES[Total],PROVEEDORES[PROVEEDOR],PROVEEDORES[[#This Row],[PROVEEDOR]],PROVEEDORES[FECHA DE PAGO],"")</f>
        <v>5272763.2050000001</v>
      </c>
      <c r="E927" s="25"/>
      <c r="F92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927" s="161">
        <v>44725</v>
      </c>
      <c r="H927" s="26" t="s">
        <v>11</v>
      </c>
      <c r="I927" s="161">
        <v>44685</v>
      </c>
      <c r="J927" s="35" t="s">
        <v>947</v>
      </c>
      <c r="K927" s="21">
        <v>660000</v>
      </c>
      <c r="L927" s="21"/>
      <c r="M927" s="22">
        <f>(PROVEEDORES[[#This Row],[SUBTOTAL]]-PROVEEDORES[[#This Row],[descuento sobre subtotal]])*VLOOKUP(PROVEEDORES[[#This Row],[PROVEEDOR]],TERCEROS_INFO[#All],3,FALSE)</f>
        <v>125400</v>
      </c>
      <c r="N927" s="23"/>
      <c r="O927" s="22">
        <f>+PROVEEDORES[[#This Row],[Descuento sobre subtotal %]]*(PROVEEDORES[[#This Row],[SUBTOTAL]]-PROVEEDORES[[#This Row],[descuento sobre subtotal]])</f>
        <v>0</v>
      </c>
      <c r="P927" s="83">
        <f>+IF(PROVEEDORES[[#This Row],[SUBTOTAL]]&lt;PROVEEDORES[[#This Row],[base retencion]],0,PROVEEDORES[[#This Row],[retención aplicada]])</f>
        <v>0</v>
      </c>
      <c r="Q927" s="22">
        <f>+PROVEEDORES[[#This Row],[Rete Fuente %]]*(PROVEEDORES[[#This Row],[SUBTOTAL]]-PROVEEDORES[[#This Row],[descuento sobre subtotal]])</f>
        <v>0</v>
      </c>
      <c r="R927" s="21">
        <f>+PROVEEDORES[[#This Row],[SUBTOTAL]]+PROVEEDORES[[#This Row],[IVA 19%]]-PROVEEDORES[[#This Row],[descuento sobre subtotal]]-PROVEEDORES[[#This Row],[Descuento sobre subtotal $2]]-PROVEEDORES[[#This Row],[Rete Fuente $]]</f>
        <v>785400</v>
      </c>
      <c r="S927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68">
        <f ca="1">IF(PROVEEDORES[[#This Row],[FECHA DE PAGO]]=0,TODAY()-PROVEEDORES[[#This Row],[FECHA DE FACTURACIÓN]]-PROVEEDORES[[#This Row],[PLAZO Días]],0)</f>
        <v>0</v>
      </c>
      <c r="U927" s="113" t="str">
        <f>+VLOOKUP(PROVEEDORES[[#This Row],[PROVEEDOR]],Terceros!$A:$D,4,FALSE)</f>
        <v>2,5% con base</v>
      </c>
      <c r="V927" s="114">
        <f>+YEAR(PROVEEDORES[[#This Row],[FECHA DE FACTURACIÓN]])</f>
        <v>2022</v>
      </c>
      <c r="W927" s="114">
        <f>+MATCH(PROVEEDORES[[#This Row],[año facturado]],Retenciones!$1:$1,0)</f>
        <v>5</v>
      </c>
      <c r="X927" s="115">
        <f>+VLOOKUP(PROVEEDORES[[#This Row],[ID RETENCION]],Retenciones!$A$1:$O$25,PROVEEDORES[[#This Row],[indicador de columna]],FALSE)</f>
        <v>1026000</v>
      </c>
      <c r="Y927" s="116">
        <f>+VLOOKUP(PROVEEDORES[[#This Row],[ID RETENCION]],Retenciones!$A$1:$O$25,2,FALSE)</f>
        <v>2.5000000000000001E-2</v>
      </c>
      <c r="Z927" s="125" t="b">
        <f>OR(COUNTIF(PROVEEDORES[[#This Row],[PROVEEDOR]],"*"&amp;'Palabra no opera'!$A$2&amp;"*"))</f>
        <v>0</v>
      </c>
      <c r="AA927" s="24"/>
      <c r="AB927" s="24"/>
      <c r="AC927" s="24"/>
      <c r="AD927" s="24"/>
      <c r="AE927" s="24"/>
    </row>
    <row r="928" spans="1:31" ht="22.2" customHeight="1" x14ac:dyDescent="0.3">
      <c r="A928" s="66" t="str">
        <f>+IF(PROVEEDORES[[#This Row],[FECHA DE PAGO]]=PROVEEDORES[[#This Row],[FECHA DE FACTURACIÓN]],"DE CONTADO","CRÉDITO")</f>
        <v>CRÉDITO</v>
      </c>
      <c r="B928" s="38" t="str">
        <f>+IF((PROVEEDORES[[#This Row],[FECHA DE PAGO]]-PROVEEDORES[[#This Row],[FECHA DE FACTURACIÓN]])&gt;PROVEEDORES[[#This Row],[PLAZO Días]],"PAGO VENCIDO")</f>
        <v>PAGO VENCIDO</v>
      </c>
      <c r="C928" s="20">
        <f>+VLOOKUP(PROVEEDORES[[#This Row],[PROVEEDOR]],TERCEROS_INFO[#All],2,FALSE)</f>
        <v>30</v>
      </c>
      <c r="D928" s="25">
        <f>+SUMIFS(PROVEEDORES[Total],PROVEEDORES[PROVEEDOR],PROVEEDORES[[#This Row],[PROVEEDOR]],PROVEEDORES[FECHA DE PAGO],"")</f>
        <v>0</v>
      </c>
      <c r="E928" s="25"/>
      <c r="F928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928" s="161">
        <v>44326</v>
      </c>
      <c r="H928" s="26" t="s">
        <v>39</v>
      </c>
      <c r="I928" s="161">
        <v>44252</v>
      </c>
      <c r="J928" s="35">
        <v>327</v>
      </c>
      <c r="K928" s="21">
        <v>668100</v>
      </c>
      <c r="L928" s="21"/>
      <c r="M928" s="22">
        <f>(PROVEEDORES[[#This Row],[SUBTOTAL]]-PROVEEDORES[[#This Row],[descuento sobre subtotal]])*VLOOKUP(PROVEEDORES[[#This Row],[PROVEEDOR]],TERCEROS_INFO[#All],3,FALSE)</f>
        <v>126939</v>
      </c>
      <c r="N928" s="23"/>
      <c r="O928" s="22">
        <f>+PROVEEDORES[[#This Row],[Descuento sobre subtotal %]]*(PROVEEDORES[[#This Row],[SUBTOTAL]]-PROVEEDORES[[#This Row],[descuento sobre subtotal]])</f>
        <v>0</v>
      </c>
      <c r="P928" s="83">
        <f>+IF(PROVEEDORES[[#This Row],[SUBTOTAL]]&lt;PROVEEDORES[[#This Row],[base retencion]],0,PROVEEDORES[[#This Row],[retención aplicada]])</f>
        <v>0</v>
      </c>
      <c r="Q928" s="22">
        <f>+PROVEEDORES[[#This Row],[Rete Fuente %]]*(PROVEEDORES[[#This Row],[SUBTOTAL]]-PROVEEDORES[[#This Row],[descuento sobre subtotal]])</f>
        <v>0</v>
      </c>
      <c r="R928" s="21">
        <f>+PROVEEDORES[[#This Row],[SUBTOTAL]]+PROVEEDORES[[#This Row],[IVA 19%]]-PROVEEDORES[[#This Row],[descuento sobre subtotal]]-PROVEEDORES[[#This Row],[Descuento sobre subtotal $2]]-PROVEEDORES[[#This Row],[Rete Fuente $]]</f>
        <v>795039</v>
      </c>
      <c r="S9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68">
        <f ca="1">IF(PROVEEDORES[[#This Row],[FECHA DE PAGO]]=0,TODAY()-PROVEEDORES[[#This Row],[FECHA DE FACTURACIÓN]]-PROVEEDORES[[#This Row],[PLAZO Días]],0)</f>
        <v>0</v>
      </c>
      <c r="U928" s="96" t="str">
        <f>+VLOOKUP(PROVEEDORES[[#This Row],[PROVEEDOR]],Terceros!$A:$D,4,FALSE)</f>
        <v>2,5% con base</v>
      </c>
      <c r="V928" s="97">
        <f>+YEAR(PROVEEDORES[[#This Row],[FECHA DE FACTURACIÓN]])</f>
        <v>2021</v>
      </c>
      <c r="W928" s="97">
        <f>+MATCH(PROVEEDORES[[#This Row],[año facturado]],Retenciones!$1:$1,0)</f>
        <v>4</v>
      </c>
      <c r="X928" s="98">
        <f>+VLOOKUP(PROVEEDORES[[#This Row],[ID RETENCION]],Retenciones!$A$1:$O$25,PROVEEDORES[[#This Row],[indicador de columna]],FALSE)</f>
        <v>980000</v>
      </c>
      <c r="Y928" s="99">
        <f>+VLOOKUP(PROVEEDORES[[#This Row],[ID RETENCION]],Retenciones!$A$1:$O$25,2,FALSE)</f>
        <v>2.5000000000000001E-2</v>
      </c>
      <c r="Z928" s="125" t="b">
        <f>OR(COUNTIF(PROVEEDORES[[#This Row],[PROVEEDOR]],"*"&amp;'Palabra no opera'!$A$2&amp;"*"))</f>
        <v>0</v>
      </c>
      <c r="AA928" s="24"/>
      <c r="AB928" s="24"/>
      <c r="AC928" s="24"/>
      <c r="AD928" s="24"/>
      <c r="AE928" s="24"/>
    </row>
    <row r="929" spans="1:31" ht="22.2" customHeight="1" x14ac:dyDescent="0.3">
      <c r="A929" s="66" t="str">
        <f>+IF(PROVEEDORES[[#This Row],[FECHA DE PAGO]]=PROVEEDORES[[#This Row],[FECHA DE FACTURACIÓN]],"DE CONTADO","CRÉDITO")</f>
        <v>CRÉDITO</v>
      </c>
      <c r="B929" s="38" t="str">
        <f>+IF((PROVEEDORES[[#This Row],[FECHA DE PAGO]]-PROVEEDORES[[#This Row],[FECHA DE FACTURACIÓN]])&gt;PROVEEDORES[[#This Row],[PLAZO Días]],"PAGO VENCIDO")</f>
        <v>PAGO VENCIDO</v>
      </c>
      <c r="C929" s="20">
        <f>+VLOOKUP(PROVEEDORES[[#This Row],[PROVEEDOR]],TERCEROS_INFO[#All],2,FALSE)</f>
        <v>30</v>
      </c>
      <c r="D929" s="25">
        <f>+SUMIFS(PROVEEDORES[Total],PROVEEDORES[PROVEEDOR],PROVEEDORES[[#This Row],[PROVEEDOR]],PROVEEDORES[FECHA DE PAGO],"")</f>
        <v>0</v>
      </c>
      <c r="E929" s="25"/>
      <c r="F929" s="58" t="str">
        <f>+VLOOKUP(PROVEEDORES[[#This Row],[PROVEEDOR]],
                       Terceros!$A:$F,
                       5,
                       FALSE)</f>
        <v/>
      </c>
      <c r="G929" s="161">
        <v>44494</v>
      </c>
      <c r="H929" s="26" t="s">
        <v>686</v>
      </c>
      <c r="I929" s="161">
        <v>44460</v>
      </c>
      <c r="J929" s="35" t="s">
        <v>1501</v>
      </c>
      <c r="K929" s="21">
        <v>796800</v>
      </c>
      <c r="L929" s="21"/>
      <c r="M929" s="22">
        <f>(PROVEEDORES[[#This Row],[SUBTOTAL]]-PROVEEDORES[[#This Row],[descuento sobre subtotal]])*VLOOKUP(PROVEEDORES[[#This Row],[PROVEEDOR]],TERCEROS_INFO[#All],3,FALSE)</f>
        <v>0</v>
      </c>
      <c r="N929" s="23"/>
      <c r="O929" s="22">
        <f>+PROVEEDORES[[#This Row],[Descuento sobre subtotal %]]*(PROVEEDORES[[#This Row],[SUBTOTAL]]-PROVEEDORES[[#This Row],[descuento sobre subtotal]])</f>
        <v>0</v>
      </c>
      <c r="P929" s="83">
        <f>+IF(PROVEEDORES[[#This Row],[SUBTOTAL]]&lt;PROVEEDORES[[#This Row],[base retencion]],0,PROVEEDORES[[#This Row],[retención aplicada]])</f>
        <v>0</v>
      </c>
      <c r="Q929" s="22">
        <f>+PROVEEDORES[[#This Row],[Rete Fuente %]]*(PROVEEDORES[[#This Row],[SUBTOTAL]]-PROVEEDORES[[#This Row],[descuento sobre subtotal]])</f>
        <v>0</v>
      </c>
      <c r="R929" s="21">
        <f>+PROVEEDORES[[#This Row],[SUBTOTAL]]+PROVEEDORES[[#This Row],[IVA 19%]]-PROVEEDORES[[#This Row],[descuento sobre subtotal]]-PROVEEDORES[[#This Row],[Descuento sobre subtotal $2]]-PROVEEDORES[[#This Row],[Rete Fuente $]]</f>
        <v>796800</v>
      </c>
      <c r="S9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68">
        <f ca="1">IF(PROVEEDORES[[#This Row],[FECHA DE PAGO]]=0,TODAY()-PROVEEDORES[[#This Row],[FECHA DE FACTURACIÓN]]-PROVEEDORES[[#This Row],[PLAZO Días]],0)</f>
        <v>0</v>
      </c>
      <c r="U929" s="96">
        <f>+VLOOKUP(PROVEEDORES[[#This Row],[PROVEEDOR]],Terceros!$A:$D,4,FALSE)</f>
        <v>0</v>
      </c>
      <c r="V929" s="97">
        <f>+YEAR(PROVEEDORES[[#This Row],[FECHA DE FACTURACIÓN]])</f>
        <v>2021</v>
      </c>
      <c r="W929" s="97">
        <f>+MATCH(PROVEEDORES[[#This Row],[año facturado]],Retenciones!$1:$1,0)</f>
        <v>4</v>
      </c>
      <c r="X929" s="98">
        <f>+VLOOKUP(PROVEEDORES[[#This Row],[ID RETENCION]],Retenciones!$A$1:$O$25,PROVEEDORES[[#This Row],[indicador de columna]],FALSE)</f>
        <v>0</v>
      </c>
      <c r="Y929" s="99">
        <f>+VLOOKUP(PROVEEDORES[[#This Row],[ID RETENCION]],Retenciones!$A$1:$O$25,2,FALSE)</f>
        <v>0</v>
      </c>
      <c r="Z929" s="125" t="b">
        <f>OR(COUNTIF(PROVEEDORES[[#This Row],[PROVEEDOR]],"*"&amp;'Palabra no opera'!$A$2&amp;"*"))</f>
        <v>0</v>
      </c>
      <c r="AA929" s="24"/>
      <c r="AB929" s="24"/>
      <c r="AC929" s="24"/>
      <c r="AD929" s="24"/>
      <c r="AE929" s="24"/>
    </row>
    <row r="930" spans="1:31" ht="22.2" customHeight="1" x14ac:dyDescent="0.3">
      <c r="A930" s="66" t="str">
        <f>+IF(PROVEEDORES[[#This Row],[FECHA DE PAGO]]=PROVEEDORES[[#This Row],[FECHA DE FACTURACIÓN]],"DE CONTADO","CRÉDITO")</f>
        <v>CRÉDITO</v>
      </c>
      <c r="B930" s="38" t="str">
        <f>+IF((PROVEEDORES[[#This Row],[FECHA DE PAGO]]-PROVEEDORES[[#This Row],[FECHA DE FACTURACIÓN]])&gt;PROVEEDORES[[#This Row],[PLAZO Días]],"PAGO VENCIDO")</f>
        <v>PAGO VENCIDO</v>
      </c>
      <c r="C930" s="20">
        <f>+VLOOKUP(PROVEEDORES[[#This Row],[PROVEEDOR]],TERCEROS_INFO[#All],2,FALSE)</f>
        <v>30</v>
      </c>
      <c r="D930" s="25">
        <f>+SUMIFS(PROVEEDORES[Total],PROVEEDORES[PROVEEDOR],PROVEEDORES[[#This Row],[PROVEEDOR]],PROVEEDORES[FECHA DE PAGO],"")</f>
        <v>4712021.58</v>
      </c>
      <c r="E930" s="25"/>
      <c r="F93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30" s="161">
        <v>44461</v>
      </c>
      <c r="H930" s="26" t="s">
        <v>17</v>
      </c>
      <c r="I930" s="161">
        <v>44426</v>
      </c>
      <c r="J930" s="35">
        <v>1801124</v>
      </c>
      <c r="K930" s="21">
        <v>671300</v>
      </c>
      <c r="L930" s="21"/>
      <c r="M930" s="22">
        <f>(PROVEEDORES[[#This Row],[SUBTOTAL]]-PROVEEDORES[[#This Row],[descuento sobre subtotal]])*VLOOKUP(PROVEEDORES[[#This Row],[PROVEEDOR]],TERCEROS_INFO[#All],3,FALSE)</f>
        <v>127547</v>
      </c>
      <c r="N930" s="23"/>
      <c r="O930" s="22">
        <f>+PROVEEDORES[[#This Row],[Descuento sobre subtotal %]]*(PROVEEDORES[[#This Row],[SUBTOTAL]]-PROVEEDORES[[#This Row],[descuento sobre subtotal]])</f>
        <v>0</v>
      </c>
      <c r="P930" s="83">
        <f>+IF(PROVEEDORES[[#This Row],[SUBTOTAL]]&lt;PROVEEDORES[[#This Row],[base retencion]],0,PROVEEDORES[[#This Row],[retención aplicada]])</f>
        <v>0</v>
      </c>
      <c r="Q930" s="22">
        <f>+PROVEEDORES[[#This Row],[Rete Fuente %]]*(PROVEEDORES[[#This Row],[SUBTOTAL]]-PROVEEDORES[[#This Row],[descuento sobre subtotal]])</f>
        <v>0</v>
      </c>
      <c r="R930" s="21">
        <f>+PROVEEDORES[[#This Row],[SUBTOTAL]]+PROVEEDORES[[#This Row],[IVA 19%]]-PROVEEDORES[[#This Row],[descuento sobre subtotal]]-PROVEEDORES[[#This Row],[Descuento sobre subtotal $2]]-PROVEEDORES[[#This Row],[Rete Fuente $]]</f>
        <v>798847</v>
      </c>
      <c r="S9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68">
        <f ca="1">IF(PROVEEDORES[[#This Row],[FECHA DE PAGO]]=0,TODAY()-PROVEEDORES[[#This Row],[FECHA DE FACTURACIÓN]]-PROVEEDORES[[#This Row],[PLAZO Días]],0)</f>
        <v>0</v>
      </c>
      <c r="U930" s="96">
        <f>+VLOOKUP(PROVEEDORES[[#This Row],[PROVEEDOR]],Terceros!$A:$D,4,FALSE)</f>
        <v>0</v>
      </c>
      <c r="V930" s="97">
        <f>+YEAR(PROVEEDORES[[#This Row],[FECHA DE FACTURACIÓN]])</f>
        <v>2021</v>
      </c>
      <c r="W930" s="97">
        <f>+MATCH(PROVEEDORES[[#This Row],[año facturado]],Retenciones!$1:$1,0)</f>
        <v>4</v>
      </c>
      <c r="X930" s="98">
        <f>+VLOOKUP(PROVEEDORES[[#This Row],[ID RETENCION]],Retenciones!$A$1:$O$25,PROVEEDORES[[#This Row],[indicador de columna]],FALSE)</f>
        <v>0</v>
      </c>
      <c r="Y930" s="99">
        <f>+VLOOKUP(PROVEEDORES[[#This Row],[ID RETENCION]],Retenciones!$A$1:$O$25,2,FALSE)</f>
        <v>0</v>
      </c>
      <c r="Z930" s="125" t="b">
        <f>OR(COUNTIF(PROVEEDORES[[#This Row],[PROVEEDOR]],"*"&amp;'Palabra no opera'!$A$2&amp;"*"))</f>
        <v>0</v>
      </c>
      <c r="AA930" s="24"/>
      <c r="AB930" s="24"/>
      <c r="AC930" s="24"/>
      <c r="AD930" s="24"/>
      <c r="AE930" s="24"/>
    </row>
    <row r="931" spans="1:31" ht="22.2" customHeight="1" x14ac:dyDescent="0.3">
      <c r="A931" s="66" t="str">
        <f>+IF(PROVEEDORES[[#This Row],[FECHA DE PAGO]]=PROVEEDORES[[#This Row],[FECHA DE FACTURACIÓN]],"DE CONTADO","CRÉDITO")</f>
        <v>CRÉDITO</v>
      </c>
      <c r="B931" s="38" t="b">
        <f>+IF((PROVEEDORES[[#This Row],[FECHA DE PAGO]]-PROVEEDORES[[#This Row],[FECHA DE FACTURACIÓN]])&gt;PROVEEDORES[[#This Row],[PLAZO Días]],"PAGO VENCIDO")</f>
        <v>0</v>
      </c>
      <c r="C931" s="20">
        <f>+VLOOKUP(PROVEEDORES[[#This Row],[PROVEEDOR]],TERCEROS_INFO[#All],2,FALSE)</f>
        <v>30</v>
      </c>
      <c r="D931" s="25">
        <f>+SUMIFS(PROVEEDORES[Total],PROVEEDORES[PROVEEDOR],PROVEEDORES[[#This Row],[PROVEEDOR]],PROVEEDORES[FECHA DE PAGO],"")</f>
        <v>0</v>
      </c>
      <c r="E931" s="25"/>
      <c r="F931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931" s="161">
        <v>44235</v>
      </c>
      <c r="H931" s="26" t="s">
        <v>667</v>
      </c>
      <c r="I931" s="161">
        <v>44218</v>
      </c>
      <c r="J931" s="35">
        <v>3971</v>
      </c>
      <c r="K931" s="21">
        <v>800000</v>
      </c>
      <c r="L931" s="21"/>
      <c r="M931" s="22">
        <f>(PROVEEDORES[[#This Row],[SUBTOTAL]]-PROVEEDORES[[#This Row],[descuento sobre subtotal]])*VLOOKUP(PROVEEDORES[[#This Row],[PROVEEDOR]],TERCEROS_INFO[#All],3,FALSE)</f>
        <v>0</v>
      </c>
      <c r="N931" s="23"/>
      <c r="O931" s="22">
        <f>+PROVEEDORES[[#This Row],[Descuento sobre subtotal %]]*(PROVEEDORES[[#This Row],[SUBTOTAL]]-PROVEEDORES[[#This Row],[descuento sobre subtotal]])</f>
        <v>0</v>
      </c>
      <c r="P931" s="83">
        <f>+IF(PROVEEDORES[[#This Row],[SUBTOTAL]]&lt;PROVEEDORES[[#This Row],[base retencion]],0,PROVEEDORES[[#This Row],[retención aplicada]])</f>
        <v>0</v>
      </c>
      <c r="Q931" s="22">
        <f>+PROVEEDORES[[#This Row],[Rete Fuente %]]*(PROVEEDORES[[#This Row],[SUBTOTAL]]-PROVEEDORES[[#This Row],[descuento sobre subtotal]])</f>
        <v>0</v>
      </c>
      <c r="R931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68">
        <f ca="1">IF(PROVEEDORES[[#This Row],[FECHA DE PAGO]]=0,TODAY()-PROVEEDORES[[#This Row],[FECHA DE FACTURACIÓN]]-PROVEEDORES[[#This Row],[PLAZO Días]],0)</f>
        <v>0</v>
      </c>
      <c r="U931" s="96">
        <f>+VLOOKUP(PROVEEDORES[[#This Row],[PROVEEDOR]],Terceros!$A:$D,4,FALSE)</f>
        <v>0</v>
      </c>
      <c r="V931" s="97">
        <f>+YEAR(PROVEEDORES[[#This Row],[FECHA DE FACTURACIÓN]])</f>
        <v>2021</v>
      </c>
      <c r="W931" s="97">
        <f>+MATCH(PROVEEDORES[[#This Row],[año facturado]],Retenciones!$1:$1,0)</f>
        <v>4</v>
      </c>
      <c r="X931" s="98">
        <f>+VLOOKUP(PROVEEDORES[[#This Row],[ID RETENCION]],Retenciones!$A$1:$O$25,PROVEEDORES[[#This Row],[indicador de columna]],FALSE)</f>
        <v>0</v>
      </c>
      <c r="Y931" s="99">
        <f>+VLOOKUP(PROVEEDORES[[#This Row],[ID RETENCION]],Retenciones!$A$1:$O$25,2,FALSE)</f>
        <v>0</v>
      </c>
      <c r="Z931" s="125" t="b">
        <f>OR(COUNTIF(PROVEEDORES[[#This Row],[PROVEEDOR]],"*"&amp;'Palabra no opera'!$A$2&amp;"*"))</f>
        <v>0</v>
      </c>
      <c r="AA931" s="24"/>
      <c r="AB931" s="24"/>
      <c r="AC931" s="24"/>
      <c r="AD931" s="24"/>
      <c r="AE931" s="24"/>
    </row>
    <row r="932" spans="1:31" ht="22.2" customHeight="1" x14ac:dyDescent="0.3">
      <c r="A932" s="66" t="str">
        <f>+IF(PROVEEDORES[[#This Row],[FECHA DE PAGO]]=PROVEEDORES[[#This Row],[FECHA DE FACTURACIÓN]],"DE CONTADO","CRÉDITO")</f>
        <v>DE CONTADO</v>
      </c>
      <c r="B932" s="38" t="b">
        <f>+IF((PROVEEDORES[[#This Row],[FECHA DE PAGO]]-PROVEEDORES[[#This Row],[FECHA DE FACTURACIÓN]])&gt;PROVEEDORES[[#This Row],[PLAZO Días]],"PAGO VENCIDO")</f>
        <v>0</v>
      </c>
      <c r="C932" s="20">
        <f>+VLOOKUP(PROVEEDORES[[#This Row],[PROVEEDOR]],TERCEROS_INFO[#All],2,FALSE)</f>
        <v>30</v>
      </c>
      <c r="D932" s="25">
        <f>+SUMIFS(PROVEEDORES[Total],PROVEEDORES[PROVEEDOR],PROVEEDORES[[#This Row],[PROVEEDOR]],PROVEEDORES[FECHA DE PAGO],"")</f>
        <v>0</v>
      </c>
      <c r="E932" s="25"/>
      <c r="F932" s="58" t="str">
        <f>+VLOOKUP(PROVEEDORES[[#This Row],[PROVEEDOR]],
                       Terceros!$A:$F,
                       5,
                       FALSE)</f>
        <v/>
      </c>
      <c r="G932" s="161">
        <v>44319</v>
      </c>
      <c r="H932" s="26" t="s">
        <v>673</v>
      </c>
      <c r="I932" s="161">
        <v>44319</v>
      </c>
      <c r="J932" s="35"/>
      <c r="K932" s="21">
        <v>800000</v>
      </c>
      <c r="L932" s="21"/>
      <c r="M932" s="22">
        <f>(PROVEEDORES[[#This Row],[SUBTOTAL]]-PROVEEDORES[[#This Row],[descuento sobre subtotal]])*VLOOKUP(PROVEEDORES[[#This Row],[PROVEEDOR]],TERCEROS_INFO[#All],3,FALSE)</f>
        <v>0</v>
      </c>
      <c r="N932" s="23"/>
      <c r="O932" s="22">
        <f>+PROVEEDORES[[#This Row],[Descuento sobre subtotal %]]*(PROVEEDORES[[#This Row],[SUBTOTAL]]-PROVEEDORES[[#This Row],[descuento sobre subtotal]])</f>
        <v>0</v>
      </c>
      <c r="P932" s="83">
        <f>+IF(PROVEEDORES[[#This Row],[SUBTOTAL]]&lt;PROVEEDORES[[#This Row],[base retencion]],0,PROVEEDORES[[#This Row],[retención aplicada]])</f>
        <v>0</v>
      </c>
      <c r="Q932" s="22">
        <f>+PROVEEDORES[[#This Row],[Rete Fuente %]]*(PROVEEDORES[[#This Row],[SUBTOTAL]]-PROVEEDORES[[#This Row],[descuento sobre subtotal]])</f>
        <v>0</v>
      </c>
      <c r="R932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68">
        <f ca="1">IF(PROVEEDORES[[#This Row],[FECHA DE PAGO]]=0,TODAY()-PROVEEDORES[[#This Row],[FECHA DE FACTURACIÓN]]-PROVEEDORES[[#This Row],[PLAZO Días]],0)</f>
        <v>0</v>
      </c>
      <c r="U932" s="96">
        <f>+VLOOKUP(PROVEEDORES[[#This Row],[PROVEEDOR]],Terceros!$A:$D,4,FALSE)</f>
        <v>0</v>
      </c>
      <c r="V932" s="97">
        <f>+YEAR(PROVEEDORES[[#This Row],[FECHA DE FACTURACIÓN]])</f>
        <v>2021</v>
      </c>
      <c r="W932" s="97">
        <f>+MATCH(PROVEEDORES[[#This Row],[año facturado]],Retenciones!$1:$1,0)</f>
        <v>4</v>
      </c>
      <c r="X932" s="98">
        <f>+VLOOKUP(PROVEEDORES[[#This Row],[ID RETENCION]],Retenciones!$A$1:$O$25,PROVEEDORES[[#This Row],[indicador de columna]],FALSE)</f>
        <v>0</v>
      </c>
      <c r="Y932" s="99">
        <f>+VLOOKUP(PROVEEDORES[[#This Row],[ID RETENCION]],Retenciones!$A$1:$O$25,2,FALSE)</f>
        <v>0</v>
      </c>
      <c r="Z932" s="125" t="b">
        <f>OR(COUNTIF(PROVEEDORES[[#This Row],[PROVEEDOR]],"*"&amp;'Palabra no opera'!$A$2&amp;"*"))</f>
        <v>0</v>
      </c>
      <c r="AA932" s="24"/>
      <c r="AB932" s="24"/>
      <c r="AC932" s="24"/>
      <c r="AD932" s="24"/>
      <c r="AE932" s="24"/>
    </row>
    <row r="933" spans="1:31" ht="22.2" customHeight="1" x14ac:dyDescent="0.3">
      <c r="A933" s="66" t="str">
        <f>+IF(PROVEEDORES[[#This Row],[FECHA DE PAGO]]=PROVEEDORES[[#This Row],[FECHA DE FACTURACIÓN]],"DE CONTADO","CRÉDITO")</f>
        <v>DE CONTADO</v>
      </c>
      <c r="B933" s="38" t="b">
        <f>+IF((PROVEEDORES[[#This Row],[FECHA DE PAGO]]-PROVEEDORES[[#This Row],[FECHA DE FACTURACIÓN]])&gt;PROVEEDORES[[#This Row],[PLAZO Días]],"PAGO VENCIDO")</f>
        <v>0</v>
      </c>
      <c r="C933" s="20">
        <f>+VLOOKUP(PROVEEDORES[[#This Row],[PROVEEDOR]],TERCEROS_INFO[#All],2,FALSE)</f>
        <v>30</v>
      </c>
      <c r="D933" s="25">
        <f>+SUMIFS(PROVEEDORES[Total],PROVEEDORES[PROVEEDOR],PROVEEDORES[[#This Row],[PROVEEDOR]],PROVEEDORES[FECHA DE PAGO],"")</f>
        <v>0</v>
      </c>
      <c r="E933" s="25"/>
      <c r="F933" s="58" t="str">
        <f>+VLOOKUP(PROVEEDORES[[#This Row],[PROVEEDOR]],
                       Terceros!$A:$F,
                       5,
                       FALSE)</f>
        <v/>
      </c>
      <c r="G933" s="161">
        <v>44367</v>
      </c>
      <c r="H933" s="26" t="s">
        <v>635</v>
      </c>
      <c r="I933" s="161">
        <v>44367</v>
      </c>
      <c r="J933" s="35" t="s">
        <v>1462</v>
      </c>
      <c r="K933" s="21">
        <v>800000</v>
      </c>
      <c r="L933" s="21"/>
      <c r="M933" s="22">
        <f>(PROVEEDORES[[#This Row],[SUBTOTAL]]-PROVEEDORES[[#This Row],[descuento sobre subtotal]])*VLOOKUP(PROVEEDORES[[#This Row],[PROVEEDOR]],TERCEROS_INFO[#All],3,FALSE)</f>
        <v>0</v>
      </c>
      <c r="N933" s="23"/>
      <c r="O933" s="22">
        <f>+PROVEEDORES[[#This Row],[Descuento sobre subtotal %]]*(PROVEEDORES[[#This Row],[SUBTOTAL]]-PROVEEDORES[[#This Row],[descuento sobre subtotal]])</f>
        <v>0</v>
      </c>
      <c r="P933" s="83">
        <f>+IF(PROVEEDORES[[#This Row],[SUBTOTAL]]&lt;PROVEEDORES[[#This Row],[base retencion]],0,PROVEEDORES[[#This Row],[retención aplicada]])</f>
        <v>0</v>
      </c>
      <c r="Q933" s="22">
        <f>+PROVEEDORES[[#This Row],[Rete Fuente %]]*(PROVEEDORES[[#This Row],[SUBTOTAL]]-PROVEEDORES[[#This Row],[descuento sobre subtotal]])</f>
        <v>0</v>
      </c>
      <c r="R933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68">
        <f ca="1">IF(PROVEEDORES[[#This Row],[FECHA DE PAGO]]=0,TODAY()-PROVEEDORES[[#This Row],[FECHA DE FACTURACIÓN]]-PROVEEDORES[[#This Row],[PLAZO Días]],0)</f>
        <v>0</v>
      </c>
      <c r="U933" s="96">
        <f>+VLOOKUP(PROVEEDORES[[#This Row],[PROVEEDOR]],Terceros!$A:$D,4,FALSE)</f>
        <v>0</v>
      </c>
      <c r="V933" s="97">
        <f>+YEAR(PROVEEDORES[[#This Row],[FECHA DE FACTURACIÓN]])</f>
        <v>2021</v>
      </c>
      <c r="W933" s="97">
        <f>+MATCH(PROVEEDORES[[#This Row],[año facturado]],Retenciones!$1:$1,0)</f>
        <v>4</v>
      </c>
      <c r="X933" s="98">
        <f>+VLOOKUP(PROVEEDORES[[#This Row],[ID RETENCION]],Retenciones!$A$1:$O$25,PROVEEDORES[[#This Row],[indicador de columna]],FALSE)</f>
        <v>0</v>
      </c>
      <c r="Y933" s="99">
        <f>+VLOOKUP(PROVEEDORES[[#This Row],[ID RETENCION]],Retenciones!$A$1:$O$25,2,FALSE)</f>
        <v>0</v>
      </c>
      <c r="Z933" s="125" t="b">
        <f>OR(COUNTIF(PROVEEDORES[[#This Row],[PROVEEDOR]],"*"&amp;'Palabra no opera'!$A$2&amp;"*"))</f>
        <v>0</v>
      </c>
      <c r="AA933" s="24"/>
      <c r="AB933" s="24"/>
      <c r="AC933" s="24"/>
      <c r="AD933" s="24"/>
      <c r="AE933" s="24"/>
    </row>
    <row r="934" spans="1:31" ht="22.2" customHeight="1" x14ac:dyDescent="0.3">
      <c r="A934" s="66" t="str">
        <f>+IF(PROVEEDORES[[#This Row],[FECHA DE PAGO]]=PROVEEDORES[[#This Row],[FECHA DE FACTURACIÓN]],"DE CONTADO","CRÉDITO")</f>
        <v>CRÉDITO</v>
      </c>
      <c r="B934" s="38" t="b">
        <f>+IF((PROVEEDORES[[#This Row],[FECHA DE PAGO]]-PROVEEDORES[[#This Row],[FECHA DE FACTURACIÓN]])&gt;PROVEEDORES[[#This Row],[PLAZO Días]],"PAGO VENCIDO")</f>
        <v>0</v>
      </c>
      <c r="C934" s="20">
        <f>+VLOOKUP(PROVEEDORES[[#This Row],[PROVEEDOR]],TERCEROS_INFO[#All],2,FALSE)</f>
        <v>60</v>
      </c>
      <c r="D934" s="25">
        <f>+SUMIFS(PROVEEDORES[Total],PROVEEDORES[PROVEEDOR],PROVEEDORES[[#This Row],[PROVEEDOR]],PROVEEDORES[FECHA DE PAGO],"")</f>
        <v>0</v>
      </c>
      <c r="E934" s="25"/>
      <c r="F934" s="58">
        <f>+VLOOKUP(PROVEEDORES[[#This Row],[PROVEEDOR]],
                       Terceros!$A:$F,
                       5,
                       FALSE)</f>
        <v>0</v>
      </c>
      <c r="G934" s="161">
        <v>44504</v>
      </c>
      <c r="H934" s="26" t="s">
        <v>920</v>
      </c>
      <c r="I934" s="161">
        <v>44489</v>
      </c>
      <c r="J934" s="35" t="s">
        <v>1332</v>
      </c>
      <c r="K934" s="21">
        <v>800000</v>
      </c>
      <c r="L934" s="21"/>
      <c r="M934" s="22">
        <f>(PROVEEDORES[[#This Row],[SUBTOTAL]]-PROVEEDORES[[#This Row],[descuento sobre subtotal]])*VLOOKUP(PROVEEDORES[[#This Row],[PROVEEDOR]],TERCEROS_INFO[#All],3,FALSE)</f>
        <v>0</v>
      </c>
      <c r="N934" s="23"/>
      <c r="O934" s="22">
        <f>+PROVEEDORES[[#This Row],[Descuento sobre subtotal %]]*(PROVEEDORES[[#This Row],[SUBTOTAL]]-PROVEEDORES[[#This Row],[descuento sobre subtotal]])</f>
        <v>0</v>
      </c>
      <c r="P934" s="83">
        <f>+IF(PROVEEDORES[[#This Row],[SUBTOTAL]]&lt;PROVEEDORES[[#This Row],[base retencion]],0,PROVEEDORES[[#This Row],[retención aplicada]])</f>
        <v>0</v>
      </c>
      <c r="Q934" s="22">
        <f>+PROVEEDORES[[#This Row],[Rete Fuente %]]*(PROVEEDORES[[#This Row],[SUBTOTAL]]-PROVEEDORES[[#This Row],[descuento sobre subtotal]])</f>
        <v>0</v>
      </c>
      <c r="R934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68">
        <f ca="1">IF(PROVEEDORES[[#This Row],[FECHA DE PAGO]]=0,TODAY()-PROVEEDORES[[#This Row],[FECHA DE FACTURACIÓN]]-PROVEEDORES[[#This Row],[PLAZO Días]],0)</f>
        <v>0</v>
      </c>
      <c r="U934" s="96">
        <f>+VLOOKUP(PROVEEDORES[[#This Row],[PROVEEDOR]],Terceros!$A:$D,4,FALSE)</f>
        <v>0</v>
      </c>
      <c r="V934" s="97">
        <f>+YEAR(PROVEEDORES[[#This Row],[FECHA DE FACTURACIÓN]])</f>
        <v>2021</v>
      </c>
      <c r="W934" s="97">
        <f>+MATCH(PROVEEDORES[[#This Row],[año facturado]],Retenciones!$1:$1,0)</f>
        <v>4</v>
      </c>
      <c r="X934" s="98">
        <f>+VLOOKUP(PROVEEDORES[[#This Row],[ID RETENCION]],Retenciones!$A$1:$O$25,PROVEEDORES[[#This Row],[indicador de columna]],FALSE)</f>
        <v>0</v>
      </c>
      <c r="Y934" s="99">
        <f>+VLOOKUP(PROVEEDORES[[#This Row],[ID RETENCION]],Retenciones!$A$1:$O$25,2,FALSE)</f>
        <v>0</v>
      </c>
      <c r="Z934" s="125" t="b">
        <f>OR(COUNTIF(PROVEEDORES[[#This Row],[PROVEEDOR]],"*"&amp;'Palabra no opera'!$A$2&amp;"*"))</f>
        <v>1</v>
      </c>
      <c r="AA934" s="24"/>
      <c r="AB934" s="24"/>
      <c r="AC934" s="24"/>
      <c r="AD934" s="24"/>
      <c r="AE934" s="24"/>
    </row>
    <row r="935" spans="1:31" ht="22.2" customHeight="1" x14ac:dyDescent="0.3">
      <c r="A935" s="66" t="str">
        <f>+IF(PROVEEDORES[[#This Row],[FECHA DE PAGO]]=PROVEEDORES[[#This Row],[FECHA DE FACTURACIÓN]],"DE CONTADO","CRÉDITO")</f>
        <v>CRÉDITO</v>
      </c>
      <c r="B935" s="38" t="b">
        <f>+IF((PROVEEDORES[[#This Row],[FECHA DE PAGO]]-PROVEEDORES[[#This Row],[FECHA DE FACTURACIÓN]])&gt;PROVEEDORES[[#This Row],[PLAZO Días]],"PAGO VENCIDO")</f>
        <v>0</v>
      </c>
      <c r="C935" s="20">
        <f>+VLOOKUP(PROVEEDORES[[#This Row],[PROVEEDOR]],TERCEROS_INFO[#All],2,FALSE)</f>
        <v>30</v>
      </c>
      <c r="D935" s="25">
        <f>+SUMIFS(PROVEEDORES[Total],PROVEEDORES[PROVEEDOR],PROVEEDORES[[#This Row],[PROVEEDOR]],PROVEEDORES[FECHA DE PAGO],"")</f>
        <v>0</v>
      </c>
      <c r="E935" s="25"/>
      <c r="F93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35" s="161">
        <v>44575</v>
      </c>
      <c r="H935" s="26" t="s">
        <v>927</v>
      </c>
      <c r="I935" s="161">
        <v>44562</v>
      </c>
      <c r="J935" s="35">
        <v>12657</v>
      </c>
      <c r="K935" s="21">
        <v>800264</v>
      </c>
      <c r="L935" s="21"/>
      <c r="M935" s="22">
        <f>(PROVEEDORES[[#This Row],[SUBTOTAL]]-PROVEEDORES[[#This Row],[descuento sobre subtotal]])*VLOOKUP(PROVEEDORES[[#This Row],[PROVEEDOR]],TERCEROS_INFO[#All],3,FALSE)</f>
        <v>0</v>
      </c>
      <c r="N935" s="23"/>
      <c r="O935" s="22">
        <f>+PROVEEDORES[[#This Row],[Descuento sobre subtotal %]]*(PROVEEDORES[[#This Row],[SUBTOTAL]]-PROVEEDORES[[#This Row],[descuento sobre subtotal]])</f>
        <v>0</v>
      </c>
      <c r="P935" s="83">
        <f>+IF(PROVEEDORES[[#This Row],[SUBTOTAL]]&lt;PROVEEDORES[[#This Row],[base retencion]],0,PROVEEDORES[[#This Row],[retención aplicada]])</f>
        <v>0</v>
      </c>
      <c r="Q935" s="22">
        <f>+PROVEEDORES[[#This Row],[Rete Fuente %]]*(PROVEEDORES[[#This Row],[SUBTOTAL]]-PROVEEDORES[[#This Row],[descuento sobre subtotal]])</f>
        <v>0</v>
      </c>
      <c r="R935" s="21">
        <v>800264</v>
      </c>
      <c r="S9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5" s="68">
        <f ca="1">IF(PROVEEDORES[[#This Row],[FECHA DE PAGO]]=0,TODAY()-PROVEEDORES[[#This Row],[FECHA DE FACTURACIÓN]]-PROVEEDORES[[#This Row],[PLAZO Días]],0)</f>
        <v>0</v>
      </c>
      <c r="U935" s="96">
        <f>+VLOOKUP(PROVEEDORES[[#This Row],[PROVEEDOR]],Terceros!$A:$D,4,FALSE)</f>
        <v>0</v>
      </c>
      <c r="V935" s="97">
        <f>+YEAR(PROVEEDORES[[#This Row],[FECHA DE FACTURACIÓN]])</f>
        <v>2022</v>
      </c>
      <c r="W935" s="97">
        <f>+MATCH(PROVEEDORES[[#This Row],[año facturado]],Retenciones!$1:$1,0)</f>
        <v>5</v>
      </c>
      <c r="X935" s="98">
        <f>+VLOOKUP(PROVEEDORES[[#This Row],[ID RETENCION]],Retenciones!$A$1:$O$25,PROVEEDORES[[#This Row],[indicador de columna]],FALSE)</f>
        <v>0</v>
      </c>
      <c r="Y935" s="99">
        <f>+VLOOKUP(PROVEEDORES[[#This Row],[ID RETENCION]],Retenciones!$A$1:$O$25,2,FALSE)</f>
        <v>0</v>
      </c>
      <c r="Z935" s="125" t="b">
        <f>OR(COUNTIF(PROVEEDORES[[#This Row],[PROVEEDOR]],"*"&amp;'Palabra no opera'!$A$2&amp;"*"))</f>
        <v>1</v>
      </c>
      <c r="AA935" s="24"/>
      <c r="AB935" s="24"/>
      <c r="AC935" s="24"/>
      <c r="AD935" s="24"/>
      <c r="AE935" s="24"/>
    </row>
    <row r="936" spans="1:31" ht="22.2" customHeight="1" x14ac:dyDescent="0.3">
      <c r="A936" s="66" t="str">
        <f>+IF(PROVEEDORES[[#This Row],[FECHA DE PAGO]]=PROVEEDORES[[#This Row],[FECHA DE FACTURACIÓN]],"DE CONTADO","CRÉDITO")</f>
        <v>CRÉDITO</v>
      </c>
      <c r="B936" s="38" t="b">
        <f>+IF((PROVEEDORES[[#This Row],[FECHA DE PAGO]]-PROVEEDORES[[#This Row],[FECHA DE FACTURACIÓN]])&gt;PROVEEDORES[[#This Row],[PLAZO Días]],"PAGO VENCIDO")</f>
        <v>0</v>
      </c>
      <c r="C936" s="20">
        <f>+VLOOKUP(PROVEEDORES[[#This Row],[PROVEEDOR]],TERCEROS_INFO[#All],2,FALSE)</f>
        <v>30</v>
      </c>
      <c r="D936" s="25">
        <f>+SUMIFS(PROVEEDORES[Total],PROVEEDORES[PROVEEDOR],PROVEEDORES[[#This Row],[PROVEEDOR]],PROVEEDORES[FECHA DE PAGO],"")</f>
        <v>0</v>
      </c>
      <c r="E936" s="25"/>
      <c r="F93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36" s="161">
        <v>44616</v>
      </c>
      <c r="H936" s="26" t="s">
        <v>927</v>
      </c>
      <c r="I936" s="161">
        <v>44593</v>
      </c>
      <c r="J936" s="35">
        <v>13188</v>
      </c>
      <c r="K936" s="21">
        <v>800264</v>
      </c>
      <c r="L936" s="21"/>
      <c r="M936" s="22">
        <f>(PROVEEDORES[[#This Row],[SUBTOTAL]]-PROVEEDORES[[#This Row],[descuento sobre subtotal]])*VLOOKUP(PROVEEDORES[[#This Row],[PROVEEDOR]],TERCEROS_INFO[#All],3,FALSE)</f>
        <v>0</v>
      </c>
      <c r="N936" s="23"/>
      <c r="O936" s="22">
        <f>+PROVEEDORES[[#This Row],[Descuento sobre subtotal %]]*(PROVEEDORES[[#This Row],[SUBTOTAL]]-PROVEEDORES[[#This Row],[descuento sobre subtotal]])</f>
        <v>0</v>
      </c>
      <c r="P936" s="83">
        <f>+IF(PROVEEDORES[[#This Row],[SUBTOTAL]]&lt;PROVEEDORES[[#This Row],[base retencion]],0,PROVEEDORES[[#This Row],[retención aplicada]])</f>
        <v>0</v>
      </c>
      <c r="Q936" s="22">
        <f>+PROVEEDORES[[#This Row],[Rete Fuente %]]*(PROVEEDORES[[#This Row],[SUBTOTAL]]-PROVEEDORES[[#This Row],[descuento sobre subtotal]])</f>
        <v>0</v>
      </c>
      <c r="R936" s="21">
        <v>800264</v>
      </c>
      <c r="S9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68">
        <f ca="1">IF(PROVEEDORES[[#This Row],[FECHA DE PAGO]]=0,TODAY()-PROVEEDORES[[#This Row],[FECHA DE FACTURACIÓN]]-PROVEEDORES[[#This Row],[PLAZO Días]],0)</f>
        <v>0</v>
      </c>
      <c r="U936" s="96">
        <f>+VLOOKUP(PROVEEDORES[[#This Row],[PROVEEDOR]],Terceros!$A:$D,4,FALSE)</f>
        <v>0</v>
      </c>
      <c r="V936" s="97">
        <f>+YEAR(PROVEEDORES[[#This Row],[FECHA DE FACTURACIÓN]])</f>
        <v>2022</v>
      </c>
      <c r="W936" s="97">
        <f>+MATCH(PROVEEDORES[[#This Row],[año facturado]],Retenciones!$1:$1,0)</f>
        <v>5</v>
      </c>
      <c r="X936" s="98">
        <f>+VLOOKUP(PROVEEDORES[[#This Row],[ID RETENCION]],Retenciones!$A$1:$O$25,PROVEEDORES[[#This Row],[indicador de columna]],FALSE)</f>
        <v>0</v>
      </c>
      <c r="Y936" s="99">
        <f>+VLOOKUP(PROVEEDORES[[#This Row],[ID RETENCION]],Retenciones!$A$1:$O$25,2,FALSE)</f>
        <v>0</v>
      </c>
      <c r="Z936" s="125" t="b">
        <f>OR(COUNTIF(PROVEEDORES[[#This Row],[PROVEEDOR]],"*"&amp;'Palabra no opera'!$A$2&amp;"*"))</f>
        <v>1</v>
      </c>
      <c r="AA936" s="24"/>
      <c r="AB936" s="24"/>
      <c r="AC936" s="24"/>
      <c r="AD936" s="24"/>
      <c r="AE936" s="24"/>
    </row>
    <row r="937" spans="1:31" ht="22.2" customHeight="1" x14ac:dyDescent="0.3">
      <c r="A937" s="66" t="str">
        <f>+IF(PROVEEDORES[[#This Row],[FECHA DE PAGO]]=PROVEEDORES[[#This Row],[FECHA DE FACTURACIÓN]],"DE CONTADO","CRÉDITO")</f>
        <v>CRÉDITO</v>
      </c>
      <c r="B937" s="38" t="b">
        <f>+IF((PROVEEDORES[[#This Row],[FECHA DE PAGO]]-PROVEEDORES[[#This Row],[FECHA DE FACTURACIÓN]])&gt;PROVEEDORES[[#This Row],[PLAZO Días]],"PAGO VENCIDO")</f>
        <v>0</v>
      </c>
      <c r="C937" s="20">
        <f>+VLOOKUP(PROVEEDORES[[#This Row],[PROVEEDOR]],TERCEROS_INFO[#All],2,FALSE)</f>
        <v>30</v>
      </c>
      <c r="D937" s="25">
        <f>+SUMIFS(PROVEEDORES[Total],PROVEEDORES[PROVEEDOR],PROVEEDORES[[#This Row],[PROVEEDOR]],PROVEEDORES[FECHA DE PAGO],"")</f>
        <v>0</v>
      </c>
      <c r="E937" s="25"/>
      <c r="F93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37" s="161">
        <v>44630</v>
      </c>
      <c r="H937" s="26" t="s">
        <v>927</v>
      </c>
      <c r="I937" s="161">
        <v>44621</v>
      </c>
      <c r="J937" s="35" t="s">
        <v>312</v>
      </c>
      <c r="K937" s="21">
        <v>800264</v>
      </c>
      <c r="L937" s="21"/>
      <c r="M937" s="22">
        <f>(PROVEEDORES[[#This Row],[SUBTOTAL]]-PROVEEDORES[[#This Row],[descuento sobre subtotal]])*VLOOKUP(PROVEEDORES[[#This Row],[PROVEEDOR]],TERCEROS_INFO[#All],3,FALSE)</f>
        <v>0</v>
      </c>
      <c r="N937" s="23"/>
      <c r="O937" s="22">
        <f>+PROVEEDORES[[#This Row],[Descuento sobre subtotal %]]*(PROVEEDORES[[#This Row],[SUBTOTAL]]-PROVEEDORES[[#This Row],[descuento sobre subtotal]])</f>
        <v>0</v>
      </c>
      <c r="P937" s="83">
        <f>+IF(PROVEEDORES[[#This Row],[SUBTOTAL]]&lt;PROVEEDORES[[#This Row],[base retencion]],0,PROVEEDORES[[#This Row],[retención aplicada]])</f>
        <v>0</v>
      </c>
      <c r="Q937" s="22">
        <f>+PROVEEDORES[[#This Row],[Rete Fuente %]]*(PROVEEDORES[[#This Row],[SUBTOTAL]]-PROVEEDORES[[#This Row],[descuento sobre subtotal]])</f>
        <v>0</v>
      </c>
      <c r="R937" s="21">
        <v>800264</v>
      </c>
      <c r="S9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68">
        <f ca="1">IF(PROVEEDORES[[#This Row],[FECHA DE PAGO]]=0,TODAY()-PROVEEDORES[[#This Row],[FECHA DE FACTURACIÓN]]-PROVEEDORES[[#This Row],[PLAZO Días]],0)</f>
        <v>0</v>
      </c>
      <c r="U937" s="96">
        <f>+VLOOKUP(PROVEEDORES[[#This Row],[PROVEEDOR]],Terceros!$A:$D,4,FALSE)</f>
        <v>0</v>
      </c>
      <c r="V937" s="97">
        <f>+YEAR(PROVEEDORES[[#This Row],[FECHA DE FACTURACIÓN]])</f>
        <v>2022</v>
      </c>
      <c r="W937" s="97">
        <f>+MATCH(PROVEEDORES[[#This Row],[año facturado]],Retenciones!$1:$1,0)</f>
        <v>5</v>
      </c>
      <c r="X937" s="98">
        <f>+VLOOKUP(PROVEEDORES[[#This Row],[ID RETENCION]],Retenciones!$A$1:$O$25,PROVEEDORES[[#This Row],[indicador de columna]],FALSE)</f>
        <v>0</v>
      </c>
      <c r="Y937" s="99">
        <f>+VLOOKUP(PROVEEDORES[[#This Row],[ID RETENCION]],Retenciones!$A$1:$O$25,2,FALSE)</f>
        <v>0</v>
      </c>
      <c r="Z937" s="125" t="b">
        <f>OR(COUNTIF(PROVEEDORES[[#This Row],[PROVEEDOR]],"*"&amp;'Palabra no opera'!$A$2&amp;"*"))</f>
        <v>1</v>
      </c>
      <c r="AA937" s="24"/>
      <c r="AB937" s="24"/>
      <c r="AC937" s="24"/>
      <c r="AD937" s="24"/>
      <c r="AE937" s="24"/>
    </row>
    <row r="938" spans="1:31" ht="22.2" customHeight="1" x14ac:dyDescent="0.3">
      <c r="A938" s="66" t="str">
        <f>+IF(PROVEEDORES[[#This Row],[FECHA DE PAGO]]=PROVEEDORES[[#This Row],[FECHA DE FACTURACIÓN]],"DE CONTADO","CRÉDITO")</f>
        <v>CRÉDITO</v>
      </c>
      <c r="B938" s="38" t="str">
        <f>+IF((PROVEEDORES[[#This Row],[FECHA DE PAGO]]-PROVEEDORES[[#This Row],[FECHA DE FACTURACIÓN]])&gt;PROVEEDORES[[#This Row],[PLAZO Días]],"PAGO VENCIDO")</f>
        <v>PAGO VENCIDO</v>
      </c>
      <c r="C938" s="20">
        <f>+VLOOKUP(PROVEEDORES[[#This Row],[PROVEEDOR]],TERCEROS_INFO[#All],2,FALSE)</f>
        <v>30</v>
      </c>
      <c r="D938" s="25">
        <f>+SUMIFS(PROVEEDORES[Total],PROVEEDORES[PROVEEDOR],PROVEEDORES[[#This Row],[PROVEEDOR]],PROVEEDORES[FECHA DE PAGO],"")</f>
        <v>0</v>
      </c>
      <c r="E938" s="25"/>
      <c r="F93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38" s="161">
        <v>44442</v>
      </c>
      <c r="H938" s="26" t="s">
        <v>691</v>
      </c>
      <c r="I938" s="161">
        <v>44404</v>
      </c>
      <c r="J938" s="35" t="s">
        <v>1433</v>
      </c>
      <c r="K938" s="21">
        <v>803250</v>
      </c>
      <c r="L938" s="21"/>
      <c r="M938" s="22">
        <f>(PROVEEDORES[[#This Row],[SUBTOTAL]]-PROVEEDORES[[#This Row],[descuento sobre subtotal]])*VLOOKUP(PROVEEDORES[[#This Row],[PROVEEDOR]],TERCEROS_INFO[#All],3,FALSE)</f>
        <v>0</v>
      </c>
      <c r="N938" s="23"/>
      <c r="O938" s="22">
        <f>+PROVEEDORES[[#This Row],[Descuento sobre subtotal %]]*(PROVEEDORES[[#This Row],[SUBTOTAL]]-PROVEEDORES[[#This Row],[descuento sobre subtotal]])</f>
        <v>0</v>
      </c>
      <c r="P938" s="83">
        <f>+IF(PROVEEDORES[[#This Row],[SUBTOTAL]]&lt;PROVEEDORES[[#This Row],[base retencion]],0,PROVEEDORES[[#This Row],[retención aplicada]])</f>
        <v>0</v>
      </c>
      <c r="Q938" s="22">
        <f>+PROVEEDORES[[#This Row],[Rete Fuente %]]*(PROVEEDORES[[#This Row],[SUBTOTAL]]-PROVEEDORES[[#This Row],[descuento sobre subtotal]])</f>
        <v>0</v>
      </c>
      <c r="R938" s="21">
        <f>+PROVEEDORES[[#This Row],[SUBTOTAL]]+PROVEEDORES[[#This Row],[IVA 19%]]-PROVEEDORES[[#This Row],[descuento sobre subtotal]]-PROVEEDORES[[#This Row],[Descuento sobre subtotal $2]]-PROVEEDORES[[#This Row],[Rete Fuente $]]</f>
        <v>803250</v>
      </c>
      <c r="S9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68">
        <f ca="1">IF(PROVEEDORES[[#This Row],[FECHA DE PAGO]]=0,TODAY()-PROVEEDORES[[#This Row],[FECHA DE FACTURACIÓN]]-PROVEEDORES[[#This Row],[PLAZO Días]],0)</f>
        <v>0</v>
      </c>
      <c r="U938" s="96">
        <f>+VLOOKUP(PROVEEDORES[[#This Row],[PROVEEDOR]],Terceros!$A:$D,4,FALSE)</f>
        <v>0</v>
      </c>
      <c r="V938" s="97">
        <f>+YEAR(PROVEEDORES[[#This Row],[FECHA DE FACTURACIÓN]])</f>
        <v>2021</v>
      </c>
      <c r="W938" s="97">
        <f>+MATCH(PROVEEDORES[[#This Row],[año facturado]],Retenciones!$1:$1,0)</f>
        <v>4</v>
      </c>
      <c r="X938" s="98">
        <f>+VLOOKUP(PROVEEDORES[[#This Row],[ID RETENCION]],Retenciones!$A$1:$O$25,PROVEEDORES[[#This Row],[indicador de columna]],FALSE)</f>
        <v>0</v>
      </c>
      <c r="Y938" s="99">
        <f>+VLOOKUP(PROVEEDORES[[#This Row],[ID RETENCION]],Retenciones!$A$1:$O$25,2,FALSE)</f>
        <v>0</v>
      </c>
      <c r="Z938" s="125" t="b">
        <f>OR(COUNTIF(PROVEEDORES[[#This Row],[PROVEEDOR]],"*"&amp;'Palabra no opera'!$A$2&amp;"*"))</f>
        <v>0</v>
      </c>
      <c r="AA938" s="24"/>
      <c r="AB938" s="24"/>
      <c r="AC938" s="24"/>
      <c r="AD938" s="24"/>
      <c r="AE938" s="24"/>
    </row>
    <row r="939" spans="1:31" ht="22.2" customHeight="1" x14ac:dyDescent="0.3">
      <c r="A939" s="66" t="str">
        <f>+IF(PROVEEDORES[[#This Row],[FECHA DE PAGO]]=PROVEEDORES[[#This Row],[FECHA DE FACTURACIÓN]],"DE CONTADO","CRÉDITO")</f>
        <v>DE CONTADO</v>
      </c>
      <c r="B939" s="38" t="b">
        <f>+IF((PROVEEDORES[[#This Row],[FECHA DE PAGO]]-PROVEEDORES[[#This Row],[FECHA DE FACTURACIÓN]])&gt;PROVEEDORES[[#This Row],[PLAZO Días]],"PAGO VENCIDO")</f>
        <v>0</v>
      </c>
      <c r="C939" s="20">
        <f>+VLOOKUP(PROVEEDORES[[#This Row],[PROVEEDOR]],TERCEROS_INFO[#All],2,FALSE)</f>
        <v>30</v>
      </c>
      <c r="D939" s="25">
        <f>+SUMIFS(PROVEEDORES[Total],PROVEEDORES[PROVEEDOR],PROVEEDORES[[#This Row],[PROVEEDOR]],PROVEEDORES[FECHA DE PAGO],"")</f>
        <v>0</v>
      </c>
      <c r="E939" s="25"/>
      <c r="F939" s="58" t="str">
        <f>+VLOOKUP(PROVEEDORES[[#This Row],[PROVEEDOR]],
                       Terceros!$A:$F,
                       5,
                       FALSE)</f>
        <v/>
      </c>
      <c r="G939" s="161">
        <v>44651</v>
      </c>
      <c r="H939" s="26" t="s">
        <v>644</v>
      </c>
      <c r="I939" s="161">
        <v>44651</v>
      </c>
      <c r="J939" s="35" t="s">
        <v>174</v>
      </c>
      <c r="K939" s="21">
        <v>807600</v>
      </c>
      <c r="L939" s="21"/>
      <c r="M939" s="22">
        <f>(PROVEEDORES[[#This Row],[SUBTOTAL]]-PROVEEDORES[[#This Row],[descuento sobre subtotal]])*VLOOKUP(PROVEEDORES[[#This Row],[PROVEEDOR]],TERCEROS_INFO[#All],3,FALSE)</f>
        <v>0</v>
      </c>
      <c r="N939" s="23"/>
      <c r="O939" s="22">
        <f>+PROVEEDORES[[#This Row],[Descuento sobre subtotal %]]*(PROVEEDORES[[#This Row],[SUBTOTAL]]-PROVEEDORES[[#This Row],[descuento sobre subtotal]])</f>
        <v>0</v>
      </c>
      <c r="P939" s="83">
        <f>+IF(PROVEEDORES[[#This Row],[SUBTOTAL]]&lt;PROVEEDORES[[#This Row],[base retencion]],0,PROVEEDORES[[#This Row],[retención aplicada]])</f>
        <v>0</v>
      </c>
      <c r="Q939" s="22">
        <f>+PROVEEDORES[[#This Row],[Rete Fuente %]]*(PROVEEDORES[[#This Row],[SUBTOTAL]]-PROVEEDORES[[#This Row],[descuento sobre subtotal]])</f>
        <v>0</v>
      </c>
      <c r="R939" s="21">
        <v>807600</v>
      </c>
      <c r="S9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68">
        <f ca="1">IF(PROVEEDORES[[#This Row],[FECHA DE PAGO]]=0,TODAY()-PROVEEDORES[[#This Row],[FECHA DE FACTURACIÓN]]-PROVEEDORES[[#This Row],[PLAZO Días]],0)</f>
        <v>0</v>
      </c>
      <c r="U939" s="96">
        <f>+VLOOKUP(PROVEEDORES[[#This Row],[PROVEEDOR]],Terceros!$A:$D,4,FALSE)</f>
        <v>0</v>
      </c>
      <c r="V939" s="97">
        <f>+YEAR(PROVEEDORES[[#This Row],[FECHA DE FACTURACIÓN]])</f>
        <v>2022</v>
      </c>
      <c r="W939" s="97">
        <f>+MATCH(PROVEEDORES[[#This Row],[año facturado]],Retenciones!$1:$1,0)</f>
        <v>5</v>
      </c>
      <c r="X939" s="98">
        <f>+VLOOKUP(PROVEEDORES[[#This Row],[ID RETENCION]],Retenciones!$A$1:$O$25,PROVEEDORES[[#This Row],[indicador de columna]],FALSE)</f>
        <v>0</v>
      </c>
      <c r="Y939" s="99">
        <f>+VLOOKUP(PROVEEDORES[[#This Row],[ID RETENCION]],Retenciones!$A$1:$O$25,2,FALSE)</f>
        <v>0</v>
      </c>
      <c r="Z939" s="125" t="b">
        <f>OR(COUNTIF(PROVEEDORES[[#This Row],[PROVEEDOR]],"*"&amp;'Palabra no opera'!$A$2&amp;"*"))</f>
        <v>0</v>
      </c>
      <c r="AA939" s="24"/>
      <c r="AB939" s="24"/>
      <c r="AC939" s="24"/>
      <c r="AD939" s="24"/>
      <c r="AE939" s="24"/>
    </row>
    <row r="940" spans="1:31" ht="22.2" customHeight="1" x14ac:dyDescent="0.3">
      <c r="A940" s="66" t="str">
        <f>+IF(PROVEEDORES[[#This Row],[FECHA DE PAGO]]=PROVEEDORES[[#This Row],[FECHA DE FACTURACIÓN]],"DE CONTADO","CRÉDITO")</f>
        <v>CRÉDITO</v>
      </c>
      <c r="B940" s="38" t="b">
        <f>+IF((PROVEEDORES[[#This Row],[FECHA DE PAGO]]-PROVEEDORES[[#This Row],[FECHA DE FACTURACIÓN]])&gt;PROVEEDORES[[#This Row],[PLAZO Días]],"PAGO VENCIDO")</f>
        <v>0</v>
      </c>
      <c r="C940" s="20">
        <f>+VLOOKUP(PROVEEDORES[[#This Row],[PROVEEDOR]],TERCEROS_INFO[#All],2,FALSE)</f>
        <v>20</v>
      </c>
      <c r="D940" s="25">
        <f>+SUMIFS(PROVEEDORES[Total],PROVEEDORES[PROVEEDOR],PROVEEDORES[[#This Row],[PROVEEDOR]],PROVEEDORES[FECHA DE PAGO],"")</f>
        <v>0</v>
      </c>
      <c r="E940" s="25"/>
      <c r="F940" s="58" t="str">
        <f>+VLOOKUP(PROVEEDORES[[#This Row],[PROVEEDOR]],
                       Terceros!$A:$F,
                       5,
                       FALSE)</f>
        <v>facturasimh@simh.com.co;girlesa.ruiz@servipilas.com;joriescobar64@gmail.com</v>
      </c>
      <c r="G940" s="161">
        <v>44298</v>
      </c>
      <c r="H940" s="26" t="s">
        <v>286</v>
      </c>
      <c r="I940" s="161">
        <v>44291</v>
      </c>
      <c r="J940" s="35"/>
      <c r="K940" s="21">
        <v>810000</v>
      </c>
      <c r="L940" s="21"/>
      <c r="M940" s="22">
        <f>(PROVEEDORES[[#This Row],[SUBTOTAL]]-PROVEEDORES[[#This Row],[descuento sobre subtotal]])*VLOOKUP(PROVEEDORES[[#This Row],[PROVEEDOR]],TERCEROS_INFO[#All],3,FALSE)</f>
        <v>0</v>
      </c>
      <c r="N940" s="23"/>
      <c r="O940" s="22">
        <f>+PROVEEDORES[[#This Row],[Descuento sobre subtotal %]]*(PROVEEDORES[[#This Row],[SUBTOTAL]]-PROVEEDORES[[#This Row],[descuento sobre subtotal]])</f>
        <v>0</v>
      </c>
      <c r="P940" s="83">
        <f>+IF(PROVEEDORES[[#This Row],[SUBTOTAL]]&lt;PROVEEDORES[[#This Row],[base retencion]],0,PROVEEDORES[[#This Row],[retención aplicada]])</f>
        <v>0</v>
      </c>
      <c r="Q940" s="22">
        <f>+PROVEEDORES[[#This Row],[Rete Fuente %]]*(PROVEEDORES[[#This Row],[SUBTOTAL]]-PROVEEDORES[[#This Row],[descuento sobre subtotal]])</f>
        <v>0</v>
      </c>
      <c r="R940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9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68">
        <f ca="1">IF(PROVEEDORES[[#This Row],[FECHA DE PAGO]]=0,TODAY()-PROVEEDORES[[#This Row],[FECHA DE FACTURACIÓN]]-PROVEEDORES[[#This Row],[PLAZO Días]],0)</f>
        <v>0</v>
      </c>
      <c r="U940" s="96">
        <f>+VLOOKUP(PROVEEDORES[[#This Row],[PROVEEDOR]],Terceros!$A:$D,4,FALSE)</f>
        <v>0</v>
      </c>
      <c r="V940" s="97">
        <f>+YEAR(PROVEEDORES[[#This Row],[FECHA DE FACTURACIÓN]])</f>
        <v>2021</v>
      </c>
      <c r="W940" s="97">
        <f>+MATCH(PROVEEDORES[[#This Row],[año facturado]],Retenciones!$1:$1,0)</f>
        <v>4</v>
      </c>
      <c r="X940" s="98">
        <f>+VLOOKUP(PROVEEDORES[[#This Row],[ID RETENCION]],Retenciones!$A$1:$O$25,PROVEEDORES[[#This Row],[indicador de columna]],FALSE)</f>
        <v>0</v>
      </c>
      <c r="Y940" s="99">
        <f>+VLOOKUP(PROVEEDORES[[#This Row],[ID RETENCION]],Retenciones!$A$1:$O$25,2,FALSE)</f>
        <v>0</v>
      </c>
      <c r="Z940" s="125" t="b">
        <f>OR(COUNTIF(PROVEEDORES[[#This Row],[PROVEEDOR]],"*"&amp;'Palabra no opera'!$A$2&amp;"*"))</f>
        <v>0</v>
      </c>
      <c r="AA940" s="24"/>
      <c r="AB940" s="24"/>
      <c r="AC940" s="24"/>
      <c r="AD940" s="24"/>
      <c r="AE940" s="24"/>
    </row>
    <row r="941" spans="1:31" ht="22.2" customHeight="1" x14ac:dyDescent="0.3">
      <c r="A941" s="66" t="str">
        <f>+IF(PROVEEDORES[[#This Row],[FECHA DE PAGO]]=PROVEEDORES[[#This Row],[FECHA DE FACTURACIÓN]],"DE CONTADO","CRÉDITO")</f>
        <v>DE CONTADO</v>
      </c>
      <c r="B941" s="38" t="b">
        <f>+IF((PROVEEDORES[[#This Row],[FECHA DE PAGO]]-PROVEEDORES[[#This Row],[FECHA DE FACTURACIÓN]])&gt;PROVEEDORES[[#This Row],[PLAZO Días]],"PAGO VENCIDO")</f>
        <v>0</v>
      </c>
      <c r="C941" s="20">
        <f>+VLOOKUP(PROVEEDORES[[#This Row],[PROVEEDOR]],TERCEROS_INFO[#All],2,FALSE)</f>
        <v>30</v>
      </c>
      <c r="D941" s="25">
        <f>+SUMIFS(PROVEEDORES[Total],PROVEEDORES[PROVEEDOR],PROVEEDORES[[#This Row],[PROVEEDOR]],PROVEEDORES[FECHA DE PAGO],"")</f>
        <v>0</v>
      </c>
      <c r="E941" s="25"/>
      <c r="F941" s="58" t="str">
        <f>+VLOOKUP(PROVEEDORES[[#This Row],[PROVEEDOR]],
                       Terceros!$A:$F,
                       5,
                       FALSE)</f>
        <v/>
      </c>
      <c r="G941" s="161">
        <v>44434</v>
      </c>
      <c r="H941" s="26" t="s">
        <v>673</v>
      </c>
      <c r="I941" s="161">
        <v>44434</v>
      </c>
      <c r="J941" s="35"/>
      <c r="K941" s="21">
        <v>810000</v>
      </c>
      <c r="L941" s="21"/>
      <c r="M941" s="22">
        <f>(PROVEEDORES[[#This Row],[SUBTOTAL]]-PROVEEDORES[[#This Row],[descuento sobre subtotal]])*VLOOKUP(PROVEEDORES[[#This Row],[PROVEEDOR]],TERCEROS_INFO[#All],3,FALSE)</f>
        <v>0</v>
      </c>
      <c r="N941" s="23"/>
      <c r="O941" s="22">
        <f>+PROVEEDORES[[#This Row],[Descuento sobre subtotal %]]*(PROVEEDORES[[#This Row],[SUBTOTAL]]-PROVEEDORES[[#This Row],[descuento sobre subtotal]])</f>
        <v>0</v>
      </c>
      <c r="P941" s="83">
        <f>+IF(PROVEEDORES[[#This Row],[SUBTOTAL]]&lt;PROVEEDORES[[#This Row],[base retencion]],0,PROVEEDORES[[#This Row],[retención aplicada]])</f>
        <v>0</v>
      </c>
      <c r="Q941" s="22">
        <f>+PROVEEDORES[[#This Row],[Rete Fuente %]]*(PROVEEDORES[[#This Row],[SUBTOTAL]]-PROVEEDORES[[#This Row],[descuento sobre subtotal]])</f>
        <v>0</v>
      </c>
      <c r="R941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9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68">
        <f ca="1">IF(PROVEEDORES[[#This Row],[FECHA DE PAGO]]=0,TODAY()-PROVEEDORES[[#This Row],[FECHA DE FACTURACIÓN]]-PROVEEDORES[[#This Row],[PLAZO Días]],0)</f>
        <v>0</v>
      </c>
      <c r="U941" s="96">
        <f>+VLOOKUP(PROVEEDORES[[#This Row],[PROVEEDOR]],Terceros!$A:$D,4,FALSE)</f>
        <v>0</v>
      </c>
      <c r="V941" s="97">
        <f>+YEAR(PROVEEDORES[[#This Row],[FECHA DE FACTURACIÓN]])</f>
        <v>2021</v>
      </c>
      <c r="W941" s="97">
        <f>+MATCH(PROVEEDORES[[#This Row],[año facturado]],Retenciones!$1:$1,0)</f>
        <v>4</v>
      </c>
      <c r="X941" s="98">
        <f>+VLOOKUP(PROVEEDORES[[#This Row],[ID RETENCION]],Retenciones!$A$1:$O$25,PROVEEDORES[[#This Row],[indicador de columna]],FALSE)</f>
        <v>0</v>
      </c>
      <c r="Y941" s="99">
        <f>+VLOOKUP(PROVEEDORES[[#This Row],[ID RETENCION]],Retenciones!$A$1:$O$25,2,FALSE)</f>
        <v>0</v>
      </c>
      <c r="Z941" s="125" t="b">
        <f>OR(COUNTIF(PROVEEDORES[[#This Row],[PROVEEDOR]],"*"&amp;'Palabra no opera'!$A$2&amp;"*"))</f>
        <v>0</v>
      </c>
      <c r="AA941" s="24"/>
      <c r="AB941" s="24"/>
      <c r="AC941" s="24"/>
      <c r="AD941" s="24"/>
      <c r="AE941" s="24"/>
    </row>
    <row r="942" spans="1:31" ht="22.2" customHeight="1" x14ac:dyDescent="0.3">
      <c r="A942" s="66" t="str">
        <f>+IF(PROVEEDORES[[#This Row],[FECHA DE PAGO]]=PROVEEDORES[[#This Row],[FECHA DE FACTURACIÓN]],"DE CONTADO","CRÉDITO")</f>
        <v>CRÉDITO</v>
      </c>
      <c r="B942" s="38" t="str">
        <f>+IF((PROVEEDORES[[#This Row],[FECHA DE PAGO]]-PROVEEDORES[[#This Row],[FECHA DE FACTURACIÓN]])&gt;PROVEEDORES[[#This Row],[PLAZO Días]],"PAGO VENCIDO")</f>
        <v>PAGO VENCIDO</v>
      </c>
      <c r="C942" s="20">
        <f>+VLOOKUP(PROVEEDORES[[#This Row],[PROVEEDOR]],TERCEROS_INFO[#All],2,FALSE)</f>
        <v>30</v>
      </c>
      <c r="D942" s="25">
        <f>+SUMIFS(PROVEEDORES[Total],PROVEEDORES[PROVEEDOR],PROVEEDORES[[#This Row],[PROVEEDOR]],PROVEEDORES[FECHA DE PAGO],"")</f>
        <v>0</v>
      </c>
      <c r="E942" s="25"/>
      <c r="F942" s="58" t="str">
        <f>+VLOOKUP(PROVEEDORES[[#This Row],[PROVEEDOR]],
                       Terceros!$A:$F,
                       5,
                       FALSE)</f>
        <v/>
      </c>
      <c r="G942" s="161">
        <v>44623</v>
      </c>
      <c r="H942" s="26" t="s">
        <v>624</v>
      </c>
      <c r="I942" s="161">
        <v>44582</v>
      </c>
      <c r="J942" s="35" t="s">
        <v>1560</v>
      </c>
      <c r="K942" s="21">
        <v>811000</v>
      </c>
      <c r="L942" s="21"/>
      <c r="M942" s="22">
        <f>(PROVEEDORES[[#This Row],[SUBTOTAL]]-PROVEEDORES[[#This Row],[descuento sobre subtotal]])*VLOOKUP(PROVEEDORES[[#This Row],[PROVEEDOR]],TERCEROS_INFO[#All],3,FALSE)</f>
        <v>0</v>
      </c>
      <c r="N942" s="23"/>
      <c r="O942" s="22">
        <f>+PROVEEDORES[[#This Row],[Descuento sobre subtotal %]]*(PROVEEDORES[[#This Row],[SUBTOTAL]]-PROVEEDORES[[#This Row],[descuento sobre subtotal]])</f>
        <v>0</v>
      </c>
      <c r="P942" s="83">
        <f>+IF(PROVEEDORES[[#This Row],[SUBTOTAL]]&lt;PROVEEDORES[[#This Row],[base retencion]],0,PROVEEDORES[[#This Row],[retención aplicada]])</f>
        <v>0</v>
      </c>
      <c r="Q942" s="22">
        <f>+PROVEEDORES[[#This Row],[Rete Fuente %]]*(PROVEEDORES[[#This Row],[SUBTOTAL]]-PROVEEDORES[[#This Row],[descuento sobre subtotal]])</f>
        <v>0</v>
      </c>
      <c r="R942" s="21">
        <v>811000</v>
      </c>
      <c r="S9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68">
        <f ca="1">IF(PROVEEDORES[[#This Row],[FECHA DE PAGO]]=0,TODAY()-PROVEEDORES[[#This Row],[FECHA DE FACTURACIÓN]]-PROVEEDORES[[#This Row],[PLAZO Días]],0)</f>
        <v>0</v>
      </c>
      <c r="U942" s="96">
        <f>+VLOOKUP(PROVEEDORES[[#This Row],[PROVEEDOR]],Terceros!$A:$D,4,FALSE)</f>
        <v>0</v>
      </c>
      <c r="V942" s="97">
        <f>+YEAR(PROVEEDORES[[#This Row],[FECHA DE FACTURACIÓN]])</f>
        <v>2022</v>
      </c>
      <c r="W942" s="97">
        <f>+MATCH(PROVEEDORES[[#This Row],[año facturado]],Retenciones!$1:$1,0)</f>
        <v>5</v>
      </c>
      <c r="X942" s="98">
        <f>+VLOOKUP(PROVEEDORES[[#This Row],[ID RETENCION]],Retenciones!$A$1:$O$25,PROVEEDORES[[#This Row],[indicador de columna]],FALSE)</f>
        <v>0</v>
      </c>
      <c r="Y942" s="99">
        <f>+VLOOKUP(PROVEEDORES[[#This Row],[ID RETENCION]],Retenciones!$A$1:$O$25,2,FALSE)</f>
        <v>0</v>
      </c>
      <c r="Z942" s="125" t="b">
        <f>OR(COUNTIF(PROVEEDORES[[#This Row],[PROVEEDOR]],"*"&amp;'Palabra no opera'!$A$2&amp;"*"))</f>
        <v>0</v>
      </c>
      <c r="AA942" s="24"/>
      <c r="AB942" s="24"/>
      <c r="AC942" s="24"/>
      <c r="AD942" s="24"/>
      <c r="AE942" s="24"/>
    </row>
    <row r="943" spans="1:31" ht="22.2" customHeight="1" x14ac:dyDescent="0.3">
      <c r="A943" s="66" t="str">
        <f>+IF(PROVEEDORES[[#This Row],[FECHA DE PAGO]]=PROVEEDORES[[#This Row],[FECHA DE FACTURACIÓN]],"DE CONTADO","CRÉDITO")</f>
        <v>CRÉDITO</v>
      </c>
      <c r="B943" s="38" t="str">
        <f>+IF((PROVEEDORES[[#This Row],[FECHA DE PAGO]]-PROVEEDORES[[#This Row],[FECHA DE FACTURACIÓN]])&gt;PROVEEDORES[[#This Row],[PLAZO Días]],"PAGO VENCIDO")</f>
        <v>PAGO VENCIDO</v>
      </c>
      <c r="C943" s="20">
        <f>+VLOOKUP(PROVEEDORES[[#This Row],[PROVEEDOR]],TERCEROS_INFO[#All],2,FALSE)</f>
        <v>30</v>
      </c>
      <c r="D943" s="25">
        <f>+SUMIFS(PROVEEDORES[Total],PROVEEDORES[PROVEEDOR],PROVEEDORES[[#This Row],[PROVEEDOR]],PROVEEDORES[FECHA DE PAGO],"")</f>
        <v>0</v>
      </c>
      <c r="E943" s="25"/>
      <c r="F94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43" s="161">
        <v>44466</v>
      </c>
      <c r="H943" s="26" t="s">
        <v>691</v>
      </c>
      <c r="I943" s="161">
        <v>44432</v>
      </c>
      <c r="J943" s="35" t="s">
        <v>1434</v>
      </c>
      <c r="K943" s="21">
        <v>811750</v>
      </c>
      <c r="L943" s="21"/>
      <c r="M943" s="22">
        <f>(PROVEEDORES[[#This Row],[SUBTOTAL]]-PROVEEDORES[[#This Row],[descuento sobre subtotal]])*VLOOKUP(PROVEEDORES[[#This Row],[PROVEEDOR]],TERCEROS_INFO[#All],3,FALSE)</f>
        <v>0</v>
      </c>
      <c r="N943" s="23"/>
      <c r="O943" s="22">
        <f>+PROVEEDORES[[#This Row],[Descuento sobre subtotal %]]*(PROVEEDORES[[#This Row],[SUBTOTAL]]-PROVEEDORES[[#This Row],[descuento sobre subtotal]])</f>
        <v>0</v>
      </c>
      <c r="P943" s="83">
        <f>+IF(PROVEEDORES[[#This Row],[SUBTOTAL]]&lt;PROVEEDORES[[#This Row],[base retencion]],0,PROVEEDORES[[#This Row],[retención aplicada]])</f>
        <v>0</v>
      </c>
      <c r="Q943" s="22">
        <f>+PROVEEDORES[[#This Row],[Rete Fuente %]]*(PROVEEDORES[[#This Row],[SUBTOTAL]]-PROVEEDORES[[#This Row],[descuento sobre subtotal]])</f>
        <v>0</v>
      </c>
      <c r="R943" s="21">
        <f>+PROVEEDORES[[#This Row],[SUBTOTAL]]+PROVEEDORES[[#This Row],[IVA 19%]]-PROVEEDORES[[#This Row],[descuento sobre subtotal]]-PROVEEDORES[[#This Row],[Descuento sobre subtotal $2]]-PROVEEDORES[[#This Row],[Rete Fuente $]]</f>
        <v>811750</v>
      </c>
      <c r="S9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68">
        <f ca="1">IF(PROVEEDORES[[#This Row],[FECHA DE PAGO]]=0,TODAY()-PROVEEDORES[[#This Row],[FECHA DE FACTURACIÓN]]-PROVEEDORES[[#This Row],[PLAZO Días]],0)</f>
        <v>0</v>
      </c>
      <c r="U943" s="96">
        <f>+VLOOKUP(PROVEEDORES[[#This Row],[PROVEEDOR]],Terceros!$A:$D,4,FALSE)</f>
        <v>0</v>
      </c>
      <c r="V943" s="97">
        <f>+YEAR(PROVEEDORES[[#This Row],[FECHA DE FACTURACIÓN]])</f>
        <v>2021</v>
      </c>
      <c r="W943" s="97">
        <f>+MATCH(PROVEEDORES[[#This Row],[año facturado]],Retenciones!$1:$1,0)</f>
        <v>4</v>
      </c>
      <c r="X943" s="98">
        <f>+VLOOKUP(PROVEEDORES[[#This Row],[ID RETENCION]],Retenciones!$A$1:$O$25,PROVEEDORES[[#This Row],[indicador de columna]],FALSE)</f>
        <v>0</v>
      </c>
      <c r="Y943" s="99">
        <f>+VLOOKUP(PROVEEDORES[[#This Row],[ID RETENCION]],Retenciones!$A$1:$O$25,2,FALSE)</f>
        <v>0</v>
      </c>
      <c r="Z943" s="125" t="b">
        <f>OR(COUNTIF(PROVEEDORES[[#This Row],[PROVEEDOR]],"*"&amp;'Palabra no opera'!$A$2&amp;"*"))</f>
        <v>0</v>
      </c>
      <c r="AA943" s="24"/>
      <c r="AB943" s="24"/>
      <c r="AC943" s="24"/>
      <c r="AD943" s="24"/>
      <c r="AE943" s="24"/>
    </row>
    <row r="944" spans="1:31" ht="22.2" customHeight="1" x14ac:dyDescent="0.3">
      <c r="A944" s="135" t="str">
        <f>+IF(PROVEEDORES[[#This Row],[FECHA DE PAGO]]=PROVEEDORES[[#This Row],[FECHA DE FACTURACIÓN]],"DE CONTADO","CRÉDITO")</f>
        <v>CRÉDITO</v>
      </c>
      <c r="B944" s="38" t="b">
        <f>+IF((PROVEEDORES[[#This Row],[FECHA DE PAGO]]-PROVEEDORES[[#This Row],[FECHA DE FACTURACIÓN]])&gt;PROVEEDORES[[#This Row],[PLAZO Días]],"PAGO VENCIDO")</f>
        <v>0</v>
      </c>
      <c r="C944" s="20">
        <f>+VLOOKUP(PROVEEDORES[[#This Row],[PROVEEDOR]],TERCEROS_INFO[#All],2,FALSE)</f>
        <v>8</v>
      </c>
      <c r="D944" s="25">
        <f>+SUMIFS(PROVEEDORES[Total],PROVEEDORES[PROVEEDOR],PROVEEDORES[[#This Row],[PROVEEDOR]],PROVEEDORES[FECHA DE PAGO],"")</f>
        <v>1814000</v>
      </c>
      <c r="E944" s="25"/>
      <c r="F944" s="58">
        <f>+VLOOKUP(PROVEEDORES[[#This Row],[PROVEEDOR]],
                       Terceros!$A:$F,
                       5,
                       FALSE)</f>
        <v>0</v>
      </c>
      <c r="G944" s="161">
        <v>44698</v>
      </c>
      <c r="H944" s="26" t="s">
        <v>966</v>
      </c>
      <c r="I944" s="161">
        <v>44691</v>
      </c>
      <c r="J944" s="35" t="s">
        <v>1596</v>
      </c>
      <c r="K944" s="21">
        <v>815000</v>
      </c>
      <c r="L944" s="21"/>
      <c r="M944" s="22">
        <f>(PROVEEDORES[[#This Row],[SUBTOTAL]]-PROVEEDORES[[#This Row],[descuento sobre subtotal]])*VLOOKUP(PROVEEDORES[[#This Row],[PROVEEDOR]],TERCEROS_INFO[#All],3,FALSE)</f>
        <v>0</v>
      </c>
      <c r="N944" s="23"/>
      <c r="O944" s="22">
        <f>+PROVEEDORES[[#This Row],[Descuento sobre subtotal %]]*(PROVEEDORES[[#This Row],[SUBTOTAL]]-PROVEEDORES[[#This Row],[descuento sobre subtotal]])</f>
        <v>0</v>
      </c>
      <c r="P944" s="83">
        <f>+IF(PROVEEDORES[[#This Row],[SUBTOTAL]]&lt;PROVEEDORES[[#This Row],[base retencion]],0,PROVEEDORES[[#This Row],[retención aplicada]])</f>
        <v>0</v>
      </c>
      <c r="Q944" s="22">
        <f>+PROVEEDORES[[#This Row],[Rete Fuente %]]*(PROVEEDORES[[#This Row],[SUBTOTAL]]-PROVEEDORES[[#This Row],[descuento sobre subtotal]])</f>
        <v>0</v>
      </c>
      <c r="R944" s="21">
        <f>+PROVEEDORES[[#This Row],[SUBTOTAL]]+PROVEEDORES[[#This Row],[IVA 19%]]-PROVEEDORES[[#This Row],[descuento sobre subtotal]]-PROVEEDORES[[#This Row],[Descuento sobre subtotal $2]]-PROVEEDORES[[#This Row],[Rete Fuente $]]</f>
        <v>815000</v>
      </c>
      <c r="S944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68">
        <f ca="1">IF(PROVEEDORES[[#This Row],[FECHA DE PAGO]]=0,TODAY()-PROVEEDORES[[#This Row],[FECHA DE FACTURACIÓN]]-PROVEEDORES[[#This Row],[PLAZO Días]],0)</f>
        <v>0</v>
      </c>
      <c r="U944" s="113">
        <f>+VLOOKUP(PROVEEDORES[[#This Row],[PROVEEDOR]],Terceros!$A:$D,4,FALSE)</f>
        <v>0</v>
      </c>
      <c r="V944" s="114">
        <f>+YEAR(PROVEEDORES[[#This Row],[FECHA DE FACTURACIÓN]])</f>
        <v>2022</v>
      </c>
      <c r="W944" s="114">
        <f>+MATCH(PROVEEDORES[[#This Row],[año facturado]],Retenciones!$1:$1,0)</f>
        <v>5</v>
      </c>
      <c r="X944" s="115">
        <f>+VLOOKUP(PROVEEDORES[[#This Row],[ID RETENCION]],Retenciones!$A$1:$O$25,PROVEEDORES[[#This Row],[indicador de columna]],FALSE)</f>
        <v>0</v>
      </c>
      <c r="Y944" s="116">
        <f>+VLOOKUP(PROVEEDORES[[#This Row],[ID RETENCION]],Retenciones!$A$1:$O$25,2,FALSE)</f>
        <v>0</v>
      </c>
      <c r="Z944" s="125" t="b">
        <f>OR(COUNTIF(PROVEEDORES[[#This Row],[PROVEEDOR]],"*"&amp;'Palabra no opera'!$A$2&amp;"*"))</f>
        <v>0</v>
      </c>
      <c r="AA944" s="24"/>
      <c r="AB944" s="24"/>
      <c r="AC944" s="24"/>
      <c r="AD944" s="24"/>
      <c r="AE944" s="24"/>
    </row>
    <row r="945" spans="1:31" ht="22.2" customHeight="1" x14ac:dyDescent="0.3">
      <c r="A945" s="159" t="str">
        <f>+IF(PROVEEDORES[[#This Row],[FECHA DE PAGO]]=PROVEEDORES[[#This Row],[FECHA DE FACTURACIÓN]],"DE CONTADO","CRÉDITO")</f>
        <v>CRÉDITO</v>
      </c>
      <c r="B945" s="38" t="str">
        <f>+IF((PROVEEDORES[[#This Row],[FECHA DE PAGO]]-PROVEEDORES[[#This Row],[FECHA DE FACTURACIÓN]])&gt;PROVEEDORES[[#This Row],[PLAZO Días]],"PAGO VENCIDO")</f>
        <v>PAGO VENCIDO</v>
      </c>
      <c r="C945" s="20">
        <f>+VLOOKUP(PROVEEDORES[[#This Row],[PROVEEDOR]],TERCEROS_INFO[#All],2,FALSE)</f>
        <v>30</v>
      </c>
      <c r="D945" s="25">
        <f>+SUMIFS(PROVEEDORES[Total],PROVEEDORES[PROVEEDOR],PROVEEDORES[[#This Row],[PROVEEDOR]],PROVEEDORES[FECHA DE PAGO],"")</f>
        <v>23124164.219999999</v>
      </c>
      <c r="E945" s="25"/>
      <c r="F94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45" s="161">
        <v>44776</v>
      </c>
      <c r="H945" s="26" t="s">
        <v>18</v>
      </c>
      <c r="I945" s="161">
        <v>44727</v>
      </c>
      <c r="J945" s="35">
        <v>1054981</v>
      </c>
      <c r="K945" s="21">
        <v>685746</v>
      </c>
      <c r="L945" s="21"/>
      <c r="M945" s="22">
        <f>(PROVEEDORES[[#This Row],[SUBTOTAL]]-PROVEEDORES[[#This Row],[descuento sobre subtotal]])*VLOOKUP(PROVEEDORES[[#This Row],[PROVEEDOR]],TERCEROS_INFO[#All],3,FALSE)</f>
        <v>130291.74</v>
      </c>
      <c r="N945" s="23"/>
      <c r="O945" s="22">
        <f>+PROVEEDORES[[#This Row],[Descuento sobre subtotal %]]*(PROVEEDORES[[#This Row],[SUBTOTAL]]-PROVEEDORES[[#This Row],[descuento sobre subtotal]])</f>
        <v>0</v>
      </c>
      <c r="P945" s="83">
        <f>+IF(PROVEEDORES[[#This Row],[SUBTOTAL]]&lt;PROVEEDORES[[#This Row],[base retencion]],0,PROVEEDORES[[#This Row],[retención aplicada]])</f>
        <v>0</v>
      </c>
      <c r="Q945" s="22">
        <f>+PROVEEDORES[[#This Row],[Rete Fuente %]]*(PROVEEDORES[[#This Row],[SUBTOTAL]]-PROVEEDORES[[#This Row],[descuento sobre subtotal]])</f>
        <v>0</v>
      </c>
      <c r="R945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94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68">
        <f ca="1">IF(PROVEEDORES[[#This Row],[FECHA DE PAGO]]=0,TODAY()-PROVEEDORES[[#This Row],[FECHA DE FACTURACIÓN]]-PROVEEDORES[[#This Row],[PLAZO Días]],0)</f>
        <v>0</v>
      </c>
      <c r="U945" s="113" t="str">
        <f>+VLOOKUP(PROVEEDORES[[#This Row],[PROVEEDOR]],Terceros!$A:$D,4,FALSE)</f>
        <v>2,5% con base</v>
      </c>
      <c r="V945" s="114">
        <f>+YEAR(PROVEEDORES[[#This Row],[FECHA DE FACTURACIÓN]])</f>
        <v>2022</v>
      </c>
      <c r="W945" s="114">
        <f>+MATCH(PROVEEDORES[[#This Row],[año facturado]],Retenciones!$1:$1,0)</f>
        <v>5</v>
      </c>
      <c r="X945" s="115">
        <f>+VLOOKUP(PROVEEDORES[[#This Row],[ID RETENCION]],Retenciones!$A$1:$O$25,PROVEEDORES[[#This Row],[indicador de columna]],FALSE)</f>
        <v>1026000</v>
      </c>
      <c r="Y945" s="116">
        <f>+VLOOKUP(PROVEEDORES[[#This Row],[ID RETENCION]],Retenciones!$A$1:$O$25,2,FALSE)</f>
        <v>2.5000000000000001E-2</v>
      </c>
      <c r="Z945" s="125" t="b">
        <f>OR(COUNTIF(PROVEEDORES[[#This Row],[PROVEEDOR]],"*"&amp;'Palabra no opera'!$A$2&amp;"*"))</f>
        <v>0</v>
      </c>
      <c r="AA945" s="24"/>
      <c r="AB945" s="24"/>
      <c r="AC945" s="24"/>
      <c r="AD945" s="24"/>
      <c r="AE945" s="24"/>
    </row>
    <row r="946" spans="1:31" ht="22.2" customHeight="1" x14ac:dyDescent="0.3">
      <c r="A946" s="159" t="str">
        <f>+IF(PROVEEDORES[[#This Row],[FECHA DE PAGO]]=PROVEEDORES[[#This Row],[FECHA DE FACTURACIÓN]],"DE CONTADO","CRÉDITO")</f>
        <v>CRÉDITO</v>
      </c>
      <c r="B946" s="38" t="str">
        <f>+IF((PROVEEDORES[[#This Row],[FECHA DE PAGO]]-PROVEEDORES[[#This Row],[FECHA DE FACTURACIÓN]])&gt;PROVEEDORES[[#This Row],[PLAZO Días]],"PAGO VENCIDO")</f>
        <v>PAGO VENCIDO</v>
      </c>
      <c r="C946" s="20">
        <f>+VLOOKUP(PROVEEDORES[[#This Row],[PROVEEDOR]],TERCEROS_INFO[#All],2,FALSE)</f>
        <v>30</v>
      </c>
      <c r="D946" s="25">
        <f>+SUMIFS(PROVEEDORES[Total],PROVEEDORES[PROVEEDOR],PROVEEDORES[[#This Row],[PROVEEDOR]],PROVEEDORES[FECHA DE PAGO],"")</f>
        <v>23124164.219999999</v>
      </c>
      <c r="E946" s="25"/>
      <c r="F94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46" s="161">
        <v>44776</v>
      </c>
      <c r="H946" s="26" t="s">
        <v>18</v>
      </c>
      <c r="I946" s="161">
        <v>44740</v>
      </c>
      <c r="J946" s="35">
        <v>1055540</v>
      </c>
      <c r="K946" s="21">
        <v>685746</v>
      </c>
      <c r="L946" s="21"/>
      <c r="M946" s="22">
        <f>(PROVEEDORES[[#This Row],[SUBTOTAL]]-PROVEEDORES[[#This Row],[descuento sobre subtotal]])*VLOOKUP(PROVEEDORES[[#This Row],[PROVEEDOR]],TERCEROS_INFO[#All],3,FALSE)</f>
        <v>130291.74</v>
      </c>
      <c r="N946" s="23"/>
      <c r="O946" s="22">
        <f>+PROVEEDORES[[#This Row],[Descuento sobre subtotal %]]*(PROVEEDORES[[#This Row],[SUBTOTAL]]-PROVEEDORES[[#This Row],[descuento sobre subtotal]])</f>
        <v>0</v>
      </c>
      <c r="P946" s="83">
        <f>+IF(PROVEEDORES[[#This Row],[SUBTOTAL]]&lt;PROVEEDORES[[#This Row],[base retencion]],0,PROVEEDORES[[#This Row],[retención aplicada]])</f>
        <v>0</v>
      </c>
      <c r="Q946" s="22">
        <f>+PROVEEDORES[[#This Row],[Rete Fuente %]]*(PROVEEDORES[[#This Row],[SUBTOTAL]]-PROVEEDORES[[#This Row],[descuento sobre subtotal]])</f>
        <v>0</v>
      </c>
      <c r="R946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94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68">
        <f ca="1">IF(PROVEEDORES[[#This Row],[FECHA DE PAGO]]=0,TODAY()-PROVEEDORES[[#This Row],[FECHA DE FACTURACIÓN]]-PROVEEDORES[[#This Row],[PLAZO Días]],0)</f>
        <v>0</v>
      </c>
      <c r="U946" s="113" t="str">
        <f>+VLOOKUP(PROVEEDORES[[#This Row],[PROVEEDOR]],Terceros!$A:$D,4,FALSE)</f>
        <v>2,5% con base</v>
      </c>
      <c r="V946" s="114">
        <f>+YEAR(PROVEEDORES[[#This Row],[FECHA DE FACTURACIÓN]])</f>
        <v>2022</v>
      </c>
      <c r="W946" s="114">
        <f>+MATCH(PROVEEDORES[[#This Row],[año facturado]],Retenciones!$1:$1,0)</f>
        <v>5</v>
      </c>
      <c r="X946" s="115">
        <f>+VLOOKUP(PROVEEDORES[[#This Row],[ID RETENCION]],Retenciones!$A$1:$O$25,PROVEEDORES[[#This Row],[indicador de columna]],FALSE)</f>
        <v>1026000</v>
      </c>
      <c r="Y946" s="116">
        <f>+VLOOKUP(PROVEEDORES[[#This Row],[ID RETENCION]],Retenciones!$A$1:$O$25,2,FALSE)</f>
        <v>2.5000000000000001E-2</v>
      </c>
      <c r="Z946" s="125" t="b">
        <f>OR(COUNTIF(PROVEEDORES[[#This Row],[PROVEEDOR]],"*"&amp;'Palabra no opera'!$A$2&amp;"*"))</f>
        <v>0</v>
      </c>
      <c r="AA946" s="24"/>
      <c r="AB946" s="24"/>
      <c r="AC946" s="24"/>
      <c r="AD946" s="24"/>
      <c r="AE946" s="24"/>
    </row>
    <row r="947" spans="1:31" ht="22.2" customHeight="1" x14ac:dyDescent="0.3">
      <c r="A947" s="66" t="str">
        <f>+IF(PROVEEDORES[[#This Row],[FECHA DE PAGO]]=PROVEEDORES[[#This Row],[FECHA DE FACTURACIÓN]],"DE CONTADO","CRÉDITO")</f>
        <v>CRÉDITO</v>
      </c>
      <c r="B947" s="38" t="b">
        <f>+IF((PROVEEDORES[[#This Row],[FECHA DE PAGO]]-PROVEEDORES[[#This Row],[FECHA DE FACTURACIÓN]])&gt;PROVEEDORES[[#This Row],[PLAZO Días]],"PAGO VENCIDO")</f>
        <v>0</v>
      </c>
      <c r="C947" s="20">
        <f>+VLOOKUP(PROVEEDORES[[#This Row],[PROVEEDOR]],TERCEROS_INFO[#All],2,FALSE)</f>
        <v>30</v>
      </c>
      <c r="D947" s="25">
        <f>+SUMIFS(PROVEEDORES[Total],PROVEEDORES[PROVEEDOR],PROVEEDORES[[#This Row],[PROVEEDOR]],PROVEEDORES[FECHA DE PAGO],"")</f>
        <v>0</v>
      </c>
      <c r="E947" s="25"/>
      <c r="F94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47" s="161">
        <v>44575</v>
      </c>
      <c r="H947" s="26" t="s">
        <v>927</v>
      </c>
      <c r="I947" s="161">
        <v>44562</v>
      </c>
      <c r="J947" s="35">
        <v>12698</v>
      </c>
      <c r="K947" s="21">
        <v>818874</v>
      </c>
      <c r="L947" s="21"/>
      <c r="M947" s="22">
        <f>(PROVEEDORES[[#This Row],[SUBTOTAL]]-PROVEEDORES[[#This Row],[descuento sobre subtotal]])*VLOOKUP(PROVEEDORES[[#This Row],[PROVEEDOR]],TERCEROS_INFO[#All],3,FALSE)</f>
        <v>0</v>
      </c>
      <c r="N947" s="23"/>
      <c r="O947" s="22">
        <f>+PROVEEDORES[[#This Row],[Descuento sobre subtotal %]]*(PROVEEDORES[[#This Row],[SUBTOTAL]]-PROVEEDORES[[#This Row],[descuento sobre subtotal]])</f>
        <v>0</v>
      </c>
      <c r="P947" s="83">
        <f>+IF(PROVEEDORES[[#This Row],[SUBTOTAL]]&lt;PROVEEDORES[[#This Row],[base retencion]],0,PROVEEDORES[[#This Row],[retención aplicada]])</f>
        <v>0</v>
      </c>
      <c r="Q947" s="22">
        <f>+PROVEEDORES[[#This Row],[Rete Fuente %]]*(PROVEEDORES[[#This Row],[SUBTOTAL]]-PROVEEDORES[[#This Row],[descuento sobre subtotal]])</f>
        <v>0</v>
      </c>
      <c r="R947" s="21">
        <v>818874</v>
      </c>
      <c r="S9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68">
        <f ca="1">IF(PROVEEDORES[[#This Row],[FECHA DE PAGO]]=0,TODAY()-PROVEEDORES[[#This Row],[FECHA DE FACTURACIÓN]]-PROVEEDORES[[#This Row],[PLAZO Días]],0)</f>
        <v>0</v>
      </c>
      <c r="U947" s="96">
        <f>+VLOOKUP(PROVEEDORES[[#This Row],[PROVEEDOR]],Terceros!$A:$D,4,FALSE)</f>
        <v>0</v>
      </c>
      <c r="V947" s="97">
        <f>+YEAR(PROVEEDORES[[#This Row],[FECHA DE FACTURACIÓN]])</f>
        <v>2022</v>
      </c>
      <c r="W947" s="97">
        <f>+MATCH(PROVEEDORES[[#This Row],[año facturado]],Retenciones!$1:$1,0)</f>
        <v>5</v>
      </c>
      <c r="X947" s="98">
        <f>+VLOOKUP(PROVEEDORES[[#This Row],[ID RETENCION]],Retenciones!$A$1:$O$25,PROVEEDORES[[#This Row],[indicador de columna]],FALSE)</f>
        <v>0</v>
      </c>
      <c r="Y947" s="99">
        <f>+VLOOKUP(PROVEEDORES[[#This Row],[ID RETENCION]],Retenciones!$A$1:$O$25,2,FALSE)</f>
        <v>0</v>
      </c>
      <c r="Z947" s="125" t="b">
        <f>OR(COUNTIF(PROVEEDORES[[#This Row],[PROVEEDOR]],"*"&amp;'Palabra no opera'!$A$2&amp;"*"))</f>
        <v>1</v>
      </c>
      <c r="AA947" s="24"/>
      <c r="AB947" s="24"/>
      <c r="AC947" s="24"/>
      <c r="AD947" s="24"/>
      <c r="AE947" s="24"/>
    </row>
    <row r="948" spans="1:31" ht="22.2" customHeight="1" x14ac:dyDescent="0.3">
      <c r="A948" s="66" t="str">
        <f>+IF(PROVEEDORES[[#This Row],[FECHA DE PAGO]]=PROVEEDORES[[#This Row],[FECHA DE FACTURACIÓN]],"DE CONTADO","CRÉDITO")</f>
        <v>CRÉDITO</v>
      </c>
      <c r="B948" s="38" t="b">
        <f>+IF((PROVEEDORES[[#This Row],[FECHA DE PAGO]]-PROVEEDORES[[#This Row],[FECHA DE FACTURACIÓN]])&gt;PROVEEDORES[[#This Row],[PLAZO Días]],"PAGO VENCIDO")</f>
        <v>0</v>
      </c>
      <c r="C948" s="20">
        <f>+VLOOKUP(PROVEEDORES[[#This Row],[PROVEEDOR]],TERCEROS_INFO[#All],2,FALSE)</f>
        <v>30</v>
      </c>
      <c r="D948" s="25">
        <f>+SUMIFS(PROVEEDORES[Total],PROVEEDORES[PROVEEDOR],PROVEEDORES[[#This Row],[PROVEEDOR]],PROVEEDORES[FECHA DE PAGO],"")</f>
        <v>0</v>
      </c>
      <c r="E948" s="25"/>
      <c r="F94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48" s="161">
        <v>44616</v>
      </c>
      <c r="H948" s="26" t="s">
        <v>927</v>
      </c>
      <c r="I948" s="161">
        <v>44593</v>
      </c>
      <c r="J948" s="35">
        <v>13229</v>
      </c>
      <c r="K948" s="21">
        <v>818874</v>
      </c>
      <c r="L948" s="21"/>
      <c r="M948" s="22">
        <f>(PROVEEDORES[[#This Row],[SUBTOTAL]]-PROVEEDORES[[#This Row],[descuento sobre subtotal]])*VLOOKUP(PROVEEDORES[[#This Row],[PROVEEDOR]],TERCEROS_INFO[#All],3,FALSE)</f>
        <v>0</v>
      </c>
      <c r="N948" s="23"/>
      <c r="O948" s="22">
        <f>+PROVEEDORES[[#This Row],[Descuento sobre subtotal %]]*(PROVEEDORES[[#This Row],[SUBTOTAL]]-PROVEEDORES[[#This Row],[descuento sobre subtotal]])</f>
        <v>0</v>
      </c>
      <c r="P948" s="83">
        <f>+IF(PROVEEDORES[[#This Row],[SUBTOTAL]]&lt;PROVEEDORES[[#This Row],[base retencion]],0,PROVEEDORES[[#This Row],[retención aplicada]])</f>
        <v>0</v>
      </c>
      <c r="Q948" s="22">
        <f>+PROVEEDORES[[#This Row],[Rete Fuente %]]*(PROVEEDORES[[#This Row],[SUBTOTAL]]-PROVEEDORES[[#This Row],[descuento sobre subtotal]])</f>
        <v>0</v>
      </c>
      <c r="R948" s="21">
        <v>818874</v>
      </c>
      <c r="S9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68">
        <f ca="1">IF(PROVEEDORES[[#This Row],[FECHA DE PAGO]]=0,TODAY()-PROVEEDORES[[#This Row],[FECHA DE FACTURACIÓN]]-PROVEEDORES[[#This Row],[PLAZO Días]],0)</f>
        <v>0</v>
      </c>
      <c r="U948" s="96">
        <f>+VLOOKUP(PROVEEDORES[[#This Row],[PROVEEDOR]],Terceros!$A:$D,4,FALSE)</f>
        <v>0</v>
      </c>
      <c r="V948" s="97">
        <f>+YEAR(PROVEEDORES[[#This Row],[FECHA DE FACTURACIÓN]])</f>
        <v>2022</v>
      </c>
      <c r="W948" s="97">
        <f>+MATCH(PROVEEDORES[[#This Row],[año facturado]],Retenciones!$1:$1,0)</f>
        <v>5</v>
      </c>
      <c r="X948" s="98">
        <f>+VLOOKUP(PROVEEDORES[[#This Row],[ID RETENCION]],Retenciones!$A$1:$O$25,PROVEEDORES[[#This Row],[indicador de columna]],FALSE)</f>
        <v>0</v>
      </c>
      <c r="Y948" s="99">
        <f>+VLOOKUP(PROVEEDORES[[#This Row],[ID RETENCION]],Retenciones!$A$1:$O$25,2,FALSE)</f>
        <v>0</v>
      </c>
      <c r="Z948" s="125" t="b">
        <f>OR(COUNTIF(PROVEEDORES[[#This Row],[PROVEEDOR]],"*"&amp;'Palabra no opera'!$A$2&amp;"*"))</f>
        <v>1</v>
      </c>
      <c r="AA948" s="24"/>
      <c r="AB948" s="24"/>
      <c r="AC948" s="24"/>
      <c r="AD948" s="24"/>
      <c r="AE948" s="24"/>
    </row>
    <row r="949" spans="1:31" ht="22.2" customHeight="1" x14ac:dyDescent="0.3">
      <c r="A949" s="66" t="str">
        <f>+IF(PROVEEDORES[[#This Row],[FECHA DE PAGO]]=PROVEEDORES[[#This Row],[FECHA DE FACTURACIÓN]],"DE CONTADO","CRÉDITO")</f>
        <v>CRÉDITO</v>
      </c>
      <c r="B949" s="38" t="b">
        <f>+IF((PROVEEDORES[[#This Row],[FECHA DE PAGO]]-PROVEEDORES[[#This Row],[FECHA DE FACTURACIÓN]])&gt;PROVEEDORES[[#This Row],[PLAZO Días]],"PAGO VENCIDO")</f>
        <v>0</v>
      </c>
      <c r="C949" s="20">
        <f>+VLOOKUP(PROVEEDORES[[#This Row],[PROVEEDOR]],TERCEROS_INFO[#All],2,FALSE)</f>
        <v>30</v>
      </c>
      <c r="D949" s="25">
        <f>+SUMIFS(PROVEEDORES[Total],PROVEEDORES[PROVEEDOR],PROVEEDORES[[#This Row],[PROVEEDOR]],PROVEEDORES[FECHA DE PAGO],"")</f>
        <v>0</v>
      </c>
      <c r="E949" s="25"/>
      <c r="F94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49" s="161">
        <v>44630</v>
      </c>
      <c r="H949" s="26" t="s">
        <v>927</v>
      </c>
      <c r="I949" s="161">
        <v>44621</v>
      </c>
      <c r="J949" s="35" t="s">
        <v>313</v>
      </c>
      <c r="K949" s="21">
        <v>818874</v>
      </c>
      <c r="L949" s="21"/>
      <c r="M949" s="22">
        <f>(PROVEEDORES[[#This Row],[SUBTOTAL]]-PROVEEDORES[[#This Row],[descuento sobre subtotal]])*VLOOKUP(PROVEEDORES[[#This Row],[PROVEEDOR]],TERCEROS_INFO[#All],3,FALSE)</f>
        <v>0</v>
      </c>
      <c r="N949" s="23"/>
      <c r="O949" s="22">
        <f>+PROVEEDORES[[#This Row],[Descuento sobre subtotal %]]*(PROVEEDORES[[#This Row],[SUBTOTAL]]-PROVEEDORES[[#This Row],[descuento sobre subtotal]])</f>
        <v>0</v>
      </c>
      <c r="P949" s="83">
        <f>+IF(PROVEEDORES[[#This Row],[SUBTOTAL]]&lt;PROVEEDORES[[#This Row],[base retencion]],0,PROVEEDORES[[#This Row],[retención aplicada]])</f>
        <v>0</v>
      </c>
      <c r="Q949" s="22">
        <f>+PROVEEDORES[[#This Row],[Rete Fuente %]]*(PROVEEDORES[[#This Row],[SUBTOTAL]]-PROVEEDORES[[#This Row],[descuento sobre subtotal]])</f>
        <v>0</v>
      </c>
      <c r="R949" s="21">
        <v>818874</v>
      </c>
      <c r="S9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68">
        <f ca="1">IF(PROVEEDORES[[#This Row],[FECHA DE PAGO]]=0,TODAY()-PROVEEDORES[[#This Row],[FECHA DE FACTURACIÓN]]-PROVEEDORES[[#This Row],[PLAZO Días]],0)</f>
        <v>0</v>
      </c>
      <c r="U949" s="96">
        <f>+VLOOKUP(PROVEEDORES[[#This Row],[PROVEEDOR]],Terceros!$A:$D,4,FALSE)</f>
        <v>0</v>
      </c>
      <c r="V949" s="97">
        <f>+YEAR(PROVEEDORES[[#This Row],[FECHA DE FACTURACIÓN]])</f>
        <v>2022</v>
      </c>
      <c r="W949" s="97">
        <f>+MATCH(PROVEEDORES[[#This Row],[año facturado]],Retenciones!$1:$1,0)</f>
        <v>5</v>
      </c>
      <c r="X949" s="98">
        <f>+VLOOKUP(PROVEEDORES[[#This Row],[ID RETENCION]],Retenciones!$A$1:$O$25,PROVEEDORES[[#This Row],[indicador de columna]],FALSE)</f>
        <v>0</v>
      </c>
      <c r="Y949" s="99">
        <f>+VLOOKUP(PROVEEDORES[[#This Row],[ID RETENCION]],Retenciones!$A$1:$O$25,2,FALSE)</f>
        <v>0</v>
      </c>
      <c r="Z949" s="125" t="b">
        <f>OR(COUNTIF(PROVEEDORES[[#This Row],[PROVEEDOR]],"*"&amp;'Palabra no opera'!$A$2&amp;"*"))</f>
        <v>1</v>
      </c>
      <c r="AA949" s="24"/>
      <c r="AB949" s="24"/>
      <c r="AC949" s="24"/>
      <c r="AD949" s="24"/>
      <c r="AE949" s="24"/>
    </row>
    <row r="950" spans="1:31" ht="22.2" customHeight="1" x14ac:dyDescent="0.3">
      <c r="A950" s="66" t="str">
        <f>+IF(PROVEEDORES[[#This Row],[FECHA DE PAGO]]=PROVEEDORES[[#This Row],[FECHA DE FACTURACIÓN]],"DE CONTADO","CRÉDITO")</f>
        <v>CRÉDITO</v>
      </c>
      <c r="B950" s="38" t="b">
        <f>+IF((PROVEEDORES[[#This Row],[FECHA DE PAGO]]-PROVEEDORES[[#This Row],[FECHA DE FACTURACIÓN]])&gt;PROVEEDORES[[#This Row],[PLAZO Días]],"PAGO VENCIDO")</f>
        <v>0</v>
      </c>
      <c r="C950" s="20">
        <f>+VLOOKUP(PROVEEDORES[[#This Row],[PROVEEDOR]],TERCEROS_INFO[#All],2,FALSE)</f>
        <v>30</v>
      </c>
      <c r="D950" s="25">
        <f>+SUMIFS(PROVEEDORES[Total],PROVEEDORES[PROVEEDOR],PROVEEDORES[[#This Row],[PROVEEDOR]],PROVEEDORES[FECHA DE PAGO],"")</f>
        <v>0</v>
      </c>
      <c r="E950" s="25"/>
      <c r="F95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0" s="161">
        <v>44663</v>
      </c>
      <c r="H950" s="26" t="s">
        <v>927</v>
      </c>
      <c r="I950" s="161">
        <v>44652</v>
      </c>
      <c r="J950" s="35" t="s">
        <v>313</v>
      </c>
      <c r="K950" s="21">
        <v>818874</v>
      </c>
      <c r="L950" s="21"/>
      <c r="M950" s="22">
        <f>(PROVEEDORES[[#This Row],[SUBTOTAL]]-PROVEEDORES[[#This Row],[descuento sobre subtotal]])*VLOOKUP(PROVEEDORES[[#This Row],[PROVEEDOR]],TERCEROS_INFO[#All],3,FALSE)</f>
        <v>0</v>
      </c>
      <c r="N950" s="23"/>
      <c r="O950" s="22">
        <f>+PROVEEDORES[[#This Row],[Descuento sobre subtotal %]]*(PROVEEDORES[[#This Row],[SUBTOTAL]]-PROVEEDORES[[#This Row],[descuento sobre subtotal]])</f>
        <v>0</v>
      </c>
      <c r="P950" s="83">
        <f>+IF(PROVEEDORES[[#This Row],[SUBTOTAL]]&lt;PROVEEDORES[[#This Row],[base retencion]],0,PROVEEDORES[[#This Row],[retención aplicada]])</f>
        <v>0</v>
      </c>
      <c r="Q950" s="22">
        <f>+PROVEEDORES[[#This Row],[Rete Fuente %]]*(PROVEEDORES[[#This Row],[SUBTOTAL]]-PROVEEDORES[[#This Row],[descuento sobre subtotal]])</f>
        <v>0</v>
      </c>
      <c r="R950" s="21">
        <v>818874</v>
      </c>
      <c r="S9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68">
        <f ca="1">IF(PROVEEDORES[[#This Row],[FECHA DE PAGO]]=0,TODAY()-PROVEEDORES[[#This Row],[FECHA DE FACTURACIÓN]]-PROVEEDORES[[#This Row],[PLAZO Días]],0)</f>
        <v>0</v>
      </c>
      <c r="U950" s="96">
        <f>+VLOOKUP(PROVEEDORES[[#This Row],[PROVEEDOR]],Terceros!$A:$D,4,FALSE)</f>
        <v>0</v>
      </c>
      <c r="V950" s="97">
        <f>+YEAR(PROVEEDORES[[#This Row],[FECHA DE FACTURACIÓN]])</f>
        <v>2022</v>
      </c>
      <c r="W950" s="97">
        <f>+MATCH(PROVEEDORES[[#This Row],[año facturado]],Retenciones!$1:$1,0)</f>
        <v>5</v>
      </c>
      <c r="X950" s="98">
        <f>+VLOOKUP(PROVEEDORES[[#This Row],[ID RETENCION]],Retenciones!$A$1:$O$25,PROVEEDORES[[#This Row],[indicador de columna]],FALSE)</f>
        <v>0</v>
      </c>
      <c r="Y950" s="99">
        <f>+VLOOKUP(PROVEEDORES[[#This Row],[ID RETENCION]],Retenciones!$A$1:$O$25,2,FALSE)</f>
        <v>0</v>
      </c>
      <c r="Z950" s="125" t="b">
        <f>OR(COUNTIF(PROVEEDORES[[#This Row],[PROVEEDOR]],"*"&amp;'Palabra no opera'!$A$2&amp;"*"))</f>
        <v>1</v>
      </c>
      <c r="AA950" s="24"/>
      <c r="AB950" s="24"/>
      <c r="AC950" s="24"/>
      <c r="AD950" s="24"/>
      <c r="AE950" s="24"/>
    </row>
    <row r="951" spans="1:31" ht="22.2" customHeight="1" x14ac:dyDescent="0.3">
      <c r="A951" s="133" t="str">
        <f>+IF(PROVEEDORES[[#This Row],[FECHA DE PAGO]]=PROVEEDORES[[#This Row],[FECHA DE FACTURACIÓN]],"DE CONTADO","CRÉDITO")</f>
        <v>CRÉDITO</v>
      </c>
      <c r="B951" s="38" t="b">
        <f>+IF((PROVEEDORES[[#This Row],[FECHA DE PAGO]]-PROVEEDORES[[#This Row],[FECHA DE FACTURACIÓN]])&gt;PROVEEDORES[[#This Row],[PLAZO Días]],"PAGO VENCIDO")</f>
        <v>0</v>
      </c>
      <c r="C951" s="20">
        <f>+VLOOKUP(PROVEEDORES[[#This Row],[PROVEEDOR]],TERCEROS_INFO[#All],2,FALSE)</f>
        <v>30</v>
      </c>
      <c r="D951" s="25">
        <f>+SUMIFS(PROVEEDORES[Total],PROVEEDORES[PROVEEDOR],PROVEEDORES[[#This Row],[PROVEEDOR]],PROVEEDORES[FECHA DE PAGO],"")</f>
        <v>0</v>
      </c>
      <c r="E951" s="25"/>
      <c r="F95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1" s="161">
        <v>44691</v>
      </c>
      <c r="H951" s="26" t="s">
        <v>927</v>
      </c>
      <c r="I951" s="161">
        <v>44682</v>
      </c>
      <c r="J951" s="35" t="s">
        <v>313</v>
      </c>
      <c r="K951" s="21">
        <v>818874</v>
      </c>
      <c r="L951" s="21"/>
      <c r="M951" s="22">
        <f>(PROVEEDORES[[#This Row],[SUBTOTAL]]-PROVEEDORES[[#This Row],[descuento sobre subtotal]])*VLOOKUP(PROVEEDORES[[#This Row],[PROVEEDOR]],TERCEROS_INFO[#All],3,FALSE)</f>
        <v>0</v>
      </c>
      <c r="N951" s="23"/>
      <c r="O951" s="22">
        <f>+PROVEEDORES[[#This Row],[Descuento sobre subtotal %]]*(PROVEEDORES[[#This Row],[SUBTOTAL]]-PROVEEDORES[[#This Row],[descuento sobre subtotal]])</f>
        <v>0</v>
      </c>
      <c r="P951" s="83">
        <f>+IF(PROVEEDORES[[#This Row],[SUBTOTAL]]&lt;PROVEEDORES[[#This Row],[base retencion]],0,PROVEEDORES[[#This Row],[retención aplicada]])</f>
        <v>0</v>
      </c>
      <c r="Q951" s="22">
        <f>+PROVEEDORES[[#This Row],[Rete Fuente %]]*(PROVEEDORES[[#This Row],[SUBTOTAL]]-PROVEEDORES[[#This Row],[descuento sobre subtotal]])</f>
        <v>0</v>
      </c>
      <c r="R951" s="21">
        <f>+PROVEEDORES[[#This Row],[SUBTOTAL]]+PROVEEDORES[[#This Row],[IVA 19%]]-PROVEEDORES[[#This Row],[descuento sobre subtotal]]-PROVEEDORES[[#This Row],[Descuento sobre subtotal $2]]-PROVEEDORES[[#This Row],[Rete Fuente $]]</f>
        <v>818874</v>
      </c>
      <c r="S951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68">
        <f ca="1">IF(PROVEEDORES[[#This Row],[FECHA DE PAGO]]=0,TODAY()-PROVEEDORES[[#This Row],[FECHA DE FACTURACIÓN]]-PROVEEDORES[[#This Row],[PLAZO Días]],0)</f>
        <v>0</v>
      </c>
      <c r="U951" s="113">
        <f>+VLOOKUP(PROVEEDORES[[#This Row],[PROVEEDOR]],Terceros!$A:$D,4,FALSE)</f>
        <v>0</v>
      </c>
      <c r="V951" s="114">
        <f>+YEAR(PROVEEDORES[[#This Row],[FECHA DE FACTURACIÓN]])</f>
        <v>2022</v>
      </c>
      <c r="W951" s="114">
        <f>+MATCH(PROVEEDORES[[#This Row],[año facturado]],Retenciones!$1:$1,0)</f>
        <v>5</v>
      </c>
      <c r="X951" s="115">
        <f>+VLOOKUP(PROVEEDORES[[#This Row],[ID RETENCION]],Retenciones!$A$1:$O$25,PROVEEDORES[[#This Row],[indicador de columna]],FALSE)</f>
        <v>0</v>
      </c>
      <c r="Y951" s="116">
        <f>+VLOOKUP(PROVEEDORES[[#This Row],[ID RETENCION]],Retenciones!$A$1:$O$25,2,FALSE)</f>
        <v>0</v>
      </c>
      <c r="Z951" s="125" t="b">
        <f>OR(COUNTIF(PROVEEDORES[[#This Row],[PROVEEDOR]],"*"&amp;'Palabra no opera'!$A$2&amp;"*"))</f>
        <v>1</v>
      </c>
      <c r="AA951" s="24"/>
      <c r="AB951" s="24"/>
      <c r="AC951" s="24"/>
      <c r="AD951" s="24"/>
      <c r="AE951" s="24"/>
    </row>
    <row r="952" spans="1:31" ht="22.2" customHeight="1" x14ac:dyDescent="0.3">
      <c r="A952" s="157" t="str">
        <f>+IF(PROVEEDORES[[#This Row],[FECHA DE PAGO]]=PROVEEDORES[[#This Row],[FECHA DE FACTURACIÓN]],"DE CONTADO","CRÉDITO")</f>
        <v>CRÉDITO</v>
      </c>
      <c r="B952" s="38" t="b">
        <f>+IF((PROVEEDORES[[#This Row],[FECHA DE PAGO]]-PROVEEDORES[[#This Row],[FECHA DE FACTURACIÓN]])&gt;PROVEEDORES[[#This Row],[PLAZO Días]],"PAGO VENCIDO")</f>
        <v>0</v>
      </c>
      <c r="C952" s="20">
        <f>+VLOOKUP(PROVEEDORES[[#This Row],[PROVEEDOR]],TERCEROS_INFO[#All],2,FALSE)</f>
        <v>30</v>
      </c>
      <c r="D952" s="25">
        <f>+SUMIFS(PROVEEDORES[Total],PROVEEDORES[PROVEEDOR],PROVEEDORES[[#This Row],[PROVEEDOR]],PROVEEDORES[FECHA DE PAGO],"")</f>
        <v>0</v>
      </c>
      <c r="E952" s="25"/>
      <c r="F95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2" s="161">
        <v>44729</v>
      </c>
      <c r="H952" s="26" t="s">
        <v>927</v>
      </c>
      <c r="I952" s="161">
        <v>44713</v>
      </c>
      <c r="J952" s="35" t="s">
        <v>313</v>
      </c>
      <c r="K952" s="21">
        <v>818875</v>
      </c>
      <c r="L952" s="21"/>
      <c r="M952" s="22">
        <f>(PROVEEDORES[[#This Row],[SUBTOTAL]]-PROVEEDORES[[#This Row],[descuento sobre subtotal]])*VLOOKUP(PROVEEDORES[[#This Row],[PROVEEDOR]],TERCEROS_INFO[#All],3,FALSE)</f>
        <v>0</v>
      </c>
      <c r="N952" s="23"/>
      <c r="O952" s="22">
        <f>+PROVEEDORES[[#This Row],[Descuento sobre subtotal %]]*(PROVEEDORES[[#This Row],[SUBTOTAL]]-PROVEEDORES[[#This Row],[descuento sobre subtotal]])</f>
        <v>0</v>
      </c>
      <c r="P952" s="83">
        <f>+IF(PROVEEDORES[[#This Row],[SUBTOTAL]]&lt;PROVEEDORES[[#This Row],[base retencion]],0,PROVEEDORES[[#This Row],[retención aplicada]])</f>
        <v>0</v>
      </c>
      <c r="Q952" s="22">
        <f>+PROVEEDORES[[#This Row],[Rete Fuente %]]*(PROVEEDORES[[#This Row],[SUBTOTAL]]-PROVEEDORES[[#This Row],[descuento sobre subtotal]])</f>
        <v>0</v>
      </c>
      <c r="R952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52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68">
        <f ca="1">IF(PROVEEDORES[[#This Row],[FECHA DE PAGO]]=0,TODAY()-PROVEEDORES[[#This Row],[FECHA DE FACTURACIÓN]]-PROVEEDORES[[#This Row],[PLAZO Días]],0)</f>
        <v>0</v>
      </c>
      <c r="U952" s="113">
        <f>+VLOOKUP(PROVEEDORES[[#This Row],[PROVEEDOR]],Terceros!$A:$D,4,FALSE)</f>
        <v>0</v>
      </c>
      <c r="V952" s="114">
        <f>+YEAR(PROVEEDORES[[#This Row],[FECHA DE FACTURACIÓN]])</f>
        <v>2022</v>
      </c>
      <c r="W952" s="114">
        <f>+MATCH(PROVEEDORES[[#This Row],[año facturado]],Retenciones!$1:$1,0)</f>
        <v>5</v>
      </c>
      <c r="X952" s="115">
        <f>+VLOOKUP(PROVEEDORES[[#This Row],[ID RETENCION]],Retenciones!$A$1:$O$25,PROVEEDORES[[#This Row],[indicador de columna]],FALSE)</f>
        <v>0</v>
      </c>
      <c r="Y952" s="116">
        <f>+VLOOKUP(PROVEEDORES[[#This Row],[ID RETENCION]],Retenciones!$A$1:$O$25,2,FALSE)</f>
        <v>0</v>
      </c>
      <c r="Z952" s="125" t="b">
        <f>OR(COUNTIF(PROVEEDORES[[#This Row],[PROVEEDOR]],"*"&amp;'Palabra no opera'!$A$2&amp;"*"))</f>
        <v>1</v>
      </c>
      <c r="AA952" s="24"/>
      <c r="AB952" s="24"/>
      <c r="AC952" s="24"/>
      <c r="AD952" s="24"/>
      <c r="AE952" s="24"/>
    </row>
    <row r="953" spans="1:31" ht="22.2" customHeight="1" x14ac:dyDescent="0.3">
      <c r="A953" s="159" t="str">
        <f>+IF(PROVEEDORES[[#This Row],[FECHA DE PAGO]]=PROVEEDORES[[#This Row],[FECHA DE FACTURACIÓN]],"DE CONTADO","CRÉDITO")</f>
        <v>CRÉDITO</v>
      </c>
      <c r="B953" s="38" t="b">
        <f>+IF((PROVEEDORES[[#This Row],[FECHA DE PAGO]]-PROVEEDORES[[#This Row],[FECHA DE FACTURACIÓN]])&gt;PROVEEDORES[[#This Row],[PLAZO Días]],"PAGO VENCIDO")</f>
        <v>0</v>
      </c>
      <c r="C953" s="20">
        <f>+VLOOKUP(PROVEEDORES[[#This Row],[PROVEEDOR]],TERCEROS_INFO[#All],2,FALSE)</f>
        <v>30</v>
      </c>
      <c r="D953" s="25">
        <f>+SUMIFS(PROVEEDORES[Total],PROVEEDORES[PROVEEDOR],PROVEEDORES[[#This Row],[PROVEEDOR]],PROVEEDORES[FECHA DE PAGO],"")</f>
        <v>0</v>
      </c>
      <c r="E953" s="25"/>
      <c r="F95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3" s="161">
        <v>44761</v>
      </c>
      <c r="H953" s="26" t="s">
        <v>927</v>
      </c>
      <c r="I953" s="161">
        <v>44743</v>
      </c>
      <c r="J953" s="35" t="s">
        <v>313</v>
      </c>
      <c r="K953" s="21">
        <v>818875</v>
      </c>
      <c r="L953" s="21"/>
      <c r="M953" s="22">
        <f>(PROVEEDORES[[#This Row],[SUBTOTAL]]-PROVEEDORES[[#This Row],[descuento sobre subtotal]])*VLOOKUP(PROVEEDORES[[#This Row],[PROVEEDOR]],TERCEROS_INFO[#All],3,FALSE)</f>
        <v>0</v>
      </c>
      <c r="N953" s="23"/>
      <c r="O953" s="22">
        <f>+PROVEEDORES[[#This Row],[Descuento sobre subtotal %]]*(PROVEEDORES[[#This Row],[SUBTOTAL]]-PROVEEDORES[[#This Row],[descuento sobre subtotal]])</f>
        <v>0</v>
      </c>
      <c r="P953" s="83">
        <f>+IF(PROVEEDORES[[#This Row],[SUBTOTAL]]&lt;PROVEEDORES[[#This Row],[base retencion]],0,PROVEEDORES[[#This Row],[retención aplicada]])</f>
        <v>0</v>
      </c>
      <c r="Q953" s="22">
        <f>+PROVEEDORES[[#This Row],[Rete Fuente %]]*(PROVEEDORES[[#This Row],[SUBTOTAL]]-PROVEEDORES[[#This Row],[descuento sobre subtotal]])</f>
        <v>0</v>
      </c>
      <c r="R953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5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68">
        <f ca="1">IF(PROVEEDORES[[#This Row],[FECHA DE PAGO]]=0,TODAY()-PROVEEDORES[[#This Row],[FECHA DE FACTURACIÓN]]-PROVEEDORES[[#This Row],[PLAZO Días]],0)</f>
        <v>0</v>
      </c>
      <c r="U953" s="113">
        <f>+VLOOKUP(PROVEEDORES[[#This Row],[PROVEEDOR]],Terceros!$A:$D,4,FALSE)</f>
        <v>0</v>
      </c>
      <c r="V953" s="114">
        <f>+YEAR(PROVEEDORES[[#This Row],[FECHA DE FACTURACIÓN]])</f>
        <v>2022</v>
      </c>
      <c r="W953" s="114">
        <f>+MATCH(PROVEEDORES[[#This Row],[año facturado]],Retenciones!$1:$1,0)</f>
        <v>5</v>
      </c>
      <c r="X953" s="115">
        <f>+VLOOKUP(PROVEEDORES[[#This Row],[ID RETENCION]],Retenciones!$A$1:$O$25,PROVEEDORES[[#This Row],[indicador de columna]],FALSE)</f>
        <v>0</v>
      </c>
      <c r="Y953" s="116">
        <f>+VLOOKUP(PROVEEDORES[[#This Row],[ID RETENCION]],Retenciones!$A$1:$O$25,2,FALSE)</f>
        <v>0</v>
      </c>
      <c r="Z953" s="125" t="b">
        <f>OR(COUNTIF(PROVEEDORES[[#This Row],[PROVEEDOR]],"*"&amp;'Palabra no opera'!$A$2&amp;"*"))</f>
        <v>1</v>
      </c>
      <c r="AA953" s="24"/>
      <c r="AB953" s="24"/>
      <c r="AC953" s="24"/>
      <c r="AD953" s="24"/>
      <c r="AE953" s="24"/>
    </row>
    <row r="954" spans="1:31" ht="22.2" customHeight="1" x14ac:dyDescent="0.3">
      <c r="A954" s="215" t="str">
        <f>+IF(PROVEEDORES[[#This Row],[FECHA DE PAGO]]=PROVEEDORES[[#This Row],[FECHA DE FACTURACIÓN]],"DE CONTADO","CRÉDITO")</f>
        <v>CRÉDITO</v>
      </c>
      <c r="B954" s="38" t="b">
        <f>+IF((PROVEEDORES[[#This Row],[FECHA DE PAGO]]-PROVEEDORES[[#This Row],[FECHA DE FACTURACIÓN]])&gt;PROVEEDORES[[#This Row],[PLAZO Días]],"PAGO VENCIDO")</f>
        <v>0</v>
      </c>
      <c r="C954" s="20">
        <f>+VLOOKUP(PROVEEDORES[[#This Row],[PROVEEDOR]],TERCEROS_INFO[#All],2,FALSE)</f>
        <v>30</v>
      </c>
      <c r="D954" s="25">
        <f>+SUMIFS(PROVEEDORES[Total],PROVEEDORES[PROVEEDOR],PROVEEDORES[[#This Row],[PROVEEDOR]],PROVEEDORES[FECHA DE PAGO],"")</f>
        <v>0</v>
      </c>
      <c r="E954" s="25"/>
      <c r="F95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4" s="161">
        <v>44827</v>
      </c>
      <c r="H954" s="26" t="s">
        <v>927</v>
      </c>
      <c r="I954" s="161">
        <v>44805</v>
      </c>
      <c r="J954" s="35" t="s">
        <v>1690</v>
      </c>
      <c r="K954" s="21">
        <v>818875</v>
      </c>
      <c r="L954" s="21"/>
      <c r="M954" s="22">
        <f>(PROVEEDORES[[#This Row],[SUBTOTAL]]-PROVEEDORES[[#This Row],[descuento sobre subtotal]])*VLOOKUP(PROVEEDORES[[#This Row],[PROVEEDOR]],TERCEROS_INFO[#All],3,FALSE)</f>
        <v>0</v>
      </c>
      <c r="N954" s="23"/>
      <c r="O954" s="22">
        <f>+PROVEEDORES[[#This Row],[Descuento sobre subtotal %]]*(PROVEEDORES[[#This Row],[SUBTOTAL]]-PROVEEDORES[[#This Row],[descuento sobre subtotal]])</f>
        <v>0</v>
      </c>
      <c r="P954" s="83">
        <f>+IF(PROVEEDORES[[#This Row],[SUBTOTAL]]&lt;PROVEEDORES[[#This Row],[base retencion]],0,PROVEEDORES[[#This Row],[retención aplicada]])</f>
        <v>0</v>
      </c>
      <c r="Q954" s="22">
        <f>+PROVEEDORES[[#This Row],[Rete Fuente %]]*(PROVEEDORES[[#This Row],[SUBTOTAL]]-PROVEEDORES[[#This Row],[descuento sobre subtotal]])</f>
        <v>0</v>
      </c>
      <c r="R954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54" s="2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68">
        <f ca="1">IF(PROVEEDORES[[#This Row],[FECHA DE PAGO]]=0,TODAY()-PROVEEDORES[[#This Row],[FECHA DE FACTURACIÓN]]-PROVEEDORES[[#This Row],[PLAZO Días]],0)</f>
        <v>0</v>
      </c>
      <c r="U954" s="113">
        <f>+VLOOKUP(PROVEEDORES[[#This Row],[PROVEEDOR]],Terceros!$A:$D,4,FALSE)</f>
        <v>0</v>
      </c>
      <c r="V954" s="114">
        <f>+YEAR(PROVEEDORES[[#This Row],[FECHA DE FACTURACIÓN]])</f>
        <v>2022</v>
      </c>
      <c r="W954" s="114">
        <f>+MATCH(PROVEEDORES[[#This Row],[año facturado]],Retenciones!$1:$1,0)</f>
        <v>5</v>
      </c>
      <c r="X954" s="115">
        <f>+VLOOKUP(PROVEEDORES[[#This Row],[ID RETENCION]],Retenciones!$A$1:$O$25,PROVEEDORES[[#This Row],[indicador de columna]],FALSE)</f>
        <v>0</v>
      </c>
      <c r="Y954" s="116">
        <f>+VLOOKUP(PROVEEDORES[[#This Row],[ID RETENCION]],Retenciones!$A$1:$O$25,2,FALSE)</f>
        <v>0</v>
      </c>
      <c r="Z954" s="125" t="b">
        <f>OR(COUNTIF(PROVEEDORES[[#This Row],[PROVEEDOR]],"*"&amp;'Palabra no opera'!$A$2&amp;"*"))</f>
        <v>1</v>
      </c>
      <c r="AA954" s="24"/>
      <c r="AB954" s="24"/>
      <c r="AC954" s="24"/>
      <c r="AD954" s="24"/>
      <c r="AE954" s="24"/>
    </row>
    <row r="955" spans="1:31" ht="22.2" customHeight="1" x14ac:dyDescent="0.3">
      <c r="A955" s="269" t="str">
        <f>+IF(PROVEEDORES[[#This Row],[FECHA DE PAGO]]=PROVEEDORES[[#This Row],[FECHA DE FACTURACIÓN]],"DE CONTADO","CRÉDITO")</f>
        <v>CRÉDITO</v>
      </c>
      <c r="B955" s="38" t="b">
        <f>+IF((PROVEEDORES[[#This Row],[FECHA DE PAGO]]-PROVEEDORES[[#This Row],[FECHA DE FACTURACIÓN]])&gt;PROVEEDORES[[#This Row],[PLAZO Días]],"PAGO VENCIDO")</f>
        <v>0</v>
      </c>
      <c r="C955" s="20">
        <f>+VLOOKUP(PROVEEDORES[[#This Row],[PROVEEDOR]],TERCEROS_INFO[#All],2,FALSE)</f>
        <v>30</v>
      </c>
      <c r="D955" s="25">
        <f>+SUMIFS(PROVEEDORES[Total],PROVEEDORES[PROVEEDOR],PROVEEDORES[[#This Row],[PROVEEDOR]],PROVEEDORES[FECHA DE PAGO],"")</f>
        <v>0</v>
      </c>
      <c r="E955" s="25"/>
      <c r="F95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5" s="161">
        <v>44858</v>
      </c>
      <c r="H955" s="26" t="s">
        <v>927</v>
      </c>
      <c r="I955" s="161">
        <v>44837</v>
      </c>
      <c r="J955" s="35" t="s">
        <v>1787</v>
      </c>
      <c r="K955" s="21">
        <v>818875</v>
      </c>
      <c r="L955" s="21"/>
      <c r="M955" s="22">
        <f>(PROVEEDORES[[#This Row],[SUBTOTAL]]-PROVEEDORES[[#This Row],[descuento sobre subtotal]])*VLOOKUP(PROVEEDORES[[#This Row],[PROVEEDOR]],TERCEROS_INFO[#All],3,FALSE)</f>
        <v>0</v>
      </c>
      <c r="N955" s="23"/>
      <c r="O955" s="22">
        <f>+PROVEEDORES[[#This Row],[Descuento sobre subtotal %]]*(PROVEEDORES[[#This Row],[SUBTOTAL]]-PROVEEDORES[[#This Row],[descuento sobre subtotal]])</f>
        <v>0</v>
      </c>
      <c r="P955" s="83">
        <f>+IF(PROVEEDORES[[#This Row],[SUBTOTAL]]&lt;PROVEEDORES[[#This Row],[base retencion]],0,PROVEEDORES[[#This Row],[retención aplicada]])</f>
        <v>0</v>
      </c>
      <c r="Q955" s="22">
        <f>+PROVEEDORES[[#This Row],[Rete Fuente %]]*(PROVEEDORES[[#This Row],[SUBTOTAL]]-PROVEEDORES[[#This Row],[descuento sobre subtotal]])</f>
        <v>0</v>
      </c>
      <c r="R955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55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68">
        <f ca="1">IF(PROVEEDORES[[#This Row],[FECHA DE PAGO]]=0,TODAY()-PROVEEDORES[[#This Row],[FECHA DE FACTURACIÓN]]-PROVEEDORES[[#This Row],[PLAZO Días]],0)</f>
        <v>0</v>
      </c>
      <c r="U955" s="113">
        <f>+VLOOKUP(PROVEEDORES[[#This Row],[PROVEEDOR]],Terceros!$A:$D,4,FALSE)</f>
        <v>0</v>
      </c>
      <c r="V955" s="114">
        <f>+YEAR(PROVEEDORES[[#This Row],[FECHA DE FACTURACIÓN]])</f>
        <v>2022</v>
      </c>
      <c r="W955" s="114">
        <f>+MATCH(PROVEEDORES[[#This Row],[año facturado]],Retenciones!$1:$1,0)</f>
        <v>5</v>
      </c>
      <c r="X955" s="115">
        <f>+VLOOKUP(PROVEEDORES[[#This Row],[ID RETENCION]],Retenciones!$A$1:$O$25,PROVEEDORES[[#This Row],[indicador de columna]],FALSE)</f>
        <v>0</v>
      </c>
      <c r="Y955" s="116">
        <f>+VLOOKUP(PROVEEDORES[[#This Row],[ID RETENCION]],Retenciones!$A$1:$O$25,2,FALSE)</f>
        <v>0</v>
      </c>
      <c r="Z955" s="125" t="b">
        <f>OR(COUNTIF(PROVEEDORES[[#This Row],[PROVEEDOR]],"*"&amp;'Palabra no opera'!$A$2&amp;"*"))</f>
        <v>1</v>
      </c>
      <c r="AA955" s="24"/>
      <c r="AB955" s="24"/>
      <c r="AC955" s="24"/>
      <c r="AD955" s="24"/>
      <c r="AE955" s="24"/>
    </row>
    <row r="956" spans="1:31" ht="22.2" customHeight="1" x14ac:dyDescent="0.3">
      <c r="A956" s="66" t="str">
        <f>+IF(PROVEEDORES[[#This Row],[FECHA DE PAGO]]=PROVEEDORES[[#This Row],[FECHA DE FACTURACIÓN]],"DE CONTADO","CRÉDITO")</f>
        <v>DE CONTADO</v>
      </c>
      <c r="B956" s="38" t="b">
        <f>+IF((PROVEEDORES[[#This Row],[FECHA DE PAGO]]-PROVEEDORES[[#This Row],[FECHA DE FACTURACIÓN]])&gt;PROVEEDORES[[#This Row],[PLAZO Días]],"PAGO VENCIDO")</f>
        <v>0</v>
      </c>
      <c r="C956" s="20">
        <f>+VLOOKUP(PROVEEDORES[[#This Row],[PROVEEDOR]],TERCEROS_INFO[#All],2,FALSE)</f>
        <v>30</v>
      </c>
      <c r="D956" s="25">
        <f>+SUMIFS(PROVEEDORES[Total],PROVEEDORES[PROVEEDOR],PROVEEDORES[[#This Row],[PROVEEDOR]],PROVEEDORES[FECHA DE PAGO],"")</f>
        <v>0</v>
      </c>
      <c r="E956" s="25"/>
      <c r="F956" s="58" t="str">
        <f>+VLOOKUP(PROVEEDORES[[#This Row],[PROVEEDOR]],
                       Terceros!$A:$F,
                       5,
                       FALSE)</f>
        <v/>
      </c>
      <c r="G956" s="161">
        <v>44552</v>
      </c>
      <c r="H956" s="26" t="s">
        <v>661</v>
      </c>
      <c r="I956" s="161">
        <v>44552</v>
      </c>
      <c r="J956" s="35" t="s">
        <v>1366</v>
      </c>
      <c r="K956" s="21">
        <v>820000</v>
      </c>
      <c r="L956" s="21"/>
      <c r="M956" s="22">
        <f>(PROVEEDORES[[#This Row],[SUBTOTAL]]-PROVEEDORES[[#This Row],[descuento sobre subtotal]])*VLOOKUP(PROVEEDORES[[#This Row],[PROVEEDOR]],TERCEROS_INFO[#All],3,FALSE)</f>
        <v>0</v>
      </c>
      <c r="N956" s="23"/>
      <c r="O956" s="22">
        <f>+PROVEEDORES[[#This Row],[Descuento sobre subtotal %]]*(PROVEEDORES[[#This Row],[SUBTOTAL]]-PROVEEDORES[[#This Row],[descuento sobre subtotal]])</f>
        <v>0</v>
      </c>
      <c r="P956" s="83">
        <f>+IF(PROVEEDORES[[#This Row],[SUBTOTAL]]&lt;PROVEEDORES[[#This Row],[base retencion]],0,PROVEEDORES[[#This Row],[retención aplicada]])</f>
        <v>0</v>
      </c>
      <c r="Q956" s="22">
        <f>+PROVEEDORES[[#This Row],[Rete Fuente %]]*(PROVEEDORES[[#This Row],[SUBTOTAL]]-PROVEEDORES[[#This Row],[descuento sobre subtotal]])</f>
        <v>0</v>
      </c>
      <c r="R956" s="21">
        <f>+PROVEEDORES[[#This Row],[SUBTOTAL]]+PROVEEDORES[[#This Row],[IVA 19%]]-PROVEEDORES[[#This Row],[descuento sobre subtotal]]-PROVEEDORES[[#This Row],[Descuento sobre subtotal $2]]-PROVEEDORES[[#This Row],[Rete Fuente $]]</f>
        <v>820000</v>
      </c>
      <c r="S9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68">
        <f ca="1">IF(PROVEEDORES[[#This Row],[FECHA DE PAGO]]=0,TODAY()-PROVEEDORES[[#This Row],[FECHA DE FACTURACIÓN]]-PROVEEDORES[[#This Row],[PLAZO Días]],0)</f>
        <v>0</v>
      </c>
      <c r="U956" s="96">
        <f>+VLOOKUP(PROVEEDORES[[#This Row],[PROVEEDOR]],Terceros!$A:$D,4,FALSE)</f>
        <v>0</v>
      </c>
      <c r="V956" s="97">
        <f>+YEAR(PROVEEDORES[[#This Row],[FECHA DE FACTURACIÓN]])</f>
        <v>2021</v>
      </c>
      <c r="W956" s="97">
        <f>+MATCH(PROVEEDORES[[#This Row],[año facturado]],Retenciones!$1:$1,0)</f>
        <v>4</v>
      </c>
      <c r="X956" s="98">
        <f>+VLOOKUP(PROVEEDORES[[#This Row],[ID RETENCION]],Retenciones!$A$1:$O$25,PROVEEDORES[[#This Row],[indicador de columna]],FALSE)</f>
        <v>0</v>
      </c>
      <c r="Y956" s="99">
        <f>+VLOOKUP(PROVEEDORES[[#This Row],[ID RETENCION]],Retenciones!$A$1:$O$25,2,FALSE)</f>
        <v>0</v>
      </c>
      <c r="Z956" s="125" t="b">
        <f>OR(COUNTIF(PROVEEDORES[[#This Row],[PROVEEDOR]],"*"&amp;'Palabra no opera'!$A$2&amp;"*"))</f>
        <v>0</v>
      </c>
      <c r="AA956" s="24"/>
      <c r="AB956" s="24"/>
      <c r="AC956" s="24"/>
      <c r="AD956" s="24"/>
      <c r="AE956" s="24"/>
    </row>
    <row r="957" spans="1:31" ht="22.2" customHeight="1" x14ac:dyDescent="0.3">
      <c r="A957" s="66" t="str">
        <f>+IF(PROVEEDORES[[#This Row],[FECHA DE PAGO]]=PROVEEDORES[[#This Row],[FECHA DE FACTURACIÓN]],"DE CONTADO","CRÉDITO")</f>
        <v>CRÉDITO</v>
      </c>
      <c r="B957" s="38" t="str">
        <f>+IF((PROVEEDORES[[#This Row],[FECHA DE PAGO]]-PROVEEDORES[[#This Row],[FECHA DE FACTURACIÓN]])&gt;PROVEEDORES[[#This Row],[PLAZO Días]],"PAGO VENCIDO")</f>
        <v>PAGO VENCIDO</v>
      </c>
      <c r="C957" s="20">
        <f>+VLOOKUP(PROVEEDORES[[#This Row],[PROVEEDOR]],TERCEROS_INFO[#All],2,FALSE)</f>
        <v>30</v>
      </c>
      <c r="D957" s="25">
        <f>+SUMIFS(PROVEEDORES[Total],PROVEEDORES[PROVEEDOR],PROVEEDORES[[#This Row],[PROVEEDOR]],PROVEEDORES[FECHA DE PAGO],"")</f>
        <v>0</v>
      </c>
      <c r="E957" s="25"/>
      <c r="F957" s="58" t="str">
        <f>+VLOOKUP(PROVEEDORES[[#This Row],[PROVEEDOR]],
                       Terceros!$A:$F,
                       5,
                       FALSE)</f>
        <v/>
      </c>
      <c r="G957" s="161">
        <v>44482</v>
      </c>
      <c r="H957" s="26" t="s">
        <v>686</v>
      </c>
      <c r="I957" s="161">
        <v>44448</v>
      </c>
      <c r="J957" s="35" t="s">
        <v>1496</v>
      </c>
      <c r="K957" s="21">
        <v>821000</v>
      </c>
      <c r="L957" s="21"/>
      <c r="M957" s="22">
        <f>(PROVEEDORES[[#This Row],[SUBTOTAL]]-PROVEEDORES[[#This Row],[descuento sobre subtotal]])*VLOOKUP(PROVEEDORES[[#This Row],[PROVEEDOR]],TERCEROS_INFO[#All],3,FALSE)</f>
        <v>0</v>
      </c>
      <c r="N957" s="23"/>
      <c r="O957" s="22">
        <f>+PROVEEDORES[[#This Row],[Descuento sobre subtotal %]]*(PROVEEDORES[[#This Row],[SUBTOTAL]]-PROVEEDORES[[#This Row],[descuento sobre subtotal]])</f>
        <v>0</v>
      </c>
      <c r="P957" s="83">
        <f>+IF(PROVEEDORES[[#This Row],[SUBTOTAL]]&lt;PROVEEDORES[[#This Row],[base retencion]],0,PROVEEDORES[[#This Row],[retención aplicada]])</f>
        <v>0</v>
      </c>
      <c r="Q957" s="22">
        <f>+PROVEEDORES[[#This Row],[Rete Fuente %]]*(PROVEEDORES[[#This Row],[SUBTOTAL]]-PROVEEDORES[[#This Row],[descuento sobre subtotal]])</f>
        <v>0</v>
      </c>
      <c r="R957" s="21">
        <f>+PROVEEDORES[[#This Row],[SUBTOTAL]]+PROVEEDORES[[#This Row],[IVA 19%]]-PROVEEDORES[[#This Row],[descuento sobre subtotal]]-PROVEEDORES[[#This Row],[Descuento sobre subtotal $2]]-PROVEEDORES[[#This Row],[Rete Fuente $]]</f>
        <v>821000</v>
      </c>
      <c r="S9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68">
        <f ca="1">IF(PROVEEDORES[[#This Row],[FECHA DE PAGO]]=0,TODAY()-PROVEEDORES[[#This Row],[FECHA DE FACTURACIÓN]]-PROVEEDORES[[#This Row],[PLAZO Días]],0)</f>
        <v>0</v>
      </c>
      <c r="U957" s="96">
        <f>+VLOOKUP(PROVEEDORES[[#This Row],[PROVEEDOR]],Terceros!$A:$D,4,FALSE)</f>
        <v>0</v>
      </c>
      <c r="V957" s="97">
        <f>+YEAR(PROVEEDORES[[#This Row],[FECHA DE FACTURACIÓN]])</f>
        <v>2021</v>
      </c>
      <c r="W957" s="97">
        <f>+MATCH(PROVEEDORES[[#This Row],[año facturado]],Retenciones!$1:$1,0)</f>
        <v>4</v>
      </c>
      <c r="X957" s="98">
        <f>+VLOOKUP(PROVEEDORES[[#This Row],[ID RETENCION]],Retenciones!$A$1:$O$25,PROVEEDORES[[#This Row],[indicador de columna]],FALSE)</f>
        <v>0</v>
      </c>
      <c r="Y957" s="99">
        <f>+VLOOKUP(PROVEEDORES[[#This Row],[ID RETENCION]],Retenciones!$A$1:$O$25,2,FALSE)</f>
        <v>0</v>
      </c>
      <c r="Z957" s="125" t="b">
        <f>OR(COUNTIF(PROVEEDORES[[#This Row],[PROVEEDOR]],"*"&amp;'Palabra no opera'!$A$2&amp;"*"))</f>
        <v>0</v>
      </c>
      <c r="AA957" s="24"/>
      <c r="AB957" s="24"/>
      <c r="AC957" s="24"/>
      <c r="AD957" s="24"/>
      <c r="AE957" s="24"/>
    </row>
    <row r="958" spans="1:31" ht="22.2" customHeight="1" x14ac:dyDescent="0.3">
      <c r="A958" s="66" t="str">
        <f>+IF(PROVEEDORES[[#This Row],[FECHA DE PAGO]]=PROVEEDORES[[#This Row],[FECHA DE FACTURACIÓN]],"DE CONTADO","CRÉDITO")</f>
        <v>CRÉDITO</v>
      </c>
      <c r="B958" s="38" t="b">
        <f>+IF((PROVEEDORES[[#This Row],[FECHA DE PAGO]]-PROVEEDORES[[#This Row],[FECHA DE FACTURACIÓN]])&gt;PROVEEDORES[[#This Row],[PLAZO Días]],"PAGO VENCIDO")</f>
        <v>0</v>
      </c>
      <c r="C958" s="20">
        <f>+VLOOKUP(PROVEEDORES[[#This Row],[PROVEEDOR]],TERCEROS_INFO[#All],2,FALSE)</f>
        <v>30</v>
      </c>
      <c r="D958" s="25">
        <f>+SUMIFS(PROVEEDORES[Total],PROVEEDORES[PROVEEDOR],PROVEEDORES[[#This Row],[PROVEEDOR]],PROVEEDORES[FECHA DE PAGO],"")</f>
        <v>0</v>
      </c>
      <c r="E958" s="25"/>
      <c r="F95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8" s="161">
        <v>44663</v>
      </c>
      <c r="H958" s="26" t="s">
        <v>927</v>
      </c>
      <c r="I958" s="161">
        <v>44652</v>
      </c>
      <c r="J958" s="35" t="s">
        <v>312</v>
      </c>
      <c r="K958" s="21">
        <v>825349</v>
      </c>
      <c r="L958" s="21"/>
      <c r="M958" s="22">
        <f>(PROVEEDORES[[#This Row],[SUBTOTAL]]-PROVEEDORES[[#This Row],[descuento sobre subtotal]])*VLOOKUP(PROVEEDORES[[#This Row],[PROVEEDOR]],TERCEROS_INFO[#All],3,FALSE)</f>
        <v>0</v>
      </c>
      <c r="N958" s="23"/>
      <c r="O958" s="22">
        <f>+PROVEEDORES[[#This Row],[Descuento sobre subtotal %]]*(PROVEEDORES[[#This Row],[SUBTOTAL]]-PROVEEDORES[[#This Row],[descuento sobre subtotal]])</f>
        <v>0</v>
      </c>
      <c r="P958" s="83">
        <f>+IF(PROVEEDORES[[#This Row],[SUBTOTAL]]&lt;PROVEEDORES[[#This Row],[base retencion]],0,PROVEEDORES[[#This Row],[retención aplicada]])</f>
        <v>0</v>
      </c>
      <c r="Q958" s="22">
        <f>+PROVEEDORES[[#This Row],[Rete Fuente %]]*(PROVEEDORES[[#This Row],[SUBTOTAL]]-PROVEEDORES[[#This Row],[descuento sobre subtotal]])</f>
        <v>0</v>
      </c>
      <c r="R958" s="21">
        <v>825349</v>
      </c>
      <c r="S9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68">
        <f ca="1">IF(PROVEEDORES[[#This Row],[FECHA DE PAGO]]=0,TODAY()-PROVEEDORES[[#This Row],[FECHA DE FACTURACIÓN]]-PROVEEDORES[[#This Row],[PLAZO Días]],0)</f>
        <v>0</v>
      </c>
      <c r="U958" s="96">
        <f>+VLOOKUP(PROVEEDORES[[#This Row],[PROVEEDOR]],Terceros!$A:$D,4,FALSE)</f>
        <v>0</v>
      </c>
      <c r="V958" s="97">
        <f>+YEAR(PROVEEDORES[[#This Row],[FECHA DE FACTURACIÓN]])</f>
        <v>2022</v>
      </c>
      <c r="W958" s="97">
        <f>+MATCH(PROVEEDORES[[#This Row],[año facturado]],Retenciones!$1:$1,0)</f>
        <v>5</v>
      </c>
      <c r="X958" s="98">
        <f>+VLOOKUP(PROVEEDORES[[#This Row],[ID RETENCION]],Retenciones!$A$1:$O$25,PROVEEDORES[[#This Row],[indicador de columna]],FALSE)</f>
        <v>0</v>
      </c>
      <c r="Y958" s="99">
        <f>+VLOOKUP(PROVEEDORES[[#This Row],[ID RETENCION]],Retenciones!$A$1:$O$25,2,FALSE)</f>
        <v>0</v>
      </c>
      <c r="Z958" s="125" t="b">
        <f>OR(COUNTIF(PROVEEDORES[[#This Row],[PROVEEDOR]],"*"&amp;'Palabra no opera'!$A$2&amp;"*"))</f>
        <v>1</v>
      </c>
      <c r="AA958" s="24"/>
      <c r="AB958" s="24"/>
      <c r="AC958" s="24"/>
      <c r="AD958" s="24"/>
      <c r="AE958" s="24"/>
    </row>
    <row r="959" spans="1:31" ht="22.2" customHeight="1" x14ac:dyDescent="0.3">
      <c r="A959" s="133" t="str">
        <f>+IF(PROVEEDORES[[#This Row],[FECHA DE PAGO]]=PROVEEDORES[[#This Row],[FECHA DE FACTURACIÓN]],"DE CONTADO","CRÉDITO")</f>
        <v>CRÉDITO</v>
      </c>
      <c r="B959" s="38" t="b">
        <f>+IF((PROVEEDORES[[#This Row],[FECHA DE PAGO]]-PROVEEDORES[[#This Row],[FECHA DE FACTURACIÓN]])&gt;PROVEEDORES[[#This Row],[PLAZO Días]],"PAGO VENCIDO")</f>
        <v>0</v>
      </c>
      <c r="C959" s="20">
        <f>+VLOOKUP(PROVEEDORES[[#This Row],[PROVEEDOR]],TERCEROS_INFO[#All],2,FALSE)</f>
        <v>30</v>
      </c>
      <c r="D959" s="25">
        <f>+SUMIFS(PROVEEDORES[Total],PROVEEDORES[PROVEEDOR],PROVEEDORES[[#This Row],[PROVEEDOR]],PROVEEDORES[FECHA DE PAGO],"")</f>
        <v>0</v>
      </c>
      <c r="E959" s="25"/>
      <c r="F95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9" s="161">
        <v>44691</v>
      </c>
      <c r="H959" s="26" t="s">
        <v>927</v>
      </c>
      <c r="I959" s="161">
        <v>44682</v>
      </c>
      <c r="J959" s="35" t="s">
        <v>312</v>
      </c>
      <c r="K959" s="21">
        <v>825349</v>
      </c>
      <c r="L959" s="21"/>
      <c r="M959" s="22">
        <f>(PROVEEDORES[[#This Row],[SUBTOTAL]]-PROVEEDORES[[#This Row],[descuento sobre subtotal]])*VLOOKUP(PROVEEDORES[[#This Row],[PROVEEDOR]],TERCEROS_INFO[#All],3,FALSE)</f>
        <v>0</v>
      </c>
      <c r="N959" s="23"/>
      <c r="O959" s="22">
        <f>+PROVEEDORES[[#This Row],[Descuento sobre subtotal %]]*(PROVEEDORES[[#This Row],[SUBTOTAL]]-PROVEEDORES[[#This Row],[descuento sobre subtotal]])</f>
        <v>0</v>
      </c>
      <c r="P959" s="83">
        <f>+IF(PROVEEDORES[[#This Row],[SUBTOTAL]]&lt;PROVEEDORES[[#This Row],[base retencion]],0,PROVEEDORES[[#This Row],[retención aplicada]])</f>
        <v>0</v>
      </c>
      <c r="Q959" s="22">
        <f>+PROVEEDORES[[#This Row],[Rete Fuente %]]*(PROVEEDORES[[#This Row],[SUBTOTAL]]-PROVEEDORES[[#This Row],[descuento sobre subtotal]])</f>
        <v>0</v>
      </c>
      <c r="R959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59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68">
        <f ca="1">IF(PROVEEDORES[[#This Row],[FECHA DE PAGO]]=0,TODAY()-PROVEEDORES[[#This Row],[FECHA DE FACTURACIÓN]]-PROVEEDORES[[#This Row],[PLAZO Días]],0)</f>
        <v>0</v>
      </c>
      <c r="U959" s="113">
        <f>+VLOOKUP(PROVEEDORES[[#This Row],[PROVEEDOR]],Terceros!$A:$D,4,FALSE)</f>
        <v>0</v>
      </c>
      <c r="V959" s="114">
        <f>+YEAR(PROVEEDORES[[#This Row],[FECHA DE FACTURACIÓN]])</f>
        <v>2022</v>
      </c>
      <c r="W959" s="114">
        <f>+MATCH(PROVEEDORES[[#This Row],[año facturado]],Retenciones!$1:$1,0)</f>
        <v>5</v>
      </c>
      <c r="X959" s="115">
        <f>+VLOOKUP(PROVEEDORES[[#This Row],[ID RETENCION]],Retenciones!$A$1:$O$25,PROVEEDORES[[#This Row],[indicador de columna]],FALSE)</f>
        <v>0</v>
      </c>
      <c r="Y959" s="116">
        <f>+VLOOKUP(PROVEEDORES[[#This Row],[ID RETENCION]],Retenciones!$A$1:$O$25,2,FALSE)</f>
        <v>0</v>
      </c>
      <c r="Z959" s="125" t="b">
        <f>OR(COUNTIF(PROVEEDORES[[#This Row],[PROVEEDOR]],"*"&amp;'Palabra no opera'!$A$2&amp;"*"))</f>
        <v>1</v>
      </c>
      <c r="AA959" s="24"/>
      <c r="AB959" s="24"/>
      <c r="AC959" s="24"/>
      <c r="AD959" s="24"/>
      <c r="AE959" s="24"/>
    </row>
    <row r="960" spans="1:31" ht="22.2" customHeight="1" x14ac:dyDescent="0.3">
      <c r="A960" s="157" t="str">
        <f>+IF(PROVEEDORES[[#This Row],[FECHA DE PAGO]]=PROVEEDORES[[#This Row],[FECHA DE FACTURACIÓN]],"DE CONTADO","CRÉDITO")</f>
        <v>CRÉDITO</v>
      </c>
      <c r="B960" s="38" t="b">
        <f>+IF((PROVEEDORES[[#This Row],[FECHA DE PAGO]]-PROVEEDORES[[#This Row],[FECHA DE FACTURACIÓN]])&gt;PROVEEDORES[[#This Row],[PLAZO Días]],"PAGO VENCIDO")</f>
        <v>0</v>
      </c>
      <c r="C960" s="20">
        <f>+VLOOKUP(PROVEEDORES[[#This Row],[PROVEEDOR]],TERCEROS_INFO[#All],2,FALSE)</f>
        <v>30</v>
      </c>
      <c r="D960" s="25">
        <f>+SUMIFS(PROVEEDORES[Total],PROVEEDORES[PROVEEDOR],PROVEEDORES[[#This Row],[PROVEEDOR]],PROVEEDORES[FECHA DE PAGO],"")</f>
        <v>0</v>
      </c>
      <c r="E960" s="25"/>
      <c r="F96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60" s="161">
        <v>44729</v>
      </c>
      <c r="H960" s="26" t="s">
        <v>927</v>
      </c>
      <c r="I960" s="161">
        <v>44713</v>
      </c>
      <c r="J960" s="35" t="s">
        <v>312</v>
      </c>
      <c r="K960" s="21">
        <v>825349</v>
      </c>
      <c r="L960" s="21"/>
      <c r="M960" s="22">
        <f>(PROVEEDORES[[#This Row],[SUBTOTAL]]-PROVEEDORES[[#This Row],[descuento sobre subtotal]])*VLOOKUP(PROVEEDORES[[#This Row],[PROVEEDOR]],TERCEROS_INFO[#All],3,FALSE)</f>
        <v>0</v>
      </c>
      <c r="N960" s="23"/>
      <c r="O960" s="22">
        <f>+PROVEEDORES[[#This Row],[Descuento sobre subtotal %]]*(PROVEEDORES[[#This Row],[SUBTOTAL]]-PROVEEDORES[[#This Row],[descuento sobre subtotal]])</f>
        <v>0</v>
      </c>
      <c r="P960" s="83">
        <f>+IF(PROVEEDORES[[#This Row],[SUBTOTAL]]&lt;PROVEEDORES[[#This Row],[base retencion]],0,PROVEEDORES[[#This Row],[retención aplicada]])</f>
        <v>0</v>
      </c>
      <c r="Q960" s="22">
        <f>+PROVEEDORES[[#This Row],[Rete Fuente %]]*(PROVEEDORES[[#This Row],[SUBTOTAL]]-PROVEEDORES[[#This Row],[descuento sobre subtotal]])</f>
        <v>0</v>
      </c>
      <c r="R960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60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68">
        <f ca="1">IF(PROVEEDORES[[#This Row],[FECHA DE PAGO]]=0,TODAY()-PROVEEDORES[[#This Row],[FECHA DE FACTURACIÓN]]-PROVEEDORES[[#This Row],[PLAZO Días]],0)</f>
        <v>0</v>
      </c>
      <c r="U960" s="113">
        <f>+VLOOKUP(PROVEEDORES[[#This Row],[PROVEEDOR]],Terceros!$A:$D,4,FALSE)</f>
        <v>0</v>
      </c>
      <c r="V960" s="114">
        <f>+YEAR(PROVEEDORES[[#This Row],[FECHA DE FACTURACIÓN]])</f>
        <v>2022</v>
      </c>
      <c r="W960" s="114">
        <f>+MATCH(PROVEEDORES[[#This Row],[año facturado]],Retenciones!$1:$1,0)</f>
        <v>5</v>
      </c>
      <c r="X960" s="115">
        <f>+VLOOKUP(PROVEEDORES[[#This Row],[ID RETENCION]],Retenciones!$A$1:$O$25,PROVEEDORES[[#This Row],[indicador de columna]],FALSE)</f>
        <v>0</v>
      </c>
      <c r="Y960" s="116">
        <f>+VLOOKUP(PROVEEDORES[[#This Row],[ID RETENCION]],Retenciones!$A$1:$O$25,2,FALSE)</f>
        <v>0</v>
      </c>
      <c r="Z960" s="125" t="b">
        <f>OR(COUNTIF(PROVEEDORES[[#This Row],[PROVEEDOR]],"*"&amp;'Palabra no opera'!$A$2&amp;"*"))</f>
        <v>1</v>
      </c>
      <c r="AA960" s="24"/>
      <c r="AB960" s="24"/>
      <c r="AC960" s="24"/>
      <c r="AD960" s="24"/>
      <c r="AE960" s="24"/>
    </row>
    <row r="961" spans="1:31" ht="22.2" customHeight="1" x14ac:dyDescent="0.3">
      <c r="A961" s="159" t="str">
        <f>+IF(PROVEEDORES[[#This Row],[FECHA DE PAGO]]=PROVEEDORES[[#This Row],[FECHA DE FACTURACIÓN]],"DE CONTADO","CRÉDITO")</f>
        <v>CRÉDITO</v>
      </c>
      <c r="B961" s="38" t="b">
        <f>+IF((PROVEEDORES[[#This Row],[FECHA DE PAGO]]-PROVEEDORES[[#This Row],[FECHA DE FACTURACIÓN]])&gt;PROVEEDORES[[#This Row],[PLAZO Días]],"PAGO VENCIDO")</f>
        <v>0</v>
      </c>
      <c r="C961" s="20">
        <f>+VLOOKUP(PROVEEDORES[[#This Row],[PROVEEDOR]],TERCEROS_INFO[#All],2,FALSE)</f>
        <v>30</v>
      </c>
      <c r="D961" s="25">
        <f>+SUMIFS(PROVEEDORES[Total],PROVEEDORES[PROVEEDOR],PROVEEDORES[[#This Row],[PROVEEDOR]],PROVEEDORES[FECHA DE PAGO],"")</f>
        <v>0</v>
      </c>
      <c r="E961" s="25"/>
      <c r="F96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61" s="161">
        <v>44761</v>
      </c>
      <c r="H961" s="26" t="s">
        <v>927</v>
      </c>
      <c r="I961" s="161">
        <v>44743</v>
      </c>
      <c r="J961" s="35" t="s">
        <v>312</v>
      </c>
      <c r="K961" s="21">
        <v>825349</v>
      </c>
      <c r="L961" s="21"/>
      <c r="M961" s="22">
        <f>(PROVEEDORES[[#This Row],[SUBTOTAL]]-PROVEEDORES[[#This Row],[descuento sobre subtotal]])*VLOOKUP(PROVEEDORES[[#This Row],[PROVEEDOR]],TERCEROS_INFO[#All],3,FALSE)</f>
        <v>0</v>
      </c>
      <c r="N961" s="23"/>
      <c r="O961" s="22">
        <f>+PROVEEDORES[[#This Row],[Descuento sobre subtotal %]]*(PROVEEDORES[[#This Row],[SUBTOTAL]]-PROVEEDORES[[#This Row],[descuento sobre subtotal]])</f>
        <v>0</v>
      </c>
      <c r="P961" s="83">
        <f>+IF(PROVEEDORES[[#This Row],[SUBTOTAL]]&lt;PROVEEDORES[[#This Row],[base retencion]],0,PROVEEDORES[[#This Row],[retención aplicada]])</f>
        <v>0</v>
      </c>
      <c r="Q961" s="22">
        <f>+PROVEEDORES[[#This Row],[Rete Fuente %]]*(PROVEEDORES[[#This Row],[SUBTOTAL]]-PROVEEDORES[[#This Row],[descuento sobre subtotal]])</f>
        <v>0</v>
      </c>
      <c r="R961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6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1" s="68">
        <f ca="1">IF(PROVEEDORES[[#This Row],[FECHA DE PAGO]]=0,TODAY()-PROVEEDORES[[#This Row],[FECHA DE FACTURACIÓN]]-PROVEEDORES[[#This Row],[PLAZO Días]],0)</f>
        <v>0</v>
      </c>
      <c r="U961" s="113">
        <f>+VLOOKUP(PROVEEDORES[[#This Row],[PROVEEDOR]],Terceros!$A:$D,4,FALSE)</f>
        <v>0</v>
      </c>
      <c r="V961" s="114">
        <f>+YEAR(PROVEEDORES[[#This Row],[FECHA DE FACTURACIÓN]])</f>
        <v>2022</v>
      </c>
      <c r="W961" s="114">
        <f>+MATCH(PROVEEDORES[[#This Row],[año facturado]],Retenciones!$1:$1,0)</f>
        <v>5</v>
      </c>
      <c r="X961" s="115">
        <f>+VLOOKUP(PROVEEDORES[[#This Row],[ID RETENCION]],Retenciones!$A$1:$O$25,PROVEEDORES[[#This Row],[indicador de columna]],FALSE)</f>
        <v>0</v>
      </c>
      <c r="Y961" s="116">
        <f>+VLOOKUP(PROVEEDORES[[#This Row],[ID RETENCION]],Retenciones!$A$1:$O$25,2,FALSE)</f>
        <v>0</v>
      </c>
      <c r="Z961" s="125" t="b">
        <f>OR(COUNTIF(PROVEEDORES[[#This Row],[PROVEEDOR]],"*"&amp;'Palabra no opera'!$A$2&amp;"*"))</f>
        <v>1</v>
      </c>
      <c r="AA961" s="24"/>
      <c r="AB961" s="24"/>
      <c r="AC961" s="24"/>
      <c r="AD961" s="24"/>
      <c r="AE961" s="24"/>
    </row>
    <row r="962" spans="1:31" ht="22.2" customHeight="1" x14ac:dyDescent="0.3">
      <c r="A962" s="215" t="str">
        <f>+IF(PROVEEDORES[[#This Row],[FECHA DE PAGO]]=PROVEEDORES[[#This Row],[FECHA DE FACTURACIÓN]],"DE CONTADO","CRÉDITO")</f>
        <v>CRÉDITO</v>
      </c>
      <c r="B962" s="38" t="b">
        <f>+IF((PROVEEDORES[[#This Row],[FECHA DE PAGO]]-PROVEEDORES[[#This Row],[FECHA DE FACTURACIÓN]])&gt;PROVEEDORES[[#This Row],[PLAZO Días]],"PAGO VENCIDO")</f>
        <v>0</v>
      </c>
      <c r="C962" s="20">
        <f>+VLOOKUP(PROVEEDORES[[#This Row],[PROVEEDOR]],TERCEROS_INFO[#All],2,FALSE)</f>
        <v>30</v>
      </c>
      <c r="D962" s="25">
        <f>+SUMIFS(PROVEEDORES[Total],PROVEEDORES[PROVEEDOR],PROVEEDORES[[#This Row],[PROVEEDOR]],PROVEEDORES[FECHA DE PAGO],"")</f>
        <v>0</v>
      </c>
      <c r="E962" s="25"/>
      <c r="F96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62" s="161">
        <v>44827</v>
      </c>
      <c r="H962" s="26" t="s">
        <v>927</v>
      </c>
      <c r="I962" s="161">
        <v>44805</v>
      </c>
      <c r="J962" s="35" t="s">
        <v>1691</v>
      </c>
      <c r="K962" s="21">
        <v>825349</v>
      </c>
      <c r="L962" s="21"/>
      <c r="M962" s="22">
        <f>(PROVEEDORES[[#This Row],[SUBTOTAL]]-PROVEEDORES[[#This Row],[descuento sobre subtotal]])*VLOOKUP(PROVEEDORES[[#This Row],[PROVEEDOR]],TERCEROS_INFO[#All],3,FALSE)</f>
        <v>0</v>
      </c>
      <c r="N962" s="23"/>
      <c r="O962" s="22">
        <f>+PROVEEDORES[[#This Row],[Descuento sobre subtotal %]]*(PROVEEDORES[[#This Row],[SUBTOTAL]]-PROVEEDORES[[#This Row],[descuento sobre subtotal]])</f>
        <v>0</v>
      </c>
      <c r="P962" s="83">
        <f>+IF(PROVEEDORES[[#This Row],[SUBTOTAL]]&lt;PROVEEDORES[[#This Row],[base retencion]],0,PROVEEDORES[[#This Row],[retención aplicada]])</f>
        <v>0</v>
      </c>
      <c r="Q962" s="22">
        <f>+PROVEEDORES[[#This Row],[Rete Fuente %]]*(PROVEEDORES[[#This Row],[SUBTOTAL]]-PROVEEDORES[[#This Row],[descuento sobre subtotal]])</f>
        <v>0</v>
      </c>
      <c r="R962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62" s="2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68">
        <f ca="1">IF(PROVEEDORES[[#This Row],[FECHA DE PAGO]]=0,TODAY()-PROVEEDORES[[#This Row],[FECHA DE FACTURACIÓN]]-PROVEEDORES[[#This Row],[PLAZO Días]],0)</f>
        <v>0</v>
      </c>
      <c r="U962" s="113">
        <f>+VLOOKUP(PROVEEDORES[[#This Row],[PROVEEDOR]],Terceros!$A:$D,4,FALSE)</f>
        <v>0</v>
      </c>
      <c r="V962" s="114">
        <f>+YEAR(PROVEEDORES[[#This Row],[FECHA DE FACTURACIÓN]])</f>
        <v>2022</v>
      </c>
      <c r="W962" s="114">
        <f>+MATCH(PROVEEDORES[[#This Row],[año facturado]],Retenciones!$1:$1,0)</f>
        <v>5</v>
      </c>
      <c r="X962" s="115">
        <f>+VLOOKUP(PROVEEDORES[[#This Row],[ID RETENCION]],Retenciones!$A$1:$O$25,PROVEEDORES[[#This Row],[indicador de columna]],FALSE)</f>
        <v>0</v>
      </c>
      <c r="Y962" s="116">
        <f>+VLOOKUP(PROVEEDORES[[#This Row],[ID RETENCION]],Retenciones!$A$1:$O$25,2,FALSE)</f>
        <v>0</v>
      </c>
      <c r="Z962" s="125" t="b">
        <f>OR(COUNTIF(PROVEEDORES[[#This Row],[PROVEEDOR]],"*"&amp;'Palabra no opera'!$A$2&amp;"*"))</f>
        <v>1</v>
      </c>
      <c r="AA962" s="24"/>
      <c r="AB962" s="24"/>
      <c r="AC962" s="24"/>
      <c r="AD962" s="24"/>
      <c r="AE962" s="24"/>
    </row>
    <row r="963" spans="1:31" ht="22.2" customHeight="1" x14ac:dyDescent="0.3">
      <c r="A963" s="72" t="str">
        <f>+IF(PROVEEDORES[[#This Row],[FECHA DE PAGO]]=PROVEEDORES[[#This Row],[FECHA DE FACTURACIÓN]],"DE CONTADO","CRÉDITO")</f>
        <v>CRÉDITO</v>
      </c>
      <c r="B963" s="38" t="b">
        <f>+IF((PROVEEDORES[[#This Row],[FECHA DE PAGO]]-PROVEEDORES[[#This Row],[FECHA DE FACTURACIÓN]])&gt;PROVEEDORES[[#This Row],[PLAZO Días]],"PAGO VENCIDO")</f>
        <v>0</v>
      </c>
      <c r="C963" s="20">
        <f>+VLOOKUP(PROVEEDORES[[#This Row],[PROVEEDOR]],TERCEROS_INFO[#All],2,FALSE)</f>
        <v>30</v>
      </c>
      <c r="D963" s="25">
        <f>+SUMIFS(PROVEEDORES[Total],PROVEEDORES[PROVEEDOR],PROVEEDORES[[#This Row],[PROVEEDOR]],PROVEEDORES[FECHA DE PAGO],"")</f>
        <v>0</v>
      </c>
      <c r="E963" s="25"/>
      <c r="F96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63" s="161">
        <v>44858</v>
      </c>
      <c r="H963" s="26" t="s">
        <v>927</v>
      </c>
      <c r="I963" s="161">
        <v>44837</v>
      </c>
      <c r="J963" s="35" t="s">
        <v>1788</v>
      </c>
      <c r="K963" s="21">
        <v>825349</v>
      </c>
      <c r="L963" s="21"/>
      <c r="M963" s="22">
        <f>(PROVEEDORES[[#This Row],[SUBTOTAL]]-PROVEEDORES[[#This Row],[descuento sobre subtotal]])*VLOOKUP(PROVEEDORES[[#This Row],[PROVEEDOR]],TERCEROS_INFO[#All],3,FALSE)</f>
        <v>0</v>
      </c>
      <c r="N963" s="23"/>
      <c r="O963" s="22">
        <f>+PROVEEDORES[[#This Row],[Descuento sobre subtotal %]]*(PROVEEDORES[[#This Row],[SUBTOTAL]]-PROVEEDORES[[#This Row],[descuento sobre subtotal]])</f>
        <v>0</v>
      </c>
      <c r="P963" s="83">
        <f>+IF(PROVEEDORES[[#This Row],[SUBTOTAL]]&lt;PROVEEDORES[[#This Row],[base retencion]],0,PROVEEDORES[[#This Row],[retención aplicada]])</f>
        <v>0</v>
      </c>
      <c r="Q963" s="22">
        <f>+PROVEEDORES[[#This Row],[Rete Fuente %]]*(PROVEEDORES[[#This Row],[SUBTOTAL]]-PROVEEDORES[[#This Row],[descuento sobre subtotal]])</f>
        <v>0</v>
      </c>
      <c r="R963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6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68">
        <f ca="1">IF(PROVEEDORES[[#This Row],[FECHA DE PAGO]]=0,TODAY()-PROVEEDORES[[#This Row],[FECHA DE FACTURACIÓN]]-PROVEEDORES[[#This Row],[PLAZO Días]],0)</f>
        <v>0</v>
      </c>
      <c r="U963" s="113">
        <f>+VLOOKUP(PROVEEDORES[[#This Row],[PROVEEDOR]],Terceros!$A:$D,4,FALSE)</f>
        <v>0</v>
      </c>
      <c r="V963" s="114">
        <f>+YEAR(PROVEEDORES[[#This Row],[FECHA DE FACTURACIÓN]])</f>
        <v>2022</v>
      </c>
      <c r="W963" s="114">
        <f>+MATCH(PROVEEDORES[[#This Row],[año facturado]],Retenciones!$1:$1,0)</f>
        <v>5</v>
      </c>
      <c r="X963" s="115">
        <f>+VLOOKUP(PROVEEDORES[[#This Row],[ID RETENCION]],Retenciones!$A$1:$O$25,PROVEEDORES[[#This Row],[indicador de columna]],FALSE)</f>
        <v>0</v>
      </c>
      <c r="Y963" s="116">
        <f>+VLOOKUP(PROVEEDORES[[#This Row],[ID RETENCION]],Retenciones!$A$1:$O$25,2,FALSE)</f>
        <v>0</v>
      </c>
      <c r="Z963" s="125" t="b">
        <f>OR(COUNTIF(PROVEEDORES[[#This Row],[PROVEEDOR]],"*"&amp;'Palabra no opera'!$A$2&amp;"*"))</f>
        <v>1</v>
      </c>
      <c r="AA963" s="24"/>
      <c r="AB963" s="24"/>
      <c r="AC963" s="24"/>
      <c r="AD963" s="24"/>
      <c r="AE963" s="24"/>
    </row>
    <row r="964" spans="1:31" ht="22.2" customHeight="1" x14ac:dyDescent="0.3">
      <c r="A964" s="66" t="str">
        <f>+IF(PROVEEDORES[[#This Row],[FECHA DE PAGO]]=PROVEEDORES[[#This Row],[FECHA DE FACTURACIÓN]],"DE CONTADO","CRÉDITO")</f>
        <v>CRÉDITO</v>
      </c>
      <c r="B964" s="38" t="str">
        <f>+IF((PROVEEDORES[[#This Row],[FECHA DE PAGO]]-PROVEEDORES[[#This Row],[FECHA DE FACTURACIÓN]])&gt;PROVEEDORES[[#This Row],[PLAZO Días]],"PAGO VENCIDO")</f>
        <v>PAGO VENCIDO</v>
      </c>
      <c r="C964" s="20">
        <f>+VLOOKUP(PROVEEDORES[[#This Row],[PROVEEDOR]],TERCEROS_INFO[#All],2,FALSE)</f>
        <v>45</v>
      </c>
      <c r="D964" s="25">
        <f>+SUMIFS(PROVEEDORES[Total],PROVEEDORES[PROVEEDOR],PROVEEDORES[[#This Row],[PROVEEDOR]],PROVEEDORES[FECHA DE PAGO],"")</f>
        <v>2604910</v>
      </c>
      <c r="E964" s="25"/>
      <c r="F96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64" s="161">
        <v>44389</v>
      </c>
      <c r="H964" s="26" t="s">
        <v>10</v>
      </c>
      <c r="I964" s="161">
        <v>44328</v>
      </c>
      <c r="J964" s="35" t="s">
        <v>329</v>
      </c>
      <c r="K964" s="21">
        <v>698200</v>
      </c>
      <c r="L964" s="21"/>
      <c r="M964" s="22">
        <f>(PROVEEDORES[[#This Row],[SUBTOTAL]]-PROVEEDORES[[#This Row],[descuento sobre subtotal]])*VLOOKUP(PROVEEDORES[[#This Row],[PROVEEDOR]],TERCEROS_INFO[#All],3,FALSE)</f>
        <v>132658</v>
      </c>
      <c r="N964" s="23"/>
      <c r="O964" s="22">
        <f>+PROVEEDORES[[#This Row],[Descuento sobre subtotal %]]*(PROVEEDORES[[#This Row],[SUBTOTAL]]-PROVEEDORES[[#This Row],[descuento sobre subtotal]])</f>
        <v>0</v>
      </c>
      <c r="P964" s="83">
        <f>+IF(PROVEEDORES[[#This Row],[SUBTOTAL]]&lt;PROVEEDORES[[#This Row],[base retencion]],0,PROVEEDORES[[#This Row],[retención aplicada]])</f>
        <v>0</v>
      </c>
      <c r="Q964" s="22">
        <f>+PROVEEDORES[[#This Row],[Rete Fuente %]]*(PROVEEDORES[[#This Row],[SUBTOTAL]]-PROVEEDORES[[#This Row],[descuento sobre subtotal]])</f>
        <v>0</v>
      </c>
      <c r="R964" s="21">
        <f>+PROVEEDORES[[#This Row],[SUBTOTAL]]+PROVEEDORES[[#This Row],[IVA 19%]]-PROVEEDORES[[#This Row],[descuento sobre subtotal]]-PROVEEDORES[[#This Row],[Descuento sobre subtotal $2]]-PROVEEDORES[[#This Row],[Rete Fuente $]]</f>
        <v>830858</v>
      </c>
      <c r="S9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68">
        <f ca="1">IF(PROVEEDORES[[#This Row],[FECHA DE PAGO]]=0,TODAY()-PROVEEDORES[[#This Row],[FECHA DE FACTURACIÓN]]-PROVEEDORES[[#This Row],[PLAZO Días]],0)</f>
        <v>0</v>
      </c>
      <c r="U964" s="96">
        <f>+VLOOKUP(PROVEEDORES[[#This Row],[PROVEEDOR]],Terceros!$A:$D,4,FALSE)</f>
        <v>0</v>
      </c>
      <c r="V964" s="97">
        <f>+YEAR(PROVEEDORES[[#This Row],[FECHA DE FACTURACIÓN]])</f>
        <v>2021</v>
      </c>
      <c r="W964" s="97">
        <f>+MATCH(PROVEEDORES[[#This Row],[año facturado]],Retenciones!$1:$1,0)</f>
        <v>4</v>
      </c>
      <c r="X964" s="98">
        <f>+VLOOKUP(PROVEEDORES[[#This Row],[ID RETENCION]],Retenciones!$A$1:$O$25,PROVEEDORES[[#This Row],[indicador de columna]],FALSE)</f>
        <v>0</v>
      </c>
      <c r="Y964" s="99">
        <f>+VLOOKUP(PROVEEDORES[[#This Row],[ID RETENCION]],Retenciones!$A$1:$O$25,2,FALSE)</f>
        <v>0</v>
      </c>
      <c r="Z964" s="125" t="b">
        <f>OR(COUNTIF(PROVEEDORES[[#This Row],[PROVEEDOR]],"*"&amp;'Palabra no opera'!$A$2&amp;"*"))</f>
        <v>0</v>
      </c>
      <c r="AA964" s="24"/>
      <c r="AB964" s="24"/>
      <c r="AC964" s="24"/>
      <c r="AD964" s="24"/>
      <c r="AE964" s="24"/>
    </row>
    <row r="965" spans="1:31" ht="22.2" customHeight="1" x14ac:dyDescent="0.3">
      <c r="A965" s="123" t="str">
        <f>+IF(PROVEEDORES[[#This Row],[FECHA DE PAGO]]=PROVEEDORES[[#This Row],[FECHA DE FACTURACIÓN]],"DE CONTADO","CRÉDITO")</f>
        <v>CRÉDITO</v>
      </c>
      <c r="B965" s="38" t="b">
        <f>+IF((PROVEEDORES[[#This Row],[FECHA DE PAGO]]-PROVEEDORES[[#This Row],[FECHA DE FACTURACIÓN]])&gt;PROVEEDORES[[#This Row],[PLAZO Días]],"PAGO VENCIDO")</f>
        <v>0</v>
      </c>
      <c r="C965" s="20">
        <f>+VLOOKUP(PROVEEDORES[[#This Row],[PROVEEDOR]],TERCEROS_INFO[#All],2,FALSE)</f>
        <v>30</v>
      </c>
      <c r="D965" s="25">
        <f>+SUMIFS(PROVEEDORES[Total],PROVEEDORES[PROVEEDOR],PROVEEDORES[[#This Row],[PROVEEDOR]],PROVEEDORES[FECHA DE PAGO],"")</f>
        <v>0</v>
      </c>
      <c r="E965" s="25"/>
      <c r="F965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65" s="161">
        <v>44707</v>
      </c>
      <c r="H965" s="26" t="s">
        <v>49</v>
      </c>
      <c r="I965" s="161">
        <v>44678</v>
      </c>
      <c r="J965" s="35">
        <v>6844</v>
      </c>
      <c r="K965" s="21">
        <v>700840.2</v>
      </c>
      <c r="L965" s="21"/>
      <c r="M965" s="22">
        <f>(PROVEEDORES[[#This Row],[SUBTOTAL]]-PROVEEDORES[[#This Row],[descuento sobre subtotal]])*VLOOKUP(PROVEEDORES[[#This Row],[PROVEEDOR]],TERCEROS_INFO[#All],3,FALSE)</f>
        <v>133159.63800000001</v>
      </c>
      <c r="N965" s="23"/>
      <c r="O965" s="22">
        <f>+PROVEEDORES[[#This Row],[Descuento sobre subtotal %]]*(PROVEEDORES[[#This Row],[SUBTOTAL]]-PROVEEDORES[[#This Row],[descuento sobre subtotal]])</f>
        <v>0</v>
      </c>
      <c r="P965" s="83">
        <f>+IF(PROVEEDORES[[#This Row],[SUBTOTAL]]&lt;PROVEEDORES[[#This Row],[base retencion]],0,PROVEEDORES[[#This Row],[retención aplicada]])</f>
        <v>0</v>
      </c>
      <c r="Q965" s="22">
        <f>+PROVEEDORES[[#This Row],[Rete Fuente %]]*(PROVEEDORES[[#This Row],[SUBTOTAL]]-PROVEEDORES[[#This Row],[descuento sobre subtotal]])</f>
        <v>0</v>
      </c>
      <c r="R965" s="21">
        <f>+PROVEEDORES[[#This Row],[SUBTOTAL]]+PROVEEDORES[[#This Row],[IVA 19%]]-PROVEEDORES[[#This Row],[descuento sobre subtotal]]-PROVEEDORES[[#This Row],[Descuento sobre subtotal $2]]-PROVEEDORES[[#This Row],[Rete Fuente $]]</f>
        <v>833999.83799999999</v>
      </c>
      <c r="S965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68">
        <f ca="1">IF(PROVEEDORES[[#This Row],[FECHA DE PAGO]]=0,TODAY()-PROVEEDORES[[#This Row],[FECHA DE FACTURACIÓN]]-PROVEEDORES[[#This Row],[PLAZO Días]],0)</f>
        <v>0</v>
      </c>
      <c r="U965" s="113" t="str">
        <f>+VLOOKUP(PROVEEDORES[[#This Row],[PROVEEDOR]],Terceros!$A:$D,4,FALSE)</f>
        <v>2,5% con base</v>
      </c>
      <c r="V965" s="114">
        <f>+YEAR(PROVEEDORES[[#This Row],[FECHA DE FACTURACIÓN]])</f>
        <v>2022</v>
      </c>
      <c r="W965" s="114">
        <f>+MATCH(PROVEEDORES[[#This Row],[año facturado]],Retenciones!$1:$1,0)</f>
        <v>5</v>
      </c>
      <c r="X965" s="115">
        <f>+VLOOKUP(PROVEEDORES[[#This Row],[ID RETENCION]],Retenciones!$A$1:$O$25,PROVEEDORES[[#This Row],[indicador de columna]],FALSE)</f>
        <v>1026000</v>
      </c>
      <c r="Y965" s="116">
        <f>+VLOOKUP(PROVEEDORES[[#This Row],[ID RETENCION]],Retenciones!$A$1:$O$25,2,FALSE)</f>
        <v>2.5000000000000001E-2</v>
      </c>
      <c r="Z965" s="125" t="b">
        <f>OR(COUNTIF(PROVEEDORES[[#This Row],[PROVEEDOR]],"*"&amp;'Palabra no opera'!$A$2&amp;"*"))</f>
        <v>0</v>
      </c>
      <c r="AA965" s="24"/>
      <c r="AB965" s="24"/>
      <c r="AC965" s="24"/>
      <c r="AD965" s="24"/>
      <c r="AE965" s="24"/>
    </row>
    <row r="966" spans="1:31" ht="22.2" customHeight="1" x14ac:dyDescent="0.3">
      <c r="A966" s="66" t="str">
        <f>+IF(PROVEEDORES[[#This Row],[FECHA DE PAGO]]=PROVEEDORES[[#This Row],[FECHA DE FACTURACIÓN]],"DE CONTADO","CRÉDITO")</f>
        <v>DE CONTADO</v>
      </c>
      <c r="B966" s="38" t="b">
        <f>+IF((PROVEEDORES[[#This Row],[FECHA DE PAGO]]-PROVEEDORES[[#This Row],[FECHA DE FACTURACIÓN]])&gt;PROVEEDORES[[#This Row],[PLAZO Días]],"PAGO VENCIDO")</f>
        <v>0</v>
      </c>
      <c r="C966" s="20">
        <f>+VLOOKUP(PROVEEDORES[[#This Row],[PROVEEDOR]],TERCEROS_INFO[#All],2,FALSE)</f>
        <v>30</v>
      </c>
      <c r="D966" s="25">
        <f>+SUMIFS(PROVEEDORES[Total],PROVEEDORES[PROVEEDOR],PROVEEDORES[[#This Row],[PROVEEDOR]],PROVEEDORES[FECHA DE PAGO],"")</f>
        <v>0</v>
      </c>
      <c r="E966" s="25"/>
      <c r="F966" s="58" t="str">
        <f>+VLOOKUP(PROVEEDORES[[#This Row],[PROVEEDOR]],
                       Terceros!$A:$F,
                       5,
                       FALSE)</f>
        <v/>
      </c>
      <c r="G966" s="161">
        <v>44422</v>
      </c>
      <c r="H966" s="26" t="s">
        <v>673</v>
      </c>
      <c r="I966" s="161">
        <v>44422</v>
      </c>
      <c r="J966" s="35"/>
      <c r="K966" s="21">
        <v>836000</v>
      </c>
      <c r="L966" s="21"/>
      <c r="M966" s="22">
        <f>(PROVEEDORES[[#This Row],[SUBTOTAL]]-PROVEEDORES[[#This Row],[descuento sobre subtotal]])*VLOOKUP(PROVEEDORES[[#This Row],[PROVEEDOR]],TERCEROS_INFO[#All],3,FALSE)</f>
        <v>0</v>
      </c>
      <c r="N966" s="23"/>
      <c r="O966" s="22">
        <f>+PROVEEDORES[[#This Row],[Descuento sobre subtotal %]]*(PROVEEDORES[[#This Row],[SUBTOTAL]]-PROVEEDORES[[#This Row],[descuento sobre subtotal]])</f>
        <v>0</v>
      </c>
      <c r="P966" s="83">
        <f>+IF(PROVEEDORES[[#This Row],[SUBTOTAL]]&lt;PROVEEDORES[[#This Row],[base retencion]],0,PROVEEDORES[[#This Row],[retención aplicada]])</f>
        <v>0</v>
      </c>
      <c r="Q966" s="22">
        <f>+PROVEEDORES[[#This Row],[Rete Fuente %]]*(PROVEEDORES[[#This Row],[SUBTOTAL]]-PROVEEDORES[[#This Row],[descuento sobre subtotal]])</f>
        <v>0</v>
      </c>
      <c r="R966" s="21">
        <f>+PROVEEDORES[[#This Row],[SUBTOTAL]]+PROVEEDORES[[#This Row],[IVA 19%]]-PROVEEDORES[[#This Row],[descuento sobre subtotal]]-PROVEEDORES[[#This Row],[Descuento sobre subtotal $2]]-PROVEEDORES[[#This Row],[Rete Fuente $]]</f>
        <v>836000</v>
      </c>
      <c r="S9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68">
        <f ca="1">IF(PROVEEDORES[[#This Row],[FECHA DE PAGO]]=0,TODAY()-PROVEEDORES[[#This Row],[FECHA DE FACTURACIÓN]]-PROVEEDORES[[#This Row],[PLAZO Días]],0)</f>
        <v>0</v>
      </c>
      <c r="U966" s="96">
        <f>+VLOOKUP(PROVEEDORES[[#This Row],[PROVEEDOR]],Terceros!$A:$D,4,FALSE)</f>
        <v>0</v>
      </c>
      <c r="V966" s="97">
        <f>+YEAR(PROVEEDORES[[#This Row],[FECHA DE FACTURACIÓN]])</f>
        <v>2021</v>
      </c>
      <c r="W966" s="97">
        <f>+MATCH(PROVEEDORES[[#This Row],[año facturado]],Retenciones!$1:$1,0)</f>
        <v>4</v>
      </c>
      <c r="X966" s="98">
        <f>+VLOOKUP(PROVEEDORES[[#This Row],[ID RETENCION]],Retenciones!$A$1:$O$25,PROVEEDORES[[#This Row],[indicador de columna]],FALSE)</f>
        <v>0</v>
      </c>
      <c r="Y966" s="99">
        <f>+VLOOKUP(PROVEEDORES[[#This Row],[ID RETENCION]],Retenciones!$A$1:$O$25,2,FALSE)</f>
        <v>0</v>
      </c>
      <c r="Z966" s="125" t="b">
        <f>OR(COUNTIF(PROVEEDORES[[#This Row],[PROVEEDOR]],"*"&amp;'Palabra no opera'!$A$2&amp;"*"))</f>
        <v>0</v>
      </c>
      <c r="AA966" s="24"/>
      <c r="AB966" s="24"/>
      <c r="AC966" s="24"/>
      <c r="AD966" s="24"/>
      <c r="AE966" s="24"/>
    </row>
    <row r="967" spans="1:31" ht="22.2" customHeight="1" x14ac:dyDescent="0.3">
      <c r="A967" s="269" t="str">
        <f>+IF(PROVEEDORES[[#This Row],[FECHA DE PAGO]]=PROVEEDORES[[#This Row],[FECHA DE FACTURACIÓN]],"DE CONTADO","CRÉDITO")</f>
        <v>CRÉDITO</v>
      </c>
      <c r="B967" s="38" t="b">
        <f>+IF((PROVEEDORES[[#This Row],[FECHA DE PAGO]]-PROVEEDORES[[#This Row],[FECHA DE FACTURACIÓN]])&gt;PROVEEDORES[[#This Row],[PLAZO Días]],"PAGO VENCIDO")</f>
        <v>0</v>
      </c>
      <c r="C967" s="20">
        <f>+VLOOKUP(PROVEEDORES[[#This Row],[PROVEEDOR]],TERCEROS_INFO[#All],2,FALSE)</f>
        <v>30</v>
      </c>
      <c r="D967" s="25">
        <f>+SUMIFS(PROVEEDORES[Total],PROVEEDORES[PROVEEDOR],PROVEEDORES[[#This Row],[PROVEEDOR]],PROVEEDORES[FECHA DE PAGO],"")</f>
        <v>0</v>
      </c>
      <c r="E967" s="25"/>
      <c r="F967" s="58"/>
      <c r="G967" s="161">
        <v>44869</v>
      </c>
      <c r="H967" s="26" t="s">
        <v>1767</v>
      </c>
      <c r="I967" s="161">
        <v>44868</v>
      </c>
      <c r="J967" s="35" t="s">
        <v>1828</v>
      </c>
      <c r="K967" s="21">
        <v>840000</v>
      </c>
      <c r="L967" s="21"/>
      <c r="M967" s="22">
        <f>(PROVEEDORES[[#This Row],[SUBTOTAL]]-PROVEEDORES[[#This Row],[descuento sobre subtotal]])*VLOOKUP(PROVEEDORES[[#This Row],[PROVEEDOR]],TERCEROS_INFO[#All],3,FALSE)</f>
        <v>0</v>
      </c>
      <c r="N967" s="23"/>
      <c r="O967" s="22">
        <f>+PROVEEDORES[[#This Row],[Descuento sobre subtotal %]]*(PROVEEDORES[[#This Row],[SUBTOTAL]]-PROVEEDORES[[#This Row],[descuento sobre subtotal]])</f>
        <v>0</v>
      </c>
      <c r="P967" s="83">
        <f>+IF(PROVEEDORES[[#This Row],[SUBTOTAL]]&lt;PROVEEDORES[[#This Row],[base retencion]],0,PROVEEDORES[[#This Row],[retención aplicada]])</f>
        <v>0</v>
      </c>
      <c r="Q967" s="22">
        <f>+PROVEEDORES[[#This Row],[Rete Fuente %]]*(PROVEEDORES[[#This Row],[SUBTOTAL]]-PROVEEDORES[[#This Row],[descuento sobre subtotal]])</f>
        <v>0</v>
      </c>
      <c r="R967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967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68">
        <f ca="1">IF(PROVEEDORES[[#This Row],[FECHA DE PAGO]]=0,TODAY()-PROVEEDORES[[#This Row],[FECHA DE FACTURACIÓN]]-PROVEEDORES[[#This Row],[PLAZO Días]],0)</f>
        <v>0</v>
      </c>
      <c r="U967" s="113">
        <f>+VLOOKUP(PROVEEDORES[[#This Row],[PROVEEDOR]],Terceros!$A:$D,4,FALSE)</f>
        <v>0</v>
      </c>
      <c r="V967" s="114">
        <f>+YEAR(PROVEEDORES[[#This Row],[FECHA DE FACTURACIÓN]])</f>
        <v>2022</v>
      </c>
      <c r="W967" s="114">
        <f>+MATCH(PROVEEDORES[[#This Row],[año facturado]],Retenciones!$1:$1,0)</f>
        <v>5</v>
      </c>
      <c r="X967" s="115">
        <f>+VLOOKUP(PROVEEDORES[[#This Row],[ID RETENCION]],Retenciones!$A$1:$O$25,PROVEEDORES[[#This Row],[indicador de columna]],FALSE)</f>
        <v>0</v>
      </c>
      <c r="Y967" s="116">
        <f>+VLOOKUP(PROVEEDORES[[#This Row],[ID RETENCION]],Retenciones!$A$1:$O$25,2,FALSE)</f>
        <v>0</v>
      </c>
      <c r="Z967" s="125" t="b">
        <f>OR(COUNTIF(PROVEEDORES[[#This Row],[PROVEEDOR]],"*"&amp;'Palabra no opera'!$A$2&amp;"*"))</f>
        <v>0</v>
      </c>
      <c r="AA967" s="24"/>
      <c r="AB967" s="24"/>
      <c r="AC967" s="24"/>
      <c r="AD967" s="24"/>
      <c r="AE967" s="24"/>
    </row>
    <row r="968" spans="1:31" ht="22.2" customHeight="1" x14ac:dyDescent="0.3">
      <c r="A968" s="257" t="str">
        <f>+IF(PROVEEDORES[[#This Row],[FECHA DE PAGO]]=PROVEEDORES[[#This Row],[FECHA DE FACTURACIÓN]],"DE CONTADO","CRÉDITO")</f>
        <v>CRÉDITO</v>
      </c>
      <c r="B968" s="38" t="str">
        <f>+IF((PROVEEDORES[[#This Row],[FECHA DE PAGO]]-PROVEEDORES[[#This Row],[FECHA DE FACTURACIÓN]])&gt;PROVEEDORES[[#This Row],[PLAZO Días]],"PAGO VENCIDO")</f>
        <v>PAGO VENCIDO</v>
      </c>
      <c r="C968" s="20">
        <f>+VLOOKUP(PROVEEDORES[[#This Row],[PROVEEDOR]],TERCEROS_INFO[#All],2,FALSE)</f>
        <v>30</v>
      </c>
      <c r="D968" s="25">
        <f>+SUMIFS(PROVEEDORES[Total],PROVEEDORES[PROVEEDOR],PROVEEDORES[[#This Row],[PROVEEDOR]],PROVEEDORES[FECHA DE PAGO],"")</f>
        <v>23124164.219999999</v>
      </c>
      <c r="E968" s="25"/>
      <c r="F96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68" s="161">
        <v>44867</v>
      </c>
      <c r="H968" s="26" t="s">
        <v>18</v>
      </c>
      <c r="I968" s="161">
        <v>44825</v>
      </c>
      <c r="J968" s="35">
        <v>1059417</v>
      </c>
      <c r="K968" s="21">
        <v>708017.10000000009</v>
      </c>
      <c r="L968" s="21"/>
      <c r="M968" s="22">
        <f>(PROVEEDORES[[#This Row],[SUBTOTAL]]-PROVEEDORES[[#This Row],[descuento sobre subtotal]])*VLOOKUP(PROVEEDORES[[#This Row],[PROVEEDOR]],TERCEROS_INFO[#All],3,FALSE)</f>
        <v>134523.24900000001</v>
      </c>
      <c r="N968" s="23"/>
      <c r="O968" s="22">
        <f>+PROVEEDORES[[#This Row],[Descuento sobre subtotal %]]*(PROVEEDORES[[#This Row],[SUBTOTAL]]-PROVEEDORES[[#This Row],[descuento sobre subtotal]])</f>
        <v>0</v>
      </c>
      <c r="P968" s="83">
        <f>+IF(PROVEEDORES[[#This Row],[SUBTOTAL]]&lt;PROVEEDORES[[#This Row],[base retencion]],0,PROVEEDORES[[#This Row],[retención aplicada]])</f>
        <v>0</v>
      </c>
      <c r="Q968" s="22">
        <f>+PROVEEDORES[[#This Row],[Rete Fuente %]]*(PROVEEDORES[[#This Row],[SUBTOTAL]]-PROVEEDORES[[#This Row],[descuento sobre subtotal]])</f>
        <v>0</v>
      </c>
      <c r="R968" s="21">
        <f>+PROVEEDORES[[#This Row],[SUBTOTAL]]+PROVEEDORES[[#This Row],[IVA 19%]]-PROVEEDORES[[#This Row],[descuento sobre subtotal]]-PROVEEDORES[[#This Row],[Descuento sobre subtotal $2]]-PROVEEDORES[[#This Row],[Rete Fuente $]]</f>
        <v>842540.34900000016</v>
      </c>
      <c r="S968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68">
        <f ca="1">IF(PROVEEDORES[[#This Row],[FECHA DE PAGO]]=0,TODAY()-PROVEEDORES[[#This Row],[FECHA DE FACTURACIÓN]]-PROVEEDORES[[#This Row],[PLAZO Días]],0)</f>
        <v>0</v>
      </c>
      <c r="U968" s="113" t="str">
        <f>+VLOOKUP(PROVEEDORES[[#This Row],[PROVEEDOR]],Terceros!$A:$D,4,FALSE)</f>
        <v>2,5% con base</v>
      </c>
      <c r="V968" s="114">
        <f>+YEAR(PROVEEDORES[[#This Row],[FECHA DE FACTURACIÓN]])</f>
        <v>2022</v>
      </c>
      <c r="W968" s="114">
        <f>+MATCH(PROVEEDORES[[#This Row],[año facturado]],Retenciones!$1:$1,0)</f>
        <v>5</v>
      </c>
      <c r="X968" s="115">
        <f>+VLOOKUP(PROVEEDORES[[#This Row],[ID RETENCION]],Retenciones!$A$1:$O$25,PROVEEDORES[[#This Row],[indicador de columna]],FALSE)</f>
        <v>1026000</v>
      </c>
      <c r="Y968" s="116">
        <f>+VLOOKUP(PROVEEDORES[[#This Row],[ID RETENCION]],Retenciones!$A$1:$O$25,2,FALSE)</f>
        <v>2.5000000000000001E-2</v>
      </c>
      <c r="Z968" s="125" t="b">
        <f>OR(COUNTIF(PROVEEDORES[[#This Row],[PROVEEDOR]],"*"&amp;'Palabra no opera'!$A$2&amp;"*"))</f>
        <v>0</v>
      </c>
      <c r="AA968" s="24"/>
      <c r="AB968" s="24"/>
      <c r="AC968" s="24"/>
      <c r="AD968" s="24"/>
      <c r="AE968" s="24"/>
    </row>
    <row r="969" spans="1:31" ht="22.2" customHeight="1" x14ac:dyDescent="0.3">
      <c r="A969" s="66" t="str">
        <f>+IF(PROVEEDORES[[#This Row],[FECHA DE PAGO]]=PROVEEDORES[[#This Row],[FECHA DE FACTURACIÓN]],"DE CONTADO","CRÉDITO")</f>
        <v>CRÉDITO</v>
      </c>
      <c r="B969" s="38" t="str">
        <f>+IF((PROVEEDORES[[#This Row],[FECHA DE PAGO]]-PROVEEDORES[[#This Row],[FECHA DE FACTURACIÓN]])&gt;PROVEEDORES[[#This Row],[PLAZO Días]],"PAGO VENCIDO")</f>
        <v>PAGO VENCIDO</v>
      </c>
      <c r="C969" s="20">
        <f>+VLOOKUP(PROVEEDORES[[#This Row],[PROVEEDOR]],TERCEROS_INFO[#All],2,FALSE)</f>
        <v>45</v>
      </c>
      <c r="D969" s="25">
        <f>+SUMIFS(PROVEEDORES[Total],PROVEEDORES[PROVEEDOR],PROVEEDORES[[#This Row],[PROVEEDOR]],PROVEEDORES[FECHA DE PAGO],"")</f>
        <v>31891814.359999999</v>
      </c>
      <c r="E969" s="25"/>
      <c r="F96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9" s="161">
        <v>44498</v>
      </c>
      <c r="H969" s="26" t="s">
        <v>19</v>
      </c>
      <c r="I969" s="161">
        <v>44441</v>
      </c>
      <c r="J969" s="35" t="s">
        <v>463</v>
      </c>
      <c r="K969" s="21">
        <v>708480</v>
      </c>
      <c r="L969" s="21"/>
      <c r="M969" s="22">
        <f>(PROVEEDORES[[#This Row],[SUBTOTAL]]-PROVEEDORES[[#This Row],[descuento sobre subtotal]])*VLOOKUP(PROVEEDORES[[#This Row],[PROVEEDOR]],TERCEROS_INFO[#All],3,FALSE)</f>
        <v>134611.20000000001</v>
      </c>
      <c r="N969" s="23"/>
      <c r="O969" s="22">
        <f>+PROVEEDORES[[#This Row],[Descuento sobre subtotal %]]*(PROVEEDORES[[#This Row],[SUBTOTAL]]-PROVEEDORES[[#This Row],[descuento sobre subtotal]])</f>
        <v>0</v>
      </c>
      <c r="P969" s="83">
        <f>+IF(PROVEEDORES[[#This Row],[SUBTOTAL]]&lt;PROVEEDORES[[#This Row],[base retencion]],0,PROVEEDORES[[#This Row],[retención aplicada]])</f>
        <v>0</v>
      </c>
      <c r="Q969" s="22">
        <f>+PROVEEDORES[[#This Row],[Rete Fuente %]]*(PROVEEDORES[[#This Row],[SUBTOTAL]]-PROVEEDORES[[#This Row],[descuento sobre subtotal]])</f>
        <v>0</v>
      </c>
      <c r="R969" s="21">
        <f>+PROVEEDORES[[#This Row],[SUBTOTAL]]+PROVEEDORES[[#This Row],[IVA 19%]]-PROVEEDORES[[#This Row],[descuento sobre subtotal]]-PROVEEDORES[[#This Row],[Descuento sobre subtotal $2]]-PROVEEDORES[[#This Row],[Rete Fuente $]]</f>
        <v>843091.2</v>
      </c>
      <c r="S9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68">
        <f ca="1">IF(PROVEEDORES[[#This Row],[FECHA DE PAGO]]=0,TODAY()-PROVEEDORES[[#This Row],[FECHA DE FACTURACIÓN]]-PROVEEDORES[[#This Row],[PLAZO Días]],0)</f>
        <v>0</v>
      </c>
      <c r="U969" s="96">
        <f>+VLOOKUP(PROVEEDORES[[#This Row],[PROVEEDOR]],Terceros!$A:$D,4,FALSE)</f>
        <v>0</v>
      </c>
      <c r="V969" s="97">
        <f>+YEAR(PROVEEDORES[[#This Row],[FECHA DE FACTURACIÓN]])</f>
        <v>2021</v>
      </c>
      <c r="W969" s="97">
        <f>+MATCH(PROVEEDORES[[#This Row],[año facturado]],Retenciones!$1:$1,0)</f>
        <v>4</v>
      </c>
      <c r="X969" s="98">
        <f>+VLOOKUP(PROVEEDORES[[#This Row],[ID RETENCION]],Retenciones!$A$1:$O$25,PROVEEDORES[[#This Row],[indicador de columna]],FALSE)</f>
        <v>0</v>
      </c>
      <c r="Y969" s="99">
        <f>+VLOOKUP(PROVEEDORES[[#This Row],[ID RETENCION]],Retenciones!$A$1:$O$25,2,FALSE)</f>
        <v>0</v>
      </c>
      <c r="Z969" s="125" t="b">
        <f>OR(COUNTIF(PROVEEDORES[[#This Row],[PROVEEDOR]],"*"&amp;'Palabra no opera'!$A$2&amp;"*"))</f>
        <v>0</v>
      </c>
      <c r="AA969" s="24"/>
      <c r="AB969" s="24"/>
      <c r="AC969" s="24"/>
      <c r="AD969" s="24"/>
      <c r="AE969" s="24"/>
    </row>
    <row r="970" spans="1:31" ht="22.2" customHeight="1" x14ac:dyDescent="0.3">
      <c r="A970" s="207" t="str">
        <f>+IF(PROVEEDORES[[#This Row],[FECHA DE PAGO]]=PROVEEDORES[[#This Row],[FECHA DE FACTURACIÓN]],"DE CONTADO","CRÉDITO")</f>
        <v>CRÉDITO</v>
      </c>
      <c r="B970" s="38" t="str">
        <f>+IF((PROVEEDORES[[#This Row],[FECHA DE PAGO]]-PROVEEDORES[[#This Row],[FECHA DE FACTURACIÓN]])&gt;PROVEEDORES[[#This Row],[PLAZO Días]],"PAGO VENCIDO")</f>
        <v>PAGO VENCIDO</v>
      </c>
      <c r="C970" s="20">
        <f>+VLOOKUP(PROVEEDORES[[#This Row],[PROVEEDOR]],TERCEROS_INFO[#All],2,FALSE)</f>
        <v>30</v>
      </c>
      <c r="D970" s="25">
        <f>+SUMIFS(PROVEEDORES[Total],PROVEEDORES[PROVEEDOR],PROVEEDORES[[#This Row],[PROVEEDOR]],PROVEEDORES[FECHA DE PAGO],"")</f>
        <v>0</v>
      </c>
      <c r="E970" s="25"/>
      <c r="F970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970" s="161">
        <v>44823</v>
      </c>
      <c r="H970" s="26" t="s">
        <v>65</v>
      </c>
      <c r="I970" s="161">
        <v>44789</v>
      </c>
      <c r="J970" s="35" t="s">
        <v>1417</v>
      </c>
      <c r="K970" s="21">
        <v>709244</v>
      </c>
      <c r="L970" s="21"/>
      <c r="M970" s="22">
        <f>(PROVEEDORES[[#This Row],[SUBTOTAL]]-PROVEEDORES[[#This Row],[descuento sobre subtotal]])*VLOOKUP(PROVEEDORES[[#This Row],[PROVEEDOR]],TERCEROS_INFO[#All],3,FALSE)</f>
        <v>134756.36000000002</v>
      </c>
      <c r="N970" s="23"/>
      <c r="O970" s="22">
        <f>+PROVEEDORES[[#This Row],[Descuento sobre subtotal %]]*(PROVEEDORES[[#This Row],[SUBTOTAL]]-PROVEEDORES[[#This Row],[descuento sobre subtotal]])</f>
        <v>0</v>
      </c>
      <c r="P970" s="83">
        <f>+IF(PROVEEDORES[[#This Row],[SUBTOTAL]]&lt;PROVEEDORES[[#This Row],[base retencion]],0,PROVEEDORES[[#This Row],[retención aplicada]])</f>
        <v>0</v>
      </c>
      <c r="Q970" s="22">
        <f>+PROVEEDORES[[#This Row],[Rete Fuente %]]*(PROVEEDORES[[#This Row],[SUBTOTAL]]-PROVEEDORES[[#This Row],[descuento sobre subtotal]])</f>
        <v>0</v>
      </c>
      <c r="R970" s="21">
        <f>+PROVEEDORES[[#This Row],[SUBTOTAL]]+PROVEEDORES[[#This Row],[IVA 19%]]-PROVEEDORES[[#This Row],[descuento sobre subtotal]]-PROVEEDORES[[#This Row],[Descuento sobre subtotal $2]]-PROVEEDORES[[#This Row],[Rete Fuente $]]</f>
        <v>844000.36</v>
      </c>
      <c r="S97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68">
        <f ca="1">IF(PROVEEDORES[[#This Row],[FECHA DE PAGO]]=0,TODAY()-PROVEEDORES[[#This Row],[FECHA DE FACTURACIÓN]]-PROVEEDORES[[#This Row],[PLAZO Días]],0)</f>
        <v>0</v>
      </c>
      <c r="U970" s="113" t="str">
        <f>+VLOOKUP(PROVEEDORES[[#This Row],[PROVEEDOR]],Terceros!$A:$D,4,FALSE)</f>
        <v>2,5% con base</v>
      </c>
      <c r="V970" s="114">
        <f>+YEAR(PROVEEDORES[[#This Row],[FECHA DE FACTURACIÓN]])</f>
        <v>2022</v>
      </c>
      <c r="W970" s="114">
        <f>+MATCH(PROVEEDORES[[#This Row],[año facturado]],Retenciones!$1:$1,0)</f>
        <v>5</v>
      </c>
      <c r="X970" s="115">
        <f>+VLOOKUP(PROVEEDORES[[#This Row],[ID RETENCION]],Retenciones!$A$1:$O$25,PROVEEDORES[[#This Row],[indicador de columna]],FALSE)</f>
        <v>1026000</v>
      </c>
      <c r="Y970" s="116">
        <f>+VLOOKUP(PROVEEDORES[[#This Row],[ID RETENCION]],Retenciones!$A$1:$O$25,2,FALSE)</f>
        <v>2.5000000000000001E-2</v>
      </c>
      <c r="Z970" s="125" t="b">
        <f>OR(COUNTIF(PROVEEDORES[[#This Row],[PROVEEDOR]],"*"&amp;'Palabra no opera'!$A$2&amp;"*"))</f>
        <v>0</v>
      </c>
      <c r="AA970" s="24"/>
      <c r="AB970" s="24"/>
      <c r="AC970" s="24"/>
      <c r="AD970" s="24"/>
      <c r="AE970" s="24"/>
    </row>
    <row r="971" spans="1:31" ht="22.2" customHeight="1" x14ac:dyDescent="0.3">
      <c r="A971" s="72" t="str">
        <f>+IF(PROVEEDORES[[#This Row],[FECHA DE PAGO]]=PROVEEDORES[[#This Row],[FECHA DE FACTURACIÓN]],"DE CONTADO","CRÉDITO")</f>
        <v>CRÉDITO</v>
      </c>
      <c r="B971" s="38" t="b">
        <f>+IF((PROVEEDORES[[#This Row],[FECHA DE PAGO]]-PROVEEDORES[[#This Row],[FECHA DE FACTURACIÓN]])&gt;PROVEEDORES[[#This Row],[PLAZO Días]],"PAGO VENCIDO")</f>
        <v>0</v>
      </c>
      <c r="C971" s="20">
        <f>+VLOOKUP(PROVEEDORES[[#This Row],[PROVEEDOR]],TERCEROS_INFO[#All],2,FALSE)</f>
        <v>30</v>
      </c>
      <c r="D971" s="25">
        <f>+SUMIFS(PROVEEDORES[Total],PROVEEDORES[PROVEEDOR],PROVEEDORES[[#This Row],[PROVEEDOR]],PROVEEDORES[FECHA DE PAGO],"")</f>
        <v>845001.15</v>
      </c>
      <c r="E971" s="25"/>
      <c r="F971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H971" s="26" t="s">
        <v>1155</v>
      </c>
      <c r="I971" s="161">
        <v>44839</v>
      </c>
      <c r="J971" s="35" t="s">
        <v>1760</v>
      </c>
      <c r="K971" s="21">
        <v>710085</v>
      </c>
      <c r="L971" s="21"/>
      <c r="M971" s="22">
        <f>(PROVEEDORES[[#This Row],[SUBTOTAL]]-PROVEEDORES[[#This Row],[descuento sobre subtotal]])*VLOOKUP(PROVEEDORES[[#This Row],[PROVEEDOR]],TERCEROS_INFO[#All],3,FALSE)</f>
        <v>134916.15</v>
      </c>
      <c r="N971" s="23"/>
      <c r="O971" s="22">
        <f>+PROVEEDORES[[#This Row],[Descuento sobre subtotal %]]*(PROVEEDORES[[#This Row],[SUBTOTAL]]-PROVEEDORES[[#This Row],[descuento sobre subtotal]])</f>
        <v>0</v>
      </c>
      <c r="P971" s="83">
        <f>+IF(PROVEEDORES[[#This Row],[SUBTOTAL]]&lt;PROVEEDORES[[#This Row],[base retencion]],0,PROVEEDORES[[#This Row],[retención aplicada]])</f>
        <v>0</v>
      </c>
      <c r="Q971" s="22">
        <f>+PROVEEDORES[[#This Row],[Rete Fuente %]]*(PROVEEDORES[[#This Row],[SUBTOTAL]]-PROVEEDORES[[#This Row],[descuento sobre subtotal]])</f>
        <v>0</v>
      </c>
      <c r="R971" s="21">
        <f>+PROVEEDORES[[#This Row],[SUBTOTAL]]+PROVEEDORES[[#This Row],[IVA 19%]]-PROVEEDORES[[#This Row],[descuento sobre subtotal]]-PROVEEDORES[[#This Row],[Descuento sobre subtotal $2]]-PROVEEDORES[[#This Row],[Rete Fuente $]]</f>
        <v>845001.15</v>
      </c>
      <c r="S971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971" s="68">
        <f ca="1">IF(PROVEEDORES[[#This Row],[FECHA DE PAGO]]=0,TODAY()-PROVEEDORES[[#This Row],[FECHA DE FACTURACIÓN]]-PROVEEDORES[[#This Row],[PLAZO Días]],0)</f>
        <v>6</v>
      </c>
      <c r="U971" s="113" t="str">
        <f>+VLOOKUP(PROVEEDORES[[#This Row],[PROVEEDOR]],Terceros!$A:$D,4,FALSE)</f>
        <v>2,5% con base</v>
      </c>
      <c r="V971" s="114">
        <f>+YEAR(PROVEEDORES[[#This Row],[FECHA DE FACTURACIÓN]])</f>
        <v>2022</v>
      </c>
      <c r="W971" s="114">
        <f>+MATCH(PROVEEDORES[[#This Row],[año facturado]],Retenciones!$1:$1,0)</f>
        <v>5</v>
      </c>
      <c r="X971" s="115">
        <f>+VLOOKUP(PROVEEDORES[[#This Row],[ID RETENCION]],Retenciones!$A$1:$O$25,PROVEEDORES[[#This Row],[indicador de columna]],FALSE)</f>
        <v>1026000</v>
      </c>
      <c r="Y971" s="116">
        <f>+VLOOKUP(PROVEEDORES[[#This Row],[ID RETENCION]],Retenciones!$A$1:$O$25,2,FALSE)</f>
        <v>2.5000000000000001E-2</v>
      </c>
      <c r="Z971" s="125" t="b">
        <f>OR(COUNTIF(PROVEEDORES[[#This Row],[PROVEEDOR]],"*"&amp;'Palabra no opera'!$A$2&amp;"*"))</f>
        <v>0</v>
      </c>
      <c r="AA971" s="24"/>
      <c r="AB971" s="24"/>
      <c r="AC971" s="24"/>
      <c r="AD971" s="24"/>
      <c r="AE971" s="24"/>
    </row>
    <row r="972" spans="1:31" ht="22.2" customHeight="1" x14ac:dyDescent="0.3">
      <c r="A972" s="66" t="str">
        <f>+IF(PROVEEDORES[[#This Row],[FECHA DE PAGO]]=PROVEEDORES[[#This Row],[FECHA DE FACTURACIÓN]],"DE CONTADO","CRÉDITO")</f>
        <v>CRÉDITO</v>
      </c>
      <c r="B972" s="38" t="b">
        <f>+IF((PROVEEDORES[[#This Row],[FECHA DE PAGO]]-PROVEEDORES[[#This Row],[FECHA DE FACTURACIÓN]])&gt;PROVEEDORES[[#This Row],[PLAZO Días]],"PAGO VENCIDO")</f>
        <v>0</v>
      </c>
      <c r="C972" s="20">
        <f>+VLOOKUP(PROVEEDORES[[#This Row],[PROVEEDOR]],TERCEROS_INFO[#All],2,FALSE)</f>
        <v>30</v>
      </c>
      <c r="D972" s="25">
        <f>+SUMIFS(PROVEEDORES[Total],PROVEEDORES[PROVEEDOR],PROVEEDORES[[#This Row],[PROVEEDOR]],PROVEEDORES[FECHA DE PAGO],"")</f>
        <v>0</v>
      </c>
      <c r="E972" s="25"/>
      <c r="F97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972" s="161">
        <v>44558</v>
      </c>
      <c r="H972" s="26" t="s">
        <v>24</v>
      </c>
      <c r="I972" s="161">
        <v>44530</v>
      </c>
      <c r="J972" s="35" t="s">
        <v>550</v>
      </c>
      <c r="K972" s="21">
        <v>710400</v>
      </c>
      <c r="L972" s="21"/>
      <c r="M972" s="22">
        <f>(PROVEEDORES[[#This Row],[SUBTOTAL]]-PROVEEDORES[[#This Row],[descuento sobre subtotal]])*VLOOKUP(PROVEEDORES[[#This Row],[PROVEEDOR]],TERCEROS_INFO[#All],3,FALSE)</f>
        <v>134976</v>
      </c>
      <c r="N972" s="23"/>
      <c r="O972" s="22">
        <f>+PROVEEDORES[[#This Row],[Descuento sobre subtotal %]]*(PROVEEDORES[[#This Row],[SUBTOTAL]]-PROVEEDORES[[#This Row],[descuento sobre subtotal]])</f>
        <v>0</v>
      </c>
      <c r="P972" s="83">
        <f>+IF(PROVEEDORES[[#This Row],[SUBTOTAL]]&lt;PROVEEDORES[[#This Row],[base retencion]],0,PROVEEDORES[[#This Row],[retención aplicada]])</f>
        <v>0</v>
      </c>
      <c r="Q972" s="22">
        <f>+PROVEEDORES[[#This Row],[Rete Fuente %]]*(PROVEEDORES[[#This Row],[SUBTOTAL]]-PROVEEDORES[[#This Row],[descuento sobre subtotal]])</f>
        <v>0</v>
      </c>
      <c r="R972" s="21">
        <f>+PROVEEDORES[[#This Row],[SUBTOTAL]]+PROVEEDORES[[#This Row],[IVA 19%]]-PROVEEDORES[[#This Row],[descuento sobre subtotal]]-PROVEEDORES[[#This Row],[Descuento sobre subtotal $2]]-PROVEEDORES[[#This Row],[Rete Fuente $]]</f>
        <v>845376</v>
      </c>
      <c r="S9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68">
        <f ca="1">IF(PROVEEDORES[[#This Row],[FECHA DE PAGO]]=0,TODAY()-PROVEEDORES[[#This Row],[FECHA DE FACTURACIÓN]]-PROVEEDORES[[#This Row],[PLAZO Días]],0)</f>
        <v>0</v>
      </c>
      <c r="U972" s="96" t="str">
        <f>+VLOOKUP(PROVEEDORES[[#This Row],[PROVEEDOR]],Terceros!$A:$D,4,FALSE)</f>
        <v>2,5% con base</v>
      </c>
      <c r="V972" s="97">
        <f>+YEAR(PROVEEDORES[[#This Row],[FECHA DE FACTURACIÓN]])</f>
        <v>2021</v>
      </c>
      <c r="W972" s="97">
        <f>+MATCH(PROVEEDORES[[#This Row],[año facturado]],Retenciones!$1:$1,0)</f>
        <v>4</v>
      </c>
      <c r="X972" s="98">
        <f>+VLOOKUP(PROVEEDORES[[#This Row],[ID RETENCION]],Retenciones!$A$1:$O$25,PROVEEDORES[[#This Row],[indicador de columna]],FALSE)</f>
        <v>980000</v>
      </c>
      <c r="Y972" s="99">
        <f>+VLOOKUP(PROVEEDORES[[#This Row],[ID RETENCION]],Retenciones!$A$1:$O$25,2,FALSE)</f>
        <v>2.5000000000000001E-2</v>
      </c>
      <c r="Z972" s="125" t="b">
        <f>OR(COUNTIF(PROVEEDORES[[#This Row],[PROVEEDOR]],"*"&amp;'Palabra no opera'!$A$2&amp;"*"))</f>
        <v>0</v>
      </c>
      <c r="AA972" s="24"/>
      <c r="AB972" s="24"/>
      <c r="AC972" s="24"/>
      <c r="AD972" s="24"/>
      <c r="AE972" s="24"/>
    </row>
    <row r="973" spans="1:31" ht="22.2" customHeight="1" x14ac:dyDescent="0.3">
      <c r="A973" s="66" t="str">
        <f>+IF(PROVEEDORES[[#This Row],[FECHA DE PAGO]]=PROVEEDORES[[#This Row],[FECHA DE FACTURACIÓN]],"DE CONTADO","CRÉDITO")</f>
        <v>CRÉDITO</v>
      </c>
      <c r="B973" s="38" t="str">
        <f>+IF((PROVEEDORES[[#This Row],[FECHA DE PAGO]]-PROVEEDORES[[#This Row],[FECHA DE FACTURACIÓN]])&gt;PROVEEDORES[[#This Row],[PLAZO Días]],"PAGO VENCIDO")</f>
        <v>PAGO VENCIDO</v>
      </c>
      <c r="C973" s="20">
        <f>+VLOOKUP(PROVEEDORES[[#This Row],[PROVEEDOR]],TERCEROS_INFO[#All],2,FALSE)</f>
        <v>30</v>
      </c>
      <c r="D973" s="25">
        <f>+SUMIFS(PROVEEDORES[Total],PROVEEDORES[PROVEEDOR],PROVEEDORES[[#This Row],[PROVEEDOR]],PROVEEDORES[FECHA DE PAGO],"")</f>
        <v>23124164.219999999</v>
      </c>
      <c r="E973" s="25"/>
      <c r="F97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73" s="161">
        <v>44684</v>
      </c>
      <c r="H973" s="26" t="s">
        <v>18</v>
      </c>
      <c r="I973" s="161">
        <v>44645</v>
      </c>
      <c r="J973" s="35">
        <v>1051505</v>
      </c>
      <c r="K973" s="21">
        <v>713143.68</v>
      </c>
      <c r="L973" s="21"/>
      <c r="M973" s="22">
        <f>(PROVEEDORES[[#This Row],[SUBTOTAL]]-PROVEEDORES[[#This Row],[descuento sobre subtotal]])*VLOOKUP(PROVEEDORES[[#This Row],[PROVEEDOR]],TERCEROS_INFO[#All],3,FALSE)</f>
        <v>135497.29920000001</v>
      </c>
      <c r="N973" s="23"/>
      <c r="O973" s="22">
        <f>+PROVEEDORES[[#This Row],[Descuento sobre subtotal %]]*(PROVEEDORES[[#This Row],[SUBTOTAL]]-PROVEEDORES[[#This Row],[descuento sobre subtotal]])</f>
        <v>0</v>
      </c>
      <c r="P973" s="83">
        <f>+IF(PROVEEDORES[[#This Row],[SUBTOTAL]]&lt;PROVEEDORES[[#This Row],[base retencion]],0,PROVEEDORES[[#This Row],[retención aplicada]])</f>
        <v>0</v>
      </c>
      <c r="Q973" s="22">
        <f>+PROVEEDORES[[#This Row],[Rete Fuente %]]*(PROVEEDORES[[#This Row],[SUBTOTAL]]-PROVEEDORES[[#This Row],[descuento sobre subtotal]])</f>
        <v>0</v>
      </c>
      <c r="R973" s="21">
        <f>+PROVEEDORES[[#This Row],[SUBTOTAL]]+PROVEEDORES[[#This Row],[IVA 19%]]-PROVEEDORES[[#This Row],[descuento sobre subtotal]]-PROVEEDORES[[#This Row],[Descuento sobre subtotal $2]]-PROVEEDORES[[#This Row],[Rete Fuente $]]</f>
        <v>848640.97920000006</v>
      </c>
      <c r="S9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68">
        <f ca="1">IF(PROVEEDORES[[#This Row],[FECHA DE PAGO]]=0,TODAY()-PROVEEDORES[[#This Row],[FECHA DE FACTURACIÓN]]-PROVEEDORES[[#This Row],[PLAZO Días]],0)</f>
        <v>0</v>
      </c>
      <c r="U973" s="96" t="str">
        <f>+VLOOKUP(PROVEEDORES[[#This Row],[PROVEEDOR]],Terceros!$A:$D,4,FALSE)</f>
        <v>2,5% con base</v>
      </c>
      <c r="V973" s="97">
        <f>+YEAR(PROVEEDORES[[#This Row],[FECHA DE FACTURACIÓN]])</f>
        <v>2022</v>
      </c>
      <c r="W973" s="97">
        <f>+MATCH(PROVEEDORES[[#This Row],[año facturado]],Retenciones!$1:$1,0)</f>
        <v>5</v>
      </c>
      <c r="X973" s="98">
        <f>+VLOOKUP(PROVEEDORES[[#This Row],[ID RETENCION]],Retenciones!$A$1:$O$25,PROVEEDORES[[#This Row],[indicador de columna]],FALSE)</f>
        <v>1026000</v>
      </c>
      <c r="Y973" s="99">
        <f>+VLOOKUP(PROVEEDORES[[#This Row],[ID RETENCION]],Retenciones!$A$1:$O$25,2,FALSE)</f>
        <v>2.5000000000000001E-2</v>
      </c>
      <c r="Z973" s="125" t="b">
        <f>OR(COUNTIF(PROVEEDORES[[#This Row],[PROVEEDOR]],"*"&amp;'Palabra no opera'!$A$2&amp;"*"))</f>
        <v>0</v>
      </c>
      <c r="AA973" s="24"/>
      <c r="AB973" s="24"/>
      <c r="AC973" s="24"/>
      <c r="AD973" s="24"/>
      <c r="AE973" s="24"/>
    </row>
    <row r="974" spans="1:31" ht="22.2" customHeight="1" x14ac:dyDescent="0.3">
      <c r="A974" s="66" t="str">
        <f>+IF(PROVEEDORES[[#This Row],[FECHA DE PAGO]]=PROVEEDORES[[#This Row],[FECHA DE FACTURACIÓN]],"DE CONTADO","CRÉDITO")</f>
        <v>CRÉDITO</v>
      </c>
      <c r="B974" s="38" t="str">
        <f>+IF((PROVEEDORES[[#This Row],[FECHA DE PAGO]]-PROVEEDORES[[#This Row],[FECHA DE FACTURACIÓN]])&gt;PROVEEDORES[[#This Row],[PLAZO Días]],"PAGO VENCIDO")</f>
        <v>PAGO VENCIDO</v>
      </c>
      <c r="C974" s="20">
        <f>+VLOOKUP(PROVEEDORES[[#This Row],[PROVEEDOR]],TERCEROS_INFO[#All],2,FALSE)</f>
        <v>30</v>
      </c>
      <c r="D974" s="25">
        <f>+SUMIFS(PROVEEDORES[Total],PROVEEDORES[PROVEEDOR],PROVEEDORES[[#This Row],[PROVEEDOR]],PROVEEDORES[FECHA DE PAGO],"")</f>
        <v>0</v>
      </c>
      <c r="E974" s="25"/>
      <c r="F97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74" s="161">
        <v>44264</v>
      </c>
      <c r="H974" s="26" t="s">
        <v>691</v>
      </c>
      <c r="I974" s="161">
        <v>44230</v>
      </c>
      <c r="J974" s="35">
        <v>2609</v>
      </c>
      <c r="K974" s="21">
        <v>849850</v>
      </c>
      <c r="L974" s="21"/>
      <c r="M974" s="22">
        <f>(PROVEEDORES[[#This Row],[SUBTOTAL]]-PROVEEDORES[[#This Row],[descuento sobre subtotal]])*VLOOKUP(PROVEEDORES[[#This Row],[PROVEEDOR]],TERCEROS_INFO[#All],3,FALSE)</f>
        <v>0</v>
      </c>
      <c r="N974" s="23"/>
      <c r="O974" s="22">
        <f>+PROVEEDORES[[#This Row],[Descuento sobre subtotal %]]*(PROVEEDORES[[#This Row],[SUBTOTAL]]-PROVEEDORES[[#This Row],[descuento sobre subtotal]])</f>
        <v>0</v>
      </c>
      <c r="P974" s="83">
        <f>+IF(PROVEEDORES[[#This Row],[SUBTOTAL]]&lt;PROVEEDORES[[#This Row],[base retencion]],0,PROVEEDORES[[#This Row],[retención aplicada]])</f>
        <v>0</v>
      </c>
      <c r="Q974" s="22">
        <f>+PROVEEDORES[[#This Row],[Rete Fuente %]]*(PROVEEDORES[[#This Row],[SUBTOTAL]]-PROVEEDORES[[#This Row],[descuento sobre subtotal]])</f>
        <v>0</v>
      </c>
      <c r="R974" s="21">
        <f>+PROVEEDORES[[#This Row],[SUBTOTAL]]+PROVEEDORES[[#This Row],[IVA 19%]]-PROVEEDORES[[#This Row],[descuento sobre subtotal]]-PROVEEDORES[[#This Row],[Descuento sobre subtotal $2]]-PROVEEDORES[[#This Row],[Rete Fuente $]]</f>
        <v>849850</v>
      </c>
      <c r="S9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68">
        <f ca="1">IF(PROVEEDORES[[#This Row],[FECHA DE PAGO]]=0,TODAY()-PROVEEDORES[[#This Row],[FECHA DE FACTURACIÓN]]-PROVEEDORES[[#This Row],[PLAZO Días]],0)</f>
        <v>0</v>
      </c>
      <c r="U974" s="96">
        <f>+VLOOKUP(PROVEEDORES[[#This Row],[PROVEEDOR]],Terceros!$A:$D,4,FALSE)</f>
        <v>0</v>
      </c>
      <c r="V974" s="97">
        <f>+YEAR(PROVEEDORES[[#This Row],[FECHA DE FACTURACIÓN]])</f>
        <v>2021</v>
      </c>
      <c r="W974" s="97">
        <f>+MATCH(PROVEEDORES[[#This Row],[año facturado]],Retenciones!$1:$1,0)</f>
        <v>4</v>
      </c>
      <c r="X974" s="98">
        <f>+VLOOKUP(PROVEEDORES[[#This Row],[ID RETENCION]],Retenciones!$A$1:$O$25,PROVEEDORES[[#This Row],[indicador de columna]],FALSE)</f>
        <v>0</v>
      </c>
      <c r="Y974" s="99">
        <f>+VLOOKUP(PROVEEDORES[[#This Row],[ID RETENCION]],Retenciones!$A$1:$O$25,2,FALSE)</f>
        <v>0</v>
      </c>
      <c r="Z974" s="125" t="b">
        <f>OR(COUNTIF(PROVEEDORES[[#This Row],[PROVEEDOR]],"*"&amp;'Palabra no opera'!$A$2&amp;"*"))</f>
        <v>0</v>
      </c>
      <c r="AA974" s="24"/>
      <c r="AB974" s="24"/>
      <c r="AC974" s="24"/>
      <c r="AD974" s="24"/>
      <c r="AE974" s="24"/>
    </row>
    <row r="975" spans="1:31" ht="22.2" customHeight="1" x14ac:dyDescent="0.3">
      <c r="A975" s="66" t="str">
        <f>+IF(PROVEEDORES[[#This Row],[FECHA DE PAGO]]=PROVEEDORES[[#This Row],[FECHA DE FACTURACIÓN]],"DE CONTADO","CRÉDITO")</f>
        <v>CRÉDITO</v>
      </c>
      <c r="B975" s="38" t="str">
        <f>+IF((PROVEEDORES[[#This Row],[FECHA DE PAGO]]-PROVEEDORES[[#This Row],[FECHA DE FACTURACIÓN]])&gt;PROVEEDORES[[#This Row],[PLAZO Días]],"PAGO VENCIDO")</f>
        <v>PAGO VENCIDO</v>
      </c>
      <c r="C975" s="20">
        <f>+VLOOKUP(PROVEEDORES[[#This Row],[PROVEEDOR]],TERCEROS_INFO[#All],2,FALSE)</f>
        <v>30</v>
      </c>
      <c r="D975" s="25">
        <f>+SUMIFS(PROVEEDORES[Total],PROVEEDORES[PROVEEDOR],PROVEEDORES[[#This Row],[PROVEEDOR]],PROVEEDORES[FECHA DE PAGO],"")</f>
        <v>3236000</v>
      </c>
      <c r="E975" s="25"/>
      <c r="F97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975" s="161">
        <v>44480</v>
      </c>
      <c r="H975" s="26" t="s">
        <v>677</v>
      </c>
      <c r="I975" s="161">
        <v>44448</v>
      </c>
      <c r="J975" s="35" t="s">
        <v>1495</v>
      </c>
      <c r="K975" s="21">
        <v>850000</v>
      </c>
      <c r="L975" s="21"/>
      <c r="M975" s="22">
        <f>(PROVEEDORES[[#This Row],[SUBTOTAL]]-PROVEEDORES[[#This Row],[descuento sobre subtotal]])*VLOOKUP(PROVEEDORES[[#This Row],[PROVEEDOR]],TERCEROS_INFO[#All],3,FALSE)</f>
        <v>0</v>
      </c>
      <c r="N975" s="23"/>
      <c r="O975" s="22">
        <f>+PROVEEDORES[[#This Row],[Descuento sobre subtotal %]]*(PROVEEDORES[[#This Row],[SUBTOTAL]]-PROVEEDORES[[#This Row],[descuento sobre subtotal]])</f>
        <v>0</v>
      </c>
      <c r="P975" s="83">
        <f>+IF(PROVEEDORES[[#This Row],[SUBTOTAL]]&lt;PROVEEDORES[[#This Row],[base retencion]],0,PROVEEDORES[[#This Row],[retención aplicada]])</f>
        <v>0</v>
      </c>
      <c r="Q975" s="22">
        <f>+PROVEEDORES[[#This Row],[Rete Fuente %]]*(PROVEEDORES[[#This Row],[SUBTOTAL]]-PROVEEDORES[[#This Row],[descuento sobre subtotal]])</f>
        <v>0</v>
      </c>
      <c r="R975" s="21">
        <f>+PROVEEDORES[[#This Row],[SUBTOTAL]]+PROVEEDORES[[#This Row],[IVA 19%]]-PROVEEDORES[[#This Row],[descuento sobre subtotal]]-PROVEEDORES[[#This Row],[Descuento sobre subtotal $2]]-PROVEEDORES[[#This Row],[Rete Fuente $]]</f>
        <v>850000</v>
      </c>
      <c r="S9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68">
        <f ca="1">IF(PROVEEDORES[[#This Row],[FECHA DE PAGO]]=0,TODAY()-PROVEEDORES[[#This Row],[FECHA DE FACTURACIÓN]]-PROVEEDORES[[#This Row],[PLAZO Días]],0)</f>
        <v>0</v>
      </c>
      <c r="U975" s="96">
        <f>+VLOOKUP(PROVEEDORES[[#This Row],[PROVEEDOR]],Terceros!$A:$D,4,FALSE)</f>
        <v>0</v>
      </c>
      <c r="V975" s="97">
        <f>+YEAR(PROVEEDORES[[#This Row],[FECHA DE FACTURACIÓN]])</f>
        <v>2021</v>
      </c>
      <c r="W975" s="97">
        <f>+MATCH(PROVEEDORES[[#This Row],[año facturado]],Retenciones!$1:$1,0)</f>
        <v>4</v>
      </c>
      <c r="X975" s="98">
        <f>+VLOOKUP(PROVEEDORES[[#This Row],[ID RETENCION]],Retenciones!$A$1:$O$25,PROVEEDORES[[#This Row],[indicador de columna]],FALSE)</f>
        <v>0</v>
      </c>
      <c r="Y975" s="99">
        <f>+VLOOKUP(PROVEEDORES[[#This Row],[ID RETENCION]],Retenciones!$A$1:$O$25,2,FALSE)</f>
        <v>0</v>
      </c>
      <c r="Z975" s="125" t="b">
        <f>OR(COUNTIF(PROVEEDORES[[#This Row],[PROVEEDOR]],"*"&amp;'Palabra no opera'!$A$2&amp;"*"))</f>
        <v>0</v>
      </c>
      <c r="AA975" s="24"/>
      <c r="AB975" s="24"/>
      <c r="AC975" s="24"/>
      <c r="AD975" s="24"/>
      <c r="AE975" s="24"/>
    </row>
    <row r="976" spans="1:31" ht="22.2" customHeight="1" x14ac:dyDescent="0.3">
      <c r="A976" s="66" t="str">
        <f>+IF(PROVEEDORES[[#This Row],[FECHA DE PAGO]]=PROVEEDORES[[#This Row],[FECHA DE FACTURACIÓN]],"DE CONTADO","CRÉDITO")</f>
        <v>CRÉDITO</v>
      </c>
      <c r="B976" s="38" t="b">
        <f>+IF((PROVEEDORES[[#This Row],[FECHA DE PAGO]]-PROVEEDORES[[#This Row],[FECHA DE FACTURACIÓN]])&gt;PROVEEDORES[[#This Row],[PLAZO Días]],"PAGO VENCIDO")</f>
        <v>0</v>
      </c>
      <c r="C976" s="20">
        <f>+VLOOKUP(PROVEEDORES[[#This Row],[PROVEEDOR]],TERCEROS_INFO[#All],2,FALSE)</f>
        <v>30</v>
      </c>
      <c r="D976" s="25">
        <f>+SUMIFS(PROVEEDORES[Total],PROVEEDORES[PROVEEDOR],PROVEEDORES[[#This Row],[PROVEEDOR]],PROVEEDORES[FECHA DE PAGO],"")</f>
        <v>0</v>
      </c>
      <c r="E976" s="25"/>
      <c r="F97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6" s="161">
        <v>44250</v>
      </c>
      <c r="H976" s="26" t="s">
        <v>913</v>
      </c>
      <c r="I976" s="161">
        <v>44228</v>
      </c>
      <c r="J976" s="35">
        <v>4792</v>
      </c>
      <c r="K976" s="21">
        <v>716544</v>
      </c>
      <c r="L976" s="21"/>
      <c r="M976" s="22">
        <f>(PROVEEDORES[[#This Row],[SUBTOTAL]]-PROVEEDORES[[#This Row],[descuento sobre subtotal]])*VLOOKUP(PROVEEDORES[[#This Row],[PROVEEDOR]],TERCEROS_INFO[#All],3,FALSE)</f>
        <v>136143.36000000002</v>
      </c>
      <c r="N976" s="23"/>
      <c r="O976" s="22">
        <f>+PROVEEDORES[[#This Row],[Descuento sobre subtotal %]]*(PROVEEDORES[[#This Row],[SUBTOTAL]]-PROVEEDORES[[#This Row],[descuento sobre subtotal]])</f>
        <v>0</v>
      </c>
      <c r="P976" s="83">
        <f>+IF(PROVEEDORES[[#This Row],[SUBTOTAL]]&lt;PROVEEDORES[[#This Row],[base retencion]],0,PROVEEDORES[[#This Row],[retención aplicada]])</f>
        <v>0</v>
      </c>
      <c r="Q976" s="22">
        <f>+PROVEEDORES[[#This Row],[Rete Fuente %]]*(PROVEEDORES[[#This Row],[SUBTOTAL]]-PROVEEDORES[[#This Row],[descuento sobre subtotal]])</f>
        <v>0</v>
      </c>
      <c r="R976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68">
        <f ca="1">IF(PROVEEDORES[[#This Row],[FECHA DE PAGO]]=0,TODAY()-PROVEEDORES[[#This Row],[FECHA DE FACTURACIÓN]]-PROVEEDORES[[#This Row],[PLAZO Días]],0)</f>
        <v>0</v>
      </c>
      <c r="U976" s="96">
        <f>+VLOOKUP(PROVEEDORES[[#This Row],[PROVEEDOR]],Terceros!$A:$D,4,FALSE)</f>
        <v>0</v>
      </c>
      <c r="V976" s="97">
        <f>+YEAR(PROVEEDORES[[#This Row],[FECHA DE FACTURACIÓN]])</f>
        <v>2021</v>
      </c>
      <c r="W976" s="97">
        <f>+MATCH(PROVEEDORES[[#This Row],[año facturado]],Retenciones!$1:$1,0)</f>
        <v>4</v>
      </c>
      <c r="X976" s="98">
        <f>+VLOOKUP(PROVEEDORES[[#This Row],[ID RETENCION]],Retenciones!$A$1:$O$25,PROVEEDORES[[#This Row],[indicador de columna]],FALSE)</f>
        <v>0</v>
      </c>
      <c r="Y976" s="99">
        <f>+VLOOKUP(PROVEEDORES[[#This Row],[ID RETENCION]],Retenciones!$A$1:$O$25,2,FALSE)</f>
        <v>0</v>
      </c>
      <c r="Z976" s="125" t="b">
        <f>OR(COUNTIF(PROVEEDORES[[#This Row],[PROVEEDOR]],"*"&amp;'Palabra no opera'!$A$2&amp;"*"))</f>
        <v>1</v>
      </c>
      <c r="AA976" s="24"/>
      <c r="AB976" s="24"/>
      <c r="AC976" s="24"/>
      <c r="AD976" s="24"/>
      <c r="AE976" s="24"/>
    </row>
    <row r="977" spans="1:31" ht="22.2" customHeight="1" x14ac:dyDescent="0.3">
      <c r="A977" s="66" t="str">
        <f>+IF(PROVEEDORES[[#This Row],[FECHA DE PAGO]]=PROVEEDORES[[#This Row],[FECHA DE FACTURACIÓN]],"DE CONTADO","CRÉDITO")</f>
        <v>CRÉDITO</v>
      </c>
      <c r="B977" s="38" t="b">
        <f>+IF((PROVEEDORES[[#This Row],[FECHA DE PAGO]]-PROVEEDORES[[#This Row],[FECHA DE FACTURACIÓN]])&gt;PROVEEDORES[[#This Row],[PLAZO Días]],"PAGO VENCIDO")</f>
        <v>0</v>
      </c>
      <c r="C977" s="20">
        <f>+VLOOKUP(PROVEEDORES[[#This Row],[PROVEEDOR]],TERCEROS_INFO[#All],2,FALSE)</f>
        <v>30</v>
      </c>
      <c r="D977" s="25">
        <f>+SUMIFS(PROVEEDORES[Total],PROVEEDORES[PROVEEDOR],PROVEEDORES[[#This Row],[PROVEEDOR]],PROVEEDORES[FECHA DE PAGO],"")</f>
        <v>0</v>
      </c>
      <c r="E977" s="25"/>
      <c r="F97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7" s="161">
        <v>44284</v>
      </c>
      <c r="H977" s="26" t="s">
        <v>913</v>
      </c>
      <c r="I977" s="161">
        <v>44256</v>
      </c>
      <c r="J977" s="35">
        <v>234</v>
      </c>
      <c r="K977" s="21">
        <v>716544</v>
      </c>
      <c r="L977" s="21"/>
      <c r="M977" s="22">
        <f>(PROVEEDORES[[#This Row],[SUBTOTAL]]-PROVEEDORES[[#This Row],[descuento sobre subtotal]])*VLOOKUP(PROVEEDORES[[#This Row],[PROVEEDOR]],TERCEROS_INFO[#All],3,FALSE)</f>
        <v>136143.36000000002</v>
      </c>
      <c r="N977" s="23"/>
      <c r="O977" s="22">
        <f>+PROVEEDORES[[#This Row],[Descuento sobre subtotal %]]*(PROVEEDORES[[#This Row],[SUBTOTAL]]-PROVEEDORES[[#This Row],[descuento sobre subtotal]])</f>
        <v>0</v>
      </c>
      <c r="P977" s="83">
        <f>+IF(PROVEEDORES[[#This Row],[SUBTOTAL]]&lt;PROVEEDORES[[#This Row],[base retencion]],0,PROVEEDORES[[#This Row],[retención aplicada]])</f>
        <v>0</v>
      </c>
      <c r="Q977" s="22">
        <f>+PROVEEDORES[[#This Row],[Rete Fuente %]]*(PROVEEDORES[[#This Row],[SUBTOTAL]]-PROVEEDORES[[#This Row],[descuento sobre subtotal]])</f>
        <v>0</v>
      </c>
      <c r="R977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68">
        <f ca="1">IF(PROVEEDORES[[#This Row],[FECHA DE PAGO]]=0,TODAY()-PROVEEDORES[[#This Row],[FECHA DE FACTURACIÓN]]-PROVEEDORES[[#This Row],[PLAZO Días]],0)</f>
        <v>0</v>
      </c>
      <c r="U977" s="96">
        <f>+VLOOKUP(PROVEEDORES[[#This Row],[PROVEEDOR]],Terceros!$A:$D,4,FALSE)</f>
        <v>0</v>
      </c>
      <c r="V977" s="97">
        <f>+YEAR(PROVEEDORES[[#This Row],[FECHA DE FACTURACIÓN]])</f>
        <v>2021</v>
      </c>
      <c r="W977" s="97">
        <f>+MATCH(PROVEEDORES[[#This Row],[año facturado]],Retenciones!$1:$1,0)</f>
        <v>4</v>
      </c>
      <c r="X977" s="98">
        <f>+VLOOKUP(PROVEEDORES[[#This Row],[ID RETENCION]],Retenciones!$A$1:$O$25,PROVEEDORES[[#This Row],[indicador de columna]],FALSE)</f>
        <v>0</v>
      </c>
      <c r="Y977" s="99">
        <f>+VLOOKUP(PROVEEDORES[[#This Row],[ID RETENCION]],Retenciones!$A$1:$O$25,2,FALSE)</f>
        <v>0</v>
      </c>
      <c r="Z977" s="125" t="b">
        <f>OR(COUNTIF(PROVEEDORES[[#This Row],[PROVEEDOR]],"*"&amp;'Palabra no opera'!$A$2&amp;"*"))</f>
        <v>1</v>
      </c>
      <c r="AA977" s="24"/>
      <c r="AB977" s="24"/>
      <c r="AC977" s="24"/>
      <c r="AD977" s="24"/>
      <c r="AE977" s="24"/>
    </row>
    <row r="978" spans="1:31" ht="22.2" customHeight="1" x14ac:dyDescent="0.3">
      <c r="A978" s="66" t="str">
        <f>+IF(PROVEEDORES[[#This Row],[FECHA DE PAGO]]=PROVEEDORES[[#This Row],[FECHA DE FACTURACIÓN]],"DE CONTADO","CRÉDITO")</f>
        <v>CRÉDITO</v>
      </c>
      <c r="B978" s="38" t="b">
        <f>+IF((PROVEEDORES[[#This Row],[FECHA DE PAGO]]-PROVEEDORES[[#This Row],[FECHA DE FACTURACIÓN]])&gt;PROVEEDORES[[#This Row],[PLAZO Días]],"PAGO VENCIDO")</f>
        <v>0</v>
      </c>
      <c r="C978" s="20">
        <f>+VLOOKUP(PROVEEDORES[[#This Row],[PROVEEDOR]],TERCEROS_INFO[#All],2,FALSE)</f>
        <v>30</v>
      </c>
      <c r="D978" s="25">
        <f>+SUMIFS(PROVEEDORES[Total],PROVEEDORES[PROVEEDOR],PROVEEDORES[[#This Row],[PROVEEDOR]],PROVEEDORES[FECHA DE PAGO],"")</f>
        <v>0</v>
      </c>
      <c r="E978" s="25"/>
      <c r="F97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8" s="161">
        <v>44314</v>
      </c>
      <c r="H978" s="26" t="s">
        <v>913</v>
      </c>
      <c r="I978" s="161">
        <v>44287</v>
      </c>
      <c r="J978" s="35" t="s">
        <v>1200</v>
      </c>
      <c r="K978" s="21">
        <v>716544</v>
      </c>
      <c r="L978" s="21"/>
      <c r="M978" s="22">
        <f>(PROVEEDORES[[#This Row],[SUBTOTAL]]-PROVEEDORES[[#This Row],[descuento sobre subtotal]])*VLOOKUP(PROVEEDORES[[#This Row],[PROVEEDOR]],TERCEROS_INFO[#All],3,FALSE)</f>
        <v>136143.36000000002</v>
      </c>
      <c r="N978" s="23"/>
      <c r="O978" s="22">
        <f>+PROVEEDORES[[#This Row],[Descuento sobre subtotal %]]*(PROVEEDORES[[#This Row],[SUBTOTAL]]-PROVEEDORES[[#This Row],[descuento sobre subtotal]])</f>
        <v>0</v>
      </c>
      <c r="P978" s="83">
        <f>+IF(PROVEEDORES[[#This Row],[SUBTOTAL]]&lt;PROVEEDORES[[#This Row],[base retencion]],0,PROVEEDORES[[#This Row],[retención aplicada]])</f>
        <v>0</v>
      </c>
      <c r="Q978" s="22">
        <f>+PROVEEDORES[[#This Row],[Rete Fuente %]]*(PROVEEDORES[[#This Row],[SUBTOTAL]]-PROVEEDORES[[#This Row],[descuento sobre subtotal]])</f>
        <v>0</v>
      </c>
      <c r="R978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68">
        <f ca="1">IF(PROVEEDORES[[#This Row],[FECHA DE PAGO]]=0,TODAY()-PROVEEDORES[[#This Row],[FECHA DE FACTURACIÓN]]-PROVEEDORES[[#This Row],[PLAZO Días]],0)</f>
        <v>0</v>
      </c>
      <c r="U978" s="96">
        <f>+VLOOKUP(PROVEEDORES[[#This Row],[PROVEEDOR]],Terceros!$A:$D,4,FALSE)</f>
        <v>0</v>
      </c>
      <c r="V978" s="97">
        <f>+YEAR(PROVEEDORES[[#This Row],[FECHA DE FACTURACIÓN]])</f>
        <v>2021</v>
      </c>
      <c r="W978" s="97">
        <f>+MATCH(PROVEEDORES[[#This Row],[año facturado]],Retenciones!$1:$1,0)</f>
        <v>4</v>
      </c>
      <c r="X978" s="98">
        <f>+VLOOKUP(PROVEEDORES[[#This Row],[ID RETENCION]],Retenciones!$A$1:$O$25,PROVEEDORES[[#This Row],[indicador de columna]],FALSE)</f>
        <v>0</v>
      </c>
      <c r="Y978" s="99">
        <f>+VLOOKUP(PROVEEDORES[[#This Row],[ID RETENCION]],Retenciones!$A$1:$O$25,2,FALSE)</f>
        <v>0</v>
      </c>
      <c r="Z978" s="125" t="b">
        <f>OR(COUNTIF(PROVEEDORES[[#This Row],[PROVEEDOR]],"*"&amp;'Palabra no opera'!$A$2&amp;"*"))</f>
        <v>1</v>
      </c>
      <c r="AA978" s="24"/>
      <c r="AB978" s="24"/>
      <c r="AC978" s="24"/>
      <c r="AD978" s="24"/>
      <c r="AE978" s="24"/>
    </row>
    <row r="979" spans="1:31" ht="22.2" customHeight="1" x14ac:dyDescent="0.3">
      <c r="A979" s="66" t="str">
        <f>+IF(PROVEEDORES[[#This Row],[FECHA DE PAGO]]=PROVEEDORES[[#This Row],[FECHA DE FACTURACIÓN]],"DE CONTADO","CRÉDITO")</f>
        <v>CRÉDITO</v>
      </c>
      <c r="B979" s="38" t="b">
        <f>+IF((PROVEEDORES[[#This Row],[FECHA DE PAGO]]-PROVEEDORES[[#This Row],[FECHA DE FACTURACIÓN]])&gt;PROVEEDORES[[#This Row],[PLAZO Días]],"PAGO VENCIDO")</f>
        <v>0</v>
      </c>
      <c r="C979" s="20">
        <f>+VLOOKUP(PROVEEDORES[[#This Row],[PROVEEDOR]],TERCEROS_INFO[#All],2,FALSE)</f>
        <v>30</v>
      </c>
      <c r="D979" s="25">
        <f>+SUMIFS(PROVEEDORES[Total],PROVEEDORES[PROVEEDOR],PROVEEDORES[[#This Row],[PROVEEDOR]],PROVEEDORES[FECHA DE PAGO],"")</f>
        <v>0</v>
      </c>
      <c r="E979" s="25"/>
      <c r="F97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9" s="161">
        <v>44341</v>
      </c>
      <c r="H979" s="26" t="s">
        <v>913</v>
      </c>
      <c r="I979" s="161">
        <v>44317</v>
      </c>
      <c r="J979" s="35" t="s">
        <v>1216</v>
      </c>
      <c r="K979" s="21">
        <v>716544</v>
      </c>
      <c r="L979" s="21"/>
      <c r="M979" s="22">
        <f>(PROVEEDORES[[#This Row],[SUBTOTAL]]-PROVEEDORES[[#This Row],[descuento sobre subtotal]])*VLOOKUP(PROVEEDORES[[#This Row],[PROVEEDOR]],TERCEROS_INFO[#All],3,FALSE)</f>
        <v>136143.36000000002</v>
      </c>
      <c r="N979" s="23"/>
      <c r="O979" s="22">
        <f>+PROVEEDORES[[#This Row],[Descuento sobre subtotal %]]*(PROVEEDORES[[#This Row],[SUBTOTAL]]-PROVEEDORES[[#This Row],[descuento sobre subtotal]])</f>
        <v>0</v>
      </c>
      <c r="P979" s="83">
        <f>+IF(PROVEEDORES[[#This Row],[SUBTOTAL]]&lt;PROVEEDORES[[#This Row],[base retencion]],0,PROVEEDORES[[#This Row],[retención aplicada]])</f>
        <v>0</v>
      </c>
      <c r="Q979" s="22">
        <f>+PROVEEDORES[[#This Row],[Rete Fuente %]]*(PROVEEDORES[[#This Row],[SUBTOTAL]]-PROVEEDORES[[#This Row],[descuento sobre subtotal]])</f>
        <v>0</v>
      </c>
      <c r="R979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68">
        <f ca="1">IF(PROVEEDORES[[#This Row],[FECHA DE PAGO]]=0,TODAY()-PROVEEDORES[[#This Row],[FECHA DE FACTURACIÓN]]-PROVEEDORES[[#This Row],[PLAZO Días]],0)</f>
        <v>0</v>
      </c>
      <c r="U979" s="96">
        <f>+VLOOKUP(PROVEEDORES[[#This Row],[PROVEEDOR]],Terceros!$A:$D,4,FALSE)</f>
        <v>0</v>
      </c>
      <c r="V979" s="97">
        <f>+YEAR(PROVEEDORES[[#This Row],[FECHA DE FACTURACIÓN]])</f>
        <v>2021</v>
      </c>
      <c r="W979" s="97">
        <f>+MATCH(PROVEEDORES[[#This Row],[año facturado]],Retenciones!$1:$1,0)</f>
        <v>4</v>
      </c>
      <c r="X979" s="98">
        <f>+VLOOKUP(PROVEEDORES[[#This Row],[ID RETENCION]],Retenciones!$A$1:$O$25,PROVEEDORES[[#This Row],[indicador de columna]],FALSE)</f>
        <v>0</v>
      </c>
      <c r="Y979" s="99">
        <f>+VLOOKUP(PROVEEDORES[[#This Row],[ID RETENCION]],Retenciones!$A$1:$O$25,2,FALSE)</f>
        <v>0</v>
      </c>
      <c r="Z979" s="125" t="b">
        <f>OR(COUNTIF(PROVEEDORES[[#This Row],[PROVEEDOR]],"*"&amp;'Palabra no opera'!$A$2&amp;"*"))</f>
        <v>1</v>
      </c>
      <c r="AA979" s="24"/>
      <c r="AB979" s="24"/>
      <c r="AC979" s="24"/>
      <c r="AD979" s="24"/>
      <c r="AE979" s="24"/>
    </row>
    <row r="980" spans="1:31" ht="22.2" customHeight="1" x14ac:dyDescent="0.3">
      <c r="A980" s="66" t="str">
        <f>+IF(PROVEEDORES[[#This Row],[FECHA DE PAGO]]=PROVEEDORES[[#This Row],[FECHA DE FACTURACIÓN]],"DE CONTADO","CRÉDITO")</f>
        <v>CRÉDITO</v>
      </c>
      <c r="B980" s="38" t="b">
        <f>+IF((PROVEEDORES[[#This Row],[FECHA DE PAGO]]-PROVEEDORES[[#This Row],[FECHA DE FACTURACIÓN]])&gt;PROVEEDORES[[#This Row],[PLAZO Días]],"PAGO VENCIDO")</f>
        <v>0</v>
      </c>
      <c r="C980" s="20">
        <f>+VLOOKUP(PROVEEDORES[[#This Row],[PROVEEDOR]],TERCEROS_INFO[#All],2,FALSE)</f>
        <v>30</v>
      </c>
      <c r="D980" s="25">
        <f>+SUMIFS(PROVEEDORES[Total],PROVEEDORES[PROVEEDOR],PROVEEDORES[[#This Row],[PROVEEDOR]],PROVEEDORES[FECHA DE PAGO],"")</f>
        <v>0</v>
      </c>
      <c r="E980" s="25"/>
      <c r="F98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0" s="161">
        <v>44369</v>
      </c>
      <c r="H980" s="26" t="s">
        <v>913</v>
      </c>
      <c r="I980" s="161">
        <v>44348</v>
      </c>
      <c r="J980" s="35" t="s">
        <v>1242</v>
      </c>
      <c r="K980" s="21">
        <v>716544</v>
      </c>
      <c r="L980" s="21"/>
      <c r="M980" s="22">
        <f>(PROVEEDORES[[#This Row],[SUBTOTAL]]-PROVEEDORES[[#This Row],[descuento sobre subtotal]])*VLOOKUP(PROVEEDORES[[#This Row],[PROVEEDOR]],TERCEROS_INFO[#All],3,FALSE)</f>
        <v>136143.36000000002</v>
      </c>
      <c r="N980" s="23"/>
      <c r="O980" s="22">
        <f>+PROVEEDORES[[#This Row],[Descuento sobre subtotal %]]*(PROVEEDORES[[#This Row],[SUBTOTAL]]-PROVEEDORES[[#This Row],[descuento sobre subtotal]])</f>
        <v>0</v>
      </c>
      <c r="P980" s="83">
        <f>+IF(PROVEEDORES[[#This Row],[SUBTOTAL]]&lt;PROVEEDORES[[#This Row],[base retencion]],0,PROVEEDORES[[#This Row],[retención aplicada]])</f>
        <v>0</v>
      </c>
      <c r="Q980" s="22">
        <f>+PROVEEDORES[[#This Row],[Rete Fuente %]]*(PROVEEDORES[[#This Row],[SUBTOTAL]]-PROVEEDORES[[#This Row],[descuento sobre subtotal]])</f>
        <v>0</v>
      </c>
      <c r="R980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68">
        <f ca="1">IF(PROVEEDORES[[#This Row],[FECHA DE PAGO]]=0,TODAY()-PROVEEDORES[[#This Row],[FECHA DE FACTURACIÓN]]-PROVEEDORES[[#This Row],[PLAZO Días]],0)</f>
        <v>0</v>
      </c>
      <c r="U980" s="96">
        <f>+VLOOKUP(PROVEEDORES[[#This Row],[PROVEEDOR]],Terceros!$A:$D,4,FALSE)</f>
        <v>0</v>
      </c>
      <c r="V980" s="97">
        <f>+YEAR(PROVEEDORES[[#This Row],[FECHA DE FACTURACIÓN]])</f>
        <v>2021</v>
      </c>
      <c r="W980" s="97">
        <f>+MATCH(PROVEEDORES[[#This Row],[año facturado]],Retenciones!$1:$1,0)</f>
        <v>4</v>
      </c>
      <c r="X980" s="98">
        <f>+VLOOKUP(PROVEEDORES[[#This Row],[ID RETENCION]],Retenciones!$A$1:$O$25,PROVEEDORES[[#This Row],[indicador de columna]],FALSE)</f>
        <v>0</v>
      </c>
      <c r="Y980" s="99">
        <f>+VLOOKUP(PROVEEDORES[[#This Row],[ID RETENCION]],Retenciones!$A$1:$O$25,2,FALSE)</f>
        <v>0</v>
      </c>
      <c r="Z980" s="125" t="b">
        <f>OR(COUNTIF(PROVEEDORES[[#This Row],[PROVEEDOR]],"*"&amp;'Palabra no opera'!$A$2&amp;"*"))</f>
        <v>1</v>
      </c>
      <c r="AA980" s="24"/>
      <c r="AB980" s="24"/>
      <c r="AC980" s="24"/>
      <c r="AD980" s="24"/>
      <c r="AE980" s="24"/>
    </row>
    <row r="981" spans="1:31" ht="22.2" customHeight="1" x14ac:dyDescent="0.3">
      <c r="A981" s="66" t="str">
        <f>+IF(PROVEEDORES[[#This Row],[FECHA DE PAGO]]=PROVEEDORES[[#This Row],[FECHA DE FACTURACIÓN]],"DE CONTADO","CRÉDITO")</f>
        <v>CRÉDITO</v>
      </c>
      <c r="B981" s="38" t="b">
        <f>+IF((PROVEEDORES[[#This Row],[FECHA DE PAGO]]-PROVEEDORES[[#This Row],[FECHA DE FACTURACIÓN]])&gt;PROVEEDORES[[#This Row],[PLAZO Días]],"PAGO VENCIDO")</f>
        <v>0</v>
      </c>
      <c r="C981" s="20">
        <f>+VLOOKUP(PROVEEDORES[[#This Row],[PROVEEDOR]],TERCEROS_INFO[#All],2,FALSE)</f>
        <v>30</v>
      </c>
      <c r="D981" s="25">
        <f>+SUMIFS(PROVEEDORES[Total],PROVEEDORES[PROVEEDOR],PROVEEDORES[[#This Row],[PROVEEDOR]],PROVEEDORES[FECHA DE PAGO],"")</f>
        <v>0</v>
      </c>
      <c r="E981" s="25"/>
      <c r="F98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1" s="161">
        <v>44396</v>
      </c>
      <c r="H981" s="26" t="s">
        <v>913</v>
      </c>
      <c r="I981" s="161">
        <v>44378</v>
      </c>
      <c r="J981" s="35" t="s">
        <v>1262</v>
      </c>
      <c r="K981" s="21">
        <v>716544</v>
      </c>
      <c r="L981" s="21"/>
      <c r="M981" s="22">
        <f>(PROVEEDORES[[#This Row],[SUBTOTAL]]-PROVEEDORES[[#This Row],[descuento sobre subtotal]])*VLOOKUP(PROVEEDORES[[#This Row],[PROVEEDOR]],TERCEROS_INFO[#All],3,FALSE)</f>
        <v>136143.36000000002</v>
      </c>
      <c r="N981" s="23"/>
      <c r="O981" s="22">
        <f>+PROVEEDORES[[#This Row],[Descuento sobre subtotal %]]*(PROVEEDORES[[#This Row],[SUBTOTAL]]-PROVEEDORES[[#This Row],[descuento sobre subtotal]])</f>
        <v>0</v>
      </c>
      <c r="P981" s="83">
        <f>+IF(PROVEEDORES[[#This Row],[SUBTOTAL]]&lt;PROVEEDORES[[#This Row],[base retencion]],0,PROVEEDORES[[#This Row],[retención aplicada]])</f>
        <v>0</v>
      </c>
      <c r="Q981" s="22">
        <f>+PROVEEDORES[[#This Row],[Rete Fuente %]]*(PROVEEDORES[[#This Row],[SUBTOTAL]]-PROVEEDORES[[#This Row],[descuento sobre subtotal]])</f>
        <v>0</v>
      </c>
      <c r="R981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1" s="68">
        <f ca="1">IF(PROVEEDORES[[#This Row],[FECHA DE PAGO]]=0,TODAY()-PROVEEDORES[[#This Row],[FECHA DE FACTURACIÓN]]-PROVEEDORES[[#This Row],[PLAZO Días]],0)</f>
        <v>0</v>
      </c>
      <c r="U981" s="96">
        <f>+VLOOKUP(PROVEEDORES[[#This Row],[PROVEEDOR]],Terceros!$A:$D,4,FALSE)</f>
        <v>0</v>
      </c>
      <c r="V981" s="97">
        <f>+YEAR(PROVEEDORES[[#This Row],[FECHA DE FACTURACIÓN]])</f>
        <v>2021</v>
      </c>
      <c r="W981" s="97">
        <f>+MATCH(PROVEEDORES[[#This Row],[año facturado]],Retenciones!$1:$1,0)</f>
        <v>4</v>
      </c>
      <c r="X981" s="98">
        <f>+VLOOKUP(PROVEEDORES[[#This Row],[ID RETENCION]],Retenciones!$A$1:$O$25,PROVEEDORES[[#This Row],[indicador de columna]],FALSE)</f>
        <v>0</v>
      </c>
      <c r="Y981" s="99">
        <f>+VLOOKUP(PROVEEDORES[[#This Row],[ID RETENCION]],Retenciones!$A$1:$O$25,2,FALSE)</f>
        <v>0</v>
      </c>
      <c r="Z981" s="125" t="b">
        <f>OR(COUNTIF(PROVEEDORES[[#This Row],[PROVEEDOR]],"*"&amp;'Palabra no opera'!$A$2&amp;"*"))</f>
        <v>1</v>
      </c>
      <c r="AA981" s="24"/>
      <c r="AB981" s="24"/>
      <c r="AC981" s="24"/>
      <c r="AD981" s="24"/>
      <c r="AE981" s="24"/>
    </row>
    <row r="982" spans="1:31" ht="22.2" customHeight="1" x14ac:dyDescent="0.3">
      <c r="A982" s="66" t="str">
        <f>+IF(PROVEEDORES[[#This Row],[FECHA DE PAGO]]=PROVEEDORES[[#This Row],[FECHA DE FACTURACIÓN]],"DE CONTADO","CRÉDITO")</f>
        <v>CRÉDITO</v>
      </c>
      <c r="B982" s="38" t="b">
        <f>+IF((PROVEEDORES[[#This Row],[FECHA DE PAGO]]-PROVEEDORES[[#This Row],[FECHA DE FACTURACIÓN]])&gt;PROVEEDORES[[#This Row],[PLAZO Días]],"PAGO VENCIDO")</f>
        <v>0</v>
      </c>
      <c r="C982" s="20">
        <f>+VLOOKUP(PROVEEDORES[[#This Row],[PROVEEDOR]],TERCEROS_INFO[#All],2,FALSE)</f>
        <v>30</v>
      </c>
      <c r="D982" s="25">
        <f>+SUMIFS(PROVEEDORES[Total],PROVEEDORES[PROVEEDOR],PROVEEDORES[[#This Row],[PROVEEDOR]],PROVEEDORES[FECHA DE PAGO],"")</f>
        <v>0</v>
      </c>
      <c r="E982" s="25"/>
      <c r="F98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2" s="161">
        <v>44432</v>
      </c>
      <c r="H982" s="26" t="s">
        <v>913</v>
      </c>
      <c r="I982" s="161">
        <v>44409</v>
      </c>
      <c r="J982" s="35" t="s">
        <v>1276</v>
      </c>
      <c r="K982" s="21">
        <v>716544</v>
      </c>
      <c r="L982" s="21"/>
      <c r="M982" s="22">
        <f>(PROVEEDORES[[#This Row],[SUBTOTAL]]-PROVEEDORES[[#This Row],[descuento sobre subtotal]])*VLOOKUP(PROVEEDORES[[#This Row],[PROVEEDOR]],TERCEROS_INFO[#All],3,FALSE)</f>
        <v>136143.36000000002</v>
      </c>
      <c r="N982" s="23"/>
      <c r="O982" s="22">
        <f>+PROVEEDORES[[#This Row],[Descuento sobre subtotal %]]*(PROVEEDORES[[#This Row],[SUBTOTAL]]-PROVEEDORES[[#This Row],[descuento sobre subtotal]])</f>
        <v>0</v>
      </c>
      <c r="P982" s="83">
        <f>+IF(PROVEEDORES[[#This Row],[SUBTOTAL]]&lt;PROVEEDORES[[#This Row],[base retencion]],0,PROVEEDORES[[#This Row],[retención aplicada]])</f>
        <v>0</v>
      </c>
      <c r="Q982" s="22">
        <f>+PROVEEDORES[[#This Row],[Rete Fuente %]]*(PROVEEDORES[[#This Row],[SUBTOTAL]]-PROVEEDORES[[#This Row],[descuento sobre subtotal]])</f>
        <v>0</v>
      </c>
      <c r="R982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68">
        <f ca="1">IF(PROVEEDORES[[#This Row],[FECHA DE PAGO]]=0,TODAY()-PROVEEDORES[[#This Row],[FECHA DE FACTURACIÓN]]-PROVEEDORES[[#This Row],[PLAZO Días]],0)</f>
        <v>0</v>
      </c>
      <c r="U982" s="96">
        <f>+VLOOKUP(PROVEEDORES[[#This Row],[PROVEEDOR]],Terceros!$A:$D,4,FALSE)</f>
        <v>0</v>
      </c>
      <c r="V982" s="97">
        <f>+YEAR(PROVEEDORES[[#This Row],[FECHA DE FACTURACIÓN]])</f>
        <v>2021</v>
      </c>
      <c r="W982" s="97">
        <f>+MATCH(PROVEEDORES[[#This Row],[año facturado]],Retenciones!$1:$1,0)</f>
        <v>4</v>
      </c>
      <c r="X982" s="98">
        <f>+VLOOKUP(PROVEEDORES[[#This Row],[ID RETENCION]],Retenciones!$A$1:$O$25,PROVEEDORES[[#This Row],[indicador de columna]],FALSE)</f>
        <v>0</v>
      </c>
      <c r="Y982" s="99">
        <f>+VLOOKUP(PROVEEDORES[[#This Row],[ID RETENCION]],Retenciones!$A$1:$O$25,2,FALSE)</f>
        <v>0</v>
      </c>
      <c r="Z982" s="125" t="b">
        <f>OR(COUNTIF(PROVEEDORES[[#This Row],[PROVEEDOR]],"*"&amp;'Palabra no opera'!$A$2&amp;"*"))</f>
        <v>1</v>
      </c>
      <c r="AA982" s="24"/>
      <c r="AB982" s="24"/>
      <c r="AC982" s="24"/>
      <c r="AD982" s="24"/>
      <c r="AE982" s="24"/>
    </row>
    <row r="983" spans="1:31" ht="22.2" customHeight="1" x14ac:dyDescent="0.3">
      <c r="A983" s="66" t="str">
        <f>+IF(PROVEEDORES[[#This Row],[FECHA DE PAGO]]=PROVEEDORES[[#This Row],[FECHA DE FACTURACIÓN]],"DE CONTADO","CRÉDITO")</f>
        <v>CRÉDITO</v>
      </c>
      <c r="B983" s="38" t="b">
        <f>+IF((PROVEEDORES[[#This Row],[FECHA DE PAGO]]-PROVEEDORES[[#This Row],[FECHA DE FACTURACIÓN]])&gt;PROVEEDORES[[#This Row],[PLAZO Días]],"PAGO VENCIDO")</f>
        <v>0</v>
      </c>
      <c r="C983" s="20">
        <f>+VLOOKUP(PROVEEDORES[[#This Row],[PROVEEDOR]],TERCEROS_INFO[#All],2,FALSE)</f>
        <v>30</v>
      </c>
      <c r="D983" s="25">
        <f>+SUMIFS(PROVEEDORES[Total],PROVEEDORES[PROVEEDOR],PROVEEDORES[[#This Row],[PROVEEDOR]],PROVEEDORES[FECHA DE PAGO],"")</f>
        <v>0</v>
      </c>
      <c r="E983" s="25"/>
      <c r="F98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3" s="161">
        <v>44461</v>
      </c>
      <c r="H983" s="26" t="s">
        <v>913</v>
      </c>
      <c r="I983" s="161">
        <v>44440</v>
      </c>
      <c r="J983" s="35" t="s">
        <v>1300</v>
      </c>
      <c r="K983" s="21">
        <v>716544</v>
      </c>
      <c r="L983" s="21"/>
      <c r="M983" s="22">
        <f>(PROVEEDORES[[#This Row],[SUBTOTAL]]-PROVEEDORES[[#This Row],[descuento sobre subtotal]])*VLOOKUP(PROVEEDORES[[#This Row],[PROVEEDOR]],TERCEROS_INFO[#All],3,FALSE)</f>
        <v>136143.36000000002</v>
      </c>
      <c r="N983" s="23"/>
      <c r="O983" s="22">
        <f>+PROVEEDORES[[#This Row],[Descuento sobre subtotal %]]*(PROVEEDORES[[#This Row],[SUBTOTAL]]-PROVEEDORES[[#This Row],[descuento sobre subtotal]])</f>
        <v>0</v>
      </c>
      <c r="P983" s="83">
        <f>+IF(PROVEEDORES[[#This Row],[SUBTOTAL]]&lt;PROVEEDORES[[#This Row],[base retencion]],0,PROVEEDORES[[#This Row],[retención aplicada]])</f>
        <v>0</v>
      </c>
      <c r="Q983" s="22">
        <f>+PROVEEDORES[[#This Row],[Rete Fuente %]]*(PROVEEDORES[[#This Row],[SUBTOTAL]]-PROVEEDORES[[#This Row],[descuento sobre subtotal]])</f>
        <v>0</v>
      </c>
      <c r="R983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68">
        <f ca="1">IF(PROVEEDORES[[#This Row],[FECHA DE PAGO]]=0,TODAY()-PROVEEDORES[[#This Row],[FECHA DE FACTURACIÓN]]-PROVEEDORES[[#This Row],[PLAZO Días]],0)</f>
        <v>0</v>
      </c>
      <c r="U983" s="96">
        <f>+VLOOKUP(PROVEEDORES[[#This Row],[PROVEEDOR]],Terceros!$A:$D,4,FALSE)</f>
        <v>0</v>
      </c>
      <c r="V983" s="97">
        <f>+YEAR(PROVEEDORES[[#This Row],[FECHA DE FACTURACIÓN]])</f>
        <v>2021</v>
      </c>
      <c r="W983" s="97">
        <f>+MATCH(PROVEEDORES[[#This Row],[año facturado]],Retenciones!$1:$1,0)</f>
        <v>4</v>
      </c>
      <c r="X983" s="98">
        <f>+VLOOKUP(PROVEEDORES[[#This Row],[ID RETENCION]],Retenciones!$A$1:$O$25,PROVEEDORES[[#This Row],[indicador de columna]],FALSE)</f>
        <v>0</v>
      </c>
      <c r="Y983" s="99">
        <f>+VLOOKUP(PROVEEDORES[[#This Row],[ID RETENCION]],Retenciones!$A$1:$O$25,2,FALSE)</f>
        <v>0</v>
      </c>
      <c r="Z983" s="125" t="b">
        <f>OR(COUNTIF(PROVEEDORES[[#This Row],[PROVEEDOR]],"*"&amp;'Palabra no opera'!$A$2&amp;"*"))</f>
        <v>1</v>
      </c>
      <c r="AA983" s="24"/>
      <c r="AB983" s="24"/>
      <c r="AC983" s="24"/>
      <c r="AD983" s="24"/>
      <c r="AE983" s="24"/>
    </row>
    <row r="984" spans="1:31" ht="22.2" customHeight="1" x14ac:dyDescent="0.3">
      <c r="A984" s="66" t="str">
        <f>+IF(PROVEEDORES[[#This Row],[FECHA DE PAGO]]=PROVEEDORES[[#This Row],[FECHA DE FACTURACIÓN]],"DE CONTADO","CRÉDITO")</f>
        <v>CRÉDITO</v>
      </c>
      <c r="B984" s="38" t="b">
        <f>+IF((PROVEEDORES[[#This Row],[FECHA DE PAGO]]-PROVEEDORES[[#This Row],[FECHA DE FACTURACIÓN]])&gt;PROVEEDORES[[#This Row],[PLAZO Días]],"PAGO VENCIDO")</f>
        <v>0</v>
      </c>
      <c r="C984" s="20">
        <f>+VLOOKUP(PROVEEDORES[[#This Row],[PROVEEDOR]],TERCEROS_INFO[#All],2,FALSE)</f>
        <v>30</v>
      </c>
      <c r="D984" s="25">
        <f>+SUMIFS(PROVEEDORES[Total],PROVEEDORES[PROVEEDOR],PROVEEDORES[[#This Row],[PROVEEDOR]],PROVEEDORES[FECHA DE PAGO],"")</f>
        <v>0</v>
      </c>
      <c r="E984" s="25"/>
      <c r="F98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4" s="161">
        <v>44496</v>
      </c>
      <c r="H984" s="26" t="s">
        <v>913</v>
      </c>
      <c r="I984" s="161">
        <v>44470</v>
      </c>
      <c r="J984" s="35" t="s">
        <v>1319</v>
      </c>
      <c r="K984" s="21">
        <v>716544</v>
      </c>
      <c r="L984" s="21"/>
      <c r="M984" s="22">
        <f>(PROVEEDORES[[#This Row],[SUBTOTAL]]-PROVEEDORES[[#This Row],[descuento sobre subtotal]])*VLOOKUP(PROVEEDORES[[#This Row],[PROVEEDOR]],TERCEROS_INFO[#All],3,FALSE)</f>
        <v>136143.36000000002</v>
      </c>
      <c r="N984" s="23"/>
      <c r="O984" s="22">
        <f>+PROVEEDORES[[#This Row],[Descuento sobre subtotal %]]*(PROVEEDORES[[#This Row],[SUBTOTAL]]-PROVEEDORES[[#This Row],[descuento sobre subtotal]])</f>
        <v>0</v>
      </c>
      <c r="P984" s="83">
        <f>+IF(PROVEEDORES[[#This Row],[SUBTOTAL]]&lt;PROVEEDORES[[#This Row],[base retencion]],0,PROVEEDORES[[#This Row],[retención aplicada]])</f>
        <v>0</v>
      </c>
      <c r="Q984" s="22">
        <f>+PROVEEDORES[[#This Row],[Rete Fuente %]]*(PROVEEDORES[[#This Row],[SUBTOTAL]]-PROVEEDORES[[#This Row],[descuento sobre subtotal]])</f>
        <v>0</v>
      </c>
      <c r="R984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68">
        <f ca="1">IF(PROVEEDORES[[#This Row],[FECHA DE PAGO]]=0,TODAY()-PROVEEDORES[[#This Row],[FECHA DE FACTURACIÓN]]-PROVEEDORES[[#This Row],[PLAZO Días]],0)</f>
        <v>0</v>
      </c>
      <c r="U984" s="96">
        <f>+VLOOKUP(PROVEEDORES[[#This Row],[PROVEEDOR]],Terceros!$A:$D,4,FALSE)</f>
        <v>0</v>
      </c>
      <c r="V984" s="97">
        <f>+YEAR(PROVEEDORES[[#This Row],[FECHA DE FACTURACIÓN]])</f>
        <v>2021</v>
      </c>
      <c r="W984" s="97">
        <f>+MATCH(PROVEEDORES[[#This Row],[año facturado]],Retenciones!$1:$1,0)</f>
        <v>4</v>
      </c>
      <c r="X984" s="98">
        <f>+VLOOKUP(PROVEEDORES[[#This Row],[ID RETENCION]],Retenciones!$A$1:$O$25,PROVEEDORES[[#This Row],[indicador de columna]],FALSE)</f>
        <v>0</v>
      </c>
      <c r="Y984" s="99">
        <f>+VLOOKUP(PROVEEDORES[[#This Row],[ID RETENCION]],Retenciones!$A$1:$O$25,2,FALSE)</f>
        <v>0</v>
      </c>
      <c r="Z984" s="125" t="b">
        <f>OR(COUNTIF(PROVEEDORES[[#This Row],[PROVEEDOR]],"*"&amp;'Palabra no opera'!$A$2&amp;"*"))</f>
        <v>1</v>
      </c>
      <c r="AA984" s="24"/>
      <c r="AB984" s="24"/>
      <c r="AC984" s="24"/>
      <c r="AD984" s="24"/>
      <c r="AE984" s="24"/>
    </row>
    <row r="985" spans="1:31" ht="22.2" customHeight="1" x14ac:dyDescent="0.3">
      <c r="A985" s="66" t="str">
        <f>+IF(PROVEEDORES[[#This Row],[FECHA DE PAGO]]=PROVEEDORES[[#This Row],[FECHA DE FACTURACIÓN]],"DE CONTADO","CRÉDITO")</f>
        <v>CRÉDITO</v>
      </c>
      <c r="B985" s="38" t="b">
        <f>+IF((PROVEEDORES[[#This Row],[FECHA DE PAGO]]-PROVEEDORES[[#This Row],[FECHA DE FACTURACIÓN]])&gt;PROVEEDORES[[#This Row],[PLAZO Días]],"PAGO VENCIDO")</f>
        <v>0</v>
      </c>
      <c r="C985" s="20">
        <f>+VLOOKUP(PROVEEDORES[[#This Row],[PROVEEDOR]],TERCEROS_INFO[#All],2,FALSE)</f>
        <v>30</v>
      </c>
      <c r="D985" s="25">
        <f>+SUMIFS(PROVEEDORES[Total],PROVEEDORES[PROVEEDOR],PROVEEDORES[[#This Row],[PROVEEDOR]],PROVEEDORES[FECHA DE PAGO],"")</f>
        <v>0</v>
      </c>
      <c r="E985" s="25"/>
      <c r="F98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5" s="161">
        <v>44527</v>
      </c>
      <c r="H985" s="26" t="s">
        <v>913</v>
      </c>
      <c r="I985" s="161">
        <v>44501</v>
      </c>
      <c r="J985" s="35" t="s">
        <v>1341</v>
      </c>
      <c r="K985" s="21">
        <v>716544</v>
      </c>
      <c r="L985" s="21"/>
      <c r="M985" s="22">
        <f>(PROVEEDORES[[#This Row],[SUBTOTAL]]-PROVEEDORES[[#This Row],[descuento sobre subtotal]])*VLOOKUP(PROVEEDORES[[#This Row],[PROVEEDOR]],TERCEROS_INFO[#All],3,FALSE)</f>
        <v>136143.36000000002</v>
      </c>
      <c r="N985" s="23"/>
      <c r="O985" s="22">
        <f>+PROVEEDORES[[#This Row],[Descuento sobre subtotal %]]*(PROVEEDORES[[#This Row],[SUBTOTAL]]-PROVEEDORES[[#This Row],[descuento sobre subtotal]])</f>
        <v>0</v>
      </c>
      <c r="P985" s="83">
        <f>+IF(PROVEEDORES[[#This Row],[SUBTOTAL]]&lt;PROVEEDORES[[#This Row],[base retencion]],0,PROVEEDORES[[#This Row],[retención aplicada]])</f>
        <v>0</v>
      </c>
      <c r="Q985" s="22">
        <f>+PROVEEDORES[[#This Row],[Rete Fuente %]]*(PROVEEDORES[[#This Row],[SUBTOTAL]]-PROVEEDORES[[#This Row],[descuento sobre subtotal]])</f>
        <v>0</v>
      </c>
      <c r="R985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68">
        <f ca="1">IF(PROVEEDORES[[#This Row],[FECHA DE PAGO]]=0,TODAY()-PROVEEDORES[[#This Row],[FECHA DE FACTURACIÓN]]-PROVEEDORES[[#This Row],[PLAZO Días]],0)</f>
        <v>0</v>
      </c>
      <c r="U985" s="96">
        <f>+VLOOKUP(PROVEEDORES[[#This Row],[PROVEEDOR]],Terceros!$A:$D,4,FALSE)</f>
        <v>0</v>
      </c>
      <c r="V985" s="97">
        <f>+YEAR(PROVEEDORES[[#This Row],[FECHA DE FACTURACIÓN]])</f>
        <v>2021</v>
      </c>
      <c r="W985" s="97">
        <f>+MATCH(PROVEEDORES[[#This Row],[año facturado]],Retenciones!$1:$1,0)</f>
        <v>4</v>
      </c>
      <c r="X985" s="98">
        <f>+VLOOKUP(PROVEEDORES[[#This Row],[ID RETENCION]],Retenciones!$A$1:$O$25,PROVEEDORES[[#This Row],[indicador de columna]],FALSE)</f>
        <v>0</v>
      </c>
      <c r="Y985" s="99">
        <f>+VLOOKUP(PROVEEDORES[[#This Row],[ID RETENCION]],Retenciones!$A$1:$O$25,2,FALSE)</f>
        <v>0</v>
      </c>
      <c r="Z985" s="125" t="b">
        <f>OR(COUNTIF(PROVEEDORES[[#This Row],[PROVEEDOR]],"*"&amp;'Palabra no opera'!$A$2&amp;"*"))</f>
        <v>1</v>
      </c>
      <c r="AA985" s="24"/>
      <c r="AB985" s="24"/>
      <c r="AC985" s="24"/>
      <c r="AD985" s="24"/>
      <c r="AE985" s="24"/>
    </row>
    <row r="986" spans="1:31" ht="22.2" customHeight="1" x14ac:dyDescent="0.3">
      <c r="A986" s="66" t="str">
        <f>+IF(PROVEEDORES[[#This Row],[FECHA DE PAGO]]=PROVEEDORES[[#This Row],[FECHA DE FACTURACIÓN]],"DE CONTADO","CRÉDITO")</f>
        <v>CRÉDITO</v>
      </c>
      <c r="B986" s="38" t="b">
        <f>+IF((PROVEEDORES[[#This Row],[FECHA DE PAGO]]-PROVEEDORES[[#This Row],[FECHA DE FACTURACIÓN]])&gt;PROVEEDORES[[#This Row],[PLAZO Días]],"PAGO VENCIDO")</f>
        <v>0</v>
      </c>
      <c r="C986" s="20">
        <f>+VLOOKUP(PROVEEDORES[[#This Row],[PROVEEDOR]],TERCEROS_INFO[#All],2,FALSE)</f>
        <v>30</v>
      </c>
      <c r="D986" s="25">
        <f>+SUMIFS(PROVEEDORES[Total],PROVEEDORES[PROVEEDOR],PROVEEDORES[[#This Row],[PROVEEDOR]],PROVEEDORES[FECHA DE PAGO],"")</f>
        <v>0</v>
      </c>
      <c r="E986" s="25"/>
      <c r="F98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6" s="161">
        <v>44554</v>
      </c>
      <c r="H986" s="26" t="s">
        <v>913</v>
      </c>
      <c r="I986" s="161">
        <v>44531</v>
      </c>
      <c r="J986" s="35" t="s">
        <v>1353</v>
      </c>
      <c r="K986" s="21">
        <v>716544</v>
      </c>
      <c r="L986" s="21"/>
      <c r="M986" s="22">
        <f>(PROVEEDORES[[#This Row],[SUBTOTAL]]-PROVEEDORES[[#This Row],[descuento sobre subtotal]])*VLOOKUP(PROVEEDORES[[#This Row],[PROVEEDOR]],TERCEROS_INFO[#All],3,FALSE)</f>
        <v>136143.36000000002</v>
      </c>
      <c r="N986" s="23"/>
      <c r="O986" s="22">
        <f>+PROVEEDORES[[#This Row],[Descuento sobre subtotal %]]*(PROVEEDORES[[#This Row],[SUBTOTAL]]-PROVEEDORES[[#This Row],[descuento sobre subtotal]])</f>
        <v>0</v>
      </c>
      <c r="P986" s="83">
        <f>+IF(PROVEEDORES[[#This Row],[SUBTOTAL]]&lt;PROVEEDORES[[#This Row],[base retencion]],0,PROVEEDORES[[#This Row],[retención aplicada]])</f>
        <v>0</v>
      </c>
      <c r="Q986" s="22">
        <f>+PROVEEDORES[[#This Row],[Rete Fuente %]]*(PROVEEDORES[[#This Row],[SUBTOTAL]]-PROVEEDORES[[#This Row],[descuento sobre subtotal]])</f>
        <v>0</v>
      </c>
      <c r="R986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68">
        <f ca="1">IF(PROVEEDORES[[#This Row],[FECHA DE PAGO]]=0,TODAY()-PROVEEDORES[[#This Row],[FECHA DE FACTURACIÓN]]-PROVEEDORES[[#This Row],[PLAZO Días]],0)</f>
        <v>0</v>
      </c>
      <c r="U986" s="96">
        <f>+VLOOKUP(PROVEEDORES[[#This Row],[PROVEEDOR]],Terceros!$A:$D,4,FALSE)</f>
        <v>0</v>
      </c>
      <c r="V986" s="97">
        <f>+YEAR(PROVEEDORES[[#This Row],[FECHA DE FACTURACIÓN]])</f>
        <v>2021</v>
      </c>
      <c r="W986" s="97">
        <f>+MATCH(PROVEEDORES[[#This Row],[año facturado]],Retenciones!$1:$1,0)</f>
        <v>4</v>
      </c>
      <c r="X986" s="98">
        <f>+VLOOKUP(PROVEEDORES[[#This Row],[ID RETENCION]],Retenciones!$A$1:$O$25,PROVEEDORES[[#This Row],[indicador de columna]],FALSE)</f>
        <v>0</v>
      </c>
      <c r="Y986" s="99">
        <f>+VLOOKUP(PROVEEDORES[[#This Row],[ID RETENCION]],Retenciones!$A$1:$O$25,2,FALSE)</f>
        <v>0</v>
      </c>
      <c r="Z986" s="125" t="b">
        <f>OR(COUNTIF(PROVEEDORES[[#This Row],[PROVEEDOR]],"*"&amp;'Palabra no opera'!$A$2&amp;"*"))</f>
        <v>1</v>
      </c>
      <c r="AA986" s="24"/>
      <c r="AB986" s="24"/>
      <c r="AC986" s="24"/>
      <c r="AD986" s="24"/>
      <c r="AE986" s="24"/>
    </row>
    <row r="987" spans="1:31" ht="22.2" customHeight="1" x14ac:dyDescent="0.3">
      <c r="A987" s="66" t="str">
        <f>+IF(PROVEEDORES[[#This Row],[FECHA DE PAGO]]=PROVEEDORES[[#This Row],[FECHA DE FACTURACIÓN]],"DE CONTADO","CRÉDITO")</f>
        <v>CRÉDITO</v>
      </c>
      <c r="B987" s="38" t="b">
        <f>+IF((PROVEEDORES[[#This Row],[FECHA DE PAGO]]-PROVEEDORES[[#This Row],[FECHA DE FACTURACIÓN]])&gt;PROVEEDORES[[#This Row],[PLAZO Días]],"PAGO VENCIDO")</f>
        <v>0</v>
      </c>
      <c r="C987" s="20">
        <f>+VLOOKUP(PROVEEDORES[[#This Row],[PROVEEDOR]],TERCEROS_INFO[#All],2,FALSE)</f>
        <v>30</v>
      </c>
      <c r="D987" s="25">
        <f>+SUMIFS(PROVEEDORES[Total],PROVEEDORES[PROVEEDOR],PROVEEDORES[[#This Row],[PROVEEDOR]],PROVEEDORES[FECHA DE PAGO],"")</f>
        <v>0</v>
      </c>
      <c r="E987" s="25"/>
      <c r="F98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7" s="161">
        <v>44588</v>
      </c>
      <c r="H987" s="26" t="s">
        <v>913</v>
      </c>
      <c r="I987" s="161">
        <v>44562</v>
      </c>
      <c r="J987" s="35" t="s">
        <v>1370</v>
      </c>
      <c r="K987" s="21">
        <v>716544</v>
      </c>
      <c r="L987" s="21"/>
      <c r="M987" s="22">
        <v>136143.36000000002</v>
      </c>
      <c r="N987" s="23"/>
      <c r="O987" s="22">
        <v>0</v>
      </c>
      <c r="P987" s="83">
        <f>+IF(PROVEEDORES[[#This Row],[SUBTOTAL]]&lt;PROVEEDORES[[#This Row],[base retencion]],0,PROVEEDORES[[#This Row],[retención aplicada]])</f>
        <v>0</v>
      </c>
      <c r="Q987" s="22">
        <f>+PROVEEDORES[[#This Row],[Rete Fuente %]]*(PROVEEDORES[[#This Row],[SUBTOTAL]]-PROVEEDORES[[#This Row],[descuento sobre subtotal]])</f>
        <v>0</v>
      </c>
      <c r="R987" s="21">
        <v>852687.35999999999</v>
      </c>
      <c r="S9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68">
        <f ca="1">IF(PROVEEDORES[[#This Row],[FECHA DE PAGO]]=0,TODAY()-PROVEEDORES[[#This Row],[FECHA DE FACTURACIÓN]]-PROVEEDORES[[#This Row],[PLAZO Días]],0)</f>
        <v>0</v>
      </c>
      <c r="U987" s="96">
        <f>+VLOOKUP(PROVEEDORES[[#This Row],[PROVEEDOR]],Terceros!$A:$D,4,FALSE)</f>
        <v>0</v>
      </c>
      <c r="V987" s="97">
        <f>+YEAR(PROVEEDORES[[#This Row],[FECHA DE FACTURACIÓN]])</f>
        <v>2022</v>
      </c>
      <c r="W987" s="97">
        <f>+MATCH(PROVEEDORES[[#This Row],[año facturado]],Retenciones!$1:$1,0)</f>
        <v>5</v>
      </c>
      <c r="X987" s="98">
        <f>+VLOOKUP(PROVEEDORES[[#This Row],[ID RETENCION]],Retenciones!$A$1:$O$25,PROVEEDORES[[#This Row],[indicador de columna]],FALSE)</f>
        <v>0</v>
      </c>
      <c r="Y987" s="99">
        <f>+VLOOKUP(PROVEEDORES[[#This Row],[ID RETENCION]],Retenciones!$A$1:$O$25,2,FALSE)</f>
        <v>0</v>
      </c>
      <c r="Z987" s="125" t="b">
        <f>OR(COUNTIF(PROVEEDORES[[#This Row],[PROVEEDOR]],"*"&amp;'Palabra no opera'!$A$2&amp;"*"))</f>
        <v>1</v>
      </c>
      <c r="AA987" s="24"/>
      <c r="AB987" s="24"/>
      <c r="AC987" s="24"/>
      <c r="AD987" s="24"/>
      <c r="AE987" s="24"/>
    </row>
    <row r="988" spans="1:31" ht="22.2" customHeight="1" x14ac:dyDescent="0.3">
      <c r="A988" s="66" t="str">
        <f>+IF(PROVEEDORES[[#This Row],[FECHA DE PAGO]]=PROVEEDORES[[#This Row],[FECHA DE FACTURACIÓN]],"DE CONTADO","CRÉDITO")</f>
        <v>CRÉDITO</v>
      </c>
      <c r="B988" s="38" t="b">
        <f>+IF((PROVEEDORES[[#This Row],[FECHA DE PAGO]]-PROVEEDORES[[#This Row],[FECHA DE FACTURACIÓN]])&gt;PROVEEDORES[[#This Row],[PLAZO Días]],"PAGO VENCIDO")</f>
        <v>0</v>
      </c>
      <c r="C988" s="20">
        <f>+VLOOKUP(PROVEEDORES[[#This Row],[PROVEEDOR]],TERCEROS_INFO[#All],2,FALSE)</f>
        <v>30</v>
      </c>
      <c r="D988" s="25">
        <f>+SUMIFS(PROVEEDORES[Total],PROVEEDORES[PROVEEDOR],PROVEEDORES[[#This Row],[PROVEEDOR]],PROVEEDORES[FECHA DE PAGO],"")</f>
        <v>0</v>
      </c>
      <c r="E988" s="25"/>
      <c r="F98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8" s="161">
        <v>44617</v>
      </c>
      <c r="H988" s="26" t="s">
        <v>913</v>
      </c>
      <c r="I988" s="161">
        <v>44593</v>
      </c>
      <c r="J988" s="35" t="s">
        <v>715</v>
      </c>
      <c r="K988" s="21">
        <v>716544</v>
      </c>
      <c r="L988" s="21"/>
      <c r="M988" s="22">
        <v>136143.36000000002</v>
      </c>
      <c r="N988" s="23"/>
      <c r="O988" s="22">
        <v>0</v>
      </c>
      <c r="P988" s="83">
        <f>+IF(PROVEEDORES[[#This Row],[SUBTOTAL]]&lt;PROVEEDORES[[#This Row],[base retencion]],0,PROVEEDORES[[#This Row],[retención aplicada]])</f>
        <v>0</v>
      </c>
      <c r="Q988" s="22">
        <f>+PROVEEDORES[[#This Row],[Rete Fuente %]]*(PROVEEDORES[[#This Row],[SUBTOTAL]]-PROVEEDORES[[#This Row],[descuento sobre subtotal]])</f>
        <v>0</v>
      </c>
      <c r="R988" s="21">
        <v>852687.35999999999</v>
      </c>
      <c r="S9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68">
        <f ca="1">IF(PROVEEDORES[[#This Row],[FECHA DE PAGO]]=0,TODAY()-PROVEEDORES[[#This Row],[FECHA DE FACTURACIÓN]]-PROVEEDORES[[#This Row],[PLAZO Días]],0)</f>
        <v>0</v>
      </c>
      <c r="U988" s="96">
        <f>+VLOOKUP(PROVEEDORES[[#This Row],[PROVEEDOR]],Terceros!$A:$D,4,FALSE)</f>
        <v>0</v>
      </c>
      <c r="V988" s="97">
        <f>+YEAR(PROVEEDORES[[#This Row],[FECHA DE FACTURACIÓN]])</f>
        <v>2022</v>
      </c>
      <c r="W988" s="97">
        <f>+MATCH(PROVEEDORES[[#This Row],[año facturado]],Retenciones!$1:$1,0)</f>
        <v>5</v>
      </c>
      <c r="X988" s="98">
        <f>+VLOOKUP(PROVEEDORES[[#This Row],[ID RETENCION]],Retenciones!$A$1:$O$25,PROVEEDORES[[#This Row],[indicador de columna]],FALSE)</f>
        <v>0</v>
      </c>
      <c r="Y988" s="99">
        <f>+VLOOKUP(PROVEEDORES[[#This Row],[ID RETENCION]],Retenciones!$A$1:$O$25,2,FALSE)</f>
        <v>0</v>
      </c>
      <c r="Z988" s="125" t="b">
        <f>OR(COUNTIF(PROVEEDORES[[#This Row],[PROVEEDOR]],"*"&amp;'Palabra no opera'!$A$2&amp;"*"))</f>
        <v>1</v>
      </c>
      <c r="AA988" s="24"/>
      <c r="AB988" s="24"/>
      <c r="AC988" s="24"/>
      <c r="AD988" s="24"/>
      <c r="AE988" s="24"/>
    </row>
    <row r="989" spans="1:31" ht="22.2" customHeight="1" x14ac:dyDescent="0.3">
      <c r="A989" s="66" t="str">
        <f>+IF(PROVEEDORES[[#This Row],[FECHA DE PAGO]]=PROVEEDORES[[#This Row],[FECHA DE FACTURACIÓN]],"DE CONTADO","CRÉDITO")</f>
        <v>CRÉDITO</v>
      </c>
      <c r="B989" s="38" t="str">
        <f>+IF((PROVEEDORES[[#This Row],[FECHA DE PAGO]]-PROVEEDORES[[#This Row],[FECHA DE FACTURACIÓN]])&gt;PROVEEDORES[[#This Row],[PLAZO Días]],"PAGO VENCIDO")</f>
        <v>PAGO VENCIDO</v>
      </c>
      <c r="C989" s="20">
        <f>+VLOOKUP(PROVEEDORES[[#This Row],[PROVEEDOR]],TERCEROS_INFO[#All],2,FALSE)</f>
        <v>30</v>
      </c>
      <c r="D989" s="25">
        <f>+SUMIFS(PROVEEDORES[Total],PROVEEDORES[PROVEEDOR],PROVEEDORES[[#This Row],[PROVEEDOR]],PROVEEDORES[FECHA DE PAGO],"")</f>
        <v>0</v>
      </c>
      <c r="E989" s="25"/>
      <c r="F98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989" s="161">
        <v>44657</v>
      </c>
      <c r="H989" s="26" t="s">
        <v>670</v>
      </c>
      <c r="I989" s="161">
        <v>44573</v>
      </c>
      <c r="J989" s="35" t="s">
        <v>1557</v>
      </c>
      <c r="K989" s="21">
        <v>854000</v>
      </c>
      <c r="L989" s="21"/>
      <c r="M989" s="22">
        <v>0</v>
      </c>
      <c r="N989" s="23"/>
      <c r="O989" s="22">
        <v>0</v>
      </c>
      <c r="P989" s="83">
        <f>+IF(PROVEEDORES[[#This Row],[SUBTOTAL]]&lt;PROVEEDORES[[#This Row],[base retencion]],0,PROVEEDORES[[#This Row],[retención aplicada]])</f>
        <v>0</v>
      </c>
      <c r="Q989" s="22">
        <f>+PROVEEDORES[[#This Row],[Rete Fuente %]]*(PROVEEDORES[[#This Row],[SUBTOTAL]]-PROVEEDORES[[#This Row],[descuento sobre subtotal]])</f>
        <v>0</v>
      </c>
      <c r="R989" s="21">
        <v>854000</v>
      </c>
      <c r="S9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68">
        <f ca="1">IF(PROVEEDORES[[#This Row],[FECHA DE PAGO]]=0,TODAY()-PROVEEDORES[[#This Row],[FECHA DE FACTURACIÓN]]-PROVEEDORES[[#This Row],[PLAZO Días]],0)</f>
        <v>0</v>
      </c>
      <c r="U989" s="96">
        <f>+VLOOKUP(PROVEEDORES[[#This Row],[PROVEEDOR]],Terceros!$A:$D,4,FALSE)</f>
        <v>0</v>
      </c>
      <c r="V989" s="97">
        <f>+YEAR(PROVEEDORES[[#This Row],[FECHA DE FACTURACIÓN]])</f>
        <v>2022</v>
      </c>
      <c r="W989" s="97">
        <f>+MATCH(PROVEEDORES[[#This Row],[año facturado]],Retenciones!$1:$1,0)</f>
        <v>5</v>
      </c>
      <c r="X989" s="98">
        <f>+VLOOKUP(PROVEEDORES[[#This Row],[ID RETENCION]],Retenciones!$A$1:$O$25,PROVEEDORES[[#This Row],[indicador de columna]],FALSE)</f>
        <v>0</v>
      </c>
      <c r="Y989" s="99">
        <f>+VLOOKUP(PROVEEDORES[[#This Row],[ID RETENCION]],Retenciones!$A$1:$O$25,2,FALSE)</f>
        <v>0</v>
      </c>
      <c r="Z989" s="125" t="b">
        <f>OR(COUNTIF(PROVEEDORES[[#This Row],[PROVEEDOR]],"*"&amp;'Palabra no opera'!$A$2&amp;"*"))</f>
        <v>0</v>
      </c>
      <c r="AA989" s="24"/>
      <c r="AB989" s="24"/>
      <c r="AC989" s="24"/>
      <c r="AD989" s="24"/>
      <c r="AE989" s="24"/>
    </row>
    <row r="990" spans="1:31" ht="22.2" customHeight="1" x14ac:dyDescent="0.3">
      <c r="A990" s="66" t="str">
        <f>+IF(PROVEEDORES[[#This Row],[FECHA DE PAGO]]=PROVEEDORES[[#This Row],[FECHA DE FACTURACIÓN]],"DE CONTADO","CRÉDITO")</f>
        <v>CRÉDITO</v>
      </c>
      <c r="B990" s="38" t="str">
        <f>+IF((PROVEEDORES[[#This Row],[FECHA DE PAGO]]-PROVEEDORES[[#This Row],[FECHA DE FACTURACIÓN]])&gt;PROVEEDORES[[#This Row],[PLAZO Días]],"PAGO VENCIDO")</f>
        <v>PAGO VENCIDO</v>
      </c>
      <c r="C990" s="20">
        <f>+VLOOKUP(PROVEEDORES[[#This Row],[PROVEEDOR]],TERCEROS_INFO[#All],2,FALSE)</f>
        <v>30</v>
      </c>
      <c r="D990" s="25">
        <f>+SUMIFS(PROVEEDORES[Total],PROVEEDORES[PROVEEDOR],PROVEEDORES[[#This Row],[PROVEEDOR]],PROVEEDORES[FECHA DE PAGO],"")</f>
        <v>4712021.58</v>
      </c>
      <c r="E990" s="25"/>
      <c r="F99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90" s="161">
        <v>44498</v>
      </c>
      <c r="H990" s="26" t="s">
        <v>17</v>
      </c>
      <c r="I990" s="161">
        <v>44460</v>
      </c>
      <c r="J990" s="35">
        <v>1815851</v>
      </c>
      <c r="K990" s="21">
        <v>718000</v>
      </c>
      <c r="L990" s="21"/>
      <c r="M990" s="22">
        <f>(PROVEEDORES[[#This Row],[SUBTOTAL]]-PROVEEDORES[[#This Row],[descuento sobre subtotal]])*VLOOKUP(PROVEEDORES[[#This Row],[PROVEEDOR]],TERCEROS_INFO[#All],3,FALSE)</f>
        <v>136420</v>
      </c>
      <c r="N990" s="23"/>
      <c r="O990" s="22">
        <f>+PROVEEDORES[[#This Row],[Descuento sobre subtotal %]]*(PROVEEDORES[[#This Row],[SUBTOTAL]]-PROVEEDORES[[#This Row],[descuento sobre subtotal]])</f>
        <v>0</v>
      </c>
      <c r="P990" s="83">
        <f>+IF(PROVEEDORES[[#This Row],[SUBTOTAL]]&lt;PROVEEDORES[[#This Row],[base retencion]],0,PROVEEDORES[[#This Row],[retención aplicada]])</f>
        <v>0</v>
      </c>
      <c r="Q990" s="22">
        <f>+PROVEEDORES[[#This Row],[Rete Fuente %]]*(PROVEEDORES[[#This Row],[SUBTOTAL]]-PROVEEDORES[[#This Row],[descuento sobre subtotal]])</f>
        <v>0</v>
      </c>
      <c r="R990" s="21">
        <f>+PROVEEDORES[[#This Row],[SUBTOTAL]]+PROVEEDORES[[#This Row],[IVA 19%]]-PROVEEDORES[[#This Row],[descuento sobre subtotal]]-PROVEEDORES[[#This Row],[Descuento sobre subtotal $2]]-PROVEEDORES[[#This Row],[Rete Fuente $]]</f>
        <v>854420</v>
      </c>
      <c r="S9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68">
        <f ca="1">IF(PROVEEDORES[[#This Row],[FECHA DE PAGO]]=0,TODAY()-PROVEEDORES[[#This Row],[FECHA DE FACTURACIÓN]]-PROVEEDORES[[#This Row],[PLAZO Días]],0)</f>
        <v>0</v>
      </c>
      <c r="U990" s="96">
        <f>+VLOOKUP(PROVEEDORES[[#This Row],[PROVEEDOR]],Terceros!$A:$D,4,FALSE)</f>
        <v>0</v>
      </c>
      <c r="V990" s="97">
        <f>+YEAR(PROVEEDORES[[#This Row],[FECHA DE FACTURACIÓN]])</f>
        <v>2021</v>
      </c>
      <c r="W990" s="97">
        <f>+MATCH(PROVEEDORES[[#This Row],[año facturado]],Retenciones!$1:$1,0)</f>
        <v>4</v>
      </c>
      <c r="X990" s="98">
        <f>+VLOOKUP(PROVEEDORES[[#This Row],[ID RETENCION]],Retenciones!$A$1:$O$25,PROVEEDORES[[#This Row],[indicador de columna]],FALSE)</f>
        <v>0</v>
      </c>
      <c r="Y990" s="99">
        <f>+VLOOKUP(PROVEEDORES[[#This Row],[ID RETENCION]],Retenciones!$A$1:$O$25,2,FALSE)</f>
        <v>0</v>
      </c>
      <c r="Z990" s="125" t="b">
        <f>OR(COUNTIF(PROVEEDORES[[#This Row],[PROVEEDOR]],"*"&amp;'Palabra no opera'!$A$2&amp;"*"))</f>
        <v>0</v>
      </c>
      <c r="AA990" s="24"/>
      <c r="AB990" s="24"/>
      <c r="AC990" s="24"/>
      <c r="AD990" s="24"/>
      <c r="AE990" s="24"/>
    </row>
    <row r="991" spans="1:31" ht="22.2" customHeight="1" x14ac:dyDescent="0.3">
      <c r="A991" s="66" t="str">
        <f>+IF(PROVEEDORES[[#This Row],[FECHA DE PAGO]]=PROVEEDORES[[#This Row],[FECHA DE FACTURACIÓN]],"DE CONTADO","CRÉDITO")</f>
        <v>CRÉDITO</v>
      </c>
      <c r="B991" s="38" t="b">
        <f>+IF((PROVEEDORES[[#This Row],[FECHA DE PAGO]]-PROVEEDORES[[#This Row],[FECHA DE FACTURACIÓN]])&gt;PROVEEDORES[[#This Row],[PLAZO Días]],"PAGO VENCIDO")</f>
        <v>0</v>
      </c>
      <c r="C991" s="20">
        <f>+VLOOKUP(PROVEEDORES[[#This Row],[PROVEEDOR]],TERCEROS_INFO[#All],2,FALSE)</f>
        <v>30</v>
      </c>
      <c r="D991" s="25">
        <f>+SUMIFS(PROVEEDORES[Total],PROVEEDORES[PROVEEDOR],PROVEEDORES[[#This Row],[PROVEEDOR]],PROVEEDORES[FECHA DE PAGO],"")</f>
        <v>0</v>
      </c>
      <c r="E991" s="25"/>
      <c r="F991" s="58">
        <f>+VLOOKUP(PROVEEDORES[[#This Row],[PROVEEDOR]],
                       Terceros!$A:$F,
                       5,
                       FALSE)</f>
        <v>0</v>
      </c>
      <c r="G991" s="161">
        <v>44658</v>
      </c>
      <c r="H991" s="26" t="s">
        <v>700</v>
      </c>
      <c r="I991" s="161">
        <v>44652</v>
      </c>
      <c r="J991" s="35" t="s">
        <v>1584</v>
      </c>
      <c r="K991" s="21">
        <v>856000</v>
      </c>
      <c r="L991" s="21"/>
      <c r="M991" s="22">
        <f>(PROVEEDORES[[#This Row],[SUBTOTAL]]-PROVEEDORES[[#This Row],[descuento sobre subtotal]])*VLOOKUP(PROVEEDORES[[#This Row],[PROVEEDOR]],TERCEROS_INFO[#All],3,FALSE)</f>
        <v>0</v>
      </c>
      <c r="N991" s="23"/>
      <c r="O991" s="22">
        <f>+PROVEEDORES[[#This Row],[Descuento sobre subtotal %]]*(PROVEEDORES[[#This Row],[SUBTOTAL]]-PROVEEDORES[[#This Row],[descuento sobre subtotal]])</f>
        <v>0</v>
      </c>
      <c r="P991" s="83">
        <f>+IF(PROVEEDORES[[#This Row],[SUBTOTAL]]&lt;PROVEEDORES[[#This Row],[base retencion]],0,PROVEEDORES[[#This Row],[retención aplicada]])</f>
        <v>0</v>
      </c>
      <c r="Q991" s="22">
        <f>+PROVEEDORES[[#This Row],[Rete Fuente %]]*(PROVEEDORES[[#This Row],[SUBTOTAL]]-PROVEEDORES[[#This Row],[descuento sobre subtotal]])</f>
        <v>0</v>
      </c>
      <c r="R991" s="21">
        <f>+PROVEEDORES[[#This Row],[SUBTOTAL]]+PROVEEDORES[[#This Row],[IVA 19%]]-PROVEEDORES[[#This Row],[descuento sobre subtotal]]-PROVEEDORES[[#This Row],[Descuento sobre subtotal $2]]-PROVEEDORES[[#This Row],[Rete Fuente $]]</f>
        <v>856000</v>
      </c>
      <c r="S9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68">
        <f ca="1">IF(PROVEEDORES[[#This Row],[FECHA DE PAGO]]=0,TODAY()-PROVEEDORES[[#This Row],[FECHA DE FACTURACIÓN]]-PROVEEDORES[[#This Row],[PLAZO Días]],0)</f>
        <v>0</v>
      </c>
      <c r="U991" s="96">
        <f>+VLOOKUP(PROVEEDORES[[#This Row],[PROVEEDOR]],Terceros!$A:$D,4,FALSE)</f>
        <v>0</v>
      </c>
      <c r="V991" s="97">
        <f>+YEAR(PROVEEDORES[[#This Row],[FECHA DE FACTURACIÓN]])</f>
        <v>2022</v>
      </c>
      <c r="W991" s="97">
        <f>+MATCH(PROVEEDORES[[#This Row],[año facturado]],Retenciones!$1:$1,0)</f>
        <v>5</v>
      </c>
      <c r="X991" s="98">
        <f>+VLOOKUP(PROVEEDORES[[#This Row],[ID RETENCION]],Retenciones!$A$1:$O$25,PROVEEDORES[[#This Row],[indicador de columna]],FALSE)</f>
        <v>0</v>
      </c>
      <c r="Y991" s="99">
        <f>+VLOOKUP(PROVEEDORES[[#This Row],[ID RETENCION]],Retenciones!$A$1:$O$25,2,FALSE)</f>
        <v>0</v>
      </c>
      <c r="Z991" s="125" t="b">
        <f>OR(COUNTIF(PROVEEDORES[[#This Row],[PROVEEDOR]],"*"&amp;'Palabra no opera'!$A$2&amp;"*"))</f>
        <v>0</v>
      </c>
      <c r="AA991" s="24"/>
      <c r="AB991" s="24"/>
      <c r="AC991" s="24"/>
      <c r="AD991" s="24"/>
      <c r="AE991" s="24"/>
    </row>
    <row r="992" spans="1:31" ht="22.2" customHeight="1" x14ac:dyDescent="0.3">
      <c r="A992" s="135" t="str">
        <f>+IF(PROVEEDORES[[#This Row],[FECHA DE PAGO]]=PROVEEDORES[[#This Row],[FECHA DE FACTURACIÓN]],"DE CONTADO","CRÉDITO")</f>
        <v>CRÉDITO</v>
      </c>
      <c r="B992" s="38" t="str">
        <f>+IF((PROVEEDORES[[#This Row],[FECHA DE PAGO]]-PROVEEDORES[[#This Row],[FECHA DE FACTURACIÓN]])&gt;PROVEEDORES[[#This Row],[PLAZO Días]],"PAGO VENCIDO")</f>
        <v>PAGO VENCIDO</v>
      </c>
      <c r="C992" s="20">
        <f>+VLOOKUP(PROVEEDORES[[#This Row],[PROVEEDOR]],TERCEROS_INFO[#All],2,FALSE)</f>
        <v>30</v>
      </c>
      <c r="D992" s="25">
        <f>+SUMIFS(PROVEEDORES[Total],PROVEEDORES[PROVEEDOR],PROVEEDORES[[#This Row],[PROVEEDOR]],PROVEEDORES[FECHA DE PAGO],"")</f>
        <v>0</v>
      </c>
      <c r="E992" s="25"/>
      <c r="F99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92" s="161">
        <v>44725</v>
      </c>
      <c r="H992" s="26" t="s">
        <v>691</v>
      </c>
      <c r="I992" s="161">
        <v>44684</v>
      </c>
      <c r="J992" s="35" t="s">
        <v>1443</v>
      </c>
      <c r="K992" s="21">
        <v>858500</v>
      </c>
      <c r="L992" s="21"/>
      <c r="M992" s="22">
        <f>(PROVEEDORES[[#This Row],[SUBTOTAL]]-PROVEEDORES[[#This Row],[descuento sobre subtotal]])*VLOOKUP(PROVEEDORES[[#This Row],[PROVEEDOR]],TERCEROS_INFO[#All],3,FALSE)</f>
        <v>0</v>
      </c>
      <c r="N992" s="23"/>
      <c r="O992" s="22">
        <f>+PROVEEDORES[[#This Row],[Descuento sobre subtotal %]]*(PROVEEDORES[[#This Row],[SUBTOTAL]]-PROVEEDORES[[#This Row],[descuento sobre subtotal]])</f>
        <v>0</v>
      </c>
      <c r="P992" s="83">
        <f>+IF(PROVEEDORES[[#This Row],[SUBTOTAL]]&lt;PROVEEDORES[[#This Row],[base retencion]],0,PROVEEDORES[[#This Row],[retención aplicada]])</f>
        <v>0</v>
      </c>
      <c r="Q992" s="22">
        <f>+PROVEEDORES[[#This Row],[Rete Fuente %]]*(PROVEEDORES[[#This Row],[SUBTOTAL]]-PROVEEDORES[[#This Row],[descuento sobre subtotal]])</f>
        <v>0</v>
      </c>
      <c r="R992" s="21">
        <f>+PROVEEDORES[[#This Row],[SUBTOTAL]]+PROVEEDORES[[#This Row],[IVA 19%]]-PROVEEDORES[[#This Row],[descuento sobre subtotal]]-PROVEEDORES[[#This Row],[Descuento sobre subtotal $2]]-PROVEEDORES[[#This Row],[Rete Fuente $]]</f>
        <v>858500</v>
      </c>
      <c r="S99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68">
        <f ca="1">IF(PROVEEDORES[[#This Row],[FECHA DE PAGO]]=0,TODAY()-PROVEEDORES[[#This Row],[FECHA DE FACTURACIÓN]]-PROVEEDORES[[#This Row],[PLAZO Días]],0)</f>
        <v>0</v>
      </c>
      <c r="U992" s="113">
        <f>+VLOOKUP(PROVEEDORES[[#This Row],[PROVEEDOR]],Terceros!$A:$D,4,FALSE)</f>
        <v>0</v>
      </c>
      <c r="V992" s="114">
        <f>+YEAR(PROVEEDORES[[#This Row],[FECHA DE FACTURACIÓN]])</f>
        <v>2022</v>
      </c>
      <c r="W992" s="114">
        <f>+MATCH(PROVEEDORES[[#This Row],[año facturado]],Retenciones!$1:$1,0)</f>
        <v>5</v>
      </c>
      <c r="X992" s="115">
        <f>+VLOOKUP(PROVEEDORES[[#This Row],[ID RETENCION]],Retenciones!$A$1:$O$25,PROVEEDORES[[#This Row],[indicador de columna]],FALSE)</f>
        <v>0</v>
      </c>
      <c r="Y992" s="116">
        <f>+VLOOKUP(PROVEEDORES[[#This Row],[ID RETENCION]],Retenciones!$A$1:$O$25,2,FALSE)</f>
        <v>0</v>
      </c>
      <c r="Z992" s="125" t="b">
        <f>OR(COUNTIF(PROVEEDORES[[#This Row],[PROVEEDOR]],"*"&amp;'Palabra no opera'!$A$2&amp;"*"))</f>
        <v>0</v>
      </c>
      <c r="AA992" s="24"/>
      <c r="AB992" s="24"/>
      <c r="AC992" s="24"/>
      <c r="AD992" s="24"/>
      <c r="AE992" s="24"/>
    </row>
    <row r="993" spans="1:31" ht="22.2" customHeight="1" x14ac:dyDescent="0.3">
      <c r="A993" s="146" t="str">
        <f>+IF(PROVEEDORES[[#This Row],[FECHA DE PAGO]]=PROVEEDORES[[#This Row],[FECHA DE FACTURACIÓN]],"DE CONTADO","CRÉDITO")</f>
        <v>CRÉDITO</v>
      </c>
      <c r="B993" s="38" t="str">
        <f>+IF((PROVEEDORES[[#This Row],[FECHA DE PAGO]]-PROVEEDORES[[#This Row],[FECHA DE FACTURACIÓN]])&gt;PROVEEDORES[[#This Row],[PLAZO Días]],"PAGO VENCIDO")</f>
        <v>PAGO VENCIDO</v>
      </c>
      <c r="C993" s="20">
        <f>+VLOOKUP(PROVEEDORES[[#This Row],[PROVEEDOR]],TERCEROS_INFO[#All],2,FALSE)</f>
        <v>30</v>
      </c>
      <c r="D993" s="25">
        <f>+SUMIFS(PROVEEDORES[Total],PROVEEDORES[PROVEEDOR],PROVEEDORES[[#This Row],[PROVEEDOR]],PROVEEDORES[FECHA DE PAGO],"")</f>
        <v>2121000</v>
      </c>
      <c r="E993" s="25"/>
      <c r="F99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993" s="161">
        <v>44743</v>
      </c>
      <c r="H993" s="26" t="s">
        <v>685</v>
      </c>
      <c r="I993" s="161">
        <v>44694</v>
      </c>
      <c r="J993" s="35" t="s">
        <v>1597</v>
      </c>
      <c r="K993" s="21">
        <v>862000</v>
      </c>
      <c r="L993" s="21"/>
      <c r="M993" s="22">
        <f>(PROVEEDORES[[#This Row],[SUBTOTAL]]-PROVEEDORES[[#This Row],[descuento sobre subtotal]])*VLOOKUP(PROVEEDORES[[#This Row],[PROVEEDOR]],TERCEROS_INFO[#All],3,FALSE)</f>
        <v>0</v>
      </c>
      <c r="N993" s="23"/>
      <c r="O993" s="22">
        <f>+PROVEEDORES[[#This Row],[Descuento sobre subtotal %]]*(PROVEEDORES[[#This Row],[SUBTOTAL]]-PROVEEDORES[[#This Row],[descuento sobre subtotal]])</f>
        <v>0</v>
      </c>
      <c r="P993" s="83">
        <f>+IF(PROVEEDORES[[#This Row],[SUBTOTAL]]&lt;PROVEEDORES[[#This Row],[base retencion]],0,PROVEEDORES[[#This Row],[retención aplicada]])</f>
        <v>0</v>
      </c>
      <c r="Q993" s="22">
        <f>+PROVEEDORES[[#This Row],[Rete Fuente %]]*(PROVEEDORES[[#This Row],[SUBTOTAL]]-PROVEEDORES[[#This Row],[descuento sobre subtotal]])</f>
        <v>0</v>
      </c>
      <c r="R993" s="21">
        <f>+PROVEEDORES[[#This Row],[SUBTOTAL]]+PROVEEDORES[[#This Row],[IVA 19%]]-PROVEEDORES[[#This Row],[descuento sobre subtotal]]-PROVEEDORES[[#This Row],[Descuento sobre subtotal $2]]-PROVEEDORES[[#This Row],[Rete Fuente $]]</f>
        <v>862000</v>
      </c>
      <c r="S993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68">
        <f ca="1">IF(PROVEEDORES[[#This Row],[FECHA DE PAGO]]=0,TODAY()-PROVEEDORES[[#This Row],[FECHA DE FACTURACIÓN]]-PROVEEDORES[[#This Row],[PLAZO Días]],0)</f>
        <v>0</v>
      </c>
      <c r="U993" s="113">
        <f>+VLOOKUP(PROVEEDORES[[#This Row],[PROVEEDOR]],Terceros!$A:$D,4,FALSE)</f>
        <v>0</v>
      </c>
      <c r="V993" s="114">
        <f>+YEAR(PROVEEDORES[[#This Row],[FECHA DE FACTURACIÓN]])</f>
        <v>2022</v>
      </c>
      <c r="W993" s="114">
        <f>+MATCH(PROVEEDORES[[#This Row],[año facturado]],Retenciones!$1:$1,0)</f>
        <v>5</v>
      </c>
      <c r="X993" s="115">
        <f>+VLOOKUP(PROVEEDORES[[#This Row],[ID RETENCION]],Retenciones!$A$1:$O$25,PROVEEDORES[[#This Row],[indicador de columna]],FALSE)</f>
        <v>0</v>
      </c>
      <c r="Y993" s="116">
        <f>+VLOOKUP(PROVEEDORES[[#This Row],[ID RETENCION]],Retenciones!$A$1:$O$25,2,FALSE)</f>
        <v>0</v>
      </c>
      <c r="Z993" s="125" t="b">
        <f>OR(COUNTIF(PROVEEDORES[[#This Row],[PROVEEDOR]],"*"&amp;'Palabra no opera'!$A$2&amp;"*"))</f>
        <v>0</v>
      </c>
      <c r="AA993" s="24"/>
      <c r="AB993" s="24"/>
      <c r="AC993" s="24"/>
      <c r="AD993" s="24"/>
      <c r="AE993" s="24"/>
    </row>
    <row r="994" spans="1:31" ht="22.2" customHeight="1" x14ac:dyDescent="0.3">
      <c r="A994" s="66" t="str">
        <f>+IF(PROVEEDORES[[#This Row],[FECHA DE PAGO]]=PROVEEDORES[[#This Row],[FECHA DE FACTURACIÓN]],"DE CONTADO","CRÉDITO")</f>
        <v>CRÉDITO</v>
      </c>
      <c r="B994" s="38" t="str">
        <f>+IF((PROVEEDORES[[#This Row],[FECHA DE PAGO]]-PROVEEDORES[[#This Row],[FECHA DE FACTURACIÓN]])&gt;PROVEEDORES[[#This Row],[PLAZO Días]],"PAGO VENCIDO")</f>
        <v>PAGO VENCIDO</v>
      </c>
      <c r="C994" s="20">
        <f>+VLOOKUP(PROVEEDORES[[#This Row],[PROVEEDOR]],TERCEROS_INFO[#All],2,FALSE)</f>
        <v>45</v>
      </c>
      <c r="D994" s="25">
        <f>+SUMIFS(PROVEEDORES[Total],PROVEEDORES[PROVEEDOR],PROVEEDORES[[#This Row],[PROVEEDOR]],PROVEEDORES[FECHA DE PAGO],"")</f>
        <v>2604910</v>
      </c>
      <c r="E994" s="25"/>
      <c r="F99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94" s="161">
        <v>44510</v>
      </c>
      <c r="H994" s="26" t="s">
        <v>10</v>
      </c>
      <c r="I994" s="161">
        <v>44448</v>
      </c>
      <c r="J994" s="35" t="s">
        <v>468</v>
      </c>
      <c r="K994" s="21">
        <v>725000</v>
      </c>
      <c r="L994" s="21"/>
      <c r="M994" s="22">
        <f>(PROVEEDORES[[#This Row],[SUBTOTAL]]-PROVEEDORES[[#This Row],[descuento sobre subtotal]])*VLOOKUP(PROVEEDORES[[#This Row],[PROVEEDOR]],TERCEROS_INFO[#All],3,FALSE)</f>
        <v>137750</v>
      </c>
      <c r="N994" s="23"/>
      <c r="O994" s="22">
        <f>+PROVEEDORES[[#This Row],[Descuento sobre subtotal %]]*(PROVEEDORES[[#This Row],[SUBTOTAL]]-PROVEEDORES[[#This Row],[descuento sobre subtotal]])</f>
        <v>0</v>
      </c>
      <c r="P994" s="83">
        <f>+IF(PROVEEDORES[[#This Row],[SUBTOTAL]]&lt;PROVEEDORES[[#This Row],[base retencion]],0,PROVEEDORES[[#This Row],[retención aplicada]])</f>
        <v>0</v>
      </c>
      <c r="Q994" s="22">
        <f>+PROVEEDORES[[#This Row],[Rete Fuente %]]*(PROVEEDORES[[#This Row],[SUBTOTAL]]-PROVEEDORES[[#This Row],[descuento sobre subtotal]])</f>
        <v>0</v>
      </c>
      <c r="R994" s="21">
        <f>+PROVEEDORES[[#This Row],[SUBTOTAL]]+PROVEEDORES[[#This Row],[IVA 19%]]-PROVEEDORES[[#This Row],[descuento sobre subtotal]]-PROVEEDORES[[#This Row],[Descuento sobre subtotal $2]]-PROVEEDORES[[#This Row],[Rete Fuente $]]</f>
        <v>862750</v>
      </c>
      <c r="S9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68">
        <f ca="1">IF(PROVEEDORES[[#This Row],[FECHA DE PAGO]]=0,TODAY()-PROVEEDORES[[#This Row],[FECHA DE FACTURACIÓN]]-PROVEEDORES[[#This Row],[PLAZO Días]],0)</f>
        <v>0</v>
      </c>
      <c r="U994" s="96">
        <f>+VLOOKUP(PROVEEDORES[[#This Row],[PROVEEDOR]],Terceros!$A:$D,4,FALSE)</f>
        <v>0</v>
      </c>
      <c r="V994" s="97">
        <f>+YEAR(PROVEEDORES[[#This Row],[FECHA DE FACTURACIÓN]])</f>
        <v>2021</v>
      </c>
      <c r="W994" s="97">
        <f>+MATCH(PROVEEDORES[[#This Row],[año facturado]],Retenciones!$1:$1,0)</f>
        <v>4</v>
      </c>
      <c r="X994" s="98">
        <f>+VLOOKUP(PROVEEDORES[[#This Row],[ID RETENCION]],Retenciones!$A$1:$O$25,PROVEEDORES[[#This Row],[indicador de columna]],FALSE)</f>
        <v>0</v>
      </c>
      <c r="Y994" s="99">
        <f>+VLOOKUP(PROVEEDORES[[#This Row],[ID RETENCION]],Retenciones!$A$1:$O$25,2,FALSE)</f>
        <v>0</v>
      </c>
      <c r="Z994" s="125" t="b">
        <f>OR(COUNTIF(PROVEEDORES[[#This Row],[PROVEEDOR]],"*"&amp;'Palabra no opera'!$A$2&amp;"*"))</f>
        <v>0</v>
      </c>
      <c r="AA994" s="24"/>
      <c r="AB994" s="24"/>
      <c r="AC994" s="24"/>
      <c r="AD994" s="24"/>
      <c r="AE994" s="24"/>
    </row>
    <row r="995" spans="1:31" ht="22.2" customHeight="1" x14ac:dyDescent="0.3">
      <c r="A995" s="66" t="str">
        <f>+IF(PROVEEDORES[[#This Row],[FECHA DE PAGO]]=PROVEEDORES[[#This Row],[FECHA DE FACTURACIÓN]],"DE CONTADO","CRÉDITO")</f>
        <v>CRÉDITO</v>
      </c>
      <c r="B995" s="38" t="str">
        <f>+IF((PROVEEDORES[[#This Row],[FECHA DE PAGO]]-PROVEEDORES[[#This Row],[FECHA DE FACTURACIÓN]])&gt;PROVEEDORES[[#This Row],[PLAZO Días]],"PAGO VENCIDO")</f>
        <v>PAGO VENCIDO</v>
      </c>
      <c r="C995" s="20">
        <f>+VLOOKUP(PROVEEDORES[[#This Row],[PROVEEDOR]],TERCEROS_INFO[#All],2,FALSE)</f>
        <v>13</v>
      </c>
      <c r="D995" s="25">
        <f>+SUMIFS(PROVEEDORES[Total],PROVEEDORES[PROVEEDOR],PROVEEDORES[[#This Row],[PROVEEDOR]],PROVEEDORES[FECHA DE PAGO],"")</f>
        <v>0</v>
      </c>
      <c r="E995" s="25"/>
      <c r="F995" s="58">
        <f>+VLOOKUP(PROVEEDORES[[#This Row],[PROVEEDOR]],
                       Terceros!$A:$F,
                       5,
                       FALSE)</f>
        <v>0</v>
      </c>
      <c r="G995" s="161">
        <v>44425</v>
      </c>
      <c r="H995" s="26" t="s">
        <v>934</v>
      </c>
      <c r="I995" s="161">
        <v>44409</v>
      </c>
      <c r="J995" s="35"/>
      <c r="K995" s="21">
        <v>866093</v>
      </c>
      <c r="L995" s="21"/>
      <c r="M995" s="22">
        <f>(PROVEEDORES[[#This Row],[SUBTOTAL]]-PROVEEDORES[[#This Row],[descuento sobre subtotal]])*VLOOKUP(PROVEEDORES[[#This Row],[PROVEEDOR]],TERCEROS_INFO[#All],3,FALSE)</f>
        <v>0</v>
      </c>
      <c r="N995" s="23"/>
      <c r="O995" s="22">
        <f>+PROVEEDORES[[#This Row],[Descuento sobre subtotal %]]*(PROVEEDORES[[#This Row],[SUBTOTAL]]-PROVEEDORES[[#This Row],[descuento sobre subtotal]])</f>
        <v>0</v>
      </c>
      <c r="P995" s="83">
        <f>+IF(PROVEEDORES[[#This Row],[SUBTOTAL]]&lt;PROVEEDORES[[#This Row],[base retencion]],0,PROVEEDORES[[#This Row],[retención aplicada]])</f>
        <v>0</v>
      </c>
      <c r="Q995" s="22">
        <f>+PROVEEDORES[[#This Row],[Rete Fuente %]]*(PROVEEDORES[[#This Row],[SUBTOTAL]]-PROVEEDORES[[#This Row],[descuento sobre subtotal]])</f>
        <v>0</v>
      </c>
      <c r="R995" s="21">
        <f>+PROVEEDORES[[#This Row],[SUBTOTAL]]+PROVEEDORES[[#This Row],[IVA 19%]]-PROVEEDORES[[#This Row],[descuento sobre subtotal]]-PROVEEDORES[[#This Row],[Descuento sobre subtotal $2]]-PROVEEDORES[[#This Row],[Rete Fuente $]]</f>
        <v>866093</v>
      </c>
      <c r="S9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68">
        <f ca="1">IF(PROVEEDORES[[#This Row],[FECHA DE PAGO]]=0,TODAY()-PROVEEDORES[[#This Row],[FECHA DE FACTURACIÓN]]-PROVEEDORES[[#This Row],[PLAZO Días]],0)</f>
        <v>0</v>
      </c>
      <c r="U995" s="96">
        <f>+VLOOKUP(PROVEEDORES[[#This Row],[PROVEEDOR]],Terceros!$A:$D,4,FALSE)</f>
        <v>0</v>
      </c>
      <c r="V995" s="97">
        <f>+YEAR(PROVEEDORES[[#This Row],[FECHA DE FACTURACIÓN]])</f>
        <v>2021</v>
      </c>
      <c r="W995" s="97">
        <f>+MATCH(PROVEEDORES[[#This Row],[año facturado]],Retenciones!$1:$1,0)</f>
        <v>4</v>
      </c>
      <c r="X995" s="98">
        <f>+VLOOKUP(PROVEEDORES[[#This Row],[ID RETENCION]],Retenciones!$A$1:$O$25,PROVEEDORES[[#This Row],[indicador de columna]],FALSE)</f>
        <v>0</v>
      </c>
      <c r="Y995" s="99">
        <f>+VLOOKUP(PROVEEDORES[[#This Row],[ID RETENCION]],Retenciones!$A$1:$O$25,2,FALSE)</f>
        <v>0</v>
      </c>
      <c r="Z995" s="125" t="b">
        <f>OR(COUNTIF(PROVEEDORES[[#This Row],[PROVEEDOR]],"*"&amp;'Palabra no opera'!$A$2&amp;"*"))</f>
        <v>1</v>
      </c>
      <c r="AA995" s="24"/>
      <c r="AB995" s="24"/>
      <c r="AC995" s="24"/>
      <c r="AD995" s="24"/>
      <c r="AE995" s="24"/>
    </row>
    <row r="996" spans="1:31" ht="22.2" customHeight="1" x14ac:dyDescent="0.3">
      <c r="A996" s="144" t="str">
        <f>+IF(PROVEEDORES[[#This Row],[FECHA DE PAGO]]=PROVEEDORES[[#This Row],[FECHA DE FACTURACIÓN]],"DE CONTADO","CRÉDITO")</f>
        <v>CRÉDITO</v>
      </c>
      <c r="B996" s="38" t="str">
        <f>+IF((PROVEEDORES[[#This Row],[FECHA DE PAGO]]-PROVEEDORES[[#This Row],[FECHA DE FACTURACIÓN]])&gt;PROVEEDORES[[#This Row],[PLAZO Días]],"PAGO VENCIDO")</f>
        <v>PAGO VENCIDO</v>
      </c>
      <c r="C996" s="20">
        <f>+VLOOKUP(PROVEEDORES[[#This Row],[PROVEEDOR]],TERCEROS_INFO[#All],2,FALSE)</f>
        <v>30</v>
      </c>
      <c r="D996" s="25">
        <f>+SUMIFS(PROVEEDORES[Total],PROVEEDORES[PROVEEDOR],PROVEEDORES[[#This Row],[PROVEEDOR]],PROVEEDORES[FECHA DE PAGO],"")</f>
        <v>845001.15</v>
      </c>
      <c r="E996" s="25"/>
      <c r="F996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996" s="161">
        <v>44776</v>
      </c>
      <c r="H996" s="26" t="s">
        <v>1155</v>
      </c>
      <c r="I996" s="161">
        <v>44701</v>
      </c>
      <c r="J996" s="35" t="s">
        <v>988</v>
      </c>
      <c r="K996" s="21">
        <v>731092</v>
      </c>
      <c r="L996" s="21"/>
      <c r="M996" s="22">
        <f>(PROVEEDORES[[#This Row],[SUBTOTAL]]-PROVEEDORES[[#This Row],[descuento sobre subtotal]])*VLOOKUP(PROVEEDORES[[#This Row],[PROVEEDOR]],TERCEROS_INFO[#All],3,FALSE)</f>
        <v>138907.48000000001</v>
      </c>
      <c r="N996" s="23"/>
      <c r="O996" s="22">
        <f>+PROVEEDORES[[#This Row],[Descuento sobre subtotal %]]*(PROVEEDORES[[#This Row],[SUBTOTAL]]-PROVEEDORES[[#This Row],[descuento sobre subtotal]])</f>
        <v>0</v>
      </c>
      <c r="P996" s="83">
        <f>+IF(PROVEEDORES[[#This Row],[SUBTOTAL]]&lt;PROVEEDORES[[#This Row],[base retencion]],0,PROVEEDORES[[#This Row],[retención aplicada]])</f>
        <v>0</v>
      </c>
      <c r="Q996" s="22">
        <f>+PROVEEDORES[[#This Row],[Rete Fuente %]]*(PROVEEDORES[[#This Row],[SUBTOTAL]]-PROVEEDORES[[#This Row],[descuento sobre subtotal]])</f>
        <v>0</v>
      </c>
      <c r="R996" s="21">
        <f>+PROVEEDORES[[#This Row],[SUBTOTAL]]+PROVEEDORES[[#This Row],[IVA 19%]]-PROVEEDORES[[#This Row],[descuento sobre subtotal]]-PROVEEDORES[[#This Row],[Descuento sobre subtotal $2]]-PROVEEDORES[[#This Row],[Rete Fuente $]]</f>
        <v>869999.48</v>
      </c>
      <c r="S996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68">
        <f ca="1">IF(PROVEEDORES[[#This Row],[FECHA DE PAGO]]=0,TODAY()-PROVEEDORES[[#This Row],[FECHA DE FACTURACIÓN]]-PROVEEDORES[[#This Row],[PLAZO Días]],0)</f>
        <v>0</v>
      </c>
      <c r="U996" s="113" t="str">
        <f>+VLOOKUP(PROVEEDORES[[#This Row],[PROVEEDOR]],Terceros!$A:$D,4,FALSE)</f>
        <v>2,5% con base</v>
      </c>
      <c r="V996" s="114">
        <f>+YEAR(PROVEEDORES[[#This Row],[FECHA DE FACTURACIÓN]])</f>
        <v>2022</v>
      </c>
      <c r="W996" s="114">
        <f>+MATCH(PROVEEDORES[[#This Row],[año facturado]],Retenciones!$1:$1,0)</f>
        <v>5</v>
      </c>
      <c r="X996" s="115">
        <f>+VLOOKUP(PROVEEDORES[[#This Row],[ID RETENCION]],Retenciones!$A$1:$O$25,PROVEEDORES[[#This Row],[indicador de columna]],FALSE)</f>
        <v>1026000</v>
      </c>
      <c r="Y996" s="116">
        <f>+VLOOKUP(PROVEEDORES[[#This Row],[ID RETENCION]],Retenciones!$A$1:$O$25,2,FALSE)</f>
        <v>2.5000000000000001E-2</v>
      </c>
      <c r="Z996" s="125" t="b">
        <f>OR(COUNTIF(PROVEEDORES[[#This Row],[PROVEEDOR]],"*"&amp;'Palabra no opera'!$A$2&amp;"*"))</f>
        <v>0</v>
      </c>
      <c r="AA996" s="24"/>
      <c r="AB996" s="24"/>
      <c r="AC996" s="24"/>
      <c r="AD996" s="24"/>
      <c r="AE996" s="24"/>
    </row>
    <row r="997" spans="1:31" ht="22.2" customHeight="1" x14ac:dyDescent="0.3">
      <c r="A997" s="66" t="str">
        <f>+IF(PROVEEDORES[[#This Row],[FECHA DE PAGO]]=PROVEEDORES[[#This Row],[FECHA DE FACTURACIÓN]],"DE CONTADO","CRÉDITO")</f>
        <v>CRÉDITO</v>
      </c>
      <c r="B997" s="38" t="str">
        <f>+IF((PROVEEDORES[[#This Row],[FECHA DE PAGO]]-PROVEEDORES[[#This Row],[FECHA DE FACTURACIÓN]])&gt;PROVEEDORES[[#This Row],[PLAZO Días]],"PAGO VENCIDO")</f>
        <v>PAGO VENCIDO</v>
      </c>
      <c r="C997" s="20">
        <f>+VLOOKUP(PROVEEDORES[[#This Row],[PROVEEDOR]],TERCEROS_INFO[#All],2,FALSE)</f>
        <v>45</v>
      </c>
      <c r="D997" s="25">
        <f>+SUMIFS(PROVEEDORES[Total],PROVEEDORES[PROVEEDOR],PROVEEDORES[[#This Row],[PROVEEDOR]],PROVEEDORES[FECHA DE PAGO],"")</f>
        <v>2604910</v>
      </c>
      <c r="E997" s="25"/>
      <c r="F99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97" s="161">
        <v>44208</v>
      </c>
      <c r="H997" s="26" t="s">
        <v>10</v>
      </c>
      <c r="I997" s="161">
        <v>44147</v>
      </c>
      <c r="J997" s="35" t="s">
        <v>78</v>
      </c>
      <c r="K997" s="21">
        <v>732000</v>
      </c>
      <c r="L997" s="21"/>
      <c r="M997" s="22">
        <f>(PROVEEDORES[[#This Row],[SUBTOTAL]]-PROVEEDORES[[#This Row],[descuento sobre subtotal]])*VLOOKUP(PROVEEDORES[[#This Row],[PROVEEDOR]],TERCEROS_INFO[#All],3,FALSE)</f>
        <v>139080</v>
      </c>
      <c r="N997" s="23"/>
      <c r="O997" s="22">
        <f>+PROVEEDORES[[#This Row],[Descuento sobre subtotal %]]*(PROVEEDORES[[#This Row],[SUBTOTAL]]-PROVEEDORES[[#This Row],[descuento sobre subtotal]])</f>
        <v>0</v>
      </c>
      <c r="P997" s="83">
        <f>+IF(PROVEEDORES[[#This Row],[SUBTOTAL]]&lt;PROVEEDORES[[#This Row],[base retencion]],0,PROVEEDORES[[#This Row],[retención aplicada]])</f>
        <v>0</v>
      </c>
      <c r="Q997" s="22">
        <f>+PROVEEDORES[[#This Row],[Rete Fuente %]]*(PROVEEDORES[[#This Row],[SUBTOTAL]]-PROVEEDORES[[#This Row],[descuento sobre subtotal]])</f>
        <v>0</v>
      </c>
      <c r="R997" s="21">
        <f>+PROVEEDORES[[#This Row],[SUBTOTAL]]+PROVEEDORES[[#This Row],[IVA 19%]]-PROVEEDORES[[#This Row],[descuento sobre subtotal]]-PROVEEDORES[[#This Row],[Descuento sobre subtotal $2]]-PROVEEDORES[[#This Row],[Rete Fuente $]]</f>
        <v>871080</v>
      </c>
      <c r="S9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68">
        <f ca="1">IF(PROVEEDORES[[#This Row],[FECHA DE PAGO]]=0,TODAY()-PROVEEDORES[[#This Row],[FECHA DE FACTURACIÓN]]-PROVEEDORES[[#This Row],[PLAZO Días]],0)</f>
        <v>0</v>
      </c>
      <c r="U997" s="96">
        <f>+VLOOKUP(PROVEEDORES[[#This Row],[PROVEEDOR]],Terceros!$A:$D,4,FALSE)</f>
        <v>0</v>
      </c>
      <c r="V997" s="97">
        <f>+YEAR(PROVEEDORES[[#This Row],[FECHA DE FACTURACIÓN]])</f>
        <v>2020</v>
      </c>
      <c r="W997" s="97">
        <f>+MATCH(PROVEEDORES[[#This Row],[año facturado]],Retenciones!$1:$1,0)</f>
        <v>3</v>
      </c>
      <c r="X997" s="98">
        <f>+VLOOKUP(PROVEEDORES[[#This Row],[ID RETENCION]],Retenciones!$A$1:$O$25,PROVEEDORES[[#This Row],[indicador de columna]],FALSE)</f>
        <v>0</v>
      </c>
      <c r="Y997" s="99">
        <f>+VLOOKUP(PROVEEDORES[[#This Row],[ID RETENCION]],Retenciones!$A$1:$O$25,2,FALSE)</f>
        <v>0</v>
      </c>
      <c r="Z997" s="125" t="b">
        <f>OR(COUNTIF(PROVEEDORES[[#This Row],[PROVEEDOR]],"*"&amp;'Palabra no opera'!$A$2&amp;"*"))</f>
        <v>0</v>
      </c>
      <c r="AA997" s="24"/>
      <c r="AB997" s="24"/>
      <c r="AC997" s="24"/>
      <c r="AD997" s="24"/>
      <c r="AE997" s="24"/>
    </row>
    <row r="998" spans="1:31" ht="22.2" customHeight="1" x14ac:dyDescent="0.3">
      <c r="A998" s="66" t="str">
        <f>+IF(PROVEEDORES[[#This Row],[FECHA DE PAGO]]=PROVEEDORES[[#This Row],[FECHA DE FACTURACIÓN]],"DE CONTADO","CRÉDITO")</f>
        <v>CRÉDITO</v>
      </c>
      <c r="B998" s="38" t="str">
        <f>+IF((PROVEEDORES[[#This Row],[FECHA DE PAGO]]-PROVEEDORES[[#This Row],[FECHA DE FACTURACIÓN]])&gt;PROVEEDORES[[#This Row],[PLAZO Días]],"PAGO VENCIDO")</f>
        <v>PAGO VENCIDO</v>
      </c>
      <c r="C998" s="20">
        <f>+VLOOKUP(PROVEEDORES[[#This Row],[PROVEEDOR]],TERCEROS_INFO[#All],2,FALSE)</f>
        <v>13</v>
      </c>
      <c r="D998" s="25">
        <f>+SUMIFS(PROVEEDORES[Total],PROVEEDORES[PROVEEDOR],PROVEEDORES[[#This Row],[PROVEEDOR]],PROVEEDORES[FECHA DE PAGO],"")</f>
        <v>0</v>
      </c>
      <c r="E998" s="25"/>
      <c r="F998" s="58">
        <f>+VLOOKUP(PROVEEDORES[[#This Row],[PROVEEDOR]],
                       Terceros!$A:$F,
                       5,
                       FALSE)</f>
        <v>0</v>
      </c>
      <c r="G998" s="161">
        <v>44456</v>
      </c>
      <c r="H998" s="26" t="s">
        <v>934</v>
      </c>
      <c r="I998" s="161">
        <v>44440</v>
      </c>
      <c r="J998" s="35"/>
      <c r="K998" s="21">
        <v>871994</v>
      </c>
      <c r="L998" s="21"/>
      <c r="M998" s="22">
        <f>(PROVEEDORES[[#This Row],[SUBTOTAL]]-PROVEEDORES[[#This Row],[descuento sobre subtotal]])*VLOOKUP(PROVEEDORES[[#This Row],[PROVEEDOR]],TERCEROS_INFO[#All],3,FALSE)</f>
        <v>0</v>
      </c>
      <c r="N998" s="23"/>
      <c r="O998" s="22">
        <f>+PROVEEDORES[[#This Row],[Descuento sobre subtotal %]]*(PROVEEDORES[[#This Row],[SUBTOTAL]]-PROVEEDORES[[#This Row],[descuento sobre subtotal]])</f>
        <v>0</v>
      </c>
      <c r="P998" s="83">
        <f>+IF(PROVEEDORES[[#This Row],[SUBTOTAL]]&lt;PROVEEDORES[[#This Row],[base retencion]],0,PROVEEDORES[[#This Row],[retención aplicada]])</f>
        <v>0</v>
      </c>
      <c r="Q998" s="22">
        <f>+PROVEEDORES[[#This Row],[Rete Fuente %]]*(PROVEEDORES[[#This Row],[SUBTOTAL]]-PROVEEDORES[[#This Row],[descuento sobre subtotal]])</f>
        <v>0</v>
      </c>
      <c r="R998" s="21">
        <f>+PROVEEDORES[[#This Row],[SUBTOTAL]]+PROVEEDORES[[#This Row],[IVA 19%]]-PROVEEDORES[[#This Row],[descuento sobre subtotal]]-PROVEEDORES[[#This Row],[Descuento sobre subtotal $2]]-PROVEEDORES[[#This Row],[Rete Fuente $]]</f>
        <v>871994</v>
      </c>
      <c r="S9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68">
        <f ca="1">IF(PROVEEDORES[[#This Row],[FECHA DE PAGO]]=0,TODAY()-PROVEEDORES[[#This Row],[FECHA DE FACTURACIÓN]]-PROVEEDORES[[#This Row],[PLAZO Días]],0)</f>
        <v>0</v>
      </c>
      <c r="U998" s="96">
        <f>+VLOOKUP(PROVEEDORES[[#This Row],[PROVEEDOR]],Terceros!$A:$D,4,FALSE)</f>
        <v>0</v>
      </c>
      <c r="V998" s="97">
        <f>+YEAR(PROVEEDORES[[#This Row],[FECHA DE FACTURACIÓN]])</f>
        <v>2021</v>
      </c>
      <c r="W998" s="97">
        <f>+MATCH(PROVEEDORES[[#This Row],[año facturado]],Retenciones!$1:$1,0)</f>
        <v>4</v>
      </c>
      <c r="X998" s="98">
        <f>+VLOOKUP(PROVEEDORES[[#This Row],[ID RETENCION]],Retenciones!$A$1:$O$25,PROVEEDORES[[#This Row],[indicador de columna]],FALSE)</f>
        <v>0</v>
      </c>
      <c r="Y998" s="99">
        <f>+VLOOKUP(PROVEEDORES[[#This Row],[ID RETENCION]],Retenciones!$A$1:$O$25,2,FALSE)</f>
        <v>0</v>
      </c>
      <c r="Z998" s="125" t="b">
        <f>OR(COUNTIF(PROVEEDORES[[#This Row],[PROVEEDOR]],"*"&amp;'Palabra no opera'!$A$2&amp;"*"))</f>
        <v>1</v>
      </c>
      <c r="AA998" s="24"/>
      <c r="AB998" s="24"/>
      <c r="AC998" s="24"/>
      <c r="AD998" s="24"/>
      <c r="AE998" s="24"/>
    </row>
    <row r="999" spans="1:31" ht="22.2" customHeight="1" x14ac:dyDescent="0.3">
      <c r="A999" s="66" t="str">
        <f>+IF(PROVEEDORES[[#This Row],[FECHA DE PAGO]]=PROVEEDORES[[#This Row],[FECHA DE FACTURACIÓN]],"DE CONTADO","CRÉDITO")</f>
        <v>CRÉDITO</v>
      </c>
      <c r="B999" s="38" t="str">
        <f>+IF((PROVEEDORES[[#This Row],[FECHA DE PAGO]]-PROVEEDORES[[#This Row],[FECHA DE FACTURACIÓN]])&gt;PROVEEDORES[[#This Row],[PLAZO Días]],"PAGO VENCIDO")</f>
        <v>PAGO VENCIDO</v>
      </c>
      <c r="C999" s="20">
        <f>+VLOOKUP(PROVEEDORES[[#This Row],[PROVEEDOR]],TERCEROS_INFO[#All],2,FALSE)</f>
        <v>13</v>
      </c>
      <c r="D999" s="25">
        <f>+SUMIFS(PROVEEDORES[Total],PROVEEDORES[PROVEEDOR],PROVEEDORES[[#This Row],[PROVEEDOR]],PROVEEDORES[FECHA DE PAGO],"")</f>
        <v>0</v>
      </c>
      <c r="E999" s="25"/>
      <c r="F999" s="58">
        <f>+VLOOKUP(PROVEEDORES[[#This Row],[PROVEEDOR]],
                       Terceros!$A:$F,
                       5,
                       FALSE)</f>
        <v>0</v>
      </c>
      <c r="G999" s="161">
        <v>44365</v>
      </c>
      <c r="H999" s="26" t="s">
        <v>934</v>
      </c>
      <c r="I999" s="161">
        <v>44348</v>
      </c>
      <c r="J999" s="35"/>
      <c r="K999" s="21">
        <v>871998</v>
      </c>
      <c r="L999" s="21"/>
      <c r="M999" s="22">
        <f>(PROVEEDORES[[#This Row],[SUBTOTAL]]-PROVEEDORES[[#This Row],[descuento sobre subtotal]])*VLOOKUP(PROVEEDORES[[#This Row],[PROVEEDOR]],TERCEROS_INFO[#All],3,FALSE)</f>
        <v>0</v>
      </c>
      <c r="N999" s="23"/>
      <c r="O999" s="22">
        <f>+PROVEEDORES[[#This Row],[Descuento sobre subtotal %]]*(PROVEEDORES[[#This Row],[SUBTOTAL]]-PROVEEDORES[[#This Row],[descuento sobre subtotal]])</f>
        <v>0</v>
      </c>
      <c r="P999" s="83">
        <f>+IF(PROVEEDORES[[#This Row],[SUBTOTAL]]&lt;PROVEEDORES[[#This Row],[base retencion]],0,PROVEEDORES[[#This Row],[retención aplicada]])</f>
        <v>0</v>
      </c>
      <c r="Q999" s="22">
        <f>+PROVEEDORES[[#This Row],[Rete Fuente %]]*(PROVEEDORES[[#This Row],[SUBTOTAL]]-PROVEEDORES[[#This Row],[descuento sobre subtotal]])</f>
        <v>0</v>
      </c>
      <c r="R999" s="21">
        <f>+PROVEEDORES[[#This Row],[SUBTOTAL]]+PROVEEDORES[[#This Row],[IVA 19%]]-PROVEEDORES[[#This Row],[descuento sobre subtotal]]-PROVEEDORES[[#This Row],[Descuento sobre subtotal $2]]-PROVEEDORES[[#This Row],[Rete Fuente $]]</f>
        <v>871998</v>
      </c>
      <c r="S9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68">
        <f ca="1">IF(PROVEEDORES[[#This Row],[FECHA DE PAGO]]=0,TODAY()-PROVEEDORES[[#This Row],[FECHA DE FACTURACIÓN]]-PROVEEDORES[[#This Row],[PLAZO Días]],0)</f>
        <v>0</v>
      </c>
      <c r="U999" s="96">
        <f>+VLOOKUP(PROVEEDORES[[#This Row],[PROVEEDOR]],Terceros!$A:$D,4,FALSE)</f>
        <v>0</v>
      </c>
      <c r="V999" s="97">
        <f>+YEAR(PROVEEDORES[[#This Row],[FECHA DE FACTURACIÓN]])</f>
        <v>2021</v>
      </c>
      <c r="W999" s="97">
        <f>+MATCH(PROVEEDORES[[#This Row],[año facturado]],Retenciones!$1:$1,0)</f>
        <v>4</v>
      </c>
      <c r="X999" s="98">
        <f>+VLOOKUP(PROVEEDORES[[#This Row],[ID RETENCION]],Retenciones!$A$1:$O$25,PROVEEDORES[[#This Row],[indicador de columna]],FALSE)</f>
        <v>0</v>
      </c>
      <c r="Y999" s="99">
        <f>+VLOOKUP(PROVEEDORES[[#This Row],[ID RETENCION]],Retenciones!$A$1:$O$25,2,FALSE)</f>
        <v>0</v>
      </c>
      <c r="Z999" s="125" t="b">
        <f>OR(COUNTIF(PROVEEDORES[[#This Row],[PROVEEDOR]],"*"&amp;'Palabra no opera'!$A$2&amp;"*"))</f>
        <v>1</v>
      </c>
      <c r="AA999" s="24"/>
      <c r="AB999" s="24"/>
      <c r="AC999" s="24"/>
      <c r="AD999" s="24"/>
      <c r="AE999" s="24"/>
    </row>
    <row r="1000" spans="1:31" ht="22.2" customHeight="1" x14ac:dyDescent="0.3">
      <c r="A1000" s="66" t="str">
        <f>+IF(PROVEEDORES[[#This Row],[FECHA DE PAGO]]=PROVEEDORES[[#This Row],[FECHA DE FACTURACIÓN]],"DE CONTADO","CRÉDITO")</f>
        <v>CRÉDITO</v>
      </c>
      <c r="B1000" s="38" t="str">
        <f>+IF((PROVEEDORES[[#This Row],[FECHA DE PAGO]]-PROVEEDORES[[#This Row],[FECHA DE FACTURACIÓN]])&gt;PROVEEDORES[[#This Row],[PLAZO Días]],"PAGO VENCIDO")</f>
        <v>PAGO VENCIDO</v>
      </c>
      <c r="C1000" s="20">
        <f>+VLOOKUP(PROVEEDORES[[#This Row],[PROVEEDOR]],TERCEROS_INFO[#All],2,FALSE)</f>
        <v>13</v>
      </c>
      <c r="D1000" s="25">
        <f>+SUMIFS(PROVEEDORES[Total],PROVEEDORES[PROVEEDOR],PROVEEDORES[[#This Row],[PROVEEDOR]],PROVEEDORES[FECHA DE PAGO],"")</f>
        <v>0</v>
      </c>
      <c r="E1000" s="25"/>
      <c r="F1000" s="58">
        <f>+VLOOKUP(PROVEEDORES[[#This Row],[PROVEEDOR]],
                       Terceros!$A:$F,
                       5,
                       FALSE)</f>
        <v>0</v>
      </c>
      <c r="G1000" s="161">
        <v>44484</v>
      </c>
      <c r="H1000" s="26" t="s">
        <v>934</v>
      </c>
      <c r="I1000" s="161">
        <v>44470</v>
      </c>
      <c r="J1000" s="35"/>
      <c r="K1000" s="21">
        <v>871998</v>
      </c>
      <c r="L1000" s="21"/>
      <c r="M1000" s="22">
        <f>(PROVEEDORES[[#This Row],[SUBTOTAL]]-PROVEEDORES[[#This Row],[descuento sobre subtotal]])*VLOOKUP(PROVEEDORES[[#This Row],[PROVEEDOR]],TERCEROS_INFO[#All],3,FALSE)</f>
        <v>0</v>
      </c>
      <c r="N1000" s="23"/>
      <c r="O1000" s="22">
        <f>+PROVEEDORES[[#This Row],[Descuento sobre subtotal %]]*(PROVEEDORES[[#This Row],[SUBTOTAL]]-PROVEEDORES[[#This Row],[descuento sobre subtotal]])</f>
        <v>0</v>
      </c>
      <c r="P1000" s="83">
        <f>+IF(PROVEEDORES[[#This Row],[SUBTOTAL]]&lt;PROVEEDORES[[#This Row],[base retencion]],0,PROVEEDORES[[#This Row],[retención aplicada]])</f>
        <v>0</v>
      </c>
      <c r="Q1000" s="22">
        <f>+PROVEEDORES[[#This Row],[Rete Fuente %]]*(PROVEEDORES[[#This Row],[SUBTOTAL]]-PROVEEDORES[[#This Row],[descuento sobre subtotal]])</f>
        <v>0</v>
      </c>
      <c r="R1000" s="21">
        <f>+PROVEEDORES[[#This Row],[SUBTOTAL]]+PROVEEDORES[[#This Row],[IVA 19%]]-PROVEEDORES[[#This Row],[descuento sobre subtotal]]-PROVEEDORES[[#This Row],[Descuento sobre subtotal $2]]-PROVEEDORES[[#This Row],[Rete Fuente $]]</f>
        <v>871998</v>
      </c>
      <c r="S10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68">
        <f ca="1">IF(PROVEEDORES[[#This Row],[FECHA DE PAGO]]=0,TODAY()-PROVEEDORES[[#This Row],[FECHA DE FACTURACIÓN]]-PROVEEDORES[[#This Row],[PLAZO Días]],0)</f>
        <v>0</v>
      </c>
      <c r="U1000" s="96">
        <f>+VLOOKUP(PROVEEDORES[[#This Row],[PROVEEDOR]],Terceros!$A:$D,4,FALSE)</f>
        <v>0</v>
      </c>
      <c r="V1000" s="97">
        <f>+YEAR(PROVEEDORES[[#This Row],[FECHA DE FACTURACIÓN]])</f>
        <v>2021</v>
      </c>
      <c r="W1000" s="97">
        <f>+MATCH(PROVEEDORES[[#This Row],[año facturado]],Retenciones!$1:$1,0)</f>
        <v>4</v>
      </c>
      <c r="X1000" s="98">
        <f>+VLOOKUP(PROVEEDORES[[#This Row],[ID RETENCION]],Retenciones!$A$1:$O$25,PROVEEDORES[[#This Row],[indicador de columna]],FALSE)</f>
        <v>0</v>
      </c>
      <c r="Y1000" s="99">
        <f>+VLOOKUP(PROVEEDORES[[#This Row],[ID RETENCION]],Retenciones!$A$1:$O$25,2,FALSE)</f>
        <v>0</v>
      </c>
      <c r="Z1000" s="125" t="b">
        <f>OR(COUNTIF(PROVEEDORES[[#This Row],[PROVEEDOR]],"*"&amp;'Palabra no opera'!$A$2&amp;"*"))</f>
        <v>1</v>
      </c>
      <c r="AA1000" s="24"/>
      <c r="AB1000" s="24"/>
      <c r="AC1000" s="24"/>
      <c r="AD1000" s="24"/>
      <c r="AE1000" s="24"/>
    </row>
    <row r="1001" spans="1:31" ht="22.2" customHeight="1" x14ac:dyDescent="0.3">
      <c r="A1001" s="159" t="str">
        <f>+IF(PROVEEDORES[[#This Row],[FECHA DE PAGO]]=PROVEEDORES[[#This Row],[FECHA DE FACTURACIÓN]],"DE CONTADO","CRÉDITO")</f>
        <v>CRÉDITO</v>
      </c>
      <c r="B1001" s="38" t="str">
        <f>+IF((PROVEEDORES[[#This Row],[FECHA DE PAGO]]-PROVEEDORES[[#This Row],[FECHA DE FACTURACIÓN]])&gt;PROVEEDORES[[#This Row],[PLAZO Días]],"PAGO VENCIDO")</f>
        <v>PAGO VENCIDO</v>
      </c>
      <c r="C1001" s="20">
        <f>+VLOOKUP(PROVEEDORES[[#This Row],[PROVEEDOR]],TERCEROS_INFO[#All],2,FALSE)</f>
        <v>45</v>
      </c>
      <c r="D1001" s="25">
        <f>+SUMIFS(PROVEEDORES[Total],PROVEEDORES[PROVEEDOR],PROVEEDORES[[#This Row],[PROVEEDOR]],PROVEEDORES[FECHA DE PAGO],"")</f>
        <v>2604910</v>
      </c>
      <c r="E1001" s="25"/>
      <c r="F100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01" s="161">
        <v>44776</v>
      </c>
      <c r="H1001" s="26" t="s">
        <v>10</v>
      </c>
      <c r="I1001" s="161">
        <v>44727</v>
      </c>
      <c r="J1001" s="35" t="s">
        <v>1041</v>
      </c>
      <c r="K1001" s="21">
        <v>735000</v>
      </c>
      <c r="L1001" s="21"/>
      <c r="M1001" s="22">
        <f>(PROVEEDORES[[#This Row],[SUBTOTAL]]-PROVEEDORES[[#This Row],[descuento sobre subtotal]])*VLOOKUP(PROVEEDORES[[#This Row],[PROVEEDOR]],TERCEROS_INFO[#All],3,FALSE)</f>
        <v>139650</v>
      </c>
      <c r="N1001" s="23"/>
      <c r="O1001" s="22">
        <f>+PROVEEDORES[[#This Row],[Descuento sobre subtotal %]]*(PROVEEDORES[[#This Row],[SUBTOTAL]]-PROVEEDORES[[#This Row],[descuento sobre subtotal]])</f>
        <v>0</v>
      </c>
      <c r="P1001" s="83">
        <f>+IF(PROVEEDORES[[#This Row],[SUBTOTAL]]&lt;PROVEEDORES[[#This Row],[base retencion]],0,PROVEEDORES[[#This Row],[retención aplicada]])</f>
        <v>0</v>
      </c>
      <c r="Q1001" s="22">
        <f>+PROVEEDORES[[#This Row],[Rete Fuente %]]*(PROVEEDORES[[#This Row],[SUBTOTAL]]-PROVEEDORES[[#This Row],[descuento sobre subtotal]])</f>
        <v>0</v>
      </c>
      <c r="R1001" s="21">
        <f>+PROVEEDORES[[#This Row],[SUBTOTAL]]+PROVEEDORES[[#This Row],[IVA 19%]]-PROVEEDORES[[#This Row],[descuento sobre subtotal]]-PROVEEDORES[[#This Row],[Descuento sobre subtotal $2]]-PROVEEDORES[[#This Row],[Rete Fuente $]]</f>
        <v>874650</v>
      </c>
      <c r="S100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68">
        <f ca="1">IF(PROVEEDORES[[#This Row],[FECHA DE PAGO]]=0,TODAY()-PROVEEDORES[[#This Row],[FECHA DE FACTURACIÓN]]-PROVEEDORES[[#This Row],[PLAZO Días]],0)</f>
        <v>0</v>
      </c>
      <c r="U1001" s="113">
        <f>+VLOOKUP(PROVEEDORES[[#This Row],[PROVEEDOR]],Terceros!$A:$D,4,FALSE)</f>
        <v>0</v>
      </c>
      <c r="V1001" s="114">
        <f>+YEAR(PROVEEDORES[[#This Row],[FECHA DE FACTURACIÓN]])</f>
        <v>2022</v>
      </c>
      <c r="W1001" s="114">
        <f>+MATCH(PROVEEDORES[[#This Row],[año facturado]],Retenciones!$1:$1,0)</f>
        <v>5</v>
      </c>
      <c r="X1001" s="115">
        <f>+VLOOKUP(PROVEEDORES[[#This Row],[ID RETENCION]],Retenciones!$A$1:$O$25,PROVEEDORES[[#This Row],[indicador de columna]],FALSE)</f>
        <v>0</v>
      </c>
      <c r="Y1001" s="116">
        <f>+VLOOKUP(PROVEEDORES[[#This Row],[ID RETENCION]],Retenciones!$A$1:$O$25,2,FALSE)</f>
        <v>0</v>
      </c>
      <c r="Z1001" s="125" t="b">
        <f>OR(COUNTIF(PROVEEDORES[[#This Row],[PROVEEDOR]],"*"&amp;'Palabra no opera'!$A$2&amp;"*"))</f>
        <v>0</v>
      </c>
      <c r="AA1001" s="24"/>
      <c r="AB1001" s="24"/>
      <c r="AC1001" s="24"/>
      <c r="AD1001" s="24"/>
      <c r="AE1001" s="24"/>
    </row>
    <row r="1002" spans="1:31" ht="22.2" customHeight="1" x14ac:dyDescent="0.3">
      <c r="A1002" s="66" t="str">
        <f>+IF(PROVEEDORES[[#This Row],[FECHA DE PAGO]]=PROVEEDORES[[#This Row],[FECHA DE FACTURACIÓN]],"DE CONTADO","CRÉDITO")</f>
        <v>CRÉDITO</v>
      </c>
      <c r="B1002" s="38" t="b">
        <f>+IF((PROVEEDORES[[#This Row],[FECHA DE PAGO]]-PROVEEDORES[[#This Row],[FECHA DE FACTURACIÓN]])&gt;PROVEEDORES[[#This Row],[PLAZO Días]],"PAGO VENCIDO")</f>
        <v>0</v>
      </c>
      <c r="C1002" s="20">
        <f>+VLOOKUP(PROVEEDORES[[#This Row],[PROVEEDOR]],TERCEROS_INFO[#All],2,FALSE)</f>
        <v>13</v>
      </c>
      <c r="D1002" s="25">
        <f>+SUMIFS(PROVEEDORES[Total],PROVEEDORES[PROVEEDOR],PROVEEDORES[[#This Row],[PROVEEDOR]],PROVEEDORES[FECHA DE PAGO],"")</f>
        <v>0</v>
      </c>
      <c r="E1002" s="25"/>
      <c r="F1002" s="58">
        <f>+VLOOKUP(PROVEEDORES[[#This Row],[PROVEEDOR]],
                       Terceros!$A:$F,
                       5,
                       FALSE)</f>
        <v>0</v>
      </c>
      <c r="G1002" s="161">
        <v>44391</v>
      </c>
      <c r="H1002" s="26" t="s">
        <v>934</v>
      </c>
      <c r="I1002" s="161">
        <v>44378</v>
      </c>
      <c r="J1002" s="35"/>
      <c r="K1002" s="21">
        <v>874675</v>
      </c>
      <c r="L1002" s="21"/>
      <c r="M1002" s="22">
        <f>(PROVEEDORES[[#This Row],[SUBTOTAL]]-PROVEEDORES[[#This Row],[descuento sobre subtotal]])*VLOOKUP(PROVEEDORES[[#This Row],[PROVEEDOR]],TERCEROS_INFO[#All],3,FALSE)</f>
        <v>0</v>
      </c>
      <c r="N1002" s="23"/>
      <c r="O1002" s="22">
        <f>+PROVEEDORES[[#This Row],[Descuento sobre subtotal %]]*(PROVEEDORES[[#This Row],[SUBTOTAL]]-PROVEEDORES[[#This Row],[descuento sobre subtotal]])</f>
        <v>0</v>
      </c>
      <c r="P1002" s="83">
        <f>+IF(PROVEEDORES[[#This Row],[SUBTOTAL]]&lt;PROVEEDORES[[#This Row],[base retencion]],0,PROVEEDORES[[#This Row],[retención aplicada]])</f>
        <v>0</v>
      </c>
      <c r="Q1002" s="22">
        <f>+PROVEEDORES[[#This Row],[Rete Fuente %]]*(PROVEEDORES[[#This Row],[SUBTOTAL]]-PROVEEDORES[[#This Row],[descuento sobre subtotal]])</f>
        <v>0</v>
      </c>
      <c r="R1002" s="21">
        <f>+PROVEEDORES[[#This Row],[SUBTOTAL]]+PROVEEDORES[[#This Row],[IVA 19%]]-PROVEEDORES[[#This Row],[descuento sobre subtotal]]-PROVEEDORES[[#This Row],[Descuento sobre subtotal $2]]-PROVEEDORES[[#This Row],[Rete Fuente $]]</f>
        <v>874675</v>
      </c>
      <c r="S10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68">
        <f ca="1">IF(PROVEEDORES[[#This Row],[FECHA DE PAGO]]=0,TODAY()-PROVEEDORES[[#This Row],[FECHA DE FACTURACIÓN]]-PROVEEDORES[[#This Row],[PLAZO Días]],0)</f>
        <v>0</v>
      </c>
      <c r="U1002" s="96">
        <f>+VLOOKUP(PROVEEDORES[[#This Row],[PROVEEDOR]],Terceros!$A:$D,4,FALSE)</f>
        <v>0</v>
      </c>
      <c r="V1002" s="97">
        <f>+YEAR(PROVEEDORES[[#This Row],[FECHA DE FACTURACIÓN]])</f>
        <v>2021</v>
      </c>
      <c r="W1002" s="97">
        <f>+MATCH(PROVEEDORES[[#This Row],[año facturado]],Retenciones!$1:$1,0)</f>
        <v>4</v>
      </c>
      <c r="X1002" s="98">
        <f>+VLOOKUP(PROVEEDORES[[#This Row],[ID RETENCION]],Retenciones!$A$1:$O$25,PROVEEDORES[[#This Row],[indicador de columna]],FALSE)</f>
        <v>0</v>
      </c>
      <c r="Y1002" s="99">
        <f>+VLOOKUP(PROVEEDORES[[#This Row],[ID RETENCION]],Retenciones!$A$1:$O$25,2,FALSE)</f>
        <v>0</v>
      </c>
      <c r="Z1002" s="125" t="b">
        <f>OR(COUNTIF(PROVEEDORES[[#This Row],[PROVEEDOR]],"*"&amp;'Palabra no opera'!$A$2&amp;"*"))</f>
        <v>1</v>
      </c>
      <c r="AA1002" s="24"/>
      <c r="AB1002" s="24"/>
      <c r="AC1002" s="24"/>
      <c r="AD1002" s="24"/>
      <c r="AE1002" s="24"/>
    </row>
    <row r="1003" spans="1:31" ht="22.2" customHeight="1" x14ac:dyDescent="0.3">
      <c r="A1003" s="66" t="str">
        <f>+IF(PROVEEDORES[[#This Row],[FECHA DE PAGO]]=PROVEEDORES[[#This Row],[FECHA DE FACTURACIÓN]],"DE CONTADO","CRÉDITO")</f>
        <v>CRÉDITO</v>
      </c>
      <c r="B1003" s="38" t="b">
        <f>+IF((PROVEEDORES[[#This Row],[FECHA DE PAGO]]-PROVEEDORES[[#This Row],[FECHA DE FACTURACIÓN]])&gt;PROVEEDORES[[#This Row],[PLAZO Días]],"PAGO VENCIDO")</f>
        <v>0</v>
      </c>
      <c r="C1003" s="20">
        <f>+VLOOKUP(PROVEEDORES[[#This Row],[PROVEEDOR]],TERCEROS_INFO[#All],2,FALSE)</f>
        <v>30</v>
      </c>
      <c r="D1003" s="25">
        <f>+SUMIFS(PROVEEDORES[Total],PROVEEDORES[PROVEEDOR],PROVEEDORES[[#This Row],[PROVEEDOR]],PROVEEDORES[FECHA DE PAGO],"")</f>
        <v>0</v>
      </c>
      <c r="E1003" s="25"/>
      <c r="F100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03" s="161">
        <v>44558</v>
      </c>
      <c r="H1003" s="26" t="s">
        <v>1637</v>
      </c>
      <c r="I1003" s="161">
        <v>44530</v>
      </c>
      <c r="J1003" s="35">
        <v>23709</v>
      </c>
      <c r="K1003" s="21">
        <v>736000</v>
      </c>
      <c r="L1003" s="21"/>
      <c r="M1003" s="22">
        <f>(PROVEEDORES[[#This Row],[SUBTOTAL]]-PROVEEDORES[[#This Row],[descuento sobre subtotal]])*VLOOKUP(PROVEEDORES[[#This Row],[PROVEEDOR]],TERCEROS_INFO[#All],3,FALSE)</f>
        <v>139840</v>
      </c>
      <c r="N1003" s="23"/>
      <c r="O1003" s="22">
        <f>+PROVEEDORES[[#This Row],[Descuento sobre subtotal %]]*(PROVEEDORES[[#This Row],[SUBTOTAL]]-PROVEEDORES[[#This Row],[descuento sobre subtotal]])</f>
        <v>0</v>
      </c>
      <c r="P1003" s="83">
        <f>+IF(PROVEEDORES[[#This Row],[SUBTOTAL]]&lt;PROVEEDORES[[#This Row],[base retencion]],0,PROVEEDORES[[#This Row],[retención aplicada]])</f>
        <v>0</v>
      </c>
      <c r="Q1003" s="22">
        <f>+PROVEEDORES[[#This Row],[Rete Fuente %]]*(PROVEEDORES[[#This Row],[SUBTOTAL]]-PROVEEDORES[[#This Row],[descuento sobre subtotal]])</f>
        <v>0</v>
      </c>
      <c r="R1003" s="21">
        <f>+PROVEEDORES[[#This Row],[SUBTOTAL]]+PROVEEDORES[[#This Row],[IVA 19%]]-PROVEEDORES[[#This Row],[descuento sobre subtotal]]-PROVEEDORES[[#This Row],[Descuento sobre subtotal $2]]-PROVEEDORES[[#This Row],[Rete Fuente $]]</f>
        <v>875840</v>
      </c>
      <c r="S10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68">
        <f ca="1">IF(PROVEEDORES[[#This Row],[FECHA DE PAGO]]=0,TODAY()-PROVEEDORES[[#This Row],[FECHA DE FACTURACIÓN]]-PROVEEDORES[[#This Row],[PLAZO Días]],0)</f>
        <v>0</v>
      </c>
      <c r="U1003" s="96" t="str">
        <f>+VLOOKUP(PROVEEDORES[[#This Row],[PROVEEDOR]],Terceros!$A:$D,4,FALSE)</f>
        <v>2,5% con base</v>
      </c>
      <c r="V1003" s="97">
        <f>+YEAR(PROVEEDORES[[#This Row],[FECHA DE FACTURACIÓN]])</f>
        <v>2021</v>
      </c>
      <c r="W1003" s="97">
        <f>+MATCH(PROVEEDORES[[#This Row],[año facturado]],Retenciones!$1:$1,0)</f>
        <v>4</v>
      </c>
      <c r="X1003" s="98">
        <f>+VLOOKUP(PROVEEDORES[[#This Row],[ID RETENCION]],Retenciones!$A$1:$O$25,PROVEEDORES[[#This Row],[indicador de columna]],FALSE)</f>
        <v>980000</v>
      </c>
      <c r="Y1003" s="99">
        <f>+VLOOKUP(PROVEEDORES[[#This Row],[ID RETENCION]],Retenciones!$A$1:$O$25,2,FALSE)</f>
        <v>2.5000000000000001E-2</v>
      </c>
      <c r="Z1003" s="125" t="b">
        <f>OR(COUNTIF(PROVEEDORES[[#This Row],[PROVEEDOR]],"*"&amp;'Palabra no opera'!$A$2&amp;"*"))</f>
        <v>0</v>
      </c>
      <c r="AA1003" s="24"/>
      <c r="AB1003" s="24"/>
      <c r="AC1003" s="24"/>
      <c r="AD1003" s="24"/>
      <c r="AE1003" s="24"/>
    </row>
    <row r="1004" spans="1:31" ht="22.2" customHeight="1" x14ac:dyDescent="0.3">
      <c r="A1004" s="66" t="str">
        <f>+IF(PROVEEDORES[[#This Row],[FECHA DE PAGO]]=PROVEEDORES[[#This Row],[FECHA DE FACTURACIÓN]],"DE CONTADO","CRÉDITO")</f>
        <v>CRÉDITO</v>
      </c>
      <c r="B1004" s="38" t="str">
        <f>+IF((PROVEEDORES[[#This Row],[FECHA DE PAGO]]-PROVEEDORES[[#This Row],[FECHA DE FACTURACIÓN]])&gt;PROVEEDORES[[#This Row],[PLAZO Días]],"PAGO VENCIDO")</f>
        <v>PAGO VENCIDO</v>
      </c>
      <c r="C1004" s="20">
        <f>+VLOOKUP(PROVEEDORES[[#This Row],[PROVEEDOR]],TERCEROS_INFO[#All],2,FALSE)</f>
        <v>30</v>
      </c>
      <c r="D1004" s="25">
        <f>+SUMIFS(PROVEEDORES[Total],PROVEEDORES[PROVEEDOR],PROVEEDORES[[#This Row],[PROVEEDOR]],PROVEEDORES[FECHA DE PAGO],"")</f>
        <v>0</v>
      </c>
      <c r="E1004" s="25"/>
      <c r="F1004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004" s="161">
        <v>44348</v>
      </c>
      <c r="H1004" s="26" t="s">
        <v>746</v>
      </c>
      <c r="I1004" s="161">
        <v>44244</v>
      </c>
      <c r="J1004" s="35">
        <v>830</v>
      </c>
      <c r="K1004" s="21">
        <v>738655.46</v>
      </c>
      <c r="L1004" s="21"/>
      <c r="M1004" s="22">
        <f>(PROVEEDORES[[#This Row],[SUBTOTAL]]-PROVEEDORES[[#This Row],[descuento sobre subtotal]])*VLOOKUP(PROVEEDORES[[#This Row],[PROVEEDOR]],TERCEROS_INFO[#All],3,FALSE)</f>
        <v>140344.5374</v>
      </c>
      <c r="N1004" s="23"/>
      <c r="O1004" s="22">
        <f>+PROVEEDORES[[#This Row],[Descuento sobre subtotal %]]*(PROVEEDORES[[#This Row],[SUBTOTAL]]-PROVEEDORES[[#This Row],[descuento sobre subtotal]])</f>
        <v>0</v>
      </c>
      <c r="P1004" s="83">
        <f>+IF(PROVEEDORES[[#This Row],[SUBTOTAL]]&lt;PROVEEDORES[[#This Row],[base retencion]],0,PROVEEDORES[[#This Row],[retención aplicada]])</f>
        <v>0</v>
      </c>
      <c r="Q1004" s="22">
        <f>+PROVEEDORES[[#This Row],[Rete Fuente %]]*(PROVEEDORES[[#This Row],[SUBTOTAL]]-PROVEEDORES[[#This Row],[descuento sobre subtotal]])</f>
        <v>0</v>
      </c>
      <c r="R1004" s="21">
        <f>+PROVEEDORES[[#This Row],[SUBTOTAL]]+PROVEEDORES[[#This Row],[IVA 19%]]-PROVEEDORES[[#This Row],[descuento sobre subtotal]]-PROVEEDORES[[#This Row],[Descuento sobre subtotal $2]]-PROVEEDORES[[#This Row],[Rete Fuente $]]</f>
        <v>878999.99739999999</v>
      </c>
      <c r="S10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68">
        <f ca="1">IF(PROVEEDORES[[#This Row],[FECHA DE PAGO]]=0,TODAY()-PROVEEDORES[[#This Row],[FECHA DE FACTURACIÓN]]-PROVEEDORES[[#This Row],[PLAZO Días]],0)</f>
        <v>0</v>
      </c>
      <c r="U1004" s="96" t="str">
        <f>+VLOOKUP(PROVEEDORES[[#This Row],[PROVEEDOR]],Terceros!$A:$D,4,FALSE)</f>
        <v>2,5% con base</v>
      </c>
      <c r="V1004" s="97">
        <f>+YEAR(PROVEEDORES[[#This Row],[FECHA DE FACTURACIÓN]])</f>
        <v>2021</v>
      </c>
      <c r="W1004" s="97">
        <f>+MATCH(PROVEEDORES[[#This Row],[año facturado]],Retenciones!$1:$1,0)</f>
        <v>4</v>
      </c>
      <c r="X1004" s="98">
        <f>+VLOOKUP(PROVEEDORES[[#This Row],[ID RETENCION]],Retenciones!$A$1:$O$25,PROVEEDORES[[#This Row],[indicador de columna]],FALSE)</f>
        <v>980000</v>
      </c>
      <c r="Y1004" s="99">
        <f>+VLOOKUP(PROVEEDORES[[#This Row],[ID RETENCION]],Retenciones!$A$1:$O$25,2,FALSE)</f>
        <v>2.5000000000000001E-2</v>
      </c>
      <c r="Z1004" s="125" t="b">
        <f>OR(COUNTIF(PROVEEDORES[[#This Row],[PROVEEDOR]],"*"&amp;'Palabra no opera'!$A$2&amp;"*"))</f>
        <v>0</v>
      </c>
      <c r="AA1004" s="24"/>
      <c r="AB1004" s="24"/>
      <c r="AC1004" s="24"/>
      <c r="AD1004" s="24"/>
      <c r="AE1004" s="24"/>
    </row>
    <row r="1005" spans="1:31" ht="22.2" customHeight="1" x14ac:dyDescent="0.3">
      <c r="A1005" s="66" t="str">
        <f>+IF(PROVEEDORES[[#This Row],[FECHA DE PAGO]]=PROVEEDORES[[#This Row],[FECHA DE FACTURACIÓN]],"DE CONTADO","CRÉDITO")</f>
        <v>DE CONTADO</v>
      </c>
      <c r="B1005" s="38" t="b">
        <f>+IF((PROVEEDORES[[#This Row],[FECHA DE PAGO]]-PROVEEDORES[[#This Row],[FECHA DE FACTURACIÓN]])&gt;PROVEEDORES[[#This Row],[PLAZO Días]],"PAGO VENCIDO")</f>
        <v>0</v>
      </c>
      <c r="C1005" s="20">
        <f>+VLOOKUP(PROVEEDORES[[#This Row],[PROVEEDOR]],TERCEROS_INFO[#All],2,FALSE)</f>
        <v>30</v>
      </c>
      <c r="D1005" s="25">
        <f>+SUMIFS(PROVEEDORES[Total],PROVEEDORES[PROVEEDOR],PROVEEDORES[[#This Row],[PROVEEDOR]],PROVEEDORES[FECHA DE PAGO],"")</f>
        <v>0</v>
      </c>
      <c r="E1005" s="25"/>
      <c r="F1005" s="58" t="str">
        <f>+VLOOKUP(PROVEEDORES[[#This Row],[PROVEEDOR]],
                       Terceros!$A:$F,
                       5,
                       FALSE)</f>
        <v/>
      </c>
      <c r="G1005" s="161">
        <v>44233</v>
      </c>
      <c r="H1005" s="26" t="s">
        <v>635</v>
      </c>
      <c r="I1005" s="161">
        <v>44233</v>
      </c>
      <c r="J1005" s="35"/>
      <c r="K1005" s="21">
        <v>880000</v>
      </c>
      <c r="L1005" s="21"/>
      <c r="M1005" s="22">
        <f>(PROVEEDORES[[#This Row],[SUBTOTAL]]-PROVEEDORES[[#This Row],[descuento sobre subtotal]])*VLOOKUP(PROVEEDORES[[#This Row],[PROVEEDOR]],TERCEROS_INFO[#All],3,FALSE)</f>
        <v>0</v>
      </c>
      <c r="N1005" s="23"/>
      <c r="O1005" s="22">
        <f>+PROVEEDORES[[#This Row],[Descuento sobre subtotal %]]*(PROVEEDORES[[#This Row],[SUBTOTAL]]-PROVEEDORES[[#This Row],[descuento sobre subtotal]])</f>
        <v>0</v>
      </c>
      <c r="P1005" s="83">
        <f>+IF(PROVEEDORES[[#This Row],[SUBTOTAL]]&lt;PROVEEDORES[[#This Row],[base retencion]],0,PROVEEDORES[[#This Row],[retención aplicada]])</f>
        <v>0</v>
      </c>
      <c r="Q1005" s="22">
        <f>+PROVEEDORES[[#This Row],[Rete Fuente %]]*(PROVEEDORES[[#This Row],[SUBTOTAL]]-PROVEEDORES[[#This Row],[descuento sobre subtotal]])</f>
        <v>0</v>
      </c>
      <c r="R1005" s="21">
        <f>+PROVEEDORES[[#This Row],[SUBTOTAL]]+PROVEEDORES[[#This Row],[IVA 19%]]-PROVEEDORES[[#This Row],[descuento sobre subtotal]]-PROVEEDORES[[#This Row],[Descuento sobre subtotal $2]]-PROVEEDORES[[#This Row],[Rete Fuente $]]</f>
        <v>880000</v>
      </c>
      <c r="S10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68">
        <f ca="1">IF(PROVEEDORES[[#This Row],[FECHA DE PAGO]]=0,TODAY()-PROVEEDORES[[#This Row],[FECHA DE FACTURACIÓN]]-PROVEEDORES[[#This Row],[PLAZO Días]],0)</f>
        <v>0</v>
      </c>
      <c r="U1005" s="96">
        <f>+VLOOKUP(PROVEEDORES[[#This Row],[PROVEEDOR]],Terceros!$A:$D,4,FALSE)</f>
        <v>0</v>
      </c>
      <c r="V1005" s="97">
        <f>+YEAR(PROVEEDORES[[#This Row],[FECHA DE FACTURACIÓN]])</f>
        <v>2021</v>
      </c>
      <c r="W1005" s="97">
        <f>+MATCH(PROVEEDORES[[#This Row],[año facturado]],Retenciones!$1:$1,0)</f>
        <v>4</v>
      </c>
      <c r="X1005" s="98">
        <f>+VLOOKUP(PROVEEDORES[[#This Row],[ID RETENCION]],Retenciones!$A$1:$O$25,PROVEEDORES[[#This Row],[indicador de columna]],FALSE)</f>
        <v>0</v>
      </c>
      <c r="Y1005" s="99">
        <f>+VLOOKUP(PROVEEDORES[[#This Row],[ID RETENCION]],Retenciones!$A$1:$O$25,2,FALSE)</f>
        <v>0</v>
      </c>
      <c r="Z1005" s="125" t="b">
        <f>OR(COUNTIF(PROVEEDORES[[#This Row],[PROVEEDOR]],"*"&amp;'Palabra no opera'!$A$2&amp;"*"))</f>
        <v>0</v>
      </c>
      <c r="AA1005" s="24"/>
      <c r="AB1005" s="24"/>
      <c r="AC1005" s="24"/>
      <c r="AD1005" s="24"/>
      <c r="AE1005" s="24"/>
    </row>
    <row r="1006" spans="1:31" ht="22.2" customHeight="1" x14ac:dyDescent="0.3">
      <c r="A1006" s="66" t="str">
        <f>+IF(PROVEEDORES[[#This Row],[FECHA DE PAGO]]=PROVEEDORES[[#This Row],[FECHA DE FACTURACIÓN]],"DE CONTADO","CRÉDITO")</f>
        <v>CRÉDITO</v>
      </c>
      <c r="B1006" s="38" t="b">
        <f>+IF((PROVEEDORES[[#This Row],[FECHA DE PAGO]]-PROVEEDORES[[#This Row],[FECHA DE FACTURACIÓN]])&gt;PROVEEDORES[[#This Row],[PLAZO Días]],"PAGO VENCIDO")</f>
        <v>0</v>
      </c>
      <c r="C1006" s="20">
        <f>+VLOOKUP(PROVEEDORES[[#This Row],[PROVEEDOR]],TERCEROS_INFO[#All],2,FALSE)</f>
        <v>45</v>
      </c>
      <c r="D1006" s="25">
        <f>+SUMIFS(PROVEEDORES[Total],PROVEEDORES[PROVEEDOR],PROVEEDORES[[#This Row],[PROVEEDOR]],PROVEEDORES[FECHA DE PAGO],"")</f>
        <v>2604910</v>
      </c>
      <c r="E1006" s="25"/>
      <c r="F100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06" s="161">
        <v>44558</v>
      </c>
      <c r="H1006" s="26" t="s">
        <v>10</v>
      </c>
      <c r="I1006" s="161">
        <v>44516</v>
      </c>
      <c r="J1006" s="35" t="s">
        <v>535</v>
      </c>
      <c r="K1006" s="21">
        <v>740000</v>
      </c>
      <c r="L1006" s="21"/>
      <c r="M1006" s="22">
        <f>(PROVEEDORES[[#This Row],[SUBTOTAL]]-PROVEEDORES[[#This Row],[descuento sobre subtotal]])*VLOOKUP(PROVEEDORES[[#This Row],[PROVEEDOR]],TERCEROS_INFO[#All],3,FALSE)</f>
        <v>140600</v>
      </c>
      <c r="N1006" s="23"/>
      <c r="O1006" s="22">
        <f>+PROVEEDORES[[#This Row],[Descuento sobre subtotal %]]*(PROVEEDORES[[#This Row],[SUBTOTAL]]-PROVEEDORES[[#This Row],[descuento sobre subtotal]])</f>
        <v>0</v>
      </c>
      <c r="P1006" s="83">
        <f>+IF(PROVEEDORES[[#This Row],[SUBTOTAL]]&lt;PROVEEDORES[[#This Row],[base retencion]],0,PROVEEDORES[[#This Row],[retención aplicada]])</f>
        <v>0</v>
      </c>
      <c r="Q1006" s="22">
        <f>+PROVEEDORES[[#This Row],[Rete Fuente %]]*(PROVEEDORES[[#This Row],[SUBTOTAL]]-PROVEEDORES[[#This Row],[descuento sobre subtotal]])</f>
        <v>0</v>
      </c>
      <c r="R1006" s="21">
        <f>+PROVEEDORES[[#This Row],[SUBTOTAL]]+PROVEEDORES[[#This Row],[IVA 19%]]-PROVEEDORES[[#This Row],[descuento sobre subtotal]]-PROVEEDORES[[#This Row],[Descuento sobre subtotal $2]]-PROVEEDORES[[#This Row],[Rete Fuente $]]</f>
        <v>880600</v>
      </c>
      <c r="S10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68">
        <f ca="1">IF(PROVEEDORES[[#This Row],[FECHA DE PAGO]]=0,TODAY()-PROVEEDORES[[#This Row],[FECHA DE FACTURACIÓN]]-PROVEEDORES[[#This Row],[PLAZO Días]],0)</f>
        <v>0</v>
      </c>
      <c r="U1006" s="96">
        <f>+VLOOKUP(PROVEEDORES[[#This Row],[PROVEEDOR]],Terceros!$A:$D,4,FALSE)</f>
        <v>0</v>
      </c>
      <c r="V1006" s="97">
        <f>+YEAR(PROVEEDORES[[#This Row],[FECHA DE FACTURACIÓN]])</f>
        <v>2021</v>
      </c>
      <c r="W1006" s="97">
        <f>+MATCH(PROVEEDORES[[#This Row],[año facturado]],Retenciones!$1:$1,0)</f>
        <v>4</v>
      </c>
      <c r="X1006" s="98">
        <f>+VLOOKUP(PROVEEDORES[[#This Row],[ID RETENCION]],Retenciones!$A$1:$O$25,PROVEEDORES[[#This Row],[indicador de columna]],FALSE)</f>
        <v>0</v>
      </c>
      <c r="Y1006" s="99">
        <f>+VLOOKUP(PROVEEDORES[[#This Row],[ID RETENCION]],Retenciones!$A$1:$O$25,2,FALSE)</f>
        <v>0</v>
      </c>
      <c r="Z1006" s="125" t="b">
        <f>OR(COUNTIF(PROVEEDORES[[#This Row],[PROVEEDOR]],"*"&amp;'Palabra no opera'!$A$2&amp;"*"))</f>
        <v>0</v>
      </c>
      <c r="AA1006" s="24"/>
      <c r="AB1006" s="24"/>
      <c r="AC1006" s="24"/>
      <c r="AD1006" s="24"/>
      <c r="AE1006" s="24"/>
    </row>
    <row r="1007" spans="1:31" ht="22.2" customHeight="1" x14ac:dyDescent="0.3">
      <c r="A1007" s="66" t="str">
        <f>+IF(PROVEEDORES[[#This Row],[FECHA DE PAGO]]=PROVEEDORES[[#This Row],[FECHA DE FACTURACIÓN]],"DE CONTADO","CRÉDITO")</f>
        <v>CRÉDITO</v>
      </c>
      <c r="B1007" s="38" t="b">
        <f>+IF((PROVEEDORES[[#This Row],[FECHA DE PAGO]]-PROVEEDORES[[#This Row],[FECHA DE FACTURACIÓN]])&gt;PROVEEDORES[[#This Row],[PLAZO Días]],"PAGO VENCIDO")</f>
        <v>0</v>
      </c>
      <c r="C1007" s="20">
        <f>+VLOOKUP(PROVEEDORES[[#This Row],[PROVEEDOR]],TERCEROS_INFO[#All],2,FALSE)</f>
        <v>90</v>
      </c>
      <c r="D1007" s="25">
        <f>+SUMIFS(PROVEEDORES[Total],PROVEEDORES[PROVEEDOR],PROVEEDORES[[#This Row],[PROVEEDOR]],PROVEEDORES[FECHA DE PAGO],"")</f>
        <v>0</v>
      </c>
      <c r="E1007" s="25"/>
      <c r="F1007" s="58" t="str">
        <f>+VLOOKUP(PROVEEDORES[[#This Row],[PROVEEDOR]],
                       Terceros!$A:$F,
                       5,
                       FALSE)</f>
        <v>dua@cedesistemas.edu.co;girlesa.ruiz@servipilas.com;joriescobar64@gmail.com</v>
      </c>
      <c r="G1007" s="161">
        <v>44357</v>
      </c>
      <c r="H1007" s="26" t="s">
        <v>911</v>
      </c>
      <c r="I1007" s="161">
        <v>44356</v>
      </c>
      <c r="J1007" s="35" t="s">
        <v>1245</v>
      </c>
      <c r="K1007" s="21">
        <v>914200</v>
      </c>
      <c r="L1007" s="21"/>
      <c r="M1007" s="22">
        <f>(PROVEEDORES[[#This Row],[SUBTOTAL]]-PROVEEDORES[[#This Row],[descuento sobre subtotal]])*VLOOKUP(PROVEEDORES[[#This Row],[PROVEEDOR]],TERCEROS_INFO[#All],3,FALSE)</f>
        <v>0</v>
      </c>
      <c r="N1007" s="23"/>
      <c r="O1007" s="22">
        <f>+PROVEEDORES[[#This Row],[Descuento sobre subtotal %]]*(PROVEEDORES[[#This Row],[SUBTOTAL]]-PROVEEDORES[[#This Row],[descuento sobre subtotal]])</f>
        <v>0</v>
      </c>
      <c r="P1007" s="83">
        <f>+IF(PROVEEDORES[[#This Row],[SUBTOTAL]]&lt;PROVEEDORES[[#This Row],[base retencion]],0,PROVEEDORES[[#This Row],[retención aplicada]])</f>
        <v>3.5000000000000003E-2</v>
      </c>
      <c r="Q1007" s="22">
        <f>+PROVEEDORES[[#This Row],[Rete Fuente %]]*(PROVEEDORES[[#This Row],[SUBTOTAL]]-PROVEEDORES[[#This Row],[descuento sobre subtotal]])</f>
        <v>31997.000000000004</v>
      </c>
      <c r="R1007" s="21">
        <f>+PROVEEDORES[[#This Row],[SUBTOTAL]]+PROVEEDORES[[#This Row],[IVA 19%]]-PROVEEDORES[[#This Row],[descuento sobre subtotal]]-PROVEEDORES[[#This Row],[Descuento sobre subtotal $2]]-PROVEEDORES[[#This Row],[Rete Fuente $]]</f>
        <v>882203</v>
      </c>
      <c r="S10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68">
        <f ca="1">IF(PROVEEDORES[[#This Row],[FECHA DE PAGO]]=0,TODAY()-PROVEEDORES[[#This Row],[FECHA DE FACTURACIÓN]]-PROVEEDORES[[#This Row],[PLAZO Días]],0)</f>
        <v>0</v>
      </c>
      <c r="U1007" s="96" t="str">
        <f>+VLOOKUP(PROVEEDORES[[#This Row],[PROVEEDOR]],Terceros!$A:$D,4,FALSE)</f>
        <v>3,5% sin base</v>
      </c>
      <c r="V1007" s="97">
        <f>+YEAR(PROVEEDORES[[#This Row],[FECHA DE FACTURACIÓN]])</f>
        <v>2021</v>
      </c>
      <c r="W1007" s="97">
        <f>+MATCH(PROVEEDORES[[#This Row],[año facturado]],Retenciones!$1:$1,0)</f>
        <v>4</v>
      </c>
      <c r="X1007" s="98">
        <f>+VLOOKUP(PROVEEDORES[[#This Row],[ID RETENCION]],Retenciones!$A$1:$O$25,PROVEEDORES[[#This Row],[indicador de columna]],FALSE)</f>
        <v>0</v>
      </c>
      <c r="Y1007" s="99">
        <f>+VLOOKUP(PROVEEDORES[[#This Row],[ID RETENCION]],Retenciones!$A$1:$O$25,2,FALSE)</f>
        <v>3.5000000000000003E-2</v>
      </c>
      <c r="Z1007" s="125" t="b">
        <f>OR(COUNTIF(PROVEEDORES[[#This Row],[PROVEEDOR]],"*"&amp;'Palabra no opera'!$A$2&amp;"*"))</f>
        <v>1</v>
      </c>
      <c r="AA1007" s="24"/>
      <c r="AB1007" s="24"/>
      <c r="AC1007" s="24"/>
      <c r="AD1007" s="24"/>
      <c r="AE1007" s="24"/>
    </row>
    <row r="1008" spans="1:31" ht="22.2" customHeight="1" x14ac:dyDescent="0.3">
      <c r="A1008" s="66" t="str">
        <f>+IF(PROVEEDORES[[#This Row],[FECHA DE PAGO]]=PROVEEDORES[[#This Row],[FECHA DE FACTURACIÓN]],"DE CONTADO","CRÉDITO")</f>
        <v>CRÉDITO</v>
      </c>
      <c r="B1008" s="38" t="str">
        <f>+IF((PROVEEDORES[[#This Row],[FECHA DE PAGO]]-PROVEEDORES[[#This Row],[FECHA DE FACTURACIÓN]])&gt;PROVEEDORES[[#This Row],[PLAZO Días]],"PAGO VENCIDO")</f>
        <v>PAGO VENCIDO</v>
      </c>
      <c r="C1008" s="20">
        <f>+VLOOKUP(PROVEEDORES[[#This Row],[PROVEEDOR]],TERCEROS_INFO[#All],2,FALSE)</f>
        <v>30</v>
      </c>
      <c r="D1008" s="25">
        <f>+SUMIFS(PROVEEDORES[Total],PROVEEDORES[PROVEEDOR],PROVEEDORES[[#This Row],[PROVEEDOR]],PROVEEDORES[FECHA DE PAGO],"")</f>
        <v>2318500</v>
      </c>
      <c r="E1008" s="25"/>
      <c r="F1008" s="58" t="str">
        <f>+VLOOKUP(PROVEEDORES[[#This Row],[PROVEEDOR]],
                       Terceros!$A:$F,
                       5,
                       FALSE)</f>
        <v/>
      </c>
      <c r="G1008" s="161">
        <v>44210</v>
      </c>
      <c r="H1008" s="26" t="s">
        <v>629</v>
      </c>
      <c r="I1008" s="161">
        <v>44166</v>
      </c>
      <c r="J1008" s="35">
        <v>1231</v>
      </c>
      <c r="K1008" s="21">
        <v>884250</v>
      </c>
      <c r="L1008" s="21"/>
      <c r="M1008" s="22">
        <f>(PROVEEDORES[[#This Row],[SUBTOTAL]]-PROVEEDORES[[#This Row],[descuento sobre subtotal]])*VLOOKUP(PROVEEDORES[[#This Row],[PROVEEDOR]],TERCEROS_INFO[#All],3,FALSE)</f>
        <v>0</v>
      </c>
      <c r="N1008" s="23"/>
      <c r="O1008" s="22">
        <f>+PROVEEDORES[[#This Row],[Descuento sobre subtotal %]]*(PROVEEDORES[[#This Row],[SUBTOTAL]]-PROVEEDORES[[#This Row],[descuento sobre subtotal]])</f>
        <v>0</v>
      </c>
      <c r="P1008" s="83">
        <f>+IF(PROVEEDORES[[#This Row],[SUBTOTAL]]&lt;PROVEEDORES[[#This Row],[base retencion]],0,PROVEEDORES[[#This Row],[retención aplicada]])</f>
        <v>0</v>
      </c>
      <c r="Q1008" s="22">
        <f>+PROVEEDORES[[#This Row],[Rete Fuente %]]*(PROVEEDORES[[#This Row],[SUBTOTAL]]-PROVEEDORES[[#This Row],[descuento sobre subtotal]])</f>
        <v>0</v>
      </c>
      <c r="R1008" s="21">
        <f>+PROVEEDORES[[#This Row],[SUBTOTAL]]+PROVEEDORES[[#This Row],[IVA 19%]]-PROVEEDORES[[#This Row],[descuento sobre subtotal]]-PROVEEDORES[[#This Row],[Descuento sobre subtotal $2]]-PROVEEDORES[[#This Row],[Rete Fuente $]]</f>
        <v>884250</v>
      </c>
      <c r="S10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68">
        <f ca="1">IF(PROVEEDORES[[#This Row],[FECHA DE PAGO]]=0,TODAY()-PROVEEDORES[[#This Row],[FECHA DE FACTURACIÓN]]-PROVEEDORES[[#This Row],[PLAZO Días]],0)</f>
        <v>0</v>
      </c>
      <c r="U1008" s="96">
        <f>+VLOOKUP(PROVEEDORES[[#This Row],[PROVEEDOR]],Terceros!$A:$D,4,FALSE)</f>
        <v>0</v>
      </c>
      <c r="V1008" s="97">
        <f>+YEAR(PROVEEDORES[[#This Row],[FECHA DE FACTURACIÓN]])</f>
        <v>2020</v>
      </c>
      <c r="W1008" s="97">
        <f>+MATCH(PROVEEDORES[[#This Row],[año facturado]],Retenciones!$1:$1,0)</f>
        <v>3</v>
      </c>
      <c r="X1008" s="98">
        <f>+VLOOKUP(PROVEEDORES[[#This Row],[ID RETENCION]],Retenciones!$A$1:$O$25,PROVEEDORES[[#This Row],[indicador de columna]],FALSE)</f>
        <v>0</v>
      </c>
      <c r="Y1008" s="99">
        <f>+VLOOKUP(PROVEEDORES[[#This Row],[ID RETENCION]],Retenciones!$A$1:$O$25,2,FALSE)</f>
        <v>0</v>
      </c>
      <c r="Z1008" s="125" t="b">
        <f>OR(COUNTIF(PROVEEDORES[[#This Row],[PROVEEDOR]],"*"&amp;'Palabra no opera'!$A$2&amp;"*"))</f>
        <v>0</v>
      </c>
      <c r="AA1008" s="24"/>
      <c r="AB1008" s="24"/>
      <c r="AC1008" s="24"/>
      <c r="AD1008" s="24"/>
      <c r="AE1008" s="24"/>
    </row>
    <row r="1009" spans="1:31" ht="22.2" customHeight="1" x14ac:dyDescent="0.3">
      <c r="A1009" s="66" t="str">
        <f>+IF(PROVEEDORES[[#This Row],[FECHA DE PAGO]]=PROVEEDORES[[#This Row],[FECHA DE FACTURACIÓN]],"DE CONTADO","CRÉDITO")</f>
        <v>CRÉDITO</v>
      </c>
      <c r="B1009" s="38" t="str">
        <f>+IF((PROVEEDORES[[#This Row],[FECHA DE PAGO]]-PROVEEDORES[[#This Row],[FECHA DE FACTURACIÓN]])&gt;PROVEEDORES[[#This Row],[PLAZO Días]],"PAGO VENCIDO")</f>
        <v>PAGO VENCIDO</v>
      </c>
      <c r="C1009" s="20">
        <f>+VLOOKUP(PROVEEDORES[[#This Row],[PROVEEDOR]],TERCEROS_INFO[#All],2,FALSE)</f>
        <v>30</v>
      </c>
      <c r="D1009" s="25">
        <f>+SUMIFS(PROVEEDORES[Total],PROVEEDORES[PROVEEDOR],PROVEEDORES[[#This Row],[PROVEEDOR]],PROVEEDORES[FECHA DE PAGO],"")</f>
        <v>0</v>
      </c>
      <c r="E1009" s="25"/>
      <c r="F1009" s="58">
        <f>+VLOOKUP(PROVEEDORES[[#This Row],[PROVEEDOR]],
                       Terceros!$A:$F,
                       5,
                       FALSE)</f>
        <v>0</v>
      </c>
      <c r="G1009" s="161">
        <v>44335</v>
      </c>
      <c r="H1009" s="26" t="s">
        <v>278</v>
      </c>
      <c r="I1009" s="161">
        <v>44281</v>
      </c>
      <c r="J1009" s="35">
        <v>61</v>
      </c>
      <c r="K1009" s="21">
        <v>746206</v>
      </c>
      <c r="L1009" s="21"/>
      <c r="M1009" s="22">
        <f>(PROVEEDORES[[#This Row],[SUBTOTAL]]-PROVEEDORES[[#This Row],[descuento sobre subtotal]])*VLOOKUP(PROVEEDORES[[#This Row],[PROVEEDOR]],TERCEROS_INFO[#All],3,FALSE)</f>
        <v>141779.14000000001</v>
      </c>
      <c r="N1009" s="23"/>
      <c r="O1009" s="22">
        <f>+PROVEEDORES[[#This Row],[Descuento sobre subtotal %]]*(PROVEEDORES[[#This Row],[SUBTOTAL]]-PROVEEDORES[[#This Row],[descuento sobre subtotal]])</f>
        <v>0</v>
      </c>
      <c r="P1009" s="83">
        <f>+IF(PROVEEDORES[[#This Row],[SUBTOTAL]]&lt;PROVEEDORES[[#This Row],[base retencion]],0,PROVEEDORES[[#This Row],[retención aplicada]])</f>
        <v>0</v>
      </c>
      <c r="Q1009" s="22">
        <f>+PROVEEDORES[[#This Row],[Rete Fuente %]]*(PROVEEDORES[[#This Row],[SUBTOTAL]]-PROVEEDORES[[#This Row],[descuento sobre subtotal]])</f>
        <v>0</v>
      </c>
      <c r="R1009" s="21">
        <f>+PROVEEDORES[[#This Row],[SUBTOTAL]]+PROVEEDORES[[#This Row],[IVA 19%]]-PROVEEDORES[[#This Row],[descuento sobre subtotal]]-PROVEEDORES[[#This Row],[Descuento sobre subtotal $2]]-PROVEEDORES[[#This Row],[Rete Fuente $]]</f>
        <v>887985.14</v>
      </c>
      <c r="S10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68">
        <f ca="1">IF(PROVEEDORES[[#This Row],[FECHA DE PAGO]]=0,TODAY()-PROVEEDORES[[#This Row],[FECHA DE FACTURACIÓN]]-PROVEEDORES[[#This Row],[PLAZO Días]],0)</f>
        <v>0</v>
      </c>
      <c r="U1009" s="96" t="str">
        <f>+VLOOKUP(PROVEEDORES[[#This Row],[PROVEEDOR]],Terceros!$A:$D,4,FALSE)</f>
        <v>2,5% con base</v>
      </c>
      <c r="V1009" s="97">
        <f>+YEAR(PROVEEDORES[[#This Row],[FECHA DE FACTURACIÓN]])</f>
        <v>2021</v>
      </c>
      <c r="W1009" s="97">
        <f>+MATCH(PROVEEDORES[[#This Row],[año facturado]],Retenciones!$1:$1,0)</f>
        <v>4</v>
      </c>
      <c r="X1009" s="98">
        <f>+VLOOKUP(PROVEEDORES[[#This Row],[ID RETENCION]],Retenciones!$A$1:$O$25,PROVEEDORES[[#This Row],[indicador de columna]],FALSE)</f>
        <v>980000</v>
      </c>
      <c r="Y1009" s="99">
        <f>+VLOOKUP(PROVEEDORES[[#This Row],[ID RETENCION]],Retenciones!$A$1:$O$25,2,FALSE)</f>
        <v>2.5000000000000001E-2</v>
      </c>
      <c r="Z1009" s="125" t="b">
        <f>OR(COUNTIF(PROVEEDORES[[#This Row],[PROVEEDOR]],"*"&amp;'Palabra no opera'!$A$2&amp;"*"))</f>
        <v>0</v>
      </c>
      <c r="AA1009" s="24"/>
      <c r="AB1009" s="24"/>
      <c r="AC1009" s="24"/>
      <c r="AD1009" s="24"/>
      <c r="AE1009" s="24"/>
    </row>
    <row r="1010" spans="1:31" ht="22.2" customHeight="1" x14ac:dyDescent="0.3">
      <c r="A1010" s="207" t="str">
        <f>+IF(PROVEEDORES[[#This Row],[FECHA DE PAGO]]=PROVEEDORES[[#This Row],[FECHA DE FACTURACIÓN]],"DE CONTADO","CRÉDITO")</f>
        <v>DE CONTADO</v>
      </c>
      <c r="B1010" s="38" t="b">
        <f>+IF((PROVEEDORES[[#This Row],[FECHA DE PAGO]]-PROVEEDORES[[#This Row],[FECHA DE FACTURACIÓN]])&gt;PROVEEDORES[[#This Row],[PLAZO Días]],"PAGO VENCIDO")</f>
        <v>0</v>
      </c>
      <c r="C1010" s="20">
        <f>+VLOOKUP(PROVEEDORES[[#This Row],[PROVEEDOR]],TERCEROS_INFO[#All],2,FALSE)</f>
        <v>30</v>
      </c>
      <c r="D1010" s="25">
        <f>+SUMIFS(PROVEEDORES[Total],PROVEEDORES[PROVEEDOR],PROVEEDORES[[#This Row],[PROVEEDOR]],PROVEEDORES[FECHA DE PAGO],"")</f>
        <v>0</v>
      </c>
      <c r="E1010" s="25"/>
      <c r="F1010" s="58" t="str">
        <f>+VLOOKUP(PROVEEDORES[[#This Row],[PROVEEDOR]],
                       Terceros!$A:$F,
                       5,
                       FALSE)</f>
        <v/>
      </c>
      <c r="G1010" s="161">
        <v>44793</v>
      </c>
      <c r="H1010" s="26" t="s">
        <v>673</v>
      </c>
      <c r="I1010" s="161">
        <v>44793</v>
      </c>
      <c r="J1010" s="35"/>
      <c r="K1010" s="21">
        <v>888000</v>
      </c>
      <c r="L1010" s="21"/>
      <c r="M1010" s="22">
        <f>(PROVEEDORES[[#This Row],[SUBTOTAL]]-PROVEEDORES[[#This Row],[descuento sobre subtotal]])*VLOOKUP(PROVEEDORES[[#This Row],[PROVEEDOR]],TERCEROS_INFO[#All],3,FALSE)</f>
        <v>0</v>
      </c>
      <c r="N1010" s="23"/>
      <c r="O1010" s="22">
        <f>+PROVEEDORES[[#This Row],[Descuento sobre subtotal %]]*(PROVEEDORES[[#This Row],[SUBTOTAL]]-PROVEEDORES[[#This Row],[descuento sobre subtotal]])</f>
        <v>0</v>
      </c>
      <c r="P1010" s="83">
        <f>+IF(PROVEEDORES[[#This Row],[SUBTOTAL]]&lt;PROVEEDORES[[#This Row],[base retencion]],0,PROVEEDORES[[#This Row],[retención aplicada]])</f>
        <v>0</v>
      </c>
      <c r="Q1010" s="22">
        <f>+PROVEEDORES[[#This Row],[Rete Fuente %]]*(PROVEEDORES[[#This Row],[SUBTOTAL]]-PROVEEDORES[[#This Row],[descuento sobre subtotal]])</f>
        <v>0</v>
      </c>
      <c r="R1010" s="21">
        <f>+PROVEEDORES[[#This Row],[SUBTOTAL]]+PROVEEDORES[[#This Row],[IVA 19%]]-PROVEEDORES[[#This Row],[descuento sobre subtotal]]-PROVEEDORES[[#This Row],[Descuento sobre subtotal $2]]-PROVEEDORES[[#This Row],[Rete Fuente $]]</f>
        <v>888000</v>
      </c>
      <c r="S101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68">
        <f ca="1">IF(PROVEEDORES[[#This Row],[FECHA DE PAGO]]=0,TODAY()-PROVEEDORES[[#This Row],[FECHA DE FACTURACIÓN]]-PROVEEDORES[[#This Row],[PLAZO Días]],0)</f>
        <v>0</v>
      </c>
      <c r="U1010" s="113">
        <f>+VLOOKUP(PROVEEDORES[[#This Row],[PROVEEDOR]],Terceros!$A:$D,4,FALSE)</f>
        <v>0</v>
      </c>
      <c r="V1010" s="114">
        <f>+YEAR(PROVEEDORES[[#This Row],[FECHA DE FACTURACIÓN]])</f>
        <v>2022</v>
      </c>
      <c r="W1010" s="114">
        <f>+MATCH(PROVEEDORES[[#This Row],[año facturado]],Retenciones!$1:$1,0)</f>
        <v>5</v>
      </c>
      <c r="X1010" s="115">
        <f>+VLOOKUP(PROVEEDORES[[#This Row],[ID RETENCION]],Retenciones!$A$1:$O$25,PROVEEDORES[[#This Row],[indicador de columna]],FALSE)</f>
        <v>0</v>
      </c>
      <c r="Y1010" s="116">
        <f>+VLOOKUP(PROVEEDORES[[#This Row],[ID RETENCION]],Retenciones!$A$1:$O$25,2,FALSE)</f>
        <v>0</v>
      </c>
      <c r="Z1010" s="125" t="b">
        <f>OR(COUNTIF(PROVEEDORES[[#This Row],[PROVEEDOR]],"*"&amp;'Palabra no opera'!$A$2&amp;"*"))</f>
        <v>0</v>
      </c>
      <c r="AA1010" s="24"/>
      <c r="AB1010" s="24"/>
      <c r="AC1010" s="24"/>
      <c r="AD1010" s="24"/>
      <c r="AE1010" s="24"/>
    </row>
    <row r="1011" spans="1:31" ht="22.2" customHeight="1" x14ac:dyDescent="0.3">
      <c r="A1011" s="159" t="str">
        <f>+IF(PROVEEDORES[[#This Row],[FECHA DE PAGO]]=PROVEEDORES[[#This Row],[FECHA DE FACTURACIÓN]],"DE CONTADO","CRÉDITO")</f>
        <v>CRÉDITO</v>
      </c>
      <c r="B1011" s="38" t="str">
        <f>+IF((PROVEEDORES[[#This Row],[FECHA DE PAGO]]-PROVEEDORES[[#This Row],[FECHA DE FACTURACIÓN]])&gt;PROVEEDORES[[#This Row],[PLAZO Días]],"PAGO VENCIDO")</f>
        <v>PAGO VENCIDO</v>
      </c>
      <c r="C1011" s="20">
        <f>+VLOOKUP(PROVEEDORES[[#This Row],[PROVEEDOR]],TERCEROS_INFO[#All],2,FALSE)</f>
        <v>30</v>
      </c>
      <c r="D1011" s="25">
        <f>+SUMIFS(PROVEEDORES[Total],PROVEEDORES[PROVEEDOR],PROVEEDORES[[#This Row],[PROVEEDOR]],PROVEEDORES[FECHA DE PAGO],"")</f>
        <v>0</v>
      </c>
      <c r="E1011" s="25"/>
      <c r="F1011" s="5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011" s="161">
        <v>44776</v>
      </c>
      <c r="H1011" s="26" t="s">
        <v>16</v>
      </c>
      <c r="I1011" s="161">
        <v>44733</v>
      </c>
      <c r="J1011" s="35">
        <v>4622</v>
      </c>
      <c r="K1011" s="21">
        <v>749579.83</v>
      </c>
      <c r="L1011" s="21"/>
      <c r="M1011" s="22">
        <f>(PROVEEDORES[[#This Row],[SUBTOTAL]]-PROVEEDORES[[#This Row],[descuento sobre subtotal]])*VLOOKUP(PROVEEDORES[[#This Row],[PROVEEDOR]],TERCEROS_INFO[#All],3,FALSE)</f>
        <v>142420.16769999999</v>
      </c>
      <c r="N1011" s="23"/>
      <c r="O1011" s="22">
        <f>+PROVEEDORES[[#This Row],[Descuento sobre subtotal %]]*(PROVEEDORES[[#This Row],[SUBTOTAL]]-PROVEEDORES[[#This Row],[descuento sobre subtotal]])</f>
        <v>0</v>
      </c>
      <c r="P1011" s="83">
        <f>+IF(PROVEEDORES[[#This Row],[SUBTOTAL]]&lt;PROVEEDORES[[#This Row],[base retencion]],0,PROVEEDORES[[#This Row],[retención aplicada]])</f>
        <v>0</v>
      </c>
      <c r="Q1011" s="22">
        <f>+PROVEEDORES[[#This Row],[Rete Fuente %]]*(PROVEEDORES[[#This Row],[SUBTOTAL]]-PROVEEDORES[[#This Row],[descuento sobre subtotal]])</f>
        <v>0</v>
      </c>
      <c r="R1011" s="21">
        <f>+PROVEEDORES[[#This Row],[SUBTOTAL]]+PROVEEDORES[[#This Row],[IVA 19%]]-PROVEEDORES[[#This Row],[descuento sobre subtotal]]-PROVEEDORES[[#This Row],[Descuento sobre subtotal $2]]-PROVEEDORES[[#This Row],[Rete Fuente $]]</f>
        <v>891999.99769999995</v>
      </c>
      <c r="S101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68">
        <f ca="1">IF(PROVEEDORES[[#This Row],[FECHA DE PAGO]]=0,TODAY()-PROVEEDORES[[#This Row],[FECHA DE FACTURACIÓN]]-PROVEEDORES[[#This Row],[PLAZO Días]],0)</f>
        <v>0</v>
      </c>
      <c r="U1011" s="113" t="str">
        <f>+VLOOKUP(PROVEEDORES[[#This Row],[PROVEEDOR]],Terceros!$A:$D,4,FALSE)</f>
        <v>2,5% con base</v>
      </c>
      <c r="V1011" s="114">
        <f>+YEAR(PROVEEDORES[[#This Row],[FECHA DE FACTURACIÓN]])</f>
        <v>2022</v>
      </c>
      <c r="W1011" s="114">
        <f>+MATCH(PROVEEDORES[[#This Row],[año facturado]],Retenciones!$1:$1,0)</f>
        <v>5</v>
      </c>
      <c r="X1011" s="115">
        <f>+VLOOKUP(PROVEEDORES[[#This Row],[ID RETENCION]],Retenciones!$A$1:$O$25,PROVEEDORES[[#This Row],[indicador de columna]],FALSE)</f>
        <v>1026000</v>
      </c>
      <c r="Y1011" s="116">
        <f>+VLOOKUP(PROVEEDORES[[#This Row],[ID RETENCION]],Retenciones!$A$1:$O$25,2,FALSE)</f>
        <v>2.5000000000000001E-2</v>
      </c>
      <c r="Z1011" s="125" t="b">
        <f>OR(COUNTIF(PROVEEDORES[[#This Row],[PROVEEDOR]],"*"&amp;'Palabra no opera'!$A$2&amp;"*"))</f>
        <v>0</v>
      </c>
      <c r="AA1011" s="24"/>
      <c r="AB1011" s="24"/>
      <c r="AC1011" s="24"/>
      <c r="AD1011" s="24"/>
      <c r="AE1011" s="24"/>
    </row>
    <row r="1012" spans="1:31" ht="22.2" customHeight="1" x14ac:dyDescent="0.3">
      <c r="A1012" s="207" t="str">
        <f>+IF(PROVEEDORES[[#This Row],[FECHA DE PAGO]]=PROVEEDORES[[#This Row],[FECHA DE FACTURACIÓN]],"DE CONTADO","CRÉDITO")</f>
        <v>CRÉDITO</v>
      </c>
      <c r="B1012" s="38" t="str">
        <f>+IF((PROVEEDORES[[#This Row],[FECHA DE PAGO]]-PROVEEDORES[[#This Row],[FECHA DE FACTURACIÓN]])&gt;PROVEEDORES[[#This Row],[PLAZO Días]],"PAGO VENCIDO")</f>
        <v>PAGO VENCIDO</v>
      </c>
      <c r="C1012" s="20">
        <f>+VLOOKUP(PROVEEDORES[[#This Row],[PROVEEDOR]],TERCEROS_INFO[#All],2,FALSE)</f>
        <v>45</v>
      </c>
      <c r="D1012" s="25">
        <f>+SUMIFS(PROVEEDORES[Total],PROVEEDORES[PROVEEDOR],PROVEEDORES[[#This Row],[PROVEEDOR]],PROVEEDORES[FECHA DE PAGO],"")</f>
        <v>2604910</v>
      </c>
      <c r="E1012" s="25"/>
      <c r="F101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12" s="161">
        <v>44858</v>
      </c>
      <c r="H1012" s="26" t="s">
        <v>10</v>
      </c>
      <c r="I1012" s="161">
        <v>44792</v>
      </c>
      <c r="J1012" s="35" t="s">
        <v>1409</v>
      </c>
      <c r="K1012" s="21">
        <v>750000</v>
      </c>
      <c r="L1012" s="21"/>
      <c r="M1012" s="22">
        <f>(PROVEEDORES[[#This Row],[SUBTOTAL]]-PROVEEDORES[[#This Row],[descuento sobre subtotal]])*VLOOKUP(PROVEEDORES[[#This Row],[PROVEEDOR]],TERCEROS_INFO[#All],3,FALSE)</f>
        <v>142500</v>
      </c>
      <c r="N1012" s="23"/>
      <c r="O1012" s="22">
        <f>+PROVEEDORES[[#This Row],[Descuento sobre subtotal %]]*(PROVEEDORES[[#This Row],[SUBTOTAL]]-PROVEEDORES[[#This Row],[descuento sobre subtotal]])</f>
        <v>0</v>
      </c>
      <c r="P1012" s="83">
        <f>+IF(PROVEEDORES[[#This Row],[SUBTOTAL]]&lt;PROVEEDORES[[#This Row],[base retencion]],0,PROVEEDORES[[#This Row],[retención aplicada]])</f>
        <v>0</v>
      </c>
      <c r="Q1012" s="22">
        <f>+PROVEEDORES[[#This Row],[Rete Fuente %]]*(PROVEEDORES[[#This Row],[SUBTOTAL]]-PROVEEDORES[[#This Row],[descuento sobre subtotal]])</f>
        <v>0</v>
      </c>
      <c r="R1012" s="21">
        <f>+PROVEEDORES[[#This Row],[SUBTOTAL]]+PROVEEDORES[[#This Row],[IVA 19%]]-PROVEEDORES[[#This Row],[descuento sobre subtotal]]-PROVEEDORES[[#This Row],[Descuento sobre subtotal $2]]-PROVEEDORES[[#This Row],[Rete Fuente $]]</f>
        <v>892500</v>
      </c>
      <c r="S1012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68">
        <f ca="1">IF(PROVEEDORES[[#This Row],[FECHA DE PAGO]]=0,TODAY()-PROVEEDORES[[#This Row],[FECHA DE FACTURACIÓN]]-PROVEEDORES[[#This Row],[PLAZO Días]],0)</f>
        <v>0</v>
      </c>
      <c r="U1012" s="113">
        <f>+VLOOKUP(PROVEEDORES[[#This Row],[PROVEEDOR]],Terceros!$A:$D,4,FALSE)</f>
        <v>0</v>
      </c>
      <c r="V1012" s="114">
        <f>+YEAR(PROVEEDORES[[#This Row],[FECHA DE FACTURACIÓN]])</f>
        <v>2022</v>
      </c>
      <c r="W1012" s="114">
        <f>+MATCH(PROVEEDORES[[#This Row],[año facturado]],Retenciones!$1:$1,0)</f>
        <v>5</v>
      </c>
      <c r="X1012" s="115">
        <f>+VLOOKUP(PROVEEDORES[[#This Row],[ID RETENCION]],Retenciones!$A$1:$O$25,PROVEEDORES[[#This Row],[indicador de columna]],FALSE)</f>
        <v>0</v>
      </c>
      <c r="Y1012" s="116">
        <f>+VLOOKUP(PROVEEDORES[[#This Row],[ID RETENCION]],Retenciones!$A$1:$O$25,2,FALSE)</f>
        <v>0</v>
      </c>
      <c r="Z1012" s="125" t="b">
        <f>OR(COUNTIF(PROVEEDORES[[#This Row],[PROVEEDOR]],"*"&amp;'Palabra no opera'!$A$2&amp;"*"))</f>
        <v>0</v>
      </c>
      <c r="AA1012" s="24"/>
      <c r="AB1012" s="24"/>
      <c r="AC1012" s="24"/>
      <c r="AD1012" s="24"/>
      <c r="AE1012" s="24"/>
    </row>
    <row r="1013" spans="1:31" ht="22.2" customHeight="1" x14ac:dyDescent="0.3">
      <c r="A1013" s="66" t="str">
        <f>+IF(PROVEEDORES[[#This Row],[FECHA DE PAGO]]=PROVEEDORES[[#This Row],[FECHA DE FACTURACIÓN]],"DE CONTADO","CRÉDITO")</f>
        <v>CRÉDITO</v>
      </c>
      <c r="B1013" s="38" t="str">
        <f>+IF((PROVEEDORES[[#This Row],[FECHA DE PAGO]]-PROVEEDORES[[#This Row],[FECHA DE FACTURACIÓN]])&gt;PROVEEDORES[[#This Row],[PLAZO Días]],"PAGO VENCIDO")</f>
        <v>PAGO VENCIDO</v>
      </c>
      <c r="C1013" s="20">
        <f>+VLOOKUP(PROVEEDORES[[#This Row],[PROVEEDOR]],TERCEROS_INFO[#All],2,FALSE)</f>
        <v>13</v>
      </c>
      <c r="D1013" s="25">
        <f>+SUMIFS(PROVEEDORES[Total],PROVEEDORES[PROVEEDOR],PROVEEDORES[[#This Row],[PROVEEDOR]],PROVEEDORES[FECHA DE PAGO],"")</f>
        <v>0</v>
      </c>
      <c r="E1013" s="25"/>
      <c r="F1013" s="58">
        <f>+VLOOKUP(PROVEEDORES[[#This Row],[PROVEEDOR]],
                       Terceros!$A:$F,
                       5,
                       FALSE)</f>
        <v>0</v>
      </c>
      <c r="G1013" s="161">
        <v>44516</v>
      </c>
      <c r="H1013" s="26" t="s">
        <v>934</v>
      </c>
      <c r="I1013" s="161">
        <v>44501</v>
      </c>
      <c r="J1013" s="35"/>
      <c r="K1013" s="21">
        <v>895265</v>
      </c>
      <c r="L1013" s="21"/>
      <c r="M1013" s="22">
        <f>(PROVEEDORES[[#This Row],[SUBTOTAL]]-PROVEEDORES[[#This Row],[descuento sobre subtotal]])*VLOOKUP(PROVEEDORES[[#This Row],[PROVEEDOR]],TERCEROS_INFO[#All],3,FALSE)</f>
        <v>0</v>
      </c>
      <c r="N1013" s="23"/>
      <c r="O1013" s="22">
        <f>+PROVEEDORES[[#This Row],[Descuento sobre subtotal %]]*(PROVEEDORES[[#This Row],[SUBTOTAL]]-PROVEEDORES[[#This Row],[descuento sobre subtotal]])</f>
        <v>0</v>
      </c>
      <c r="P1013" s="83">
        <f>+IF(PROVEEDORES[[#This Row],[SUBTOTAL]]&lt;PROVEEDORES[[#This Row],[base retencion]],0,PROVEEDORES[[#This Row],[retención aplicada]])</f>
        <v>0</v>
      </c>
      <c r="Q1013" s="22">
        <f>+PROVEEDORES[[#This Row],[Rete Fuente %]]*(PROVEEDORES[[#This Row],[SUBTOTAL]]-PROVEEDORES[[#This Row],[descuento sobre subtotal]])</f>
        <v>0</v>
      </c>
      <c r="R1013" s="21">
        <f>+PROVEEDORES[[#This Row],[SUBTOTAL]]+PROVEEDORES[[#This Row],[IVA 19%]]-PROVEEDORES[[#This Row],[descuento sobre subtotal]]-PROVEEDORES[[#This Row],[Descuento sobre subtotal $2]]-PROVEEDORES[[#This Row],[Rete Fuente $]]</f>
        <v>895265</v>
      </c>
      <c r="S10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68">
        <f ca="1">IF(PROVEEDORES[[#This Row],[FECHA DE PAGO]]=0,TODAY()-PROVEEDORES[[#This Row],[FECHA DE FACTURACIÓN]]-PROVEEDORES[[#This Row],[PLAZO Días]],0)</f>
        <v>0</v>
      </c>
      <c r="U1013" s="96">
        <f>+VLOOKUP(PROVEEDORES[[#This Row],[PROVEEDOR]],Terceros!$A:$D,4,FALSE)</f>
        <v>0</v>
      </c>
      <c r="V1013" s="97">
        <f>+YEAR(PROVEEDORES[[#This Row],[FECHA DE FACTURACIÓN]])</f>
        <v>2021</v>
      </c>
      <c r="W1013" s="97">
        <f>+MATCH(PROVEEDORES[[#This Row],[año facturado]],Retenciones!$1:$1,0)</f>
        <v>4</v>
      </c>
      <c r="X1013" s="98">
        <f>+VLOOKUP(PROVEEDORES[[#This Row],[ID RETENCION]],Retenciones!$A$1:$O$25,PROVEEDORES[[#This Row],[indicador de columna]],FALSE)</f>
        <v>0</v>
      </c>
      <c r="Y1013" s="99">
        <f>+VLOOKUP(PROVEEDORES[[#This Row],[ID RETENCION]],Retenciones!$A$1:$O$25,2,FALSE)</f>
        <v>0</v>
      </c>
      <c r="Z1013" s="125" t="b">
        <f>OR(COUNTIF(PROVEEDORES[[#This Row],[PROVEEDOR]],"*"&amp;'Palabra no opera'!$A$2&amp;"*"))</f>
        <v>1</v>
      </c>
      <c r="AA1013" s="24"/>
      <c r="AB1013" s="24"/>
      <c r="AC1013" s="24"/>
      <c r="AD1013" s="24"/>
      <c r="AE1013" s="24"/>
    </row>
    <row r="1014" spans="1:31" ht="22.2" customHeight="1" x14ac:dyDescent="0.3">
      <c r="A1014" s="66" t="str">
        <f>+IF(PROVEEDORES[[#This Row],[FECHA DE PAGO]]=PROVEEDORES[[#This Row],[FECHA DE FACTURACIÓN]],"DE CONTADO","CRÉDITO")</f>
        <v>CRÉDITO</v>
      </c>
      <c r="B1014" s="38" t="b">
        <f>+IF((PROVEEDORES[[#This Row],[FECHA DE PAGO]]-PROVEEDORES[[#This Row],[FECHA DE FACTURACIÓN]])&gt;PROVEEDORES[[#This Row],[PLAZO Días]],"PAGO VENCIDO")</f>
        <v>0</v>
      </c>
      <c r="C1014" s="20">
        <f>+VLOOKUP(PROVEEDORES[[#This Row],[PROVEEDOR]],TERCEROS_INFO[#All],2,FALSE)</f>
        <v>30</v>
      </c>
      <c r="D1014" s="25">
        <f>+SUMIFS(PROVEEDORES[Total],PROVEEDORES[PROVEEDOR],PROVEEDORES[[#This Row],[PROVEEDOR]],PROVEEDORES[FECHA DE PAGO],"")</f>
        <v>4712021.58</v>
      </c>
      <c r="E1014" s="25"/>
      <c r="F101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14" s="161">
        <v>44537</v>
      </c>
      <c r="H1014" s="26" t="s">
        <v>17</v>
      </c>
      <c r="I1014" s="161">
        <v>44517</v>
      </c>
      <c r="J1014" s="35">
        <v>1840740</v>
      </c>
      <c r="K1014" s="21">
        <v>753350</v>
      </c>
      <c r="L1014" s="21"/>
      <c r="M1014" s="22">
        <f>(PROVEEDORES[[#This Row],[SUBTOTAL]]-PROVEEDORES[[#This Row],[descuento sobre subtotal]])*VLOOKUP(PROVEEDORES[[#This Row],[PROVEEDOR]],TERCEROS_INFO[#All],3,FALSE)</f>
        <v>143136.5</v>
      </c>
      <c r="N1014" s="23"/>
      <c r="O1014" s="22">
        <f>+PROVEEDORES[[#This Row],[Descuento sobre subtotal %]]*(PROVEEDORES[[#This Row],[SUBTOTAL]]-PROVEEDORES[[#This Row],[descuento sobre subtotal]])</f>
        <v>0</v>
      </c>
      <c r="P1014" s="83">
        <f>+IF(PROVEEDORES[[#This Row],[SUBTOTAL]]&lt;PROVEEDORES[[#This Row],[base retencion]],0,PROVEEDORES[[#This Row],[retención aplicada]])</f>
        <v>0</v>
      </c>
      <c r="Q1014" s="22">
        <f>+PROVEEDORES[[#This Row],[Rete Fuente %]]*(PROVEEDORES[[#This Row],[SUBTOTAL]]-PROVEEDORES[[#This Row],[descuento sobre subtotal]])</f>
        <v>0</v>
      </c>
      <c r="R1014" s="21">
        <f>+PROVEEDORES[[#This Row],[SUBTOTAL]]+PROVEEDORES[[#This Row],[IVA 19%]]-PROVEEDORES[[#This Row],[descuento sobre subtotal]]-PROVEEDORES[[#This Row],[Descuento sobre subtotal $2]]-PROVEEDORES[[#This Row],[Rete Fuente $]]</f>
        <v>896486.5</v>
      </c>
      <c r="S10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68">
        <f ca="1">IF(PROVEEDORES[[#This Row],[FECHA DE PAGO]]=0,TODAY()-PROVEEDORES[[#This Row],[FECHA DE FACTURACIÓN]]-PROVEEDORES[[#This Row],[PLAZO Días]],0)</f>
        <v>0</v>
      </c>
      <c r="U1014" s="96">
        <f>+VLOOKUP(PROVEEDORES[[#This Row],[PROVEEDOR]],Terceros!$A:$D,4,FALSE)</f>
        <v>0</v>
      </c>
      <c r="V1014" s="97">
        <f>+YEAR(PROVEEDORES[[#This Row],[FECHA DE FACTURACIÓN]])</f>
        <v>2021</v>
      </c>
      <c r="W1014" s="97">
        <f>+MATCH(PROVEEDORES[[#This Row],[año facturado]],Retenciones!$1:$1,0)</f>
        <v>4</v>
      </c>
      <c r="X1014" s="98">
        <f>+VLOOKUP(PROVEEDORES[[#This Row],[ID RETENCION]],Retenciones!$A$1:$O$25,PROVEEDORES[[#This Row],[indicador de columna]],FALSE)</f>
        <v>0</v>
      </c>
      <c r="Y1014" s="99">
        <f>+VLOOKUP(PROVEEDORES[[#This Row],[ID RETENCION]],Retenciones!$A$1:$O$25,2,FALSE)</f>
        <v>0</v>
      </c>
      <c r="Z1014" s="125" t="b">
        <f>OR(COUNTIF(PROVEEDORES[[#This Row],[PROVEEDOR]],"*"&amp;'Palabra no opera'!$A$2&amp;"*"))</f>
        <v>0</v>
      </c>
      <c r="AA1014" s="24"/>
      <c r="AB1014" s="24"/>
      <c r="AC1014" s="24"/>
      <c r="AD1014" s="24"/>
      <c r="AE1014" s="24"/>
    </row>
    <row r="1015" spans="1:31" ht="22.2" customHeight="1" x14ac:dyDescent="0.3">
      <c r="A1015" s="66" t="str">
        <f>+IF(PROVEEDORES[[#This Row],[FECHA DE PAGO]]=PROVEEDORES[[#This Row],[FECHA DE FACTURACIÓN]],"DE CONTADO","CRÉDITO")</f>
        <v>CRÉDITO</v>
      </c>
      <c r="B1015" s="38" t="str">
        <f>+IF((PROVEEDORES[[#This Row],[FECHA DE PAGO]]-PROVEEDORES[[#This Row],[FECHA DE FACTURACIÓN]])&gt;PROVEEDORES[[#This Row],[PLAZO Días]],"PAGO VENCIDO")</f>
        <v>PAGO VENCIDO</v>
      </c>
      <c r="C1015" s="20">
        <f>+VLOOKUP(PROVEEDORES[[#This Row],[PROVEEDOR]],TERCEROS_INFO[#All],2,FALSE)</f>
        <v>30</v>
      </c>
      <c r="D1015" s="25">
        <f>+SUMIFS(PROVEEDORES[Total],PROVEEDORES[PROVEEDOR],PROVEEDORES[[#This Row],[PROVEEDOR]],PROVEEDORES[FECHA DE PAGO],"")</f>
        <v>2121000</v>
      </c>
      <c r="E1015" s="25"/>
      <c r="F101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15" s="161">
        <v>44392</v>
      </c>
      <c r="H1015" s="26" t="s">
        <v>685</v>
      </c>
      <c r="I1015" s="161">
        <v>44348</v>
      </c>
      <c r="J1015" s="35" t="s">
        <v>1240</v>
      </c>
      <c r="K1015" s="21">
        <v>900000</v>
      </c>
      <c r="L1015" s="21"/>
      <c r="M1015" s="22">
        <f>(PROVEEDORES[[#This Row],[SUBTOTAL]]-PROVEEDORES[[#This Row],[descuento sobre subtotal]])*VLOOKUP(PROVEEDORES[[#This Row],[PROVEEDOR]],TERCEROS_INFO[#All],3,FALSE)</f>
        <v>0</v>
      </c>
      <c r="N1015" s="23"/>
      <c r="O1015" s="22">
        <f>+PROVEEDORES[[#This Row],[Descuento sobre subtotal %]]*(PROVEEDORES[[#This Row],[SUBTOTAL]]-PROVEEDORES[[#This Row],[descuento sobre subtotal]])</f>
        <v>0</v>
      </c>
      <c r="P1015" s="83">
        <f>+IF(PROVEEDORES[[#This Row],[SUBTOTAL]]&lt;PROVEEDORES[[#This Row],[base retencion]],0,PROVEEDORES[[#This Row],[retención aplicada]])</f>
        <v>0</v>
      </c>
      <c r="Q1015" s="22">
        <f>+PROVEEDORES[[#This Row],[Rete Fuente %]]*(PROVEEDORES[[#This Row],[SUBTOTAL]]-PROVEEDORES[[#This Row],[descuento sobre subtotal]])</f>
        <v>0</v>
      </c>
      <c r="R1015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0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68">
        <f ca="1">IF(PROVEEDORES[[#This Row],[FECHA DE PAGO]]=0,TODAY()-PROVEEDORES[[#This Row],[FECHA DE FACTURACIÓN]]-PROVEEDORES[[#This Row],[PLAZO Días]],0)</f>
        <v>0</v>
      </c>
      <c r="U1015" s="96">
        <f>+VLOOKUP(PROVEEDORES[[#This Row],[PROVEEDOR]],Terceros!$A:$D,4,FALSE)</f>
        <v>0</v>
      </c>
      <c r="V1015" s="97">
        <f>+YEAR(PROVEEDORES[[#This Row],[FECHA DE FACTURACIÓN]])</f>
        <v>2021</v>
      </c>
      <c r="W1015" s="97">
        <f>+MATCH(PROVEEDORES[[#This Row],[año facturado]],Retenciones!$1:$1,0)</f>
        <v>4</v>
      </c>
      <c r="X1015" s="98">
        <f>+VLOOKUP(PROVEEDORES[[#This Row],[ID RETENCION]],Retenciones!$A$1:$O$25,PROVEEDORES[[#This Row],[indicador de columna]],FALSE)</f>
        <v>0</v>
      </c>
      <c r="Y1015" s="99">
        <f>+VLOOKUP(PROVEEDORES[[#This Row],[ID RETENCION]],Retenciones!$A$1:$O$25,2,FALSE)</f>
        <v>0</v>
      </c>
      <c r="Z1015" s="125" t="b">
        <f>OR(COUNTIF(PROVEEDORES[[#This Row],[PROVEEDOR]],"*"&amp;'Palabra no opera'!$A$2&amp;"*"))</f>
        <v>0</v>
      </c>
      <c r="AA1015" s="24"/>
      <c r="AB1015" s="24"/>
      <c r="AC1015" s="24"/>
      <c r="AD1015" s="24"/>
      <c r="AE1015" s="24"/>
    </row>
    <row r="1016" spans="1:31" ht="22.2" customHeight="1" x14ac:dyDescent="0.3">
      <c r="A1016" s="123" t="str">
        <f>+IF(PROVEEDORES[[#This Row],[FECHA DE PAGO]]=PROVEEDORES[[#This Row],[FECHA DE FACTURACIÓN]],"DE CONTADO","CRÉDITO")</f>
        <v>DE CONTADO</v>
      </c>
      <c r="B1016" s="38" t="b">
        <f>+IF((PROVEEDORES[[#This Row],[FECHA DE PAGO]]-PROVEEDORES[[#This Row],[FECHA DE FACTURACIÓN]])&gt;PROVEEDORES[[#This Row],[PLAZO Días]],"PAGO VENCIDO")</f>
        <v>0</v>
      </c>
      <c r="C1016" s="20">
        <f>+VLOOKUP(PROVEEDORES[[#This Row],[PROVEEDOR]],TERCEROS_INFO[#All],2,FALSE)</f>
        <v>30</v>
      </c>
      <c r="D1016" s="25">
        <f>+SUMIFS(PROVEEDORES[Total],PROVEEDORES[PROVEEDOR],PROVEEDORES[[#This Row],[PROVEEDOR]],PROVEEDORES[FECHA DE PAGO],"")</f>
        <v>0</v>
      </c>
      <c r="E1016" s="25"/>
      <c r="F1016" s="58" t="str">
        <f>+VLOOKUP(PROVEEDORES[[#This Row],[PROVEEDOR]],
                       Terceros!$A:$F,
                       5,
                       FALSE)</f>
        <v/>
      </c>
      <c r="G1016" s="161">
        <v>44680</v>
      </c>
      <c r="H1016" s="26" t="s">
        <v>673</v>
      </c>
      <c r="I1016" s="161">
        <v>44680</v>
      </c>
      <c r="J1016" s="35"/>
      <c r="K1016" s="21">
        <v>900000</v>
      </c>
      <c r="L1016" s="21"/>
      <c r="M1016" s="22">
        <f>(PROVEEDORES[[#This Row],[SUBTOTAL]]-PROVEEDORES[[#This Row],[descuento sobre subtotal]])*VLOOKUP(PROVEEDORES[[#This Row],[PROVEEDOR]],TERCEROS_INFO[#All],3,FALSE)</f>
        <v>0</v>
      </c>
      <c r="N1016" s="23"/>
      <c r="O1016" s="22">
        <f>+PROVEEDORES[[#This Row],[Descuento sobre subtotal %]]*(PROVEEDORES[[#This Row],[SUBTOTAL]]-PROVEEDORES[[#This Row],[descuento sobre subtotal]])</f>
        <v>0</v>
      </c>
      <c r="P1016" s="83">
        <f>+IF(PROVEEDORES[[#This Row],[SUBTOTAL]]&lt;PROVEEDORES[[#This Row],[base retencion]],0,PROVEEDORES[[#This Row],[retención aplicada]])</f>
        <v>0</v>
      </c>
      <c r="Q1016" s="22">
        <f>+PROVEEDORES[[#This Row],[Rete Fuente %]]*(PROVEEDORES[[#This Row],[SUBTOTAL]]-PROVEEDORES[[#This Row],[descuento sobre subtotal]])</f>
        <v>0</v>
      </c>
      <c r="R1016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01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68">
        <f ca="1">IF(PROVEEDORES[[#This Row],[FECHA DE PAGO]]=0,TODAY()-PROVEEDORES[[#This Row],[FECHA DE FACTURACIÓN]]-PROVEEDORES[[#This Row],[PLAZO Días]],0)</f>
        <v>0</v>
      </c>
      <c r="U1016" s="113">
        <f>+VLOOKUP(PROVEEDORES[[#This Row],[PROVEEDOR]],Terceros!$A:$D,4,FALSE)</f>
        <v>0</v>
      </c>
      <c r="V1016" s="114">
        <f>+YEAR(PROVEEDORES[[#This Row],[FECHA DE FACTURACIÓN]])</f>
        <v>2022</v>
      </c>
      <c r="W1016" s="114">
        <f>+MATCH(PROVEEDORES[[#This Row],[año facturado]],Retenciones!$1:$1,0)</f>
        <v>5</v>
      </c>
      <c r="X1016" s="115">
        <f>+VLOOKUP(PROVEEDORES[[#This Row],[ID RETENCION]],Retenciones!$A$1:$O$25,PROVEEDORES[[#This Row],[indicador de columna]],FALSE)</f>
        <v>0</v>
      </c>
      <c r="Y1016" s="116">
        <f>+VLOOKUP(PROVEEDORES[[#This Row],[ID RETENCION]],Retenciones!$A$1:$O$25,2,FALSE)</f>
        <v>0</v>
      </c>
      <c r="Z1016" s="125" t="b">
        <f>OR(COUNTIF(PROVEEDORES[[#This Row],[PROVEEDOR]],"*"&amp;'Palabra no opera'!$A$2&amp;"*"))</f>
        <v>0</v>
      </c>
      <c r="AA1016" s="24"/>
      <c r="AB1016" s="24"/>
      <c r="AC1016" s="24"/>
      <c r="AD1016" s="24"/>
      <c r="AE1016" s="24"/>
    </row>
    <row r="1017" spans="1:31" ht="22.2" customHeight="1" x14ac:dyDescent="0.3">
      <c r="A1017" s="257" t="str">
        <f>+IF(PROVEEDORES[[#This Row],[FECHA DE PAGO]]=PROVEEDORES[[#This Row],[FECHA DE FACTURACIÓN]],"DE CONTADO","CRÉDITO")</f>
        <v>CRÉDITO</v>
      </c>
      <c r="B1017" s="38" t="b">
        <f>+IF((PROVEEDORES[[#This Row],[FECHA DE PAGO]]-PROVEEDORES[[#This Row],[FECHA DE FACTURACIÓN]])&gt;PROVEEDORES[[#This Row],[PLAZO Días]],"PAGO VENCIDO")</f>
        <v>0</v>
      </c>
      <c r="C1017" s="20">
        <f>+VLOOKUP(PROVEEDORES[[#This Row],[PROVEEDOR]],TERCEROS_INFO[#All],2,FALSE)</f>
        <v>30</v>
      </c>
      <c r="D1017" s="25">
        <f>+SUMIFS(PROVEEDORES[Total],PROVEEDORES[PROVEEDOR],PROVEEDORES[[#This Row],[PROVEEDOR]],PROVEEDORES[FECHA DE PAGO],"")</f>
        <v>0</v>
      </c>
      <c r="E1017" s="25"/>
      <c r="F1017" s="58" t="str">
        <f>+VLOOKUP(PROVEEDORES[[#This Row],[PROVEEDOR]],
                       Terceros!$A:$F,
                       5,
                       FALSE)</f>
        <v/>
      </c>
      <c r="G1017" s="161">
        <v>44838</v>
      </c>
      <c r="H1017" s="26" t="s">
        <v>780</v>
      </c>
      <c r="I1017" s="161">
        <v>44811</v>
      </c>
      <c r="J1017" s="35" t="s">
        <v>1719</v>
      </c>
      <c r="K1017" s="21">
        <v>900000</v>
      </c>
      <c r="L1017" s="21"/>
      <c r="M1017" s="22">
        <f>(PROVEEDORES[[#This Row],[SUBTOTAL]]-PROVEEDORES[[#This Row],[descuento sobre subtotal]])*VLOOKUP(PROVEEDORES[[#This Row],[PROVEEDOR]],TERCEROS_INFO[#All],3,FALSE)</f>
        <v>0</v>
      </c>
      <c r="N1017" s="23"/>
      <c r="O1017" s="22">
        <f>+PROVEEDORES[[#This Row],[Descuento sobre subtotal %]]*(PROVEEDORES[[#This Row],[SUBTOTAL]]-PROVEEDORES[[#This Row],[descuento sobre subtotal]])</f>
        <v>0</v>
      </c>
      <c r="P1017" s="83">
        <f>+IF(PROVEEDORES[[#This Row],[SUBTOTAL]]&lt;PROVEEDORES[[#This Row],[base retencion]],0,PROVEEDORES[[#This Row],[retención aplicada]])</f>
        <v>0</v>
      </c>
      <c r="Q1017" s="22">
        <f>+PROVEEDORES[[#This Row],[Rete Fuente %]]*(PROVEEDORES[[#This Row],[SUBTOTAL]]-PROVEEDORES[[#This Row],[descuento sobre subtotal]])</f>
        <v>0</v>
      </c>
      <c r="R1017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017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68">
        <f ca="1">IF(PROVEEDORES[[#This Row],[FECHA DE PAGO]]=0,TODAY()-PROVEEDORES[[#This Row],[FECHA DE FACTURACIÓN]]-PROVEEDORES[[#This Row],[PLAZO Días]],0)</f>
        <v>0</v>
      </c>
      <c r="U1017" s="113">
        <f>+VLOOKUP(PROVEEDORES[[#This Row],[PROVEEDOR]],Terceros!$A:$D,4,FALSE)</f>
        <v>0</v>
      </c>
      <c r="V1017" s="114">
        <f>+YEAR(PROVEEDORES[[#This Row],[FECHA DE FACTURACIÓN]])</f>
        <v>2022</v>
      </c>
      <c r="W1017" s="114">
        <f>+MATCH(PROVEEDORES[[#This Row],[año facturado]],Retenciones!$1:$1,0)</f>
        <v>5</v>
      </c>
      <c r="X1017" s="115">
        <f>+VLOOKUP(PROVEEDORES[[#This Row],[ID RETENCION]],Retenciones!$A$1:$O$25,PROVEEDORES[[#This Row],[indicador de columna]],FALSE)</f>
        <v>0</v>
      </c>
      <c r="Y1017" s="116">
        <f>+VLOOKUP(PROVEEDORES[[#This Row],[ID RETENCION]],Retenciones!$A$1:$O$25,2,FALSE)</f>
        <v>0</v>
      </c>
      <c r="Z1017" s="125" t="b">
        <f>OR(COUNTIF(PROVEEDORES[[#This Row],[PROVEEDOR]],"*"&amp;'Palabra no opera'!$A$2&amp;"*"))</f>
        <v>0</v>
      </c>
      <c r="AA1017" s="24"/>
      <c r="AB1017" s="24"/>
      <c r="AC1017" s="24"/>
      <c r="AD1017" s="24"/>
      <c r="AE1017" s="24"/>
    </row>
    <row r="1018" spans="1:31" ht="22.2" customHeight="1" x14ac:dyDescent="0.3">
      <c r="A1018" s="66" t="str">
        <f>+IF(PROVEEDORES[[#This Row],[FECHA DE PAGO]]=PROVEEDORES[[#This Row],[FECHA DE FACTURACIÓN]],"DE CONTADO","CRÉDITO")</f>
        <v>CRÉDITO</v>
      </c>
      <c r="B1018" s="38" t="str">
        <f>+IF((PROVEEDORES[[#This Row],[FECHA DE PAGO]]-PROVEEDORES[[#This Row],[FECHA DE FACTURACIÓN]])&gt;PROVEEDORES[[#This Row],[PLAZO Días]],"PAGO VENCIDO")</f>
        <v>PAGO VENCIDO</v>
      </c>
      <c r="C1018" s="20">
        <f>+VLOOKUP(PROVEEDORES[[#This Row],[PROVEEDOR]],TERCEROS_INFO[#All],2,FALSE)</f>
        <v>30</v>
      </c>
      <c r="D1018" s="25">
        <f>+SUMIFS(PROVEEDORES[Total],PROVEEDORES[PROVEEDOR],PROVEEDORES[[#This Row],[PROVEEDOR]],PROVEEDORES[FECHA DE PAGO],"")</f>
        <v>0</v>
      </c>
      <c r="E1018" s="25"/>
      <c r="F101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18" s="161">
        <v>44442</v>
      </c>
      <c r="H1018" s="26" t="s">
        <v>24</v>
      </c>
      <c r="I1018" s="161">
        <v>44408</v>
      </c>
      <c r="J1018" s="35" t="s">
        <v>393</v>
      </c>
      <c r="K1018" s="21">
        <v>758000</v>
      </c>
      <c r="L1018" s="21"/>
      <c r="M1018" s="22">
        <f>(PROVEEDORES[[#This Row],[SUBTOTAL]]-PROVEEDORES[[#This Row],[descuento sobre subtotal]])*VLOOKUP(PROVEEDORES[[#This Row],[PROVEEDOR]],TERCEROS_INFO[#All],3,FALSE)</f>
        <v>144020</v>
      </c>
      <c r="N1018" s="23"/>
      <c r="O1018" s="22">
        <f>+PROVEEDORES[[#This Row],[Descuento sobre subtotal %]]*(PROVEEDORES[[#This Row],[SUBTOTAL]]-PROVEEDORES[[#This Row],[descuento sobre subtotal]])</f>
        <v>0</v>
      </c>
      <c r="P1018" s="83">
        <f>+IF(PROVEEDORES[[#This Row],[SUBTOTAL]]&lt;PROVEEDORES[[#This Row],[base retencion]],0,PROVEEDORES[[#This Row],[retención aplicada]])</f>
        <v>0</v>
      </c>
      <c r="Q1018" s="22">
        <f>+PROVEEDORES[[#This Row],[Rete Fuente %]]*(PROVEEDORES[[#This Row],[SUBTOTAL]]-PROVEEDORES[[#This Row],[descuento sobre subtotal]])</f>
        <v>0</v>
      </c>
      <c r="R1018" s="21">
        <f>+PROVEEDORES[[#This Row],[SUBTOTAL]]+PROVEEDORES[[#This Row],[IVA 19%]]-PROVEEDORES[[#This Row],[descuento sobre subtotal]]-PROVEEDORES[[#This Row],[Descuento sobre subtotal $2]]-PROVEEDORES[[#This Row],[Rete Fuente $]]</f>
        <v>902020</v>
      </c>
      <c r="S10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68">
        <f ca="1">IF(PROVEEDORES[[#This Row],[FECHA DE PAGO]]=0,TODAY()-PROVEEDORES[[#This Row],[FECHA DE FACTURACIÓN]]-PROVEEDORES[[#This Row],[PLAZO Días]],0)</f>
        <v>0</v>
      </c>
      <c r="U1018" s="96" t="str">
        <f>+VLOOKUP(PROVEEDORES[[#This Row],[PROVEEDOR]],Terceros!$A:$D,4,FALSE)</f>
        <v>2,5% con base</v>
      </c>
      <c r="V1018" s="97">
        <f>+YEAR(PROVEEDORES[[#This Row],[FECHA DE FACTURACIÓN]])</f>
        <v>2021</v>
      </c>
      <c r="W1018" s="97">
        <f>+MATCH(PROVEEDORES[[#This Row],[año facturado]],Retenciones!$1:$1,0)</f>
        <v>4</v>
      </c>
      <c r="X1018" s="98">
        <f>+VLOOKUP(PROVEEDORES[[#This Row],[ID RETENCION]],Retenciones!$A$1:$O$25,PROVEEDORES[[#This Row],[indicador de columna]],FALSE)</f>
        <v>980000</v>
      </c>
      <c r="Y1018" s="99">
        <f>+VLOOKUP(PROVEEDORES[[#This Row],[ID RETENCION]],Retenciones!$A$1:$O$25,2,FALSE)</f>
        <v>2.5000000000000001E-2</v>
      </c>
      <c r="Z1018" s="125" t="b">
        <f>OR(COUNTIF(PROVEEDORES[[#This Row],[PROVEEDOR]],"*"&amp;'Palabra no opera'!$A$2&amp;"*"))</f>
        <v>0</v>
      </c>
      <c r="AA1018" s="24"/>
      <c r="AB1018" s="24"/>
      <c r="AC1018" s="24"/>
      <c r="AD1018" s="24"/>
      <c r="AE1018" s="24"/>
    </row>
    <row r="1019" spans="1:31" ht="22.2" customHeight="1" x14ac:dyDescent="0.3">
      <c r="A1019" s="159" t="str">
        <f>+IF(PROVEEDORES[[#This Row],[FECHA DE PAGO]]=PROVEEDORES[[#This Row],[FECHA DE FACTURACIÓN]],"DE CONTADO","CRÉDITO")</f>
        <v>DE CONTADO</v>
      </c>
      <c r="B1019" s="38" t="b">
        <f>+IF((PROVEEDORES[[#This Row],[FECHA DE PAGO]]-PROVEEDORES[[#This Row],[FECHA DE FACTURACIÓN]])&gt;PROVEEDORES[[#This Row],[PLAZO Días]],"PAGO VENCIDO")</f>
        <v>0</v>
      </c>
      <c r="C1019" s="20">
        <f>+VLOOKUP(PROVEEDORES[[#This Row],[PROVEEDOR]],TERCEROS_INFO[#All],2,FALSE)</f>
        <v>30</v>
      </c>
      <c r="D1019" s="25">
        <f>+SUMIFS(PROVEEDORES[Total],PROVEEDORES[PROVEEDOR],PROVEEDORES[[#This Row],[PROVEEDOR]],PROVEEDORES[FECHA DE PAGO],"")</f>
        <v>1957800</v>
      </c>
      <c r="E1019" s="25"/>
      <c r="F1019" s="58">
        <f>+VLOOKUP(PROVEEDORES[[#This Row],[PROVEEDOR]],
                       Terceros!$A:$F,
                       5,
                       FALSE)</f>
        <v>0</v>
      </c>
      <c r="G1019" s="161">
        <v>44740</v>
      </c>
      <c r="H1019" s="26" t="s">
        <v>994</v>
      </c>
      <c r="I1019" s="161">
        <v>44740</v>
      </c>
      <c r="J1019" s="35" t="s">
        <v>1611</v>
      </c>
      <c r="K1019" s="21">
        <v>904000</v>
      </c>
      <c r="L1019" s="21"/>
      <c r="M1019" s="22">
        <f>(PROVEEDORES[[#This Row],[SUBTOTAL]]-PROVEEDORES[[#This Row],[descuento sobre subtotal]])*VLOOKUP(PROVEEDORES[[#This Row],[PROVEEDOR]],TERCEROS_INFO[#All],3,FALSE)</f>
        <v>0</v>
      </c>
      <c r="N1019" s="23"/>
      <c r="O1019" s="22">
        <f>+PROVEEDORES[[#This Row],[Descuento sobre subtotal %]]*(PROVEEDORES[[#This Row],[SUBTOTAL]]-PROVEEDORES[[#This Row],[descuento sobre subtotal]])</f>
        <v>0</v>
      </c>
      <c r="P1019" s="83">
        <f>+IF(PROVEEDORES[[#This Row],[SUBTOTAL]]&lt;PROVEEDORES[[#This Row],[base retencion]],0,PROVEEDORES[[#This Row],[retención aplicada]])</f>
        <v>0</v>
      </c>
      <c r="Q1019" s="22">
        <f>+PROVEEDORES[[#This Row],[Rete Fuente %]]*(PROVEEDORES[[#This Row],[SUBTOTAL]]-PROVEEDORES[[#This Row],[descuento sobre subtotal]])</f>
        <v>0</v>
      </c>
      <c r="R1019" s="21">
        <f>+PROVEEDORES[[#This Row],[SUBTOTAL]]+PROVEEDORES[[#This Row],[IVA 19%]]-PROVEEDORES[[#This Row],[descuento sobre subtotal]]-PROVEEDORES[[#This Row],[Descuento sobre subtotal $2]]-PROVEEDORES[[#This Row],[Rete Fuente $]]</f>
        <v>904000</v>
      </c>
      <c r="S101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68">
        <f ca="1">IF(PROVEEDORES[[#This Row],[FECHA DE PAGO]]=0,TODAY()-PROVEEDORES[[#This Row],[FECHA DE FACTURACIÓN]]-PROVEEDORES[[#This Row],[PLAZO Días]],0)</f>
        <v>0</v>
      </c>
      <c r="U1019" s="113">
        <f>+VLOOKUP(PROVEEDORES[[#This Row],[PROVEEDOR]],Terceros!$A:$D,4,FALSE)</f>
        <v>0</v>
      </c>
      <c r="V1019" s="114">
        <f>+YEAR(PROVEEDORES[[#This Row],[FECHA DE FACTURACIÓN]])</f>
        <v>2022</v>
      </c>
      <c r="W1019" s="114">
        <f>+MATCH(PROVEEDORES[[#This Row],[año facturado]],Retenciones!$1:$1,0)</f>
        <v>5</v>
      </c>
      <c r="X1019" s="115">
        <f>+VLOOKUP(PROVEEDORES[[#This Row],[ID RETENCION]],Retenciones!$A$1:$O$25,PROVEEDORES[[#This Row],[indicador de columna]],FALSE)</f>
        <v>0</v>
      </c>
      <c r="Y1019" s="116">
        <f>+VLOOKUP(PROVEEDORES[[#This Row],[ID RETENCION]],Retenciones!$A$1:$O$25,2,FALSE)</f>
        <v>0</v>
      </c>
      <c r="Z1019" s="125" t="b">
        <f>OR(COUNTIF(PROVEEDORES[[#This Row],[PROVEEDOR]],"*"&amp;'Palabra no opera'!$A$2&amp;"*"))</f>
        <v>0</v>
      </c>
      <c r="AA1019" s="24"/>
      <c r="AB1019" s="24"/>
      <c r="AC1019" s="24"/>
      <c r="AD1019" s="24"/>
      <c r="AE1019" s="24"/>
    </row>
    <row r="1020" spans="1:31" ht="22.2" customHeight="1" x14ac:dyDescent="0.3">
      <c r="A1020" s="195" t="str">
        <f>+IF(PROVEEDORES[[#This Row],[FECHA DE PAGO]]=PROVEEDORES[[#This Row],[FECHA DE FACTURACIÓN]],"DE CONTADO","CRÉDITO")</f>
        <v>CRÉDITO</v>
      </c>
      <c r="B1020" s="38" t="str">
        <f>+IF((PROVEEDORES[[#This Row],[FECHA DE PAGO]]-PROVEEDORES[[#This Row],[FECHA DE FACTURACIÓN]])&gt;PROVEEDORES[[#This Row],[PLAZO Días]],"PAGO VENCIDO")</f>
        <v>PAGO VENCIDO</v>
      </c>
      <c r="C1020" s="20">
        <f>+VLOOKUP(PROVEEDORES[[#This Row],[PROVEEDOR]],TERCEROS_INFO[#All],2,FALSE)</f>
        <v>45</v>
      </c>
      <c r="D1020" s="25">
        <f>+SUMIFS(PROVEEDORES[Total],PROVEEDORES[PROVEEDOR],PROVEEDORES[[#This Row],[PROVEEDOR]],PROVEEDORES[FECHA DE PAGO],"")</f>
        <v>2604910</v>
      </c>
      <c r="E1020" s="25"/>
      <c r="F102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20" s="161">
        <v>44839</v>
      </c>
      <c r="H1020" s="26" t="s">
        <v>10</v>
      </c>
      <c r="I1020" s="161">
        <v>44781</v>
      </c>
      <c r="J1020" s="35" t="s">
        <v>1173</v>
      </c>
      <c r="K1020" s="21">
        <v>760000</v>
      </c>
      <c r="L1020" s="21"/>
      <c r="M1020" s="22">
        <f>(PROVEEDORES[[#This Row],[SUBTOTAL]]-PROVEEDORES[[#This Row],[descuento sobre subtotal]])*VLOOKUP(PROVEEDORES[[#This Row],[PROVEEDOR]],TERCEROS_INFO[#All],3,FALSE)</f>
        <v>144400</v>
      </c>
      <c r="N1020" s="23"/>
      <c r="O1020" s="22">
        <f>+PROVEEDORES[[#This Row],[Descuento sobre subtotal %]]*(PROVEEDORES[[#This Row],[SUBTOTAL]]-PROVEEDORES[[#This Row],[descuento sobre subtotal]])</f>
        <v>0</v>
      </c>
      <c r="P1020" s="83">
        <f>+IF(PROVEEDORES[[#This Row],[SUBTOTAL]]&lt;PROVEEDORES[[#This Row],[base retencion]],0,PROVEEDORES[[#This Row],[retención aplicada]])</f>
        <v>0</v>
      </c>
      <c r="Q1020" s="22">
        <f>+PROVEEDORES[[#This Row],[Rete Fuente %]]*(PROVEEDORES[[#This Row],[SUBTOTAL]]-PROVEEDORES[[#This Row],[descuento sobre subtotal]])</f>
        <v>0</v>
      </c>
      <c r="R1020" s="21">
        <f>+PROVEEDORES[[#This Row],[SUBTOTAL]]+PROVEEDORES[[#This Row],[IVA 19%]]-PROVEEDORES[[#This Row],[descuento sobre subtotal]]-PROVEEDORES[[#This Row],[Descuento sobre subtotal $2]]-PROVEEDORES[[#This Row],[Rete Fuente $]]</f>
        <v>904400</v>
      </c>
      <c r="S1020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68">
        <f ca="1">IF(PROVEEDORES[[#This Row],[FECHA DE PAGO]]=0,TODAY()-PROVEEDORES[[#This Row],[FECHA DE FACTURACIÓN]]-PROVEEDORES[[#This Row],[PLAZO Días]],0)</f>
        <v>0</v>
      </c>
      <c r="U1020" s="113">
        <f>+VLOOKUP(PROVEEDORES[[#This Row],[PROVEEDOR]],Terceros!$A:$D,4,FALSE)</f>
        <v>0</v>
      </c>
      <c r="V1020" s="114">
        <f>+YEAR(PROVEEDORES[[#This Row],[FECHA DE FACTURACIÓN]])</f>
        <v>2022</v>
      </c>
      <c r="W1020" s="114">
        <f>+MATCH(PROVEEDORES[[#This Row],[año facturado]],Retenciones!$1:$1,0)</f>
        <v>5</v>
      </c>
      <c r="X1020" s="115">
        <f>+VLOOKUP(PROVEEDORES[[#This Row],[ID RETENCION]],Retenciones!$A$1:$O$25,PROVEEDORES[[#This Row],[indicador de columna]],FALSE)</f>
        <v>0</v>
      </c>
      <c r="Y1020" s="116">
        <f>+VLOOKUP(PROVEEDORES[[#This Row],[ID RETENCION]],Retenciones!$A$1:$O$25,2,FALSE)</f>
        <v>0</v>
      </c>
      <c r="Z1020" s="125" t="b">
        <f>OR(COUNTIF(PROVEEDORES[[#This Row],[PROVEEDOR]],"*"&amp;'Palabra no opera'!$A$2&amp;"*"))</f>
        <v>0</v>
      </c>
      <c r="AA1020" s="24"/>
      <c r="AB1020" s="24"/>
      <c r="AC1020" s="24"/>
      <c r="AD1020" s="24"/>
      <c r="AE1020" s="24"/>
    </row>
    <row r="1021" spans="1:31" ht="22.2" customHeight="1" x14ac:dyDescent="0.3">
      <c r="A1021" s="66" t="str">
        <f>+IF(PROVEEDORES[[#This Row],[FECHA DE PAGO]]=PROVEEDORES[[#This Row],[FECHA DE FACTURACIÓN]],"DE CONTADO","CRÉDITO")</f>
        <v>CRÉDITO</v>
      </c>
      <c r="B1021" s="38" t="b">
        <f>+IF((PROVEEDORES[[#This Row],[FECHA DE PAGO]]-PROVEEDORES[[#This Row],[FECHA DE FACTURACIÓN]])&gt;PROVEEDORES[[#This Row],[PLAZO Días]],"PAGO VENCIDO")</f>
        <v>0</v>
      </c>
      <c r="C1021" s="20">
        <f>+VLOOKUP(PROVEEDORES[[#This Row],[PROVEEDOR]],TERCEROS_INFO[#All],2,FALSE)</f>
        <v>30</v>
      </c>
      <c r="D1021" s="25">
        <f>+SUMIFS(PROVEEDORES[Total],PROVEEDORES[PROVEEDOR],PROVEEDORES[[#This Row],[PROVEEDOR]],PROVEEDORES[FECHA DE PAGO],"")</f>
        <v>1127400.05</v>
      </c>
      <c r="E1021" s="25"/>
      <c r="F102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021" s="161">
        <v>44558</v>
      </c>
      <c r="H1021" s="26" t="s">
        <v>47</v>
      </c>
      <c r="I1021" s="161">
        <v>44541</v>
      </c>
      <c r="J1021" s="35">
        <v>33923</v>
      </c>
      <c r="K1021" s="21">
        <v>766609</v>
      </c>
      <c r="L1021" s="21"/>
      <c r="M1021" s="22">
        <f>(PROVEEDORES[[#This Row],[SUBTOTAL]]-PROVEEDORES[[#This Row],[descuento sobre subtotal]])*VLOOKUP(PROVEEDORES[[#This Row],[PROVEEDOR]],TERCEROS_INFO[#All],3,FALSE)</f>
        <v>145655.71</v>
      </c>
      <c r="N1021" s="23"/>
      <c r="O1021" s="22">
        <f>+PROVEEDORES[[#This Row],[Descuento sobre subtotal %]]*(PROVEEDORES[[#This Row],[SUBTOTAL]]-PROVEEDORES[[#This Row],[descuento sobre subtotal]])</f>
        <v>0</v>
      </c>
      <c r="P1021" s="83">
        <f>+IF(PROVEEDORES[[#This Row],[SUBTOTAL]]&lt;PROVEEDORES[[#This Row],[base retencion]],0,PROVEEDORES[[#This Row],[retención aplicada]])</f>
        <v>0</v>
      </c>
      <c r="Q1021" s="22">
        <f>+PROVEEDORES[[#This Row],[Rete Fuente %]]*(PROVEEDORES[[#This Row],[SUBTOTAL]]-PROVEEDORES[[#This Row],[descuento sobre subtotal]])</f>
        <v>0</v>
      </c>
      <c r="R1021" s="21">
        <f>+PROVEEDORES[[#This Row],[SUBTOTAL]]+PROVEEDORES[[#This Row],[IVA 19%]]-PROVEEDORES[[#This Row],[descuento sobre subtotal]]-PROVEEDORES[[#This Row],[Descuento sobre subtotal $2]]-PROVEEDORES[[#This Row],[Rete Fuente $]]</f>
        <v>912264.71</v>
      </c>
      <c r="S10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68">
        <f ca="1">IF(PROVEEDORES[[#This Row],[FECHA DE PAGO]]=0,TODAY()-PROVEEDORES[[#This Row],[FECHA DE FACTURACIÓN]]-PROVEEDORES[[#This Row],[PLAZO Días]],0)</f>
        <v>0</v>
      </c>
      <c r="U1021" s="96" t="str">
        <f>+VLOOKUP(PROVEEDORES[[#This Row],[PROVEEDOR]],Terceros!$A:$D,4,FALSE)</f>
        <v>2,5% con base</v>
      </c>
      <c r="V1021" s="97">
        <f>+YEAR(PROVEEDORES[[#This Row],[FECHA DE FACTURACIÓN]])</f>
        <v>2021</v>
      </c>
      <c r="W1021" s="97">
        <f>+MATCH(PROVEEDORES[[#This Row],[año facturado]],Retenciones!$1:$1,0)</f>
        <v>4</v>
      </c>
      <c r="X1021" s="98">
        <f>+VLOOKUP(PROVEEDORES[[#This Row],[ID RETENCION]],Retenciones!$A$1:$O$25,PROVEEDORES[[#This Row],[indicador de columna]],FALSE)</f>
        <v>980000</v>
      </c>
      <c r="Y1021" s="99">
        <f>+VLOOKUP(PROVEEDORES[[#This Row],[ID RETENCION]],Retenciones!$A$1:$O$25,2,FALSE)</f>
        <v>2.5000000000000001E-2</v>
      </c>
      <c r="Z1021" s="125" t="b">
        <f>OR(COUNTIF(PROVEEDORES[[#This Row],[PROVEEDOR]],"*"&amp;'Palabra no opera'!$A$2&amp;"*"))</f>
        <v>0</v>
      </c>
      <c r="AA1021" s="24"/>
      <c r="AB1021" s="24"/>
      <c r="AC1021" s="24"/>
      <c r="AD1021" s="24"/>
      <c r="AE1021" s="24"/>
    </row>
    <row r="1022" spans="1:31" ht="22.2" customHeight="1" x14ac:dyDescent="0.3">
      <c r="A1022" s="66" t="str">
        <f>+IF(PROVEEDORES[[#This Row],[FECHA DE PAGO]]=PROVEEDORES[[#This Row],[FECHA DE FACTURACIÓN]],"DE CONTADO","CRÉDITO")</f>
        <v>CRÉDITO</v>
      </c>
      <c r="B1022" s="38" t="str">
        <f>+IF((PROVEEDORES[[#This Row],[FECHA DE PAGO]]-PROVEEDORES[[#This Row],[FECHA DE FACTURACIÓN]])&gt;PROVEEDORES[[#This Row],[PLAZO Días]],"PAGO VENCIDO")</f>
        <v>PAGO VENCIDO</v>
      </c>
      <c r="C1022" s="20">
        <f>+VLOOKUP(PROVEEDORES[[#This Row],[PROVEEDOR]],TERCEROS_INFO[#All],2,FALSE)</f>
        <v>45</v>
      </c>
      <c r="D1022" s="25">
        <f>+SUMIFS(PROVEEDORES[Total],PROVEEDORES[PROVEEDOR],PROVEEDORES[[#This Row],[PROVEEDOR]],PROVEEDORES[FECHA DE PAGO],"")</f>
        <v>2604910</v>
      </c>
      <c r="E1022" s="25"/>
      <c r="F102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22" s="161">
        <v>44600</v>
      </c>
      <c r="H1022" s="26" t="s">
        <v>10</v>
      </c>
      <c r="I1022" s="161">
        <v>44540</v>
      </c>
      <c r="J1022" s="35" t="s">
        <v>561</v>
      </c>
      <c r="K1022" s="21">
        <v>770000</v>
      </c>
      <c r="L1022" s="21"/>
      <c r="M1022" s="22">
        <f>(PROVEEDORES[[#This Row],[SUBTOTAL]]-PROVEEDORES[[#This Row],[descuento sobre subtotal]])*VLOOKUP(PROVEEDORES[[#This Row],[PROVEEDOR]],TERCEROS_INFO[#All],3,FALSE)</f>
        <v>146300</v>
      </c>
      <c r="N1022" s="23"/>
      <c r="O1022" s="22">
        <f>+PROVEEDORES[[#This Row],[Descuento sobre subtotal %]]*(PROVEEDORES[[#This Row],[SUBTOTAL]]-PROVEEDORES[[#This Row],[descuento sobre subtotal]])</f>
        <v>0</v>
      </c>
      <c r="P1022" s="83">
        <f>+IF(PROVEEDORES[[#This Row],[SUBTOTAL]]&lt;PROVEEDORES[[#This Row],[base retencion]],0,PROVEEDORES[[#This Row],[retención aplicada]])</f>
        <v>0</v>
      </c>
      <c r="Q1022" s="22">
        <f>+PROVEEDORES[[#This Row],[Rete Fuente %]]*(PROVEEDORES[[#This Row],[SUBTOTAL]]-PROVEEDORES[[#This Row],[descuento sobre subtotal]])</f>
        <v>0</v>
      </c>
      <c r="R1022" s="21">
        <v>916300</v>
      </c>
      <c r="S10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68">
        <f ca="1">IF(PROVEEDORES[[#This Row],[FECHA DE PAGO]]=0,TODAY()-PROVEEDORES[[#This Row],[FECHA DE FACTURACIÓN]]-PROVEEDORES[[#This Row],[PLAZO Días]],0)</f>
        <v>0</v>
      </c>
      <c r="U1022" s="96">
        <f>+VLOOKUP(PROVEEDORES[[#This Row],[PROVEEDOR]],Terceros!$A:$D,4,FALSE)</f>
        <v>0</v>
      </c>
      <c r="V1022" s="97">
        <f>+YEAR(PROVEEDORES[[#This Row],[FECHA DE FACTURACIÓN]])</f>
        <v>2021</v>
      </c>
      <c r="W1022" s="97">
        <f>+MATCH(PROVEEDORES[[#This Row],[año facturado]],Retenciones!$1:$1,0)</f>
        <v>4</v>
      </c>
      <c r="X1022" s="98">
        <f>+VLOOKUP(PROVEEDORES[[#This Row],[ID RETENCION]],Retenciones!$A$1:$O$25,PROVEEDORES[[#This Row],[indicador de columna]],FALSE)</f>
        <v>0</v>
      </c>
      <c r="Y1022" s="99">
        <f>+VLOOKUP(PROVEEDORES[[#This Row],[ID RETENCION]],Retenciones!$A$1:$O$25,2,FALSE)</f>
        <v>0</v>
      </c>
      <c r="Z1022" s="125" t="b">
        <f>OR(COUNTIF(PROVEEDORES[[#This Row],[PROVEEDOR]],"*"&amp;'Palabra no opera'!$A$2&amp;"*"))</f>
        <v>0</v>
      </c>
      <c r="AA1022" s="24"/>
      <c r="AB1022" s="24"/>
      <c r="AC1022" s="24"/>
      <c r="AD1022" s="24"/>
      <c r="AE1022" s="24"/>
    </row>
    <row r="1023" spans="1:31" ht="22.2" customHeight="1" x14ac:dyDescent="0.3">
      <c r="A1023" s="66" t="str">
        <f>+IF(PROVEEDORES[[#This Row],[FECHA DE PAGO]]=PROVEEDORES[[#This Row],[FECHA DE FACTURACIÓN]],"DE CONTADO","CRÉDITO")</f>
        <v>DE CONTADO</v>
      </c>
      <c r="B1023" s="38" t="b">
        <f>+IF((PROVEEDORES[[#This Row],[FECHA DE PAGO]]-PROVEEDORES[[#This Row],[FECHA DE FACTURACIÓN]])&gt;PROVEEDORES[[#This Row],[PLAZO Días]],"PAGO VENCIDO")</f>
        <v>0</v>
      </c>
      <c r="C1023" s="20">
        <f>+VLOOKUP(PROVEEDORES[[#This Row],[PROVEEDOR]],TERCEROS_INFO[#All],2,FALSE)</f>
        <v>30</v>
      </c>
      <c r="D1023" s="25">
        <f>+SUMIFS(PROVEEDORES[Total],PROVEEDORES[PROVEEDOR],PROVEEDORES[[#This Row],[PROVEEDOR]],PROVEEDORES[FECHA DE PAGO],"")</f>
        <v>0</v>
      </c>
      <c r="E1023" s="25"/>
      <c r="F1023" s="58" t="str">
        <f>+VLOOKUP(PROVEEDORES[[#This Row],[PROVEEDOR]],
                       Terceros!$A:$F,
                       5,
                       FALSE)</f>
        <v/>
      </c>
      <c r="G1023" s="161">
        <v>44417</v>
      </c>
      <c r="H1023" s="26" t="s">
        <v>45</v>
      </c>
      <c r="I1023" s="161">
        <v>44417</v>
      </c>
      <c r="J1023" s="35" t="s">
        <v>406</v>
      </c>
      <c r="K1023" s="21">
        <v>772893</v>
      </c>
      <c r="L1023" s="21"/>
      <c r="M1023" s="22">
        <f>(PROVEEDORES[[#This Row],[SUBTOTAL]]-PROVEEDORES[[#This Row],[descuento sobre subtotal]])*VLOOKUP(PROVEEDORES[[#This Row],[PROVEEDOR]],TERCEROS_INFO[#All],3,FALSE)</f>
        <v>146849.67000000001</v>
      </c>
      <c r="N1023" s="23"/>
      <c r="O1023" s="22">
        <f>+PROVEEDORES[[#This Row],[Descuento sobre subtotal %]]*(PROVEEDORES[[#This Row],[SUBTOTAL]]-PROVEEDORES[[#This Row],[descuento sobre subtotal]])</f>
        <v>0</v>
      </c>
      <c r="P1023" s="83">
        <f>+IF(PROVEEDORES[[#This Row],[SUBTOTAL]]&lt;PROVEEDORES[[#This Row],[base retencion]],0,PROVEEDORES[[#This Row],[retención aplicada]])</f>
        <v>0</v>
      </c>
      <c r="Q1023" s="22">
        <f>+PROVEEDORES[[#This Row],[Rete Fuente %]]*(PROVEEDORES[[#This Row],[SUBTOTAL]]-PROVEEDORES[[#This Row],[descuento sobre subtotal]])</f>
        <v>0</v>
      </c>
      <c r="R1023" s="21">
        <f>+PROVEEDORES[[#This Row],[SUBTOTAL]]+PROVEEDORES[[#This Row],[IVA 19%]]-PROVEEDORES[[#This Row],[descuento sobre subtotal]]-PROVEEDORES[[#This Row],[Descuento sobre subtotal $2]]-PROVEEDORES[[#This Row],[Rete Fuente $]]</f>
        <v>919742.67</v>
      </c>
      <c r="S10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68">
        <f ca="1">IF(PROVEEDORES[[#This Row],[FECHA DE PAGO]]=0,TODAY()-PROVEEDORES[[#This Row],[FECHA DE FACTURACIÓN]]-PROVEEDORES[[#This Row],[PLAZO Días]],0)</f>
        <v>0</v>
      </c>
      <c r="U1023" s="96" t="str">
        <f>+VLOOKUP(PROVEEDORES[[#This Row],[PROVEEDOR]],Terceros!$A:$D,4,FALSE)</f>
        <v>2,5% con base</v>
      </c>
      <c r="V1023" s="97">
        <f>+YEAR(PROVEEDORES[[#This Row],[FECHA DE FACTURACIÓN]])</f>
        <v>2021</v>
      </c>
      <c r="W1023" s="97">
        <f>+MATCH(PROVEEDORES[[#This Row],[año facturado]],Retenciones!$1:$1,0)</f>
        <v>4</v>
      </c>
      <c r="X1023" s="98">
        <f>+VLOOKUP(PROVEEDORES[[#This Row],[ID RETENCION]],Retenciones!$A$1:$O$25,PROVEEDORES[[#This Row],[indicador de columna]],FALSE)</f>
        <v>980000</v>
      </c>
      <c r="Y1023" s="99">
        <f>+VLOOKUP(PROVEEDORES[[#This Row],[ID RETENCION]],Retenciones!$A$1:$O$25,2,FALSE)</f>
        <v>2.5000000000000001E-2</v>
      </c>
      <c r="Z1023" s="125" t="b">
        <f>OR(COUNTIF(PROVEEDORES[[#This Row],[PROVEEDOR]],"*"&amp;'Palabra no opera'!$A$2&amp;"*"))</f>
        <v>0</v>
      </c>
      <c r="AA1023" s="24"/>
      <c r="AB1023" s="24"/>
      <c r="AC1023" s="24"/>
      <c r="AD1023" s="24"/>
      <c r="AE1023" s="24"/>
    </row>
    <row r="1024" spans="1:31" ht="22.2" customHeight="1" x14ac:dyDescent="0.3">
      <c r="A1024" s="269" t="str">
        <f>+IF(PROVEEDORES[[#This Row],[FECHA DE PAGO]]=PROVEEDORES[[#This Row],[FECHA DE FACTURACIÓN]],"DE CONTADO","CRÉDITO")</f>
        <v>CRÉDITO</v>
      </c>
      <c r="B1024" s="38" t="b">
        <f>+IF((PROVEEDORES[[#This Row],[FECHA DE PAGO]]-PROVEEDORES[[#This Row],[FECHA DE FACTURACIÓN]])&gt;PROVEEDORES[[#This Row],[PLAZO Días]],"PAGO VENCIDO")</f>
        <v>0</v>
      </c>
      <c r="C1024" s="20">
        <f>+VLOOKUP(PROVEEDORES[[#This Row],[PROVEEDOR]],TERCEROS_INFO[#All],2,FALSE)</f>
        <v>180</v>
      </c>
      <c r="D1024" s="25">
        <f>+SUMIFS(PROVEEDORES[Total],PROVEEDORES[PROVEEDOR],PROVEEDORES[[#This Row],[PROVEEDOR]],PROVEEDORES[FECHA DE PAGO],"")</f>
        <v>920165.12</v>
      </c>
      <c r="E1024" s="25"/>
      <c r="F1024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H1024" s="26" t="s">
        <v>915</v>
      </c>
      <c r="I1024" s="161">
        <v>44859</v>
      </c>
      <c r="J1024" s="35" t="s">
        <v>1791</v>
      </c>
      <c r="K1024" s="21">
        <v>773248</v>
      </c>
      <c r="L1024" s="21"/>
      <c r="M1024" s="22">
        <f>(PROVEEDORES[[#This Row],[SUBTOTAL]]-PROVEEDORES[[#This Row],[descuento sobre subtotal]])*VLOOKUP(PROVEEDORES[[#This Row],[PROVEEDOR]],TERCEROS_INFO[#All],3,FALSE)</f>
        <v>146917.12</v>
      </c>
      <c r="N1024" s="23"/>
      <c r="O1024" s="22">
        <f>+PROVEEDORES[[#This Row],[Descuento sobre subtotal %]]*(PROVEEDORES[[#This Row],[SUBTOTAL]]-PROVEEDORES[[#This Row],[descuento sobre subtotal]])</f>
        <v>0</v>
      </c>
      <c r="P1024" s="83">
        <f>+IF(PROVEEDORES[[#This Row],[SUBTOTAL]]&lt;PROVEEDORES[[#This Row],[base retencion]],0,PROVEEDORES[[#This Row],[retención aplicada]])</f>
        <v>0</v>
      </c>
      <c r="Q1024" s="22">
        <f>+PROVEEDORES[[#This Row],[Rete Fuente %]]*(PROVEEDORES[[#This Row],[SUBTOTAL]]-PROVEEDORES[[#This Row],[descuento sobre subtotal]])</f>
        <v>0</v>
      </c>
      <c r="R1024" s="21">
        <f>+PROVEEDORES[[#This Row],[SUBTOTAL]]+PROVEEDORES[[#This Row],[IVA 19%]]-PROVEEDORES[[#This Row],[descuento sobre subtotal]]-PROVEEDORES[[#This Row],[Descuento sobre subtotal $2]]-PROVEEDORES[[#This Row],[Rete Fuente $]]</f>
        <v>920165.12</v>
      </c>
      <c r="S1024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024" s="68">
        <f ca="1">IF(PROVEEDORES[[#This Row],[FECHA DE PAGO]]=0,TODAY()-PROVEEDORES[[#This Row],[FECHA DE FACTURACIÓN]]-PROVEEDORES[[#This Row],[PLAZO Días]],0)</f>
        <v>-164</v>
      </c>
      <c r="U1024" s="113" t="str">
        <f>+VLOOKUP(PROVEEDORES[[#This Row],[PROVEEDOR]],Terceros!$A:$D,4,FALSE)</f>
        <v>2,5% con base</v>
      </c>
      <c r="V1024" s="114">
        <f>+YEAR(PROVEEDORES[[#This Row],[FECHA DE FACTURACIÓN]])</f>
        <v>2022</v>
      </c>
      <c r="W1024" s="114">
        <f>+MATCH(PROVEEDORES[[#This Row],[año facturado]],Retenciones!$1:$1,0)</f>
        <v>5</v>
      </c>
      <c r="X1024" s="115">
        <f>+VLOOKUP(PROVEEDORES[[#This Row],[ID RETENCION]],Retenciones!$A$1:$O$25,PROVEEDORES[[#This Row],[indicador de columna]],FALSE)</f>
        <v>1026000</v>
      </c>
      <c r="Y1024" s="116">
        <f>+VLOOKUP(PROVEEDORES[[#This Row],[ID RETENCION]],Retenciones!$A$1:$O$25,2,FALSE)</f>
        <v>2.5000000000000001E-2</v>
      </c>
      <c r="Z1024" s="125" t="b">
        <f>OR(COUNTIF(PROVEEDORES[[#This Row],[PROVEEDOR]],"*"&amp;'Palabra no opera'!$A$2&amp;"*"))</f>
        <v>1</v>
      </c>
      <c r="AA1024" s="24"/>
      <c r="AB1024" s="24"/>
      <c r="AC1024" s="24"/>
      <c r="AD1024" s="24"/>
      <c r="AE1024" s="24"/>
    </row>
    <row r="1025" spans="1:31" ht="22.2" customHeight="1" x14ac:dyDescent="0.3">
      <c r="A1025" s="217" t="str">
        <f>+IF(PROVEEDORES[[#This Row],[FECHA DE PAGO]]=PROVEEDORES[[#This Row],[FECHA DE FACTURACIÓN]],"DE CONTADO","CRÉDITO")</f>
        <v>CRÉDITO</v>
      </c>
      <c r="B1025" s="38" t="b">
        <f>+IF((PROVEEDORES[[#This Row],[FECHA DE PAGO]]-PROVEEDORES[[#This Row],[FECHA DE FACTURACIÓN]])&gt;PROVEEDORES[[#This Row],[PLAZO Días]],"PAGO VENCIDO")</f>
        <v>0</v>
      </c>
      <c r="C1025" s="20">
        <f>+VLOOKUP(PROVEEDORES[[#This Row],[PROVEEDOR]],TERCEROS_INFO[#All],2,FALSE)</f>
        <v>30</v>
      </c>
      <c r="D1025" s="25">
        <f>+SUMIFS(PROVEEDORES[Total],PROVEEDORES[PROVEEDOR],PROVEEDORES[[#This Row],[PROVEEDOR]],PROVEEDORES[FECHA DE PAGO],"")</f>
        <v>430000</v>
      </c>
      <c r="E1025" s="25"/>
      <c r="F1025" s="58" t="str">
        <f>+VLOOKUP(PROVEEDORES[[#This Row],[PROVEEDOR]],
                       Terceros!$A:$F,
                       5,
                       FALSE)</f>
        <v/>
      </c>
      <c r="G1025" s="161">
        <v>44817</v>
      </c>
      <c r="H1025" s="26" t="s">
        <v>695</v>
      </c>
      <c r="I1025" s="161">
        <v>44810</v>
      </c>
      <c r="J1025" s="35">
        <v>609</v>
      </c>
      <c r="K1025" s="21">
        <v>921500</v>
      </c>
      <c r="L1025" s="21"/>
      <c r="M1025" s="22">
        <f>(PROVEEDORES[[#This Row],[SUBTOTAL]]-PROVEEDORES[[#This Row],[descuento sobre subtotal]])*VLOOKUP(PROVEEDORES[[#This Row],[PROVEEDOR]],TERCEROS_INFO[#All],3,FALSE)</f>
        <v>0</v>
      </c>
      <c r="N1025" s="23"/>
      <c r="O1025" s="22">
        <f>+PROVEEDORES[[#This Row],[Descuento sobre subtotal %]]*(PROVEEDORES[[#This Row],[SUBTOTAL]]-PROVEEDORES[[#This Row],[descuento sobre subtotal]])</f>
        <v>0</v>
      </c>
      <c r="P1025" s="83">
        <f>+IF(PROVEEDORES[[#This Row],[SUBTOTAL]]&lt;PROVEEDORES[[#This Row],[base retencion]],0,PROVEEDORES[[#This Row],[retención aplicada]])</f>
        <v>0</v>
      </c>
      <c r="Q1025" s="22">
        <f>+PROVEEDORES[[#This Row],[Rete Fuente %]]*(PROVEEDORES[[#This Row],[SUBTOTAL]]-PROVEEDORES[[#This Row],[descuento sobre subtotal]])</f>
        <v>0</v>
      </c>
      <c r="R1025" s="21">
        <f>+PROVEEDORES[[#This Row],[SUBTOTAL]]+PROVEEDORES[[#This Row],[IVA 19%]]-PROVEEDORES[[#This Row],[descuento sobre subtotal]]-PROVEEDORES[[#This Row],[Descuento sobre subtotal $2]]-PROVEEDORES[[#This Row],[Rete Fuente $]]</f>
        <v>921500</v>
      </c>
      <c r="S1025" s="2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68">
        <f ca="1">IF(PROVEEDORES[[#This Row],[FECHA DE PAGO]]=0,TODAY()-PROVEEDORES[[#This Row],[FECHA DE FACTURACIÓN]]-PROVEEDORES[[#This Row],[PLAZO Días]],0)</f>
        <v>0</v>
      </c>
      <c r="U1025" s="113">
        <f>+VLOOKUP(PROVEEDORES[[#This Row],[PROVEEDOR]],Terceros!$A:$D,4,FALSE)</f>
        <v>0</v>
      </c>
      <c r="V1025" s="114">
        <f>+YEAR(PROVEEDORES[[#This Row],[FECHA DE FACTURACIÓN]])</f>
        <v>2022</v>
      </c>
      <c r="W1025" s="114">
        <f>+MATCH(PROVEEDORES[[#This Row],[año facturado]],Retenciones!$1:$1,0)</f>
        <v>5</v>
      </c>
      <c r="X1025" s="115">
        <f>+VLOOKUP(PROVEEDORES[[#This Row],[ID RETENCION]],Retenciones!$A$1:$O$25,PROVEEDORES[[#This Row],[indicador de columna]],FALSE)</f>
        <v>0</v>
      </c>
      <c r="Y1025" s="116">
        <f>+VLOOKUP(PROVEEDORES[[#This Row],[ID RETENCION]],Retenciones!$A$1:$O$25,2,FALSE)</f>
        <v>0</v>
      </c>
      <c r="Z1025" s="125" t="b">
        <f>OR(COUNTIF(PROVEEDORES[[#This Row],[PROVEEDOR]],"*"&amp;'Palabra no opera'!$A$2&amp;"*"))</f>
        <v>0</v>
      </c>
      <c r="AA1025" s="24"/>
      <c r="AB1025" s="24"/>
      <c r="AC1025" s="24"/>
      <c r="AD1025" s="24"/>
      <c r="AE1025" s="24"/>
    </row>
    <row r="1026" spans="1:31" ht="22.2" customHeight="1" x14ac:dyDescent="0.3">
      <c r="A1026" s="66" t="str">
        <f>+IF(PROVEEDORES[[#This Row],[FECHA DE PAGO]]=PROVEEDORES[[#This Row],[FECHA DE FACTURACIÓN]],"DE CONTADO","CRÉDITO")</f>
        <v>DE CONTADO</v>
      </c>
      <c r="B1026" s="38" t="b">
        <f>+IF((PROVEEDORES[[#This Row],[FECHA DE PAGO]]-PROVEEDORES[[#This Row],[FECHA DE FACTURACIÓN]])&gt;PROVEEDORES[[#This Row],[PLAZO Días]],"PAGO VENCIDO")</f>
        <v>0</v>
      </c>
      <c r="C1026" s="20">
        <f>+VLOOKUP(PROVEEDORES[[#This Row],[PROVEEDOR]],TERCEROS_INFO[#All],2,FALSE)</f>
        <v>30</v>
      </c>
      <c r="D1026" s="25">
        <f>+SUMIFS(PROVEEDORES[Total],PROVEEDORES[PROVEEDOR],PROVEEDORES[[#This Row],[PROVEEDOR]],PROVEEDORES[FECHA DE PAGO],"")</f>
        <v>0</v>
      </c>
      <c r="E1026" s="25"/>
      <c r="F1026" s="58" t="str">
        <f>+VLOOKUP(PROVEEDORES[[#This Row],[PROVEEDOR]],
                       Terceros!$A:$F,
                       5,
                       FALSE)</f>
        <v/>
      </c>
      <c r="G1026" s="161">
        <v>44561</v>
      </c>
      <c r="H1026" s="26" t="s">
        <v>644</v>
      </c>
      <c r="I1026" s="161">
        <v>44561</v>
      </c>
      <c r="J1026" s="35" t="s">
        <v>597</v>
      </c>
      <c r="K1026" s="21">
        <v>922000</v>
      </c>
      <c r="L1026" s="21"/>
      <c r="M1026" s="22">
        <f>(PROVEEDORES[[#This Row],[SUBTOTAL]]-PROVEEDORES[[#This Row],[descuento sobre subtotal]])*VLOOKUP(PROVEEDORES[[#This Row],[PROVEEDOR]],TERCEROS_INFO[#All],3,FALSE)</f>
        <v>0</v>
      </c>
      <c r="N1026" s="23"/>
      <c r="O1026" s="22">
        <f>+PROVEEDORES[[#This Row],[Descuento sobre subtotal %]]*(PROVEEDORES[[#This Row],[SUBTOTAL]]-PROVEEDORES[[#This Row],[descuento sobre subtotal]])</f>
        <v>0</v>
      </c>
      <c r="P1026" s="83">
        <f>+IF(PROVEEDORES[[#This Row],[SUBTOTAL]]&lt;PROVEEDORES[[#This Row],[base retencion]],0,PROVEEDORES[[#This Row],[retención aplicada]])</f>
        <v>0</v>
      </c>
      <c r="Q1026" s="22">
        <f>+PROVEEDORES[[#This Row],[Rete Fuente %]]*(PROVEEDORES[[#This Row],[SUBTOTAL]]-PROVEEDORES[[#This Row],[descuento sobre subtotal]])</f>
        <v>0</v>
      </c>
      <c r="R1026" s="21">
        <f>+PROVEEDORES[[#This Row],[SUBTOTAL]]+PROVEEDORES[[#This Row],[IVA 19%]]-PROVEEDORES[[#This Row],[descuento sobre subtotal]]-PROVEEDORES[[#This Row],[Descuento sobre subtotal $2]]-PROVEEDORES[[#This Row],[Rete Fuente $]]</f>
        <v>922000</v>
      </c>
      <c r="S10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68">
        <f ca="1">IF(PROVEEDORES[[#This Row],[FECHA DE PAGO]]=0,TODAY()-PROVEEDORES[[#This Row],[FECHA DE FACTURACIÓN]]-PROVEEDORES[[#This Row],[PLAZO Días]],0)</f>
        <v>0</v>
      </c>
      <c r="U1026" s="96">
        <f>+VLOOKUP(PROVEEDORES[[#This Row],[PROVEEDOR]],Terceros!$A:$D,4,FALSE)</f>
        <v>0</v>
      </c>
      <c r="V1026" s="97">
        <f>+YEAR(PROVEEDORES[[#This Row],[FECHA DE FACTURACIÓN]])</f>
        <v>2021</v>
      </c>
      <c r="W1026" s="97">
        <f>+MATCH(PROVEEDORES[[#This Row],[año facturado]],Retenciones!$1:$1,0)</f>
        <v>4</v>
      </c>
      <c r="X1026" s="98">
        <f>+VLOOKUP(PROVEEDORES[[#This Row],[ID RETENCION]],Retenciones!$A$1:$O$25,PROVEEDORES[[#This Row],[indicador de columna]],FALSE)</f>
        <v>0</v>
      </c>
      <c r="Y1026" s="99">
        <f>+VLOOKUP(PROVEEDORES[[#This Row],[ID RETENCION]],Retenciones!$A$1:$O$25,2,FALSE)</f>
        <v>0</v>
      </c>
      <c r="Z1026" s="125" t="b">
        <f>OR(COUNTIF(PROVEEDORES[[#This Row],[PROVEEDOR]],"*"&amp;'Palabra no opera'!$A$2&amp;"*"))</f>
        <v>0</v>
      </c>
      <c r="AA1026" s="24"/>
      <c r="AB1026" s="24"/>
      <c r="AC1026" s="24"/>
      <c r="AD1026" s="24"/>
      <c r="AE1026" s="24"/>
    </row>
    <row r="1027" spans="1:31" ht="22.2" customHeight="1" x14ac:dyDescent="0.3">
      <c r="A1027" s="72" t="str">
        <f>+IF(PROVEEDORES[[#This Row],[FECHA DE PAGO]]=PROVEEDORES[[#This Row],[FECHA DE FACTURACIÓN]],"DE CONTADO","CRÉDITO")</f>
        <v>CRÉDITO</v>
      </c>
      <c r="B1027" s="38" t="b">
        <f>+IF((PROVEEDORES[[#This Row],[FECHA DE PAGO]]-PROVEEDORES[[#This Row],[FECHA DE FACTURACIÓN]])&gt;PROVEEDORES[[#This Row],[PLAZO Días]],"PAGO VENCIDO")</f>
        <v>0</v>
      </c>
      <c r="C1027" s="20">
        <f>+VLOOKUP(PROVEEDORES[[#This Row],[PROVEEDOR]],TERCEROS_INFO[#All],2,FALSE)</f>
        <v>30</v>
      </c>
      <c r="D1027" s="25">
        <f>+SUMIFS(PROVEEDORES[Total],PROVEEDORES[PROVEEDOR],PROVEEDORES[[#This Row],[PROVEEDOR]],PROVEEDORES[FECHA DE PAGO],"")</f>
        <v>1194849.25</v>
      </c>
      <c r="E1027" s="25"/>
      <c r="F1027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1027" s="26" t="s">
        <v>32</v>
      </c>
      <c r="I1027" s="161">
        <v>44860</v>
      </c>
      <c r="J1027" s="35" t="s">
        <v>1812</v>
      </c>
      <c r="K1027" s="21">
        <v>775504</v>
      </c>
      <c r="L1027" s="21"/>
      <c r="M1027" s="22">
        <f>(PROVEEDORES[[#This Row],[SUBTOTAL]]-PROVEEDORES[[#This Row],[descuento sobre subtotal]])*VLOOKUP(PROVEEDORES[[#This Row],[PROVEEDOR]],TERCEROS_INFO[#All],3,FALSE)</f>
        <v>147345.76</v>
      </c>
      <c r="N1027" s="23"/>
      <c r="O1027" s="22">
        <f>+PROVEEDORES[[#This Row],[Descuento sobre subtotal %]]*(PROVEEDORES[[#This Row],[SUBTOTAL]]-PROVEEDORES[[#This Row],[descuento sobre subtotal]])</f>
        <v>0</v>
      </c>
      <c r="P1027" s="83">
        <f>+IF(PROVEEDORES[[#This Row],[SUBTOTAL]]&lt;PROVEEDORES[[#This Row],[base retencion]],0,PROVEEDORES[[#This Row],[retención aplicada]])</f>
        <v>0</v>
      </c>
      <c r="Q1027" s="22">
        <f>+PROVEEDORES[[#This Row],[Rete Fuente %]]*(PROVEEDORES[[#This Row],[SUBTOTAL]]-PROVEEDORES[[#This Row],[descuento sobre subtotal]])</f>
        <v>0</v>
      </c>
      <c r="R1027" s="21">
        <f>+PROVEEDORES[[#This Row],[SUBTOTAL]]+PROVEEDORES[[#This Row],[IVA 19%]]-PROVEEDORES[[#This Row],[descuento sobre subtotal]]-PROVEEDORES[[#This Row],[Descuento sobre subtotal $2]]-PROVEEDORES[[#This Row],[Rete Fuente $]]</f>
        <v>922849.76</v>
      </c>
      <c r="S1027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027" s="68">
        <f ca="1">IF(PROVEEDORES[[#This Row],[FECHA DE PAGO]]=0,TODAY()-PROVEEDORES[[#This Row],[FECHA DE FACTURACIÓN]]-PROVEEDORES[[#This Row],[PLAZO Días]],0)</f>
        <v>-15</v>
      </c>
      <c r="U1027" s="113" t="str">
        <f>+VLOOKUP(PROVEEDORES[[#This Row],[PROVEEDOR]],Terceros!$A:$D,4,FALSE)</f>
        <v>2,5% con base</v>
      </c>
      <c r="V1027" s="114">
        <f>+YEAR(PROVEEDORES[[#This Row],[FECHA DE FACTURACIÓN]])</f>
        <v>2022</v>
      </c>
      <c r="W1027" s="114">
        <f>+MATCH(PROVEEDORES[[#This Row],[año facturado]],Retenciones!$1:$1,0)</f>
        <v>5</v>
      </c>
      <c r="X1027" s="115">
        <f>+VLOOKUP(PROVEEDORES[[#This Row],[ID RETENCION]],Retenciones!$A$1:$O$25,PROVEEDORES[[#This Row],[indicador de columna]],FALSE)</f>
        <v>1026000</v>
      </c>
      <c r="Y1027" s="116">
        <f>+VLOOKUP(PROVEEDORES[[#This Row],[ID RETENCION]],Retenciones!$A$1:$O$25,2,FALSE)</f>
        <v>2.5000000000000001E-2</v>
      </c>
      <c r="Z1027" s="125" t="b">
        <f>OR(COUNTIF(PROVEEDORES[[#This Row],[PROVEEDOR]],"*"&amp;'Palabra no opera'!$A$2&amp;"*"))</f>
        <v>0</v>
      </c>
      <c r="AA1027" s="24"/>
      <c r="AB1027" s="24"/>
      <c r="AC1027" s="24"/>
      <c r="AD1027" s="24"/>
      <c r="AE1027" s="24"/>
    </row>
    <row r="1028" spans="1:31" ht="22.2" customHeight="1" x14ac:dyDescent="0.3">
      <c r="A1028" s="66" t="str">
        <f>+IF(PROVEEDORES[[#This Row],[FECHA DE PAGO]]=PROVEEDORES[[#This Row],[FECHA DE FACTURACIÓN]],"DE CONTADO","CRÉDITO")</f>
        <v>CRÉDITO</v>
      </c>
      <c r="B1028" s="38" t="b">
        <f>+IF((PROVEEDORES[[#This Row],[FECHA DE PAGO]]-PROVEEDORES[[#This Row],[FECHA DE FACTURACIÓN]])&gt;PROVEEDORES[[#This Row],[PLAZO Días]],"PAGO VENCIDO")</f>
        <v>0</v>
      </c>
      <c r="C1028" s="20">
        <f>+VLOOKUP(PROVEEDORES[[#This Row],[PROVEEDOR]],TERCEROS_INFO[#All],2,FALSE)</f>
        <v>30</v>
      </c>
      <c r="D1028" s="25">
        <f>+SUMIFS(PROVEEDORES[Total],PROVEEDORES[PROVEEDOR],PROVEEDORES[[#This Row],[PROVEEDOR]],PROVEEDORES[FECHA DE PAGO],"")</f>
        <v>4712021.58</v>
      </c>
      <c r="E1028" s="25"/>
      <c r="F102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28" s="161">
        <v>44537</v>
      </c>
      <c r="H1028" s="26" t="s">
        <v>17</v>
      </c>
      <c r="I1028" s="161">
        <v>44517</v>
      </c>
      <c r="J1028" s="35">
        <v>1840769</v>
      </c>
      <c r="K1028" s="21">
        <v>775710</v>
      </c>
      <c r="L1028" s="21"/>
      <c r="M1028" s="22">
        <f>(PROVEEDORES[[#This Row],[SUBTOTAL]]-PROVEEDORES[[#This Row],[descuento sobre subtotal]])*VLOOKUP(PROVEEDORES[[#This Row],[PROVEEDOR]],TERCEROS_INFO[#All],3,FALSE)</f>
        <v>147384.9</v>
      </c>
      <c r="N1028" s="23"/>
      <c r="O1028" s="22">
        <f>+PROVEEDORES[[#This Row],[Descuento sobre subtotal %]]*(PROVEEDORES[[#This Row],[SUBTOTAL]]-PROVEEDORES[[#This Row],[descuento sobre subtotal]])</f>
        <v>0</v>
      </c>
      <c r="P1028" s="83">
        <f>+IF(PROVEEDORES[[#This Row],[SUBTOTAL]]&lt;PROVEEDORES[[#This Row],[base retencion]],0,PROVEEDORES[[#This Row],[retención aplicada]])</f>
        <v>0</v>
      </c>
      <c r="Q1028" s="22">
        <f>+PROVEEDORES[[#This Row],[Rete Fuente %]]*(PROVEEDORES[[#This Row],[SUBTOTAL]]-PROVEEDORES[[#This Row],[descuento sobre subtotal]])</f>
        <v>0</v>
      </c>
      <c r="R1028" s="21">
        <f>+PROVEEDORES[[#This Row],[SUBTOTAL]]+PROVEEDORES[[#This Row],[IVA 19%]]-PROVEEDORES[[#This Row],[descuento sobre subtotal]]-PROVEEDORES[[#This Row],[Descuento sobre subtotal $2]]-PROVEEDORES[[#This Row],[Rete Fuente $]]</f>
        <v>923094.9</v>
      </c>
      <c r="S10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68">
        <f ca="1">IF(PROVEEDORES[[#This Row],[FECHA DE PAGO]]=0,TODAY()-PROVEEDORES[[#This Row],[FECHA DE FACTURACIÓN]]-PROVEEDORES[[#This Row],[PLAZO Días]],0)</f>
        <v>0</v>
      </c>
      <c r="U1028" s="96">
        <f>+VLOOKUP(PROVEEDORES[[#This Row],[PROVEEDOR]],Terceros!$A:$D,4,FALSE)</f>
        <v>0</v>
      </c>
      <c r="V1028" s="97">
        <f>+YEAR(PROVEEDORES[[#This Row],[FECHA DE FACTURACIÓN]])</f>
        <v>2021</v>
      </c>
      <c r="W1028" s="97">
        <f>+MATCH(PROVEEDORES[[#This Row],[año facturado]],Retenciones!$1:$1,0)</f>
        <v>4</v>
      </c>
      <c r="X1028" s="98">
        <f>+VLOOKUP(PROVEEDORES[[#This Row],[ID RETENCION]],Retenciones!$A$1:$O$25,PROVEEDORES[[#This Row],[indicador de columna]],FALSE)</f>
        <v>0</v>
      </c>
      <c r="Y1028" s="99">
        <f>+VLOOKUP(PROVEEDORES[[#This Row],[ID RETENCION]],Retenciones!$A$1:$O$25,2,FALSE)</f>
        <v>0</v>
      </c>
      <c r="Z1028" s="125" t="b">
        <f>OR(COUNTIF(PROVEEDORES[[#This Row],[PROVEEDOR]],"*"&amp;'Palabra no opera'!$A$2&amp;"*"))</f>
        <v>0</v>
      </c>
      <c r="AA1028" s="24"/>
      <c r="AB1028" s="24"/>
      <c r="AC1028" s="24"/>
      <c r="AD1028" s="24"/>
      <c r="AE1028" s="24"/>
    </row>
    <row r="1029" spans="1:31" ht="22.2" customHeight="1" x14ac:dyDescent="0.3">
      <c r="A1029" s="257" t="str">
        <f>+IF(PROVEEDORES[[#This Row],[FECHA DE PAGO]]=PROVEEDORES[[#This Row],[FECHA DE FACTURACIÓN]],"DE CONTADO","CRÉDITO")</f>
        <v>DE CONTADO</v>
      </c>
      <c r="B1029" s="38" t="b">
        <f>+IF((PROVEEDORES[[#This Row],[FECHA DE PAGO]]-PROVEEDORES[[#This Row],[FECHA DE FACTURACIÓN]])&gt;PROVEEDORES[[#This Row],[PLAZO Días]],"PAGO VENCIDO")</f>
        <v>0</v>
      </c>
      <c r="C1029" s="20">
        <f>+VLOOKUP(PROVEEDORES[[#This Row],[PROVEEDOR]],TERCEROS_INFO[#All],2,FALSE)</f>
        <v>30</v>
      </c>
      <c r="D1029" s="25">
        <f>+SUMIFS(PROVEEDORES[Total],PROVEEDORES[PROVEEDOR],PROVEEDORES[[#This Row],[PROVEEDOR]],PROVEEDORES[FECHA DE PAGO],"")</f>
        <v>0</v>
      </c>
      <c r="E1029" s="25"/>
      <c r="F1029" s="58" t="str">
        <f>+VLOOKUP(PROVEEDORES[[#This Row],[PROVEEDOR]],
                       Terceros!$A:$F,
                       5,
                       FALSE)</f>
        <v/>
      </c>
      <c r="G1029" s="161">
        <v>44852</v>
      </c>
      <c r="H1029" s="26" t="s">
        <v>37</v>
      </c>
      <c r="I1029" s="161">
        <v>44852</v>
      </c>
      <c r="J1029" s="35" t="s">
        <v>1779</v>
      </c>
      <c r="K1029" s="21">
        <v>776600</v>
      </c>
      <c r="L1029" s="21"/>
      <c r="M1029" s="22">
        <f>(PROVEEDORES[[#This Row],[SUBTOTAL]]-PROVEEDORES[[#This Row],[descuento sobre subtotal]])*VLOOKUP(PROVEEDORES[[#This Row],[PROVEEDOR]],TERCEROS_INFO[#All],3,FALSE)</f>
        <v>147554</v>
      </c>
      <c r="N1029" s="23"/>
      <c r="O1029" s="22">
        <f>+PROVEEDORES[[#This Row],[Descuento sobre subtotal %]]*(PROVEEDORES[[#This Row],[SUBTOTAL]]-PROVEEDORES[[#This Row],[descuento sobre subtotal]])</f>
        <v>0</v>
      </c>
      <c r="P1029" s="83">
        <f>+IF(PROVEEDORES[[#This Row],[SUBTOTAL]]&lt;PROVEEDORES[[#This Row],[base retencion]],0,PROVEEDORES[[#This Row],[retención aplicada]])</f>
        <v>0</v>
      </c>
      <c r="Q1029" s="22">
        <f>+PROVEEDORES[[#This Row],[Rete Fuente %]]*(PROVEEDORES[[#This Row],[SUBTOTAL]]-PROVEEDORES[[#This Row],[descuento sobre subtotal]])</f>
        <v>0</v>
      </c>
      <c r="R1029" s="21">
        <f>+PROVEEDORES[[#This Row],[SUBTOTAL]]+PROVEEDORES[[#This Row],[IVA 19%]]-PROVEEDORES[[#This Row],[descuento sobre subtotal]]-PROVEEDORES[[#This Row],[Descuento sobre subtotal $2]]-PROVEEDORES[[#This Row],[Rete Fuente $]]</f>
        <v>924154</v>
      </c>
      <c r="S1029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68">
        <f ca="1">IF(PROVEEDORES[[#This Row],[FECHA DE PAGO]]=0,TODAY()-PROVEEDORES[[#This Row],[FECHA DE FACTURACIÓN]]-PROVEEDORES[[#This Row],[PLAZO Días]],0)</f>
        <v>0</v>
      </c>
      <c r="U1029" s="113" t="str">
        <f>+VLOOKUP(PROVEEDORES[[#This Row],[PROVEEDOR]],Terceros!$A:$D,4,FALSE)</f>
        <v>2,5% con base</v>
      </c>
      <c r="V1029" s="114">
        <f>+YEAR(PROVEEDORES[[#This Row],[FECHA DE FACTURACIÓN]])</f>
        <v>2022</v>
      </c>
      <c r="W1029" s="114">
        <f>+MATCH(PROVEEDORES[[#This Row],[año facturado]],Retenciones!$1:$1,0)</f>
        <v>5</v>
      </c>
      <c r="X1029" s="115">
        <f>+VLOOKUP(PROVEEDORES[[#This Row],[ID RETENCION]],Retenciones!$A$1:$O$25,PROVEEDORES[[#This Row],[indicador de columna]],FALSE)</f>
        <v>1026000</v>
      </c>
      <c r="Y1029" s="116">
        <f>+VLOOKUP(PROVEEDORES[[#This Row],[ID RETENCION]],Retenciones!$A$1:$O$25,2,FALSE)</f>
        <v>2.5000000000000001E-2</v>
      </c>
      <c r="Z1029" s="125" t="b">
        <f>OR(COUNTIF(PROVEEDORES[[#This Row],[PROVEEDOR]],"*"&amp;'Palabra no opera'!$A$2&amp;"*"))</f>
        <v>0</v>
      </c>
      <c r="AA1029" s="24"/>
      <c r="AB1029" s="24"/>
      <c r="AC1029" s="24"/>
      <c r="AD1029" s="24"/>
      <c r="AE1029" s="24"/>
    </row>
    <row r="1030" spans="1:31" ht="22.2" customHeight="1" x14ac:dyDescent="0.3">
      <c r="A1030" s="66" t="str">
        <f>+IF(PROVEEDORES[[#This Row],[FECHA DE PAGO]]=PROVEEDORES[[#This Row],[FECHA DE FACTURACIÓN]],"DE CONTADO","CRÉDITO")</f>
        <v>CRÉDITO</v>
      </c>
      <c r="B1030" s="38" t="b">
        <f>+IF((PROVEEDORES[[#This Row],[FECHA DE PAGO]]-PROVEEDORES[[#This Row],[FECHA DE FACTURACIÓN]])&gt;PROVEEDORES[[#This Row],[PLAZO Días]],"PAGO VENCIDO")</f>
        <v>0</v>
      </c>
      <c r="C1030" s="20">
        <f>+VLOOKUP(PROVEEDORES[[#This Row],[PROVEEDOR]],TERCEROS_INFO[#All],2,FALSE)</f>
        <v>30</v>
      </c>
      <c r="D1030" s="25">
        <f>+SUMIFS(PROVEEDORES[Total],PROVEEDORES[PROVEEDOR],PROVEEDORES[[#This Row],[PROVEEDOR]],PROVEEDORES[FECHA DE PAGO],"")</f>
        <v>0</v>
      </c>
      <c r="E1030" s="25"/>
      <c r="F1030" s="58" t="str">
        <f>+VLOOKUP(PROVEEDORES[[#This Row],[PROVEEDOR]],
                       Terceros!$A:$F,
                       5,
                       FALSE)</f>
        <v/>
      </c>
      <c r="G1030" s="161">
        <v>44396</v>
      </c>
      <c r="H1030" s="26" t="s">
        <v>686</v>
      </c>
      <c r="I1030" s="161">
        <v>44367</v>
      </c>
      <c r="J1030" s="35" t="s">
        <v>1255</v>
      </c>
      <c r="K1030" s="21">
        <v>926000</v>
      </c>
      <c r="L1030" s="21"/>
      <c r="M1030" s="22">
        <f>(PROVEEDORES[[#This Row],[SUBTOTAL]]-PROVEEDORES[[#This Row],[descuento sobre subtotal]])*VLOOKUP(PROVEEDORES[[#This Row],[PROVEEDOR]],TERCEROS_INFO[#All],3,FALSE)</f>
        <v>0</v>
      </c>
      <c r="N1030" s="23"/>
      <c r="O1030" s="22">
        <f>+PROVEEDORES[[#This Row],[Descuento sobre subtotal %]]*(PROVEEDORES[[#This Row],[SUBTOTAL]]-PROVEEDORES[[#This Row],[descuento sobre subtotal]])</f>
        <v>0</v>
      </c>
      <c r="P1030" s="83">
        <f>+IF(PROVEEDORES[[#This Row],[SUBTOTAL]]&lt;PROVEEDORES[[#This Row],[base retencion]],0,PROVEEDORES[[#This Row],[retención aplicada]])</f>
        <v>0</v>
      </c>
      <c r="Q1030" s="22">
        <f>+PROVEEDORES[[#This Row],[Rete Fuente %]]*(PROVEEDORES[[#This Row],[SUBTOTAL]]-PROVEEDORES[[#This Row],[descuento sobre subtotal]])</f>
        <v>0</v>
      </c>
      <c r="R1030" s="21">
        <f>+PROVEEDORES[[#This Row],[SUBTOTAL]]+PROVEEDORES[[#This Row],[IVA 19%]]-PROVEEDORES[[#This Row],[descuento sobre subtotal]]-PROVEEDORES[[#This Row],[Descuento sobre subtotal $2]]-PROVEEDORES[[#This Row],[Rete Fuente $]]</f>
        <v>926000</v>
      </c>
      <c r="S10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68">
        <f ca="1">IF(PROVEEDORES[[#This Row],[FECHA DE PAGO]]=0,TODAY()-PROVEEDORES[[#This Row],[FECHA DE FACTURACIÓN]]-PROVEEDORES[[#This Row],[PLAZO Días]],0)</f>
        <v>0</v>
      </c>
      <c r="U1030" s="96">
        <f>+VLOOKUP(PROVEEDORES[[#This Row],[PROVEEDOR]],Terceros!$A:$D,4,FALSE)</f>
        <v>0</v>
      </c>
      <c r="V1030" s="97">
        <f>+YEAR(PROVEEDORES[[#This Row],[FECHA DE FACTURACIÓN]])</f>
        <v>2021</v>
      </c>
      <c r="W1030" s="97">
        <f>+MATCH(PROVEEDORES[[#This Row],[año facturado]],Retenciones!$1:$1,0)</f>
        <v>4</v>
      </c>
      <c r="X1030" s="98">
        <f>+VLOOKUP(PROVEEDORES[[#This Row],[ID RETENCION]],Retenciones!$A$1:$O$25,PROVEEDORES[[#This Row],[indicador de columna]],FALSE)</f>
        <v>0</v>
      </c>
      <c r="Y1030" s="99">
        <f>+VLOOKUP(PROVEEDORES[[#This Row],[ID RETENCION]],Retenciones!$A$1:$O$25,2,FALSE)</f>
        <v>0</v>
      </c>
      <c r="Z1030" s="125" t="b">
        <f>OR(COUNTIF(PROVEEDORES[[#This Row],[PROVEEDOR]],"*"&amp;'Palabra no opera'!$A$2&amp;"*"))</f>
        <v>0</v>
      </c>
      <c r="AA1030" s="24"/>
      <c r="AB1030" s="24"/>
      <c r="AC1030" s="24"/>
      <c r="AD1030" s="24"/>
      <c r="AE1030" s="24"/>
    </row>
    <row r="1031" spans="1:31" ht="22.2" customHeight="1" x14ac:dyDescent="0.3">
      <c r="A1031" s="144" t="str">
        <f>+IF(PROVEEDORES[[#This Row],[FECHA DE PAGO]]=PROVEEDORES[[#This Row],[FECHA DE FACTURACIÓN]],"DE CONTADO","CRÉDITO")</f>
        <v>CRÉDITO</v>
      </c>
      <c r="B1031" s="38" t="str">
        <f>+IF((PROVEEDORES[[#This Row],[FECHA DE PAGO]]-PROVEEDORES[[#This Row],[FECHA DE FACTURACIÓN]])&gt;PROVEEDORES[[#This Row],[PLAZO Días]],"PAGO VENCIDO")</f>
        <v>PAGO VENCIDO</v>
      </c>
      <c r="C1031" s="20">
        <f>+VLOOKUP(PROVEEDORES[[#This Row],[PROVEEDOR]],TERCEROS_INFO[#All],2,FALSE)</f>
        <v>45</v>
      </c>
      <c r="D1031" s="25">
        <f>+SUMIFS(PROVEEDORES[Total],PROVEEDORES[PROVEEDOR],PROVEEDORES[[#This Row],[PROVEEDOR]],PROVEEDORES[FECHA DE PAGO],"")</f>
        <v>2604910</v>
      </c>
      <c r="E1031" s="25"/>
      <c r="F103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31" s="161">
        <v>44754</v>
      </c>
      <c r="H1031" s="26" t="s">
        <v>10</v>
      </c>
      <c r="I1031" s="161">
        <v>44704</v>
      </c>
      <c r="J1031" s="35" t="s">
        <v>983</v>
      </c>
      <c r="K1031" s="21">
        <v>779000</v>
      </c>
      <c r="L1031" s="21"/>
      <c r="M1031" s="22">
        <f>(PROVEEDORES[[#This Row],[SUBTOTAL]]-PROVEEDORES[[#This Row],[descuento sobre subtotal]])*VLOOKUP(PROVEEDORES[[#This Row],[PROVEEDOR]],TERCEROS_INFO[#All],3,FALSE)</f>
        <v>148010</v>
      </c>
      <c r="N1031" s="23"/>
      <c r="O1031" s="22">
        <f>+PROVEEDORES[[#This Row],[Descuento sobre subtotal %]]*(PROVEEDORES[[#This Row],[SUBTOTAL]]-PROVEEDORES[[#This Row],[descuento sobre subtotal]])</f>
        <v>0</v>
      </c>
      <c r="P1031" s="83">
        <f>+IF(PROVEEDORES[[#This Row],[SUBTOTAL]]&lt;PROVEEDORES[[#This Row],[base retencion]],0,PROVEEDORES[[#This Row],[retención aplicada]])</f>
        <v>0</v>
      </c>
      <c r="Q1031" s="22">
        <f>+PROVEEDORES[[#This Row],[Rete Fuente %]]*(PROVEEDORES[[#This Row],[SUBTOTAL]]-PROVEEDORES[[#This Row],[descuento sobre subtotal]])</f>
        <v>0</v>
      </c>
      <c r="R1031" s="21">
        <f>+PROVEEDORES[[#This Row],[SUBTOTAL]]+PROVEEDORES[[#This Row],[IVA 19%]]-PROVEEDORES[[#This Row],[descuento sobre subtotal]]-PROVEEDORES[[#This Row],[Descuento sobre subtotal $2]]-PROVEEDORES[[#This Row],[Rete Fuente $]]</f>
        <v>927010</v>
      </c>
      <c r="S1031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68">
        <f ca="1">IF(PROVEEDORES[[#This Row],[FECHA DE PAGO]]=0,TODAY()-PROVEEDORES[[#This Row],[FECHA DE FACTURACIÓN]]-PROVEEDORES[[#This Row],[PLAZO Días]],0)</f>
        <v>0</v>
      </c>
      <c r="U1031" s="113">
        <f>+VLOOKUP(PROVEEDORES[[#This Row],[PROVEEDOR]],Terceros!$A:$D,4,FALSE)</f>
        <v>0</v>
      </c>
      <c r="V1031" s="114">
        <f>+YEAR(PROVEEDORES[[#This Row],[FECHA DE FACTURACIÓN]])</f>
        <v>2022</v>
      </c>
      <c r="W1031" s="114">
        <f>+MATCH(PROVEEDORES[[#This Row],[año facturado]],Retenciones!$1:$1,0)</f>
        <v>5</v>
      </c>
      <c r="X1031" s="115">
        <f>+VLOOKUP(PROVEEDORES[[#This Row],[ID RETENCION]],Retenciones!$A$1:$O$25,PROVEEDORES[[#This Row],[indicador de columna]],FALSE)</f>
        <v>0</v>
      </c>
      <c r="Y1031" s="116">
        <f>+VLOOKUP(PROVEEDORES[[#This Row],[ID RETENCION]],Retenciones!$A$1:$O$25,2,FALSE)</f>
        <v>0</v>
      </c>
      <c r="Z1031" s="125" t="b">
        <f>OR(COUNTIF(PROVEEDORES[[#This Row],[PROVEEDOR]],"*"&amp;'Palabra no opera'!$A$2&amp;"*"))</f>
        <v>0</v>
      </c>
      <c r="AA1031" s="24"/>
      <c r="AB1031" s="24"/>
      <c r="AC1031" s="24"/>
      <c r="AD1031" s="24"/>
      <c r="AE1031" s="24"/>
    </row>
    <row r="1032" spans="1:31" ht="22.2" customHeight="1" x14ac:dyDescent="0.3">
      <c r="A1032" s="159" t="str">
        <f>+IF(PROVEEDORES[[#This Row],[FECHA DE PAGO]]=PROVEEDORES[[#This Row],[FECHA DE FACTURACIÓN]],"DE CONTADO","CRÉDITO")</f>
        <v>CRÉDITO</v>
      </c>
      <c r="B1032" s="38" t="str">
        <f>+IF((PROVEEDORES[[#This Row],[FECHA DE PAGO]]-PROVEEDORES[[#This Row],[FECHA DE FACTURACIÓN]])&gt;PROVEEDORES[[#This Row],[PLAZO Días]],"PAGO VENCIDO")</f>
        <v>PAGO VENCIDO</v>
      </c>
      <c r="C1032" s="20">
        <f>+VLOOKUP(PROVEEDORES[[#This Row],[PROVEEDOR]],TERCEROS_INFO[#All],2,FALSE)</f>
        <v>30</v>
      </c>
      <c r="D1032" s="25">
        <f>+SUMIFS(PROVEEDORES[Total],PROVEEDORES[PROVEEDOR],PROVEEDORES[[#This Row],[PROVEEDOR]],PROVEEDORES[FECHA DE PAGO],"")</f>
        <v>0</v>
      </c>
      <c r="E1032" s="25"/>
      <c r="F103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032" s="161">
        <v>44799</v>
      </c>
      <c r="H1032" s="26" t="s">
        <v>20</v>
      </c>
      <c r="I1032" s="161">
        <v>44743</v>
      </c>
      <c r="J1032" s="35">
        <v>7306</v>
      </c>
      <c r="K1032" s="21">
        <v>779500</v>
      </c>
      <c r="L1032" s="21"/>
      <c r="M1032" s="22">
        <f>(PROVEEDORES[[#This Row],[SUBTOTAL]]-PROVEEDORES[[#This Row],[descuento sobre subtotal]])*VLOOKUP(PROVEEDORES[[#This Row],[PROVEEDOR]],TERCEROS_INFO[#All],3,FALSE)</f>
        <v>148105</v>
      </c>
      <c r="N1032" s="23"/>
      <c r="O1032" s="22">
        <f>+PROVEEDORES[[#This Row],[Descuento sobre subtotal %]]*(PROVEEDORES[[#This Row],[SUBTOTAL]]-PROVEEDORES[[#This Row],[descuento sobre subtotal]])</f>
        <v>0</v>
      </c>
      <c r="P1032" s="83">
        <f>+IF(PROVEEDORES[[#This Row],[SUBTOTAL]]&lt;PROVEEDORES[[#This Row],[base retencion]],0,PROVEEDORES[[#This Row],[retención aplicada]])</f>
        <v>0</v>
      </c>
      <c r="Q1032" s="22">
        <f>+PROVEEDORES[[#This Row],[Rete Fuente %]]*(PROVEEDORES[[#This Row],[SUBTOTAL]]-PROVEEDORES[[#This Row],[descuento sobre subtotal]])</f>
        <v>0</v>
      </c>
      <c r="R1032" s="21">
        <f>+PROVEEDORES[[#This Row],[SUBTOTAL]]+PROVEEDORES[[#This Row],[IVA 19%]]-PROVEEDORES[[#This Row],[descuento sobre subtotal]]-PROVEEDORES[[#This Row],[Descuento sobre subtotal $2]]-PROVEEDORES[[#This Row],[Rete Fuente $]]</f>
        <v>927605</v>
      </c>
      <c r="S1032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68">
        <f ca="1">IF(PROVEEDORES[[#This Row],[FECHA DE PAGO]]=0,TODAY()-PROVEEDORES[[#This Row],[FECHA DE FACTURACIÓN]]-PROVEEDORES[[#This Row],[PLAZO Días]],0)</f>
        <v>0</v>
      </c>
      <c r="U1032" s="113" t="str">
        <f>+VLOOKUP(PROVEEDORES[[#This Row],[PROVEEDOR]],Terceros!$A:$D,4,FALSE)</f>
        <v>2,5% con base</v>
      </c>
      <c r="V1032" s="114">
        <f>+YEAR(PROVEEDORES[[#This Row],[FECHA DE FACTURACIÓN]])</f>
        <v>2022</v>
      </c>
      <c r="W1032" s="114">
        <f>+MATCH(PROVEEDORES[[#This Row],[año facturado]],Retenciones!$1:$1,0)</f>
        <v>5</v>
      </c>
      <c r="X1032" s="115">
        <f>+VLOOKUP(PROVEEDORES[[#This Row],[ID RETENCION]],Retenciones!$A$1:$O$25,PROVEEDORES[[#This Row],[indicador de columna]],FALSE)</f>
        <v>1026000</v>
      </c>
      <c r="Y1032" s="116">
        <f>+VLOOKUP(PROVEEDORES[[#This Row],[ID RETENCION]],Retenciones!$A$1:$O$25,2,FALSE)</f>
        <v>2.5000000000000001E-2</v>
      </c>
      <c r="Z1032" s="125" t="b">
        <f>OR(COUNTIF(PROVEEDORES[[#This Row],[PROVEEDOR]],"*"&amp;'Palabra no opera'!$A$2&amp;"*"))</f>
        <v>0</v>
      </c>
      <c r="AA1032" s="24"/>
      <c r="AB1032" s="24"/>
      <c r="AC1032" s="24"/>
      <c r="AD1032" s="24"/>
      <c r="AE1032" s="24"/>
    </row>
    <row r="1033" spans="1:31" ht="22.2" customHeight="1" x14ac:dyDescent="0.3">
      <c r="A1033" s="269" t="str">
        <f>+IF(PROVEEDORES[[#This Row],[FECHA DE PAGO]]=PROVEEDORES[[#This Row],[FECHA DE FACTURACIÓN]],"DE CONTADO","CRÉDITO")</f>
        <v>CRÉDITO</v>
      </c>
      <c r="B1033" s="38" t="str">
        <f>+IF((PROVEEDORES[[#This Row],[FECHA DE PAGO]]-PROVEEDORES[[#This Row],[FECHA DE FACTURACIÓN]])&gt;PROVEEDORES[[#This Row],[PLAZO Días]],"PAGO VENCIDO")</f>
        <v>PAGO VENCIDO</v>
      </c>
      <c r="C1033" s="20">
        <f>+VLOOKUP(PROVEEDORES[[#This Row],[PROVEEDOR]],TERCEROS_INFO[#All],2,FALSE)</f>
        <v>30</v>
      </c>
      <c r="D1033" s="25">
        <f>+SUMIFS(PROVEEDORES[Total],PROVEEDORES[PROVEEDOR],PROVEEDORES[[#This Row],[PROVEEDOR]],PROVEEDORES[FECHA DE PAGO],"")</f>
        <v>0</v>
      </c>
      <c r="E1033" s="25"/>
      <c r="F1033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033" s="161">
        <v>44869</v>
      </c>
      <c r="H1033" s="26" t="s">
        <v>1106</v>
      </c>
      <c r="I1033" s="161">
        <v>44819</v>
      </c>
      <c r="J1033" s="35" t="s">
        <v>1801</v>
      </c>
      <c r="K1033" s="21">
        <v>782000</v>
      </c>
      <c r="L1033" s="21"/>
      <c r="M1033" s="22">
        <f>(PROVEEDORES[[#This Row],[SUBTOTAL]]-PROVEEDORES[[#This Row],[descuento sobre subtotal]])*VLOOKUP(PROVEEDORES[[#This Row],[PROVEEDOR]],TERCEROS_INFO[#All],3,FALSE)</f>
        <v>148580</v>
      </c>
      <c r="N1033" s="23"/>
      <c r="O1033" s="22">
        <f>+PROVEEDORES[[#This Row],[Descuento sobre subtotal %]]*(PROVEEDORES[[#This Row],[SUBTOTAL]]-PROVEEDORES[[#This Row],[descuento sobre subtotal]])</f>
        <v>0</v>
      </c>
      <c r="P1033" s="83">
        <f>+IF(PROVEEDORES[[#This Row],[SUBTOTAL]]&lt;PROVEEDORES[[#This Row],[base retencion]],0,PROVEEDORES[[#This Row],[retención aplicada]])</f>
        <v>0</v>
      </c>
      <c r="Q1033" s="22">
        <f>+PROVEEDORES[[#This Row],[Rete Fuente %]]*(PROVEEDORES[[#This Row],[SUBTOTAL]]-PROVEEDORES[[#This Row],[descuento sobre subtotal]])</f>
        <v>0</v>
      </c>
      <c r="R1033" s="21">
        <f>+PROVEEDORES[[#This Row],[SUBTOTAL]]+PROVEEDORES[[#This Row],[IVA 19%]]-PROVEEDORES[[#This Row],[descuento sobre subtotal]]-PROVEEDORES[[#This Row],[Descuento sobre subtotal $2]]-PROVEEDORES[[#This Row],[Rete Fuente $]]</f>
        <v>930580</v>
      </c>
      <c r="S1033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68">
        <f ca="1">IF(PROVEEDORES[[#This Row],[FECHA DE PAGO]]=0,TODAY()-PROVEEDORES[[#This Row],[FECHA DE FACTURACIÓN]]-PROVEEDORES[[#This Row],[PLAZO Días]],0)</f>
        <v>0</v>
      </c>
      <c r="U1033" s="113" t="str">
        <f>+VLOOKUP(PROVEEDORES[[#This Row],[PROVEEDOR]],Terceros!$A:$D,4,FALSE)</f>
        <v>2,5% con base</v>
      </c>
      <c r="V1033" s="114">
        <f>+YEAR(PROVEEDORES[[#This Row],[FECHA DE FACTURACIÓN]])</f>
        <v>2022</v>
      </c>
      <c r="W1033" s="114">
        <f>+MATCH(PROVEEDORES[[#This Row],[año facturado]],Retenciones!$1:$1,0)</f>
        <v>5</v>
      </c>
      <c r="X1033" s="115">
        <f>+VLOOKUP(PROVEEDORES[[#This Row],[ID RETENCION]],Retenciones!$A$1:$O$25,PROVEEDORES[[#This Row],[indicador de columna]],FALSE)</f>
        <v>1026000</v>
      </c>
      <c r="Y1033" s="116">
        <f>+VLOOKUP(PROVEEDORES[[#This Row],[ID RETENCION]],Retenciones!$A$1:$O$25,2,FALSE)</f>
        <v>2.5000000000000001E-2</v>
      </c>
      <c r="Z1033" s="125" t="b">
        <f>OR(COUNTIF(PROVEEDORES[[#This Row],[PROVEEDOR]],"*"&amp;'Palabra no opera'!$A$2&amp;"*"))</f>
        <v>0</v>
      </c>
      <c r="AA1033" s="24"/>
      <c r="AB1033" s="24"/>
      <c r="AC1033" s="24"/>
      <c r="AD1033" s="24"/>
      <c r="AE1033" s="24"/>
    </row>
    <row r="1034" spans="1:31" ht="22.2" customHeight="1" x14ac:dyDescent="0.3">
      <c r="A1034" s="66" t="str">
        <f>+IF(PROVEEDORES[[#This Row],[FECHA DE PAGO]]=PROVEEDORES[[#This Row],[FECHA DE FACTURACIÓN]],"DE CONTADO","CRÉDITO")</f>
        <v>CRÉDITO</v>
      </c>
      <c r="B1034" s="38" t="b">
        <f>+IF((PROVEEDORES[[#This Row],[FECHA DE PAGO]]-PROVEEDORES[[#This Row],[FECHA DE FACTURACIÓN]])&gt;PROVEEDORES[[#This Row],[PLAZO Días]],"PAGO VENCIDO")</f>
        <v>0</v>
      </c>
      <c r="C1034" s="20">
        <f>+VLOOKUP(PROVEEDORES[[#This Row],[PROVEEDOR]],TERCEROS_INFO[#All],2,FALSE)</f>
        <v>13</v>
      </c>
      <c r="D1034" s="25">
        <f>+SUMIFS(PROVEEDORES[Total],PROVEEDORES[PROVEEDOR],PROVEEDORES[[#This Row],[PROVEEDOR]],PROVEEDORES[FECHA DE PAGO],"")</f>
        <v>0</v>
      </c>
      <c r="E1034" s="25"/>
      <c r="F1034" s="58">
        <f>+VLOOKUP(PROVEEDORES[[#This Row],[PROVEEDOR]],
                       Terceros!$A:$F,
                       5,
                       FALSE)</f>
        <v>0</v>
      </c>
      <c r="G1034" s="161">
        <v>44540</v>
      </c>
      <c r="H1034" s="26" t="s">
        <v>934</v>
      </c>
      <c r="I1034" s="161">
        <v>44531</v>
      </c>
      <c r="J1034" s="35"/>
      <c r="K1034" s="21">
        <v>934412</v>
      </c>
      <c r="L1034" s="21"/>
      <c r="M1034" s="22">
        <f>(PROVEEDORES[[#This Row],[SUBTOTAL]]-PROVEEDORES[[#This Row],[descuento sobre subtotal]])*VLOOKUP(PROVEEDORES[[#This Row],[PROVEEDOR]],TERCEROS_INFO[#All],3,FALSE)</f>
        <v>0</v>
      </c>
      <c r="N1034" s="23"/>
      <c r="O1034" s="22">
        <f>+PROVEEDORES[[#This Row],[Descuento sobre subtotal %]]*(PROVEEDORES[[#This Row],[SUBTOTAL]]-PROVEEDORES[[#This Row],[descuento sobre subtotal]])</f>
        <v>0</v>
      </c>
      <c r="P1034" s="83">
        <f>+IF(PROVEEDORES[[#This Row],[SUBTOTAL]]&lt;PROVEEDORES[[#This Row],[base retencion]],0,PROVEEDORES[[#This Row],[retención aplicada]])</f>
        <v>0</v>
      </c>
      <c r="Q1034" s="22">
        <f>+PROVEEDORES[[#This Row],[Rete Fuente %]]*(PROVEEDORES[[#This Row],[SUBTOTAL]]-PROVEEDORES[[#This Row],[descuento sobre subtotal]])</f>
        <v>0</v>
      </c>
      <c r="R1034" s="21">
        <f>+PROVEEDORES[[#This Row],[SUBTOTAL]]+PROVEEDORES[[#This Row],[IVA 19%]]-PROVEEDORES[[#This Row],[descuento sobre subtotal]]-PROVEEDORES[[#This Row],[Descuento sobre subtotal $2]]-PROVEEDORES[[#This Row],[Rete Fuente $]]</f>
        <v>934412</v>
      </c>
      <c r="S10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68">
        <f ca="1">IF(PROVEEDORES[[#This Row],[FECHA DE PAGO]]=0,TODAY()-PROVEEDORES[[#This Row],[FECHA DE FACTURACIÓN]]-PROVEEDORES[[#This Row],[PLAZO Días]],0)</f>
        <v>0</v>
      </c>
      <c r="U1034" s="96">
        <f>+VLOOKUP(PROVEEDORES[[#This Row],[PROVEEDOR]],Terceros!$A:$D,4,FALSE)</f>
        <v>0</v>
      </c>
      <c r="V1034" s="97">
        <f>+YEAR(PROVEEDORES[[#This Row],[FECHA DE FACTURACIÓN]])</f>
        <v>2021</v>
      </c>
      <c r="W1034" s="97">
        <f>+MATCH(PROVEEDORES[[#This Row],[año facturado]],Retenciones!$1:$1,0)</f>
        <v>4</v>
      </c>
      <c r="X1034" s="98">
        <f>+VLOOKUP(PROVEEDORES[[#This Row],[ID RETENCION]],Retenciones!$A$1:$O$25,PROVEEDORES[[#This Row],[indicador de columna]],FALSE)</f>
        <v>0</v>
      </c>
      <c r="Y1034" s="99">
        <f>+VLOOKUP(PROVEEDORES[[#This Row],[ID RETENCION]],Retenciones!$A$1:$O$25,2,FALSE)</f>
        <v>0</v>
      </c>
      <c r="Z1034" s="125" t="b">
        <f>OR(COUNTIF(PROVEEDORES[[#This Row],[PROVEEDOR]],"*"&amp;'Palabra no opera'!$A$2&amp;"*"))</f>
        <v>1</v>
      </c>
      <c r="AA1034" s="24"/>
      <c r="AB1034" s="24"/>
      <c r="AC1034" s="24"/>
      <c r="AD1034" s="24"/>
      <c r="AE1034" s="24"/>
    </row>
    <row r="1035" spans="1:31" ht="22.2" customHeight="1" x14ac:dyDescent="0.3">
      <c r="A1035" s="66" t="str">
        <f>+IF(PROVEEDORES[[#This Row],[FECHA DE PAGO]]=PROVEEDORES[[#This Row],[FECHA DE FACTURACIÓN]],"DE CONTADO","CRÉDITO")</f>
        <v>CRÉDITO</v>
      </c>
      <c r="B1035" s="38" t="str">
        <f>+IF((PROVEEDORES[[#This Row],[FECHA DE PAGO]]-PROVEEDORES[[#This Row],[FECHA DE FACTURACIÓN]])&gt;PROVEEDORES[[#This Row],[PLAZO Días]],"PAGO VENCIDO")</f>
        <v>PAGO VENCIDO</v>
      </c>
      <c r="C1035" s="20">
        <f>+VLOOKUP(PROVEEDORES[[#This Row],[PROVEEDOR]],TERCEROS_INFO[#All],2,FALSE)</f>
        <v>30</v>
      </c>
      <c r="D1035" s="25">
        <f>+SUMIFS(PROVEEDORES[Total],PROVEEDORES[PROVEEDOR],PROVEEDORES[[#This Row],[PROVEEDOR]],PROVEEDORES[FECHA DE PAGO],"")</f>
        <v>0</v>
      </c>
      <c r="E1035" s="25"/>
      <c r="F1035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35" s="161">
        <v>44686</v>
      </c>
      <c r="H1035" s="26" t="s">
        <v>688</v>
      </c>
      <c r="I1035" s="161">
        <v>44649</v>
      </c>
      <c r="J1035" s="35" t="s">
        <v>1582</v>
      </c>
      <c r="K1035" s="21">
        <v>936000</v>
      </c>
      <c r="L1035" s="21"/>
      <c r="M1035" s="22">
        <f>(PROVEEDORES[[#This Row],[SUBTOTAL]]-PROVEEDORES[[#This Row],[descuento sobre subtotal]])*VLOOKUP(PROVEEDORES[[#This Row],[PROVEEDOR]],TERCEROS_INFO[#All],3,FALSE)</f>
        <v>0</v>
      </c>
      <c r="N1035" s="23"/>
      <c r="O1035" s="22">
        <f>+PROVEEDORES[[#This Row],[Descuento sobre subtotal %]]*(PROVEEDORES[[#This Row],[SUBTOTAL]]-PROVEEDORES[[#This Row],[descuento sobre subtotal]])</f>
        <v>0</v>
      </c>
      <c r="P1035" s="83">
        <f>+IF(PROVEEDORES[[#This Row],[SUBTOTAL]]&lt;PROVEEDORES[[#This Row],[base retencion]],0,PROVEEDORES[[#This Row],[retención aplicada]])</f>
        <v>0</v>
      </c>
      <c r="Q1035" s="22">
        <f>+PROVEEDORES[[#This Row],[Rete Fuente %]]*(PROVEEDORES[[#This Row],[SUBTOTAL]]-PROVEEDORES[[#This Row],[descuento sobre subtotal]])</f>
        <v>0</v>
      </c>
      <c r="R1035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10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68">
        <f ca="1">IF(PROVEEDORES[[#This Row],[FECHA DE PAGO]]=0,TODAY()-PROVEEDORES[[#This Row],[FECHA DE FACTURACIÓN]]-PROVEEDORES[[#This Row],[PLAZO Días]],0)</f>
        <v>0</v>
      </c>
      <c r="U1035" s="96">
        <f>+VLOOKUP(PROVEEDORES[[#This Row],[PROVEEDOR]],Terceros!$A:$D,4,FALSE)</f>
        <v>0</v>
      </c>
      <c r="V1035" s="97">
        <f>+YEAR(PROVEEDORES[[#This Row],[FECHA DE FACTURACIÓN]])</f>
        <v>2022</v>
      </c>
      <c r="W1035" s="97">
        <f>+MATCH(PROVEEDORES[[#This Row],[año facturado]],Retenciones!$1:$1,0)</f>
        <v>5</v>
      </c>
      <c r="X1035" s="98">
        <f>+VLOOKUP(PROVEEDORES[[#This Row],[ID RETENCION]],Retenciones!$A$1:$O$25,PROVEEDORES[[#This Row],[indicador de columna]],FALSE)</f>
        <v>0</v>
      </c>
      <c r="Y1035" s="99">
        <f>+VLOOKUP(PROVEEDORES[[#This Row],[ID RETENCION]],Retenciones!$A$1:$O$25,2,FALSE)</f>
        <v>0</v>
      </c>
      <c r="Z1035" s="125" t="b">
        <f>OR(COUNTIF(PROVEEDORES[[#This Row],[PROVEEDOR]],"*"&amp;'Palabra no opera'!$A$2&amp;"*"))</f>
        <v>0</v>
      </c>
      <c r="AA1035" s="24"/>
      <c r="AB1035" s="24"/>
      <c r="AC1035" s="24"/>
      <c r="AD1035" s="24"/>
      <c r="AE1035" s="24"/>
    </row>
    <row r="1036" spans="1:31" ht="22.2" customHeight="1" x14ac:dyDescent="0.3">
      <c r="A1036" s="72" t="str">
        <f>+IF(PROVEEDORES[[#This Row],[FECHA DE PAGO]]=PROVEEDORES[[#This Row],[FECHA DE FACTURACIÓN]],"DE CONTADO","CRÉDITO")</f>
        <v>CRÉDITO</v>
      </c>
      <c r="B1036" s="38" t="b">
        <f>+IF((PROVEEDORES[[#This Row],[FECHA DE PAGO]]-PROVEEDORES[[#This Row],[FECHA DE FACTURACIÓN]])&gt;PROVEEDORES[[#This Row],[PLAZO Días]],"PAGO VENCIDO")</f>
        <v>0</v>
      </c>
      <c r="C1036" s="20">
        <f>+VLOOKUP(PROVEEDORES[[#This Row],[PROVEEDOR]],TERCEROS_INFO[#All],2,FALSE)</f>
        <v>30</v>
      </c>
      <c r="D1036" s="25">
        <f>+SUMIFS(PROVEEDORES[Total],PROVEEDORES[PROVEEDOR],PROVEEDORES[[#This Row],[PROVEEDOR]],PROVEEDORES[FECHA DE PAGO],"")</f>
        <v>0</v>
      </c>
      <c r="E1036" s="25"/>
      <c r="F1036" s="58">
        <f>+VLOOKUP(PROVEEDORES[[#This Row],[PROVEEDOR]],
                       Terceros!$A:$F,
                       5,
                       FALSE)</f>
        <v>0</v>
      </c>
      <c r="G1036" s="161">
        <v>44821</v>
      </c>
      <c r="H1036" s="26" t="s">
        <v>1707</v>
      </c>
      <c r="I1036" s="161">
        <v>44812</v>
      </c>
      <c r="J1036" s="35" t="s">
        <v>1708</v>
      </c>
      <c r="K1036" s="21">
        <v>936000</v>
      </c>
      <c r="L1036" s="21"/>
      <c r="M1036" s="22">
        <f>(PROVEEDORES[[#This Row],[SUBTOTAL]]-PROVEEDORES[[#This Row],[descuento sobre subtotal]])*VLOOKUP(PROVEEDORES[[#This Row],[PROVEEDOR]],TERCEROS_INFO[#All],3,FALSE)</f>
        <v>0</v>
      </c>
      <c r="N1036" s="23"/>
      <c r="O1036" s="22">
        <f>+PROVEEDORES[[#This Row],[Descuento sobre subtotal %]]*(PROVEEDORES[[#This Row],[SUBTOTAL]]-PROVEEDORES[[#This Row],[descuento sobre subtotal]])</f>
        <v>0</v>
      </c>
      <c r="P1036" s="83">
        <f>+IF(PROVEEDORES[[#This Row],[SUBTOTAL]]&lt;PROVEEDORES[[#This Row],[base retencion]],0,PROVEEDORES[[#This Row],[retención aplicada]])</f>
        <v>0</v>
      </c>
      <c r="Q1036" s="22">
        <f>+PROVEEDORES[[#This Row],[Rete Fuente %]]*(PROVEEDORES[[#This Row],[SUBTOTAL]]-PROVEEDORES[[#This Row],[descuento sobre subtotal]])</f>
        <v>0</v>
      </c>
      <c r="R1036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103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68">
        <f ca="1">IF(PROVEEDORES[[#This Row],[FECHA DE PAGO]]=0,TODAY()-PROVEEDORES[[#This Row],[FECHA DE FACTURACIÓN]]-PROVEEDORES[[#This Row],[PLAZO Días]],0)</f>
        <v>0</v>
      </c>
      <c r="U1036" s="113">
        <f>+VLOOKUP(PROVEEDORES[[#This Row],[PROVEEDOR]],Terceros!$A:$D,4,FALSE)</f>
        <v>0</v>
      </c>
      <c r="V1036" s="114">
        <f>+YEAR(PROVEEDORES[[#This Row],[FECHA DE FACTURACIÓN]])</f>
        <v>2022</v>
      </c>
      <c r="W1036" s="114">
        <f>+MATCH(PROVEEDORES[[#This Row],[año facturado]],Retenciones!$1:$1,0)</f>
        <v>5</v>
      </c>
      <c r="X1036" s="115">
        <f>+VLOOKUP(PROVEEDORES[[#This Row],[ID RETENCION]],Retenciones!$A$1:$O$25,PROVEEDORES[[#This Row],[indicador de columna]],FALSE)</f>
        <v>0</v>
      </c>
      <c r="Y1036" s="116">
        <f>+VLOOKUP(PROVEEDORES[[#This Row],[ID RETENCION]],Retenciones!$A$1:$O$25,2,FALSE)</f>
        <v>0</v>
      </c>
      <c r="Z1036" s="125" t="b">
        <f>OR(COUNTIF(PROVEEDORES[[#This Row],[PROVEEDOR]],"*"&amp;'Palabra no opera'!$A$2&amp;"*"))</f>
        <v>0</v>
      </c>
      <c r="AA1036" s="24"/>
      <c r="AB1036" s="24"/>
      <c r="AC1036" s="24"/>
      <c r="AD1036" s="24"/>
      <c r="AE1036" s="24"/>
    </row>
    <row r="1037" spans="1:31" ht="22.2" customHeight="1" x14ac:dyDescent="0.3">
      <c r="A1037" s="213" t="str">
        <f>+IF(PROVEEDORES[[#This Row],[FECHA DE PAGO]]=PROVEEDORES[[#This Row],[FECHA DE FACTURACIÓN]],"DE CONTADO","CRÉDITO")</f>
        <v>DE CONTADO</v>
      </c>
      <c r="B1037" s="38" t="b">
        <f>+IF((PROVEEDORES[[#This Row],[FECHA DE PAGO]]-PROVEEDORES[[#This Row],[FECHA DE FACTURACIÓN]])&gt;PROVEEDORES[[#This Row],[PLAZO Días]],"PAGO VENCIDO")</f>
        <v>0</v>
      </c>
      <c r="C1037" s="20">
        <f>+VLOOKUP(PROVEEDORES[[#This Row],[PROVEEDOR]],TERCEROS_INFO[#All],2,FALSE)</f>
        <v>30</v>
      </c>
      <c r="D1037" s="25">
        <f>+SUMIFS(PROVEEDORES[Total],PROVEEDORES[PROVEEDOR],PROVEEDORES[[#This Row],[PROVEEDOR]],PROVEEDORES[FECHA DE PAGO],"")</f>
        <v>0</v>
      </c>
      <c r="E1037" s="25"/>
      <c r="F1037" s="58" t="str">
        <f>+VLOOKUP(PROVEEDORES[[#This Row],[PROVEEDOR]],
                       Terceros!$A:$F,
                       5,
                       FALSE)</f>
        <v/>
      </c>
      <c r="G1037" s="161">
        <v>44804</v>
      </c>
      <c r="H1037" s="26" t="s">
        <v>644</v>
      </c>
      <c r="I1037" s="161">
        <v>44804</v>
      </c>
      <c r="J1037" s="35" t="s">
        <v>598</v>
      </c>
      <c r="K1037" s="21">
        <v>940000</v>
      </c>
      <c r="L1037" s="21"/>
      <c r="M1037" s="22">
        <f>(PROVEEDORES[[#This Row],[SUBTOTAL]]-PROVEEDORES[[#This Row],[descuento sobre subtotal]])*VLOOKUP(PROVEEDORES[[#This Row],[PROVEEDOR]],TERCEROS_INFO[#All],3,FALSE)</f>
        <v>0</v>
      </c>
      <c r="N1037" s="23"/>
      <c r="O1037" s="22">
        <f>+PROVEEDORES[[#This Row],[Descuento sobre subtotal %]]*(PROVEEDORES[[#This Row],[SUBTOTAL]]-PROVEEDORES[[#This Row],[descuento sobre subtotal]])</f>
        <v>0</v>
      </c>
      <c r="P1037" s="83">
        <f>+IF(PROVEEDORES[[#This Row],[SUBTOTAL]]&lt;PROVEEDORES[[#This Row],[base retencion]],0,PROVEEDORES[[#This Row],[retención aplicada]])</f>
        <v>0</v>
      </c>
      <c r="Q1037" s="22">
        <f>+PROVEEDORES[[#This Row],[Rete Fuente %]]*(PROVEEDORES[[#This Row],[SUBTOTAL]]-PROVEEDORES[[#This Row],[descuento sobre subtotal]])</f>
        <v>0</v>
      </c>
      <c r="R1037" s="21">
        <f>+PROVEEDORES[[#This Row],[SUBTOTAL]]+PROVEEDORES[[#This Row],[IVA 19%]]-PROVEEDORES[[#This Row],[descuento sobre subtotal]]-PROVEEDORES[[#This Row],[Descuento sobre subtotal $2]]-PROVEEDORES[[#This Row],[Rete Fuente $]]</f>
        <v>940000</v>
      </c>
      <c r="S1037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68">
        <f ca="1">IF(PROVEEDORES[[#This Row],[FECHA DE PAGO]]=0,TODAY()-PROVEEDORES[[#This Row],[FECHA DE FACTURACIÓN]]-PROVEEDORES[[#This Row],[PLAZO Días]],0)</f>
        <v>0</v>
      </c>
      <c r="U1037" s="113">
        <f>+VLOOKUP(PROVEEDORES[[#This Row],[PROVEEDOR]],Terceros!$A:$D,4,FALSE)</f>
        <v>0</v>
      </c>
      <c r="V1037" s="114">
        <f>+YEAR(PROVEEDORES[[#This Row],[FECHA DE FACTURACIÓN]])</f>
        <v>2022</v>
      </c>
      <c r="W1037" s="114">
        <f>+MATCH(PROVEEDORES[[#This Row],[año facturado]],Retenciones!$1:$1,0)</f>
        <v>5</v>
      </c>
      <c r="X1037" s="115">
        <f>+VLOOKUP(PROVEEDORES[[#This Row],[ID RETENCION]],Retenciones!$A$1:$O$25,PROVEEDORES[[#This Row],[indicador de columna]],FALSE)</f>
        <v>0</v>
      </c>
      <c r="Y1037" s="116">
        <f>+VLOOKUP(PROVEEDORES[[#This Row],[ID RETENCION]],Retenciones!$A$1:$O$25,2,FALSE)</f>
        <v>0</v>
      </c>
      <c r="Z1037" s="125" t="b">
        <f>OR(COUNTIF(PROVEEDORES[[#This Row],[PROVEEDOR]],"*"&amp;'Palabra no opera'!$A$2&amp;"*"))</f>
        <v>0</v>
      </c>
      <c r="AA1037" s="24"/>
      <c r="AB1037" s="24"/>
      <c r="AC1037" s="24"/>
      <c r="AD1037" s="24"/>
      <c r="AE1037" s="24"/>
    </row>
    <row r="1038" spans="1:31" ht="22.2" customHeight="1" x14ac:dyDescent="0.3">
      <c r="A1038" s="66" t="str">
        <f>+IF(PROVEEDORES[[#This Row],[FECHA DE PAGO]]=PROVEEDORES[[#This Row],[FECHA DE FACTURACIÓN]],"DE CONTADO","CRÉDITO")</f>
        <v>CRÉDITO</v>
      </c>
      <c r="B1038" s="38" t="b">
        <f>+IF((PROVEEDORES[[#This Row],[FECHA DE PAGO]]-PROVEEDORES[[#This Row],[FECHA DE FACTURACIÓN]])&gt;PROVEEDORES[[#This Row],[PLAZO Días]],"PAGO VENCIDO")</f>
        <v>0</v>
      </c>
      <c r="C1038" s="20">
        <f>+VLOOKUP(PROVEEDORES[[#This Row],[PROVEEDOR]],TERCEROS_INFO[#All],2,FALSE)</f>
        <v>13</v>
      </c>
      <c r="D1038" s="25">
        <f>+SUMIFS(PROVEEDORES[Total],PROVEEDORES[PROVEEDOR],PROVEEDORES[[#This Row],[PROVEEDOR]],PROVEEDORES[FECHA DE PAGO],"")</f>
        <v>0</v>
      </c>
      <c r="E1038" s="25"/>
      <c r="F1038" s="58">
        <f>+VLOOKUP(PROVEEDORES[[#This Row],[PROVEEDOR]],
                       Terceros!$A:$F,
                       5,
                       FALSE)</f>
        <v>0</v>
      </c>
      <c r="G1038" s="161">
        <v>44630</v>
      </c>
      <c r="H1038" s="26" t="s">
        <v>934</v>
      </c>
      <c r="I1038" s="161">
        <v>44621</v>
      </c>
      <c r="J1038" s="35"/>
      <c r="K1038" s="21">
        <v>941847</v>
      </c>
      <c r="L1038" s="21"/>
      <c r="M1038" s="22">
        <f>(PROVEEDORES[[#This Row],[SUBTOTAL]]-PROVEEDORES[[#This Row],[descuento sobre subtotal]])*VLOOKUP(PROVEEDORES[[#This Row],[PROVEEDOR]],TERCEROS_INFO[#All],3,FALSE)</f>
        <v>0</v>
      </c>
      <c r="N1038" s="23"/>
      <c r="O1038" s="22">
        <f>+PROVEEDORES[[#This Row],[Descuento sobre subtotal %]]*(PROVEEDORES[[#This Row],[SUBTOTAL]]-PROVEEDORES[[#This Row],[descuento sobre subtotal]])</f>
        <v>0</v>
      </c>
      <c r="P1038" s="83">
        <f>+IF(PROVEEDORES[[#This Row],[SUBTOTAL]]&lt;PROVEEDORES[[#This Row],[base retencion]],0,PROVEEDORES[[#This Row],[retención aplicada]])</f>
        <v>0</v>
      </c>
      <c r="Q1038" s="22">
        <f>+PROVEEDORES[[#This Row],[Rete Fuente %]]*(PROVEEDORES[[#This Row],[SUBTOTAL]]-PROVEEDORES[[#This Row],[descuento sobre subtotal]])</f>
        <v>0</v>
      </c>
      <c r="R1038" s="21">
        <v>941847</v>
      </c>
      <c r="S10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68">
        <f ca="1">IF(PROVEEDORES[[#This Row],[FECHA DE PAGO]]=0,TODAY()-PROVEEDORES[[#This Row],[FECHA DE FACTURACIÓN]]-PROVEEDORES[[#This Row],[PLAZO Días]],0)</f>
        <v>0</v>
      </c>
      <c r="U1038" s="96">
        <f>+VLOOKUP(PROVEEDORES[[#This Row],[PROVEEDOR]],Terceros!$A:$D,4,FALSE)</f>
        <v>0</v>
      </c>
      <c r="V1038" s="97">
        <f>+YEAR(PROVEEDORES[[#This Row],[FECHA DE FACTURACIÓN]])</f>
        <v>2022</v>
      </c>
      <c r="W1038" s="97">
        <f>+MATCH(PROVEEDORES[[#This Row],[año facturado]],Retenciones!$1:$1,0)</f>
        <v>5</v>
      </c>
      <c r="X1038" s="98">
        <f>+VLOOKUP(PROVEEDORES[[#This Row],[ID RETENCION]],Retenciones!$A$1:$O$25,PROVEEDORES[[#This Row],[indicador de columna]],FALSE)</f>
        <v>0</v>
      </c>
      <c r="Y1038" s="99">
        <f>+VLOOKUP(PROVEEDORES[[#This Row],[ID RETENCION]],Retenciones!$A$1:$O$25,2,FALSE)</f>
        <v>0</v>
      </c>
      <c r="Z1038" s="125" t="b">
        <f>OR(COUNTIF(PROVEEDORES[[#This Row],[PROVEEDOR]],"*"&amp;'Palabra no opera'!$A$2&amp;"*"))</f>
        <v>1</v>
      </c>
      <c r="AA1038" s="24"/>
      <c r="AB1038" s="24"/>
      <c r="AC1038" s="24"/>
      <c r="AD1038" s="24"/>
      <c r="AE1038" s="24"/>
    </row>
    <row r="1039" spans="1:31" ht="22.2" customHeight="1" x14ac:dyDescent="0.3">
      <c r="A1039" s="66" t="str">
        <f>+IF(PROVEEDORES[[#This Row],[FECHA DE PAGO]]=PROVEEDORES[[#This Row],[FECHA DE FACTURACIÓN]],"DE CONTADO","CRÉDITO")</f>
        <v>CRÉDITO</v>
      </c>
      <c r="B1039" s="38" t="str">
        <f>+IF((PROVEEDORES[[#This Row],[FECHA DE PAGO]]-PROVEEDORES[[#This Row],[FECHA DE FACTURACIÓN]])&gt;PROVEEDORES[[#This Row],[PLAZO Días]],"PAGO VENCIDO")</f>
        <v>PAGO VENCIDO</v>
      </c>
      <c r="C1039" s="20">
        <f>+VLOOKUP(PROVEEDORES[[#This Row],[PROVEEDOR]],TERCEROS_INFO[#All],2,FALSE)</f>
        <v>30</v>
      </c>
      <c r="D1039" s="25">
        <f>+SUMIFS(PROVEEDORES[Total],PROVEEDORES[PROVEEDOR],PROVEEDORES[[#This Row],[PROVEEDOR]],PROVEEDORES[FECHA DE PAGO],"")</f>
        <v>1354000</v>
      </c>
      <c r="E1039" s="25"/>
      <c r="F103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39" s="161">
        <v>44568</v>
      </c>
      <c r="H1039" s="26" t="s">
        <v>699</v>
      </c>
      <c r="I1039" s="161">
        <v>44511</v>
      </c>
      <c r="J1039" s="35" t="s">
        <v>1522</v>
      </c>
      <c r="K1039" s="21">
        <v>942000</v>
      </c>
      <c r="L1039" s="21"/>
      <c r="M1039" s="22">
        <v>0</v>
      </c>
      <c r="N1039" s="23"/>
      <c r="O1039" s="22">
        <v>0</v>
      </c>
      <c r="P1039" s="83">
        <f>+IF(PROVEEDORES[[#This Row],[SUBTOTAL]]&lt;PROVEEDORES[[#This Row],[base retencion]],0,PROVEEDORES[[#This Row],[retención aplicada]])</f>
        <v>0</v>
      </c>
      <c r="Q1039" s="22">
        <f>+PROVEEDORES[[#This Row],[Rete Fuente %]]*(PROVEEDORES[[#This Row],[SUBTOTAL]]-PROVEEDORES[[#This Row],[descuento sobre subtotal]])</f>
        <v>0</v>
      </c>
      <c r="R1039" s="21">
        <v>942000</v>
      </c>
      <c r="S10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68">
        <f ca="1">IF(PROVEEDORES[[#This Row],[FECHA DE PAGO]]=0,TODAY()-PROVEEDORES[[#This Row],[FECHA DE FACTURACIÓN]]-PROVEEDORES[[#This Row],[PLAZO Días]],0)</f>
        <v>0</v>
      </c>
      <c r="U1039" s="96">
        <f>+VLOOKUP(PROVEEDORES[[#This Row],[PROVEEDOR]],Terceros!$A:$D,4,FALSE)</f>
        <v>0</v>
      </c>
      <c r="V1039" s="97">
        <f>+YEAR(PROVEEDORES[[#This Row],[FECHA DE FACTURACIÓN]])</f>
        <v>2021</v>
      </c>
      <c r="W1039" s="97">
        <f>+MATCH(PROVEEDORES[[#This Row],[año facturado]],Retenciones!$1:$1,0)</f>
        <v>4</v>
      </c>
      <c r="X1039" s="98">
        <f>+VLOOKUP(PROVEEDORES[[#This Row],[ID RETENCION]],Retenciones!$A$1:$O$25,PROVEEDORES[[#This Row],[indicador de columna]],FALSE)</f>
        <v>0</v>
      </c>
      <c r="Y1039" s="99">
        <f>+VLOOKUP(PROVEEDORES[[#This Row],[ID RETENCION]],Retenciones!$A$1:$O$25,2,FALSE)</f>
        <v>0</v>
      </c>
      <c r="Z1039" s="125" t="b">
        <f>OR(COUNTIF(PROVEEDORES[[#This Row],[PROVEEDOR]],"*"&amp;'Palabra no opera'!$A$2&amp;"*"))</f>
        <v>0</v>
      </c>
      <c r="AA1039" s="24"/>
      <c r="AB1039" s="24"/>
      <c r="AC1039" s="24"/>
      <c r="AD1039" s="24"/>
      <c r="AE1039" s="24"/>
    </row>
    <row r="1040" spans="1:31" ht="22.2" customHeight="1" x14ac:dyDescent="0.3">
      <c r="A1040" s="66" t="str">
        <f>+IF(PROVEEDORES[[#This Row],[FECHA DE PAGO]]=PROVEEDORES[[#This Row],[FECHA DE FACTURACIÓN]],"DE CONTADO","CRÉDITO")</f>
        <v>CRÉDITO</v>
      </c>
      <c r="B1040" s="38" t="b">
        <f>+IF((PROVEEDORES[[#This Row],[FECHA DE PAGO]]-PROVEEDORES[[#This Row],[FECHA DE FACTURACIÓN]])&gt;PROVEEDORES[[#This Row],[PLAZO Días]],"PAGO VENCIDO")</f>
        <v>0</v>
      </c>
      <c r="C1040" s="20">
        <f>+VLOOKUP(PROVEEDORES[[#This Row],[PROVEEDOR]],TERCEROS_INFO[#All],2,FALSE)</f>
        <v>30</v>
      </c>
      <c r="D1040" s="25">
        <f>+SUMIFS(PROVEEDORES[Total],PROVEEDORES[PROVEEDOR],PROVEEDORES[[#This Row],[PROVEEDOR]],PROVEEDORES[FECHA DE PAGO],"")</f>
        <v>0</v>
      </c>
      <c r="E1040" s="25"/>
      <c r="F104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0" s="161">
        <v>44678</v>
      </c>
      <c r="H1040" s="26" t="s">
        <v>913</v>
      </c>
      <c r="I1040" s="161">
        <v>44652</v>
      </c>
      <c r="J1040" s="35" t="s">
        <v>960</v>
      </c>
      <c r="K1040" s="21">
        <v>791781</v>
      </c>
      <c r="L1040" s="21"/>
      <c r="M1040" s="22">
        <f>(PROVEEDORES[[#This Row],[SUBTOTAL]]-PROVEEDORES[[#This Row],[descuento sobre subtotal]])*VLOOKUP(PROVEEDORES[[#This Row],[PROVEEDOR]],TERCEROS_INFO[#All],3,FALSE)</f>
        <v>150438.39000000001</v>
      </c>
      <c r="N1040" s="23"/>
      <c r="O1040" s="22">
        <f>+PROVEEDORES[[#This Row],[Descuento sobre subtotal %]]*(PROVEEDORES[[#This Row],[SUBTOTAL]]-PROVEEDORES[[#This Row],[descuento sobre subtotal]])</f>
        <v>0</v>
      </c>
      <c r="P1040" s="83">
        <f>+IF(PROVEEDORES[[#This Row],[SUBTOTAL]]&lt;PROVEEDORES[[#This Row],[base retencion]],0,PROVEEDORES[[#This Row],[retención aplicada]])</f>
        <v>0</v>
      </c>
      <c r="Q1040" s="22">
        <f>+PROVEEDORES[[#This Row],[Rete Fuente %]]*(PROVEEDORES[[#This Row],[SUBTOTAL]]-PROVEEDORES[[#This Row],[descuento sobre subtotal]])</f>
        <v>0</v>
      </c>
      <c r="R1040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68">
        <f ca="1">IF(PROVEEDORES[[#This Row],[FECHA DE PAGO]]=0,TODAY()-PROVEEDORES[[#This Row],[FECHA DE FACTURACIÓN]]-PROVEEDORES[[#This Row],[PLAZO Días]],0)</f>
        <v>0</v>
      </c>
      <c r="U1040" s="96">
        <f>+VLOOKUP(PROVEEDORES[[#This Row],[PROVEEDOR]],Terceros!$A:$D,4,FALSE)</f>
        <v>0</v>
      </c>
      <c r="V1040" s="97">
        <f>+YEAR(PROVEEDORES[[#This Row],[FECHA DE FACTURACIÓN]])</f>
        <v>2022</v>
      </c>
      <c r="W1040" s="97">
        <f>+MATCH(PROVEEDORES[[#This Row],[año facturado]],Retenciones!$1:$1,0)</f>
        <v>5</v>
      </c>
      <c r="X1040" s="98">
        <f>+VLOOKUP(PROVEEDORES[[#This Row],[ID RETENCION]],Retenciones!$A$1:$O$25,PROVEEDORES[[#This Row],[indicador de columna]],FALSE)</f>
        <v>0</v>
      </c>
      <c r="Y1040" s="99">
        <f>+VLOOKUP(PROVEEDORES[[#This Row],[ID RETENCION]],Retenciones!$A$1:$O$25,2,FALSE)</f>
        <v>0</v>
      </c>
      <c r="Z1040" s="125" t="b">
        <f>OR(COUNTIF(PROVEEDORES[[#This Row],[PROVEEDOR]],"*"&amp;'Palabra no opera'!$A$2&amp;"*"))</f>
        <v>1</v>
      </c>
      <c r="AA1040" s="24"/>
      <c r="AB1040" s="24"/>
      <c r="AC1040" s="24"/>
      <c r="AD1040" s="24"/>
      <c r="AE1040" s="24"/>
    </row>
    <row r="1041" spans="1:31" ht="22.2" customHeight="1" x14ac:dyDescent="0.3">
      <c r="A1041" s="123" t="str">
        <f>+IF(PROVEEDORES[[#This Row],[FECHA DE PAGO]]=PROVEEDORES[[#This Row],[FECHA DE FACTURACIÓN]],"DE CONTADO","CRÉDITO")</f>
        <v>CRÉDITO</v>
      </c>
      <c r="B1041" s="38" t="b">
        <f>+IF((PROVEEDORES[[#This Row],[FECHA DE PAGO]]-PROVEEDORES[[#This Row],[FECHA DE FACTURACIÓN]])&gt;PROVEEDORES[[#This Row],[PLAZO Días]],"PAGO VENCIDO")</f>
        <v>0</v>
      </c>
      <c r="C1041" s="20">
        <f>+VLOOKUP(PROVEEDORES[[#This Row],[PROVEEDOR]],TERCEROS_INFO[#All],2,FALSE)</f>
        <v>30</v>
      </c>
      <c r="D1041" s="25">
        <f>+SUMIFS(PROVEEDORES[Total],PROVEEDORES[PROVEEDOR],PROVEEDORES[[#This Row],[PROVEEDOR]],PROVEEDORES[FECHA DE PAGO],"")</f>
        <v>0</v>
      </c>
      <c r="E1041" s="25"/>
      <c r="F104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1" s="161">
        <v>44699</v>
      </c>
      <c r="H1041" s="26" t="s">
        <v>913</v>
      </c>
      <c r="I1041" s="161">
        <v>44682</v>
      </c>
      <c r="J1041" s="35" t="s">
        <v>954</v>
      </c>
      <c r="K1041" s="21">
        <v>791781</v>
      </c>
      <c r="L1041" s="21"/>
      <c r="M1041" s="22">
        <f>(PROVEEDORES[[#This Row],[SUBTOTAL]]-PROVEEDORES[[#This Row],[descuento sobre subtotal]])*VLOOKUP(PROVEEDORES[[#This Row],[PROVEEDOR]],TERCEROS_INFO[#All],3,FALSE)</f>
        <v>150438.39000000001</v>
      </c>
      <c r="N1041" s="23"/>
      <c r="O1041" s="22">
        <f>+PROVEEDORES[[#This Row],[Descuento sobre subtotal %]]*(PROVEEDORES[[#This Row],[SUBTOTAL]]-PROVEEDORES[[#This Row],[descuento sobre subtotal]])</f>
        <v>0</v>
      </c>
      <c r="P1041" s="83">
        <f>+IF(PROVEEDORES[[#This Row],[SUBTOTAL]]&lt;PROVEEDORES[[#This Row],[base retencion]],0,PROVEEDORES[[#This Row],[retención aplicada]])</f>
        <v>0</v>
      </c>
      <c r="Q1041" s="22">
        <f>+PROVEEDORES[[#This Row],[Rete Fuente %]]*(PROVEEDORES[[#This Row],[SUBTOTAL]]-PROVEEDORES[[#This Row],[descuento sobre subtotal]])</f>
        <v>0</v>
      </c>
      <c r="R1041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1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68">
        <f ca="1">IF(PROVEEDORES[[#This Row],[FECHA DE PAGO]]=0,TODAY()-PROVEEDORES[[#This Row],[FECHA DE FACTURACIÓN]]-PROVEEDORES[[#This Row],[PLAZO Días]],0)</f>
        <v>0</v>
      </c>
      <c r="U1041" s="113">
        <f>+VLOOKUP(PROVEEDORES[[#This Row],[PROVEEDOR]],Terceros!$A:$D,4,FALSE)</f>
        <v>0</v>
      </c>
      <c r="V1041" s="114">
        <f>+YEAR(PROVEEDORES[[#This Row],[FECHA DE FACTURACIÓN]])</f>
        <v>2022</v>
      </c>
      <c r="W1041" s="114">
        <f>+MATCH(PROVEEDORES[[#This Row],[año facturado]],Retenciones!$1:$1,0)</f>
        <v>5</v>
      </c>
      <c r="X1041" s="115">
        <f>+VLOOKUP(PROVEEDORES[[#This Row],[ID RETENCION]],Retenciones!$A$1:$O$25,PROVEEDORES[[#This Row],[indicador de columna]],FALSE)</f>
        <v>0</v>
      </c>
      <c r="Y1041" s="116">
        <f>+VLOOKUP(PROVEEDORES[[#This Row],[ID RETENCION]],Retenciones!$A$1:$O$25,2,FALSE)</f>
        <v>0</v>
      </c>
      <c r="Z1041" s="125" t="b">
        <f>OR(COUNTIF(PROVEEDORES[[#This Row],[PROVEEDOR]],"*"&amp;'Palabra no opera'!$A$2&amp;"*"))</f>
        <v>1</v>
      </c>
      <c r="AA1041" s="24"/>
      <c r="AB1041" s="24"/>
      <c r="AC1041" s="24"/>
      <c r="AD1041" s="24"/>
      <c r="AE1041" s="24"/>
    </row>
    <row r="1042" spans="1:31" ht="22.2" customHeight="1" x14ac:dyDescent="0.3">
      <c r="A1042" s="146" t="str">
        <f>+IF(PROVEEDORES[[#This Row],[FECHA DE PAGO]]=PROVEEDORES[[#This Row],[FECHA DE FACTURACIÓN]],"DE CONTADO","CRÉDITO")</f>
        <v>CRÉDITO</v>
      </c>
      <c r="B1042" s="38" t="b">
        <f>+IF((PROVEEDORES[[#This Row],[FECHA DE PAGO]]-PROVEEDORES[[#This Row],[FECHA DE FACTURACIÓN]])&gt;PROVEEDORES[[#This Row],[PLAZO Días]],"PAGO VENCIDO")</f>
        <v>0</v>
      </c>
      <c r="C1042" s="20">
        <f>+VLOOKUP(PROVEEDORES[[#This Row],[PROVEEDOR]],TERCEROS_INFO[#All],2,FALSE)</f>
        <v>30</v>
      </c>
      <c r="D1042" s="25">
        <f>+SUMIFS(PROVEEDORES[Total],PROVEEDORES[PROVEEDOR],PROVEEDORES[[#This Row],[PROVEEDOR]],PROVEEDORES[FECHA DE PAGO],"")</f>
        <v>0</v>
      </c>
      <c r="E1042" s="25"/>
      <c r="F104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2" s="161">
        <v>44729</v>
      </c>
      <c r="H1042" s="26" t="s">
        <v>913</v>
      </c>
      <c r="I1042" s="161">
        <v>44713</v>
      </c>
      <c r="J1042" s="35" t="s">
        <v>1005</v>
      </c>
      <c r="K1042" s="21">
        <v>791781</v>
      </c>
      <c r="L1042" s="21"/>
      <c r="M1042" s="22">
        <f>(PROVEEDORES[[#This Row],[SUBTOTAL]]-PROVEEDORES[[#This Row],[descuento sobre subtotal]])*VLOOKUP(PROVEEDORES[[#This Row],[PROVEEDOR]],TERCEROS_INFO[#All],3,FALSE)</f>
        <v>150438.39000000001</v>
      </c>
      <c r="N1042" s="23"/>
      <c r="O1042" s="22">
        <f>+PROVEEDORES[[#This Row],[Descuento sobre subtotal %]]*(PROVEEDORES[[#This Row],[SUBTOTAL]]-PROVEEDORES[[#This Row],[descuento sobre subtotal]])</f>
        <v>0</v>
      </c>
      <c r="P1042" s="83">
        <f>+IF(PROVEEDORES[[#This Row],[SUBTOTAL]]&lt;PROVEEDORES[[#This Row],[base retencion]],0,PROVEEDORES[[#This Row],[retención aplicada]])</f>
        <v>0</v>
      </c>
      <c r="Q1042" s="22">
        <f>+PROVEEDORES[[#This Row],[Rete Fuente %]]*(PROVEEDORES[[#This Row],[SUBTOTAL]]-PROVEEDORES[[#This Row],[descuento sobre subtotal]])</f>
        <v>0</v>
      </c>
      <c r="R1042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2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68">
        <f ca="1">IF(PROVEEDORES[[#This Row],[FECHA DE PAGO]]=0,TODAY()-PROVEEDORES[[#This Row],[FECHA DE FACTURACIÓN]]-PROVEEDORES[[#This Row],[PLAZO Días]],0)</f>
        <v>0</v>
      </c>
      <c r="U1042" s="113">
        <f>+VLOOKUP(PROVEEDORES[[#This Row],[PROVEEDOR]],Terceros!$A:$D,4,FALSE)</f>
        <v>0</v>
      </c>
      <c r="V1042" s="114">
        <f>+YEAR(PROVEEDORES[[#This Row],[FECHA DE FACTURACIÓN]])</f>
        <v>2022</v>
      </c>
      <c r="W1042" s="114">
        <f>+MATCH(PROVEEDORES[[#This Row],[año facturado]],Retenciones!$1:$1,0)</f>
        <v>5</v>
      </c>
      <c r="X1042" s="115">
        <f>+VLOOKUP(PROVEEDORES[[#This Row],[ID RETENCION]],Retenciones!$A$1:$O$25,PROVEEDORES[[#This Row],[indicador de columna]],FALSE)</f>
        <v>0</v>
      </c>
      <c r="Y1042" s="116">
        <f>+VLOOKUP(PROVEEDORES[[#This Row],[ID RETENCION]],Retenciones!$A$1:$O$25,2,FALSE)</f>
        <v>0</v>
      </c>
      <c r="Z1042" s="125" t="b">
        <f>OR(COUNTIF(PROVEEDORES[[#This Row],[PROVEEDOR]],"*"&amp;'Palabra no opera'!$A$2&amp;"*"))</f>
        <v>1</v>
      </c>
      <c r="AA1042" s="24"/>
      <c r="AB1042" s="24"/>
      <c r="AC1042" s="24"/>
      <c r="AD1042" s="24"/>
      <c r="AE1042" s="24"/>
    </row>
    <row r="1043" spans="1:31" ht="22.2" customHeight="1" x14ac:dyDescent="0.3">
      <c r="A1043" s="159" t="str">
        <f>+IF(PROVEEDORES[[#This Row],[FECHA DE PAGO]]=PROVEEDORES[[#This Row],[FECHA DE FACTURACIÓN]],"DE CONTADO","CRÉDITO")</f>
        <v>CRÉDITO</v>
      </c>
      <c r="B1043" s="38" t="b">
        <f>+IF((PROVEEDORES[[#This Row],[FECHA DE PAGO]]-PROVEEDORES[[#This Row],[FECHA DE FACTURACIÓN]])&gt;PROVEEDORES[[#This Row],[PLAZO Días]],"PAGO VENCIDO")</f>
        <v>0</v>
      </c>
      <c r="C1043" s="20">
        <f>+VLOOKUP(PROVEEDORES[[#This Row],[PROVEEDOR]],TERCEROS_INFO[#All],2,FALSE)</f>
        <v>30</v>
      </c>
      <c r="D1043" s="25">
        <f>+SUMIFS(PROVEEDORES[Total],PROVEEDORES[PROVEEDOR],PROVEEDORES[[#This Row],[PROVEEDOR]],PROVEEDORES[FECHA DE PAGO],"")</f>
        <v>0</v>
      </c>
      <c r="E1043" s="25"/>
      <c r="F104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3" s="161">
        <v>44750</v>
      </c>
      <c r="H1043" s="26" t="s">
        <v>913</v>
      </c>
      <c r="I1043" s="161">
        <v>44743</v>
      </c>
      <c r="J1043" s="35" t="s">
        <v>1089</v>
      </c>
      <c r="K1043" s="21">
        <v>791781</v>
      </c>
      <c r="L1043" s="21"/>
      <c r="M1043" s="22">
        <f>(PROVEEDORES[[#This Row],[SUBTOTAL]]-PROVEEDORES[[#This Row],[descuento sobre subtotal]])*VLOOKUP(PROVEEDORES[[#This Row],[PROVEEDOR]],TERCEROS_INFO[#All],3,FALSE)</f>
        <v>150438.39000000001</v>
      </c>
      <c r="N1043" s="23"/>
      <c r="O1043" s="22">
        <f>+PROVEEDORES[[#This Row],[Descuento sobre subtotal %]]*(PROVEEDORES[[#This Row],[SUBTOTAL]]-PROVEEDORES[[#This Row],[descuento sobre subtotal]])</f>
        <v>0</v>
      </c>
      <c r="P1043" s="83">
        <f>+IF(PROVEEDORES[[#This Row],[SUBTOTAL]]&lt;PROVEEDORES[[#This Row],[base retencion]],0,PROVEEDORES[[#This Row],[retención aplicada]])</f>
        <v>0</v>
      </c>
      <c r="Q1043" s="22">
        <f>+PROVEEDORES[[#This Row],[Rete Fuente %]]*(PROVEEDORES[[#This Row],[SUBTOTAL]]-PROVEEDORES[[#This Row],[descuento sobre subtotal]])</f>
        <v>0</v>
      </c>
      <c r="R1043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68">
        <f ca="1">IF(PROVEEDORES[[#This Row],[FECHA DE PAGO]]=0,TODAY()-PROVEEDORES[[#This Row],[FECHA DE FACTURACIÓN]]-PROVEEDORES[[#This Row],[PLAZO Días]],0)</f>
        <v>0</v>
      </c>
      <c r="U1043" s="113">
        <f>+VLOOKUP(PROVEEDORES[[#This Row],[PROVEEDOR]],Terceros!$A:$D,4,FALSE)</f>
        <v>0</v>
      </c>
      <c r="V1043" s="114">
        <f>+YEAR(PROVEEDORES[[#This Row],[FECHA DE FACTURACIÓN]])</f>
        <v>2022</v>
      </c>
      <c r="W1043" s="114">
        <f>+MATCH(PROVEEDORES[[#This Row],[año facturado]],Retenciones!$1:$1,0)</f>
        <v>5</v>
      </c>
      <c r="X1043" s="115">
        <f>+VLOOKUP(PROVEEDORES[[#This Row],[ID RETENCION]],Retenciones!$A$1:$O$25,PROVEEDORES[[#This Row],[indicador de columna]],FALSE)</f>
        <v>0</v>
      </c>
      <c r="Y1043" s="116">
        <f>+VLOOKUP(PROVEEDORES[[#This Row],[ID RETENCION]],Retenciones!$A$1:$O$25,2,FALSE)</f>
        <v>0</v>
      </c>
      <c r="Z1043" s="125" t="b">
        <f>OR(COUNTIF(PROVEEDORES[[#This Row],[PROVEEDOR]],"*"&amp;'Palabra no opera'!$A$2&amp;"*"))</f>
        <v>1</v>
      </c>
      <c r="AA1043" s="24"/>
      <c r="AB1043" s="24"/>
      <c r="AC1043" s="24"/>
      <c r="AD1043" s="24"/>
      <c r="AE1043" s="24"/>
    </row>
    <row r="1044" spans="1:31" ht="22.2" customHeight="1" x14ac:dyDescent="0.3">
      <c r="A1044" s="72" t="str">
        <f>+IF(PROVEEDORES[[#This Row],[FECHA DE PAGO]]=PROVEEDORES[[#This Row],[FECHA DE FACTURACIÓN]],"DE CONTADO","CRÉDITO")</f>
        <v>CRÉDITO</v>
      </c>
      <c r="B1044" s="38" t="b">
        <f>+IF((PROVEEDORES[[#This Row],[FECHA DE PAGO]]-PROVEEDORES[[#This Row],[FECHA DE FACTURACIÓN]])&gt;PROVEEDORES[[#This Row],[PLAZO Días]],"PAGO VENCIDO")</f>
        <v>0</v>
      </c>
      <c r="C1044" s="20">
        <f>+VLOOKUP(PROVEEDORES[[#This Row],[PROVEEDOR]],TERCEROS_INFO[#All],2,FALSE)</f>
        <v>30</v>
      </c>
      <c r="D1044" s="25">
        <f>+SUMIFS(PROVEEDORES[Total],PROVEEDORES[PROVEEDOR],PROVEEDORES[[#This Row],[PROVEEDOR]],PROVEEDORES[FECHA DE PAGO],"")</f>
        <v>0</v>
      </c>
      <c r="E1044" s="25"/>
      <c r="F104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4" s="161">
        <v>44783</v>
      </c>
      <c r="H1044" s="26" t="s">
        <v>913</v>
      </c>
      <c r="I1044" s="161">
        <v>44774</v>
      </c>
      <c r="J1044" s="35" t="s">
        <v>1146</v>
      </c>
      <c r="K1044" s="21">
        <v>791781</v>
      </c>
      <c r="L1044" s="21"/>
      <c r="M1044" s="22">
        <f>(PROVEEDORES[[#This Row],[SUBTOTAL]]-PROVEEDORES[[#This Row],[descuento sobre subtotal]])*VLOOKUP(PROVEEDORES[[#This Row],[PROVEEDOR]],TERCEROS_INFO[#All],3,FALSE)</f>
        <v>150438.39000000001</v>
      </c>
      <c r="N1044" s="23"/>
      <c r="O1044" s="22">
        <f>+PROVEEDORES[[#This Row],[Descuento sobre subtotal %]]*(PROVEEDORES[[#This Row],[SUBTOTAL]]-PROVEEDORES[[#This Row],[descuento sobre subtotal]])</f>
        <v>0</v>
      </c>
      <c r="P1044" s="83">
        <f>+IF(PROVEEDORES[[#This Row],[SUBTOTAL]]&lt;PROVEEDORES[[#This Row],[base retencion]],0,PROVEEDORES[[#This Row],[retención aplicada]])</f>
        <v>0</v>
      </c>
      <c r="Q1044" s="22">
        <f>+PROVEEDORES[[#This Row],[Rete Fuente %]]*(PROVEEDORES[[#This Row],[SUBTOTAL]]-PROVEEDORES[[#This Row],[descuento sobre subtotal]])</f>
        <v>0</v>
      </c>
      <c r="R1044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68">
        <f ca="1">IF(PROVEEDORES[[#This Row],[FECHA DE PAGO]]=0,TODAY()-PROVEEDORES[[#This Row],[FECHA DE FACTURACIÓN]]-PROVEEDORES[[#This Row],[PLAZO Días]],0)</f>
        <v>0</v>
      </c>
      <c r="U1044" s="113">
        <f>+VLOOKUP(PROVEEDORES[[#This Row],[PROVEEDOR]],Terceros!$A:$D,4,FALSE)</f>
        <v>0</v>
      </c>
      <c r="V1044" s="114">
        <f>+YEAR(PROVEEDORES[[#This Row],[FECHA DE FACTURACIÓN]])</f>
        <v>2022</v>
      </c>
      <c r="W1044" s="114">
        <f>+MATCH(PROVEEDORES[[#This Row],[año facturado]],Retenciones!$1:$1,0)</f>
        <v>5</v>
      </c>
      <c r="X1044" s="115">
        <f>+VLOOKUP(PROVEEDORES[[#This Row],[ID RETENCION]],Retenciones!$A$1:$O$25,PROVEEDORES[[#This Row],[indicador de columna]],FALSE)</f>
        <v>0</v>
      </c>
      <c r="Y1044" s="116">
        <f>+VLOOKUP(PROVEEDORES[[#This Row],[ID RETENCION]],Retenciones!$A$1:$O$25,2,FALSE)</f>
        <v>0</v>
      </c>
      <c r="Z1044" s="125" t="b">
        <f>OR(COUNTIF(PROVEEDORES[[#This Row],[PROVEEDOR]],"*"&amp;'Palabra no opera'!$A$2&amp;"*"))</f>
        <v>1</v>
      </c>
      <c r="AA1044" s="24"/>
      <c r="AB1044" s="24"/>
      <c r="AC1044" s="24"/>
      <c r="AD1044" s="24"/>
      <c r="AE1044" s="24"/>
    </row>
    <row r="1045" spans="1:31" ht="22.2" customHeight="1" x14ac:dyDescent="0.3">
      <c r="A1045" s="72" t="str">
        <f>+IF(PROVEEDORES[[#This Row],[FECHA DE PAGO]]=PROVEEDORES[[#This Row],[FECHA DE FACTURACIÓN]],"DE CONTADO","CRÉDITO")</f>
        <v>CRÉDITO</v>
      </c>
      <c r="B1045" s="38" t="b">
        <f>+IF((PROVEEDORES[[#This Row],[FECHA DE PAGO]]-PROVEEDORES[[#This Row],[FECHA DE FACTURACIÓN]])&gt;PROVEEDORES[[#This Row],[PLAZO Días]],"PAGO VENCIDO")</f>
        <v>0</v>
      </c>
      <c r="C1045" s="20">
        <f>+VLOOKUP(PROVEEDORES[[#This Row],[PROVEEDOR]],TERCEROS_INFO[#All],2,FALSE)</f>
        <v>30</v>
      </c>
      <c r="D1045" s="25">
        <f>+SUMIFS(PROVEEDORES[Total],PROVEEDORES[PROVEEDOR],PROVEEDORES[[#This Row],[PROVEEDOR]],PROVEEDORES[FECHA DE PAGO],"")</f>
        <v>0</v>
      </c>
      <c r="E1045" s="25"/>
      <c r="F104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5" s="161">
        <v>44823</v>
      </c>
      <c r="H1045" s="26" t="s">
        <v>913</v>
      </c>
      <c r="I1045" s="161">
        <v>44805</v>
      </c>
      <c r="J1045" s="35" t="s">
        <v>1665</v>
      </c>
      <c r="K1045" s="21">
        <v>791781</v>
      </c>
      <c r="L1045" s="21"/>
      <c r="M1045" s="22">
        <f>(PROVEEDORES[[#This Row],[SUBTOTAL]]-PROVEEDORES[[#This Row],[descuento sobre subtotal]])*VLOOKUP(PROVEEDORES[[#This Row],[PROVEEDOR]],TERCEROS_INFO[#All],3,FALSE)</f>
        <v>150438.39000000001</v>
      </c>
      <c r="N1045" s="23"/>
      <c r="O1045" s="22">
        <f>+PROVEEDORES[[#This Row],[Descuento sobre subtotal %]]*(PROVEEDORES[[#This Row],[SUBTOTAL]]-PROVEEDORES[[#This Row],[descuento sobre subtotal]])</f>
        <v>0</v>
      </c>
      <c r="P1045" s="83">
        <f>+IF(PROVEEDORES[[#This Row],[SUBTOTAL]]&lt;PROVEEDORES[[#This Row],[base retencion]],0,PROVEEDORES[[#This Row],[retención aplicada]])</f>
        <v>0</v>
      </c>
      <c r="Q1045" s="22">
        <f>+PROVEEDORES[[#This Row],[Rete Fuente %]]*(PROVEEDORES[[#This Row],[SUBTOTAL]]-PROVEEDORES[[#This Row],[descuento sobre subtotal]])</f>
        <v>0</v>
      </c>
      <c r="R1045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68">
        <f ca="1">IF(PROVEEDORES[[#This Row],[FECHA DE PAGO]]=0,TODAY()-PROVEEDORES[[#This Row],[FECHA DE FACTURACIÓN]]-PROVEEDORES[[#This Row],[PLAZO Días]],0)</f>
        <v>0</v>
      </c>
      <c r="U1045" s="113">
        <f>+VLOOKUP(PROVEEDORES[[#This Row],[PROVEEDOR]],Terceros!$A:$D,4,FALSE)</f>
        <v>0</v>
      </c>
      <c r="V1045" s="114">
        <f>+YEAR(PROVEEDORES[[#This Row],[FECHA DE FACTURACIÓN]])</f>
        <v>2022</v>
      </c>
      <c r="W1045" s="114">
        <f>+MATCH(PROVEEDORES[[#This Row],[año facturado]],Retenciones!$1:$1,0)</f>
        <v>5</v>
      </c>
      <c r="X1045" s="115">
        <f>+VLOOKUP(PROVEEDORES[[#This Row],[ID RETENCION]],Retenciones!$A$1:$O$25,PROVEEDORES[[#This Row],[indicador de columna]],FALSE)</f>
        <v>0</v>
      </c>
      <c r="Y1045" s="116">
        <f>+VLOOKUP(PROVEEDORES[[#This Row],[ID RETENCION]],Retenciones!$A$1:$O$25,2,FALSE)</f>
        <v>0</v>
      </c>
      <c r="Z1045" s="125" t="b">
        <f>OR(COUNTIF(PROVEEDORES[[#This Row],[PROVEEDOR]],"*"&amp;'Palabra no opera'!$A$2&amp;"*"))</f>
        <v>1</v>
      </c>
      <c r="AA1045" s="24"/>
      <c r="AB1045" s="24"/>
      <c r="AC1045" s="24"/>
      <c r="AD1045" s="24"/>
      <c r="AE1045" s="24"/>
    </row>
    <row r="1046" spans="1:31" ht="22.2" customHeight="1" x14ac:dyDescent="0.3">
      <c r="A1046" s="257" t="str">
        <f>+IF(PROVEEDORES[[#This Row],[FECHA DE PAGO]]=PROVEEDORES[[#This Row],[FECHA DE FACTURACIÓN]],"DE CONTADO","CRÉDITO")</f>
        <v>CRÉDITO</v>
      </c>
      <c r="B1046" s="38" t="b">
        <f>+IF((PROVEEDORES[[#This Row],[FECHA DE PAGO]]-PROVEEDORES[[#This Row],[FECHA DE FACTURACIÓN]])&gt;PROVEEDORES[[#This Row],[PLAZO Días]],"PAGO VENCIDO")</f>
        <v>0</v>
      </c>
      <c r="C1046" s="20">
        <f>+VLOOKUP(PROVEEDORES[[#This Row],[PROVEEDOR]],TERCEROS_INFO[#All],2,FALSE)</f>
        <v>30</v>
      </c>
      <c r="D1046" s="25">
        <f>+SUMIFS(PROVEEDORES[Total],PROVEEDORES[PROVEEDOR],PROVEEDORES[[#This Row],[PROVEEDOR]],PROVEEDORES[FECHA DE PAGO],"")</f>
        <v>0</v>
      </c>
      <c r="E1046" s="25"/>
      <c r="F104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6" s="161">
        <v>44844</v>
      </c>
      <c r="H1046" s="26" t="s">
        <v>913</v>
      </c>
      <c r="I1046" s="161">
        <v>44835</v>
      </c>
      <c r="J1046" s="35" t="s">
        <v>1755</v>
      </c>
      <c r="K1046" s="21">
        <v>791781</v>
      </c>
      <c r="L1046" s="21"/>
      <c r="M1046" s="22">
        <f>(PROVEEDORES[[#This Row],[SUBTOTAL]]-PROVEEDORES[[#This Row],[descuento sobre subtotal]])*VLOOKUP(PROVEEDORES[[#This Row],[PROVEEDOR]],TERCEROS_INFO[#All],3,FALSE)</f>
        <v>150438.39000000001</v>
      </c>
      <c r="N1046" s="23"/>
      <c r="O1046" s="22">
        <f>+PROVEEDORES[[#This Row],[Descuento sobre subtotal %]]*(PROVEEDORES[[#This Row],[SUBTOTAL]]-PROVEEDORES[[#This Row],[descuento sobre subtotal]])</f>
        <v>0</v>
      </c>
      <c r="P1046" s="83">
        <f>+IF(PROVEEDORES[[#This Row],[SUBTOTAL]]&lt;PROVEEDORES[[#This Row],[base retencion]],0,PROVEEDORES[[#This Row],[retención aplicada]])</f>
        <v>0</v>
      </c>
      <c r="Q1046" s="22">
        <f>+PROVEEDORES[[#This Row],[Rete Fuente %]]*(PROVEEDORES[[#This Row],[SUBTOTAL]]-PROVEEDORES[[#This Row],[descuento sobre subtotal]])</f>
        <v>0</v>
      </c>
      <c r="R1046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6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68">
        <f ca="1">IF(PROVEEDORES[[#This Row],[FECHA DE PAGO]]=0,TODAY()-PROVEEDORES[[#This Row],[FECHA DE FACTURACIÓN]]-PROVEEDORES[[#This Row],[PLAZO Días]],0)</f>
        <v>0</v>
      </c>
      <c r="U1046" s="113">
        <f>+VLOOKUP(PROVEEDORES[[#This Row],[PROVEEDOR]],Terceros!$A:$D,4,FALSE)</f>
        <v>0</v>
      </c>
      <c r="V1046" s="114">
        <f>+YEAR(PROVEEDORES[[#This Row],[FECHA DE FACTURACIÓN]])</f>
        <v>2022</v>
      </c>
      <c r="W1046" s="114">
        <f>+MATCH(PROVEEDORES[[#This Row],[año facturado]],Retenciones!$1:$1,0)</f>
        <v>5</v>
      </c>
      <c r="X1046" s="115">
        <f>+VLOOKUP(PROVEEDORES[[#This Row],[ID RETENCION]],Retenciones!$A$1:$O$25,PROVEEDORES[[#This Row],[indicador de columna]],FALSE)</f>
        <v>0</v>
      </c>
      <c r="Y1046" s="116">
        <f>+VLOOKUP(PROVEEDORES[[#This Row],[ID RETENCION]],Retenciones!$A$1:$O$25,2,FALSE)</f>
        <v>0</v>
      </c>
      <c r="Z1046" s="125" t="b">
        <f>OR(COUNTIF(PROVEEDORES[[#This Row],[PROVEEDOR]],"*"&amp;'Palabra no opera'!$A$2&amp;"*"))</f>
        <v>1</v>
      </c>
      <c r="AA1046" s="24"/>
      <c r="AB1046" s="24"/>
      <c r="AC1046" s="24"/>
      <c r="AD1046" s="24"/>
      <c r="AE1046" s="24"/>
    </row>
    <row r="1047" spans="1:31" ht="22.2" customHeight="1" x14ac:dyDescent="0.3">
      <c r="A1047" s="66" t="str">
        <f>+IF(PROVEEDORES[[#This Row],[FECHA DE PAGO]]=PROVEEDORES[[#This Row],[FECHA DE FACTURACIÓN]],"DE CONTADO","CRÉDITO")</f>
        <v>DE CONTADO</v>
      </c>
      <c r="B1047" s="38" t="b">
        <f>+IF((PROVEEDORES[[#This Row],[FECHA DE PAGO]]-PROVEEDORES[[#This Row],[FECHA DE FACTURACIÓN]])&gt;PROVEEDORES[[#This Row],[PLAZO Días]],"PAGO VENCIDO")</f>
        <v>0</v>
      </c>
      <c r="C1047" s="20">
        <f>+VLOOKUP(PROVEEDORES[[#This Row],[PROVEEDOR]],TERCEROS_INFO[#All],2,FALSE)</f>
        <v>30</v>
      </c>
      <c r="D1047" s="25">
        <f>+SUMIFS(PROVEEDORES[Total],PROVEEDORES[PROVEEDOR],PROVEEDORES[[#This Row],[PROVEEDOR]],PROVEEDORES[FECHA DE PAGO],"")</f>
        <v>0</v>
      </c>
      <c r="E1047" s="25"/>
      <c r="F1047" s="58" t="str">
        <f>+VLOOKUP(PROVEEDORES[[#This Row],[PROVEEDOR]],
                       Terceros!$A:$F,
                       5,
                       FALSE)</f>
        <v/>
      </c>
      <c r="G1047" s="161">
        <v>44223</v>
      </c>
      <c r="H1047" s="26" t="s">
        <v>661</v>
      </c>
      <c r="I1047" s="161">
        <v>44223</v>
      </c>
      <c r="J1047" s="35"/>
      <c r="K1047" s="21">
        <v>944000</v>
      </c>
      <c r="L1047" s="21"/>
      <c r="M1047" s="22">
        <f>(PROVEEDORES[[#This Row],[SUBTOTAL]]-PROVEEDORES[[#This Row],[descuento sobre subtotal]])*VLOOKUP(PROVEEDORES[[#This Row],[PROVEEDOR]],TERCEROS_INFO[#All],3,FALSE)</f>
        <v>0</v>
      </c>
      <c r="N1047" s="23"/>
      <c r="O1047" s="22">
        <f>+PROVEEDORES[[#This Row],[Descuento sobre subtotal %]]*(PROVEEDORES[[#This Row],[SUBTOTAL]]-PROVEEDORES[[#This Row],[descuento sobre subtotal]])</f>
        <v>0</v>
      </c>
      <c r="P1047" s="83">
        <f>+IF(PROVEEDORES[[#This Row],[SUBTOTAL]]&lt;PROVEEDORES[[#This Row],[base retencion]],0,PROVEEDORES[[#This Row],[retención aplicada]])</f>
        <v>0</v>
      </c>
      <c r="Q1047" s="22">
        <f>+PROVEEDORES[[#This Row],[Rete Fuente %]]*(PROVEEDORES[[#This Row],[SUBTOTAL]]-PROVEEDORES[[#This Row],[descuento sobre subtotal]])</f>
        <v>0</v>
      </c>
      <c r="R1047" s="21">
        <f>+PROVEEDORES[[#This Row],[SUBTOTAL]]+PROVEEDORES[[#This Row],[IVA 19%]]-PROVEEDORES[[#This Row],[descuento sobre subtotal]]-PROVEEDORES[[#This Row],[Descuento sobre subtotal $2]]-PROVEEDORES[[#This Row],[Rete Fuente $]]</f>
        <v>944000</v>
      </c>
      <c r="S10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68">
        <f ca="1">IF(PROVEEDORES[[#This Row],[FECHA DE PAGO]]=0,TODAY()-PROVEEDORES[[#This Row],[FECHA DE FACTURACIÓN]]-PROVEEDORES[[#This Row],[PLAZO Días]],0)</f>
        <v>0</v>
      </c>
      <c r="U1047" s="96">
        <f>+VLOOKUP(PROVEEDORES[[#This Row],[PROVEEDOR]],Terceros!$A:$D,4,FALSE)</f>
        <v>0</v>
      </c>
      <c r="V1047" s="97">
        <f>+YEAR(PROVEEDORES[[#This Row],[FECHA DE FACTURACIÓN]])</f>
        <v>2021</v>
      </c>
      <c r="W1047" s="97">
        <f>+MATCH(PROVEEDORES[[#This Row],[año facturado]],Retenciones!$1:$1,0)</f>
        <v>4</v>
      </c>
      <c r="X1047" s="98">
        <f>+VLOOKUP(PROVEEDORES[[#This Row],[ID RETENCION]],Retenciones!$A$1:$O$25,PROVEEDORES[[#This Row],[indicador de columna]],FALSE)</f>
        <v>0</v>
      </c>
      <c r="Y1047" s="99">
        <f>+VLOOKUP(PROVEEDORES[[#This Row],[ID RETENCION]],Retenciones!$A$1:$O$25,2,FALSE)</f>
        <v>0</v>
      </c>
      <c r="Z1047" s="125" t="b">
        <f>OR(COUNTIF(PROVEEDORES[[#This Row],[PROVEEDOR]],"*"&amp;'Palabra no opera'!$A$2&amp;"*"))</f>
        <v>0</v>
      </c>
      <c r="AA1047" s="24"/>
      <c r="AB1047" s="24"/>
      <c r="AC1047" s="24"/>
      <c r="AD1047" s="24"/>
      <c r="AE1047" s="24"/>
    </row>
    <row r="1048" spans="1:31" ht="22.2" customHeight="1" x14ac:dyDescent="0.3">
      <c r="A1048" s="66" t="str">
        <f>+IF(PROVEEDORES[[#This Row],[FECHA DE PAGO]]=PROVEEDORES[[#This Row],[FECHA DE FACTURACIÓN]],"DE CONTADO","CRÉDITO")</f>
        <v>CRÉDITO</v>
      </c>
      <c r="B1048" s="38" t="str">
        <f>+IF((PROVEEDORES[[#This Row],[FECHA DE PAGO]]-PROVEEDORES[[#This Row],[FECHA DE FACTURACIÓN]])&gt;PROVEEDORES[[#This Row],[PLAZO Días]],"PAGO VENCIDO")</f>
        <v>PAGO VENCIDO</v>
      </c>
      <c r="C1048" s="20">
        <f>+VLOOKUP(PROVEEDORES[[#This Row],[PROVEEDOR]],TERCEROS_INFO[#All],2,FALSE)</f>
        <v>13</v>
      </c>
      <c r="D1048" s="25">
        <f>+SUMIFS(PROVEEDORES[Total],PROVEEDORES[PROVEEDOR],PROVEEDORES[[#This Row],[PROVEEDOR]],PROVEEDORES[FECHA DE PAGO],"")</f>
        <v>0</v>
      </c>
      <c r="E1048" s="25"/>
      <c r="F1048" s="58">
        <f>+VLOOKUP(PROVEEDORES[[#This Row],[PROVEEDOR]],
                       Terceros!$A:$F,
                       5,
                       FALSE)</f>
        <v>0</v>
      </c>
      <c r="G1048" s="161">
        <v>44579</v>
      </c>
      <c r="H1048" s="26" t="s">
        <v>934</v>
      </c>
      <c r="I1048" s="161">
        <v>44562</v>
      </c>
      <c r="J1048" s="35"/>
      <c r="K1048" s="21">
        <v>944086</v>
      </c>
      <c r="L1048" s="21"/>
      <c r="M1048" s="22">
        <f>(PROVEEDORES[[#This Row],[SUBTOTAL]]-PROVEEDORES[[#This Row],[descuento sobre subtotal]])*VLOOKUP(PROVEEDORES[[#This Row],[PROVEEDOR]],TERCEROS_INFO[#All],3,FALSE)</f>
        <v>0</v>
      </c>
      <c r="N1048" s="23"/>
      <c r="O1048" s="22">
        <f>+PROVEEDORES[[#This Row],[Descuento sobre subtotal %]]*(PROVEEDORES[[#This Row],[SUBTOTAL]]-PROVEEDORES[[#This Row],[descuento sobre subtotal]])</f>
        <v>0</v>
      </c>
      <c r="P1048" s="83">
        <f>+IF(PROVEEDORES[[#This Row],[SUBTOTAL]]&lt;PROVEEDORES[[#This Row],[base retencion]],0,PROVEEDORES[[#This Row],[retención aplicada]])</f>
        <v>0</v>
      </c>
      <c r="Q1048" s="22">
        <f>+PROVEEDORES[[#This Row],[Rete Fuente %]]*(PROVEEDORES[[#This Row],[SUBTOTAL]]-PROVEEDORES[[#This Row],[descuento sobre subtotal]])</f>
        <v>0</v>
      </c>
      <c r="R1048" s="21">
        <v>944086</v>
      </c>
      <c r="S10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68">
        <f ca="1">IF(PROVEEDORES[[#This Row],[FECHA DE PAGO]]=0,TODAY()-PROVEEDORES[[#This Row],[FECHA DE FACTURACIÓN]]-PROVEEDORES[[#This Row],[PLAZO Días]],0)</f>
        <v>0</v>
      </c>
      <c r="U1048" s="96">
        <f>+VLOOKUP(PROVEEDORES[[#This Row],[PROVEEDOR]],Terceros!$A:$D,4,FALSE)</f>
        <v>0</v>
      </c>
      <c r="V1048" s="97">
        <f>+YEAR(PROVEEDORES[[#This Row],[FECHA DE FACTURACIÓN]])</f>
        <v>2022</v>
      </c>
      <c r="W1048" s="97">
        <f>+MATCH(PROVEEDORES[[#This Row],[año facturado]],Retenciones!$1:$1,0)</f>
        <v>5</v>
      </c>
      <c r="X1048" s="98">
        <f>+VLOOKUP(PROVEEDORES[[#This Row],[ID RETENCION]],Retenciones!$A$1:$O$25,PROVEEDORES[[#This Row],[indicador de columna]],FALSE)</f>
        <v>0</v>
      </c>
      <c r="Y1048" s="99">
        <f>+VLOOKUP(PROVEEDORES[[#This Row],[ID RETENCION]],Retenciones!$A$1:$O$25,2,FALSE)</f>
        <v>0</v>
      </c>
      <c r="Z1048" s="125" t="b">
        <f>OR(COUNTIF(PROVEEDORES[[#This Row],[PROVEEDOR]],"*"&amp;'Palabra no opera'!$A$2&amp;"*"))</f>
        <v>1</v>
      </c>
      <c r="AA1048" s="24"/>
      <c r="AB1048" s="24"/>
      <c r="AC1048" s="24"/>
      <c r="AD1048" s="24"/>
      <c r="AE1048" s="24"/>
    </row>
    <row r="1049" spans="1:31" ht="22.2" customHeight="1" x14ac:dyDescent="0.3">
      <c r="A1049" s="66" t="str">
        <f>+IF(PROVEEDORES[[#This Row],[FECHA DE PAGO]]=PROVEEDORES[[#This Row],[FECHA DE FACTURACIÓN]],"DE CONTADO","CRÉDITO")</f>
        <v>CRÉDITO</v>
      </c>
      <c r="B1049" s="38" t="b">
        <f>+IF((PROVEEDORES[[#This Row],[FECHA DE PAGO]]-PROVEEDORES[[#This Row],[FECHA DE FACTURACIÓN]])&gt;PROVEEDORES[[#This Row],[PLAZO Días]],"PAGO VENCIDO")</f>
        <v>0</v>
      </c>
      <c r="C1049" s="20">
        <f>+VLOOKUP(PROVEEDORES[[#This Row],[PROVEEDOR]],TERCEROS_INFO[#All],2,FALSE)</f>
        <v>13</v>
      </c>
      <c r="D1049" s="25">
        <f>+SUMIFS(PROVEEDORES[Total],PROVEEDORES[PROVEEDOR],PROVEEDORES[[#This Row],[PROVEEDOR]],PROVEEDORES[FECHA DE PAGO],"")</f>
        <v>0</v>
      </c>
      <c r="E1049" s="25"/>
      <c r="F1049" s="58">
        <f>+VLOOKUP(PROVEEDORES[[#This Row],[PROVEEDOR]],
                       Terceros!$A:$F,
                       5,
                       FALSE)</f>
        <v>0</v>
      </c>
      <c r="G1049" s="161">
        <v>44603</v>
      </c>
      <c r="H1049" s="26" t="s">
        <v>934</v>
      </c>
      <c r="I1049" s="161">
        <v>44593</v>
      </c>
      <c r="J1049" s="35"/>
      <c r="K1049" s="21">
        <v>945022</v>
      </c>
      <c r="L1049" s="21"/>
      <c r="M1049" s="22">
        <f>(PROVEEDORES[[#This Row],[SUBTOTAL]]-PROVEEDORES[[#This Row],[descuento sobre subtotal]])*VLOOKUP(PROVEEDORES[[#This Row],[PROVEEDOR]],TERCEROS_INFO[#All],3,FALSE)</f>
        <v>0</v>
      </c>
      <c r="N1049" s="23"/>
      <c r="O1049" s="22">
        <f>+PROVEEDORES[[#This Row],[Descuento sobre subtotal %]]*(PROVEEDORES[[#This Row],[SUBTOTAL]]-PROVEEDORES[[#This Row],[descuento sobre subtotal]])</f>
        <v>0</v>
      </c>
      <c r="P1049" s="83">
        <f>+IF(PROVEEDORES[[#This Row],[SUBTOTAL]]&lt;PROVEEDORES[[#This Row],[base retencion]],0,PROVEEDORES[[#This Row],[retención aplicada]])</f>
        <v>0</v>
      </c>
      <c r="Q1049" s="22">
        <f>+PROVEEDORES[[#This Row],[Rete Fuente %]]*(PROVEEDORES[[#This Row],[SUBTOTAL]]-PROVEEDORES[[#This Row],[descuento sobre subtotal]])</f>
        <v>0</v>
      </c>
      <c r="R1049" s="21">
        <v>945022</v>
      </c>
      <c r="S10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68">
        <f ca="1">IF(PROVEEDORES[[#This Row],[FECHA DE PAGO]]=0,TODAY()-PROVEEDORES[[#This Row],[FECHA DE FACTURACIÓN]]-PROVEEDORES[[#This Row],[PLAZO Días]],0)</f>
        <v>0</v>
      </c>
      <c r="U1049" s="96">
        <f>+VLOOKUP(PROVEEDORES[[#This Row],[PROVEEDOR]],Terceros!$A:$D,4,FALSE)</f>
        <v>0</v>
      </c>
      <c r="V1049" s="97">
        <f>+YEAR(PROVEEDORES[[#This Row],[FECHA DE FACTURACIÓN]])</f>
        <v>2022</v>
      </c>
      <c r="W1049" s="97">
        <f>+MATCH(PROVEEDORES[[#This Row],[año facturado]],Retenciones!$1:$1,0)</f>
        <v>5</v>
      </c>
      <c r="X1049" s="98">
        <f>+VLOOKUP(PROVEEDORES[[#This Row],[ID RETENCION]],Retenciones!$A$1:$O$25,PROVEEDORES[[#This Row],[indicador de columna]],FALSE)</f>
        <v>0</v>
      </c>
      <c r="Y1049" s="99">
        <f>+VLOOKUP(PROVEEDORES[[#This Row],[ID RETENCION]],Retenciones!$A$1:$O$25,2,FALSE)</f>
        <v>0</v>
      </c>
      <c r="Z1049" s="125" t="b">
        <f>OR(COUNTIF(PROVEEDORES[[#This Row],[PROVEEDOR]],"*"&amp;'Palabra no opera'!$A$2&amp;"*"))</f>
        <v>1</v>
      </c>
      <c r="AA1049" s="24"/>
      <c r="AB1049" s="24"/>
      <c r="AC1049" s="24"/>
      <c r="AD1049" s="24"/>
      <c r="AE1049" s="24"/>
    </row>
    <row r="1050" spans="1:31" ht="22.2" customHeight="1" x14ac:dyDescent="0.3">
      <c r="A1050" s="207" t="str">
        <f>+IF(PROVEEDORES[[#This Row],[FECHA DE PAGO]]=PROVEEDORES[[#This Row],[FECHA DE FACTURACIÓN]],"DE CONTADO","CRÉDITO")</f>
        <v>CRÉDITO</v>
      </c>
      <c r="B1050" s="38" t="b">
        <f>+IF((PROVEEDORES[[#This Row],[FECHA DE PAGO]]-PROVEEDORES[[#This Row],[FECHA DE FACTURACIÓN]])&gt;PROVEEDORES[[#This Row],[PLAZO Días]],"PAGO VENCIDO")</f>
        <v>0</v>
      </c>
      <c r="C1050" s="20">
        <f>+VLOOKUP(PROVEEDORES[[#This Row],[PROVEEDOR]],TERCEROS_INFO[#All],2,FALSE)</f>
        <v>60</v>
      </c>
      <c r="D1050" s="25">
        <f>+SUMIFS(PROVEEDORES[Total],PROVEEDORES[PROVEEDOR],PROVEEDORES[[#This Row],[PROVEEDOR]],PROVEEDORES[FECHA DE PAGO],"")</f>
        <v>1520362</v>
      </c>
      <c r="E1050" s="25"/>
      <c r="F105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050" s="161">
        <v>44811</v>
      </c>
      <c r="H1050" s="26" t="s">
        <v>528</v>
      </c>
      <c r="I1050" s="161">
        <v>44792</v>
      </c>
      <c r="J1050" s="35" t="s">
        <v>1628</v>
      </c>
      <c r="K1050" s="21">
        <v>946964.15</v>
      </c>
      <c r="L1050" s="21"/>
      <c r="M1050" s="22">
        <f>(PROVEEDORES[[#This Row],[SUBTOTAL]]-PROVEEDORES[[#This Row],[descuento sobre subtotal]])*VLOOKUP(PROVEEDORES[[#This Row],[PROVEEDOR]],TERCEROS_INFO[#All],3,FALSE)</f>
        <v>0</v>
      </c>
      <c r="N1050" s="23"/>
      <c r="O1050" s="22">
        <f>+PROVEEDORES[[#This Row],[Descuento sobre subtotal %]]*(PROVEEDORES[[#This Row],[SUBTOTAL]]-PROVEEDORES[[#This Row],[descuento sobre subtotal]])</f>
        <v>0</v>
      </c>
      <c r="P1050" s="83">
        <f>+IF(PROVEEDORES[[#This Row],[SUBTOTAL]]&lt;PROVEEDORES[[#This Row],[base retencion]],0,PROVEEDORES[[#This Row],[retención aplicada]])</f>
        <v>0</v>
      </c>
      <c r="Q1050" s="22">
        <f>+PROVEEDORES[[#This Row],[Rete Fuente %]]*(PROVEEDORES[[#This Row],[SUBTOTAL]]-PROVEEDORES[[#This Row],[descuento sobre subtotal]])</f>
        <v>0</v>
      </c>
      <c r="R1050" s="21">
        <f>+PROVEEDORES[[#This Row],[SUBTOTAL]]+PROVEEDORES[[#This Row],[IVA 19%]]-PROVEEDORES[[#This Row],[descuento sobre subtotal]]-PROVEEDORES[[#This Row],[Descuento sobre subtotal $2]]-PROVEEDORES[[#This Row],[Rete Fuente $]]</f>
        <v>946964.15</v>
      </c>
      <c r="S105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68">
        <f ca="1">IF(PROVEEDORES[[#This Row],[FECHA DE PAGO]]=0,TODAY()-PROVEEDORES[[#This Row],[FECHA DE FACTURACIÓN]]-PROVEEDORES[[#This Row],[PLAZO Días]],0)</f>
        <v>0</v>
      </c>
      <c r="U1050" s="113">
        <f>+VLOOKUP(PROVEEDORES[[#This Row],[PROVEEDOR]],Terceros!$A:$D,4,FALSE)</f>
        <v>0</v>
      </c>
      <c r="V1050" s="114">
        <f>+YEAR(PROVEEDORES[[#This Row],[FECHA DE FACTURACIÓN]])</f>
        <v>2022</v>
      </c>
      <c r="W1050" s="114">
        <f>+MATCH(PROVEEDORES[[#This Row],[año facturado]],Retenciones!$1:$1,0)</f>
        <v>5</v>
      </c>
      <c r="X1050" s="115">
        <f>+VLOOKUP(PROVEEDORES[[#This Row],[ID RETENCION]],Retenciones!$A$1:$O$25,PROVEEDORES[[#This Row],[indicador de columna]],FALSE)</f>
        <v>0</v>
      </c>
      <c r="Y1050" s="116">
        <f>+VLOOKUP(PROVEEDORES[[#This Row],[ID RETENCION]],Retenciones!$A$1:$O$25,2,FALSE)</f>
        <v>0</v>
      </c>
      <c r="Z1050" s="125" t="b">
        <f>OR(COUNTIF(PROVEEDORES[[#This Row],[PROVEEDOR]],"*"&amp;'Palabra no opera'!$A$2&amp;"*"))</f>
        <v>0</v>
      </c>
      <c r="AA1050" s="24"/>
      <c r="AB1050" s="24"/>
      <c r="AC1050" s="24"/>
      <c r="AD1050" s="24"/>
      <c r="AE1050" s="24"/>
    </row>
    <row r="1051" spans="1:31" ht="22.2" customHeight="1" x14ac:dyDescent="0.3">
      <c r="A1051" s="66" t="str">
        <f>+IF(PROVEEDORES[[#This Row],[FECHA DE PAGO]]=PROVEEDORES[[#This Row],[FECHA DE FACTURACIÓN]],"DE CONTADO","CRÉDITO")</f>
        <v>CRÉDITO</v>
      </c>
      <c r="B1051" s="38" t="b">
        <f>+IF((PROVEEDORES[[#This Row],[FECHA DE PAGO]]-PROVEEDORES[[#This Row],[FECHA DE FACTURACIÓN]])&gt;PROVEEDORES[[#This Row],[PLAZO Días]],"PAGO VENCIDO")</f>
        <v>0</v>
      </c>
      <c r="C1051" s="20">
        <f>+VLOOKUP(PROVEEDORES[[#This Row],[PROVEEDOR]],TERCEROS_INFO[#All],2,FALSE)</f>
        <v>13</v>
      </c>
      <c r="D1051" s="25">
        <f>+SUMIFS(PROVEEDORES[Total],PROVEEDORES[PROVEEDOR],PROVEEDORES[[#This Row],[PROVEEDOR]],PROVEEDORES[FECHA DE PAGO],"")</f>
        <v>0</v>
      </c>
      <c r="E1051" s="25"/>
      <c r="F1051" s="58">
        <f>+VLOOKUP(PROVEEDORES[[#This Row],[PROVEEDOR]],
                       Terceros!$A:$F,
                       5,
                       FALSE)</f>
        <v>0</v>
      </c>
      <c r="G1051" s="161">
        <v>44663</v>
      </c>
      <c r="H1051" s="26" t="s">
        <v>934</v>
      </c>
      <c r="I1051" s="161">
        <v>44652</v>
      </c>
      <c r="J1051" s="35"/>
      <c r="K1051" s="21">
        <v>948924</v>
      </c>
      <c r="L1051" s="21"/>
      <c r="M1051" s="22">
        <f>(PROVEEDORES[[#This Row],[SUBTOTAL]]-PROVEEDORES[[#This Row],[descuento sobre subtotal]])*VLOOKUP(PROVEEDORES[[#This Row],[PROVEEDOR]],TERCEROS_INFO[#All],3,FALSE)</f>
        <v>0</v>
      </c>
      <c r="N1051" s="23"/>
      <c r="O1051" s="22">
        <f>+PROVEEDORES[[#This Row],[Descuento sobre subtotal %]]*(PROVEEDORES[[#This Row],[SUBTOTAL]]-PROVEEDORES[[#This Row],[descuento sobre subtotal]])</f>
        <v>0</v>
      </c>
      <c r="P1051" s="83">
        <f>+IF(PROVEEDORES[[#This Row],[SUBTOTAL]]&lt;PROVEEDORES[[#This Row],[base retencion]],0,PROVEEDORES[[#This Row],[retención aplicada]])</f>
        <v>0</v>
      </c>
      <c r="Q1051" s="22">
        <f>+PROVEEDORES[[#This Row],[Rete Fuente %]]*(PROVEEDORES[[#This Row],[SUBTOTAL]]-PROVEEDORES[[#This Row],[descuento sobre subtotal]])</f>
        <v>0</v>
      </c>
      <c r="R1051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0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68">
        <f ca="1">IF(PROVEEDORES[[#This Row],[FECHA DE PAGO]]=0,TODAY()-PROVEEDORES[[#This Row],[FECHA DE FACTURACIÓN]]-PROVEEDORES[[#This Row],[PLAZO Días]],0)</f>
        <v>0</v>
      </c>
      <c r="U1051" s="96">
        <f>+VLOOKUP(PROVEEDORES[[#This Row],[PROVEEDOR]],Terceros!$A:$D,4,FALSE)</f>
        <v>0</v>
      </c>
      <c r="V1051" s="97">
        <f>+YEAR(PROVEEDORES[[#This Row],[FECHA DE FACTURACIÓN]])</f>
        <v>2022</v>
      </c>
      <c r="W1051" s="97">
        <f>+MATCH(PROVEEDORES[[#This Row],[año facturado]],Retenciones!$1:$1,0)</f>
        <v>5</v>
      </c>
      <c r="X1051" s="98">
        <f>+VLOOKUP(PROVEEDORES[[#This Row],[ID RETENCION]],Retenciones!$A$1:$O$25,PROVEEDORES[[#This Row],[indicador de columna]],FALSE)</f>
        <v>0</v>
      </c>
      <c r="Y1051" s="99">
        <f>+VLOOKUP(PROVEEDORES[[#This Row],[ID RETENCION]],Retenciones!$A$1:$O$25,2,FALSE)</f>
        <v>0</v>
      </c>
      <c r="Z1051" s="125" t="b">
        <f>OR(COUNTIF(PROVEEDORES[[#This Row],[PROVEEDOR]],"*"&amp;'Palabra no opera'!$A$2&amp;"*"))</f>
        <v>1</v>
      </c>
      <c r="AA1051" s="24"/>
      <c r="AB1051" s="24"/>
      <c r="AC1051" s="24"/>
      <c r="AD1051" s="24"/>
      <c r="AE1051" s="24"/>
    </row>
    <row r="1052" spans="1:31" ht="22.2" customHeight="1" x14ac:dyDescent="0.3">
      <c r="A1052" s="72" t="str">
        <f>+IF(PROVEEDORES[[#This Row],[FECHA DE PAGO]]=PROVEEDORES[[#This Row],[FECHA DE FACTURACIÓN]],"DE CONTADO","CRÉDITO")</f>
        <v>CRÉDITO</v>
      </c>
      <c r="B1052" s="38" t="b">
        <f>+IF((PROVEEDORES[[#This Row],[FECHA DE PAGO]]-PROVEEDORES[[#This Row],[FECHA DE FACTURACIÓN]])&gt;PROVEEDORES[[#This Row],[PLAZO Días]],"PAGO VENCIDO")</f>
        <v>0</v>
      </c>
      <c r="C1052" s="20">
        <f>+VLOOKUP(PROVEEDORES[[#This Row],[PROVEEDOR]],TERCEROS_INFO[#All],2,FALSE)</f>
        <v>13</v>
      </c>
      <c r="D1052" s="25">
        <f>+SUMIFS(PROVEEDORES[Total],PROVEEDORES[PROVEEDOR],PROVEEDORES[[#This Row],[PROVEEDOR]],PROVEEDORES[FECHA DE PAGO],"")</f>
        <v>0</v>
      </c>
      <c r="E1052" s="25"/>
      <c r="F1052" s="58">
        <f>+VLOOKUP(PROVEEDORES[[#This Row],[PROVEEDOR]],
                       Terceros!$A:$F,
                       5,
                       FALSE)</f>
        <v>0</v>
      </c>
      <c r="G1052" s="161">
        <v>44691</v>
      </c>
      <c r="H1052" s="26" t="s">
        <v>934</v>
      </c>
      <c r="I1052" s="161">
        <v>44682</v>
      </c>
      <c r="J1052" s="35"/>
      <c r="K1052" s="21">
        <v>948924</v>
      </c>
      <c r="L1052" s="21"/>
      <c r="M1052" s="22">
        <f>(PROVEEDORES[[#This Row],[SUBTOTAL]]-PROVEEDORES[[#This Row],[descuento sobre subtotal]])*VLOOKUP(PROVEEDORES[[#This Row],[PROVEEDOR]],TERCEROS_INFO[#All],3,FALSE)</f>
        <v>0</v>
      </c>
      <c r="N1052" s="23"/>
      <c r="O1052" s="22">
        <f>+PROVEEDORES[[#This Row],[Descuento sobre subtotal %]]*(PROVEEDORES[[#This Row],[SUBTOTAL]]-PROVEEDORES[[#This Row],[descuento sobre subtotal]])</f>
        <v>0</v>
      </c>
      <c r="P1052" s="83">
        <f>+IF(PROVEEDORES[[#This Row],[SUBTOTAL]]&lt;PROVEEDORES[[#This Row],[base retencion]],0,PROVEEDORES[[#This Row],[retención aplicada]])</f>
        <v>0</v>
      </c>
      <c r="Q1052" s="22">
        <f>+PROVEEDORES[[#This Row],[Rete Fuente %]]*(PROVEEDORES[[#This Row],[SUBTOTAL]]-PROVEEDORES[[#This Row],[descuento sobre subtotal]])</f>
        <v>0</v>
      </c>
      <c r="R1052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05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68">
        <f ca="1">IF(PROVEEDORES[[#This Row],[FECHA DE PAGO]]=0,TODAY()-PROVEEDORES[[#This Row],[FECHA DE FACTURACIÓN]]-PROVEEDORES[[#This Row],[PLAZO Días]],0)</f>
        <v>0</v>
      </c>
      <c r="U1052" s="113">
        <f>+VLOOKUP(PROVEEDORES[[#This Row],[PROVEEDOR]],Terceros!$A:$D,4,FALSE)</f>
        <v>0</v>
      </c>
      <c r="V1052" s="114">
        <f>+YEAR(PROVEEDORES[[#This Row],[FECHA DE FACTURACIÓN]])</f>
        <v>2022</v>
      </c>
      <c r="W1052" s="114">
        <f>+MATCH(PROVEEDORES[[#This Row],[año facturado]],Retenciones!$1:$1,0)</f>
        <v>5</v>
      </c>
      <c r="X1052" s="115">
        <f>+VLOOKUP(PROVEEDORES[[#This Row],[ID RETENCION]],Retenciones!$A$1:$O$25,PROVEEDORES[[#This Row],[indicador de columna]],FALSE)</f>
        <v>0</v>
      </c>
      <c r="Y1052" s="116">
        <f>+VLOOKUP(PROVEEDORES[[#This Row],[ID RETENCION]],Retenciones!$A$1:$O$25,2,FALSE)</f>
        <v>0</v>
      </c>
      <c r="Z1052" s="125" t="b">
        <f>OR(COUNTIF(PROVEEDORES[[#This Row],[PROVEEDOR]],"*"&amp;'Palabra no opera'!$A$2&amp;"*"))</f>
        <v>1</v>
      </c>
      <c r="AA1052" s="24"/>
      <c r="AB1052" s="24"/>
      <c r="AC1052" s="24"/>
      <c r="AD1052" s="24"/>
      <c r="AE1052" s="24"/>
    </row>
    <row r="1053" spans="1:31" ht="22.2" customHeight="1" x14ac:dyDescent="0.3">
      <c r="A1053" s="157" t="str">
        <f>+IF(PROVEEDORES[[#This Row],[FECHA DE PAGO]]=PROVEEDORES[[#This Row],[FECHA DE FACTURACIÓN]],"DE CONTADO","CRÉDITO")</f>
        <v>CRÉDITO</v>
      </c>
      <c r="B1053" s="38" t="b">
        <f>+IF((PROVEEDORES[[#This Row],[FECHA DE PAGO]]-PROVEEDORES[[#This Row],[FECHA DE FACTURACIÓN]])&gt;PROVEEDORES[[#This Row],[PLAZO Días]],"PAGO VENCIDO")</f>
        <v>0</v>
      </c>
      <c r="C1053" s="20">
        <f>+VLOOKUP(PROVEEDORES[[#This Row],[PROVEEDOR]],TERCEROS_INFO[#All],2,FALSE)</f>
        <v>13</v>
      </c>
      <c r="D1053" s="25">
        <f>+SUMIFS(PROVEEDORES[Total],PROVEEDORES[PROVEEDOR],PROVEEDORES[[#This Row],[PROVEEDOR]],PROVEEDORES[FECHA DE PAGO],"")</f>
        <v>0</v>
      </c>
      <c r="E1053" s="25"/>
      <c r="F1053" s="58">
        <f>+VLOOKUP(PROVEEDORES[[#This Row],[PROVEEDOR]],
                       Terceros!$A:$F,
                       5,
                       FALSE)</f>
        <v>0</v>
      </c>
      <c r="G1053" s="161">
        <v>44725</v>
      </c>
      <c r="H1053" s="26" t="s">
        <v>934</v>
      </c>
      <c r="I1053" s="161">
        <v>44713</v>
      </c>
      <c r="J1053" s="35"/>
      <c r="K1053" s="21">
        <v>948924</v>
      </c>
      <c r="L1053" s="21"/>
      <c r="M1053" s="22">
        <f>(PROVEEDORES[[#This Row],[SUBTOTAL]]-PROVEEDORES[[#This Row],[descuento sobre subtotal]])*VLOOKUP(PROVEEDORES[[#This Row],[PROVEEDOR]],TERCEROS_INFO[#All],3,FALSE)</f>
        <v>0</v>
      </c>
      <c r="N1053" s="23"/>
      <c r="O1053" s="22">
        <f>+PROVEEDORES[[#This Row],[Descuento sobre subtotal %]]*(PROVEEDORES[[#This Row],[SUBTOTAL]]-PROVEEDORES[[#This Row],[descuento sobre subtotal]])</f>
        <v>0</v>
      </c>
      <c r="P1053" s="83">
        <f>+IF(PROVEEDORES[[#This Row],[SUBTOTAL]]&lt;PROVEEDORES[[#This Row],[base retencion]],0,PROVEEDORES[[#This Row],[retención aplicada]])</f>
        <v>0</v>
      </c>
      <c r="Q1053" s="22">
        <f>+PROVEEDORES[[#This Row],[Rete Fuente %]]*(PROVEEDORES[[#This Row],[SUBTOTAL]]-PROVEEDORES[[#This Row],[descuento sobre subtotal]])</f>
        <v>0</v>
      </c>
      <c r="R1053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053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68">
        <f ca="1">IF(PROVEEDORES[[#This Row],[FECHA DE PAGO]]=0,TODAY()-PROVEEDORES[[#This Row],[FECHA DE FACTURACIÓN]]-PROVEEDORES[[#This Row],[PLAZO Días]],0)</f>
        <v>0</v>
      </c>
      <c r="U1053" s="113">
        <f>+VLOOKUP(PROVEEDORES[[#This Row],[PROVEEDOR]],Terceros!$A:$D,4,FALSE)</f>
        <v>0</v>
      </c>
      <c r="V1053" s="114">
        <f>+YEAR(PROVEEDORES[[#This Row],[FECHA DE FACTURACIÓN]])</f>
        <v>2022</v>
      </c>
      <c r="W1053" s="114">
        <f>+MATCH(PROVEEDORES[[#This Row],[año facturado]],Retenciones!$1:$1,0)</f>
        <v>5</v>
      </c>
      <c r="X1053" s="115">
        <f>+VLOOKUP(PROVEEDORES[[#This Row],[ID RETENCION]],Retenciones!$A$1:$O$25,PROVEEDORES[[#This Row],[indicador de columna]],FALSE)</f>
        <v>0</v>
      </c>
      <c r="Y1053" s="116">
        <f>+VLOOKUP(PROVEEDORES[[#This Row],[ID RETENCION]],Retenciones!$A$1:$O$25,2,FALSE)</f>
        <v>0</v>
      </c>
      <c r="Z1053" s="125" t="b">
        <f>OR(COUNTIF(PROVEEDORES[[#This Row],[PROVEEDOR]],"*"&amp;'Palabra no opera'!$A$2&amp;"*"))</f>
        <v>1</v>
      </c>
      <c r="AA1053" s="24"/>
      <c r="AB1053" s="24"/>
      <c r="AC1053" s="24"/>
      <c r="AD1053" s="24"/>
      <c r="AE1053" s="24"/>
    </row>
    <row r="1054" spans="1:31" ht="22.2" customHeight="1" x14ac:dyDescent="0.3">
      <c r="A1054" s="66" t="str">
        <f>+IF(PROVEEDORES[[#This Row],[FECHA DE PAGO]]=PROVEEDORES[[#This Row],[FECHA DE FACTURACIÓN]],"DE CONTADO","CRÉDITO")</f>
        <v>CRÉDITO</v>
      </c>
      <c r="B1054" s="38" t="str">
        <f>+IF((PROVEEDORES[[#This Row],[FECHA DE PAGO]]-PROVEEDORES[[#This Row],[FECHA DE FACTURACIÓN]])&gt;PROVEEDORES[[#This Row],[PLAZO Días]],"PAGO VENCIDO")</f>
        <v>PAGO VENCIDO</v>
      </c>
      <c r="C1054" s="20">
        <f>+VLOOKUP(PROVEEDORES[[#This Row],[PROVEEDOR]],TERCEROS_INFO[#All],2,FALSE)</f>
        <v>45</v>
      </c>
      <c r="D1054" s="25">
        <f>+SUMIFS(PROVEEDORES[Total],PROVEEDORES[PROVEEDOR],PROVEEDORES[[#This Row],[PROVEEDOR]],PROVEEDORES[FECHA DE PAGO],"")</f>
        <v>2604910</v>
      </c>
      <c r="E1054" s="25"/>
      <c r="F105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54" s="161">
        <v>44319</v>
      </c>
      <c r="H1054" s="26" t="s">
        <v>10</v>
      </c>
      <c r="I1054" s="161">
        <v>44235</v>
      </c>
      <c r="J1054" s="35" t="s">
        <v>181</v>
      </c>
      <c r="K1054" s="21">
        <v>798000</v>
      </c>
      <c r="L1054" s="21"/>
      <c r="M1054" s="22">
        <f>(PROVEEDORES[[#This Row],[SUBTOTAL]]-PROVEEDORES[[#This Row],[descuento sobre subtotal]])*VLOOKUP(PROVEEDORES[[#This Row],[PROVEEDOR]],TERCEROS_INFO[#All],3,FALSE)</f>
        <v>151620</v>
      </c>
      <c r="N1054" s="23"/>
      <c r="O1054" s="22">
        <f>+PROVEEDORES[[#This Row],[Descuento sobre subtotal %]]*(PROVEEDORES[[#This Row],[SUBTOTAL]]-PROVEEDORES[[#This Row],[descuento sobre subtotal]])</f>
        <v>0</v>
      </c>
      <c r="P1054" s="83">
        <f>+IF(PROVEEDORES[[#This Row],[SUBTOTAL]]&lt;PROVEEDORES[[#This Row],[base retencion]],0,PROVEEDORES[[#This Row],[retención aplicada]])</f>
        <v>0</v>
      </c>
      <c r="Q1054" s="22">
        <f>+PROVEEDORES[[#This Row],[Rete Fuente %]]*(PROVEEDORES[[#This Row],[SUBTOTAL]]-PROVEEDORES[[#This Row],[descuento sobre subtotal]])</f>
        <v>0</v>
      </c>
      <c r="R1054" s="21">
        <f>+PROVEEDORES[[#This Row],[SUBTOTAL]]+PROVEEDORES[[#This Row],[IVA 19%]]-PROVEEDORES[[#This Row],[descuento sobre subtotal]]-PROVEEDORES[[#This Row],[Descuento sobre subtotal $2]]-PROVEEDORES[[#This Row],[Rete Fuente $]]</f>
        <v>949620</v>
      </c>
      <c r="S10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68">
        <f ca="1">IF(PROVEEDORES[[#This Row],[FECHA DE PAGO]]=0,TODAY()-PROVEEDORES[[#This Row],[FECHA DE FACTURACIÓN]]-PROVEEDORES[[#This Row],[PLAZO Días]],0)</f>
        <v>0</v>
      </c>
      <c r="U1054" s="96">
        <f>+VLOOKUP(PROVEEDORES[[#This Row],[PROVEEDOR]],Terceros!$A:$D,4,FALSE)</f>
        <v>0</v>
      </c>
      <c r="V1054" s="97">
        <f>+YEAR(PROVEEDORES[[#This Row],[FECHA DE FACTURACIÓN]])</f>
        <v>2021</v>
      </c>
      <c r="W1054" s="97">
        <f>+MATCH(PROVEEDORES[[#This Row],[año facturado]],Retenciones!$1:$1,0)</f>
        <v>4</v>
      </c>
      <c r="X1054" s="98">
        <f>+VLOOKUP(PROVEEDORES[[#This Row],[ID RETENCION]],Retenciones!$A$1:$O$25,PROVEEDORES[[#This Row],[indicador de columna]],FALSE)</f>
        <v>0</v>
      </c>
      <c r="Y1054" s="99">
        <f>+VLOOKUP(PROVEEDORES[[#This Row],[ID RETENCION]],Retenciones!$A$1:$O$25,2,FALSE)</f>
        <v>0</v>
      </c>
      <c r="Z1054" s="125" t="b">
        <f>OR(COUNTIF(PROVEEDORES[[#This Row],[PROVEEDOR]],"*"&amp;'Palabra no opera'!$A$2&amp;"*"))</f>
        <v>0</v>
      </c>
      <c r="AA1054" s="24"/>
      <c r="AB1054" s="24"/>
      <c r="AC1054" s="24"/>
      <c r="AD1054" s="24"/>
      <c r="AE1054" s="24"/>
    </row>
    <row r="1055" spans="1:31" ht="22.2" customHeight="1" x14ac:dyDescent="0.3">
      <c r="A1055" s="66" t="str">
        <f>+IF(PROVEEDORES[[#This Row],[FECHA DE PAGO]]=PROVEEDORES[[#This Row],[FECHA DE FACTURACIÓN]],"DE CONTADO","CRÉDITO")</f>
        <v>CRÉDITO</v>
      </c>
      <c r="B1055" s="38" t="str">
        <f>+IF((PROVEEDORES[[#This Row],[FECHA DE PAGO]]-PROVEEDORES[[#This Row],[FECHA DE FACTURACIÓN]])&gt;PROVEEDORES[[#This Row],[PLAZO Días]],"PAGO VENCIDO")</f>
        <v>PAGO VENCIDO</v>
      </c>
      <c r="C1055" s="20">
        <f>+VLOOKUP(PROVEEDORES[[#This Row],[PROVEEDOR]],TERCEROS_INFO[#All],2,FALSE)</f>
        <v>45</v>
      </c>
      <c r="D1055" s="25">
        <f>+SUMIFS(PROVEEDORES[Total],PROVEEDORES[PROVEEDOR],PROVEEDORES[[#This Row],[PROVEEDOR]],PROVEEDORES[FECHA DE PAGO],"")</f>
        <v>2604910</v>
      </c>
      <c r="E1055" s="25"/>
      <c r="F105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55" s="161">
        <v>44442</v>
      </c>
      <c r="H1055" s="26" t="s">
        <v>10</v>
      </c>
      <c r="I1055" s="161">
        <v>44389</v>
      </c>
      <c r="J1055" s="35" t="s">
        <v>383</v>
      </c>
      <c r="K1055" s="21">
        <v>798000</v>
      </c>
      <c r="L1055" s="21"/>
      <c r="M1055" s="22">
        <f>(PROVEEDORES[[#This Row],[SUBTOTAL]]-PROVEEDORES[[#This Row],[descuento sobre subtotal]])*VLOOKUP(PROVEEDORES[[#This Row],[PROVEEDOR]],TERCEROS_INFO[#All],3,FALSE)</f>
        <v>151620</v>
      </c>
      <c r="N1055" s="23"/>
      <c r="O1055" s="22">
        <f>+PROVEEDORES[[#This Row],[Descuento sobre subtotal %]]*(PROVEEDORES[[#This Row],[SUBTOTAL]]-PROVEEDORES[[#This Row],[descuento sobre subtotal]])</f>
        <v>0</v>
      </c>
      <c r="P1055" s="83">
        <f>+IF(PROVEEDORES[[#This Row],[SUBTOTAL]]&lt;PROVEEDORES[[#This Row],[base retencion]],0,PROVEEDORES[[#This Row],[retención aplicada]])</f>
        <v>0</v>
      </c>
      <c r="Q1055" s="22">
        <f>+PROVEEDORES[[#This Row],[Rete Fuente %]]*(PROVEEDORES[[#This Row],[SUBTOTAL]]-PROVEEDORES[[#This Row],[descuento sobre subtotal]])</f>
        <v>0</v>
      </c>
      <c r="R1055" s="21">
        <f>+PROVEEDORES[[#This Row],[SUBTOTAL]]+PROVEEDORES[[#This Row],[IVA 19%]]-PROVEEDORES[[#This Row],[descuento sobre subtotal]]-PROVEEDORES[[#This Row],[Descuento sobre subtotal $2]]-PROVEEDORES[[#This Row],[Rete Fuente $]]</f>
        <v>949620</v>
      </c>
      <c r="S10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68">
        <f ca="1">IF(PROVEEDORES[[#This Row],[FECHA DE PAGO]]=0,TODAY()-PROVEEDORES[[#This Row],[FECHA DE FACTURACIÓN]]-PROVEEDORES[[#This Row],[PLAZO Días]],0)</f>
        <v>0</v>
      </c>
      <c r="U1055" s="96">
        <f>+VLOOKUP(PROVEEDORES[[#This Row],[PROVEEDOR]],Terceros!$A:$D,4,FALSE)</f>
        <v>0</v>
      </c>
      <c r="V1055" s="97">
        <f>+YEAR(PROVEEDORES[[#This Row],[FECHA DE FACTURACIÓN]])</f>
        <v>2021</v>
      </c>
      <c r="W1055" s="97">
        <f>+MATCH(PROVEEDORES[[#This Row],[año facturado]],Retenciones!$1:$1,0)</f>
        <v>4</v>
      </c>
      <c r="X1055" s="98">
        <f>+VLOOKUP(PROVEEDORES[[#This Row],[ID RETENCION]],Retenciones!$A$1:$O$25,PROVEEDORES[[#This Row],[indicador de columna]],FALSE)</f>
        <v>0</v>
      </c>
      <c r="Y1055" s="99">
        <f>+VLOOKUP(PROVEEDORES[[#This Row],[ID RETENCION]],Retenciones!$A$1:$O$25,2,FALSE)</f>
        <v>0</v>
      </c>
      <c r="Z1055" s="125" t="b">
        <f>OR(COUNTIF(PROVEEDORES[[#This Row],[PROVEEDOR]],"*"&amp;'Palabra no opera'!$A$2&amp;"*"))</f>
        <v>0</v>
      </c>
      <c r="AA1055" s="24"/>
      <c r="AB1055" s="24"/>
      <c r="AC1055" s="24"/>
      <c r="AD1055" s="24"/>
      <c r="AE1055" s="24"/>
    </row>
    <row r="1056" spans="1:31" ht="22.2" customHeight="1" x14ac:dyDescent="0.3">
      <c r="A1056" s="66" t="str">
        <f>+IF(PROVEEDORES[[#This Row],[FECHA DE PAGO]]=PROVEEDORES[[#This Row],[FECHA DE FACTURACIÓN]],"DE CONTADO","CRÉDITO")</f>
        <v>CRÉDITO</v>
      </c>
      <c r="B1056" s="38" t="str">
        <f>+IF((PROVEEDORES[[#This Row],[FECHA DE PAGO]]-PROVEEDORES[[#This Row],[FECHA DE FACTURACIÓN]])&gt;PROVEEDORES[[#This Row],[PLAZO Días]],"PAGO VENCIDO")</f>
        <v>PAGO VENCIDO</v>
      </c>
      <c r="C1056" s="20">
        <f>+VLOOKUP(PROVEEDORES[[#This Row],[PROVEEDOR]],TERCEROS_INFO[#All],2,FALSE)</f>
        <v>45</v>
      </c>
      <c r="D1056" s="25">
        <f>+SUMIFS(PROVEEDORES[Total],PROVEEDORES[PROVEEDOR],PROVEEDORES[[#This Row],[PROVEEDOR]],PROVEEDORES[FECHA DE PAGO],"")</f>
        <v>2604910</v>
      </c>
      <c r="E1056" s="25"/>
      <c r="F105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56" s="161">
        <v>44229</v>
      </c>
      <c r="H1056" s="26" t="s">
        <v>10</v>
      </c>
      <c r="I1056" s="161">
        <v>44169</v>
      </c>
      <c r="J1056" s="35" t="s">
        <v>85</v>
      </c>
      <c r="K1056" s="21">
        <v>800000</v>
      </c>
      <c r="L1056" s="21"/>
      <c r="M1056" s="22">
        <f>(PROVEEDORES[[#This Row],[SUBTOTAL]]-PROVEEDORES[[#This Row],[descuento sobre subtotal]])*VLOOKUP(PROVEEDORES[[#This Row],[PROVEEDOR]],TERCEROS_INFO[#All],3,FALSE)</f>
        <v>152000</v>
      </c>
      <c r="N1056" s="23"/>
      <c r="O1056" s="22">
        <f>+PROVEEDORES[[#This Row],[Descuento sobre subtotal %]]*(PROVEEDORES[[#This Row],[SUBTOTAL]]-PROVEEDORES[[#This Row],[descuento sobre subtotal]])</f>
        <v>0</v>
      </c>
      <c r="P1056" s="83">
        <f>+IF(PROVEEDORES[[#This Row],[SUBTOTAL]]&lt;PROVEEDORES[[#This Row],[base retencion]],0,PROVEEDORES[[#This Row],[retención aplicada]])</f>
        <v>0</v>
      </c>
      <c r="Q1056" s="22">
        <f>+PROVEEDORES[[#This Row],[Rete Fuente %]]*(PROVEEDORES[[#This Row],[SUBTOTAL]]-PROVEEDORES[[#This Row],[descuento sobre subtotal]])</f>
        <v>0</v>
      </c>
      <c r="R1056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10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68">
        <f ca="1">IF(PROVEEDORES[[#This Row],[FECHA DE PAGO]]=0,TODAY()-PROVEEDORES[[#This Row],[FECHA DE FACTURACIÓN]]-PROVEEDORES[[#This Row],[PLAZO Días]],0)</f>
        <v>0</v>
      </c>
      <c r="U1056" s="96">
        <f>+VLOOKUP(PROVEEDORES[[#This Row],[PROVEEDOR]],Terceros!$A:$D,4,FALSE)</f>
        <v>0</v>
      </c>
      <c r="V1056" s="97">
        <f>+YEAR(PROVEEDORES[[#This Row],[FECHA DE FACTURACIÓN]])</f>
        <v>2020</v>
      </c>
      <c r="W1056" s="97">
        <f>+MATCH(PROVEEDORES[[#This Row],[año facturado]],Retenciones!$1:$1,0)</f>
        <v>3</v>
      </c>
      <c r="X1056" s="98">
        <f>+VLOOKUP(PROVEEDORES[[#This Row],[ID RETENCION]],Retenciones!$A$1:$O$25,PROVEEDORES[[#This Row],[indicador de columna]],FALSE)</f>
        <v>0</v>
      </c>
      <c r="Y1056" s="99">
        <f>+VLOOKUP(PROVEEDORES[[#This Row],[ID RETENCION]],Retenciones!$A$1:$O$25,2,FALSE)</f>
        <v>0</v>
      </c>
      <c r="Z1056" s="125" t="b">
        <f>OR(COUNTIF(PROVEEDORES[[#This Row],[PROVEEDOR]],"*"&amp;'Palabra no opera'!$A$2&amp;"*"))</f>
        <v>0</v>
      </c>
      <c r="AA1056" s="24"/>
      <c r="AB1056" s="24"/>
      <c r="AC1056" s="24"/>
      <c r="AD1056" s="24"/>
      <c r="AE1056" s="24"/>
    </row>
    <row r="1057" spans="1:31" ht="22.2" customHeight="1" x14ac:dyDescent="0.3">
      <c r="A1057" s="66" t="str">
        <f>+IF(PROVEEDORES[[#This Row],[FECHA DE PAGO]]=PROVEEDORES[[#This Row],[FECHA DE FACTURACIÓN]],"DE CONTADO","CRÉDITO")</f>
        <v>CRÉDITO</v>
      </c>
      <c r="B1057" s="38" t="str">
        <f>+IF((PROVEEDORES[[#This Row],[FECHA DE PAGO]]-PROVEEDORES[[#This Row],[FECHA DE FACTURACIÓN]])&gt;PROVEEDORES[[#This Row],[PLAZO Días]],"PAGO VENCIDO")</f>
        <v>PAGO VENCIDO</v>
      </c>
      <c r="C1057" s="20">
        <f>+VLOOKUP(PROVEEDORES[[#This Row],[PROVEEDOR]],TERCEROS_INFO[#All],2,FALSE)</f>
        <v>45</v>
      </c>
      <c r="D1057" s="25">
        <f>+SUMIFS(PROVEEDORES[Total],PROVEEDORES[PROVEEDOR],PROVEEDORES[[#This Row],[PROVEEDOR]],PROVEEDORES[FECHA DE PAGO],"")</f>
        <v>2604910</v>
      </c>
      <c r="E1057" s="25"/>
      <c r="F105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57" s="161">
        <v>44257</v>
      </c>
      <c r="H1057" s="26" t="s">
        <v>10</v>
      </c>
      <c r="I1057" s="161">
        <v>44187</v>
      </c>
      <c r="J1057" s="35" t="s">
        <v>89</v>
      </c>
      <c r="K1057" s="21">
        <v>800000</v>
      </c>
      <c r="L1057" s="21"/>
      <c r="M1057" s="22">
        <f>(PROVEEDORES[[#This Row],[SUBTOTAL]]-PROVEEDORES[[#This Row],[descuento sobre subtotal]])*VLOOKUP(PROVEEDORES[[#This Row],[PROVEEDOR]],TERCEROS_INFO[#All],3,FALSE)</f>
        <v>152000</v>
      </c>
      <c r="N1057" s="23"/>
      <c r="O1057" s="22">
        <f>+PROVEEDORES[[#This Row],[Descuento sobre subtotal %]]*(PROVEEDORES[[#This Row],[SUBTOTAL]]-PROVEEDORES[[#This Row],[descuento sobre subtotal]])</f>
        <v>0</v>
      </c>
      <c r="P1057" s="83">
        <f>+IF(PROVEEDORES[[#This Row],[SUBTOTAL]]&lt;PROVEEDORES[[#This Row],[base retencion]],0,PROVEEDORES[[#This Row],[retención aplicada]])</f>
        <v>0</v>
      </c>
      <c r="Q1057" s="22">
        <f>+PROVEEDORES[[#This Row],[Rete Fuente %]]*(PROVEEDORES[[#This Row],[SUBTOTAL]]-PROVEEDORES[[#This Row],[descuento sobre subtotal]])</f>
        <v>0</v>
      </c>
      <c r="R1057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10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68">
        <f ca="1">IF(PROVEEDORES[[#This Row],[FECHA DE PAGO]]=0,TODAY()-PROVEEDORES[[#This Row],[FECHA DE FACTURACIÓN]]-PROVEEDORES[[#This Row],[PLAZO Días]],0)</f>
        <v>0</v>
      </c>
      <c r="U1057" s="96">
        <f>+VLOOKUP(PROVEEDORES[[#This Row],[PROVEEDOR]],Terceros!$A:$D,4,FALSE)</f>
        <v>0</v>
      </c>
      <c r="V1057" s="97">
        <f>+YEAR(PROVEEDORES[[#This Row],[FECHA DE FACTURACIÓN]])</f>
        <v>2020</v>
      </c>
      <c r="W1057" s="97">
        <f>+MATCH(PROVEEDORES[[#This Row],[año facturado]],Retenciones!$1:$1,0)</f>
        <v>3</v>
      </c>
      <c r="X1057" s="98">
        <f>+VLOOKUP(PROVEEDORES[[#This Row],[ID RETENCION]],Retenciones!$A$1:$O$25,PROVEEDORES[[#This Row],[indicador de columna]],FALSE)</f>
        <v>0</v>
      </c>
      <c r="Y1057" s="99">
        <f>+VLOOKUP(PROVEEDORES[[#This Row],[ID RETENCION]],Retenciones!$A$1:$O$25,2,FALSE)</f>
        <v>0</v>
      </c>
      <c r="Z1057" s="125" t="b">
        <f>OR(COUNTIF(PROVEEDORES[[#This Row],[PROVEEDOR]],"*"&amp;'Palabra no opera'!$A$2&amp;"*"))</f>
        <v>0</v>
      </c>
      <c r="AA1057" s="24"/>
      <c r="AB1057" s="24"/>
      <c r="AC1057" s="24"/>
      <c r="AD1057" s="24"/>
      <c r="AE1057" s="24"/>
    </row>
    <row r="1058" spans="1:31" ht="22.2" customHeight="1" x14ac:dyDescent="0.3">
      <c r="A1058" s="66" t="str">
        <f>+IF(PROVEEDORES[[#This Row],[FECHA DE PAGO]]=PROVEEDORES[[#This Row],[FECHA DE FACTURACIÓN]],"DE CONTADO","CRÉDITO")</f>
        <v>CRÉDITO</v>
      </c>
      <c r="B1058" s="38" t="str">
        <f>+IF((PROVEEDORES[[#This Row],[FECHA DE PAGO]]-PROVEEDORES[[#This Row],[FECHA DE FACTURACIÓN]])&gt;PROVEEDORES[[#This Row],[PLAZO Días]],"PAGO VENCIDO")</f>
        <v>PAGO VENCIDO</v>
      </c>
      <c r="C1058" s="20">
        <f>+VLOOKUP(PROVEEDORES[[#This Row],[PROVEEDOR]],TERCEROS_INFO[#All],2,FALSE)</f>
        <v>30</v>
      </c>
      <c r="D1058" s="25">
        <f>+SUMIFS(PROVEEDORES[Total],PROVEEDORES[PROVEEDOR],PROVEEDORES[[#This Row],[PROVEEDOR]],PROVEEDORES[FECHA DE PAGO],"")</f>
        <v>0</v>
      </c>
      <c r="E1058" s="25"/>
      <c r="F105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58" s="161">
        <v>44662</v>
      </c>
      <c r="H1058" s="26" t="s">
        <v>24</v>
      </c>
      <c r="I1058" s="161">
        <v>44623</v>
      </c>
      <c r="J1058" s="35" t="s">
        <v>750</v>
      </c>
      <c r="K1058" s="21">
        <v>806050</v>
      </c>
      <c r="L1058" s="21"/>
      <c r="M1058" s="22">
        <v>153149.5</v>
      </c>
      <c r="N1058" s="23"/>
      <c r="O1058" s="22">
        <v>0</v>
      </c>
      <c r="P1058" s="83">
        <f>+IF(PROVEEDORES[[#This Row],[SUBTOTAL]]&lt;PROVEEDORES[[#This Row],[base retencion]],0,PROVEEDORES[[#This Row],[retención aplicada]])</f>
        <v>0</v>
      </c>
      <c r="Q1058" s="22">
        <f>+PROVEEDORES[[#This Row],[Rete Fuente %]]*(PROVEEDORES[[#This Row],[SUBTOTAL]]-PROVEEDORES[[#This Row],[descuento sobre subtotal]])</f>
        <v>0</v>
      </c>
      <c r="R1058" s="21">
        <v>959199.5</v>
      </c>
      <c r="S10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68">
        <f ca="1">IF(PROVEEDORES[[#This Row],[FECHA DE PAGO]]=0,TODAY()-PROVEEDORES[[#This Row],[FECHA DE FACTURACIÓN]]-PROVEEDORES[[#This Row],[PLAZO Días]],0)</f>
        <v>0</v>
      </c>
      <c r="U1058" s="96" t="str">
        <f>+VLOOKUP(PROVEEDORES[[#This Row],[PROVEEDOR]],Terceros!$A:$D,4,FALSE)</f>
        <v>2,5% con base</v>
      </c>
      <c r="V1058" s="97">
        <f>+YEAR(PROVEEDORES[[#This Row],[FECHA DE FACTURACIÓN]])</f>
        <v>2022</v>
      </c>
      <c r="W1058" s="97">
        <f>+MATCH(PROVEEDORES[[#This Row],[año facturado]],Retenciones!$1:$1,0)</f>
        <v>5</v>
      </c>
      <c r="X1058" s="98">
        <f>+VLOOKUP(PROVEEDORES[[#This Row],[ID RETENCION]],Retenciones!$A$1:$O$25,PROVEEDORES[[#This Row],[indicador de columna]],FALSE)</f>
        <v>1026000</v>
      </c>
      <c r="Y1058" s="99">
        <f>+VLOOKUP(PROVEEDORES[[#This Row],[ID RETENCION]],Retenciones!$A$1:$O$25,2,FALSE)</f>
        <v>2.5000000000000001E-2</v>
      </c>
      <c r="Z1058" s="125" t="b">
        <f>OR(COUNTIF(PROVEEDORES[[#This Row],[PROVEEDOR]],"*"&amp;'Palabra no opera'!$A$2&amp;"*"))</f>
        <v>0</v>
      </c>
      <c r="AA1058" s="24"/>
      <c r="AB1058" s="24"/>
      <c r="AC1058" s="24"/>
      <c r="AD1058" s="24"/>
      <c r="AE1058" s="24"/>
    </row>
    <row r="1059" spans="1:31" ht="22.2" customHeight="1" x14ac:dyDescent="0.3">
      <c r="A1059" s="159" t="str">
        <f>+IF(PROVEEDORES[[#This Row],[FECHA DE PAGO]]=PROVEEDORES[[#This Row],[FECHA DE FACTURACIÓN]],"DE CONTADO","CRÉDITO")</f>
        <v>CRÉDITO</v>
      </c>
      <c r="B1059" s="38" t="str">
        <f>+IF((PROVEEDORES[[#This Row],[FECHA DE PAGO]]-PROVEEDORES[[#This Row],[FECHA DE FACTURACIÓN]])&gt;PROVEEDORES[[#This Row],[PLAZO Días]],"PAGO VENCIDO")</f>
        <v>PAGO VENCIDO</v>
      </c>
      <c r="C1059" s="20">
        <f>+VLOOKUP(PROVEEDORES[[#This Row],[PROVEEDOR]],TERCEROS_INFO[#All],2,FALSE)</f>
        <v>30</v>
      </c>
      <c r="D1059" s="25">
        <f>+SUMIFS(PROVEEDORES[Total],PROVEEDORES[PROVEEDOR],PROVEEDORES[[#This Row],[PROVEEDOR]],PROVEEDORES[FECHA DE PAGO],"")</f>
        <v>0</v>
      </c>
      <c r="E1059" s="25"/>
      <c r="F105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59" s="161">
        <v>44774</v>
      </c>
      <c r="H1059" s="26" t="s">
        <v>24</v>
      </c>
      <c r="I1059" s="161">
        <v>44722</v>
      </c>
      <c r="J1059" s="35" t="s">
        <v>1063</v>
      </c>
      <c r="K1059" s="21">
        <v>806050</v>
      </c>
      <c r="L1059" s="21"/>
      <c r="M1059" s="22">
        <f>(PROVEEDORES[[#This Row],[SUBTOTAL]]-PROVEEDORES[[#This Row],[descuento sobre subtotal]])*VLOOKUP(PROVEEDORES[[#This Row],[PROVEEDOR]],TERCEROS_INFO[#All],3,FALSE)</f>
        <v>153149.5</v>
      </c>
      <c r="N1059" s="23"/>
      <c r="O1059" s="22">
        <f>+PROVEEDORES[[#This Row],[Descuento sobre subtotal %]]*(PROVEEDORES[[#This Row],[SUBTOTAL]]-PROVEEDORES[[#This Row],[descuento sobre subtotal]])</f>
        <v>0</v>
      </c>
      <c r="P1059" s="83">
        <f>+IF(PROVEEDORES[[#This Row],[SUBTOTAL]]&lt;PROVEEDORES[[#This Row],[base retencion]],0,PROVEEDORES[[#This Row],[retención aplicada]])</f>
        <v>0</v>
      </c>
      <c r="Q1059" s="22">
        <f>+PROVEEDORES[[#This Row],[Rete Fuente %]]*(PROVEEDORES[[#This Row],[SUBTOTAL]]-PROVEEDORES[[#This Row],[descuento sobre subtotal]])</f>
        <v>0</v>
      </c>
      <c r="R1059" s="21">
        <f>+PROVEEDORES[[#This Row],[SUBTOTAL]]+PROVEEDORES[[#This Row],[IVA 19%]]-PROVEEDORES[[#This Row],[descuento sobre subtotal]]-PROVEEDORES[[#This Row],[Descuento sobre subtotal $2]]-PROVEEDORES[[#This Row],[Rete Fuente $]]</f>
        <v>959199.5</v>
      </c>
      <c r="S105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68">
        <f ca="1">IF(PROVEEDORES[[#This Row],[FECHA DE PAGO]]=0,TODAY()-PROVEEDORES[[#This Row],[FECHA DE FACTURACIÓN]]-PROVEEDORES[[#This Row],[PLAZO Días]],0)</f>
        <v>0</v>
      </c>
      <c r="U1059" s="113" t="str">
        <f>+VLOOKUP(PROVEEDORES[[#This Row],[PROVEEDOR]],Terceros!$A:$D,4,FALSE)</f>
        <v>2,5% con base</v>
      </c>
      <c r="V1059" s="114">
        <f>+YEAR(PROVEEDORES[[#This Row],[FECHA DE FACTURACIÓN]])</f>
        <v>2022</v>
      </c>
      <c r="W1059" s="114">
        <f>+MATCH(PROVEEDORES[[#This Row],[año facturado]],Retenciones!$1:$1,0)</f>
        <v>5</v>
      </c>
      <c r="X1059" s="115">
        <f>+VLOOKUP(PROVEEDORES[[#This Row],[ID RETENCION]],Retenciones!$A$1:$O$25,PROVEEDORES[[#This Row],[indicador de columna]],FALSE)</f>
        <v>1026000</v>
      </c>
      <c r="Y1059" s="116">
        <f>+VLOOKUP(PROVEEDORES[[#This Row],[ID RETENCION]],Retenciones!$A$1:$O$25,2,FALSE)</f>
        <v>2.5000000000000001E-2</v>
      </c>
      <c r="Z1059" s="125" t="b">
        <f>OR(COUNTIF(PROVEEDORES[[#This Row],[PROVEEDOR]],"*"&amp;'Palabra no opera'!$A$2&amp;"*"))</f>
        <v>0</v>
      </c>
      <c r="AA1059" s="24"/>
      <c r="AB1059" s="24"/>
      <c r="AC1059" s="24"/>
      <c r="AD1059" s="24"/>
      <c r="AE1059" s="24"/>
    </row>
    <row r="1060" spans="1:31" ht="22.2" customHeight="1" x14ac:dyDescent="0.3">
      <c r="A1060" s="66" t="str">
        <f>+IF(PROVEEDORES[[#This Row],[FECHA DE PAGO]]=PROVEEDORES[[#This Row],[FECHA DE FACTURACIÓN]],"DE CONTADO","CRÉDITO")</f>
        <v>DE CONTADO</v>
      </c>
      <c r="B1060" s="38" t="b">
        <f>+IF((PROVEEDORES[[#This Row],[FECHA DE PAGO]]-PROVEEDORES[[#This Row],[FECHA DE FACTURACIÓN]])&gt;PROVEEDORES[[#This Row],[PLAZO Días]],"PAGO VENCIDO")</f>
        <v>0</v>
      </c>
      <c r="C1060" s="20">
        <f>+VLOOKUP(PROVEEDORES[[#This Row],[PROVEEDOR]],TERCEROS_INFO[#All],2,FALSE)</f>
        <v>30</v>
      </c>
      <c r="D1060" s="25">
        <f>+SUMIFS(PROVEEDORES[Total],PROVEEDORES[PROVEEDOR],PROVEEDORES[[#This Row],[PROVEEDOR]],PROVEEDORES[FECHA DE PAGO],"")</f>
        <v>0</v>
      </c>
      <c r="E1060" s="25"/>
      <c r="F1060" s="58">
        <f>+VLOOKUP(PROVEEDORES[[#This Row],[PROVEEDOR]],
                       Terceros!$A:$F,
                       5,
                       FALSE)</f>
        <v>0</v>
      </c>
      <c r="G1060" s="161">
        <v>44547</v>
      </c>
      <c r="H1060" s="26" t="s">
        <v>643</v>
      </c>
      <c r="I1060" s="161">
        <v>44547</v>
      </c>
      <c r="J1060" s="35" t="s">
        <v>1545</v>
      </c>
      <c r="K1060" s="21">
        <v>963000</v>
      </c>
      <c r="L1060" s="21"/>
      <c r="M1060" s="22">
        <f>(PROVEEDORES[[#This Row],[SUBTOTAL]]-PROVEEDORES[[#This Row],[descuento sobre subtotal]])*VLOOKUP(PROVEEDORES[[#This Row],[PROVEEDOR]],TERCEROS_INFO[#All],3,FALSE)</f>
        <v>0</v>
      </c>
      <c r="N1060" s="23"/>
      <c r="O1060" s="22">
        <f>+PROVEEDORES[[#This Row],[Descuento sobre subtotal %]]*(PROVEEDORES[[#This Row],[SUBTOTAL]]-PROVEEDORES[[#This Row],[descuento sobre subtotal]])</f>
        <v>0</v>
      </c>
      <c r="P1060" s="83">
        <f>+IF(PROVEEDORES[[#This Row],[SUBTOTAL]]&lt;PROVEEDORES[[#This Row],[base retencion]],0,PROVEEDORES[[#This Row],[retención aplicada]])</f>
        <v>0</v>
      </c>
      <c r="Q1060" s="22">
        <f>+PROVEEDORES[[#This Row],[Rete Fuente %]]*(PROVEEDORES[[#This Row],[SUBTOTAL]]-PROVEEDORES[[#This Row],[descuento sobre subtotal]])</f>
        <v>0</v>
      </c>
      <c r="R1060" s="21">
        <f>+PROVEEDORES[[#This Row],[SUBTOTAL]]+PROVEEDORES[[#This Row],[IVA 19%]]-PROVEEDORES[[#This Row],[descuento sobre subtotal]]-PROVEEDORES[[#This Row],[Descuento sobre subtotal $2]]-PROVEEDORES[[#This Row],[Rete Fuente $]]</f>
        <v>963000</v>
      </c>
      <c r="S10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68">
        <f ca="1">IF(PROVEEDORES[[#This Row],[FECHA DE PAGO]]=0,TODAY()-PROVEEDORES[[#This Row],[FECHA DE FACTURACIÓN]]-PROVEEDORES[[#This Row],[PLAZO Días]],0)</f>
        <v>0</v>
      </c>
      <c r="U1060" s="96">
        <f>+VLOOKUP(PROVEEDORES[[#This Row],[PROVEEDOR]],Terceros!$A:$D,4,FALSE)</f>
        <v>0</v>
      </c>
      <c r="V1060" s="97">
        <f>+YEAR(PROVEEDORES[[#This Row],[FECHA DE FACTURACIÓN]])</f>
        <v>2021</v>
      </c>
      <c r="W1060" s="97">
        <f>+MATCH(PROVEEDORES[[#This Row],[año facturado]],Retenciones!$1:$1,0)</f>
        <v>4</v>
      </c>
      <c r="X1060" s="98">
        <f>+VLOOKUP(PROVEEDORES[[#This Row],[ID RETENCION]],Retenciones!$A$1:$O$25,PROVEEDORES[[#This Row],[indicador de columna]],FALSE)</f>
        <v>0</v>
      </c>
      <c r="Y1060" s="99">
        <f>+VLOOKUP(PROVEEDORES[[#This Row],[ID RETENCION]],Retenciones!$A$1:$O$25,2,FALSE)</f>
        <v>0</v>
      </c>
      <c r="Z1060" s="125" t="b">
        <f>OR(COUNTIF(PROVEEDORES[[#This Row],[PROVEEDOR]],"*"&amp;'Palabra no opera'!$A$2&amp;"*"))</f>
        <v>0</v>
      </c>
      <c r="AA1060" s="24"/>
      <c r="AB1060" s="24"/>
      <c r="AC1060" s="24"/>
      <c r="AD1060" s="24"/>
      <c r="AE1060" s="24"/>
    </row>
    <row r="1061" spans="1:31" ht="22.2" customHeight="1" x14ac:dyDescent="0.3">
      <c r="A1061" s="66" t="str">
        <f>+IF(PROVEEDORES[[#This Row],[FECHA DE PAGO]]=PROVEEDORES[[#This Row],[FECHA DE FACTURACIÓN]],"DE CONTADO","CRÉDITO")</f>
        <v>CRÉDITO</v>
      </c>
      <c r="B1061" s="38" t="str">
        <f>+IF((PROVEEDORES[[#This Row],[FECHA DE PAGO]]-PROVEEDORES[[#This Row],[FECHA DE FACTURACIÓN]])&gt;PROVEEDORES[[#This Row],[PLAZO Días]],"PAGO VENCIDO")</f>
        <v>PAGO VENCIDO</v>
      </c>
      <c r="C1061" s="20">
        <f>+VLOOKUP(PROVEEDORES[[#This Row],[PROVEEDOR]],TERCEROS_INFO[#All],2,FALSE)</f>
        <v>30</v>
      </c>
      <c r="D1061" s="25">
        <f>+SUMIFS(PROVEEDORES[Total],PROVEEDORES[PROVEEDOR],PROVEEDORES[[#This Row],[PROVEEDOR]],PROVEEDORES[FECHA DE PAGO],"")</f>
        <v>1127400.05</v>
      </c>
      <c r="E1061" s="25"/>
      <c r="F106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061" s="161">
        <v>44298</v>
      </c>
      <c r="H1061" s="26" t="s">
        <v>47</v>
      </c>
      <c r="I1061" s="161">
        <v>44252</v>
      </c>
      <c r="J1061" s="35">
        <v>26574</v>
      </c>
      <c r="K1061" s="21">
        <v>812350</v>
      </c>
      <c r="L1061" s="21"/>
      <c r="M1061" s="22">
        <f>(PROVEEDORES[[#This Row],[SUBTOTAL]]-PROVEEDORES[[#This Row],[descuento sobre subtotal]])*VLOOKUP(PROVEEDORES[[#This Row],[PROVEEDOR]],TERCEROS_INFO[#All],3,FALSE)</f>
        <v>154346.5</v>
      </c>
      <c r="N1061" s="23"/>
      <c r="O1061" s="22">
        <f>+PROVEEDORES[[#This Row],[Descuento sobre subtotal %]]*(PROVEEDORES[[#This Row],[SUBTOTAL]]-PROVEEDORES[[#This Row],[descuento sobre subtotal]])</f>
        <v>0</v>
      </c>
      <c r="P1061" s="83">
        <f>+IF(PROVEEDORES[[#This Row],[SUBTOTAL]]&lt;PROVEEDORES[[#This Row],[base retencion]],0,PROVEEDORES[[#This Row],[retención aplicada]])</f>
        <v>0</v>
      </c>
      <c r="Q1061" s="22">
        <f>+PROVEEDORES[[#This Row],[Rete Fuente %]]*(PROVEEDORES[[#This Row],[SUBTOTAL]]-PROVEEDORES[[#This Row],[descuento sobre subtotal]])</f>
        <v>0</v>
      </c>
      <c r="R1061" s="21">
        <f>+PROVEEDORES[[#This Row],[SUBTOTAL]]+PROVEEDORES[[#This Row],[IVA 19%]]-PROVEEDORES[[#This Row],[descuento sobre subtotal]]-PROVEEDORES[[#This Row],[Descuento sobre subtotal $2]]-PROVEEDORES[[#This Row],[Rete Fuente $]]</f>
        <v>966696.5</v>
      </c>
      <c r="S10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68">
        <f ca="1">IF(PROVEEDORES[[#This Row],[FECHA DE PAGO]]=0,TODAY()-PROVEEDORES[[#This Row],[FECHA DE FACTURACIÓN]]-PROVEEDORES[[#This Row],[PLAZO Días]],0)</f>
        <v>0</v>
      </c>
      <c r="U1061" s="96" t="str">
        <f>+VLOOKUP(PROVEEDORES[[#This Row],[PROVEEDOR]],Terceros!$A:$D,4,FALSE)</f>
        <v>2,5% con base</v>
      </c>
      <c r="V1061" s="97">
        <f>+YEAR(PROVEEDORES[[#This Row],[FECHA DE FACTURACIÓN]])</f>
        <v>2021</v>
      </c>
      <c r="W1061" s="97">
        <f>+MATCH(PROVEEDORES[[#This Row],[año facturado]],Retenciones!$1:$1,0)</f>
        <v>4</v>
      </c>
      <c r="X1061" s="98">
        <f>+VLOOKUP(PROVEEDORES[[#This Row],[ID RETENCION]],Retenciones!$A$1:$O$25,PROVEEDORES[[#This Row],[indicador de columna]],FALSE)</f>
        <v>980000</v>
      </c>
      <c r="Y1061" s="99">
        <f>+VLOOKUP(PROVEEDORES[[#This Row],[ID RETENCION]],Retenciones!$A$1:$O$25,2,FALSE)</f>
        <v>2.5000000000000001E-2</v>
      </c>
      <c r="Z1061" s="125" t="b">
        <f>OR(COUNTIF(PROVEEDORES[[#This Row],[PROVEEDOR]],"*"&amp;'Palabra no opera'!$A$2&amp;"*"))</f>
        <v>0</v>
      </c>
      <c r="AA1061" s="24"/>
      <c r="AB1061" s="24"/>
      <c r="AC1061" s="24"/>
      <c r="AD1061" s="24"/>
      <c r="AE1061" s="24"/>
    </row>
    <row r="1062" spans="1:31" ht="22.2" customHeight="1" x14ac:dyDescent="0.3">
      <c r="A1062" s="157" t="str">
        <f>+IF(PROVEEDORES[[#This Row],[FECHA DE PAGO]]=PROVEEDORES[[#This Row],[FECHA DE FACTURACIÓN]],"DE CONTADO","CRÉDITO")</f>
        <v>DE CONTADO</v>
      </c>
      <c r="B1062" s="38" t="b">
        <f>+IF((PROVEEDORES[[#This Row],[FECHA DE PAGO]]-PROVEEDORES[[#This Row],[FECHA DE FACTURACIÓN]])&gt;PROVEEDORES[[#This Row],[PLAZO Días]],"PAGO VENCIDO")</f>
        <v>0</v>
      </c>
      <c r="C1062" s="20">
        <f>+VLOOKUP(PROVEEDORES[[#This Row],[PROVEEDOR]],TERCEROS_INFO[#All],2,FALSE)</f>
        <v>30</v>
      </c>
      <c r="D1062" s="25">
        <f>+SUMIFS(PROVEEDORES[Total],PROVEEDORES[PROVEEDOR],PROVEEDORES[[#This Row],[PROVEEDOR]],PROVEEDORES[FECHA DE PAGO],"")</f>
        <v>0</v>
      </c>
      <c r="E1062" s="25"/>
      <c r="F1062" s="58">
        <f>+VLOOKUP(PROVEEDORES[[#This Row],[PROVEEDOR]],
                       Terceros!$A:$F,
                       5,
                       FALSE)</f>
        <v>0</v>
      </c>
      <c r="G1062" s="161">
        <v>44720</v>
      </c>
      <c r="H1062" s="26" t="s">
        <v>700</v>
      </c>
      <c r="I1062" s="161">
        <v>44720</v>
      </c>
      <c r="J1062" s="35" t="s">
        <v>1071</v>
      </c>
      <c r="K1062" s="21">
        <v>968000</v>
      </c>
      <c r="L1062" s="21"/>
      <c r="M1062" s="22">
        <f>(PROVEEDORES[[#This Row],[SUBTOTAL]]-PROVEEDORES[[#This Row],[descuento sobre subtotal]])*VLOOKUP(PROVEEDORES[[#This Row],[PROVEEDOR]],TERCEROS_INFO[#All],3,FALSE)</f>
        <v>0</v>
      </c>
      <c r="N1062" s="23"/>
      <c r="O1062" s="22">
        <f>+PROVEEDORES[[#This Row],[Descuento sobre subtotal %]]*(PROVEEDORES[[#This Row],[SUBTOTAL]]-PROVEEDORES[[#This Row],[descuento sobre subtotal]])</f>
        <v>0</v>
      </c>
      <c r="P1062" s="83">
        <f>+IF(PROVEEDORES[[#This Row],[SUBTOTAL]]&lt;PROVEEDORES[[#This Row],[base retencion]],0,PROVEEDORES[[#This Row],[retención aplicada]])</f>
        <v>0</v>
      </c>
      <c r="Q1062" s="22">
        <f>+PROVEEDORES[[#This Row],[Rete Fuente %]]*(PROVEEDORES[[#This Row],[SUBTOTAL]]-PROVEEDORES[[#This Row],[descuento sobre subtotal]])</f>
        <v>0</v>
      </c>
      <c r="R1062" s="21">
        <f>+PROVEEDORES[[#This Row],[SUBTOTAL]]+PROVEEDORES[[#This Row],[IVA 19%]]-PROVEEDORES[[#This Row],[descuento sobre subtotal]]-PROVEEDORES[[#This Row],[Descuento sobre subtotal $2]]-PROVEEDORES[[#This Row],[Rete Fuente $]]</f>
        <v>968000</v>
      </c>
      <c r="S1062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68">
        <f ca="1">IF(PROVEEDORES[[#This Row],[FECHA DE PAGO]]=0,TODAY()-PROVEEDORES[[#This Row],[FECHA DE FACTURACIÓN]]-PROVEEDORES[[#This Row],[PLAZO Días]],0)</f>
        <v>0</v>
      </c>
      <c r="U1062" s="113">
        <f>+VLOOKUP(PROVEEDORES[[#This Row],[PROVEEDOR]],Terceros!$A:$D,4,FALSE)</f>
        <v>0</v>
      </c>
      <c r="V1062" s="114">
        <f>+YEAR(PROVEEDORES[[#This Row],[FECHA DE FACTURACIÓN]])</f>
        <v>2022</v>
      </c>
      <c r="W1062" s="114">
        <f>+MATCH(PROVEEDORES[[#This Row],[año facturado]],Retenciones!$1:$1,0)</f>
        <v>5</v>
      </c>
      <c r="X1062" s="115">
        <f>+VLOOKUP(PROVEEDORES[[#This Row],[ID RETENCION]],Retenciones!$A$1:$O$25,PROVEEDORES[[#This Row],[indicador de columna]],FALSE)</f>
        <v>0</v>
      </c>
      <c r="Y1062" s="116">
        <f>+VLOOKUP(PROVEEDORES[[#This Row],[ID RETENCION]],Retenciones!$A$1:$O$25,2,FALSE)</f>
        <v>0</v>
      </c>
      <c r="Z1062" s="125" t="b">
        <f>OR(COUNTIF(PROVEEDORES[[#This Row],[PROVEEDOR]],"*"&amp;'Palabra no opera'!$A$2&amp;"*"))</f>
        <v>0</v>
      </c>
      <c r="AA1062" s="24"/>
      <c r="AB1062" s="24"/>
      <c r="AC1062" s="24"/>
      <c r="AD1062" s="24"/>
      <c r="AE1062" s="24"/>
    </row>
    <row r="1063" spans="1:31" ht="22.2" customHeight="1" x14ac:dyDescent="0.3">
      <c r="A1063" s="72" t="str">
        <f>+IF(PROVEEDORES[[#This Row],[FECHA DE PAGO]]=PROVEEDORES[[#This Row],[FECHA DE FACTURACIÓN]],"DE CONTADO","CRÉDITO")</f>
        <v>CRÉDITO</v>
      </c>
      <c r="B1063" s="38" t="b">
        <f>+IF((PROVEEDORES[[#This Row],[FECHA DE PAGO]]-PROVEEDORES[[#This Row],[FECHA DE FACTURACIÓN]])&gt;PROVEEDORES[[#This Row],[PLAZO Días]],"PAGO VENCIDO")</f>
        <v>0</v>
      </c>
      <c r="C1063" s="20">
        <f>+VLOOKUP(PROVEEDORES[[#This Row],[PROVEEDOR]],TERCEROS_INFO[#All],2,FALSE)</f>
        <v>30</v>
      </c>
      <c r="D1063" s="25">
        <f>+SUMIFS(PROVEEDORES[Total],PROVEEDORES[PROVEEDOR],PROVEEDORES[[#This Row],[PROVEEDOR]],PROVEEDORES[FECHA DE PAGO],"")</f>
        <v>0</v>
      </c>
      <c r="E1063" s="25"/>
      <c r="F1063" s="58" t="str">
        <f>+VLOOKUP(PROVEEDORES[[#This Row],[PROVEEDOR]],
                       Terceros!$A:$F,
                       5,
                       FALSE)</f>
        <v/>
      </c>
      <c r="G1063" s="161">
        <v>44839</v>
      </c>
      <c r="H1063" s="26" t="s">
        <v>1767</v>
      </c>
      <c r="I1063" s="161">
        <v>44838</v>
      </c>
      <c r="J1063" s="35" t="s">
        <v>1768</v>
      </c>
      <c r="K1063" s="21">
        <v>972000</v>
      </c>
      <c r="L1063" s="21"/>
      <c r="M1063" s="22">
        <f>(PROVEEDORES[[#This Row],[SUBTOTAL]]-PROVEEDORES[[#This Row],[descuento sobre subtotal]])*VLOOKUP(PROVEEDORES[[#This Row],[PROVEEDOR]],TERCEROS_INFO[#All],3,FALSE)</f>
        <v>0</v>
      </c>
      <c r="N1063" s="23"/>
      <c r="O1063" s="22">
        <f>+PROVEEDORES[[#This Row],[Descuento sobre subtotal %]]*(PROVEEDORES[[#This Row],[SUBTOTAL]]-PROVEEDORES[[#This Row],[descuento sobre subtotal]])</f>
        <v>0</v>
      </c>
      <c r="P1063" s="83">
        <f>+IF(PROVEEDORES[[#This Row],[SUBTOTAL]]&lt;PROVEEDORES[[#This Row],[base retencion]],0,PROVEEDORES[[#This Row],[retención aplicada]])</f>
        <v>0</v>
      </c>
      <c r="Q1063" s="22">
        <f>+PROVEEDORES[[#This Row],[Rete Fuente %]]*(PROVEEDORES[[#This Row],[SUBTOTAL]]-PROVEEDORES[[#This Row],[descuento sobre subtotal]])</f>
        <v>0</v>
      </c>
      <c r="R1063" s="21">
        <f>+PROVEEDORES[[#This Row],[SUBTOTAL]]+PROVEEDORES[[#This Row],[IVA 19%]]-PROVEEDORES[[#This Row],[descuento sobre subtotal]]-PROVEEDORES[[#This Row],[Descuento sobre subtotal $2]]-PROVEEDORES[[#This Row],[Rete Fuente $]]</f>
        <v>972000</v>
      </c>
      <c r="S106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68">
        <f ca="1">IF(PROVEEDORES[[#This Row],[FECHA DE PAGO]]=0,TODAY()-PROVEEDORES[[#This Row],[FECHA DE FACTURACIÓN]]-PROVEEDORES[[#This Row],[PLAZO Días]],0)</f>
        <v>0</v>
      </c>
      <c r="U1063" s="113">
        <f>+VLOOKUP(PROVEEDORES[[#This Row],[PROVEEDOR]],Terceros!$A:$D,4,FALSE)</f>
        <v>0</v>
      </c>
      <c r="V1063" s="114">
        <f>+YEAR(PROVEEDORES[[#This Row],[FECHA DE FACTURACIÓN]])</f>
        <v>2022</v>
      </c>
      <c r="W1063" s="114">
        <f>+MATCH(PROVEEDORES[[#This Row],[año facturado]],Retenciones!$1:$1,0)</f>
        <v>5</v>
      </c>
      <c r="X1063" s="115">
        <f>+VLOOKUP(PROVEEDORES[[#This Row],[ID RETENCION]],Retenciones!$A$1:$O$25,PROVEEDORES[[#This Row],[indicador de columna]],FALSE)</f>
        <v>0</v>
      </c>
      <c r="Y1063" s="116">
        <f>+VLOOKUP(PROVEEDORES[[#This Row],[ID RETENCION]],Retenciones!$A$1:$O$25,2,FALSE)</f>
        <v>0</v>
      </c>
      <c r="Z1063" s="125" t="b">
        <f>OR(COUNTIF(PROVEEDORES[[#This Row],[PROVEEDOR]],"*"&amp;'Palabra no opera'!$A$2&amp;"*"))</f>
        <v>0</v>
      </c>
      <c r="AA1063" s="24"/>
      <c r="AB1063" s="24"/>
      <c r="AC1063" s="24"/>
      <c r="AD1063" s="24"/>
      <c r="AE1063" s="24"/>
    </row>
    <row r="1064" spans="1:31" ht="22.2" customHeight="1" x14ac:dyDescent="0.3">
      <c r="A1064" s="66" t="str">
        <f>+IF(PROVEEDORES[[#This Row],[FECHA DE PAGO]]=PROVEEDORES[[#This Row],[FECHA DE FACTURACIÓN]],"DE CONTADO","CRÉDITO")</f>
        <v>CRÉDITO</v>
      </c>
      <c r="B1064" s="38" t="str">
        <f>+IF((PROVEEDORES[[#This Row],[FECHA DE PAGO]]-PROVEEDORES[[#This Row],[FECHA DE FACTURACIÓN]])&gt;PROVEEDORES[[#This Row],[PLAZO Días]],"PAGO VENCIDO")</f>
        <v>PAGO VENCIDO</v>
      </c>
      <c r="C1064" s="20">
        <f>+VLOOKUP(PROVEEDORES[[#This Row],[PROVEEDOR]],TERCEROS_INFO[#All],2,FALSE)</f>
        <v>18</v>
      </c>
      <c r="D1064" s="25">
        <f>+SUMIFS(PROVEEDORES[Total],PROVEEDORES[PROVEEDOR],PROVEEDORES[[#This Row],[PROVEEDOR]],PROVEEDORES[FECHA DE PAGO],"")</f>
        <v>0</v>
      </c>
      <c r="E1064" s="25"/>
      <c r="F1064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1064" s="161">
        <v>44316</v>
      </c>
      <c r="H1064" s="26" t="s">
        <v>924</v>
      </c>
      <c r="I1064" s="161">
        <v>44284</v>
      </c>
      <c r="J1064" s="35">
        <v>68</v>
      </c>
      <c r="K1064" s="21">
        <v>972802</v>
      </c>
      <c r="L1064" s="21"/>
      <c r="M1064" s="22">
        <f>(PROVEEDORES[[#This Row],[SUBTOTAL]]-PROVEEDORES[[#This Row],[descuento sobre subtotal]])*VLOOKUP(PROVEEDORES[[#This Row],[PROVEEDOR]],TERCEROS_INFO[#All],3,FALSE)</f>
        <v>0</v>
      </c>
      <c r="N1064" s="23"/>
      <c r="O1064" s="22">
        <f>+PROVEEDORES[[#This Row],[Descuento sobre subtotal %]]*(PROVEEDORES[[#This Row],[SUBTOTAL]]-PROVEEDORES[[#This Row],[descuento sobre subtotal]])</f>
        <v>0</v>
      </c>
      <c r="P1064" s="83">
        <f>+IF(PROVEEDORES[[#This Row],[SUBTOTAL]]&lt;PROVEEDORES[[#This Row],[base retencion]],0,PROVEEDORES[[#This Row],[retención aplicada]])</f>
        <v>0</v>
      </c>
      <c r="Q1064" s="22">
        <f>+PROVEEDORES[[#This Row],[Rete Fuente %]]*(PROVEEDORES[[#This Row],[SUBTOTAL]]-PROVEEDORES[[#This Row],[descuento sobre subtotal]])</f>
        <v>0</v>
      </c>
      <c r="R1064" s="21">
        <f>+PROVEEDORES[[#This Row],[SUBTOTAL]]+PROVEEDORES[[#This Row],[IVA 19%]]-PROVEEDORES[[#This Row],[descuento sobre subtotal]]-PROVEEDORES[[#This Row],[Descuento sobre subtotal $2]]-PROVEEDORES[[#This Row],[Rete Fuente $]]</f>
        <v>972802</v>
      </c>
      <c r="S10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68">
        <f ca="1">IF(PROVEEDORES[[#This Row],[FECHA DE PAGO]]=0,TODAY()-PROVEEDORES[[#This Row],[FECHA DE FACTURACIÓN]]-PROVEEDORES[[#This Row],[PLAZO Días]],0)</f>
        <v>0</v>
      </c>
      <c r="U1064" s="96">
        <f>+VLOOKUP(PROVEEDORES[[#This Row],[PROVEEDOR]],Terceros!$A:$D,4,FALSE)</f>
        <v>0</v>
      </c>
      <c r="V1064" s="97">
        <f>+YEAR(PROVEEDORES[[#This Row],[FECHA DE FACTURACIÓN]])</f>
        <v>2021</v>
      </c>
      <c r="W1064" s="97">
        <f>+MATCH(PROVEEDORES[[#This Row],[año facturado]],Retenciones!$1:$1,0)</f>
        <v>4</v>
      </c>
      <c r="X1064" s="98">
        <f>+VLOOKUP(PROVEEDORES[[#This Row],[ID RETENCION]],Retenciones!$A$1:$O$25,PROVEEDORES[[#This Row],[indicador de columna]],FALSE)</f>
        <v>0</v>
      </c>
      <c r="Y1064" s="99">
        <f>+VLOOKUP(PROVEEDORES[[#This Row],[ID RETENCION]],Retenciones!$A$1:$O$25,2,FALSE)</f>
        <v>0</v>
      </c>
      <c r="Z1064" s="125" t="b">
        <f>OR(COUNTIF(PROVEEDORES[[#This Row],[PROVEEDOR]],"*"&amp;'Palabra no opera'!$A$2&amp;"*"))</f>
        <v>1</v>
      </c>
      <c r="AA1064" s="24"/>
      <c r="AB1064" s="24"/>
      <c r="AC1064" s="24"/>
      <c r="AD1064" s="24"/>
      <c r="AE1064" s="24"/>
    </row>
    <row r="1065" spans="1:31" ht="22.2" customHeight="1" x14ac:dyDescent="0.3">
      <c r="A1065" s="66" t="str">
        <f>+IF(PROVEEDORES[[#This Row],[FECHA DE PAGO]]=PROVEEDORES[[#This Row],[FECHA DE FACTURACIÓN]],"DE CONTADO","CRÉDITO")</f>
        <v>CRÉDITO</v>
      </c>
      <c r="B1065" s="38" t="str">
        <f>+IF((PROVEEDORES[[#This Row],[FECHA DE PAGO]]-PROVEEDORES[[#This Row],[FECHA DE FACTURACIÓN]])&gt;PROVEEDORES[[#This Row],[PLAZO Días]],"PAGO VENCIDO")</f>
        <v>PAGO VENCIDO</v>
      </c>
      <c r="C1065" s="20">
        <f>+VLOOKUP(PROVEEDORES[[#This Row],[PROVEEDOR]],TERCEROS_INFO[#All],2,FALSE)</f>
        <v>30</v>
      </c>
      <c r="D1065" s="25">
        <f>+SUMIFS(PROVEEDORES[Total],PROVEEDORES[PROVEEDOR],PROVEEDORES[[#This Row],[PROVEEDOR]],PROVEEDORES[FECHA DE PAGO],"")</f>
        <v>23124164.219999999</v>
      </c>
      <c r="E1065" s="25"/>
      <c r="F106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65" s="161">
        <v>44426</v>
      </c>
      <c r="H1065" s="26" t="s">
        <v>18</v>
      </c>
      <c r="I1065" s="161">
        <v>44390</v>
      </c>
      <c r="J1065" s="35">
        <v>1040307</v>
      </c>
      <c r="K1065" s="21">
        <v>822858</v>
      </c>
      <c r="L1065" s="21"/>
      <c r="M1065" s="22">
        <f>(PROVEEDORES[[#This Row],[SUBTOTAL]]-PROVEEDORES[[#This Row],[descuento sobre subtotal]])*VLOOKUP(PROVEEDORES[[#This Row],[PROVEEDOR]],TERCEROS_INFO[#All],3,FALSE)</f>
        <v>156343.01999999999</v>
      </c>
      <c r="N1065" s="23"/>
      <c r="O1065" s="22">
        <f>+PROVEEDORES[[#This Row],[Descuento sobre subtotal %]]*(PROVEEDORES[[#This Row],[SUBTOTAL]]-PROVEEDORES[[#This Row],[descuento sobre subtotal]])</f>
        <v>0</v>
      </c>
      <c r="P1065" s="83">
        <f>+IF(PROVEEDORES[[#This Row],[SUBTOTAL]]&lt;PROVEEDORES[[#This Row],[base retencion]],0,PROVEEDORES[[#This Row],[retención aplicada]])</f>
        <v>0</v>
      </c>
      <c r="Q1065" s="22">
        <f>+PROVEEDORES[[#This Row],[Rete Fuente %]]*(PROVEEDORES[[#This Row],[SUBTOTAL]]-PROVEEDORES[[#This Row],[descuento sobre subtotal]])</f>
        <v>0</v>
      </c>
      <c r="R1065" s="21">
        <f>+PROVEEDORES[[#This Row],[SUBTOTAL]]+PROVEEDORES[[#This Row],[IVA 19%]]-PROVEEDORES[[#This Row],[descuento sobre subtotal]]-PROVEEDORES[[#This Row],[Descuento sobre subtotal $2]]-PROVEEDORES[[#This Row],[Rete Fuente $]]</f>
        <v>979201.02</v>
      </c>
      <c r="S10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68">
        <f ca="1">IF(PROVEEDORES[[#This Row],[FECHA DE PAGO]]=0,TODAY()-PROVEEDORES[[#This Row],[FECHA DE FACTURACIÓN]]-PROVEEDORES[[#This Row],[PLAZO Días]],0)</f>
        <v>0</v>
      </c>
      <c r="U1065" s="96" t="str">
        <f>+VLOOKUP(PROVEEDORES[[#This Row],[PROVEEDOR]],Terceros!$A:$D,4,FALSE)</f>
        <v>2,5% con base</v>
      </c>
      <c r="V1065" s="97">
        <f>+YEAR(PROVEEDORES[[#This Row],[FECHA DE FACTURACIÓN]])</f>
        <v>2021</v>
      </c>
      <c r="W1065" s="97">
        <f>+MATCH(PROVEEDORES[[#This Row],[año facturado]],Retenciones!$1:$1,0)</f>
        <v>4</v>
      </c>
      <c r="X1065" s="98">
        <f>+VLOOKUP(PROVEEDORES[[#This Row],[ID RETENCION]],Retenciones!$A$1:$O$25,PROVEEDORES[[#This Row],[indicador de columna]],FALSE)</f>
        <v>980000</v>
      </c>
      <c r="Y1065" s="99">
        <f>+VLOOKUP(PROVEEDORES[[#This Row],[ID RETENCION]],Retenciones!$A$1:$O$25,2,FALSE)</f>
        <v>2.5000000000000001E-2</v>
      </c>
      <c r="Z1065" s="125" t="b">
        <f>OR(COUNTIF(PROVEEDORES[[#This Row],[PROVEEDOR]],"*"&amp;'Palabra no opera'!$A$2&amp;"*"))</f>
        <v>0</v>
      </c>
      <c r="AA1065" s="24"/>
      <c r="AB1065" s="24"/>
      <c r="AC1065" s="24"/>
      <c r="AD1065" s="24"/>
      <c r="AE1065" s="24"/>
    </row>
    <row r="1066" spans="1:31" ht="22.2" customHeight="1" x14ac:dyDescent="0.3">
      <c r="A1066" s="66" t="str">
        <f>+IF(PROVEEDORES[[#This Row],[FECHA DE PAGO]]=PROVEEDORES[[#This Row],[FECHA DE FACTURACIÓN]],"DE CONTADO","CRÉDITO")</f>
        <v>DE CONTADO</v>
      </c>
      <c r="B1066" s="38" t="b">
        <f>+IF((PROVEEDORES[[#This Row],[FECHA DE PAGO]]-PROVEEDORES[[#This Row],[FECHA DE FACTURACIÓN]])&gt;PROVEEDORES[[#This Row],[PLAZO Días]],"PAGO VENCIDO")</f>
        <v>0</v>
      </c>
      <c r="C1066" s="20">
        <f>+VLOOKUP(PROVEEDORES[[#This Row],[PROVEEDOR]],TERCEROS_INFO[#All],2,FALSE)</f>
        <v>30</v>
      </c>
      <c r="D1066" s="25">
        <f>+SUMIFS(PROVEEDORES[Total],PROVEEDORES[PROVEEDOR],PROVEEDORES[[#This Row],[PROVEEDOR]],PROVEEDORES[FECHA DE PAGO],"")</f>
        <v>0</v>
      </c>
      <c r="E1066" s="25"/>
      <c r="F1066" s="58" t="str">
        <f>+VLOOKUP(PROVEEDORES[[#This Row],[PROVEEDOR]],
                       Terceros!$A:$F,
                       5,
                       FALSE)</f>
        <v/>
      </c>
      <c r="G1066" s="161">
        <v>44359</v>
      </c>
      <c r="H1066" s="26" t="s">
        <v>661</v>
      </c>
      <c r="I1066" s="161">
        <v>44359</v>
      </c>
      <c r="J1066" s="35" t="s">
        <v>1247</v>
      </c>
      <c r="K1066" s="21">
        <v>984000</v>
      </c>
      <c r="L1066" s="21"/>
      <c r="M1066" s="22">
        <f>(PROVEEDORES[[#This Row],[SUBTOTAL]]-PROVEEDORES[[#This Row],[descuento sobre subtotal]])*VLOOKUP(PROVEEDORES[[#This Row],[PROVEEDOR]],TERCEROS_INFO[#All],3,FALSE)</f>
        <v>0</v>
      </c>
      <c r="N1066" s="23"/>
      <c r="O1066" s="22">
        <f>+PROVEEDORES[[#This Row],[Descuento sobre subtotal %]]*(PROVEEDORES[[#This Row],[SUBTOTAL]]-PROVEEDORES[[#This Row],[descuento sobre subtotal]])</f>
        <v>0</v>
      </c>
      <c r="P1066" s="83">
        <f>+IF(PROVEEDORES[[#This Row],[SUBTOTAL]]&lt;PROVEEDORES[[#This Row],[base retencion]],0,PROVEEDORES[[#This Row],[retención aplicada]])</f>
        <v>0</v>
      </c>
      <c r="Q1066" s="22">
        <f>+PROVEEDORES[[#This Row],[Rete Fuente %]]*(PROVEEDORES[[#This Row],[SUBTOTAL]]-PROVEEDORES[[#This Row],[descuento sobre subtotal]])</f>
        <v>0</v>
      </c>
      <c r="R1066" s="21">
        <f>+PROVEEDORES[[#This Row],[SUBTOTAL]]+PROVEEDORES[[#This Row],[IVA 19%]]-PROVEEDORES[[#This Row],[descuento sobre subtotal]]-PROVEEDORES[[#This Row],[Descuento sobre subtotal $2]]-PROVEEDORES[[#This Row],[Rete Fuente $]]</f>
        <v>984000</v>
      </c>
      <c r="S10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68">
        <f ca="1">IF(PROVEEDORES[[#This Row],[FECHA DE PAGO]]=0,TODAY()-PROVEEDORES[[#This Row],[FECHA DE FACTURACIÓN]]-PROVEEDORES[[#This Row],[PLAZO Días]],0)</f>
        <v>0</v>
      </c>
      <c r="U1066" s="96">
        <f>+VLOOKUP(PROVEEDORES[[#This Row],[PROVEEDOR]],Terceros!$A:$D,4,FALSE)</f>
        <v>0</v>
      </c>
      <c r="V1066" s="97">
        <f>+YEAR(PROVEEDORES[[#This Row],[FECHA DE FACTURACIÓN]])</f>
        <v>2021</v>
      </c>
      <c r="W1066" s="97">
        <f>+MATCH(PROVEEDORES[[#This Row],[año facturado]],Retenciones!$1:$1,0)</f>
        <v>4</v>
      </c>
      <c r="X1066" s="98">
        <f>+VLOOKUP(PROVEEDORES[[#This Row],[ID RETENCION]],Retenciones!$A$1:$O$25,PROVEEDORES[[#This Row],[indicador de columna]],FALSE)</f>
        <v>0</v>
      </c>
      <c r="Y1066" s="99">
        <f>+VLOOKUP(PROVEEDORES[[#This Row],[ID RETENCION]],Retenciones!$A$1:$O$25,2,FALSE)</f>
        <v>0</v>
      </c>
      <c r="Z1066" s="125" t="b">
        <f>OR(COUNTIF(PROVEEDORES[[#This Row],[PROVEEDOR]],"*"&amp;'Palabra no opera'!$A$2&amp;"*"))</f>
        <v>0</v>
      </c>
      <c r="AA1066" s="24"/>
      <c r="AB1066" s="24"/>
      <c r="AC1066" s="24"/>
      <c r="AD1066" s="24"/>
      <c r="AE1066" s="24"/>
    </row>
    <row r="1067" spans="1:31" ht="22.2" customHeight="1" x14ac:dyDescent="0.3">
      <c r="A1067" s="195" t="str">
        <f>+IF(PROVEEDORES[[#This Row],[FECHA DE PAGO]]=PROVEEDORES[[#This Row],[FECHA DE FACTURACIÓN]],"DE CONTADO","CRÉDITO")</f>
        <v>DE CONTADO</v>
      </c>
      <c r="B1067" s="38" t="b">
        <f>+IF((PROVEEDORES[[#This Row],[FECHA DE PAGO]]-PROVEEDORES[[#This Row],[FECHA DE FACTURACIÓN]])&gt;PROVEEDORES[[#This Row],[PLAZO Días]],"PAGO VENCIDO")</f>
        <v>0</v>
      </c>
      <c r="C1067" s="20">
        <f>+VLOOKUP(PROVEEDORES[[#This Row],[PROVEEDOR]],TERCEROS_INFO[#All],2,FALSE)</f>
        <v>30</v>
      </c>
      <c r="D1067" s="25">
        <f>+SUMIFS(PROVEEDORES[Total],PROVEEDORES[PROVEEDOR],PROVEEDORES[[#This Row],[PROVEEDOR]],PROVEEDORES[FECHA DE PAGO],"")</f>
        <v>0</v>
      </c>
      <c r="E1067" s="25"/>
      <c r="F1067" s="58" t="str">
        <f>+VLOOKUP(PROVEEDORES[[#This Row],[PROVEEDOR]],
                       Terceros!$A:$F,
                       5,
                       FALSE)</f>
        <v/>
      </c>
      <c r="G1067" s="161">
        <v>44773</v>
      </c>
      <c r="H1067" s="26" t="s">
        <v>644</v>
      </c>
      <c r="I1067" s="161">
        <v>44773</v>
      </c>
      <c r="J1067" s="35" t="s">
        <v>174</v>
      </c>
      <c r="K1067" s="21">
        <v>986500</v>
      </c>
      <c r="L1067" s="21"/>
      <c r="M1067" s="22">
        <f>(PROVEEDORES[[#This Row],[SUBTOTAL]]-PROVEEDORES[[#This Row],[descuento sobre subtotal]])*VLOOKUP(PROVEEDORES[[#This Row],[PROVEEDOR]],TERCEROS_INFO[#All],3,FALSE)</f>
        <v>0</v>
      </c>
      <c r="N1067" s="23"/>
      <c r="O1067" s="22">
        <f>+PROVEEDORES[[#This Row],[Descuento sobre subtotal %]]*(PROVEEDORES[[#This Row],[SUBTOTAL]]-PROVEEDORES[[#This Row],[descuento sobre subtotal]])</f>
        <v>0</v>
      </c>
      <c r="P1067" s="83">
        <f>+IF(PROVEEDORES[[#This Row],[SUBTOTAL]]&lt;PROVEEDORES[[#This Row],[base retencion]],0,PROVEEDORES[[#This Row],[retención aplicada]])</f>
        <v>0</v>
      </c>
      <c r="Q1067" s="22">
        <f>+PROVEEDORES[[#This Row],[Rete Fuente %]]*(PROVEEDORES[[#This Row],[SUBTOTAL]]-PROVEEDORES[[#This Row],[descuento sobre subtotal]])</f>
        <v>0</v>
      </c>
      <c r="R1067" s="21">
        <f>+PROVEEDORES[[#This Row],[SUBTOTAL]]+PROVEEDORES[[#This Row],[IVA 19%]]-PROVEEDORES[[#This Row],[descuento sobre subtotal]]-PROVEEDORES[[#This Row],[Descuento sobre subtotal $2]]-PROVEEDORES[[#This Row],[Rete Fuente $]]</f>
        <v>986500</v>
      </c>
      <c r="S1067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68">
        <f ca="1">IF(PROVEEDORES[[#This Row],[FECHA DE PAGO]]=0,TODAY()-PROVEEDORES[[#This Row],[FECHA DE FACTURACIÓN]]-PROVEEDORES[[#This Row],[PLAZO Días]],0)</f>
        <v>0</v>
      </c>
      <c r="U1067" s="113">
        <f>+VLOOKUP(PROVEEDORES[[#This Row],[PROVEEDOR]],Terceros!$A:$D,4,FALSE)</f>
        <v>0</v>
      </c>
      <c r="V1067" s="114">
        <f>+YEAR(PROVEEDORES[[#This Row],[FECHA DE FACTURACIÓN]])</f>
        <v>2022</v>
      </c>
      <c r="W1067" s="114">
        <f>+MATCH(PROVEEDORES[[#This Row],[año facturado]],Retenciones!$1:$1,0)</f>
        <v>5</v>
      </c>
      <c r="X1067" s="115">
        <f>+VLOOKUP(PROVEEDORES[[#This Row],[ID RETENCION]],Retenciones!$A$1:$O$25,PROVEEDORES[[#This Row],[indicador de columna]],FALSE)</f>
        <v>0</v>
      </c>
      <c r="Y1067" s="116">
        <f>+VLOOKUP(PROVEEDORES[[#This Row],[ID RETENCION]],Retenciones!$A$1:$O$25,2,FALSE)</f>
        <v>0</v>
      </c>
      <c r="Z1067" s="125" t="b">
        <f>OR(COUNTIF(PROVEEDORES[[#This Row],[PROVEEDOR]],"*"&amp;'Palabra no opera'!$A$2&amp;"*"))</f>
        <v>0</v>
      </c>
      <c r="AA1067" s="24"/>
      <c r="AB1067" s="24"/>
      <c r="AC1067" s="24"/>
      <c r="AD1067" s="24"/>
      <c r="AE1067" s="24"/>
    </row>
    <row r="1068" spans="1:31" ht="22.2" customHeight="1" x14ac:dyDescent="0.3">
      <c r="A1068" s="66" t="str">
        <f>+IF(PROVEEDORES[[#This Row],[FECHA DE PAGO]]=PROVEEDORES[[#This Row],[FECHA DE FACTURACIÓN]],"DE CONTADO","CRÉDITO")</f>
        <v>CRÉDITO</v>
      </c>
      <c r="B1068" s="38" t="b">
        <f>+IF((PROVEEDORES[[#This Row],[FECHA DE PAGO]]-PROVEEDORES[[#This Row],[FECHA DE FACTURACIÓN]])&gt;PROVEEDORES[[#This Row],[PLAZO Días]],"PAGO VENCIDO")</f>
        <v>0</v>
      </c>
      <c r="C1068" s="20">
        <f>+VLOOKUP(PROVEEDORES[[#This Row],[PROVEEDOR]],TERCEROS_INFO[#All],2,FALSE)</f>
        <v>90</v>
      </c>
      <c r="D1068" s="25">
        <f>+SUMIFS(PROVEEDORES[Total],PROVEEDORES[PROVEEDOR],PROVEEDORES[[#This Row],[PROVEEDOR]],PROVEEDORES[FECHA DE PAGO],"")</f>
        <v>2410000</v>
      </c>
      <c r="E1068" s="25"/>
      <c r="F1068" s="58" t="str">
        <f>+VLOOKUP(PROVEEDORES[[#This Row],[PROVEEDOR]],
                       Terceros!$A:$F,
                       5,
                       FALSE)</f>
        <v/>
      </c>
      <c r="G1068" s="161">
        <v>44201</v>
      </c>
      <c r="H1068" s="26" t="s">
        <v>651</v>
      </c>
      <c r="I1068" s="161">
        <v>44136</v>
      </c>
      <c r="J1068" s="35">
        <v>1120</v>
      </c>
      <c r="K1068" s="21">
        <v>990000</v>
      </c>
      <c r="L1068" s="21"/>
      <c r="M1068" s="22">
        <f>(PROVEEDORES[[#This Row],[SUBTOTAL]]-PROVEEDORES[[#This Row],[descuento sobre subtotal]])*VLOOKUP(PROVEEDORES[[#This Row],[PROVEEDOR]],TERCEROS_INFO[#All],3,FALSE)</f>
        <v>0</v>
      </c>
      <c r="N1068" s="23"/>
      <c r="O1068" s="22">
        <f>+PROVEEDORES[[#This Row],[Descuento sobre subtotal %]]*(PROVEEDORES[[#This Row],[SUBTOTAL]]-PROVEEDORES[[#This Row],[descuento sobre subtotal]])</f>
        <v>0</v>
      </c>
      <c r="P1068" s="83">
        <f>+IF(PROVEEDORES[[#This Row],[SUBTOTAL]]&lt;PROVEEDORES[[#This Row],[base retencion]],0,PROVEEDORES[[#This Row],[retención aplicada]])</f>
        <v>0</v>
      </c>
      <c r="Q1068" s="22">
        <f>+PROVEEDORES[[#This Row],[Rete Fuente %]]*(PROVEEDORES[[#This Row],[SUBTOTAL]]-PROVEEDORES[[#This Row],[descuento sobre subtotal]])</f>
        <v>0</v>
      </c>
      <c r="R1068" s="21">
        <f>+PROVEEDORES[[#This Row],[SUBTOTAL]]+PROVEEDORES[[#This Row],[IVA 19%]]-PROVEEDORES[[#This Row],[descuento sobre subtotal]]-PROVEEDORES[[#This Row],[Descuento sobre subtotal $2]]-PROVEEDORES[[#This Row],[Rete Fuente $]]</f>
        <v>990000</v>
      </c>
      <c r="S10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68">
        <f ca="1">IF(PROVEEDORES[[#This Row],[FECHA DE PAGO]]=0,TODAY()-PROVEEDORES[[#This Row],[FECHA DE FACTURACIÓN]]-PROVEEDORES[[#This Row],[PLAZO Días]],0)</f>
        <v>0</v>
      </c>
      <c r="U1068" s="96">
        <f>+VLOOKUP(PROVEEDORES[[#This Row],[PROVEEDOR]],Terceros!$A:$D,4,FALSE)</f>
        <v>0</v>
      </c>
      <c r="V1068" s="97">
        <f>+YEAR(PROVEEDORES[[#This Row],[FECHA DE FACTURACIÓN]])</f>
        <v>2020</v>
      </c>
      <c r="W1068" s="97">
        <f>+MATCH(PROVEEDORES[[#This Row],[año facturado]],Retenciones!$1:$1,0)</f>
        <v>3</v>
      </c>
      <c r="X1068" s="98">
        <f>+VLOOKUP(PROVEEDORES[[#This Row],[ID RETENCION]],Retenciones!$A$1:$O$25,PROVEEDORES[[#This Row],[indicador de columna]],FALSE)</f>
        <v>0</v>
      </c>
      <c r="Y1068" s="99">
        <f>+VLOOKUP(PROVEEDORES[[#This Row],[ID RETENCION]],Retenciones!$A$1:$O$25,2,FALSE)</f>
        <v>0</v>
      </c>
      <c r="Z1068" s="125" t="b">
        <f>OR(COUNTIF(PROVEEDORES[[#This Row],[PROVEEDOR]],"*"&amp;'Palabra no opera'!$A$2&amp;"*"))</f>
        <v>0</v>
      </c>
      <c r="AA1068" s="24"/>
      <c r="AB1068" s="24"/>
      <c r="AC1068" s="24"/>
      <c r="AD1068" s="24"/>
      <c r="AE1068" s="24"/>
    </row>
    <row r="1069" spans="1:31" ht="22.2" customHeight="1" x14ac:dyDescent="0.3">
      <c r="A1069" s="66" t="str">
        <f>+IF(PROVEEDORES[[#This Row],[FECHA DE PAGO]]=PROVEEDORES[[#This Row],[FECHA DE FACTURACIÓN]],"DE CONTADO","CRÉDITO")</f>
        <v>DE CONTADO</v>
      </c>
      <c r="B1069" s="38" t="b">
        <f>+IF((PROVEEDORES[[#This Row],[FECHA DE PAGO]]-PROVEEDORES[[#This Row],[FECHA DE FACTURACIÓN]])&gt;PROVEEDORES[[#This Row],[PLAZO Días]],"PAGO VENCIDO")</f>
        <v>0</v>
      </c>
      <c r="C1069" s="20">
        <f>+VLOOKUP(PROVEEDORES[[#This Row],[PROVEEDOR]],TERCEROS_INFO[#All],2,FALSE)</f>
        <v>30</v>
      </c>
      <c r="D1069" s="25">
        <f>+SUMIFS(PROVEEDORES[Total],PROVEEDORES[PROVEEDOR],PROVEEDORES[[#This Row],[PROVEEDOR]],PROVEEDORES[FECHA DE PAGO],"")</f>
        <v>0</v>
      </c>
      <c r="E1069" s="25"/>
      <c r="F1069" s="58" t="str">
        <f>+VLOOKUP(PROVEEDORES[[#This Row],[PROVEEDOR]],
                       Terceros!$A:$F,
                       5,
                       FALSE)</f>
        <v/>
      </c>
      <c r="G1069" s="161">
        <v>44513</v>
      </c>
      <c r="H1069" s="26" t="s">
        <v>635</v>
      </c>
      <c r="I1069" s="161">
        <v>44513</v>
      </c>
      <c r="J1069" s="35" t="s">
        <v>1524</v>
      </c>
      <c r="K1069" s="21">
        <v>990000</v>
      </c>
      <c r="L1069" s="21"/>
      <c r="M1069" s="22">
        <f>(PROVEEDORES[[#This Row],[SUBTOTAL]]-PROVEEDORES[[#This Row],[descuento sobre subtotal]])*VLOOKUP(PROVEEDORES[[#This Row],[PROVEEDOR]],TERCEROS_INFO[#All],3,FALSE)</f>
        <v>0</v>
      </c>
      <c r="N1069" s="23"/>
      <c r="O1069" s="22">
        <f>+PROVEEDORES[[#This Row],[Descuento sobre subtotal %]]*(PROVEEDORES[[#This Row],[SUBTOTAL]]-PROVEEDORES[[#This Row],[descuento sobre subtotal]])</f>
        <v>0</v>
      </c>
      <c r="P1069" s="83">
        <f>+IF(PROVEEDORES[[#This Row],[SUBTOTAL]]&lt;PROVEEDORES[[#This Row],[base retencion]],0,PROVEEDORES[[#This Row],[retención aplicada]])</f>
        <v>0</v>
      </c>
      <c r="Q1069" s="22">
        <f>+PROVEEDORES[[#This Row],[Rete Fuente %]]*(PROVEEDORES[[#This Row],[SUBTOTAL]]-PROVEEDORES[[#This Row],[descuento sobre subtotal]])</f>
        <v>0</v>
      </c>
      <c r="R1069" s="21">
        <f>+PROVEEDORES[[#This Row],[SUBTOTAL]]+PROVEEDORES[[#This Row],[IVA 19%]]-PROVEEDORES[[#This Row],[descuento sobre subtotal]]-PROVEEDORES[[#This Row],[Descuento sobre subtotal $2]]-PROVEEDORES[[#This Row],[Rete Fuente $]]</f>
        <v>990000</v>
      </c>
      <c r="S10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68">
        <f ca="1">IF(PROVEEDORES[[#This Row],[FECHA DE PAGO]]=0,TODAY()-PROVEEDORES[[#This Row],[FECHA DE FACTURACIÓN]]-PROVEEDORES[[#This Row],[PLAZO Días]],0)</f>
        <v>0</v>
      </c>
      <c r="U1069" s="96">
        <f>+VLOOKUP(PROVEEDORES[[#This Row],[PROVEEDOR]],Terceros!$A:$D,4,FALSE)</f>
        <v>0</v>
      </c>
      <c r="V1069" s="97">
        <f>+YEAR(PROVEEDORES[[#This Row],[FECHA DE FACTURACIÓN]])</f>
        <v>2021</v>
      </c>
      <c r="W1069" s="97">
        <f>+MATCH(PROVEEDORES[[#This Row],[año facturado]],Retenciones!$1:$1,0)</f>
        <v>4</v>
      </c>
      <c r="X1069" s="98">
        <f>+VLOOKUP(PROVEEDORES[[#This Row],[ID RETENCION]],Retenciones!$A$1:$O$25,PROVEEDORES[[#This Row],[indicador de columna]],FALSE)</f>
        <v>0</v>
      </c>
      <c r="Y1069" s="99">
        <f>+VLOOKUP(PROVEEDORES[[#This Row],[ID RETENCION]],Retenciones!$A$1:$O$25,2,FALSE)</f>
        <v>0</v>
      </c>
      <c r="Z1069" s="125" t="b">
        <f>OR(COUNTIF(PROVEEDORES[[#This Row],[PROVEEDOR]],"*"&amp;'Palabra no opera'!$A$2&amp;"*"))</f>
        <v>0</v>
      </c>
      <c r="AA1069" s="24"/>
      <c r="AB1069" s="24"/>
      <c r="AC1069" s="24"/>
      <c r="AD1069" s="24"/>
      <c r="AE1069" s="24"/>
    </row>
    <row r="1070" spans="1:31" ht="22.2" customHeight="1" x14ac:dyDescent="0.3">
      <c r="A1070" s="66" t="str">
        <f>+IF(PROVEEDORES[[#This Row],[FECHA DE PAGO]]=PROVEEDORES[[#This Row],[FECHA DE FACTURACIÓN]],"DE CONTADO","CRÉDITO")</f>
        <v>CRÉDITO</v>
      </c>
      <c r="B1070" s="38" t="str">
        <f>+IF((PROVEEDORES[[#This Row],[FECHA DE PAGO]]-PROVEEDORES[[#This Row],[FECHA DE FACTURACIÓN]])&gt;PROVEEDORES[[#This Row],[PLAZO Días]],"PAGO VENCIDO")</f>
        <v>PAGO VENCIDO</v>
      </c>
      <c r="C1070" s="20">
        <f>+VLOOKUP(PROVEEDORES[[#This Row],[PROVEEDOR]],TERCEROS_INFO[#All],2,FALSE)</f>
        <v>30</v>
      </c>
      <c r="D1070" s="25">
        <f>+SUMIFS(PROVEEDORES[Total],PROVEEDORES[PROVEEDOR],PROVEEDORES[[#This Row],[PROVEEDOR]],PROVEEDORES[FECHA DE PAGO],"")</f>
        <v>0</v>
      </c>
      <c r="E1070" s="25"/>
      <c r="F1070" s="58" t="str">
        <f>+VLOOKUP(PROVEEDORES[[#This Row],[PROVEEDOR]],
                       Terceros!$A:$F,
                       5,
                       FALSE)</f>
        <v>alejovelas0426@gmail.com;girlesa.ruiz@servipilas.com;joriescobar64@gmail.com</v>
      </c>
      <c r="G1070" s="161">
        <v>44568</v>
      </c>
      <c r="H1070" s="26" t="s">
        <v>621</v>
      </c>
      <c r="I1070" s="161">
        <v>44525</v>
      </c>
      <c r="J1070" s="35" t="s">
        <v>1531</v>
      </c>
      <c r="K1070" s="21">
        <v>990000</v>
      </c>
      <c r="L1070" s="21"/>
      <c r="M1070" s="22">
        <f>(PROVEEDORES[[#This Row],[SUBTOTAL]]-PROVEEDORES[[#This Row],[descuento sobre subtotal]])*VLOOKUP(PROVEEDORES[[#This Row],[PROVEEDOR]],TERCEROS_INFO[#All],3,FALSE)</f>
        <v>0</v>
      </c>
      <c r="N1070" s="23"/>
      <c r="O1070" s="22">
        <f>+PROVEEDORES[[#This Row],[Descuento sobre subtotal %]]*(PROVEEDORES[[#This Row],[SUBTOTAL]]-PROVEEDORES[[#This Row],[descuento sobre subtotal]])</f>
        <v>0</v>
      </c>
      <c r="P1070" s="83">
        <f>+IF(PROVEEDORES[[#This Row],[SUBTOTAL]]&lt;PROVEEDORES[[#This Row],[base retencion]],0,PROVEEDORES[[#This Row],[retención aplicada]])</f>
        <v>0</v>
      </c>
      <c r="Q1070" s="22">
        <f>+PROVEEDORES[[#This Row],[Rete Fuente %]]*(PROVEEDORES[[#This Row],[SUBTOTAL]]-PROVEEDORES[[#This Row],[descuento sobre subtotal]])</f>
        <v>0</v>
      </c>
      <c r="R1070" s="21">
        <v>990000</v>
      </c>
      <c r="S10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68">
        <f ca="1">IF(PROVEEDORES[[#This Row],[FECHA DE PAGO]]=0,TODAY()-PROVEEDORES[[#This Row],[FECHA DE FACTURACIÓN]]-PROVEEDORES[[#This Row],[PLAZO Días]],0)</f>
        <v>0</v>
      </c>
      <c r="U1070" s="96">
        <f>+VLOOKUP(PROVEEDORES[[#This Row],[PROVEEDOR]],Terceros!$A:$D,4,FALSE)</f>
        <v>0</v>
      </c>
      <c r="V1070" s="97">
        <f>+YEAR(PROVEEDORES[[#This Row],[FECHA DE FACTURACIÓN]])</f>
        <v>2021</v>
      </c>
      <c r="W1070" s="97">
        <f>+MATCH(PROVEEDORES[[#This Row],[año facturado]],Retenciones!$1:$1,0)</f>
        <v>4</v>
      </c>
      <c r="X1070" s="98">
        <f>+VLOOKUP(PROVEEDORES[[#This Row],[ID RETENCION]],Retenciones!$A$1:$O$25,PROVEEDORES[[#This Row],[indicador de columna]],FALSE)</f>
        <v>0</v>
      </c>
      <c r="Y1070" s="99">
        <f>+VLOOKUP(PROVEEDORES[[#This Row],[ID RETENCION]],Retenciones!$A$1:$O$25,2,FALSE)</f>
        <v>0</v>
      </c>
      <c r="Z1070" s="125" t="b">
        <f>OR(COUNTIF(PROVEEDORES[[#This Row],[PROVEEDOR]],"*"&amp;'Palabra no opera'!$A$2&amp;"*"))</f>
        <v>0</v>
      </c>
      <c r="AA1070" s="24"/>
      <c r="AB1070" s="24"/>
      <c r="AC1070" s="24"/>
      <c r="AD1070" s="24"/>
      <c r="AE1070" s="24"/>
    </row>
    <row r="1071" spans="1:31" ht="22.2" customHeight="1" x14ac:dyDescent="0.3">
      <c r="A1071" s="66" t="str">
        <f>+IF(PROVEEDORES[[#This Row],[FECHA DE PAGO]]=PROVEEDORES[[#This Row],[FECHA DE FACTURACIÓN]],"DE CONTADO","CRÉDITO")</f>
        <v>CRÉDITO</v>
      </c>
      <c r="B1071" s="38" t="str">
        <f>+IF((PROVEEDORES[[#This Row],[FECHA DE PAGO]]-PROVEEDORES[[#This Row],[FECHA DE FACTURACIÓN]])&gt;PROVEEDORES[[#This Row],[PLAZO Días]],"PAGO VENCIDO")</f>
        <v>PAGO VENCIDO</v>
      </c>
      <c r="C1071" s="20">
        <f>+VLOOKUP(PROVEEDORES[[#This Row],[PROVEEDOR]],TERCEROS_INFO[#All],2,FALSE)</f>
        <v>30</v>
      </c>
      <c r="D1071" s="25">
        <f>+SUMIFS(PROVEEDORES[Total],PROVEEDORES[PROVEEDOR],PROVEEDORES[[#This Row],[PROVEEDOR]],PROVEEDORES[FECHA DE PAGO],"")</f>
        <v>0</v>
      </c>
      <c r="E1071" s="25"/>
      <c r="F1071" s="58" t="str">
        <f>+VLOOKUP(PROVEEDORES[[#This Row],[PROVEEDOR]],
                       Terceros!$A:$F,
                       5,
                       FALSE)</f>
        <v/>
      </c>
      <c r="G1071" s="161">
        <v>44264</v>
      </c>
      <c r="H1071" s="26" t="s">
        <v>686</v>
      </c>
      <c r="I1071" s="161">
        <v>44210</v>
      </c>
      <c r="J1071" s="35">
        <v>757</v>
      </c>
      <c r="K1071" s="21">
        <v>990500</v>
      </c>
      <c r="L1071" s="21"/>
      <c r="M1071" s="22">
        <f>(PROVEEDORES[[#This Row],[SUBTOTAL]]-PROVEEDORES[[#This Row],[descuento sobre subtotal]])*VLOOKUP(PROVEEDORES[[#This Row],[PROVEEDOR]],TERCEROS_INFO[#All],3,FALSE)</f>
        <v>0</v>
      </c>
      <c r="N1071" s="23"/>
      <c r="O1071" s="22">
        <f>+PROVEEDORES[[#This Row],[Descuento sobre subtotal %]]*(PROVEEDORES[[#This Row],[SUBTOTAL]]-PROVEEDORES[[#This Row],[descuento sobre subtotal]])</f>
        <v>0</v>
      </c>
      <c r="P1071" s="83">
        <f>+IF(PROVEEDORES[[#This Row],[SUBTOTAL]]&lt;PROVEEDORES[[#This Row],[base retencion]],0,PROVEEDORES[[#This Row],[retención aplicada]])</f>
        <v>0</v>
      </c>
      <c r="Q1071" s="22">
        <f>+PROVEEDORES[[#This Row],[Rete Fuente %]]*(PROVEEDORES[[#This Row],[SUBTOTAL]]-PROVEEDORES[[#This Row],[descuento sobre subtotal]])</f>
        <v>0</v>
      </c>
      <c r="R1071" s="21">
        <f>+PROVEEDORES[[#This Row],[SUBTOTAL]]+PROVEEDORES[[#This Row],[IVA 19%]]-PROVEEDORES[[#This Row],[descuento sobre subtotal]]-PROVEEDORES[[#This Row],[Descuento sobre subtotal $2]]-PROVEEDORES[[#This Row],[Rete Fuente $]]</f>
        <v>990500</v>
      </c>
      <c r="S10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68">
        <f ca="1">IF(PROVEEDORES[[#This Row],[FECHA DE PAGO]]=0,TODAY()-PROVEEDORES[[#This Row],[FECHA DE FACTURACIÓN]]-PROVEEDORES[[#This Row],[PLAZO Días]],0)</f>
        <v>0</v>
      </c>
      <c r="U1071" s="96">
        <f>+VLOOKUP(PROVEEDORES[[#This Row],[PROVEEDOR]],Terceros!$A:$D,4,FALSE)</f>
        <v>0</v>
      </c>
      <c r="V1071" s="97">
        <f>+YEAR(PROVEEDORES[[#This Row],[FECHA DE FACTURACIÓN]])</f>
        <v>2021</v>
      </c>
      <c r="W1071" s="97">
        <f>+MATCH(PROVEEDORES[[#This Row],[año facturado]],Retenciones!$1:$1,0)</f>
        <v>4</v>
      </c>
      <c r="X1071" s="98">
        <f>+VLOOKUP(PROVEEDORES[[#This Row],[ID RETENCION]],Retenciones!$A$1:$O$25,PROVEEDORES[[#This Row],[indicador de columna]],FALSE)</f>
        <v>0</v>
      </c>
      <c r="Y1071" s="99">
        <f>+VLOOKUP(PROVEEDORES[[#This Row],[ID RETENCION]],Retenciones!$A$1:$O$25,2,FALSE)</f>
        <v>0</v>
      </c>
      <c r="Z1071" s="125" t="b">
        <f>OR(COUNTIF(PROVEEDORES[[#This Row],[PROVEEDOR]],"*"&amp;'Palabra no opera'!$A$2&amp;"*"))</f>
        <v>0</v>
      </c>
      <c r="AA1071" s="24"/>
      <c r="AB1071" s="24"/>
      <c r="AC1071" s="24"/>
      <c r="AD1071" s="24"/>
      <c r="AE1071" s="24"/>
    </row>
    <row r="1072" spans="1:31" ht="22.2" customHeight="1" x14ac:dyDescent="0.3">
      <c r="A1072" s="140" t="str">
        <f>+IF(PROVEEDORES[[#This Row],[FECHA DE PAGO]]=PROVEEDORES[[#This Row],[FECHA DE FACTURACIÓN]],"DE CONTADO","CRÉDITO")</f>
        <v>CRÉDITO</v>
      </c>
      <c r="B1072" s="38" t="str">
        <f>+IF((PROVEEDORES[[#This Row],[FECHA DE PAGO]]-PROVEEDORES[[#This Row],[FECHA DE FACTURACIÓN]])&gt;PROVEEDORES[[#This Row],[PLAZO Días]],"PAGO VENCIDO")</f>
        <v>PAGO VENCIDO</v>
      </c>
      <c r="C1072" s="20">
        <f>+VLOOKUP(PROVEEDORES[[#This Row],[PROVEEDOR]],TERCEROS_INFO[#All],2,FALSE)</f>
        <v>30</v>
      </c>
      <c r="D1072" s="25">
        <f>+SUMIFS(PROVEEDORES[Total],PROVEEDORES[PROVEEDOR],PROVEEDORES[[#This Row],[PROVEEDOR]],PROVEEDORES[FECHA DE PAGO],"")</f>
        <v>4712021.58</v>
      </c>
      <c r="E1072" s="25"/>
      <c r="F107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72" s="161">
        <v>44733</v>
      </c>
      <c r="H1072" s="26" t="s">
        <v>17</v>
      </c>
      <c r="I1072" s="161">
        <v>44698</v>
      </c>
      <c r="J1072" s="35">
        <v>1914942</v>
      </c>
      <c r="K1072" s="21">
        <v>836500</v>
      </c>
      <c r="L1072" s="21"/>
      <c r="M1072" s="22">
        <f>(PROVEEDORES[[#This Row],[SUBTOTAL]]-PROVEEDORES[[#This Row],[descuento sobre subtotal]])*VLOOKUP(PROVEEDORES[[#This Row],[PROVEEDOR]],TERCEROS_INFO[#All],3,FALSE)</f>
        <v>158935</v>
      </c>
      <c r="N1072" s="23"/>
      <c r="O1072" s="22">
        <f>+PROVEEDORES[[#This Row],[Descuento sobre subtotal %]]*(PROVEEDORES[[#This Row],[SUBTOTAL]]-PROVEEDORES[[#This Row],[descuento sobre subtotal]])</f>
        <v>0</v>
      </c>
      <c r="P1072" s="83">
        <f>+IF(PROVEEDORES[[#This Row],[SUBTOTAL]]&lt;PROVEEDORES[[#This Row],[base retencion]],0,PROVEEDORES[[#This Row],[retención aplicada]])</f>
        <v>0</v>
      </c>
      <c r="Q1072" s="22">
        <f>+PROVEEDORES[[#This Row],[Rete Fuente %]]*(PROVEEDORES[[#This Row],[SUBTOTAL]]-PROVEEDORES[[#This Row],[descuento sobre subtotal]])</f>
        <v>0</v>
      </c>
      <c r="R1072" s="21">
        <f>+PROVEEDORES[[#This Row],[SUBTOTAL]]+PROVEEDORES[[#This Row],[IVA 19%]]-PROVEEDORES[[#This Row],[descuento sobre subtotal]]-PROVEEDORES[[#This Row],[Descuento sobre subtotal $2]]-PROVEEDORES[[#This Row],[Rete Fuente $]]</f>
        <v>995435</v>
      </c>
      <c r="S1072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68">
        <f ca="1">IF(PROVEEDORES[[#This Row],[FECHA DE PAGO]]=0,TODAY()-PROVEEDORES[[#This Row],[FECHA DE FACTURACIÓN]]-PROVEEDORES[[#This Row],[PLAZO Días]],0)</f>
        <v>0</v>
      </c>
      <c r="U1072" s="113">
        <f>+VLOOKUP(PROVEEDORES[[#This Row],[PROVEEDOR]],Terceros!$A:$D,4,FALSE)</f>
        <v>0</v>
      </c>
      <c r="V1072" s="114">
        <f>+YEAR(PROVEEDORES[[#This Row],[FECHA DE FACTURACIÓN]])</f>
        <v>2022</v>
      </c>
      <c r="W1072" s="114">
        <f>+MATCH(PROVEEDORES[[#This Row],[año facturado]],Retenciones!$1:$1,0)</f>
        <v>5</v>
      </c>
      <c r="X1072" s="115">
        <f>+VLOOKUP(PROVEEDORES[[#This Row],[ID RETENCION]],Retenciones!$A$1:$O$25,PROVEEDORES[[#This Row],[indicador de columna]],FALSE)</f>
        <v>0</v>
      </c>
      <c r="Y1072" s="116">
        <f>+VLOOKUP(PROVEEDORES[[#This Row],[ID RETENCION]],Retenciones!$A$1:$O$25,2,FALSE)</f>
        <v>0</v>
      </c>
      <c r="Z1072" s="125" t="b">
        <f>OR(COUNTIF(PROVEEDORES[[#This Row],[PROVEEDOR]],"*"&amp;'Palabra no opera'!$A$2&amp;"*"))</f>
        <v>0</v>
      </c>
      <c r="AA1072" s="24"/>
      <c r="AB1072" s="24"/>
      <c r="AC1072" s="24"/>
      <c r="AD1072" s="24"/>
      <c r="AE1072" s="24"/>
    </row>
    <row r="1073" spans="1:31" ht="22.2" customHeight="1" x14ac:dyDescent="0.3">
      <c r="A1073" s="66" t="str">
        <f>+IF(PROVEEDORES[[#This Row],[FECHA DE PAGO]]=PROVEEDORES[[#This Row],[FECHA DE FACTURACIÓN]],"DE CONTADO","CRÉDITO")</f>
        <v>CRÉDITO</v>
      </c>
      <c r="B1073" s="38" t="b">
        <f>+IF((PROVEEDORES[[#This Row],[FECHA DE PAGO]]-PROVEEDORES[[#This Row],[FECHA DE FACTURACIÓN]])&gt;PROVEEDORES[[#This Row],[PLAZO Días]],"PAGO VENCIDO")</f>
        <v>0</v>
      </c>
      <c r="C1073" s="20">
        <f>+VLOOKUP(PROVEEDORES[[#This Row],[PROVEEDOR]],TERCEROS_INFO[#All],2,FALSE)</f>
        <v>30</v>
      </c>
      <c r="D1073" s="25">
        <f>+SUMIFS(PROVEEDORES[Total],PROVEEDORES[PROVEEDOR],PROVEEDORES[[#This Row],[PROVEEDOR]],PROVEEDORES[FECHA DE PAGO],"")</f>
        <v>0</v>
      </c>
      <c r="E1073" s="25"/>
      <c r="F1073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73" s="161">
        <v>44476</v>
      </c>
      <c r="H1073" s="26" t="s">
        <v>49</v>
      </c>
      <c r="I1073" s="161">
        <v>44446</v>
      </c>
      <c r="J1073" s="35">
        <v>3993</v>
      </c>
      <c r="K1073" s="21">
        <v>840336</v>
      </c>
      <c r="L1073" s="21"/>
      <c r="M1073" s="22">
        <f>(PROVEEDORES[[#This Row],[SUBTOTAL]]-PROVEEDORES[[#This Row],[descuento sobre subtotal]])*VLOOKUP(PROVEEDORES[[#This Row],[PROVEEDOR]],TERCEROS_INFO[#All],3,FALSE)</f>
        <v>159663.84</v>
      </c>
      <c r="N1073" s="23"/>
      <c r="O1073" s="22">
        <f>+PROVEEDORES[[#This Row],[Descuento sobre subtotal %]]*(PROVEEDORES[[#This Row],[SUBTOTAL]]-PROVEEDORES[[#This Row],[descuento sobre subtotal]])</f>
        <v>0</v>
      </c>
      <c r="P1073" s="83">
        <f>+IF(PROVEEDORES[[#This Row],[SUBTOTAL]]&lt;PROVEEDORES[[#This Row],[base retencion]],0,PROVEEDORES[[#This Row],[retención aplicada]])</f>
        <v>0</v>
      </c>
      <c r="Q1073" s="22">
        <f>+PROVEEDORES[[#This Row],[Rete Fuente %]]*(PROVEEDORES[[#This Row],[SUBTOTAL]]-PROVEEDORES[[#This Row],[descuento sobre subtotal]])</f>
        <v>0</v>
      </c>
      <c r="R1073" s="21">
        <f>+PROVEEDORES[[#This Row],[SUBTOTAL]]+PROVEEDORES[[#This Row],[IVA 19%]]-PROVEEDORES[[#This Row],[descuento sobre subtotal]]-PROVEEDORES[[#This Row],[Descuento sobre subtotal $2]]-PROVEEDORES[[#This Row],[Rete Fuente $]]</f>
        <v>999999.84</v>
      </c>
      <c r="S10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68">
        <f ca="1">IF(PROVEEDORES[[#This Row],[FECHA DE PAGO]]=0,TODAY()-PROVEEDORES[[#This Row],[FECHA DE FACTURACIÓN]]-PROVEEDORES[[#This Row],[PLAZO Días]],0)</f>
        <v>0</v>
      </c>
      <c r="U1073" s="96" t="str">
        <f>+VLOOKUP(PROVEEDORES[[#This Row],[PROVEEDOR]],Terceros!$A:$D,4,FALSE)</f>
        <v>2,5% con base</v>
      </c>
      <c r="V1073" s="97">
        <f>+YEAR(PROVEEDORES[[#This Row],[FECHA DE FACTURACIÓN]])</f>
        <v>2021</v>
      </c>
      <c r="W1073" s="97">
        <f>+MATCH(PROVEEDORES[[#This Row],[año facturado]],Retenciones!$1:$1,0)</f>
        <v>4</v>
      </c>
      <c r="X1073" s="98">
        <f>+VLOOKUP(PROVEEDORES[[#This Row],[ID RETENCION]],Retenciones!$A$1:$O$25,PROVEEDORES[[#This Row],[indicador de columna]],FALSE)</f>
        <v>980000</v>
      </c>
      <c r="Y1073" s="99">
        <f>+VLOOKUP(PROVEEDORES[[#This Row],[ID RETENCION]],Retenciones!$A$1:$O$25,2,FALSE)</f>
        <v>2.5000000000000001E-2</v>
      </c>
      <c r="Z1073" s="125" t="b">
        <f>OR(COUNTIF(PROVEEDORES[[#This Row],[PROVEEDOR]],"*"&amp;'Palabra no opera'!$A$2&amp;"*"))</f>
        <v>0</v>
      </c>
      <c r="AA1073" s="24"/>
      <c r="AB1073" s="24"/>
      <c r="AC1073" s="24"/>
      <c r="AD1073" s="24"/>
      <c r="AE1073" s="24"/>
    </row>
    <row r="1074" spans="1:31" ht="22.2" customHeight="1" x14ac:dyDescent="0.3">
      <c r="A1074" s="66" t="str">
        <f>+IF(PROVEEDORES[[#This Row],[FECHA DE PAGO]]=PROVEEDORES[[#This Row],[FECHA DE FACTURACIÓN]],"DE CONTADO","CRÉDITO")</f>
        <v>CRÉDITO</v>
      </c>
      <c r="B1074" s="38" t="str">
        <f>+IF((PROVEEDORES[[#This Row],[FECHA DE PAGO]]-PROVEEDORES[[#This Row],[FECHA DE FACTURACIÓN]])&gt;PROVEEDORES[[#This Row],[PLAZO Días]],"PAGO VENCIDO")</f>
        <v>PAGO VENCIDO</v>
      </c>
      <c r="C1074" s="20">
        <f>+VLOOKUP(PROVEEDORES[[#This Row],[PROVEEDOR]],TERCEROS_INFO[#All],2,FALSE)</f>
        <v>30</v>
      </c>
      <c r="D1074" s="25">
        <f>+SUMIFS(PROVEEDORES[Total],PROVEEDORES[PROVEEDOR],PROVEEDORES[[#This Row],[PROVEEDOR]],PROVEEDORES[FECHA DE PAGO],"")</f>
        <v>0</v>
      </c>
      <c r="E1074" s="25"/>
      <c r="F107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74" s="161">
        <v>44642</v>
      </c>
      <c r="H1074" s="26" t="s">
        <v>49</v>
      </c>
      <c r="I1074" s="161">
        <v>44610</v>
      </c>
      <c r="J1074" s="35">
        <v>6049</v>
      </c>
      <c r="K1074" s="21">
        <v>840336</v>
      </c>
      <c r="L1074" s="21"/>
      <c r="M1074" s="22">
        <v>159663.84</v>
      </c>
      <c r="N1074" s="23"/>
      <c r="O1074" s="22">
        <v>0</v>
      </c>
      <c r="P1074" s="83">
        <f>+IF(PROVEEDORES[[#This Row],[SUBTOTAL]]&lt;PROVEEDORES[[#This Row],[base retencion]],0,PROVEEDORES[[#This Row],[retención aplicada]])</f>
        <v>0</v>
      </c>
      <c r="Q1074" s="22">
        <f>+PROVEEDORES[[#This Row],[Rete Fuente %]]*(PROVEEDORES[[#This Row],[SUBTOTAL]]-PROVEEDORES[[#This Row],[descuento sobre subtotal]])</f>
        <v>0</v>
      </c>
      <c r="R1074" s="21">
        <v>999999.84</v>
      </c>
      <c r="S10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68">
        <f ca="1">IF(PROVEEDORES[[#This Row],[FECHA DE PAGO]]=0,TODAY()-PROVEEDORES[[#This Row],[FECHA DE FACTURACIÓN]]-PROVEEDORES[[#This Row],[PLAZO Días]],0)</f>
        <v>0</v>
      </c>
      <c r="U1074" s="96" t="str">
        <f>+VLOOKUP(PROVEEDORES[[#This Row],[PROVEEDOR]],Terceros!$A:$D,4,FALSE)</f>
        <v>2,5% con base</v>
      </c>
      <c r="V1074" s="97">
        <f>+YEAR(PROVEEDORES[[#This Row],[FECHA DE FACTURACIÓN]])</f>
        <v>2022</v>
      </c>
      <c r="W1074" s="97">
        <f>+MATCH(PROVEEDORES[[#This Row],[año facturado]],Retenciones!$1:$1,0)</f>
        <v>5</v>
      </c>
      <c r="X1074" s="98">
        <f>+VLOOKUP(PROVEEDORES[[#This Row],[ID RETENCION]],Retenciones!$A$1:$O$25,PROVEEDORES[[#This Row],[indicador de columna]],FALSE)</f>
        <v>1026000</v>
      </c>
      <c r="Y1074" s="99">
        <f>+VLOOKUP(PROVEEDORES[[#This Row],[ID RETENCION]],Retenciones!$A$1:$O$25,2,FALSE)</f>
        <v>2.5000000000000001E-2</v>
      </c>
      <c r="Z1074" s="125" t="b">
        <f>OR(COUNTIF(PROVEEDORES[[#This Row],[PROVEEDOR]],"*"&amp;'Palabra no opera'!$A$2&amp;"*"))</f>
        <v>0</v>
      </c>
      <c r="AA1074" s="24"/>
      <c r="AB1074" s="24"/>
      <c r="AC1074" s="24"/>
      <c r="AD1074" s="24"/>
      <c r="AE1074" s="24"/>
    </row>
    <row r="1075" spans="1:31" ht="22.2" customHeight="1" x14ac:dyDescent="0.3">
      <c r="A1075" s="66" t="str">
        <f>+IF(PROVEEDORES[[#This Row],[FECHA DE PAGO]]=PROVEEDORES[[#This Row],[FECHA DE FACTURACIÓN]],"DE CONTADO","CRÉDITO")</f>
        <v>DE CONTADO</v>
      </c>
      <c r="B1075" s="38" t="b">
        <f>+IF((PROVEEDORES[[#This Row],[FECHA DE PAGO]]-PROVEEDORES[[#This Row],[FECHA DE FACTURACIÓN]])&gt;PROVEEDORES[[#This Row],[PLAZO Días]],"PAGO VENCIDO")</f>
        <v>0</v>
      </c>
      <c r="C1075" s="20">
        <f>+VLOOKUP(PROVEEDORES[[#This Row],[PROVEEDOR]],TERCEROS_INFO[#All],2,FALSE)</f>
        <v>30</v>
      </c>
      <c r="D1075" s="25">
        <f>+SUMIFS(PROVEEDORES[Total],PROVEEDORES[PROVEEDOR],PROVEEDORES[[#This Row],[PROVEEDOR]],PROVEEDORES[FECHA DE PAGO],"")</f>
        <v>0</v>
      </c>
      <c r="E1075" s="25"/>
      <c r="F1075" s="58" t="str">
        <f>+VLOOKUP(PROVEEDORES[[#This Row],[PROVEEDOR]],
                       Terceros!$A:$F,
                       5,
                       FALSE)</f>
        <v/>
      </c>
      <c r="G1075" s="161">
        <v>44244</v>
      </c>
      <c r="H1075" s="26" t="s">
        <v>673</v>
      </c>
      <c r="I1075" s="161">
        <v>44244</v>
      </c>
      <c r="J1075" s="35"/>
      <c r="K1075" s="21">
        <v>1000000</v>
      </c>
      <c r="L1075" s="21"/>
      <c r="M1075" s="22">
        <f>(PROVEEDORES[[#This Row],[SUBTOTAL]]-PROVEEDORES[[#This Row],[descuento sobre subtotal]])*VLOOKUP(PROVEEDORES[[#This Row],[PROVEEDOR]],TERCEROS_INFO[#All],3,FALSE)</f>
        <v>0</v>
      </c>
      <c r="N1075" s="23"/>
      <c r="O1075" s="22">
        <f>+PROVEEDORES[[#This Row],[Descuento sobre subtotal %]]*(PROVEEDORES[[#This Row],[SUBTOTAL]]-PROVEEDORES[[#This Row],[descuento sobre subtotal]])</f>
        <v>0</v>
      </c>
      <c r="P1075" s="83">
        <f>+IF(PROVEEDORES[[#This Row],[SUBTOTAL]]&lt;PROVEEDORES[[#This Row],[base retencion]],0,PROVEEDORES[[#This Row],[retención aplicada]])</f>
        <v>0</v>
      </c>
      <c r="Q1075" s="22">
        <f>+PROVEEDORES[[#This Row],[Rete Fuente %]]*(PROVEEDORES[[#This Row],[SUBTOTAL]]-PROVEEDORES[[#This Row],[descuento sobre subtotal]])</f>
        <v>0</v>
      </c>
      <c r="R107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68">
        <f ca="1">IF(PROVEEDORES[[#This Row],[FECHA DE PAGO]]=0,TODAY()-PROVEEDORES[[#This Row],[FECHA DE FACTURACIÓN]]-PROVEEDORES[[#This Row],[PLAZO Días]],0)</f>
        <v>0</v>
      </c>
      <c r="U1075" s="96">
        <f>+VLOOKUP(PROVEEDORES[[#This Row],[PROVEEDOR]],Terceros!$A:$D,4,FALSE)</f>
        <v>0</v>
      </c>
      <c r="V1075" s="97">
        <f>+YEAR(PROVEEDORES[[#This Row],[FECHA DE FACTURACIÓN]])</f>
        <v>2021</v>
      </c>
      <c r="W1075" s="97">
        <f>+MATCH(PROVEEDORES[[#This Row],[año facturado]],Retenciones!$1:$1,0)</f>
        <v>4</v>
      </c>
      <c r="X1075" s="98">
        <f>+VLOOKUP(PROVEEDORES[[#This Row],[ID RETENCION]],Retenciones!$A$1:$O$25,PROVEEDORES[[#This Row],[indicador de columna]],FALSE)</f>
        <v>0</v>
      </c>
      <c r="Y1075" s="99">
        <f>+VLOOKUP(PROVEEDORES[[#This Row],[ID RETENCION]],Retenciones!$A$1:$O$25,2,FALSE)</f>
        <v>0</v>
      </c>
      <c r="Z1075" s="125" t="b">
        <f>OR(COUNTIF(PROVEEDORES[[#This Row],[PROVEEDOR]],"*"&amp;'Palabra no opera'!$A$2&amp;"*"))</f>
        <v>0</v>
      </c>
      <c r="AA1075" s="24"/>
      <c r="AB1075" s="24"/>
      <c r="AC1075" s="24"/>
      <c r="AD1075" s="24"/>
      <c r="AE1075" s="24"/>
    </row>
    <row r="1076" spans="1:31" ht="22.2" customHeight="1" x14ac:dyDescent="0.3">
      <c r="A1076" s="66" t="str">
        <f>+IF(PROVEEDORES[[#This Row],[FECHA DE PAGO]]=PROVEEDORES[[#This Row],[FECHA DE FACTURACIÓN]],"DE CONTADO","CRÉDITO")</f>
        <v>DE CONTADO</v>
      </c>
      <c r="B1076" s="38" t="b">
        <f>+IF((PROVEEDORES[[#This Row],[FECHA DE PAGO]]-PROVEEDORES[[#This Row],[FECHA DE FACTURACIÓN]])&gt;PROVEEDORES[[#This Row],[PLAZO Días]],"PAGO VENCIDO")</f>
        <v>0</v>
      </c>
      <c r="C1076" s="20">
        <f>+VLOOKUP(PROVEEDORES[[#This Row],[PROVEEDOR]],TERCEROS_INFO[#All],2,FALSE)</f>
        <v>30</v>
      </c>
      <c r="D1076" s="25">
        <f>+SUMIFS(PROVEEDORES[Total],PROVEEDORES[PROVEEDOR],PROVEEDORES[[#This Row],[PROVEEDOR]],PROVEEDORES[FECHA DE PAGO],"")</f>
        <v>0</v>
      </c>
      <c r="E1076" s="25"/>
      <c r="F1076" s="58" t="str">
        <f>+VLOOKUP(PROVEEDORES[[#This Row],[PROVEEDOR]],
                       Terceros!$A:$F,
                       5,
                       FALSE)</f>
        <v/>
      </c>
      <c r="G1076" s="161">
        <v>44245</v>
      </c>
      <c r="H1076" s="26" t="s">
        <v>673</v>
      </c>
      <c r="I1076" s="161">
        <v>44245</v>
      </c>
      <c r="J1076" s="35"/>
      <c r="K1076" s="21">
        <v>1000000</v>
      </c>
      <c r="L1076" s="21"/>
      <c r="M1076" s="22">
        <f>(PROVEEDORES[[#This Row],[SUBTOTAL]]-PROVEEDORES[[#This Row],[descuento sobre subtotal]])*VLOOKUP(PROVEEDORES[[#This Row],[PROVEEDOR]],TERCEROS_INFO[#All],3,FALSE)</f>
        <v>0</v>
      </c>
      <c r="N1076" s="23"/>
      <c r="O1076" s="22">
        <f>+PROVEEDORES[[#This Row],[Descuento sobre subtotal %]]*(PROVEEDORES[[#This Row],[SUBTOTAL]]-PROVEEDORES[[#This Row],[descuento sobre subtotal]])</f>
        <v>0</v>
      </c>
      <c r="P1076" s="83">
        <f>+IF(PROVEEDORES[[#This Row],[SUBTOTAL]]&lt;PROVEEDORES[[#This Row],[base retencion]],0,PROVEEDORES[[#This Row],[retención aplicada]])</f>
        <v>0</v>
      </c>
      <c r="Q1076" s="22">
        <f>+PROVEEDORES[[#This Row],[Rete Fuente %]]*(PROVEEDORES[[#This Row],[SUBTOTAL]]-PROVEEDORES[[#This Row],[descuento sobre subtotal]])</f>
        <v>0</v>
      </c>
      <c r="R107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68">
        <f ca="1">IF(PROVEEDORES[[#This Row],[FECHA DE PAGO]]=0,TODAY()-PROVEEDORES[[#This Row],[FECHA DE FACTURACIÓN]]-PROVEEDORES[[#This Row],[PLAZO Días]],0)</f>
        <v>0</v>
      </c>
      <c r="U1076" s="96">
        <f>+VLOOKUP(PROVEEDORES[[#This Row],[PROVEEDOR]],Terceros!$A:$D,4,FALSE)</f>
        <v>0</v>
      </c>
      <c r="V1076" s="97">
        <f>+YEAR(PROVEEDORES[[#This Row],[FECHA DE FACTURACIÓN]])</f>
        <v>2021</v>
      </c>
      <c r="W1076" s="97">
        <f>+MATCH(PROVEEDORES[[#This Row],[año facturado]],Retenciones!$1:$1,0)</f>
        <v>4</v>
      </c>
      <c r="X1076" s="98">
        <f>+VLOOKUP(PROVEEDORES[[#This Row],[ID RETENCION]],Retenciones!$A$1:$O$25,PROVEEDORES[[#This Row],[indicador de columna]],FALSE)</f>
        <v>0</v>
      </c>
      <c r="Y1076" s="99">
        <f>+VLOOKUP(PROVEEDORES[[#This Row],[ID RETENCION]],Retenciones!$A$1:$O$25,2,FALSE)</f>
        <v>0</v>
      </c>
      <c r="Z1076" s="125" t="b">
        <f>OR(COUNTIF(PROVEEDORES[[#This Row],[PROVEEDOR]],"*"&amp;'Palabra no opera'!$A$2&amp;"*"))</f>
        <v>0</v>
      </c>
      <c r="AA1076" s="24"/>
      <c r="AB1076" s="24"/>
      <c r="AC1076" s="24"/>
      <c r="AD1076" s="24"/>
      <c r="AE1076" s="24"/>
    </row>
    <row r="1077" spans="1:31" ht="22.2" customHeight="1" x14ac:dyDescent="0.3">
      <c r="A1077" s="66" t="str">
        <f>+IF(PROVEEDORES[[#This Row],[FECHA DE PAGO]]=PROVEEDORES[[#This Row],[FECHA DE FACTURACIÓN]],"DE CONTADO","CRÉDITO")</f>
        <v>DE CONTADO</v>
      </c>
      <c r="B1077" s="38" t="b">
        <f>+IF((PROVEEDORES[[#This Row],[FECHA DE PAGO]]-PROVEEDORES[[#This Row],[FECHA DE FACTURACIÓN]])&gt;PROVEEDORES[[#This Row],[PLAZO Días]],"PAGO VENCIDO")</f>
        <v>0</v>
      </c>
      <c r="C1077" s="20">
        <f>+VLOOKUP(PROVEEDORES[[#This Row],[PROVEEDOR]],TERCEROS_INFO[#All],2,FALSE)</f>
        <v>30</v>
      </c>
      <c r="D1077" s="25">
        <f>+SUMIFS(PROVEEDORES[Total],PROVEEDORES[PROVEEDOR],PROVEEDORES[[#This Row],[PROVEEDOR]],PROVEEDORES[FECHA DE PAGO],"")</f>
        <v>0</v>
      </c>
      <c r="E1077" s="25"/>
      <c r="F1077" s="58" t="str">
        <f>+VLOOKUP(PROVEEDORES[[#This Row],[PROVEEDOR]],
                       Terceros!$A:$F,
                       5,
                       FALSE)</f>
        <v/>
      </c>
      <c r="G1077" s="161">
        <v>44258</v>
      </c>
      <c r="H1077" s="26" t="s">
        <v>673</v>
      </c>
      <c r="I1077" s="161">
        <v>44258</v>
      </c>
      <c r="J1077" s="35"/>
      <c r="K1077" s="21">
        <v>1000000</v>
      </c>
      <c r="L1077" s="21"/>
      <c r="M1077" s="22">
        <f>(PROVEEDORES[[#This Row],[SUBTOTAL]]-PROVEEDORES[[#This Row],[descuento sobre subtotal]])*VLOOKUP(PROVEEDORES[[#This Row],[PROVEEDOR]],TERCEROS_INFO[#All],3,FALSE)</f>
        <v>0</v>
      </c>
      <c r="N1077" s="23"/>
      <c r="O1077" s="22">
        <f>+PROVEEDORES[[#This Row],[Descuento sobre subtotal %]]*(PROVEEDORES[[#This Row],[SUBTOTAL]]-PROVEEDORES[[#This Row],[descuento sobre subtotal]])</f>
        <v>0</v>
      </c>
      <c r="P1077" s="83">
        <f>+IF(PROVEEDORES[[#This Row],[SUBTOTAL]]&lt;PROVEEDORES[[#This Row],[base retencion]],0,PROVEEDORES[[#This Row],[retención aplicada]])</f>
        <v>0</v>
      </c>
      <c r="Q1077" s="22">
        <f>+PROVEEDORES[[#This Row],[Rete Fuente %]]*(PROVEEDORES[[#This Row],[SUBTOTAL]]-PROVEEDORES[[#This Row],[descuento sobre subtotal]])</f>
        <v>0</v>
      </c>
      <c r="R107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68">
        <f ca="1">IF(PROVEEDORES[[#This Row],[FECHA DE PAGO]]=0,TODAY()-PROVEEDORES[[#This Row],[FECHA DE FACTURACIÓN]]-PROVEEDORES[[#This Row],[PLAZO Días]],0)</f>
        <v>0</v>
      </c>
      <c r="U1077" s="96">
        <f>+VLOOKUP(PROVEEDORES[[#This Row],[PROVEEDOR]],Terceros!$A:$D,4,FALSE)</f>
        <v>0</v>
      </c>
      <c r="V1077" s="97">
        <f>+YEAR(PROVEEDORES[[#This Row],[FECHA DE FACTURACIÓN]])</f>
        <v>2021</v>
      </c>
      <c r="W1077" s="97">
        <f>+MATCH(PROVEEDORES[[#This Row],[año facturado]],Retenciones!$1:$1,0)</f>
        <v>4</v>
      </c>
      <c r="X1077" s="98">
        <f>+VLOOKUP(PROVEEDORES[[#This Row],[ID RETENCION]],Retenciones!$A$1:$O$25,PROVEEDORES[[#This Row],[indicador de columna]],FALSE)</f>
        <v>0</v>
      </c>
      <c r="Y1077" s="99">
        <f>+VLOOKUP(PROVEEDORES[[#This Row],[ID RETENCION]],Retenciones!$A$1:$O$25,2,FALSE)</f>
        <v>0</v>
      </c>
      <c r="Z1077" s="125" t="b">
        <f>OR(COUNTIF(PROVEEDORES[[#This Row],[PROVEEDOR]],"*"&amp;'Palabra no opera'!$A$2&amp;"*"))</f>
        <v>0</v>
      </c>
      <c r="AA1077" s="24"/>
      <c r="AB1077" s="24"/>
      <c r="AC1077" s="24"/>
      <c r="AD1077" s="24"/>
      <c r="AE1077" s="24"/>
    </row>
    <row r="1078" spans="1:31" ht="22.2" customHeight="1" x14ac:dyDescent="0.3">
      <c r="A1078" s="66" t="str">
        <f>+IF(PROVEEDORES[[#This Row],[FECHA DE PAGO]]=PROVEEDORES[[#This Row],[FECHA DE FACTURACIÓN]],"DE CONTADO","CRÉDITO")</f>
        <v>DE CONTADO</v>
      </c>
      <c r="B1078" s="38" t="b">
        <f>+IF((PROVEEDORES[[#This Row],[FECHA DE PAGO]]-PROVEEDORES[[#This Row],[FECHA DE FACTURACIÓN]])&gt;PROVEEDORES[[#This Row],[PLAZO Días]],"PAGO VENCIDO")</f>
        <v>0</v>
      </c>
      <c r="C1078" s="20">
        <f>+VLOOKUP(PROVEEDORES[[#This Row],[PROVEEDOR]],TERCEROS_INFO[#All],2,FALSE)</f>
        <v>30</v>
      </c>
      <c r="D1078" s="25">
        <f>+SUMIFS(PROVEEDORES[Total],PROVEEDORES[PROVEEDOR],PROVEEDORES[[#This Row],[PROVEEDOR]],PROVEEDORES[FECHA DE PAGO],"")</f>
        <v>0</v>
      </c>
      <c r="E1078" s="25"/>
      <c r="F1078" s="58" t="str">
        <f>+VLOOKUP(PROVEEDORES[[#This Row],[PROVEEDOR]],
                       Terceros!$A:$F,
                       5,
                       FALSE)</f>
        <v/>
      </c>
      <c r="G1078" s="161">
        <v>44264</v>
      </c>
      <c r="H1078" s="26" t="s">
        <v>673</v>
      </c>
      <c r="I1078" s="161">
        <v>44264</v>
      </c>
      <c r="J1078" s="35"/>
      <c r="K1078" s="21">
        <v>1000000</v>
      </c>
      <c r="L1078" s="21"/>
      <c r="M1078" s="22">
        <f>(PROVEEDORES[[#This Row],[SUBTOTAL]]-PROVEEDORES[[#This Row],[descuento sobre subtotal]])*VLOOKUP(PROVEEDORES[[#This Row],[PROVEEDOR]],TERCEROS_INFO[#All],3,FALSE)</f>
        <v>0</v>
      </c>
      <c r="N1078" s="23"/>
      <c r="O1078" s="22">
        <f>+PROVEEDORES[[#This Row],[Descuento sobre subtotal %]]*(PROVEEDORES[[#This Row],[SUBTOTAL]]-PROVEEDORES[[#This Row],[descuento sobre subtotal]])</f>
        <v>0</v>
      </c>
      <c r="P1078" s="83">
        <f>+IF(PROVEEDORES[[#This Row],[SUBTOTAL]]&lt;PROVEEDORES[[#This Row],[base retencion]],0,PROVEEDORES[[#This Row],[retención aplicada]])</f>
        <v>0</v>
      </c>
      <c r="Q1078" s="22">
        <f>+PROVEEDORES[[#This Row],[Rete Fuente %]]*(PROVEEDORES[[#This Row],[SUBTOTAL]]-PROVEEDORES[[#This Row],[descuento sobre subtotal]])</f>
        <v>0</v>
      </c>
      <c r="R107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8" s="68">
        <f ca="1">IF(PROVEEDORES[[#This Row],[FECHA DE PAGO]]=0,TODAY()-PROVEEDORES[[#This Row],[FECHA DE FACTURACIÓN]]-PROVEEDORES[[#This Row],[PLAZO Días]],0)</f>
        <v>0</v>
      </c>
      <c r="U1078" s="96">
        <f>+VLOOKUP(PROVEEDORES[[#This Row],[PROVEEDOR]],Terceros!$A:$D,4,FALSE)</f>
        <v>0</v>
      </c>
      <c r="V1078" s="97">
        <f>+YEAR(PROVEEDORES[[#This Row],[FECHA DE FACTURACIÓN]])</f>
        <v>2021</v>
      </c>
      <c r="W1078" s="97">
        <f>+MATCH(PROVEEDORES[[#This Row],[año facturado]],Retenciones!$1:$1,0)</f>
        <v>4</v>
      </c>
      <c r="X1078" s="98">
        <f>+VLOOKUP(PROVEEDORES[[#This Row],[ID RETENCION]],Retenciones!$A$1:$O$25,PROVEEDORES[[#This Row],[indicador de columna]],FALSE)</f>
        <v>0</v>
      </c>
      <c r="Y1078" s="99">
        <f>+VLOOKUP(PROVEEDORES[[#This Row],[ID RETENCION]],Retenciones!$A$1:$O$25,2,FALSE)</f>
        <v>0</v>
      </c>
      <c r="Z1078" s="125" t="b">
        <f>OR(COUNTIF(PROVEEDORES[[#This Row],[PROVEEDOR]],"*"&amp;'Palabra no opera'!$A$2&amp;"*"))</f>
        <v>0</v>
      </c>
      <c r="AA1078" s="24"/>
      <c r="AB1078" s="24"/>
      <c r="AC1078" s="24"/>
      <c r="AD1078" s="24"/>
      <c r="AE1078" s="24"/>
    </row>
    <row r="1079" spans="1:31" ht="22.2" customHeight="1" x14ac:dyDescent="0.3">
      <c r="A1079" s="66" t="str">
        <f>+IF(PROVEEDORES[[#This Row],[FECHA DE PAGO]]=PROVEEDORES[[#This Row],[FECHA DE FACTURACIÓN]],"DE CONTADO","CRÉDITO")</f>
        <v>DE CONTADO</v>
      </c>
      <c r="B1079" s="38" t="b">
        <f>+IF((PROVEEDORES[[#This Row],[FECHA DE PAGO]]-PROVEEDORES[[#This Row],[FECHA DE FACTURACIÓN]])&gt;PROVEEDORES[[#This Row],[PLAZO Días]],"PAGO VENCIDO")</f>
        <v>0</v>
      </c>
      <c r="C1079" s="20">
        <f>+VLOOKUP(PROVEEDORES[[#This Row],[PROVEEDOR]],TERCEROS_INFO[#All],2,FALSE)</f>
        <v>30</v>
      </c>
      <c r="D1079" s="25">
        <f>+SUMIFS(PROVEEDORES[Total],PROVEEDORES[PROVEEDOR],PROVEEDORES[[#This Row],[PROVEEDOR]],PROVEEDORES[FECHA DE PAGO],"")</f>
        <v>0</v>
      </c>
      <c r="E1079" s="25"/>
      <c r="F1079" s="58" t="str">
        <f>+VLOOKUP(PROVEEDORES[[#This Row],[PROVEEDOR]],
                       Terceros!$A:$F,
                       5,
                       FALSE)</f>
        <v/>
      </c>
      <c r="G1079" s="161">
        <v>44285</v>
      </c>
      <c r="H1079" s="26" t="s">
        <v>673</v>
      </c>
      <c r="I1079" s="161">
        <v>44285</v>
      </c>
      <c r="J1079" s="35"/>
      <c r="K1079" s="21">
        <v>1000000</v>
      </c>
      <c r="L1079" s="21"/>
      <c r="M1079" s="22">
        <f>(PROVEEDORES[[#This Row],[SUBTOTAL]]-PROVEEDORES[[#This Row],[descuento sobre subtotal]])*VLOOKUP(PROVEEDORES[[#This Row],[PROVEEDOR]],TERCEROS_INFO[#All],3,FALSE)</f>
        <v>0</v>
      </c>
      <c r="N1079" s="23"/>
      <c r="O1079" s="22">
        <f>+PROVEEDORES[[#This Row],[Descuento sobre subtotal %]]*(PROVEEDORES[[#This Row],[SUBTOTAL]]-PROVEEDORES[[#This Row],[descuento sobre subtotal]])</f>
        <v>0</v>
      </c>
      <c r="P1079" s="83">
        <f>+IF(PROVEEDORES[[#This Row],[SUBTOTAL]]&lt;PROVEEDORES[[#This Row],[base retencion]],0,PROVEEDORES[[#This Row],[retención aplicada]])</f>
        <v>0</v>
      </c>
      <c r="Q1079" s="22">
        <f>+PROVEEDORES[[#This Row],[Rete Fuente %]]*(PROVEEDORES[[#This Row],[SUBTOTAL]]-PROVEEDORES[[#This Row],[descuento sobre subtotal]])</f>
        <v>0</v>
      </c>
      <c r="R107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68">
        <f ca="1">IF(PROVEEDORES[[#This Row],[FECHA DE PAGO]]=0,TODAY()-PROVEEDORES[[#This Row],[FECHA DE FACTURACIÓN]]-PROVEEDORES[[#This Row],[PLAZO Días]],0)</f>
        <v>0</v>
      </c>
      <c r="U1079" s="96">
        <f>+VLOOKUP(PROVEEDORES[[#This Row],[PROVEEDOR]],Terceros!$A:$D,4,FALSE)</f>
        <v>0</v>
      </c>
      <c r="V1079" s="97">
        <f>+YEAR(PROVEEDORES[[#This Row],[FECHA DE FACTURACIÓN]])</f>
        <v>2021</v>
      </c>
      <c r="W1079" s="97">
        <f>+MATCH(PROVEEDORES[[#This Row],[año facturado]],Retenciones!$1:$1,0)</f>
        <v>4</v>
      </c>
      <c r="X1079" s="98">
        <f>+VLOOKUP(PROVEEDORES[[#This Row],[ID RETENCION]],Retenciones!$A$1:$O$25,PROVEEDORES[[#This Row],[indicador de columna]],FALSE)</f>
        <v>0</v>
      </c>
      <c r="Y1079" s="99">
        <f>+VLOOKUP(PROVEEDORES[[#This Row],[ID RETENCION]],Retenciones!$A$1:$O$25,2,FALSE)</f>
        <v>0</v>
      </c>
      <c r="Z1079" s="125" t="b">
        <f>OR(COUNTIF(PROVEEDORES[[#This Row],[PROVEEDOR]],"*"&amp;'Palabra no opera'!$A$2&amp;"*"))</f>
        <v>0</v>
      </c>
      <c r="AA1079" s="24"/>
      <c r="AB1079" s="24"/>
      <c r="AC1079" s="24"/>
      <c r="AD1079" s="24"/>
      <c r="AE1079" s="24"/>
    </row>
    <row r="1080" spans="1:31" ht="22.2" customHeight="1" x14ac:dyDescent="0.3">
      <c r="A1080" s="66" t="str">
        <f>+IF(PROVEEDORES[[#This Row],[FECHA DE PAGO]]=PROVEEDORES[[#This Row],[FECHA DE FACTURACIÓN]],"DE CONTADO","CRÉDITO")</f>
        <v>DE CONTADO</v>
      </c>
      <c r="B1080" s="38" t="b">
        <f>+IF((PROVEEDORES[[#This Row],[FECHA DE PAGO]]-PROVEEDORES[[#This Row],[FECHA DE FACTURACIÓN]])&gt;PROVEEDORES[[#This Row],[PLAZO Días]],"PAGO VENCIDO")</f>
        <v>0</v>
      </c>
      <c r="C1080" s="20">
        <f>+VLOOKUP(PROVEEDORES[[#This Row],[PROVEEDOR]],TERCEROS_INFO[#All],2,FALSE)</f>
        <v>30</v>
      </c>
      <c r="D1080" s="25">
        <f>+SUMIFS(PROVEEDORES[Total],PROVEEDORES[PROVEEDOR],PROVEEDORES[[#This Row],[PROVEEDOR]],PROVEEDORES[FECHA DE PAGO],"")</f>
        <v>0</v>
      </c>
      <c r="E1080" s="25"/>
      <c r="F1080" s="58" t="str">
        <f>+VLOOKUP(PROVEEDORES[[#This Row],[PROVEEDOR]],
                       Terceros!$A:$F,
                       5,
                       FALSE)</f>
        <v/>
      </c>
      <c r="G1080" s="161">
        <v>44290</v>
      </c>
      <c r="H1080" s="26" t="s">
        <v>673</v>
      </c>
      <c r="I1080" s="161">
        <v>44290</v>
      </c>
      <c r="J1080" s="35"/>
      <c r="K1080" s="21">
        <v>1000000</v>
      </c>
      <c r="L1080" s="21"/>
      <c r="M1080" s="22">
        <f>(PROVEEDORES[[#This Row],[SUBTOTAL]]-PROVEEDORES[[#This Row],[descuento sobre subtotal]])*VLOOKUP(PROVEEDORES[[#This Row],[PROVEEDOR]],TERCEROS_INFO[#All],3,FALSE)</f>
        <v>0</v>
      </c>
      <c r="N1080" s="23"/>
      <c r="O1080" s="22">
        <f>+PROVEEDORES[[#This Row],[Descuento sobre subtotal %]]*(PROVEEDORES[[#This Row],[SUBTOTAL]]-PROVEEDORES[[#This Row],[descuento sobre subtotal]])</f>
        <v>0</v>
      </c>
      <c r="P1080" s="83">
        <f>+IF(PROVEEDORES[[#This Row],[SUBTOTAL]]&lt;PROVEEDORES[[#This Row],[base retencion]],0,PROVEEDORES[[#This Row],[retención aplicada]])</f>
        <v>0</v>
      </c>
      <c r="Q1080" s="22">
        <f>+PROVEEDORES[[#This Row],[Rete Fuente %]]*(PROVEEDORES[[#This Row],[SUBTOTAL]]-PROVEEDORES[[#This Row],[descuento sobre subtotal]])</f>
        <v>0</v>
      </c>
      <c r="R108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68">
        <f ca="1">IF(PROVEEDORES[[#This Row],[FECHA DE PAGO]]=0,TODAY()-PROVEEDORES[[#This Row],[FECHA DE FACTURACIÓN]]-PROVEEDORES[[#This Row],[PLAZO Días]],0)</f>
        <v>0</v>
      </c>
      <c r="U1080" s="96">
        <f>+VLOOKUP(PROVEEDORES[[#This Row],[PROVEEDOR]],Terceros!$A:$D,4,FALSE)</f>
        <v>0</v>
      </c>
      <c r="V1080" s="97">
        <f>+YEAR(PROVEEDORES[[#This Row],[FECHA DE FACTURACIÓN]])</f>
        <v>2021</v>
      </c>
      <c r="W1080" s="97">
        <f>+MATCH(PROVEEDORES[[#This Row],[año facturado]],Retenciones!$1:$1,0)</f>
        <v>4</v>
      </c>
      <c r="X1080" s="98">
        <f>+VLOOKUP(PROVEEDORES[[#This Row],[ID RETENCION]],Retenciones!$A$1:$O$25,PROVEEDORES[[#This Row],[indicador de columna]],FALSE)</f>
        <v>0</v>
      </c>
      <c r="Y1080" s="99">
        <f>+VLOOKUP(PROVEEDORES[[#This Row],[ID RETENCION]],Retenciones!$A$1:$O$25,2,FALSE)</f>
        <v>0</v>
      </c>
      <c r="Z1080" s="125" t="b">
        <f>OR(COUNTIF(PROVEEDORES[[#This Row],[PROVEEDOR]],"*"&amp;'Palabra no opera'!$A$2&amp;"*"))</f>
        <v>0</v>
      </c>
      <c r="AA1080" s="24"/>
      <c r="AB1080" s="24"/>
      <c r="AC1080" s="24"/>
      <c r="AD1080" s="24"/>
      <c r="AE1080" s="24"/>
    </row>
    <row r="1081" spans="1:31" ht="22.2" customHeight="1" x14ac:dyDescent="0.3">
      <c r="A1081" s="66" t="str">
        <f>+IF(PROVEEDORES[[#This Row],[FECHA DE PAGO]]=PROVEEDORES[[#This Row],[FECHA DE FACTURACIÓN]],"DE CONTADO","CRÉDITO")</f>
        <v>DE CONTADO</v>
      </c>
      <c r="B1081" s="38" t="b">
        <f>+IF((PROVEEDORES[[#This Row],[FECHA DE PAGO]]-PROVEEDORES[[#This Row],[FECHA DE FACTURACIÓN]])&gt;PROVEEDORES[[#This Row],[PLAZO Días]],"PAGO VENCIDO")</f>
        <v>0</v>
      </c>
      <c r="C1081" s="20">
        <f>+VLOOKUP(PROVEEDORES[[#This Row],[PROVEEDOR]],TERCEROS_INFO[#All],2,FALSE)</f>
        <v>30</v>
      </c>
      <c r="D1081" s="25">
        <f>+SUMIFS(PROVEEDORES[Total],PROVEEDORES[PROVEEDOR],PROVEEDORES[[#This Row],[PROVEEDOR]],PROVEEDORES[FECHA DE PAGO],"")</f>
        <v>0</v>
      </c>
      <c r="E1081" s="25"/>
      <c r="F1081" s="58" t="str">
        <f>+VLOOKUP(PROVEEDORES[[#This Row],[PROVEEDOR]],
                       Terceros!$A:$F,
                       5,
                       FALSE)</f>
        <v/>
      </c>
      <c r="G1081" s="161">
        <v>44370</v>
      </c>
      <c r="H1081" s="26" t="s">
        <v>673</v>
      </c>
      <c r="I1081" s="161">
        <v>44370</v>
      </c>
      <c r="J1081" s="35"/>
      <c r="K1081" s="21">
        <v>1000000</v>
      </c>
      <c r="L1081" s="21"/>
      <c r="M1081" s="22">
        <f>(PROVEEDORES[[#This Row],[SUBTOTAL]]-PROVEEDORES[[#This Row],[descuento sobre subtotal]])*VLOOKUP(PROVEEDORES[[#This Row],[PROVEEDOR]],TERCEROS_INFO[#All],3,FALSE)</f>
        <v>0</v>
      </c>
      <c r="N1081" s="23"/>
      <c r="O1081" s="22">
        <f>+PROVEEDORES[[#This Row],[Descuento sobre subtotal %]]*(PROVEEDORES[[#This Row],[SUBTOTAL]]-PROVEEDORES[[#This Row],[descuento sobre subtotal]])</f>
        <v>0</v>
      </c>
      <c r="P1081" s="83">
        <f>+IF(PROVEEDORES[[#This Row],[SUBTOTAL]]&lt;PROVEEDORES[[#This Row],[base retencion]],0,PROVEEDORES[[#This Row],[retención aplicada]])</f>
        <v>0</v>
      </c>
      <c r="Q1081" s="22">
        <f>+PROVEEDORES[[#This Row],[Rete Fuente %]]*(PROVEEDORES[[#This Row],[SUBTOTAL]]-PROVEEDORES[[#This Row],[descuento sobre subtotal]])</f>
        <v>0</v>
      </c>
      <c r="R108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68">
        <f ca="1">IF(PROVEEDORES[[#This Row],[FECHA DE PAGO]]=0,TODAY()-PROVEEDORES[[#This Row],[FECHA DE FACTURACIÓN]]-PROVEEDORES[[#This Row],[PLAZO Días]],0)</f>
        <v>0</v>
      </c>
      <c r="U1081" s="96">
        <f>+VLOOKUP(PROVEEDORES[[#This Row],[PROVEEDOR]],Terceros!$A:$D,4,FALSE)</f>
        <v>0</v>
      </c>
      <c r="V1081" s="97">
        <f>+YEAR(PROVEEDORES[[#This Row],[FECHA DE FACTURACIÓN]])</f>
        <v>2021</v>
      </c>
      <c r="W1081" s="97">
        <f>+MATCH(PROVEEDORES[[#This Row],[año facturado]],Retenciones!$1:$1,0)</f>
        <v>4</v>
      </c>
      <c r="X1081" s="98">
        <f>+VLOOKUP(PROVEEDORES[[#This Row],[ID RETENCION]],Retenciones!$A$1:$O$25,PROVEEDORES[[#This Row],[indicador de columna]],FALSE)</f>
        <v>0</v>
      </c>
      <c r="Y1081" s="99">
        <f>+VLOOKUP(PROVEEDORES[[#This Row],[ID RETENCION]],Retenciones!$A$1:$O$25,2,FALSE)</f>
        <v>0</v>
      </c>
      <c r="Z1081" s="125" t="b">
        <f>OR(COUNTIF(PROVEEDORES[[#This Row],[PROVEEDOR]],"*"&amp;'Palabra no opera'!$A$2&amp;"*"))</f>
        <v>0</v>
      </c>
      <c r="AA1081" s="24"/>
      <c r="AB1081" s="24"/>
      <c r="AC1081" s="24"/>
      <c r="AD1081" s="24"/>
      <c r="AE1081" s="24"/>
    </row>
    <row r="1082" spans="1:31" ht="22.2" customHeight="1" x14ac:dyDescent="0.3">
      <c r="A1082" s="66" t="str">
        <f>+IF(PROVEEDORES[[#This Row],[FECHA DE PAGO]]=PROVEEDORES[[#This Row],[FECHA DE FACTURACIÓN]],"DE CONTADO","CRÉDITO")</f>
        <v>DE CONTADO</v>
      </c>
      <c r="B1082" s="38" t="b">
        <f>+IF((PROVEEDORES[[#This Row],[FECHA DE PAGO]]-PROVEEDORES[[#This Row],[FECHA DE FACTURACIÓN]])&gt;PROVEEDORES[[#This Row],[PLAZO Días]],"PAGO VENCIDO")</f>
        <v>0</v>
      </c>
      <c r="C1082" s="20">
        <f>+VLOOKUP(PROVEEDORES[[#This Row],[PROVEEDOR]],TERCEROS_INFO[#All],2,FALSE)</f>
        <v>30</v>
      </c>
      <c r="D1082" s="25">
        <f>+SUMIFS(PROVEEDORES[Total],PROVEEDORES[PROVEEDOR],PROVEEDORES[[#This Row],[PROVEEDOR]],PROVEEDORES[FECHA DE PAGO],"")</f>
        <v>0</v>
      </c>
      <c r="E1082" s="25"/>
      <c r="F1082" s="58" t="str">
        <f>+VLOOKUP(PROVEEDORES[[#This Row],[PROVEEDOR]],
                       Terceros!$A:$F,
                       5,
                       FALSE)</f>
        <v/>
      </c>
      <c r="G1082" s="161">
        <v>44380</v>
      </c>
      <c r="H1082" s="26" t="s">
        <v>673</v>
      </c>
      <c r="I1082" s="161">
        <v>44380</v>
      </c>
      <c r="J1082" s="35"/>
      <c r="K1082" s="21">
        <v>1000000</v>
      </c>
      <c r="L1082" s="21"/>
      <c r="M1082" s="22">
        <f>(PROVEEDORES[[#This Row],[SUBTOTAL]]-PROVEEDORES[[#This Row],[descuento sobre subtotal]])*VLOOKUP(PROVEEDORES[[#This Row],[PROVEEDOR]],TERCEROS_INFO[#All],3,FALSE)</f>
        <v>0</v>
      </c>
      <c r="N1082" s="23"/>
      <c r="O1082" s="22">
        <f>+PROVEEDORES[[#This Row],[Descuento sobre subtotal %]]*(PROVEEDORES[[#This Row],[SUBTOTAL]]-PROVEEDORES[[#This Row],[descuento sobre subtotal]])</f>
        <v>0</v>
      </c>
      <c r="P1082" s="83">
        <f>+IF(PROVEEDORES[[#This Row],[SUBTOTAL]]&lt;PROVEEDORES[[#This Row],[base retencion]],0,PROVEEDORES[[#This Row],[retención aplicada]])</f>
        <v>0</v>
      </c>
      <c r="Q1082" s="22">
        <f>+PROVEEDORES[[#This Row],[Rete Fuente %]]*(PROVEEDORES[[#This Row],[SUBTOTAL]]-PROVEEDORES[[#This Row],[descuento sobre subtotal]])</f>
        <v>0</v>
      </c>
      <c r="R108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68">
        <f ca="1">IF(PROVEEDORES[[#This Row],[FECHA DE PAGO]]=0,TODAY()-PROVEEDORES[[#This Row],[FECHA DE FACTURACIÓN]]-PROVEEDORES[[#This Row],[PLAZO Días]],0)</f>
        <v>0</v>
      </c>
      <c r="U1082" s="96">
        <f>+VLOOKUP(PROVEEDORES[[#This Row],[PROVEEDOR]],Terceros!$A:$D,4,FALSE)</f>
        <v>0</v>
      </c>
      <c r="V1082" s="97">
        <f>+YEAR(PROVEEDORES[[#This Row],[FECHA DE FACTURACIÓN]])</f>
        <v>2021</v>
      </c>
      <c r="W1082" s="97">
        <f>+MATCH(PROVEEDORES[[#This Row],[año facturado]],Retenciones!$1:$1,0)</f>
        <v>4</v>
      </c>
      <c r="X1082" s="98">
        <f>+VLOOKUP(PROVEEDORES[[#This Row],[ID RETENCION]],Retenciones!$A$1:$O$25,PROVEEDORES[[#This Row],[indicador de columna]],FALSE)</f>
        <v>0</v>
      </c>
      <c r="Y1082" s="99">
        <f>+VLOOKUP(PROVEEDORES[[#This Row],[ID RETENCION]],Retenciones!$A$1:$O$25,2,FALSE)</f>
        <v>0</v>
      </c>
      <c r="Z1082" s="125" t="b">
        <f>OR(COUNTIF(PROVEEDORES[[#This Row],[PROVEEDOR]],"*"&amp;'Palabra no opera'!$A$2&amp;"*"))</f>
        <v>0</v>
      </c>
      <c r="AA1082" s="24"/>
      <c r="AB1082" s="24"/>
      <c r="AC1082" s="24"/>
      <c r="AD1082" s="24"/>
      <c r="AE1082" s="24"/>
    </row>
    <row r="1083" spans="1:31" ht="22.2" customHeight="1" x14ac:dyDescent="0.3">
      <c r="A1083" s="66" t="str">
        <f>+IF(PROVEEDORES[[#This Row],[FECHA DE PAGO]]=PROVEEDORES[[#This Row],[FECHA DE FACTURACIÓN]],"DE CONTADO","CRÉDITO")</f>
        <v>DE CONTADO</v>
      </c>
      <c r="B1083" s="38" t="b">
        <f>+IF((PROVEEDORES[[#This Row],[FECHA DE PAGO]]-PROVEEDORES[[#This Row],[FECHA DE FACTURACIÓN]])&gt;PROVEEDORES[[#This Row],[PLAZO Días]],"PAGO VENCIDO")</f>
        <v>0</v>
      </c>
      <c r="C1083" s="20">
        <f>+VLOOKUP(PROVEEDORES[[#This Row],[PROVEEDOR]],TERCEROS_INFO[#All],2,FALSE)</f>
        <v>30</v>
      </c>
      <c r="D1083" s="25">
        <f>+SUMIFS(PROVEEDORES[Total],PROVEEDORES[PROVEEDOR],PROVEEDORES[[#This Row],[PROVEEDOR]],PROVEEDORES[FECHA DE PAGO],"")</f>
        <v>0</v>
      </c>
      <c r="E1083" s="25"/>
      <c r="F1083" s="58" t="str">
        <f>+VLOOKUP(PROVEEDORES[[#This Row],[PROVEEDOR]],
                       Terceros!$A:$F,
                       5,
                       FALSE)</f>
        <v/>
      </c>
      <c r="G1083" s="161">
        <v>44403</v>
      </c>
      <c r="H1083" s="26" t="s">
        <v>673</v>
      </c>
      <c r="I1083" s="161">
        <v>44403</v>
      </c>
      <c r="J1083" s="35"/>
      <c r="K1083" s="21">
        <v>1000000</v>
      </c>
      <c r="L1083" s="21"/>
      <c r="M1083" s="22">
        <f>(PROVEEDORES[[#This Row],[SUBTOTAL]]-PROVEEDORES[[#This Row],[descuento sobre subtotal]])*VLOOKUP(PROVEEDORES[[#This Row],[PROVEEDOR]],TERCEROS_INFO[#All],3,FALSE)</f>
        <v>0</v>
      </c>
      <c r="N1083" s="23"/>
      <c r="O1083" s="22">
        <f>+PROVEEDORES[[#This Row],[Descuento sobre subtotal %]]*(PROVEEDORES[[#This Row],[SUBTOTAL]]-PROVEEDORES[[#This Row],[descuento sobre subtotal]])</f>
        <v>0</v>
      </c>
      <c r="P1083" s="83">
        <f>+IF(PROVEEDORES[[#This Row],[SUBTOTAL]]&lt;PROVEEDORES[[#This Row],[base retencion]],0,PROVEEDORES[[#This Row],[retención aplicada]])</f>
        <v>0</v>
      </c>
      <c r="Q1083" s="22">
        <f>+PROVEEDORES[[#This Row],[Rete Fuente %]]*(PROVEEDORES[[#This Row],[SUBTOTAL]]-PROVEEDORES[[#This Row],[descuento sobre subtotal]])</f>
        <v>0</v>
      </c>
      <c r="R108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68">
        <f ca="1">IF(PROVEEDORES[[#This Row],[FECHA DE PAGO]]=0,TODAY()-PROVEEDORES[[#This Row],[FECHA DE FACTURACIÓN]]-PROVEEDORES[[#This Row],[PLAZO Días]],0)</f>
        <v>0</v>
      </c>
      <c r="U1083" s="96">
        <f>+VLOOKUP(PROVEEDORES[[#This Row],[PROVEEDOR]],Terceros!$A:$D,4,FALSE)</f>
        <v>0</v>
      </c>
      <c r="V1083" s="97">
        <f>+YEAR(PROVEEDORES[[#This Row],[FECHA DE FACTURACIÓN]])</f>
        <v>2021</v>
      </c>
      <c r="W1083" s="97">
        <f>+MATCH(PROVEEDORES[[#This Row],[año facturado]],Retenciones!$1:$1,0)</f>
        <v>4</v>
      </c>
      <c r="X1083" s="98">
        <f>+VLOOKUP(PROVEEDORES[[#This Row],[ID RETENCION]],Retenciones!$A$1:$O$25,PROVEEDORES[[#This Row],[indicador de columna]],FALSE)</f>
        <v>0</v>
      </c>
      <c r="Y1083" s="99">
        <f>+VLOOKUP(PROVEEDORES[[#This Row],[ID RETENCION]],Retenciones!$A$1:$O$25,2,FALSE)</f>
        <v>0</v>
      </c>
      <c r="Z1083" s="125" t="b">
        <f>OR(COUNTIF(PROVEEDORES[[#This Row],[PROVEEDOR]],"*"&amp;'Palabra no opera'!$A$2&amp;"*"))</f>
        <v>0</v>
      </c>
      <c r="AA1083" s="24"/>
      <c r="AB1083" s="24"/>
      <c r="AC1083" s="24"/>
      <c r="AD1083" s="24"/>
      <c r="AE1083" s="24"/>
    </row>
    <row r="1084" spans="1:31" ht="22.2" customHeight="1" x14ac:dyDescent="0.3">
      <c r="A1084" s="66" t="str">
        <f>+IF(PROVEEDORES[[#This Row],[FECHA DE PAGO]]=PROVEEDORES[[#This Row],[FECHA DE FACTURACIÓN]],"DE CONTADO","CRÉDITO")</f>
        <v>DE CONTADO</v>
      </c>
      <c r="B1084" s="38" t="b">
        <f>+IF((PROVEEDORES[[#This Row],[FECHA DE PAGO]]-PROVEEDORES[[#This Row],[FECHA DE FACTURACIÓN]])&gt;PROVEEDORES[[#This Row],[PLAZO Días]],"PAGO VENCIDO")</f>
        <v>0</v>
      </c>
      <c r="C1084" s="20">
        <f>+VLOOKUP(PROVEEDORES[[#This Row],[PROVEEDOR]],TERCEROS_INFO[#All],2,FALSE)</f>
        <v>30</v>
      </c>
      <c r="D1084" s="25">
        <f>+SUMIFS(PROVEEDORES[Total],PROVEEDORES[PROVEEDOR],PROVEEDORES[[#This Row],[PROVEEDOR]],PROVEEDORES[FECHA DE PAGO],"")</f>
        <v>0</v>
      </c>
      <c r="E1084" s="25"/>
      <c r="F1084" s="58" t="str">
        <f>+VLOOKUP(PROVEEDORES[[#This Row],[PROVEEDOR]],
                       Terceros!$A:$F,
                       5,
                       FALSE)</f>
        <v/>
      </c>
      <c r="G1084" s="161">
        <v>44411</v>
      </c>
      <c r="H1084" s="26" t="s">
        <v>673</v>
      </c>
      <c r="I1084" s="161">
        <v>44411</v>
      </c>
      <c r="J1084" s="35"/>
      <c r="K1084" s="21">
        <v>1000000</v>
      </c>
      <c r="L1084" s="21"/>
      <c r="M1084" s="22">
        <f>(PROVEEDORES[[#This Row],[SUBTOTAL]]-PROVEEDORES[[#This Row],[descuento sobre subtotal]])*VLOOKUP(PROVEEDORES[[#This Row],[PROVEEDOR]],TERCEROS_INFO[#All],3,FALSE)</f>
        <v>0</v>
      </c>
      <c r="N1084" s="23"/>
      <c r="O1084" s="22">
        <f>+PROVEEDORES[[#This Row],[Descuento sobre subtotal %]]*(PROVEEDORES[[#This Row],[SUBTOTAL]]-PROVEEDORES[[#This Row],[descuento sobre subtotal]])</f>
        <v>0</v>
      </c>
      <c r="P1084" s="83">
        <f>+IF(PROVEEDORES[[#This Row],[SUBTOTAL]]&lt;PROVEEDORES[[#This Row],[base retencion]],0,PROVEEDORES[[#This Row],[retención aplicada]])</f>
        <v>0</v>
      </c>
      <c r="Q1084" s="22">
        <f>+PROVEEDORES[[#This Row],[Rete Fuente %]]*(PROVEEDORES[[#This Row],[SUBTOTAL]]-PROVEEDORES[[#This Row],[descuento sobre subtotal]])</f>
        <v>0</v>
      </c>
      <c r="R108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68">
        <f ca="1">IF(PROVEEDORES[[#This Row],[FECHA DE PAGO]]=0,TODAY()-PROVEEDORES[[#This Row],[FECHA DE FACTURACIÓN]]-PROVEEDORES[[#This Row],[PLAZO Días]],0)</f>
        <v>0</v>
      </c>
      <c r="U1084" s="96">
        <f>+VLOOKUP(PROVEEDORES[[#This Row],[PROVEEDOR]],Terceros!$A:$D,4,FALSE)</f>
        <v>0</v>
      </c>
      <c r="V1084" s="97">
        <f>+YEAR(PROVEEDORES[[#This Row],[FECHA DE FACTURACIÓN]])</f>
        <v>2021</v>
      </c>
      <c r="W1084" s="97">
        <f>+MATCH(PROVEEDORES[[#This Row],[año facturado]],Retenciones!$1:$1,0)</f>
        <v>4</v>
      </c>
      <c r="X1084" s="98">
        <f>+VLOOKUP(PROVEEDORES[[#This Row],[ID RETENCION]],Retenciones!$A$1:$O$25,PROVEEDORES[[#This Row],[indicador de columna]],FALSE)</f>
        <v>0</v>
      </c>
      <c r="Y1084" s="99">
        <f>+VLOOKUP(PROVEEDORES[[#This Row],[ID RETENCION]],Retenciones!$A$1:$O$25,2,FALSE)</f>
        <v>0</v>
      </c>
      <c r="Z1084" s="125" t="b">
        <f>OR(COUNTIF(PROVEEDORES[[#This Row],[PROVEEDOR]],"*"&amp;'Palabra no opera'!$A$2&amp;"*"))</f>
        <v>0</v>
      </c>
      <c r="AA1084" s="24"/>
      <c r="AB1084" s="24"/>
      <c r="AC1084" s="24"/>
      <c r="AD1084" s="24"/>
      <c r="AE1084" s="24"/>
    </row>
    <row r="1085" spans="1:31" ht="22.2" customHeight="1" x14ac:dyDescent="0.3">
      <c r="A1085" s="66" t="str">
        <f>+IF(PROVEEDORES[[#This Row],[FECHA DE PAGO]]=PROVEEDORES[[#This Row],[FECHA DE FACTURACIÓN]],"DE CONTADO","CRÉDITO")</f>
        <v>DE CONTADO</v>
      </c>
      <c r="B1085" s="38" t="b">
        <f>+IF((PROVEEDORES[[#This Row],[FECHA DE PAGO]]-PROVEEDORES[[#This Row],[FECHA DE FACTURACIÓN]])&gt;PROVEEDORES[[#This Row],[PLAZO Días]],"PAGO VENCIDO")</f>
        <v>0</v>
      </c>
      <c r="C1085" s="20">
        <f>+VLOOKUP(PROVEEDORES[[#This Row],[PROVEEDOR]],TERCEROS_INFO[#All],2,FALSE)</f>
        <v>30</v>
      </c>
      <c r="D1085" s="25">
        <f>+SUMIFS(PROVEEDORES[Total],PROVEEDORES[PROVEEDOR],PROVEEDORES[[#This Row],[PROVEEDOR]],PROVEEDORES[FECHA DE PAGO],"")</f>
        <v>0</v>
      </c>
      <c r="E1085" s="25"/>
      <c r="F1085" s="58" t="str">
        <f>+VLOOKUP(PROVEEDORES[[#This Row],[PROVEEDOR]],
                       Terceros!$A:$F,
                       5,
                       FALSE)</f>
        <v/>
      </c>
      <c r="G1085" s="161">
        <v>44414</v>
      </c>
      <c r="H1085" s="26" t="s">
        <v>673</v>
      </c>
      <c r="I1085" s="161">
        <v>44414</v>
      </c>
      <c r="J1085" s="35"/>
      <c r="K1085" s="21">
        <v>1000000</v>
      </c>
      <c r="L1085" s="21"/>
      <c r="M1085" s="22">
        <f>(PROVEEDORES[[#This Row],[SUBTOTAL]]-PROVEEDORES[[#This Row],[descuento sobre subtotal]])*VLOOKUP(PROVEEDORES[[#This Row],[PROVEEDOR]],TERCEROS_INFO[#All],3,FALSE)</f>
        <v>0</v>
      </c>
      <c r="N1085" s="23"/>
      <c r="O1085" s="22">
        <f>+PROVEEDORES[[#This Row],[Descuento sobre subtotal %]]*(PROVEEDORES[[#This Row],[SUBTOTAL]]-PROVEEDORES[[#This Row],[descuento sobre subtotal]])</f>
        <v>0</v>
      </c>
      <c r="P1085" s="83">
        <f>+IF(PROVEEDORES[[#This Row],[SUBTOTAL]]&lt;PROVEEDORES[[#This Row],[base retencion]],0,PROVEEDORES[[#This Row],[retención aplicada]])</f>
        <v>0</v>
      </c>
      <c r="Q1085" s="22">
        <f>+PROVEEDORES[[#This Row],[Rete Fuente %]]*(PROVEEDORES[[#This Row],[SUBTOTAL]]-PROVEEDORES[[#This Row],[descuento sobre subtotal]])</f>
        <v>0</v>
      </c>
      <c r="R108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68">
        <f ca="1">IF(PROVEEDORES[[#This Row],[FECHA DE PAGO]]=0,TODAY()-PROVEEDORES[[#This Row],[FECHA DE FACTURACIÓN]]-PROVEEDORES[[#This Row],[PLAZO Días]],0)</f>
        <v>0</v>
      </c>
      <c r="U1085" s="96">
        <f>+VLOOKUP(PROVEEDORES[[#This Row],[PROVEEDOR]],Terceros!$A:$D,4,FALSE)</f>
        <v>0</v>
      </c>
      <c r="V1085" s="97">
        <f>+YEAR(PROVEEDORES[[#This Row],[FECHA DE FACTURACIÓN]])</f>
        <v>2021</v>
      </c>
      <c r="W1085" s="97">
        <f>+MATCH(PROVEEDORES[[#This Row],[año facturado]],Retenciones!$1:$1,0)</f>
        <v>4</v>
      </c>
      <c r="X1085" s="98">
        <f>+VLOOKUP(PROVEEDORES[[#This Row],[ID RETENCION]],Retenciones!$A$1:$O$25,PROVEEDORES[[#This Row],[indicador de columna]],FALSE)</f>
        <v>0</v>
      </c>
      <c r="Y1085" s="99">
        <f>+VLOOKUP(PROVEEDORES[[#This Row],[ID RETENCION]],Retenciones!$A$1:$O$25,2,FALSE)</f>
        <v>0</v>
      </c>
      <c r="Z1085" s="125" t="b">
        <f>OR(COUNTIF(PROVEEDORES[[#This Row],[PROVEEDOR]],"*"&amp;'Palabra no opera'!$A$2&amp;"*"))</f>
        <v>0</v>
      </c>
      <c r="AA1085" s="24"/>
      <c r="AB1085" s="24"/>
      <c r="AC1085" s="24"/>
      <c r="AD1085" s="24"/>
      <c r="AE1085" s="24"/>
    </row>
    <row r="1086" spans="1:31" ht="22.2" customHeight="1" x14ac:dyDescent="0.3">
      <c r="A1086" s="66" t="str">
        <f>+IF(PROVEEDORES[[#This Row],[FECHA DE PAGO]]=PROVEEDORES[[#This Row],[FECHA DE FACTURACIÓN]],"DE CONTADO","CRÉDITO")</f>
        <v>DE CONTADO</v>
      </c>
      <c r="B1086" s="38" t="b">
        <f>+IF((PROVEEDORES[[#This Row],[FECHA DE PAGO]]-PROVEEDORES[[#This Row],[FECHA DE FACTURACIÓN]])&gt;PROVEEDORES[[#This Row],[PLAZO Días]],"PAGO VENCIDO")</f>
        <v>0</v>
      </c>
      <c r="C1086" s="20">
        <f>+VLOOKUP(PROVEEDORES[[#This Row],[PROVEEDOR]],TERCEROS_INFO[#All],2,FALSE)</f>
        <v>30</v>
      </c>
      <c r="D1086" s="25">
        <f>+SUMIFS(PROVEEDORES[Total],PROVEEDORES[PROVEEDOR],PROVEEDORES[[#This Row],[PROVEEDOR]],PROVEEDORES[FECHA DE PAGO],"")</f>
        <v>0</v>
      </c>
      <c r="E1086" s="25"/>
      <c r="F1086" s="58">
        <f>+VLOOKUP(PROVEEDORES[[#This Row],[PROVEEDOR]],
                       Terceros!$A:$F,
                       5,
                       FALSE)</f>
        <v>0</v>
      </c>
      <c r="G1086" s="161">
        <v>44431</v>
      </c>
      <c r="H1086" s="26" t="s">
        <v>669</v>
      </c>
      <c r="I1086" s="161">
        <v>44431</v>
      </c>
      <c r="J1086" s="35" t="s">
        <v>1291</v>
      </c>
      <c r="K1086" s="21">
        <v>1000000</v>
      </c>
      <c r="L1086" s="21"/>
      <c r="M1086" s="22">
        <f>(PROVEEDORES[[#This Row],[SUBTOTAL]]-PROVEEDORES[[#This Row],[descuento sobre subtotal]])*VLOOKUP(PROVEEDORES[[#This Row],[PROVEEDOR]],TERCEROS_INFO[#All],3,FALSE)</f>
        <v>0</v>
      </c>
      <c r="N1086" s="23"/>
      <c r="O1086" s="22">
        <f>+PROVEEDORES[[#This Row],[Descuento sobre subtotal %]]*(PROVEEDORES[[#This Row],[SUBTOTAL]]-PROVEEDORES[[#This Row],[descuento sobre subtotal]])</f>
        <v>0</v>
      </c>
      <c r="P1086" s="83">
        <f>+IF(PROVEEDORES[[#This Row],[SUBTOTAL]]&lt;PROVEEDORES[[#This Row],[base retencion]],0,PROVEEDORES[[#This Row],[retención aplicada]])</f>
        <v>0</v>
      </c>
      <c r="Q1086" s="22">
        <f>+PROVEEDORES[[#This Row],[Rete Fuente %]]*(PROVEEDORES[[#This Row],[SUBTOTAL]]-PROVEEDORES[[#This Row],[descuento sobre subtotal]])</f>
        <v>0</v>
      </c>
      <c r="R108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68">
        <f ca="1">IF(PROVEEDORES[[#This Row],[FECHA DE PAGO]]=0,TODAY()-PROVEEDORES[[#This Row],[FECHA DE FACTURACIÓN]]-PROVEEDORES[[#This Row],[PLAZO Días]],0)</f>
        <v>0</v>
      </c>
      <c r="U1086" s="96">
        <f>+VLOOKUP(PROVEEDORES[[#This Row],[PROVEEDOR]],Terceros!$A:$D,4,FALSE)</f>
        <v>0</v>
      </c>
      <c r="V1086" s="97">
        <f>+YEAR(PROVEEDORES[[#This Row],[FECHA DE FACTURACIÓN]])</f>
        <v>2021</v>
      </c>
      <c r="W1086" s="97">
        <f>+MATCH(PROVEEDORES[[#This Row],[año facturado]],Retenciones!$1:$1,0)</f>
        <v>4</v>
      </c>
      <c r="X1086" s="98">
        <f>+VLOOKUP(PROVEEDORES[[#This Row],[ID RETENCION]],Retenciones!$A$1:$O$25,PROVEEDORES[[#This Row],[indicador de columna]],FALSE)</f>
        <v>0</v>
      </c>
      <c r="Y1086" s="99">
        <f>+VLOOKUP(PROVEEDORES[[#This Row],[ID RETENCION]],Retenciones!$A$1:$O$25,2,FALSE)</f>
        <v>0</v>
      </c>
      <c r="Z1086" s="125" t="b">
        <f>OR(COUNTIF(PROVEEDORES[[#This Row],[PROVEEDOR]],"*"&amp;'Palabra no opera'!$A$2&amp;"*"))</f>
        <v>0</v>
      </c>
      <c r="AA1086" s="24"/>
      <c r="AB1086" s="24"/>
      <c r="AC1086" s="24"/>
      <c r="AD1086" s="24"/>
      <c r="AE1086" s="24"/>
    </row>
    <row r="1087" spans="1:31" ht="22.2" customHeight="1" x14ac:dyDescent="0.3">
      <c r="A1087" s="66" t="str">
        <f>+IF(PROVEEDORES[[#This Row],[FECHA DE PAGO]]=PROVEEDORES[[#This Row],[FECHA DE FACTURACIÓN]],"DE CONTADO","CRÉDITO")</f>
        <v>DE CONTADO</v>
      </c>
      <c r="B1087" s="38" t="b">
        <f>+IF((PROVEEDORES[[#This Row],[FECHA DE PAGO]]-PROVEEDORES[[#This Row],[FECHA DE FACTURACIÓN]])&gt;PROVEEDORES[[#This Row],[PLAZO Días]],"PAGO VENCIDO")</f>
        <v>0</v>
      </c>
      <c r="C1087" s="20">
        <f>+VLOOKUP(PROVEEDORES[[#This Row],[PROVEEDOR]],TERCEROS_INFO[#All],2,FALSE)</f>
        <v>30</v>
      </c>
      <c r="D1087" s="25">
        <f>+SUMIFS(PROVEEDORES[Total],PROVEEDORES[PROVEEDOR],PROVEEDORES[[#This Row],[PROVEEDOR]],PROVEEDORES[FECHA DE PAGO],"")</f>
        <v>0</v>
      </c>
      <c r="E1087" s="25"/>
      <c r="F1087" s="58" t="str">
        <f>+VLOOKUP(PROVEEDORES[[#This Row],[PROVEEDOR]],
                       Terceros!$A:$F,
                       5,
                       FALSE)</f>
        <v/>
      </c>
      <c r="G1087" s="161">
        <v>44434</v>
      </c>
      <c r="H1087" s="26" t="s">
        <v>673</v>
      </c>
      <c r="I1087" s="161">
        <v>44434</v>
      </c>
      <c r="J1087" s="35"/>
      <c r="K1087" s="21">
        <v>1000000</v>
      </c>
      <c r="L1087" s="21"/>
      <c r="M1087" s="22">
        <f>(PROVEEDORES[[#This Row],[SUBTOTAL]]-PROVEEDORES[[#This Row],[descuento sobre subtotal]])*VLOOKUP(PROVEEDORES[[#This Row],[PROVEEDOR]],TERCEROS_INFO[#All],3,FALSE)</f>
        <v>0</v>
      </c>
      <c r="N1087" s="23"/>
      <c r="O1087" s="22">
        <f>+PROVEEDORES[[#This Row],[Descuento sobre subtotal %]]*(PROVEEDORES[[#This Row],[SUBTOTAL]]-PROVEEDORES[[#This Row],[descuento sobre subtotal]])</f>
        <v>0</v>
      </c>
      <c r="P1087" s="83">
        <f>+IF(PROVEEDORES[[#This Row],[SUBTOTAL]]&lt;PROVEEDORES[[#This Row],[base retencion]],0,PROVEEDORES[[#This Row],[retención aplicada]])</f>
        <v>0</v>
      </c>
      <c r="Q1087" s="22">
        <f>+PROVEEDORES[[#This Row],[Rete Fuente %]]*(PROVEEDORES[[#This Row],[SUBTOTAL]]-PROVEEDORES[[#This Row],[descuento sobre subtotal]])</f>
        <v>0</v>
      </c>
      <c r="R108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68">
        <f ca="1">IF(PROVEEDORES[[#This Row],[FECHA DE PAGO]]=0,TODAY()-PROVEEDORES[[#This Row],[FECHA DE FACTURACIÓN]]-PROVEEDORES[[#This Row],[PLAZO Días]],0)</f>
        <v>0</v>
      </c>
      <c r="U1087" s="96">
        <f>+VLOOKUP(PROVEEDORES[[#This Row],[PROVEEDOR]],Terceros!$A:$D,4,FALSE)</f>
        <v>0</v>
      </c>
      <c r="V1087" s="97">
        <f>+YEAR(PROVEEDORES[[#This Row],[FECHA DE FACTURACIÓN]])</f>
        <v>2021</v>
      </c>
      <c r="W1087" s="97">
        <f>+MATCH(PROVEEDORES[[#This Row],[año facturado]],Retenciones!$1:$1,0)</f>
        <v>4</v>
      </c>
      <c r="X1087" s="98">
        <f>+VLOOKUP(PROVEEDORES[[#This Row],[ID RETENCION]],Retenciones!$A$1:$O$25,PROVEEDORES[[#This Row],[indicador de columna]],FALSE)</f>
        <v>0</v>
      </c>
      <c r="Y1087" s="99">
        <f>+VLOOKUP(PROVEEDORES[[#This Row],[ID RETENCION]],Retenciones!$A$1:$O$25,2,FALSE)</f>
        <v>0</v>
      </c>
      <c r="Z1087" s="125" t="b">
        <f>OR(COUNTIF(PROVEEDORES[[#This Row],[PROVEEDOR]],"*"&amp;'Palabra no opera'!$A$2&amp;"*"))</f>
        <v>0</v>
      </c>
      <c r="AA1087" s="24"/>
      <c r="AB1087" s="24"/>
      <c r="AC1087" s="24"/>
      <c r="AD1087" s="24"/>
      <c r="AE1087" s="24"/>
    </row>
    <row r="1088" spans="1:31" ht="22.2" customHeight="1" x14ac:dyDescent="0.3">
      <c r="A1088" s="66" t="str">
        <f>+IF(PROVEEDORES[[#This Row],[FECHA DE PAGO]]=PROVEEDORES[[#This Row],[FECHA DE FACTURACIÓN]],"DE CONTADO","CRÉDITO")</f>
        <v>DE CONTADO</v>
      </c>
      <c r="B1088" s="38" t="b">
        <f>+IF((PROVEEDORES[[#This Row],[FECHA DE PAGO]]-PROVEEDORES[[#This Row],[FECHA DE FACTURACIÓN]])&gt;PROVEEDORES[[#This Row],[PLAZO Días]],"PAGO VENCIDO")</f>
        <v>0</v>
      </c>
      <c r="C1088" s="20">
        <f>+VLOOKUP(PROVEEDORES[[#This Row],[PROVEEDOR]],TERCEROS_INFO[#All],2,FALSE)</f>
        <v>30</v>
      </c>
      <c r="D1088" s="25">
        <f>+SUMIFS(PROVEEDORES[Total],PROVEEDORES[PROVEEDOR],PROVEEDORES[[#This Row],[PROVEEDOR]],PROVEEDORES[FECHA DE PAGO],"")</f>
        <v>0</v>
      </c>
      <c r="E1088" s="25"/>
      <c r="F1088" s="58" t="str">
        <f>+VLOOKUP(PROVEEDORES[[#This Row],[PROVEEDOR]],
                       Terceros!$A:$F,
                       5,
                       FALSE)</f>
        <v/>
      </c>
      <c r="G1088" s="161">
        <v>44442</v>
      </c>
      <c r="H1088" s="26" t="s">
        <v>673</v>
      </c>
      <c r="I1088" s="161">
        <v>44442</v>
      </c>
      <c r="J1088" s="35"/>
      <c r="K1088" s="21">
        <v>1000000</v>
      </c>
      <c r="L1088" s="21"/>
      <c r="M1088" s="22">
        <f>(PROVEEDORES[[#This Row],[SUBTOTAL]]-PROVEEDORES[[#This Row],[descuento sobre subtotal]])*VLOOKUP(PROVEEDORES[[#This Row],[PROVEEDOR]],TERCEROS_INFO[#All],3,FALSE)</f>
        <v>0</v>
      </c>
      <c r="N1088" s="23"/>
      <c r="O1088" s="22">
        <f>+PROVEEDORES[[#This Row],[Descuento sobre subtotal %]]*(PROVEEDORES[[#This Row],[SUBTOTAL]]-PROVEEDORES[[#This Row],[descuento sobre subtotal]])</f>
        <v>0</v>
      </c>
      <c r="P1088" s="83">
        <f>+IF(PROVEEDORES[[#This Row],[SUBTOTAL]]&lt;PROVEEDORES[[#This Row],[base retencion]],0,PROVEEDORES[[#This Row],[retención aplicada]])</f>
        <v>0</v>
      </c>
      <c r="Q1088" s="22">
        <f>+PROVEEDORES[[#This Row],[Rete Fuente %]]*(PROVEEDORES[[#This Row],[SUBTOTAL]]-PROVEEDORES[[#This Row],[descuento sobre subtotal]])</f>
        <v>0</v>
      </c>
      <c r="R108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68">
        <f ca="1">IF(PROVEEDORES[[#This Row],[FECHA DE PAGO]]=0,TODAY()-PROVEEDORES[[#This Row],[FECHA DE FACTURACIÓN]]-PROVEEDORES[[#This Row],[PLAZO Días]],0)</f>
        <v>0</v>
      </c>
      <c r="U1088" s="96">
        <f>+VLOOKUP(PROVEEDORES[[#This Row],[PROVEEDOR]],Terceros!$A:$D,4,FALSE)</f>
        <v>0</v>
      </c>
      <c r="V1088" s="97">
        <f>+YEAR(PROVEEDORES[[#This Row],[FECHA DE FACTURACIÓN]])</f>
        <v>2021</v>
      </c>
      <c r="W1088" s="97">
        <f>+MATCH(PROVEEDORES[[#This Row],[año facturado]],Retenciones!$1:$1,0)</f>
        <v>4</v>
      </c>
      <c r="X1088" s="98">
        <f>+VLOOKUP(PROVEEDORES[[#This Row],[ID RETENCION]],Retenciones!$A$1:$O$25,PROVEEDORES[[#This Row],[indicador de columna]],FALSE)</f>
        <v>0</v>
      </c>
      <c r="Y1088" s="99">
        <f>+VLOOKUP(PROVEEDORES[[#This Row],[ID RETENCION]],Retenciones!$A$1:$O$25,2,FALSE)</f>
        <v>0</v>
      </c>
      <c r="Z1088" s="125" t="b">
        <f>OR(COUNTIF(PROVEEDORES[[#This Row],[PROVEEDOR]],"*"&amp;'Palabra no opera'!$A$2&amp;"*"))</f>
        <v>0</v>
      </c>
      <c r="AA1088" s="24"/>
      <c r="AB1088" s="24"/>
      <c r="AC1088" s="24"/>
      <c r="AD1088" s="24"/>
      <c r="AE1088" s="24"/>
    </row>
    <row r="1089" spans="1:31" ht="22.2" customHeight="1" x14ac:dyDescent="0.3">
      <c r="A1089" s="66" t="str">
        <f>+IF(PROVEEDORES[[#This Row],[FECHA DE PAGO]]=PROVEEDORES[[#This Row],[FECHA DE FACTURACIÓN]],"DE CONTADO","CRÉDITO")</f>
        <v>DE CONTADO</v>
      </c>
      <c r="B1089" s="38" t="b">
        <f>+IF((PROVEEDORES[[#This Row],[FECHA DE PAGO]]-PROVEEDORES[[#This Row],[FECHA DE FACTURACIÓN]])&gt;PROVEEDORES[[#This Row],[PLAZO Días]],"PAGO VENCIDO")</f>
        <v>0</v>
      </c>
      <c r="C1089" s="20">
        <f>+VLOOKUP(PROVEEDORES[[#This Row],[PROVEEDOR]],TERCEROS_INFO[#All],2,FALSE)</f>
        <v>30</v>
      </c>
      <c r="D1089" s="25">
        <f>+SUMIFS(PROVEEDORES[Total],PROVEEDORES[PROVEEDOR],PROVEEDORES[[#This Row],[PROVEEDOR]],PROVEEDORES[FECHA DE PAGO],"")</f>
        <v>0</v>
      </c>
      <c r="E1089" s="25"/>
      <c r="F1089" s="58" t="str">
        <f>+VLOOKUP(PROVEEDORES[[#This Row],[PROVEEDOR]],
                       Terceros!$A:$F,
                       5,
                       FALSE)</f>
        <v/>
      </c>
      <c r="G1089" s="161">
        <v>44455</v>
      </c>
      <c r="H1089" s="26" t="s">
        <v>673</v>
      </c>
      <c r="I1089" s="161">
        <v>44455</v>
      </c>
      <c r="J1089" s="35"/>
      <c r="K1089" s="21">
        <v>1000000</v>
      </c>
      <c r="L1089" s="21"/>
      <c r="M1089" s="22">
        <f>(PROVEEDORES[[#This Row],[SUBTOTAL]]-PROVEEDORES[[#This Row],[descuento sobre subtotal]])*VLOOKUP(PROVEEDORES[[#This Row],[PROVEEDOR]],TERCEROS_INFO[#All],3,FALSE)</f>
        <v>0</v>
      </c>
      <c r="N1089" s="23"/>
      <c r="O1089" s="22">
        <f>+PROVEEDORES[[#This Row],[Descuento sobre subtotal %]]*(PROVEEDORES[[#This Row],[SUBTOTAL]]-PROVEEDORES[[#This Row],[descuento sobre subtotal]])</f>
        <v>0</v>
      </c>
      <c r="P1089" s="83">
        <f>+IF(PROVEEDORES[[#This Row],[SUBTOTAL]]&lt;PROVEEDORES[[#This Row],[base retencion]],0,PROVEEDORES[[#This Row],[retención aplicada]])</f>
        <v>0</v>
      </c>
      <c r="Q1089" s="22">
        <f>+PROVEEDORES[[#This Row],[Rete Fuente %]]*(PROVEEDORES[[#This Row],[SUBTOTAL]]-PROVEEDORES[[#This Row],[descuento sobre subtotal]])</f>
        <v>0</v>
      </c>
      <c r="R108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68">
        <f ca="1">IF(PROVEEDORES[[#This Row],[FECHA DE PAGO]]=0,TODAY()-PROVEEDORES[[#This Row],[FECHA DE FACTURACIÓN]]-PROVEEDORES[[#This Row],[PLAZO Días]],0)</f>
        <v>0</v>
      </c>
      <c r="U1089" s="96">
        <f>+VLOOKUP(PROVEEDORES[[#This Row],[PROVEEDOR]],Terceros!$A:$D,4,FALSE)</f>
        <v>0</v>
      </c>
      <c r="V1089" s="97">
        <f>+YEAR(PROVEEDORES[[#This Row],[FECHA DE FACTURACIÓN]])</f>
        <v>2021</v>
      </c>
      <c r="W1089" s="97">
        <f>+MATCH(PROVEEDORES[[#This Row],[año facturado]],Retenciones!$1:$1,0)</f>
        <v>4</v>
      </c>
      <c r="X1089" s="98">
        <f>+VLOOKUP(PROVEEDORES[[#This Row],[ID RETENCION]],Retenciones!$A$1:$O$25,PROVEEDORES[[#This Row],[indicador de columna]],FALSE)</f>
        <v>0</v>
      </c>
      <c r="Y1089" s="99">
        <f>+VLOOKUP(PROVEEDORES[[#This Row],[ID RETENCION]],Retenciones!$A$1:$O$25,2,FALSE)</f>
        <v>0</v>
      </c>
      <c r="Z1089" s="125" t="b">
        <f>OR(COUNTIF(PROVEEDORES[[#This Row],[PROVEEDOR]],"*"&amp;'Palabra no opera'!$A$2&amp;"*"))</f>
        <v>0</v>
      </c>
      <c r="AA1089" s="24"/>
      <c r="AB1089" s="24"/>
      <c r="AC1089" s="24"/>
      <c r="AD1089" s="24"/>
      <c r="AE1089" s="24"/>
    </row>
    <row r="1090" spans="1:31" ht="22.2" customHeight="1" x14ac:dyDescent="0.3">
      <c r="A1090" s="66" t="str">
        <f>+IF(PROVEEDORES[[#This Row],[FECHA DE PAGO]]=PROVEEDORES[[#This Row],[FECHA DE FACTURACIÓN]],"DE CONTADO","CRÉDITO")</f>
        <v>DE CONTADO</v>
      </c>
      <c r="B1090" s="38" t="b">
        <f>+IF((PROVEEDORES[[#This Row],[FECHA DE PAGO]]-PROVEEDORES[[#This Row],[FECHA DE FACTURACIÓN]])&gt;PROVEEDORES[[#This Row],[PLAZO Días]],"PAGO VENCIDO")</f>
        <v>0</v>
      </c>
      <c r="C1090" s="20">
        <f>+VLOOKUP(PROVEEDORES[[#This Row],[PROVEEDOR]],TERCEROS_INFO[#All],2,FALSE)</f>
        <v>30</v>
      </c>
      <c r="D1090" s="25">
        <f>+SUMIFS(PROVEEDORES[Total],PROVEEDORES[PROVEEDOR],PROVEEDORES[[#This Row],[PROVEEDOR]],PROVEEDORES[FECHA DE PAGO],"")</f>
        <v>0</v>
      </c>
      <c r="E1090" s="25"/>
      <c r="F1090" s="58" t="str">
        <f>+VLOOKUP(PROVEEDORES[[#This Row],[PROVEEDOR]],
                       Terceros!$A:$F,
                       5,
                       FALSE)</f>
        <v/>
      </c>
      <c r="G1090" s="161">
        <v>44459</v>
      </c>
      <c r="H1090" s="26" t="s">
        <v>673</v>
      </c>
      <c r="I1090" s="161">
        <v>44459</v>
      </c>
      <c r="J1090" s="35"/>
      <c r="K1090" s="21">
        <v>1000000</v>
      </c>
      <c r="L1090" s="21"/>
      <c r="M1090" s="22">
        <f>(PROVEEDORES[[#This Row],[SUBTOTAL]]-PROVEEDORES[[#This Row],[descuento sobre subtotal]])*VLOOKUP(PROVEEDORES[[#This Row],[PROVEEDOR]],TERCEROS_INFO[#All],3,FALSE)</f>
        <v>0</v>
      </c>
      <c r="N1090" s="23"/>
      <c r="O1090" s="22">
        <f>+PROVEEDORES[[#This Row],[Descuento sobre subtotal %]]*(PROVEEDORES[[#This Row],[SUBTOTAL]]-PROVEEDORES[[#This Row],[descuento sobre subtotal]])</f>
        <v>0</v>
      </c>
      <c r="P1090" s="83">
        <f>+IF(PROVEEDORES[[#This Row],[SUBTOTAL]]&lt;PROVEEDORES[[#This Row],[base retencion]],0,PROVEEDORES[[#This Row],[retención aplicada]])</f>
        <v>0</v>
      </c>
      <c r="Q1090" s="22">
        <f>+PROVEEDORES[[#This Row],[Rete Fuente %]]*(PROVEEDORES[[#This Row],[SUBTOTAL]]-PROVEEDORES[[#This Row],[descuento sobre subtotal]])</f>
        <v>0</v>
      </c>
      <c r="R109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68">
        <f ca="1">IF(PROVEEDORES[[#This Row],[FECHA DE PAGO]]=0,TODAY()-PROVEEDORES[[#This Row],[FECHA DE FACTURACIÓN]]-PROVEEDORES[[#This Row],[PLAZO Días]],0)</f>
        <v>0</v>
      </c>
      <c r="U1090" s="96">
        <f>+VLOOKUP(PROVEEDORES[[#This Row],[PROVEEDOR]],Terceros!$A:$D,4,FALSE)</f>
        <v>0</v>
      </c>
      <c r="V1090" s="97">
        <f>+YEAR(PROVEEDORES[[#This Row],[FECHA DE FACTURACIÓN]])</f>
        <v>2021</v>
      </c>
      <c r="W1090" s="97">
        <f>+MATCH(PROVEEDORES[[#This Row],[año facturado]],Retenciones!$1:$1,0)</f>
        <v>4</v>
      </c>
      <c r="X1090" s="98">
        <f>+VLOOKUP(PROVEEDORES[[#This Row],[ID RETENCION]],Retenciones!$A$1:$O$25,PROVEEDORES[[#This Row],[indicador de columna]],FALSE)</f>
        <v>0</v>
      </c>
      <c r="Y1090" s="99">
        <f>+VLOOKUP(PROVEEDORES[[#This Row],[ID RETENCION]],Retenciones!$A$1:$O$25,2,FALSE)</f>
        <v>0</v>
      </c>
      <c r="Z1090" s="125" t="b">
        <f>OR(COUNTIF(PROVEEDORES[[#This Row],[PROVEEDOR]],"*"&amp;'Palabra no opera'!$A$2&amp;"*"))</f>
        <v>0</v>
      </c>
      <c r="AA1090" s="24"/>
      <c r="AB1090" s="24"/>
      <c r="AC1090" s="24"/>
      <c r="AD1090" s="24"/>
      <c r="AE1090" s="24"/>
    </row>
    <row r="1091" spans="1:31" ht="22.2" customHeight="1" x14ac:dyDescent="0.3">
      <c r="A1091" s="66" t="str">
        <f>+IF(PROVEEDORES[[#This Row],[FECHA DE PAGO]]=PROVEEDORES[[#This Row],[FECHA DE FACTURACIÓN]],"DE CONTADO","CRÉDITO")</f>
        <v>DE CONTADO</v>
      </c>
      <c r="B1091" s="38" t="b">
        <f>+IF((PROVEEDORES[[#This Row],[FECHA DE PAGO]]-PROVEEDORES[[#This Row],[FECHA DE FACTURACIÓN]])&gt;PROVEEDORES[[#This Row],[PLAZO Días]],"PAGO VENCIDO")</f>
        <v>0</v>
      </c>
      <c r="C1091" s="20">
        <f>+VLOOKUP(PROVEEDORES[[#This Row],[PROVEEDOR]],TERCEROS_INFO[#All],2,FALSE)</f>
        <v>30</v>
      </c>
      <c r="D1091" s="25">
        <f>+SUMIFS(PROVEEDORES[Total],PROVEEDORES[PROVEEDOR],PROVEEDORES[[#This Row],[PROVEEDOR]],PROVEEDORES[FECHA DE PAGO],"")</f>
        <v>0</v>
      </c>
      <c r="E1091" s="25"/>
      <c r="F1091" s="58" t="str">
        <f>+VLOOKUP(PROVEEDORES[[#This Row],[PROVEEDOR]],
                       Terceros!$A:$F,
                       5,
                       FALSE)</f>
        <v/>
      </c>
      <c r="G1091" s="161">
        <v>44469</v>
      </c>
      <c r="H1091" s="26" t="s">
        <v>673</v>
      </c>
      <c r="I1091" s="161">
        <v>44469</v>
      </c>
      <c r="J1091" s="35"/>
      <c r="K1091" s="21">
        <v>1000000</v>
      </c>
      <c r="L1091" s="21"/>
      <c r="M1091" s="22">
        <f>(PROVEEDORES[[#This Row],[SUBTOTAL]]-PROVEEDORES[[#This Row],[descuento sobre subtotal]])*VLOOKUP(PROVEEDORES[[#This Row],[PROVEEDOR]],TERCEROS_INFO[#All],3,FALSE)</f>
        <v>0</v>
      </c>
      <c r="N1091" s="23"/>
      <c r="O1091" s="22">
        <f>+PROVEEDORES[[#This Row],[Descuento sobre subtotal %]]*(PROVEEDORES[[#This Row],[SUBTOTAL]]-PROVEEDORES[[#This Row],[descuento sobre subtotal]])</f>
        <v>0</v>
      </c>
      <c r="P1091" s="83">
        <f>+IF(PROVEEDORES[[#This Row],[SUBTOTAL]]&lt;PROVEEDORES[[#This Row],[base retencion]],0,PROVEEDORES[[#This Row],[retención aplicada]])</f>
        <v>0</v>
      </c>
      <c r="Q1091" s="22">
        <f>+PROVEEDORES[[#This Row],[Rete Fuente %]]*(PROVEEDORES[[#This Row],[SUBTOTAL]]-PROVEEDORES[[#This Row],[descuento sobre subtotal]])</f>
        <v>0</v>
      </c>
      <c r="R109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68">
        <f ca="1">IF(PROVEEDORES[[#This Row],[FECHA DE PAGO]]=0,TODAY()-PROVEEDORES[[#This Row],[FECHA DE FACTURACIÓN]]-PROVEEDORES[[#This Row],[PLAZO Días]],0)</f>
        <v>0</v>
      </c>
      <c r="U1091" s="96">
        <f>+VLOOKUP(PROVEEDORES[[#This Row],[PROVEEDOR]],Terceros!$A:$D,4,FALSE)</f>
        <v>0</v>
      </c>
      <c r="V1091" s="97">
        <f>+YEAR(PROVEEDORES[[#This Row],[FECHA DE FACTURACIÓN]])</f>
        <v>2021</v>
      </c>
      <c r="W1091" s="97">
        <f>+MATCH(PROVEEDORES[[#This Row],[año facturado]],Retenciones!$1:$1,0)</f>
        <v>4</v>
      </c>
      <c r="X1091" s="98">
        <f>+VLOOKUP(PROVEEDORES[[#This Row],[ID RETENCION]],Retenciones!$A$1:$O$25,PROVEEDORES[[#This Row],[indicador de columna]],FALSE)</f>
        <v>0</v>
      </c>
      <c r="Y1091" s="99">
        <f>+VLOOKUP(PROVEEDORES[[#This Row],[ID RETENCION]],Retenciones!$A$1:$O$25,2,FALSE)</f>
        <v>0</v>
      </c>
      <c r="Z1091" s="125" t="b">
        <f>OR(COUNTIF(PROVEEDORES[[#This Row],[PROVEEDOR]],"*"&amp;'Palabra no opera'!$A$2&amp;"*"))</f>
        <v>0</v>
      </c>
      <c r="AA1091" s="24"/>
      <c r="AB1091" s="24"/>
      <c r="AC1091" s="24"/>
      <c r="AD1091" s="24"/>
      <c r="AE1091" s="24"/>
    </row>
    <row r="1092" spans="1:31" ht="22.2" customHeight="1" x14ac:dyDescent="0.3">
      <c r="A1092" s="66" t="str">
        <f>+IF(PROVEEDORES[[#This Row],[FECHA DE PAGO]]=PROVEEDORES[[#This Row],[FECHA DE FACTURACIÓN]],"DE CONTADO","CRÉDITO")</f>
        <v>DE CONTADO</v>
      </c>
      <c r="B1092" s="38" t="b">
        <f>+IF((PROVEEDORES[[#This Row],[FECHA DE PAGO]]-PROVEEDORES[[#This Row],[FECHA DE FACTURACIÓN]])&gt;PROVEEDORES[[#This Row],[PLAZO Días]],"PAGO VENCIDO")</f>
        <v>0</v>
      </c>
      <c r="C1092" s="20">
        <f>+VLOOKUP(PROVEEDORES[[#This Row],[PROVEEDOR]],TERCEROS_INFO[#All],2,FALSE)</f>
        <v>30</v>
      </c>
      <c r="D1092" s="25">
        <f>+SUMIFS(PROVEEDORES[Total],PROVEEDORES[PROVEEDOR],PROVEEDORES[[#This Row],[PROVEEDOR]],PROVEEDORES[FECHA DE PAGO],"")</f>
        <v>0</v>
      </c>
      <c r="E1092" s="25"/>
      <c r="F1092" s="58" t="str">
        <f>+VLOOKUP(PROVEEDORES[[#This Row],[PROVEEDOR]],
                       Terceros!$A:$F,
                       5,
                       FALSE)</f>
        <v/>
      </c>
      <c r="G1092" s="161">
        <v>44476</v>
      </c>
      <c r="H1092" s="26" t="s">
        <v>673</v>
      </c>
      <c r="I1092" s="161">
        <v>44476</v>
      </c>
      <c r="J1092" s="35"/>
      <c r="K1092" s="21">
        <v>1000000</v>
      </c>
      <c r="L1092" s="21"/>
      <c r="M1092" s="22">
        <f>(PROVEEDORES[[#This Row],[SUBTOTAL]]-PROVEEDORES[[#This Row],[descuento sobre subtotal]])*VLOOKUP(PROVEEDORES[[#This Row],[PROVEEDOR]],TERCEROS_INFO[#All],3,FALSE)</f>
        <v>0</v>
      </c>
      <c r="N1092" s="23"/>
      <c r="O1092" s="22">
        <f>+PROVEEDORES[[#This Row],[Descuento sobre subtotal %]]*(PROVEEDORES[[#This Row],[SUBTOTAL]]-PROVEEDORES[[#This Row],[descuento sobre subtotal]])</f>
        <v>0</v>
      </c>
      <c r="P1092" s="83">
        <f>+IF(PROVEEDORES[[#This Row],[SUBTOTAL]]&lt;PROVEEDORES[[#This Row],[base retencion]],0,PROVEEDORES[[#This Row],[retención aplicada]])</f>
        <v>0</v>
      </c>
      <c r="Q1092" s="22">
        <f>+PROVEEDORES[[#This Row],[Rete Fuente %]]*(PROVEEDORES[[#This Row],[SUBTOTAL]]-PROVEEDORES[[#This Row],[descuento sobre subtotal]])</f>
        <v>0</v>
      </c>
      <c r="R109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68">
        <f ca="1">IF(PROVEEDORES[[#This Row],[FECHA DE PAGO]]=0,TODAY()-PROVEEDORES[[#This Row],[FECHA DE FACTURACIÓN]]-PROVEEDORES[[#This Row],[PLAZO Días]],0)</f>
        <v>0</v>
      </c>
      <c r="U1092" s="96">
        <f>+VLOOKUP(PROVEEDORES[[#This Row],[PROVEEDOR]],Terceros!$A:$D,4,FALSE)</f>
        <v>0</v>
      </c>
      <c r="V1092" s="97">
        <f>+YEAR(PROVEEDORES[[#This Row],[FECHA DE FACTURACIÓN]])</f>
        <v>2021</v>
      </c>
      <c r="W1092" s="97">
        <f>+MATCH(PROVEEDORES[[#This Row],[año facturado]],Retenciones!$1:$1,0)</f>
        <v>4</v>
      </c>
      <c r="X1092" s="98">
        <f>+VLOOKUP(PROVEEDORES[[#This Row],[ID RETENCION]],Retenciones!$A$1:$O$25,PROVEEDORES[[#This Row],[indicador de columna]],FALSE)</f>
        <v>0</v>
      </c>
      <c r="Y1092" s="99">
        <f>+VLOOKUP(PROVEEDORES[[#This Row],[ID RETENCION]],Retenciones!$A$1:$O$25,2,FALSE)</f>
        <v>0</v>
      </c>
      <c r="Z1092" s="125" t="b">
        <f>OR(COUNTIF(PROVEEDORES[[#This Row],[PROVEEDOR]],"*"&amp;'Palabra no opera'!$A$2&amp;"*"))</f>
        <v>0</v>
      </c>
      <c r="AA1092" s="24"/>
      <c r="AB1092" s="24"/>
      <c r="AC1092" s="24"/>
      <c r="AD1092" s="24"/>
      <c r="AE1092" s="24"/>
    </row>
    <row r="1093" spans="1:31" ht="22.2" customHeight="1" x14ac:dyDescent="0.3">
      <c r="A1093" s="66" t="str">
        <f>+IF(PROVEEDORES[[#This Row],[FECHA DE PAGO]]=PROVEEDORES[[#This Row],[FECHA DE FACTURACIÓN]],"DE CONTADO","CRÉDITO")</f>
        <v>DE CONTADO</v>
      </c>
      <c r="B1093" s="38" t="b">
        <f>+IF((PROVEEDORES[[#This Row],[FECHA DE PAGO]]-PROVEEDORES[[#This Row],[FECHA DE FACTURACIÓN]])&gt;PROVEEDORES[[#This Row],[PLAZO Días]],"PAGO VENCIDO")</f>
        <v>0</v>
      </c>
      <c r="C1093" s="20">
        <f>+VLOOKUP(PROVEEDORES[[#This Row],[PROVEEDOR]],TERCEROS_INFO[#All],2,FALSE)</f>
        <v>30</v>
      </c>
      <c r="D1093" s="25">
        <f>+SUMIFS(PROVEEDORES[Total],PROVEEDORES[PROVEEDOR],PROVEEDORES[[#This Row],[PROVEEDOR]],PROVEEDORES[FECHA DE PAGO],"")</f>
        <v>0</v>
      </c>
      <c r="E1093" s="25"/>
      <c r="F1093" s="58" t="str">
        <f>+VLOOKUP(PROVEEDORES[[#This Row],[PROVEEDOR]],
                       Terceros!$A:$F,
                       5,
                       FALSE)</f>
        <v/>
      </c>
      <c r="G1093" s="161">
        <v>44483</v>
      </c>
      <c r="H1093" s="26" t="s">
        <v>673</v>
      </c>
      <c r="I1093" s="161">
        <v>44483</v>
      </c>
      <c r="J1093" s="35"/>
      <c r="K1093" s="21">
        <v>1000000</v>
      </c>
      <c r="L1093" s="21"/>
      <c r="M1093" s="22">
        <f>(PROVEEDORES[[#This Row],[SUBTOTAL]]-PROVEEDORES[[#This Row],[descuento sobre subtotal]])*VLOOKUP(PROVEEDORES[[#This Row],[PROVEEDOR]],TERCEROS_INFO[#All],3,FALSE)</f>
        <v>0</v>
      </c>
      <c r="N1093" s="23"/>
      <c r="O1093" s="22">
        <f>+PROVEEDORES[[#This Row],[Descuento sobre subtotal %]]*(PROVEEDORES[[#This Row],[SUBTOTAL]]-PROVEEDORES[[#This Row],[descuento sobre subtotal]])</f>
        <v>0</v>
      </c>
      <c r="P1093" s="83">
        <f>+IF(PROVEEDORES[[#This Row],[SUBTOTAL]]&lt;PROVEEDORES[[#This Row],[base retencion]],0,PROVEEDORES[[#This Row],[retención aplicada]])</f>
        <v>0</v>
      </c>
      <c r="Q1093" s="22">
        <f>+PROVEEDORES[[#This Row],[Rete Fuente %]]*(PROVEEDORES[[#This Row],[SUBTOTAL]]-PROVEEDORES[[#This Row],[descuento sobre subtotal]])</f>
        <v>0</v>
      </c>
      <c r="R109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68">
        <f ca="1">IF(PROVEEDORES[[#This Row],[FECHA DE PAGO]]=0,TODAY()-PROVEEDORES[[#This Row],[FECHA DE FACTURACIÓN]]-PROVEEDORES[[#This Row],[PLAZO Días]],0)</f>
        <v>0</v>
      </c>
      <c r="U1093" s="96">
        <f>+VLOOKUP(PROVEEDORES[[#This Row],[PROVEEDOR]],Terceros!$A:$D,4,FALSE)</f>
        <v>0</v>
      </c>
      <c r="V1093" s="97">
        <f>+YEAR(PROVEEDORES[[#This Row],[FECHA DE FACTURACIÓN]])</f>
        <v>2021</v>
      </c>
      <c r="W1093" s="97">
        <f>+MATCH(PROVEEDORES[[#This Row],[año facturado]],Retenciones!$1:$1,0)</f>
        <v>4</v>
      </c>
      <c r="X1093" s="98">
        <f>+VLOOKUP(PROVEEDORES[[#This Row],[ID RETENCION]],Retenciones!$A$1:$O$25,PROVEEDORES[[#This Row],[indicador de columna]],FALSE)</f>
        <v>0</v>
      </c>
      <c r="Y1093" s="99">
        <f>+VLOOKUP(PROVEEDORES[[#This Row],[ID RETENCION]],Retenciones!$A$1:$O$25,2,FALSE)</f>
        <v>0</v>
      </c>
      <c r="Z1093" s="125" t="b">
        <f>OR(COUNTIF(PROVEEDORES[[#This Row],[PROVEEDOR]],"*"&amp;'Palabra no opera'!$A$2&amp;"*"))</f>
        <v>0</v>
      </c>
      <c r="AA1093" s="24"/>
      <c r="AB1093" s="24"/>
      <c r="AC1093" s="24"/>
      <c r="AD1093" s="24"/>
      <c r="AE1093" s="24"/>
    </row>
    <row r="1094" spans="1:31" ht="22.2" customHeight="1" x14ac:dyDescent="0.3">
      <c r="A1094" s="66" t="str">
        <f>+IF(PROVEEDORES[[#This Row],[FECHA DE PAGO]]=PROVEEDORES[[#This Row],[FECHA DE FACTURACIÓN]],"DE CONTADO","CRÉDITO")</f>
        <v>DE CONTADO</v>
      </c>
      <c r="B1094" s="38" t="b">
        <f>+IF((PROVEEDORES[[#This Row],[FECHA DE PAGO]]-PROVEEDORES[[#This Row],[FECHA DE FACTURACIÓN]])&gt;PROVEEDORES[[#This Row],[PLAZO Días]],"PAGO VENCIDO")</f>
        <v>0</v>
      </c>
      <c r="C1094" s="20">
        <f>+VLOOKUP(PROVEEDORES[[#This Row],[PROVEEDOR]],TERCEROS_INFO[#All],2,FALSE)</f>
        <v>30</v>
      </c>
      <c r="D1094" s="25">
        <f>+SUMIFS(PROVEEDORES[Total],PROVEEDORES[PROVEEDOR],PROVEEDORES[[#This Row],[PROVEEDOR]],PROVEEDORES[FECHA DE PAGO],"")</f>
        <v>0</v>
      </c>
      <c r="E1094" s="25"/>
      <c r="F1094" s="58" t="str">
        <f>+VLOOKUP(PROVEEDORES[[#This Row],[PROVEEDOR]],
                       Terceros!$A:$F,
                       5,
                       FALSE)</f>
        <v/>
      </c>
      <c r="G1094" s="161">
        <v>44490</v>
      </c>
      <c r="H1094" s="26" t="s">
        <v>673</v>
      </c>
      <c r="I1094" s="161">
        <v>44490</v>
      </c>
      <c r="J1094" s="35"/>
      <c r="K1094" s="21">
        <v>1000000</v>
      </c>
      <c r="L1094" s="21"/>
      <c r="M1094" s="22">
        <f>(PROVEEDORES[[#This Row],[SUBTOTAL]]-PROVEEDORES[[#This Row],[descuento sobre subtotal]])*VLOOKUP(PROVEEDORES[[#This Row],[PROVEEDOR]],TERCEROS_INFO[#All],3,FALSE)</f>
        <v>0</v>
      </c>
      <c r="N1094" s="23"/>
      <c r="O1094" s="22">
        <f>+PROVEEDORES[[#This Row],[Descuento sobre subtotal %]]*(PROVEEDORES[[#This Row],[SUBTOTAL]]-PROVEEDORES[[#This Row],[descuento sobre subtotal]])</f>
        <v>0</v>
      </c>
      <c r="P1094" s="83">
        <f>+IF(PROVEEDORES[[#This Row],[SUBTOTAL]]&lt;PROVEEDORES[[#This Row],[base retencion]],0,PROVEEDORES[[#This Row],[retención aplicada]])</f>
        <v>0</v>
      </c>
      <c r="Q1094" s="22">
        <f>+PROVEEDORES[[#This Row],[Rete Fuente %]]*(PROVEEDORES[[#This Row],[SUBTOTAL]]-PROVEEDORES[[#This Row],[descuento sobre subtotal]])</f>
        <v>0</v>
      </c>
      <c r="R109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68">
        <f ca="1">IF(PROVEEDORES[[#This Row],[FECHA DE PAGO]]=0,TODAY()-PROVEEDORES[[#This Row],[FECHA DE FACTURACIÓN]]-PROVEEDORES[[#This Row],[PLAZO Días]],0)</f>
        <v>0</v>
      </c>
      <c r="U1094" s="96">
        <f>+VLOOKUP(PROVEEDORES[[#This Row],[PROVEEDOR]],Terceros!$A:$D,4,FALSE)</f>
        <v>0</v>
      </c>
      <c r="V1094" s="97">
        <f>+YEAR(PROVEEDORES[[#This Row],[FECHA DE FACTURACIÓN]])</f>
        <v>2021</v>
      </c>
      <c r="W1094" s="97">
        <f>+MATCH(PROVEEDORES[[#This Row],[año facturado]],Retenciones!$1:$1,0)</f>
        <v>4</v>
      </c>
      <c r="X1094" s="98">
        <f>+VLOOKUP(PROVEEDORES[[#This Row],[ID RETENCION]],Retenciones!$A$1:$O$25,PROVEEDORES[[#This Row],[indicador de columna]],FALSE)</f>
        <v>0</v>
      </c>
      <c r="Y1094" s="99">
        <f>+VLOOKUP(PROVEEDORES[[#This Row],[ID RETENCION]],Retenciones!$A$1:$O$25,2,FALSE)</f>
        <v>0</v>
      </c>
      <c r="Z1094" s="125" t="b">
        <f>OR(COUNTIF(PROVEEDORES[[#This Row],[PROVEEDOR]],"*"&amp;'Palabra no opera'!$A$2&amp;"*"))</f>
        <v>0</v>
      </c>
      <c r="AA1094" s="24"/>
      <c r="AB1094" s="24"/>
      <c r="AC1094" s="24"/>
      <c r="AD1094" s="24"/>
      <c r="AE1094" s="24"/>
    </row>
    <row r="1095" spans="1:31" ht="22.2" customHeight="1" x14ac:dyDescent="0.3">
      <c r="A1095" s="66" t="str">
        <f>+IF(PROVEEDORES[[#This Row],[FECHA DE PAGO]]=PROVEEDORES[[#This Row],[FECHA DE FACTURACIÓN]],"DE CONTADO","CRÉDITO")</f>
        <v>DE CONTADO</v>
      </c>
      <c r="B1095" s="38" t="b">
        <f>+IF((PROVEEDORES[[#This Row],[FECHA DE PAGO]]-PROVEEDORES[[#This Row],[FECHA DE FACTURACIÓN]])&gt;PROVEEDORES[[#This Row],[PLAZO Días]],"PAGO VENCIDO")</f>
        <v>0</v>
      </c>
      <c r="C1095" s="20">
        <f>+VLOOKUP(PROVEEDORES[[#This Row],[PROVEEDOR]],TERCEROS_INFO[#All],2,FALSE)</f>
        <v>30</v>
      </c>
      <c r="D1095" s="25">
        <f>+SUMIFS(PROVEEDORES[Total],PROVEEDORES[PROVEEDOR],PROVEEDORES[[#This Row],[PROVEEDOR]],PROVEEDORES[FECHA DE PAGO],"")</f>
        <v>0</v>
      </c>
      <c r="E1095" s="25"/>
      <c r="F1095" s="58" t="str">
        <f>+VLOOKUP(PROVEEDORES[[#This Row],[PROVEEDOR]],
                       Terceros!$A:$F,
                       5,
                       FALSE)</f>
        <v/>
      </c>
      <c r="G1095" s="161">
        <v>44498</v>
      </c>
      <c r="H1095" s="26" t="s">
        <v>673</v>
      </c>
      <c r="I1095" s="161">
        <v>44498</v>
      </c>
      <c r="J1095" s="35"/>
      <c r="K1095" s="21">
        <v>1000000</v>
      </c>
      <c r="L1095" s="21"/>
      <c r="M1095" s="22">
        <f>(PROVEEDORES[[#This Row],[SUBTOTAL]]-PROVEEDORES[[#This Row],[descuento sobre subtotal]])*VLOOKUP(PROVEEDORES[[#This Row],[PROVEEDOR]],TERCEROS_INFO[#All],3,FALSE)</f>
        <v>0</v>
      </c>
      <c r="N1095" s="23"/>
      <c r="O1095" s="22">
        <f>+PROVEEDORES[[#This Row],[Descuento sobre subtotal %]]*(PROVEEDORES[[#This Row],[SUBTOTAL]]-PROVEEDORES[[#This Row],[descuento sobre subtotal]])</f>
        <v>0</v>
      </c>
      <c r="P1095" s="83">
        <f>+IF(PROVEEDORES[[#This Row],[SUBTOTAL]]&lt;PROVEEDORES[[#This Row],[base retencion]],0,PROVEEDORES[[#This Row],[retención aplicada]])</f>
        <v>0</v>
      </c>
      <c r="Q1095" s="22">
        <f>+PROVEEDORES[[#This Row],[Rete Fuente %]]*(PROVEEDORES[[#This Row],[SUBTOTAL]]-PROVEEDORES[[#This Row],[descuento sobre subtotal]])</f>
        <v>0</v>
      </c>
      <c r="R109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68">
        <f ca="1">IF(PROVEEDORES[[#This Row],[FECHA DE PAGO]]=0,TODAY()-PROVEEDORES[[#This Row],[FECHA DE FACTURACIÓN]]-PROVEEDORES[[#This Row],[PLAZO Días]],0)</f>
        <v>0</v>
      </c>
      <c r="U1095" s="96">
        <f>+VLOOKUP(PROVEEDORES[[#This Row],[PROVEEDOR]],Terceros!$A:$D,4,FALSE)</f>
        <v>0</v>
      </c>
      <c r="V1095" s="97">
        <f>+YEAR(PROVEEDORES[[#This Row],[FECHA DE FACTURACIÓN]])</f>
        <v>2021</v>
      </c>
      <c r="W1095" s="97">
        <f>+MATCH(PROVEEDORES[[#This Row],[año facturado]],Retenciones!$1:$1,0)</f>
        <v>4</v>
      </c>
      <c r="X1095" s="98">
        <f>+VLOOKUP(PROVEEDORES[[#This Row],[ID RETENCION]],Retenciones!$A$1:$O$25,PROVEEDORES[[#This Row],[indicador de columna]],FALSE)</f>
        <v>0</v>
      </c>
      <c r="Y1095" s="99">
        <f>+VLOOKUP(PROVEEDORES[[#This Row],[ID RETENCION]],Retenciones!$A$1:$O$25,2,FALSE)</f>
        <v>0</v>
      </c>
      <c r="Z1095" s="125" t="b">
        <f>OR(COUNTIF(PROVEEDORES[[#This Row],[PROVEEDOR]],"*"&amp;'Palabra no opera'!$A$2&amp;"*"))</f>
        <v>0</v>
      </c>
      <c r="AA1095" s="24"/>
      <c r="AB1095" s="24"/>
      <c r="AC1095" s="24"/>
      <c r="AD1095" s="24"/>
      <c r="AE1095" s="24"/>
    </row>
    <row r="1096" spans="1:31" ht="22.2" customHeight="1" x14ac:dyDescent="0.3">
      <c r="A1096" s="66" t="str">
        <f>+IF(PROVEEDORES[[#This Row],[FECHA DE PAGO]]=PROVEEDORES[[#This Row],[FECHA DE FACTURACIÓN]],"DE CONTADO","CRÉDITO")</f>
        <v>DE CONTADO</v>
      </c>
      <c r="B1096" s="38" t="b">
        <f>+IF((PROVEEDORES[[#This Row],[FECHA DE PAGO]]-PROVEEDORES[[#This Row],[FECHA DE FACTURACIÓN]])&gt;PROVEEDORES[[#This Row],[PLAZO Días]],"PAGO VENCIDO")</f>
        <v>0</v>
      </c>
      <c r="C1096" s="20">
        <f>+VLOOKUP(PROVEEDORES[[#This Row],[PROVEEDOR]],TERCEROS_INFO[#All],2,FALSE)</f>
        <v>30</v>
      </c>
      <c r="D1096" s="25">
        <f>+SUMIFS(PROVEEDORES[Total],PROVEEDORES[PROVEEDOR],PROVEEDORES[[#This Row],[PROVEEDOR]],PROVEEDORES[FECHA DE PAGO],"")</f>
        <v>0</v>
      </c>
      <c r="E1096" s="25"/>
      <c r="F1096" s="58" t="str">
        <f>+VLOOKUP(PROVEEDORES[[#This Row],[PROVEEDOR]],
                       Terceros!$A:$F,
                       5,
                       FALSE)</f>
        <v/>
      </c>
      <c r="G1096" s="161">
        <v>44504</v>
      </c>
      <c r="H1096" s="26" t="s">
        <v>673</v>
      </c>
      <c r="I1096" s="161">
        <v>44504</v>
      </c>
      <c r="J1096" s="35"/>
      <c r="K1096" s="21">
        <v>1000000</v>
      </c>
      <c r="L1096" s="21"/>
      <c r="M1096" s="22">
        <f>(PROVEEDORES[[#This Row],[SUBTOTAL]]-PROVEEDORES[[#This Row],[descuento sobre subtotal]])*VLOOKUP(PROVEEDORES[[#This Row],[PROVEEDOR]],TERCEROS_INFO[#All],3,FALSE)</f>
        <v>0</v>
      </c>
      <c r="N1096" s="23"/>
      <c r="O1096" s="22">
        <f>+PROVEEDORES[[#This Row],[Descuento sobre subtotal %]]*(PROVEEDORES[[#This Row],[SUBTOTAL]]-PROVEEDORES[[#This Row],[descuento sobre subtotal]])</f>
        <v>0</v>
      </c>
      <c r="P1096" s="83">
        <f>+IF(PROVEEDORES[[#This Row],[SUBTOTAL]]&lt;PROVEEDORES[[#This Row],[base retencion]],0,PROVEEDORES[[#This Row],[retención aplicada]])</f>
        <v>0</v>
      </c>
      <c r="Q1096" s="22">
        <f>+PROVEEDORES[[#This Row],[Rete Fuente %]]*(PROVEEDORES[[#This Row],[SUBTOTAL]]-PROVEEDORES[[#This Row],[descuento sobre subtotal]])</f>
        <v>0</v>
      </c>
      <c r="R109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68">
        <f ca="1">IF(PROVEEDORES[[#This Row],[FECHA DE PAGO]]=0,TODAY()-PROVEEDORES[[#This Row],[FECHA DE FACTURACIÓN]]-PROVEEDORES[[#This Row],[PLAZO Días]],0)</f>
        <v>0</v>
      </c>
      <c r="U1096" s="96">
        <f>+VLOOKUP(PROVEEDORES[[#This Row],[PROVEEDOR]],Terceros!$A:$D,4,FALSE)</f>
        <v>0</v>
      </c>
      <c r="V1096" s="97">
        <f>+YEAR(PROVEEDORES[[#This Row],[FECHA DE FACTURACIÓN]])</f>
        <v>2021</v>
      </c>
      <c r="W1096" s="97">
        <f>+MATCH(PROVEEDORES[[#This Row],[año facturado]],Retenciones!$1:$1,0)</f>
        <v>4</v>
      </c>
      <c r="X1096" s="98">
        <f>+VLOOKUP(PROVEEDORES[[#This Row],[ID RETENCION]],Retenciones!$A$1:$O$25,PROVEEDORES[[#This Row],[indicador de columna]],FALSE)</f>
        <v>0</v>
      </c>
      <c r="Y1096" s="99">
        <f>+VLOOKUP(PROVEEDORES[[#This Row],[ID RETENCION]],Retenciones!$A$1:$O$25,2,FALSE)</f>
        <v>0</v>
      </c>
      <c r="Z1096" s="125" t="b">
        <f>OR(COUNTIF(PROVEEDORES[[#This Row],[PROVEEDOR]],"*"&amp;'Palabra no opera'!$A$2&amp;"*"))</f>
        <v>0</v>
      </c>
      <c r="AA1096" s="24"/>
      <c r="AB1096" s="24"/>
      <c r="AC1096" s="24"/>
      <c r="AD1096" s="24"/>
      <c r="AE1096" s="24"/>
    </row>
    <row r="1097" spans="1:31" ht="22.2" customHeight="1" x14ac:dyDescent="0.3">
      <c r="A1097" s="66" t="str">
        <f>+IF(PROVEEDORES[[#This Row],[FECHA DE PAGO]]=PROVEEDORES[[#This Row],[FECHA DE FACTURACIÓN]],"DE CONTADO","CRÉDITO")</f>
        <v>DE CONTADO</v>
      </c>
      <c r="B1097" s="38" t="b">
        <f>+IF((PROVEEDORES[[#This Row],[FECHA DE PAGO]]-PROVEEDORES[[#This Row],[FECHA DE FACTURACIÓN]])&gt;PROVEEDORES[[#This Row],[PLAZO Días]],"PAGO VENCIDO")</f>
        <v>0</v>
      </c>
      <c r="C1097" s="20">
        <f>+VLOOKUP(PROVEEDORES[[#This Row],[PROVEEDOR]],TERCEROS_INFO[#All],2,FALSE)</f>
        <v>30</v>
      </c>
      <c r="D1097" s="25">
        <f>+SUMIFS(PROVEEDORES[Total],PROVEEDORES[PROVEEDOR],PROVEEDORES[[#This Row],[PROVEEDOR]],PROVEEDORES[FECHA DE PAGO],"")</f>
        <v>0</v>
      </c>
      <c r="E1097" s="25"/>
      <c r="F1097" s="58" t="str">
        <f>+VLOOKUP(PROVEEDORES[[#This Row],[PROVEEDOR]],
                       Terceros!$A:$F,
                       5,
                       FALSE)</f>
        <v/>
      </c>
      <c r="G1097" s="161">
        <v>44512</v>
      </c>
      <c r="H1097" s="26" t="s">
        <v>673</v>
      </c>
      <c r="I1097" s="161">
        <v>44512</v>
      </c>
      <c r="J1097" s="35"/>
      <c r="K1097" s="21">
        <v>1000000</v>
      </c>
      <c r="L1097" s="21"/>
      <c r="M1097" s="22">
        <f>(PROVEEDORES[[#This Row],[SUBTOTAL]]-PROVEEDORES[[#This Row],[descuento sobre subtotal]])*VLOOKUP(PROVEEDORES[[#This Row],[PROVEEDOR]],TERCEROS_INFO[#All],3,FALSE)</f>
        <v>0</v>
      </c>
      <c r="N1097" s="23"/>
      <c r="O1097" s="22">
        <f>+PROVEEDORES[[#This Row],[Descuento sobre subtotal %]]*(PROVEEDORES[[#This Row],[SUBTOTAL]]-PROVEEDORES[[#This Row],[descuento sobre subtotal]])</f>
        <v>0</v>
      </c>
      <c r="P1097" s="83">
        <f>+IF(PROVEEDORES[[#This Row],[SUBTOTAL]]&lt;PROVEEDORES[[#This Row],[base retencion]],0,PROVEEDORES[[#This Row],[retención aplicada]])</f>
        <v>0</v>
      </c>
      <c r="Q1097" s="22">
        <f>+PROVEEDORES[[#This Row],[Rete Fuente %]]*(PROVEEDORES[[#This Row],[SUBTOTAL]]-PROVEEDORES[[#This Row],[descuento sobre subtotal]])</f>
        <v>0</v>
      </c>
      <c r="R109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68">
        <f ca="1">IF(PROVEEDORES[[#This Row],[FECHA DE PAGO]]=0,TODAY()-PROVEEDORES[[#This Row],[FECHA DE FACTURACIÓN]]-PROVEEDORES[[#This Row],[PLAZO Días]],0)</f>
        <v>0</v>
      </c>
      <c r="U1097" s="96">
        <f>+VLOOKUP(PROVEEDORES[[#This Row],[PROVEEDOR]],Terceros!$A:$D,4,FALSE)</f>
        <v>0</v>
      </c>
      <c r="V1097" s="97">
        <f>+YEAR(PROVEEDORES[[#This Row],[FECHA DE FACTURACIÓN]])</f>
        <v>2021</v>
      </c>
      <c r="W1097" s="97">
        <f>+MATCH(PROVEEDORES[[#This Row],[año facturado]],Retenciones!$1:$1,0)</f>
        <v>4</v>
      </c>
      <c r="X1097" s="98">
        <f>+VLOOKUP(PROVEEDORES[[#This Row],[ID RETENCION]],Retenciones!$A$1:$O$25,PROVEEDORES[[#This Row],[indicador de columna]],FALSE)</f>
        <v>0</v>
      </c>
      <c r="Y1097" s="99">
        <f>+VLOOKUP(PROVEEDORES[[#This Row],[ID RETENCION]],Retenciones!$A$1:$O$25,2,FALSE)</f>
        <v>0</v>
      </c>
      <c r="Z1097" s="125" t="b">
        <f>OR(COUNTIF(PROVEEDORES[[#This Row],[PROVEEDOR]],"*"&amp;'Palabra no opera'!$A$2&amp;"*"))</f>
        <v>0</v>
      </c>
      <c r="AA1097" s="24"/>
      <c r="AB1097" s="24"/>
      <c r="AC1097" s="24"/>
      <c r="AD1097" s="24"/>
      <c r="AE1097" s="24"/>
    </row>
    <row r="1098" spans="1:31" ht="22.2" customHeight="1" x14ac:dyDescent="0.3">
      <c r="A1098" s="66" t="str">
        <f>+IF(PROVEEDORES[[#This Row],[FECHA DE PAGO]]=PROVEEDORES[[#This Row],[FECHA DE FACTURACIÓN]],"DE CONTADO","CRÉDITO")</f>
        <v>DE CONTADO</v>
      </c>
      <c r="B1098" s="38" t="b">
        <f>+IF((PROVEEDORES[[#This Row],[FECHA DE PAGO]]-PROVEEDORES[[#This Row],[FECHA DE FACTURACIÓN]])&gt;PROVEEDORES[[#This Row],[PLAZO Días]],"PAGO VENCIDO")</f>
        <v>0</v>
      </c>
      <c r="C1098" s="20">
        <f>+VLOOKUP(PROVEEDORES[[#This Row],[PROVEEDOR]],TERCEROS_INFO[#All],2,FALSE)</f>
        <v>30</v>
      </c>
      <c r="D1098" s="25">
        <f>+SUMIFS(PROVEEDORES[Total],PROVEEDORES[PROVEEDOR],PROVEEDORES[[#This Row],[PROVEEDOR]],PROVEEDORES[FECHA DE PAGO],"")</f>
        <v>0</v>
      </c>
      <c r="E1098" s="25"/>
      <c r="F1098" s="58" t="str">
        <f>+VLOOKUP(PROVEEDORES[[#This Row],[PROVEEDOR]],
                       Terceros!$A:$F,
                       5,
                       FALSE)</f>
        <v/>
      </c>
      <c r="G1098" s="161">
        <v>44520</v>
      </c>
      <c r="H1098" s="26" t="s">
        <v>673</v>
      </c>
      <c r="I1098" s="161">
        <v>44520</v>
      </c>
      <c r="J1098" s="35"/>
      <c r="K1098" s="21">
        <v>1000000</v>
      </c>
      <c r="L1098" s="21"/>
      <c r="M1098" s="22">
        <f>(PROVEEDORES[[#This Row],[SUBTOTAL]]-PROVEEDORES[[#This Row],[descuento sobre subtotal]])*VLOOKUP(PROVEEDORES[[#This Row],[PROVEEDOR]],TERCEROS_INFO[#All],3,FALSE)</f>
        <v>0</v>
      </c>
      <c r="N1098" s="23"/>
      <c r="O1098" s="22">
        <f>+PROVEEDORES[[#This Row],[Descuento sobre subtotal %]]*(PROVEEDORES[[#This Row],[SUBTOTAL]]-PROVEEDORES[[#This Row],[descuento sobre subtotal]])</f>
        <v>0</v>
      </c>
      <c r="P1098" s="83">
        <f>+IF(PROVEEDORES[[#This Row],[SUBTOTAL]]&lt;PROVEEDORES[[#This Row],[base retencion]],0,PROVEEDORES[[#This Row],[retención aplicada]])</f>
        <v>0</v>
      </c>
      <c r="Q1098" s="22">
        <f>+PROVEEDORES[[#This Row],[Rete Fuente %]]*(PROVEEDORES[[#This Row],[SUBTOTAL]]-PROVEEDORES[[#This Row],[descuento sobre subtotal]])</f>
        <v>0</v>
      </c>
      <c r="R109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68">
        <f ca="1">IF(PROVEEDORES[[#This Row],[FECHA DE PAGO]]=0,TODAY()-PROVEEDORES[[#This Row],[FECHA DE FACTURACIÓN]]-PROVEEDORES[[#This Row],[PLAZO Días]],0)</f>
        <v>0</v>
      </c>
      <c r="U1098" s="96">
        <f>+VLOOKUP(PROVEEDORES[[#This Row],[PROVEEDOR]],Terceros!$A:$D,4,FALSE)</f>
        <v>0</v>
      </c>
      <c r="V1098" s="97">
        <f>+YEAR(PROVEEDORES[[#This Row],[FECHA DE FACTURACIÓN]])</f>
        <v>2021</v>
      </c>
      <c r="W1098" s="97">
        <f>+MATCH(PROVEEDORES[[#This Row],[año facturado]],Retenciones!$1:$1,0)</f>
        <v>4</v>
      </c>
      <c r="X1098" s="98">
        <f>+VLOOKUP(PROVEEDORES[[#This Row],[ID RETENCION]],Retenciones!$A$1:$O$25,PROVEEDORES[[#This Row],[indicador de columna]],FALSE)</f>
        <v>0</v>
      </c>
      <c r="Y1098" s="99">
        <f>+VLOOKUP(PROVEEDORES[[#This Row],[ID RETENCION]],Retenciones!$A$1:$O$25,2,FALSE)</f>
        <v>0</v>
      </c>
      <c r="Z1098" s="125" t="b">
        <f>OR(COUNTIF(PROVEEDORES[[#This Row],[PROVEEDOR]],"*"&amp;'Palabra no opera'!$A$2&amp;"*"))</f>
        <v>0</v>
      </c>
      <c r="AA1098" s="24"/>
      <c r="AB1098" s="24"/>
      <c r="AC1098" s="24"/>
      <c r="AD1098" s="24"/>
      <c r="AE1098" s="24"/>
    </row>
    <row r="1099" spans="1:31" ht="22.2" customHeight="1" x14ac:dyDescent="0.3">
      <c r="A1099" s="66" t="str">
        <f>+IF(PROVEEDORES[[#This Row],[FECHA DE PAGO]]=PROVEEDORES[[#This Row],[FECHA DE FACTURACIÓN]],"DE CONTADO","CRÉDITO")</f>
        <v>DE CONTADO</v>
      </c>
      <c r="B1099" s="38" t="b">
        <f>+IF((PROVEEDORES[[#This Row],[FECHA DE PAGO]]-PROVEEDORES[[#This Row],[FECHA DE FACTURACIÓN]])&gt;PROVEEDORES[[#This Row],[PLAZO Días]],"PAGO VENCIDO")</f>
        <v>0</v>
      </c>
      <c r="C1099" s="20">
        <f>+VLOOKUP(PROVEEDORES[[#This Row],[PROVEEDOR]],TERCEROS_INFO[#All],2,FALSE)</f>
        <v>30</v>
      </c>
      <c r="D1099" s="25">
        <f>+SUMIFS(PROVEEDORES[Total],PROVEEDORES[PROVEEDOR],PROVEEDORES[[#This Row],[PROVEEDOR]],PROVEEDORES[FECHA DE PAGO],"")</f>
        <v>0</v>
      </c>
      <c r="E1099" s="25"/>
      <c r="F1099" s="58" t="str">
        <f>+VLOOKUP(PROVEEDORES[[#This Row],[PROVEEDOR]],
                       Terceros!$A:$F,
                       5,
                       FALSE)</f>
        <v/>
      </c>
      <c r="G1099" s="161">
        <v>44525</v>
      </c>
      <c r="H1099" s="26" t="s">
        <v>673</v>
      </c>
      <c r="I1099" s="161">
        <v>44525</v>
      </c>
      <c r="J1099" s="35"/>
      <c r="K1099" s="21">
        <v>1000000</v>
      </c>
      <c r="L1099" s="21"/>
      <c r="M1099" s="22">
        <f>(PROVEEDORES[[#This Row],[SUBTOTAL]]-PROVEEDORES[[#This Row],[descuento sobre subtotal]])*VLOOKUP(PROVEEDORES[[#This Row],[PROVEEDOR]],TERCEROS_INFO[#All],3,FALSE)</f>
        <v>0</v>
      </c>
      <c r="N1099" s="23"/>
      <c r="O1099" s="22">
        <f>+PROVEEDORES[[#This Row],[Descuento sobre subtotal %]]*(PROVEEDORES[[#This Row],[SUBTOTAL]]-PROVEEDORES[[#This Row],[descuento sobre subtotal]])</f>
        <v>0</v>
      </c>
      <c r="P1099" s="83">
        <f>+IF(PROVEEDORES[[#This Row],[SUBTOTAL]]&lt;PROVEEDORES[[#This Row],[base retencion]],0,PROVEEDORES[[#This Row],[retención aplicada]])</f>
        <v>0</v>
      </c>
      <c r="Q1099" s="22">
        <f>+PROVEEDORES[[#This Row],[Rete Fuente %]]*(PROVEEDORES[[#This Row],[SUBTOTAL]]-PROVEEDORES[[#This Row],[descuento sobre subtotal]])</f>
        <v>0</v>
      </c>
      <c r="R109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68">
        <f ca="1">IF(PROVEEDORES[[#This Row],[FECHA DE PAGO]]=0,TODAY()-PROVEEDORES[[#This Row],[FECHA DE FACTURACIÓN]]-PROVEEDORES[[#This Row],[PLAZO Días]],0)</f>
        <v>0</v>
      </c>
      <c r="U1099" s="96">
        <f>+VLOOKUP(PROVEEDORES[[#This Row],[PROVEEDOR]],Terceros!$A:$D,4,FALSE)</f>
        <v>0</v>
      </c>
      <c r="V1099" s="97">
        <f>+YEAR(PROVEEDORES[[#This Row],[FECHA DE FACTURACIÓN]])</f>
        <v>2021</v>
      </c>
      <c r="W1099" s="97">
        <f>+MATCH(PROVEEDORES[[#This Row],[año facturado]],Retenciones!$1:$1,0)</f>
        <v>4</v>
      </c>
      <c r="X1099" s="98">
        <f>+VLOOKUP(PROVEEDORES[[#This Row],[ID RETENCION]],Retenciones!$A$1:$O$25,PROVEEDORES[[#This Row],[indicador de columna]],FALSE)</f>
        <v>0</v>
      </c>
      <c r="Y1099" s="99">
        <f>+VLOOKUP(PROVEEDORES[[#This Row],[ID RETENCION]],Retenciones!$A$1:$O$25,2,FALSE)</f>
        <v>0</v>
      </c>
      <c r="Z1099" s="125" t="b">
        <f>OR(COUNTIF(PROVEEDORES[[#This Row],[PROVEEDOR]],"*"&amp;'Palabra no opera'!$A$2&amp;"*"))</f>
        <v>0</v>
      </c>
      <c r="AA1099" s="24"/>
      <c r="AB1099" s="24"/>
      <c r="AC1099" s="24"/>
      <c r="AD1099" s="24"/>
      <c r="AE1099" s="24"/>
    </row>
    <row r="1100" spans="1:31" ht="22.2" customHeight="1" x14ac:dyDescent="0.3">
      <c r="A1100" s="66" t="str">
        <f>+IF(PROVEEDORES[[#This Row],[FECHA DE PAGO]]=PROVEEDORES[[#This Row],[FECHA DE FACTURACIÓN]],"DE CONTADO","CRÉDITO")</f>
        <v>DE CONTADO</v>
      </c>
      <c r="B1100" s="38" t="b">
        <f>+IF((PROVEEDORES[[#This Row],[FECHA DE PAGO]]-PROVEEDORES[[#This Row],[FECHA DE FACTURACIÓN]])&gt;PROVEEDORES[[#This Row],[PLAZO Días]],"PAGO VENCIDO")</f>
        <v>0</v>
      </c>
      <c r="C1100" s="20">
        <f>+VLOOKUP(PROVEEDORES[[#This Row],[PROVEEDOR]],TERCEROS_INFO[#All],2,FALSE)</f>
        <v>30</v>
      </c>
      <c r="D1100" s="25">
        <f>+SUMIFS(PROVEEDORES[Total],PROVEEDORES[PROVEEDOR],PROVEEDORES[[#This Row],[PROVEEDOR]],PROVEEDORES[FECHA DE PAGO],"")</f>
        <v>0</v>
      </c>
      <c r="E1100" s="25"/>
      <c r="F1100" s="58" t="str">
        <f>+VLOOKUP(PROVEEDORES[[#This Row],[PROVEEDOR]],
                       Terceros!$A:$F,
                       5,
                       FALSE)</f>
        <v/>
      </c>
      <c r="G1100" s="161">
        <v>44533</v>
      </c>
      <c r="H1100" s="26" t="s">
        <v>673</v>
      </c>
      <c r="I1100" s="161">
        <v>44533</v>
      </c>
      <c r="J1100" s="35"/>
      <c r="K1100" s="21">
        <v>1000000</v>
      </c>
      <c r="L1100" s="21"/>
      <c r="M1100" s="22">
        <f>(PROVEEDORES[[#This Row],[SUBTOTAL]]-PROVEEDORES[[#This Row],[descuento sobre subtotal]])*VLOOKUP(PROVEEDORES[[#This Row],[PROVEEDOR]],TERCEROS_INFO[#All],3,FALSE)</f>
        <v>0</v>
      </c>
      <c r="N1100" s="23"/>
      <c r="O1100" s="22">
        <f>+PROVEEDORES[[#This Row],[Descuento sobre subtotal %]]*(PROVEEDORES[[#This Row],[SUBTOTAL]]-PROVEEDORES[[#This Row],[descuento sobre subtotal]])</f>
        <v>0</v>
      </c>
      <c r="P1100" s="83">
        <f>+IF(PROVEEDORES[[#This Row],[SUBTOTAL]]&lt;PROVEEDORES[[#This Row],[base retencion]],0,PROVEEDORES[[#This Row],[retención aplicada]])</f>
        <v>0</v>
      </c>
      <c r="Q1100" s="22">
        <f>+PROVEEDORES[[#This Row],[Rete Fuente %]]*(PROVEEDORES[[#This Row],[SUBTOTAL]]-PROVEEDORES[[#This Row],[descuento sobre subtotal]])</f>
        <v>0</v>
      </c>
      <c r="R110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68">
        <f ca="1">IF(PROVEEDORES[[#This Row],[FECHA DE PAGO]]=0,TODAY()-PROVEEDORES[[#This Row],[FECHA DE FACTURACIÓN]]-PROVEEDORES[[#This Row],[PLAZO Días]],0)</f>
        <v>0</v>
      </c>
      <c r="U1100" s="96">
        <f>+VLOOKUP(PROVEEDORES[[#This Row],[PROVEEDOR]],Terceros!$A:$D,4,FALSE)</f>
        <v>0</v>
      </c>
      <c r="V1100" s="97">
        <f>+YEAR(PROVEEDORES[[#This Row],[FECHA DE FACTURACIÓN]])</f>
        <v>2021</v>
      </c>
      <c r="W1100" s="97">
        <f>+MATCH(PROVEEDORES[[#This Row],[año facturado]],Retenciones!$1:$1,0)</f>
        <v>4</v>
      </c>
      <c r="X1100" s="98">
        <f>+VLOOKUP(PROVEEDORES[[#This Row],[ID RETENCION]],Retenciones!$A$1:$O$25,PROVEEDORES[[#This Row],[indicador de columna]],FALSE)</f>
        <v>0</v>
      </c>
      <c r="Y1100" s="99">
        <f>+VLOOKUP(PROVEEDORES[[#This Row],[ID RETENCION]],Retenciones!$A$1:$O$25,2,FALSE)</f>
        <v>0</v>
      </c>
      <c r="Z1100" s="125" t="b">
        <f>OR(COUNTIF(PROVEEDORES[[#This Row],[PROVEEDOR]],"*"&amp;'Palabra no opera'!$A$2&amp;"*"))</f>
        <v>0</v>
      </c>
      <c r="AA1100" s="24"/>
      <c r="AB1100" s="24"/>
      <c r="AC1100" s="24"/>
      <c r="AD1100" s="24"/>
      <c r="AE1100" s="24"/>
    </row>
    <row r="1101" spans="1:31" ht="22.2" customHeight="1" x14ac:dyDescent="0.3">
      <c r="A1101" s="66" t="str">
        <f>+IF(PROVEEDORES[[#This Row],[FECHA DE PAGO]]=PROVEEDORES[[#This Row],[FECHA DE FACTURACIÓN]],"DE CONTADO","CRÉDITO")</f>
        <v>DE CONTADO</v>
      </c>
      <c r="B1101" s="38" t="b">
        <f>+IF((PROVEEDORES[[#This Row],[FECHA DE PAGO]]-PROVEEDORES[[#This Row],[FECHA DE FACTURACIÓN]])&gt;PROVEEDORES[[#This Row],[PLAZO Días]],"PAGO VENCIDO")</f>
        <v>0</v>
      </c>
      <c r="C1101" s="20">
        <f>+VLOOKUP(PROVEEDORES[[#This Row],[PROVEEDOR]],TERCEROS_INFO[#All],2,FALSE)</f>
        <v>30</v>
      </c>
      <c r="D1101" s="25">
        <f>+SUMIFS(PROVEEDORES[Total],PROVEEDORES[PROVEEDOR],PROVEEDORES[[#This Row],[PROVEEDOR]],PROVEEDORES[FECHA DE PAGO],"")</f>
        <v>0</v>
      </c>
      <c r="E1101" s="25"/>
      <c r="F1101" s="58" t="str">
        <f>+VLOOKUP(PROVEEDORES[[#This Row],[PROVEEDOR]],
                       Terceros!$A:$F,
                       5,
                       FALSE)</f>
        <v/>
      </c>
      <c r="G1101" s="161">
        <v>44541</v>
      </c>
      <c r="H1101" s="26" t="s">
        <v>673</v>
      </c>
      <c r="I1101" s="161">
        <v>44541</v>
      </c>
      <c r="J1101" s="35"/>
      <c r="K1101" s="21">
        <v>1000000</v>
      </c>
      <c r="L1101" s="21"/>
      <c r="M1101" s="22">
        <f>(PROVEEDORES[[#This Row],[SUBTOTAL]]-PROVEEDORES[[#This Row],[descuento sobre subtotal]])*VLOOKUP(PROVEEDORES[[#This Row],[PROVEEDOR]],TERCEROS_INFO[#All],3,FALSE)</f>
        <v>0</v>
      </c>
      <c r="N1101" s="23"/>
      <c r="O1101" s="22">
        <f>+PROVEEDORES[[#This Row],[Descuento sobre subtotal %]]*(PROVEEDORES[[#This Row],[SUBTOTAL]]-PROVEEDORES[[#This Row],[descuento sobre subtotal]])</f>
        <v>0</v>
      </c>
      <c r="P1101" s="83">
        <f>+IF(PROVEEDORES[[#This Row],[SUBTOTAL]]&lt;PROVEEDORES[[#This Row],[base retencion]],0,PROVEEDORES[[#This Row],[retención aplicada]])</f>
        <v>0</v>
      </c>
      <c r="Q1101" s="22">
        <f>+PROVEEDORES[[#This Row],[Rete Fuente %]]*(PROVEEDORES[[#This Row],[SUBTOTAL]]-PROVEEDORES[[#This Row],[descuento sobre subtotal]])</f>
        <v>0</v>
      </c>
      <c r="R110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68">
        <f ca="1">IF(PROVEEDORES[[#This Row],[FECHA DE PAGO]]=0,TODAY()-PROVEEDORES[[#This Row],[FECHA DE FACTURACIÓN]]-PROVEEDORES[[#This Row],[PLAZO Días]],0)</f>
        <v>0</v>
      </c>
      <c r="U1101" s="96">
        <f>+VLOOKUP(PROVEEDORES[[#This Row],[PROVEEDOR]],Terceros!$A:$D,4,FALSE)</f>
        <v>0</v>
      </c>
      <c r="V1101" s="97">
        <f>+YEAR(PROVEEDORES[[#This Row],[FECHA DE FACTURACIÓN]])</f>
        <v>2021</v>
      </c>
      <c r="W1101" s="97">
        <f>+MATCH(PROVEEDORES[[#This Row],[año facturado]],Retenciones!$1:$1,0)</f>
        <v>4</v>
      </c>
      <c r="X1101" s="98">
        <f>+VLOOKUP(PROVEEDORES[[#This Row],[ID RETENCION]],Retenciones!$A$1:$O$25,PROVEEDORES[[#This Row],[indicador de columna]],FALSE)</f>
        <v>0</v>
      </c>
      <c r="Y1101" s="99">
        <f>+VLOOKUP(PROVEEDORES[[#This Row],[ID RETENCION]],Retenciones!$A$1:$O$25,2,FALSE)</f>
        <v>0</v>
      </c>
      <c r="Z1101" s="125" t="b">
        <f>OR(COUNTIF(PROVEEDORES[[#This Row],[PROVEEDOR]],"*"&amp;'Palabra no opera'!$A$2&amp;"*"))</f>
        <v>0</v>
      </c>
      <c r="AA1101" s="24"/>
      <c r="AB1101" s="24"/>
      <c r="AC1101" s="24"/>
      <c r="AD1101" s="24"/>
      <c r="AE1101" s="24"/>
    </row>
    <row r="1102" spans="1:31" ht="22.2" customHeight="1" x14ac:dyDescent="0.3">
      <c r="A1102" s="66" t="str">
        <f>+IF(PROVEEDORES[[#This Row],[FECHA DE PAGO]]=PROVEEDORES[[#This Row],[FECHA DE FACTURACIÓN]],"DE CONTADO","CRÉDITO")</f>
        <v>DE CONTADO</v>
      </c>
      <c r="B1102" s="38" t="b">
        <f>+IF((PROVEEDORES[[#This Row],[FECHA DE PAGO]]-PROVEEDORES[[#This Row],[FECHA DE FACTURACIÓN]])&gt;PROVEEDORES[[#This Row],[PLAZO Días]],"PAGO VENCIDO")</f>
        <v>0</v>
      </c>
      <c r="C1102" s="20">
        <f>+VLOOKUP(PROVEEDORES[[#This Row],[PROVEEDOR]],TERCEROS_INFO[#All],2,FALSE)</f>
        <v>30</v>
      </c>
      <c r="D1102" s="25">
        <f>+SUMIFS(PROVEEDORES[Total],PROVEEDORES[PROVEEDOR],PROVEEDORES[[#This Row],[PROVEEDOR]],PROVEEDORES[FECHA DE PAGO],"")</f>
        <v>0</v>
      </c>
      <c r="E1102" s="25"/>
      <c r="F1102" s="58" t="str">
        <f>+VLOOKUP(PROVEEDORES[[#This Row],[PROVEEDOR]],
                       Terceros!$A:$F,
                       5,
                       FALSE)</f>
        <v/>
      </c>
      <c r="G1102" s="161">
        <v>44575</v>
      </c>
      <c r="H1102" s="26" t="s">
        <v>673</v>
      </c>
      <c r="I1102" s="161">
        <v>44575</v>
      </c>
      <c r="J1102" s="35"/>
      <c r="K1102" s="21">
        <v>1000000</v>
      </c>
      <c r="L1102" s="21"/>
      <c r="M1102" s="22">
        <v>0</v>
      </c>
      <c r="N1102" s="23"/>
      <c r="O1102" s="22">
        <v>0</v>
      </c>
      <c r="P1102" s="83">
        <f>+IF(PROVEEDORES[[#This Row],[SUBTOTAL]]&lt;PROVEEDORES[[#This Row],[base retencion]],0,PROVEEDORES[[#This Row],[retención aplicada]])</f>
        <v>0</v>
      </c>
      <c r="Q1102" s="22">
        <f>+PROVEEDORES[[#This Row],[Rete Fuente %]]*(PROVEEDORES[[#This Row],[SUBTOTAL]]-PROVEEDORES[[#This Row],[descuento sobre subtotal]])</f>
        <v>0</v>
      </c>
      <c r="R1102" s="21">
        <v>1000000</v>
      </c>
      <c r="S11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68">
        <f ca="1">IF(PROVEEDORES[[#This Row],[FECHA DE PAGO]]=0,TODAY()-PROVEEDORES[[#This Row],[FECHA DE FACTURACIÓN]]-PROVEEDORES[[#This Row],[PLAZO Días]],0)</f>
        <v>0</v>
      </c>
      <c r="U1102" s="96">
        <f>+VLOOKUP(PROVEEDORES[[#This Row],[PROVEEDOR]],Terceros!$A:$D,4,FALSE)</f>
        <v>0</v>
      </c>
      <c r="V1102" s="97">
        <f>+YEAR(PROVEEDORES[[#This Row],[FECHA DE FACTURACIÓN]])</f>
        <v>2022</v>
      </c>
      <c r="W1102" s="97">
        <f>+MATCH(PROVEEDORES[[#This Row],[año facturado]],Retenciones!$1:$1,0)</f>
        <v>5</v>
      </c>
      <c r="X1102" s="98">
        <f>+VLOOKUP(PROVEEDORES[[#This Row],[ID RETENCION]],Retenciones!$A$1:$O$25,PROVEEDORES[[#This Row],[indicador de columna]],FALSE)</f>
        <v>0</v>
      </c>
      <c r="Y1102" s="99">
        <f>+VLOOKUP(PROVEEDORES[[#This Row],[ID RETENCION]],Retenciones!$A$1:$O$25,2,FALSE)</f>
        <v>0</v>
      </c>
      <c r="Z1102" s="125" t="b">
        <f>OR(COUNTIF(PROVEEDORES[[#This Row],[PROVEEDOR]],"*"&amp;'Palabra no opera'!$A$2&amp;"*"))</f>
        <v>0</v>
      </c>
      <c r="AA1102" s="24"/>
      <c r="AB1102" s="24"/>
      <c r="AC1102" s="24"/>
      <c r="AD1102" s="24"/>
      <c r="AE1102" s="24"/>
    </row>
    <row r="1103" spans="1:31" ht="22.2" customHeight="1" x14ac:dyDescent="0.3">
      <c r="A1103" s="66" t="str">
        <f>+IF(PROVEEDORES[[#This Row],[FECHA DE PAGO]]=PROVEEDORES[[#This Row],[FECHA DE FACTURACIÓN]],"DE CONTADO","CRÉDITO")</f>
        <v>DE CONTADO</v>
      </c>
      <c r="B1103" s="38" t="b">
        <f>+IF((PROVEEDORES[[#This Row],[FECHA DE PAGO]]-PROVEEDORES[[#This Row],[FECHA DE FACTURACIÓN]])&gt;PROVEEDORES[[#This Row],[PLAZO Días]],"PAGO VENCIDO")</f>
        <v>0</v>
      </c>
      <c r="C1103" s="20">
        <f>+VLOOKUP(PROVEEDORES[[#This Row],[PROVEEDOR]],TERCEROS_INFO[#All],2,FALSE)</f>
        <v>30</v>
      </c>
      <c r="D1103" s="25">
        <f>+SUMIFS(PROVEEDORES[Total],PROVEEDORES[PROVEEDOR],PROVEEDORES[[#This Row],[PROVEEDOR]],PROVEEDORES[FECHA DE PAGO],"")</f>
        <v>0</v>
      </c>
      <c r="E1103" s="25"/>
      <c r="F1103" s="58" t="str">
        <f>+VLOOKUP(PROVEEDORES[[#This Row],[PROVEEDOR]],
                       Terceros!$A:$F,
                       5,
                       FALSE)</f>
        <v/>
      </c>
      <c r="G1103" s="161">
        <v>44582</v>
      </c>
      <c r="H1103" s="26" t="s">
        <v>673</v>
      </c>
      <c r="I1103" s="161">
        <v>44582</v>
      </c>
      <c r="J1103" s="35"/>
      <c r="K1103" s="21">
        <v>1000000</v>
      </c>
      <c r="L1103" s="21"/>
      <c r="M1103" s="22">
        <v>0</v>
      </c>
      <c r="N1103" s="23"/>
      <c r="O1103" s="22">
        <v>0</v>
      </c>
      <c r="P1103" s="83">
        <f>+IF(PROVEEDORES[[#This Row],[SUBTOTAL]]&lt;PROVEEDORES[[#This Row],[base retencion]],0,PROVEEDORES[[#This Row],[retención aplicada]])</f>
        <v>0</v>
      </c>
      <c r="Q1103" s="22">
        <f>+PROVEEDORES[[#This Row],[Rete Fuente %]]*(PROVEEDORES[[#This Row],[SUBTOTAL]]-PROVEEDORES[[#This Row],[descuento sobre subtotal]])</f>
        <v>0</v>
      </c>
      <c r="R1103" s="21">
        <v>1000000</v>
      </c>
      <c r="S11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68">
        <f ca="1">IF(PROVEEDORES[[#This Row],[FECHA DE PAGO]]=0,TODAY()-PROVEEDORES[[#This Row],[FECHA DE FACTURACIÓN]]-PROVEEDORES[[#This Row],[PLAZO Días]],0)</f>
        <v>0</v>
      </c>
      <c r="U1103" s="96">
        <f>+VLOOKUP(PROVEEDORES[[#This Row],[PROVEEDOR]],Terceros!$A:$D,4,FALSE)</f>
        <v>0</v>
      </c>
      <c r="V1103" s="97">
        <f>+YEAR(PROVEEDORES[[#This Row],[FECHA DE FACTURACIÓN]])</f>
        <v>2022</v>
      </c>
      <c r="W1103" s="97">
        <f>+MATCH(PROVEEDORES[[#This Row],[año facturado]],Retenciones!$1:$1,0)</f>
        <v>5</v>
      </c>
      <c r="X1103" s="98">
        <f>+VLOOKUP(PROVEEDORES[[#This Row],[ID RETENCION]],Retenciones!$A$1:$O$25,PROVEEDORES[[#This Row],[indicador de columna]],FALSE)</f>
        <v>0</v>
      </c>
      <c r="Y1103" s="99">
        <f>+VLOOKUP(PROVEEDORES[[#This Row],[ID RETENCION]],Retenciones!$A$1:$O$25,2,FALSE)</f>
        <v>0</v>
      </c>
      <c r="Z1103" s="125" t="b">
        <f>OR(COUNTIF(PROVEEDORES[[#This Row],[PROVEEDOR]],"*"&amp;'Palabra no opera'!$A$2&amp;"*"))</f>
        <v>0</v>
      </c>
      <c r="AA1103" s="24"/>
      <c r="AB1103" s="24"/>
      <c r="AC1103" s="24"/>
      <c r="AD1103" s="24"/>
      <c r="AE1103" s="24"/>
    </row>
    <row r="1104" spans="1:31" ht="22.2" customHeight="1" x14ac:dyDescent="0.3">
      <c r="A1104" s="66" t="str">
        <f>+IF(PROVEEDORES[[#This Row],[FECHA DE PAGO]]=PROVEEDORES[[#This Row],[FECHA DE FACTURACIÓN]],"DE CONTADO","CRÉDITO")</f>
        <v>DE CONTADO</v>
      </c>
      <c r="B1104" s="38" t="b">
        <f>+IF((PROVEEDORES[[#This Row],[FECHA DE PAGO]]-PROVEEDORES[[#This Row],[FECHA DE FACTURACIÓN]])&gt;PROVEEDORES[[#This Row],[PLAZO Días]],"PAGO VENCIDO")</f>
        <v>0</v>
      </c>
      <c r="C1104" s="20">
        <f>+VLOOKUP(PROVEEDORES[[#This Row],[PROVEEDOR]],TERCEROS_INFO[#All],2,FALSE)</f>
        <v>30</v>
      </c>
      <c r="D1104" s="25">
        <f>+SUMIFS(PROVEEDORES[Total],PROVEEDORES[PROVEEDOR],PROVEEDORES[[#This Row],[PROVEEDOR]],PROVEEDORES[FECHA DE PAGO],"")</f>
        <v>0</v>
      </c>
      <c r="E1104" s="25"/>
      <c r="F1104" s="58" t="str">
        <f>+VLOOKUP(PROVEEDORES[[#This Row],[PROVEEDOR]],
                       Terceros!$A:$F,
                       5,
                       FALSE)</f>
        <v/>
      </c>
      <c r="G1104" s="161">
        <v>44600</v>
      </c>
      <c r="H1104" s="26" t="s">
        <v>661</v>
      </c>
      <c r="I1104" s="161">
        <v>44600</v>
      </c>
      <c r="J1104" s="35" t="s">
        <v>1380</v>
      </c>
      <c r="K1104" s="21">
        <v>1000000</v>
      </c>
      <c r="L1104" s="21"/>
      <c r="M1104" s="22">
        <f>(PROVEEDORES[[#This Row],[SUBTOTAL]]-PROVEEDORES[[#This Row],[descuento sobre subtotal]])*VLOOKUP(PROVEEDORES[[#This Row],[PROVEEDOR]],TERCEROS_INFO[#All],3,FALSE)</f>
        <v>0</v>
      </c>
      <c r="N1104" s="23"/>
      <c r="O1104" s="22">
        <f>+PROVEEDORES[[#This Row],[Descuento sobre subtotal %]]*(PROVEEDORES[[#This Row],[SUBTOTAL]]-PROVEEDORES[[#This Row],[descuento sobre subtotal]])</f>
        <v>0</v>
      </c>
      <c r="P1104" s="83">
        <f>+IF(PROVEEDORES[[#This Row],[SUBTOTAL]]&lt;PROVEEDORES[[#This Row],[base retencion]],0,PROVEEDORES[[#This Row],[retención aplicada]])</f>
        <v>0</v>
      </c>
      <c r="Q1104" s="22">
        <f>+PROVEEDORES[[#This Row],[Rete Fuente %]]*(PROVEEDORES[[#This Row],[SUBTOTAL]]-PROVEEDORES[[#This Row],[descuento sobre subtotal]])</f>
        <v>0</v>
      </c>
      <c r="R1104" s="21">
        <v>1000000</v>
      </c>
      <c r="S11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68">
        <f ca="1">IF(PROVEEDORES[[#This Row],[FECHA DE PAGO]]=0,TODAY()-PROVEEDORES[[#This Row],[FECHA DE FACTURACIÓN]]-PROVEEDORES[[#This Row],[PLAZO Días]],0)</f>
        <v>0</v>
      </c>
      <c r="U1104" s="96">
        <f>+VLOOKUP(PROVEEDORES[[#This Row],[PROVEEDOR]],Terceros!$A:$D,4,FALSE)</f>
        <v>0</v>
      </c>
      <c r="V1104" s="97">
        <f>+YEAR(PROVEEDORES[[#This Row],[FECHA DE FACTURACIÓN]])</f>
        <v>2022</v>
      </c>
      <c r="W1104" s="97">
        <f>+MATCH(PROVEEDORES[[#This Row],[año facturado]],Retenciones!$1:$1,0)</f>
        <v>5</v>
      </c>
      <c r="X1104" s="98">
        <f>+VLOOKUP(PROVEEDORES[[#This Row],[ID RETENCION]],Retenciones!$A$1:$O$25,PROVEEDORES[[#This Row],[indicador de columna]],FALSE)</f>
        <v>0</v>
      </c>
      <c r="Y1104" s="99">
        <f>+VLOOKUP(PROVEEDORES[[#This Row],[ID RETENCION]],Retenciones!$A$1:$O$25,2,FALSE)</f>
        <v>0</v>
      </c>
      <c r="Z1104" s="125" t="b">
        <f>OR(COUNTIF(PROVEEDORES[[#This Row],[PROVEEDOR]],"*"&amp;'Palabra no opera'!$A$2&amp;"*"))</f>
        <v>0</v>
      </c>
      <c r="AA1104" s="24"/>
      <c r="AB1104" s="24"/>
      <c r="AC1104" s="24"/>
      <c r="AD1104" s="24"/>
      <c r="AE1104" s="24"/>
    </row>
    <row r="1105" spans="1:31" ht="22.2" customHeight="1" x14ac:dyDescent="0.3">
      <c r="A1105" s="66" t="str">
        <f>+IF(PROVEEDORES[[#This Row],[FECHA DE PAGO]]=PROVEEDORES[[#This Row],[FECHA DE FACTURACIÓN]],"DE CONTADO","CRÉDITO")</f>
        <v>DE CONTADO</v>
      </c>
      <c r="B1105" s="38" t="b">
        <f>+IF((PROVEEDORES[[#This Row],[FECHA DE PAGO]]-PROVEEDORES[[#This Row],[FECHA DE FACTURACIÓN]])&gt;PROVEEDORES[[#This Row],[PLAZO Días]],"PAGO VENCIDO")</f>
        <v>0</v>
      </c>
      <c r="C1105" s="20">
        <f>+VLOOKUP(PROVEEDORES[[#This Row],[PROVEEDOR]],TERCEROS_INFO[#All],2,FALSE)</f>
        <v>30</v>
      </c>
      <c r="D1105" s="25">
        <f>+SUMIFS(PROVEEDORES[Total],PROVEEDORES[PROVEEDOR],PROVEEDORES[[#This Row],[PROVEEDOR]],PROVEEDORES[FECHA DE PAGO],"")</f>
        <v>0</v>
      </c>
      <c r="E1105" s="25"/>
      <c r="F1105" s="58" t="str">
        <f>+VLOOKUP(PROVEEDORES[[#This Row],[PROVEEDOR]],
                       Terceros!$A:$F,
                       5,
                       FALSE)</f>
        <v/>
      </c>
      <c r="G1105" s="161">
        <v>44609</v>
      </c>
      <c r="H1105" s="26" t="s">
        <v>673</v>
      </c>
      <c r="I1105" s="161">
        <v>44609</v>
      </c>
      <c r="J1105" s="35"/>
      <c r="K1105" s="21">
        <v>1000000</v>
      </c>
      <c r="L1105" s="21"/>
      <c r="M1105" s="22">
        <v>0</v>
      </c>
      <c r="N1105" s="23"/>
      <c r="O1105" s="22">
        <v>0</v>
      </c>
      <c r="P1105" s="83">
        <f>+IF(PROVEEDORES[[#This Row],[SUBTOTAL]]&lt;PROVEEDORES[[#This Row],[base retencion]],0,PROVEEDORES[[#This Row],[retención aplicada]])</f>
        <v>0</v>
      </c>
      <c r="Q1105" s="22">
        <f>+PROVEEDORES[[#This Row],[Rete Fuente %]]*(PROVEEDORES[[#This Row],[SUBTOTAL]]-PROVEEDORES[[#This Row],[descuento sobre subtotal]])</f>
        <v>0</v>
      </c>
      <c r="R1105" s="21">
        <v>1000000</v>
      </c>
      <c r="S11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68">
        <f ca="1">IF(PROVEEDORES[[#This Row],[FECHA DE PAGO]]=0,TODAY()-PROVEEDORES[[#This Row],[FECHA DE FACTURACIÓN]]-PROVEEDORES[[#This Row],[PLAZO Días]],0)</f>
        <v>0</v>
      </c>
      <c r="U1105" s="96">
        <f>+VLOOKUP(PROVEEDORES[[#This Row],[PROVEEDOR]],Terceros!$A:$D,4,FALSE)</f>
        <v>0</v>
      </c>
      <c r="V1105" s="97">
        <f>+YEAR(PROVEEDORES[[#This Row],[FECHA DE FACTURACIÓN]])</f>
        <v>2022</v>
      </c>
      <c r="W1105" s="97">
        <f>+MATCH(PROVEEDORES[[#This Row],[año facturado]],Retenciones!$1:$1,0)</f>
        <v>5</v>
      </c>
      <c r="X1105" s="98">
        <f>+VLOOKUP(PROVEEDORES[[#This Row],[ID RETENCION]],Retenciones!$A$1:$O$25,PROVEEDORES[[#This Row],[indicador de columna]],FALSE)</f>
        <v>0</v>
      </c>
      <c r="Y1105" s="99">
        <f>+VLOOKUP(PROVEEDORES[[#This Row],[ID RETENCION]],Retenciones!$A$1:$O$25,2,FALSE)</f>
        <v>0</v>
      </c>
      <c r="Z1105" s="125" t="b">
        <f>OR(COUNTIF(PROVEEDORES[[#This Row],[PROVEEDOR]],"*"&amp;'Palabra no opera'!$A$2&amp;"*"))</f>
        <v>0</v>
      </c>
      <c r="AA1105" s="24"/>
      <c r="AB1105" s="24"/>
      <c r="AC1105" s="24"/>
      <c r="AD1105" s="24"/>
      <c r="AE1105" s="24"/>
    </row>
    <row r="1106" spans="1:31" ht="22.2" customHeight="1" x14ac:dyDescent="0.3">
      <c r="A1106" s="66" t="str">
        <f>+IF(PROVEEDORES[[#This Row],[FECHA DE PAGO]]=PROVEEDORES[[#This Row],[FECHA DE FACTURACIÓN]],"DE CONTADO","CRÉDITO")</f>
        <v>DE CONTADO</v>
      </c>
      <c r="B1106" s="38" t="b">
        <f>+IF((PROVEEDORES[[#This Row],[FECHA DE PAGO]]-PROVEEDORES[[#This Row],[FECHA DE FACTURACIÓN]])&gt;PROVEEDORES[[#This Row],[PLAZO Días]],"PAGO VENCIDO")</f>
        <v>0</v>
      </c>
      <c r="C1106" s="20">
        <f>+VLOOKUP(PROVEEDORES[[#This Row],[PROVEEDOR]],TERCEROS_INFO[#All],2,FALSE)</f>
        <v>30</v>
      </c>
      <c r="D1106" s="25">
        <f>+SUMIFS(PROVEEDORES[Total],PROVEEDORES[PROVEEDOR],PROVEEDORES[[#This Row],[PROVEEDOR]],PROVEEDORES[FECHA DE PAGO],"")</f>
        <v>0</v>
      </c>
      <c r="E1106" s="25"/>
      <c r="F1106" s="58" t="str">
        <f>+VLOOKUP(PROVEEDORES[[#This Row],[PROVEEDOR]],
                       Terceros!$A:$F,
                       5,
                       FALSE)</f>
        <v/>
      </c>
      <c r="G1106" s="161">
        <v>44616</v>
      </c>
      <c r="H1106" s="26" t="s">
        <v>673</v>
      </c>
      <c r="I1106" s="161">
        <v>44616</v>
      </c>
      <c r="J1106" s="35"/>
      <c r="K1106" s="21">
        <v>1000000</v>
      </c>
      <c r="L1106" s="21"/>
      <c r="M1106" s="22">
        <v>0</v>
      </c>
      <c r="N1106" s="23"/>
      <c r="O1106" s="22">
        <v>0</v>
      </c>
      <c r="P1106" s="83">
        <f>+IF(PROVEEDORES[[#This Row],[SUBTOTAL]]&lt;PROVEEDORES[[#This Row],[base retencion]],0,PROVEEDORES[[#This Row],[retención aplicada]])</f>
        <v>0</v>
      </c>
      <c r="Q1106" s="22">
        <f>+PROVEEDORES[[#This Row],[Rete Fuente %]]*(PROVEEDORES[[#This Row],[SUBTOTAL]]-PROVEEDORES[[#This Row],[descuento sobre subtotal]])</f>
        <v>0</v>
      </c>
      <c r="R1106" s="21">
        <v>1000000</v>
      </c>
      <c r="S11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68">
        <f ca="1">IF(PROVEEDORES[[#This Row],[FECHA DE PAGO]]=0,TODAY()-PROVEEDORES[[#This Row],[FECHA DE FACTURACIÓN]]-PROVEEDORES[[#This Row],[PLAZO Días]],0)</f>
        <v>0</v>
      </c>
      <c r="U1106" s="96">
        <f>+VLOOKUP(PROVEEDORES[[#This Row],[PROVEEDOR]],Terceros!$A:$D,4,FALSE)</f>
        <v>0</v>
      </c>
      <c r="V1106" s="97">
        <f>+YEAR(PROVEEDORES[[#This Row],[FECHA DE FACTURACIÓN]])</f>
        <v>2022</v>
      </c>
      <c r="W1106" s="97">
        <f>+MATCH(PROVEEDORES[[#This Row],[año facturado]],Retenciones!$1:$1,0)</f>
        <v>5</v>
      </c>
      <c r="X1106" s="98">
        <f>+VLOOKUP(PROVEEDORES[[#This Row],[ID RETENCION]],Retenciones!$A$1:$O$25,PROVEEDORES[[#This Row],[indicador de columna]],FALSE)</f>
        <v>0</v>
      </c>
      <c r="Y1106" s="99">
        <f>+VLOOKUP(PROVEEDORES[[#This Row],[ID RETENCION]],Retenciones!$A$1:$O$25,2,FALSE)</f>
        <v>0</v>
      </c>
      <c r="Z1106" s="125" t="b">
        <f>OR(COUNTIF(PROVEEDORES[[#This Row],[PROVEEDOR]],"*"&amp;'Palabra no opera'!$A$2&amp;"*"))</f>
        <v>0</v>
      </c>
      <c r="AA1106" s="24"/>
      <c r="AB1106" s="24"/>
      <c r="AC1106" s="24"/>
      <c r="AD1106" s="24"/>
      <c r="AE1106" s="24"/>
    </row>
    <row r="1107" spans="1:31" ht="22.2" customHeight="1" x14ac:dyDescent="0.3">
      <c r="A1107" s="66" t="str">
        <f>+IF(PROVEEDORES[[#This Row],[FECHA DE PAGO]]=PROVEEDORES[[#This Row],[FECHA DE FACTURACIÓN]],"DE CONTADO","CRÉDITO")</f>
        <v>DE CONTADO</v>
      </c>
      <c r="B1107" s="38" t="b">
        <f>+IF((PROVEEDORES[[#This Row],[FECHA DE PAGO]]-PROVEEDORES[[#This Row],[FECHA DE FACTURACIÓN]])&gt;PROVEEDORES[[#This Row],[PLAZO Días]],"PAGO VENCIDO")</f>
        <v>0</v>
      </c>
      <c r="C1107" s="20">
        <f>+VLOOKUP(PROVEEDORES[[#This Row],[PROVEEDOR]],TERCEROS_INFO[#All],2,FALSE)</f>
        <v>30</v>
      </c>
      <c r="D1107" s="25">
        <f>+SUMIFS(PROVEEDORES[Total],PROVEEDORES[PROVEEDOR],PROVEEDORES[[#This Row],[PROVEEDOR]],PROVEEDORES[FECHA DE PAGO],"")</f>
        <v>0</v>
      </c>
      <c r="E1107" s="25"/>
      <c r="F1107" s="58" t="str">
        <f>+VLOOKUP(PROVEEDORES[[#This Row],[PROVEEDOR]],
                       Terceros!$A:$F,
                       5,
                       FALSE)</f>
        <v/>
      </c>
      <c r="G1107" s="161">
        <v>44623</v>
      </c>
      <c r="H1107" s="26" t="s">
        <v>673</v>
      </c>
      <c r="I1107" s="161">
        <v>44623</v>
      </c>
      <c r="J1107" s="35"/>
      <c r="K1107" s="21">
        <v>1000000</v>
      </c>
      <c r="L1107" s="21"/>
      <c r="M1107" s="22">
        <v>0</v>
      </c>
      <c r="N1107" s="23"/>
      <c r="O1107" s="22">
        <v>0</v>
      </c>
      <c r="P1107" s="83">
        <f>+IF(PROVEEDORES[[#This Row],[SUBTOTAL]]&lt;PROVEEDORES[[#This Row],[base retencion]],0,PROVEEDORES[[#This Row],[retención aplicada]])</f>
        <v>0</v>
      </c>
      <c r="Q1107" s="22">
        <f>+PROVEEDORES[[#This Row],[Rete Fuente %]]*(PROVEEDORES[[#This Row],[SUBTOTAL]]-PROVEEDORES[[#This Row],[descuento sobre subtotal]])</f>
        <v>0</v>
      </c>
      <c r="R1107" s="21">
        <v>1000000</v>
      </c>
      <c r="S11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68">
        <f ca="1">IF(PROVEEDORES[[#This Row],[FECHA DE PAGO]]=0,TODAY()-PROVEEDORES[[#This Row],[FECHA DE FACTURACIÓN]]-PROVEEDORES[[#This Row],[PLAZO Días]],0)</f>
        <v>0</v>
      </c>
      <c r="U1107" s="96">
        <f>+VLOOKUP(PROVEEDORES[[#This Row],[PROVEEDOR]],Terceros!$A:$D,4,FALSE)</f>
        <v>0</v>
      </c>
      <c r="V1107" s="97">
        <f>+YEAR(PROVEEDORES[[#This Row],[FECHA DE FACTURACIÓN]])</f>
        <v>2022</v>
      </c>
      <c r="W1107" s="97">
        <f>+MATCH(PROVEEDORES[[#This Row],[año facturado]],Retenciones!$1:$1,0)</f>
        <v>5</v>
      </c>
      <c r="X1107" s="98">
        <f>+VLOOKUP(PROVEEDORES[[#This Row],[ID RETENCION]],Retenciones!$A$1:$O$25,PROVEEDORES[[#This Row],[indicador de columna]],FALSE)</f>
        <v>0</v>
      </c>
      <c r="Y1107" s="99">
        <f>+VLOOKUP(PROVEEDORES[[#This Row],[ID RETENCION]],Retenciones!$A$1:$O$25,2,FALSE)</f>
        <v>0</v>
      </c>
      <c r="Z1107" s="125" t="b">
        <f>OR(COUNTIF(PROVEEDORES[[#This Row],[PROVEEDOR]],"*"&amp;'Palabra no opera'!$A$2&amp;"*"))</f>
        <v>0</v>
      </c>
      <c r="AA1107" s="24"/>
      <c r="AB1107" s="24"/>
      <c r="AC1107" s="24"/>
      <c r="AD1107" s="24"/>
      <c r="AE1107" s="24"/>
    </row>
    <row r="1108" spans="1:31" ht="22.2" customHeight="1" x14ac:dyDescent="0.3">
      <c r="A1108" s="66" t="str">
        <f>+IF(PROVEEDORES[[#This Row],[FECHA DE PAGO]]=PROVEEDORES[[#This Row],[FECHA DE FACTURACIÓN]],"DE CONTADO","CRÉDITO")</f>
        <v>DE CONTADO</v>
      </c>
      <c r="B1108" s="38" t="b">
        <f>+IF((PROVEEDORES[[#This Row],[FECHA DE PAGO]]-PROVEEDORES[[#This Row],[FECHA DE FACTURACIÓN]])&gt;PROVEEDORES[[#This Row],[PLAZO Días]],"PAGO VENCIDO")</f>
        <v>0</v>
      </c>
      <c r="C1108" s="20">
        <f>+VLOOKUP(PROVEEDORES[[#This Row],[PROVEEDOR]],TERCEROS_INFO[#All],2,FALSE)</f>
        <v>30</v>
      </c>
      <c r="D1108" s="25">
        <f>+SUMIFS(PROVEEDORES[Total],PROVEEDORES[PROVEEDOR],PROVEEDORES[[#This Row],[PROVEEDOR]],PROVEEDORES[FECHA DE PAGO],"")</f>
        <v>0</v>
      </c>
      <c r="E1108" s="25"/>
      <c r="F1108" s="58" t="str">
        <f>+VLOOKUP(PROVEEDORES[[#This Row],[PROVEEDOR]],
                       Terceros!$A:$F,
                       5,
                       FALSE)</f>
        <v/>
      </c>
      <c r="G1108" s="161">
        <v>44632</v>
      </c>
      <c r="H1108" s="26" t="s">
        <v>673</v>
      </c>
      <c r="I1108" s="161">
        <v>44632</v>
      </c>
      <c r="J1108" s="35"/>
      <c r="K1108" s="21">
        <v>1000000</v>
      </c>
      <c r="L1108" s="21"/>
      <c r="M1108" s="22">
        <v>0</v>
      </c>
      <c r="N1108" s="23"/>
      <c r="O1108" s="22">
        <v>0</v>
      </c>
      <c r="P1108" s="83">
        <f>+IF(PROVEEDORES[[#This Row],[SUBTOTAL]]&lt;PROVEEDORES[[#This Row],[base retencion]],0,PROVEEDORES[[#This Row],[retención aplicada]])</f>
        <v>0</v>
      </c>
      <c r="Q1108" s="22">
        <f>+PROVEEDORES[[#This Row],[Rete Fuente %]]*(PROVEEDORES[[#This Row],[SUBTOTAL]]-PROVEEDORES[[#This Row],[descuento sobre subtotal]])</f>
        <v>0</v>
      </c>
      <c r="R1108" s="21">
        <v>1000000</v>
      </c>
      <c r="S11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68">
        <f ca="1">IF(PROVEEDORES[[#This Row],[FECHA DE PAGO]]=0,TODAY()-PROVEEDORES[[#This Row],[FECHA DE FACTURACIÓN]]-PROVEEDORES[[#This Row],[PLAZO Días]],0)</f>
        <v>0</v>
      </c>
      <c r="U1108" s="96">
        <f>+VLOOKUP(PROVEEDORES[[#This Row],[PROVEEDOR]],Terceros!$A:$D,4,FALSE)</f>
        <v>0</v>
      </c>
      <c r="V1108" s="97">
        <f>+YEAR(PROVEEDORES[[#This Row],[FECHA DE FACTURACIÓN]])</f>
        <v>2022</v>
      </c>
      <c r="W1108" s="97">
        <f>+MATCH(PROVEEDORES[[#This Row],[año facturado]],Retenciones!$1:$1,0)</f>
        <v>5</v>
      </c>
      <c r="X1108" s="98">
        <f>+VLOOKUP(PROVEEDORES[[#This Row],[ID RETENCION]],Retenciones!$A$1:$O$25,PROVEEDORES[[#This Row],[indicador de columna]],FALSE)</f>
        <v>0</v>
      </c>
      <c r="Y1108" s="99">
        <f>+VLOOKUP(PROVEEDORES[[#This Row],[ID RETENCION]],Retenciones!$A$1:$O$25,2,FALSE)</f>
        <v>0</v>
      </c>
      <c r="Z1108" s="125" t="b">
        <f>OR(COUNTIF(PROVEEDORES[[#This Row],[PROVEEDOR]],"*"&amp;'Palabra no opera'!$A$2&amp;"*"))</f>
        <v>0</v>
      </c>
      <c r="AA1108" s="24"/>
      <c r="AB1108" s="24"/>
      <c r="AC1108" s="24"/>
      <c r="AD1108" s="24"/>
      <c r="AE1108" s="24"/>
    </row>
    <row r="1109" spans="1:31" ht="22.2" customHeight="1" x14ac:dyDescent="0.3">
      <c r="A1109" s="66" t="str">
        <f>+IF(PROVEEDORES[[#This Row],[FECHA DE PAGO]]=PROVEEDORES[[#This Row],[FECHA DE FACTURACIÓN]],"DE CONTADO","CRÉDITO")</f>
        <v>DE CONTADO</v>
      </c>
      <c r="B1109" s="38" t="b">
        <f>+IF((PROVEEDORES[[#This Row],[FECHA DE PAGO]]-PROVEEDORES[[#This Row],[FECHA DE FACTURACIÓN]])&gt;PROVEEDORES[[#This Row],[PLAZO Días]],"PAGO VENCIDO")</f>
        <v>0</v>
      </c>
      <c r="C1109" s="20">
        <f>+VLOOKUP(PROVEEDORES[[#This Row],[PROVEEDOR]],TERCEROS_INFO[#All],2,FALSE)</f>
        <v>30</v>
      </c>
      <c r="D1109" s="25">
        <f>+SUMIFS(PROVEEDORES[Total],PROVEEDORES[PROVEEDOR],PROVEEDORES[[#This Row],[PROVEEDOR]],PROVEEDORES[FECHA DE PAGO],"")</f>
        <v>0</v>
      </c>
      <c r="E1109" s="25"/>
      <c r="F1109" s="58" t="str">
        <f>+VLOOKUP(PROVEEDORES[[#This Row],[PROVEEDOR]],
                       Terceros!$A:$F,
                       5,
                       FALSE)</f>
        <v/>
      </c>
      <c r="G1109" s="161">
        <v>44657</v>
      </c>
      <c r="H1109" s="26" t="s">
        <v>673</v>
      </c>
      <c r="I1109" s="161">
        <v>44657</v>
      </c>
      <c r="J1109" s="35"/>
      <c r="K1109" s="21">
        <v>1000000</v>
      </c>
      <c r="L1109" s="21"/>
      <c r="M1109" s="22">
        <v>0</v>
      </c>
      <c r="N1109" s="23"/>
      <c r="O1109" s="22">
        <v>0</v>
      </c>
      <c r="P1109" s="83">
        <f>+IF(PROVEEDORES[[#This Row],[SUBTOTAL]]&lt;PROVEEDORES[[#This Row],[base retencion]],0,PROVEEDORES[[#This Row],[retención aplicada]])</f>
        <v>0</v>
      </c>
      <c r="Q1109" s="22">
        <f>+PROVEEDORES[[#This Row],[Rete Fuente %]]*(PROVEEDORES[[#This Row],[SUBTOTAL]]-PROVEEDORES[[#This Row],[descuento sobre subtotal]])</f>
        <v>0</v>
      </c>
      <c r="R1109" s="21">
        <v>1000000</v>
      </c>
      <c r="S11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68">
        <f ca="1">IF(PROVEEDORES[[#This Row],[FECHA DE PAGO]]=0,TODAY()-PROVEEDORES[[#This Row],[FECHA DE FACTURACIÓN]]-PROVEEDORES[[#This Row],[PLAZO Días]],0)</f>
        <v>0</v>
      </c>
      <c r="U1109" s="96">
        <f>+VLOOKUP(PROVEEDORES[[#This Row],[PROVEEDOR]],Terceros!$A:$D,4,FALSE)</f>
        <v>0</v>
      </c>
      <c r="V1109" s="97">
        <f>+YEAR(PROVEEDORES[[#This Row],[FECHA DE FACTURACIÓN]])</f>
        <v>2022</v>
      </c>
      <c r="W1109" s="97">
        <f>+MATCH(PROVEEDORES[[#This Row],[año facturado]],Retenciones!$1:$1,0)</f>
        <v>5</v>
      </c>
      <c r="X1109" s="98">
        <f>+VLOOKUP(PROVEEDORES[[#This Row],[ID RETENCION]],Retenciones!$A$1:$O$25,PROVEEDORES[[#This Row],[indicador de columna]],FALSE)</f>
        <v>0</v>
      </c>
      <c r="Y1109" s="99">
        <f>+VLOOKUP(PROVEEDORES[[#This Row],[ID RETENCION]],Retenciones!$A$1:$O$25,2,FALSE)</f>
        <v>0</v>
      </c>
      <c r="Z1109" s="125" t="b">
        <f>OR(COUNTIF(PROVEEDORES[[#This Row],[PROVEEDOR]],"*"&amp;'Palabra no opera'!$A$2&amp;"*"))</f>
        <v>0</v>
      </c>
      <c r="AA1109" s="24"/>
      <c r="AB1109" s="24"/>
      <c r="AC1109" s="24"/>
      <c r="AD1109" s="24"/>
      <c r="AE1109" s="24"/>
    </row>
    <row r="1110" spans="1:31" ht="22.2" customHeight="1" x14ac:dyDescent="0.3">
      <c r="A1110" s="112" t="str">
        <f>+IF(PROVEEDORES[[#This Row],[FECHA DE PAGO]]=PROVEEDORES[[#This Row],[FECHA DE FACTURACIÓN]],"DE CONTADO","CRÉDITO")</f>
        <v>DE CONTADO</v>
      </c>
      <c r="B1110" s="38" t="b">
        <f>+IF((PROVEEDORES[[#This Row],[FECHA DE PAGO]]-PROVEEDORES[[#This Row],[FECHA DE FACTURACIÓN]])&gt;PROVEEDORES[[#This Row],[PLAZO Días]],"PAGO VENCIDO")</f>
        <v>0</v>
      </c>
      <c r="C1110" s="20">
        <f>+VLOOKUP(PROVEEDORES[[#This Row],[PROVEEDOR]],TERCEROS_INFO[#All],2,FALSE)</f>
        <v>30</v>
      </c>
      <c r="D1110" s="25">
        <f>+SUMIFS(PROVEEDORES[Total],PROVEEDORES[PROVEEDOR],PROVEEDORES[[#This Row],[PROVEEDOR]],PROVEEDORES[FECHA DE PAGO],"")</f>
        <v>0</v>
      </c>
      <c r="E1110" s="25"/>
      <c r="F1110" s="58" t="str">
        <f>+VLOOKUP(PROVEEDORES[[#This Row],[PROVEEDOR]],
                       Terceros!$A:$F,
                       5,
                       FALSE)</f>
        <v/>
      </c>
      <c r="G1110" s="161">
        <v>44673</v>
      </c>
      <c r="H1110" s="26" t="s">
        <v>673</v>
      </c>
      <c r="I1110" s="161">
        <v>44673</v>
      </c>
      <c r="J1110" s="35"/>
      <c r="K1110" s="21">
        <v>1000000</v>
      </c>
      <c r="L1110" s="21"/>
      <c r="M1110" s="22">
        <f>(PROVEEDORES[[#This Row],[SUBTOTAL]]-PROVEEDORES[[#This Row],[descuento sobre subtotal]])*VLOOKUP(PROVEEDORES[[#This Row],[PROVEEDOR]],TERCEROS_INFO[#All],3,FALSE)</f>
        <v>0</v>
      </c>
      <c r="N1110" s="23"/>
      <c r="O1110" s="22">
        <f>+PROVEEDORES[[#This Row],[Descuento sobre subtotal %]]*(PROVEEDORES[[#This Row],[SUBTOTAL]]-PROVEEDORES[[#This Row],[descuento sobre subtotal]])</f>
        <v>0</v>
      </c>
      <c r="P1110" s="83">
        <f>+IF(PROVEEDORES[[#This Row],[SUBTOTAL]]&lt;PROVEEDORES[[#This Row],[base retencion]],0,PROVEEDORES[[#This Row],[retención aplicada]])</f>
        <v>0</v>
      </c>
      <c r="Q1110" s="22">
        <f>+PROVEEDORES[[#This Row],[Rete Fuente %]]*(PROVEEDORES[[#This Row],[SUBTOTAL]]-PROVEEDORES[[#This Row],[descuento sobre subtotal]])</f>
        <v>0</v>
      </c>
      <c r="R111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0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68">
        <f ca="1">IF(PROVEEDORES[[#This Row],[FECHA DE PAGO]]=0,TODAY()-PROVEEDORES[[#This Row],[FECHA DE FACTURACIÓN]]-PROVEEDORES[[#This Row],[PLAZO Días]],0)</f>
        <v>0</v>
      </c>
      <c r="U1110" s="113">
        <f>+VLOOKUP(PROVEEDORES[[#This Row],[PROVEEDOR]],Terceros!$A:$D,4,FALSE)</f>
        <v>0</v>
      </c>
      <c r="V1110" s="114">
        <f>+YEAR(PROVEEDORES[[#This Row],[FECHA DE FACTURACIÓN]])</f>
        <v>2022</v>
      </c>
      <c r="W1110" s="114">
        <f>+MATCH(PROVEEDORES[[#This Row],[año facturado]],Retenciones!$1:$1,0)</f>
        <v>5</v>
      </c>
      <c r="X1110" s="115">
        <f>+VLOOKUP(PROVEEDORES[[#This Row],[ID RETENCION]],Retenciones!$A$1:$O$25,PROVEEDORES[[#This Row],[indicador de columna]],FALSE)</f>
        <v>0</v>
      </c>
      <c r="Y1110" s="116">
        <f>+VLOOKUP(PROVEEDORES[[#This Row],[ID RETENCION]],Retenciones!$A$1:$O$25,2,FALSE)</f>
        <v>0</v>
      </c>
      <c r="Z1110" s="125" t="b">
        <f>OR(COUNTIF(PROVEEDORES[[#This Row],[PROVEEDOR]],"*"&amp;'Palabra no opera'!$A$2&amp;"*"))</f>
        <v>0</v>
      </c>
      <c r="AA1110" s="24"/>
      <c r="AB1110" s="24"/>
      <c r="AC1110" s="24"/>
      <c r="AD1110" s="24"/>
      <c r="AE1110" s="24"/>
    </row>
    <row r="1111" spans="1:31" ht="22.2" customHeight="1" x14ac:dyDescent="0.3">
      <c r="A1111" s="133" t="str">
        <f>+IF(PROVEEDORES[[#This Row],[FECHA DE PAGO]]=PROVEEDORES[[#This Row],[FECHA DE FACTURACIÓN]],"DE CONTADO","CRÉDITO")</f>
        <v>DE CONTADO</v>
      </c>
      <c r="B1111" s="38" t="b">
        <f>+IF((PROVEEDORES[[#This Row],[FECHA DE PAGO]]-PROVEEDORES[[#This Row],[FECHA DE FACTURACIÓN]])&gt;PROVEEDORES[[#This Row],[PLAZO Días]],"PAGO VENCIDO")</f>
        <v>0</v>
      </c>
      <c r="C1111" s="20">
        <f>+VLOOKUP(PROVEEDORES[[#This Row],[PROVEEDOR]],TERCEROS_INFO[#All],2,FALSE)</f>
        <v>30</v>
      </c>
      <c r="D1111" s="25">
        <f>+SUMIFS(PROVEEDORES[Total],PROVEEDORES[PROVEEDOR],PROVEEDORES[[#This Row],[PROVEEDOR]],PROVEEDORES[FECHA DE PAGO],"")</f>
        <v>0</v>
      </c>
      <c r="E1111" s="25"/>
      <c r="F1111" s="58" t="str">
        <f>+VLOOKUP(PROVEEDORES[[#This Row],[PROVEEDOR]],
                       Terceros!$A:$F,
                       5,
                       FALSE)</f>
        <v/>
      </c>
      <c r="G1111" s="161">
        <v>44686</v>
      </c>
      <c r="H1111" s="26" t="s">
        <v>673</v>
      </c>
      <c r="I1111" s="161">
        <v>44686</v>
      </c>
      <c r="J1111" s="35"/>
      <c r="K1111" s="21">
        <v>1000000</v>
      </c>
      <c r="L1111" s="21"/>
      <c r="M1111" s="22">
        <f>(PROVEEDORES[[#This Row],[SUBTOTAL]]-PROVEEDORES[[#This Row],[descuento sobre subtotal]])*VLOOKUP(PROVEEDORES[[#This Row],[PROVEEDOR]],TERCEROS_INFO[#All],3,FALSE)</f>
        <v>0</v>
      </c>
      <c r="N1111" s="23"/>
      <c r="O1111" s="22">
        <f>+PROVEEDORES[[#This Row],[Descuento sobre subtotal %]]*(PROVEEDORES[[#This Row],[SUBTOTAL]]-PROVEEDORES[[#This Row],[descuento sobre subtotal]])</f>
        <v>0</v>
      </c>
      <c r="P1111" s="83">
        <f>+IF(PROVEEDORES[[#This Row],[SUBTOTAL]]&lt;PROVEEDORES[[#This Row],[base retencion]],0,PROVEEDORES[[#This Row],[retención aplicada]])</f>
        <v>0</v>
      </c>
      <c r="Q1111" s="22">
        <f>+PROVEEDORES[[#This Row],[Rete Fuente %]]*(PROVEEDORES[[#This Row],[SUBTOTAL]]-PROVEEDORES[[#This Row],[descuento sobre subtotal]])</f>
        <v>0</v>
      </c>
      <c r="R111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1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68">
        <f ca="1">IF(PROVEEDORES[[#This Row],[FECHA DE PAGO]]=0,TODAY()-PROVEEDORES[[#This Row],[FECHA DE FACTURACIÓN]]-PROVEEDORES[[#This Row],[PLAZO Días]],0)</f>
        <v>0</v>
      </c>
      <c r="U1111" s="113">
        <f>+VLOOKUP(PROVEEDORES[[#This Row],[PROVEEDOR]],Terceros!$A:$D,4,FALSE)</f>
        <v>0</v>
      </c>
      <c r="V1111" s="114">
        <f>+YEAR(PROVEEDORES[[#This Row],[FECHA DE FACTURACIÓN]])</f>
        <v>2022</v>
      </c>
      <c r="W1111" s="114">
        <f>+MATCH(PROVEEDORES[[#This Row],[año facturado]],Retenciones!$1:$1,0)</f>
        <v>5</v>
      </c>
      <c r="X1111" s="115">
        <f>+VLOOKUP(PROVEEDORES[[#This Row],[ID RETENCION]],Retenciones!$A$1:$O$25,PROVEEDORES[[#This Row],[indicador de columna]],FALSE)</f>
        <v>0</v>
      </c>
      <c r="Y1111" s="116">
        <f>+VLOOKUP(PROVEEDORES[[#This Row],[ID RETENCION]],Retenciones!$A$1:$O$25,2,FALSE)</f>
        <v>0</v>
      </c>
      <c r="Z1111" s="125" t="b">
        <f>OR(COUNTIF(PROVEEDORES[[#This Row],[PROVEEDOR]],"*"&amp;'Palabra no opera'!$A$2&amp;"*"))</f>
        <v>0</v>
      </c>
      <c r="AA1111" s="24"/>
      <c r="AB1111" s="24"/>
      <c r="AC1111" s="24"/>
      <c r="AD1111" s="24"/>
      <c r="AE1111" s="24"/>
    </row>
    <row r="1112" spans="1:31" ht="22.2" customHeight="1" x14ac:dyDescent="0.3">
      <c r="A1112" s="135" t="str">
        <f>+IF(PROVEEDORES[[#This Row],[FECHA DE PAGO]]=PROVEEDORES[[#This Row],[FECHA DE FACTURACIÓN]],"DE CONTADO","CRÉDITO")</f>
        <v>DE CONTADO</v>
      </c>
      <c r="B1112" s="38" t="b">
        <f>+IF((PROVEEDORES[[#This Row],[FECHA DE PAGO]]-PROVEEDORES[[#This Row],[FECHA DE FACTURACIÓN]])&gt;PROVEEDORES[[#This Row],[PLAZO Días]],"PAGO VENCIDO")</f>
        <v>0</v>
      </c>
      <c r="C1112" s="20">
        <f>+VLOOKUP(PROVEEDORES[[#This Row],[PROVEEDOR]],TERCEROS_INFO[#All],2,FALSE)</f>
        <v>30</v>
      </c>
      <c r="D1112" s="25">
        <f>+SUMIFS(PROVEEDORES[Total],PROVEEDORES[PROVEEDOR],PROVEEDORES[[#This Row],[PROVEEDOR]],PROVEEDORES[FECHA DE PAGO],"")</f>
        <v>0</v>
      </c>
      <c r="E1112" s="25"/>
      <c r="F1112" s="58" t="str">
        <f>+VLOOKUP(PROVEEDORES[[#This Row],[PROVEEDOR]],
                       Terceros!$A:$F,
                       5,
                       FALSE)</f>
        <v/>
      </c>
      <c r="G1112" s="161">
        <v>44694</v>
      </c>
      <c r="H1112" s="26" t="s">
        <v>673</v>
      </c>
      <c r="I1112" s="161">
        <v>44694</v>
      </c>
      <c r="J1112" s="35"/>
      <c r="K1112" s="21">
        <v>1000000</v>
      </c>
      <c r="L1112" s="21"/>
      <c r="M1112" s="22">
        <f>(PROVEEDORES[[#This Row],[SUBTOTAL]]-PROVEEDORES[[#This Row],[descuento sobre subtotal]])*VLOOKUP(PROVEEDORES[[#This Row],[PROVEEDOR]],TERCEROS_INFO[#All],3,FALSE)</f>
        <v>0</v>
      </c>
      <c r="N1112" s="23"/>
      <c r="O1112" s="22">
        <f>+PROVEEDORES[[#This Row],[Descuento sobre subtotal %]]*(PROVEEDORES[[#This Row],[SUBTOTAL]]-PROVEEDORES[[#This Row],[descuento sobre subtotal]])</f>
        <v>0</v>
      </c>
      <c r="P1112" s="83">
        <f>+IF(PROVEEDORES[[#This Row],[SUBTOTAL]]&lt;PROVEEDORES[[#This Row],[base retencion]],0,PROVEEDORES[[#This Row],[retención aplicada]])</f>
        <v>0</v>
      </c>
      <c r="Q1112" s="22">
        <f>+PROVEEDORES[[#This Row],[Rete Fuente %]]*(PROVEEDORES[[#This Row],[SUBTOTAL]]-PROVEEDORES[[#This Row],[descuento sobre subtotal]])</f>
        <v>0</v>
      </c>
      <c r="R111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68">
        <f ca="1">IF(PROVEEDORES[[#This Row],[FECHA DE PAGO]]=0,TODAY()-PROVEEDORES[[#This Row],[FECHA DE FACTURACIÓN]]-PROVEEDORES[[#This Row],[PLAZO Días]],0)</f>
        <v>0</v>
      </c>
      <c r="U1112" s="113">
        <f>+VLOOKUP(PROVEEDORES[[#This Row],[PROVEEDOR]],Terceros!$A:$D,4,FALSE)</f>
        <v>0</v>
      </c>
      <c r="V1112" s="114">
        <f>+YEAR(PROVEEDORES[[#This Row],[FECHA DE FACTURACIÓN]])</f>
        <v>2022</v>
      </c>
      <c r="W1112" s="114">
        <f>+MATCH(PROVEEDORES[[#This Row],[año facturado]],Retenciones!$1:$1,0)</f>
        <v>5</v>
      </c>
      <c r="X1112" s="115">
        <f>+VLOOKUP(PROVEEDORES[[#This Row],[ID RETENCION]],Retenciones!$A$1:$O$25,PROVEEDORES[[#This Row],[indicador de columna]],FALSE)</f>
        <v>0</v>
      </c>
      <c r="Y1112" s="116">
        <f>+VLOOKUP(PROVEEDORES[[#This Row],[ID RETENCION]],Retenciones!$A$1:$O$25,2,FALSE)</f>
        <v>0</v>
      </c>
      <c r="Z1112" s="125" t="b">
        <f>OR(COUNTIF(PROVEEDORES[[#This Row],[PROVEEDOR]],"*"&amp;'Palabra no opera'!$A$2&amp;"*"))</f>
        <v>0</v>
      </c>
      <c r="AA1112" s="24"/>
      <c r="AB1112" s="24"/>
      <c r="AC1112" s="24"/>
      <c r="AD1112" s="24"/>
      <c r="AE1112" s="24"/>
    </row>
    <row r="1113" spans="1:31" ht="22.2" customHeight="1" x14ac:dyDescent="0.3">
      <c r="A1113" s="144" t="str">
        <f>+IF(PROVEEDORES[[#This Row],[FECHA DE PAGO]]=PROVEEDORES[[#This Row],[FECHA DE FACTURACIÓN]],"DE CONTADO","CRÉDITO")</f>
        <v>DE CONTADO</v>
      </c>
      <c r="B1113" s="38" t="b">
        <f>+IF((PROVEEDORES[[#This Row],[FECHA DE PAGO]]-PROVEEDORES[[#This Row],[FECHA DE FACTURACIÓN]])&gt;PROVEEDORES[[#This Row],[PLAZO Días]],"PAGO VENCIDO")</f>
        <v>0</v>
      </c>
      <c r="C1113" s="20">
        <f>+VLOOKUP(PROVEEDORES[[#This Row],[PROVEEDOR]],TERCEROS_INFO[#All],2,FALSE)</f>
        <v>30</v>
      </c>
      <c r="D1113" s="25">
        <f>+SUMIFS(PROVEEDORES[Total],PROVEEDORES[PROVEEDOR],PROVEEDORES[[#This Row],[PROVEEDOR]],PROVEEDORES[FECHA DE PAGO],"")</f>
        <v>0</v>
      </c>
      <c r="E1113" s="25"/>
      <c r="F1113" s="58" t="str">
        <f>+VLOOKUP(PROVEEDORES[[#This Row],[PROVEEDOR]],
                       Terceros!$A:$F,
                       5,
                       FALSE)</f>
        <v/>
      </c>
      <c r="G1113" s="161">
        <v>44707</v>
      </c>
      <c r="H1113" s="26" t="s">
        <v>673</v>
      </c>
      <c r="I1113" s="161">
        <v>44707</v>
      </c>
      <c r="J1113" s="35"/>
      <c r="K1113" s="21">
        <v>1000000</v>
      </c>
      <c r="L1113" s="21"/>
      <c r="M1113" s="22">
        <f>(PROVEEDORES[[#This Row],[SUBTOTAL]]-PROVEEDORES[[#This Row],[descuento sobre subtotal]])*VLOOKUP(PROVEEDORES[[#This Row],[PROVEEDOR]],TERCEROS_INFO[#All],3,FALSE)</f>
        <v>0</v>
      </c>
      <c r="N1113" s="23"/>
      <c r="O1113" s="22">
        <f>+PROVEEDORES[[#This Row],[Descuento sobre subtotal %]]*(PROVEEDORES[[#This Row],[SUBTOTAL]]-PROVEEDORES[[#This Row],[descuento sobre subtotal]])</f>
        <v>0</v>
      </c>
      <c r="P1113" s="83">
        <f>+IF(PROVEEDORES[[#This Row],[SUBTOTAL]]&lt;PROVEEDORES[[#This Row],[base retencion]],0,PROVEEDORES[[#This Row],[retención aplicada]])</f>
        <v>0</v>
      </c>
      <c r="Q1113" s="22">
        <f>+PROVEEDORES[[#This Row],[Rete Fuente %]]*(PROVEEDORES[[#This Row],[SUBTOTAL]]-PROVEEDORES[[#This Row],[descuento sobre subtotal]])</f>
        <v>0</v>
      </c>
      <c r="R111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3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68">
        <f ca="1">IF(PROVEEDORES[[#This Row],[FECHA DE PAGO]]=0,TODAY()-PROVEEDORES[[#This Row],[FECHA DE FACTURACIÓN]]-PROVEEDORES[[#This Row],[PLAZO Días]],0)</f>
        <v>0</v>
      </c>
      <c r="U1113" s="113">
        <f>+VLOOKUP(PROVEEDORES[[#This Row],[PROVEEDOR]],Terceros!$A:$D,4,FALSE)</f>
        <v>0</v>
      </c>
      <c r="V1113" s="114">
        <f>+YEAR(PROVEEDORES[[#This Row],[FECHA DE FACTURACIÓN]])</f>
        <v>2022</v>
      </c>
      <c r="W1113" s="114">
        <f>+MATCH(PROVEEDORES[[#This Row],[año facturado]],Retenciones!$1:$1,0)</f>
        <v>5</v>
      </c>
      <c r="X1113" s="115">
        <f>+VLOOKUP(PROVEEDORES[[#This Row],[ID RETENCION]],Retenciones!$A$1:$O$25,PROVEEDORES[[#This Row],[indicador de columna]],FALSE)</f>
        <v>0</v>
      </c>
      <c r="Y1113" s="116">
        <f>+VLOOKUP(PROVEEDORES[[#This Row],[ID RETENCION]],Retenciones!$A$1:$O$25,2,FALSE)</f>
        <v>0</v>
      </c>
      <c r="Z1113" s="125" t="b">
        <f>OR(COUNTIF(PROVEEDORES[[#This Row],[PROVEEDOR]],"*"&amp;'Palabra no opera'!$A$2&amp;"*"))</f>
        <v>0</v>
      </c>
      <c r="AA1113" s="24"/>
      <c r="AB1113" s="24"/>
      <c r="AC1113" s="24"/>
      <c r="AD1113" s="24"/>
      <c r="AE1113" s="24"/>
    </row>
    <row r="1114" spans="1:31" ht="22.2" customHeight="1" x14ac:dyDescent="0.3">
      <c r="A1114" s="146" t="str">
        <f>+IF(PROVEEDORES[[#This Row],[FECHA DE PAGO]]=PROVEEDORES[[#This Row],[FECHA DE FACTURACIÓN]],"DE CONTADO","CRÉDITO")</f>
        <v>DE CONTADO</v>
      </c>
      <c r="B1114" s="38" t="b">
        <f>+IF((PROVEEDORES[[#This Row],[FECHA DE PAGO]]-PROVEEDORES[[#This Row],[FECHA DE FACTURACIÓN]])&gt;PROVEEDORES[[#This Row],[PLAZO Días]],"PAGO VENCIDO")</f>
        <v>0</v>
      </c>
      <c r="C1114" s="20">
        <f>+VLOOKUP(PROVEEDORES[[#This Row],[PROVEEDOR]],TERCEROS_INFO[#All],2,FALSE)</f>
        <v>30</v>
      </c>
      <c r="D1114" s="25">
        <f>+SUMIFS(PROVEEDORES[Total],PROVEEDORES[PROVEEDOR],PROVEEDORES[[#This Row],[PROVEEDOR]],PROVEEDORES[FECHA DE PAGO],"")</f>
        <v>0</v>
      </c>
      <c r="E1114" s="25"/>
      <c r="F1114" s="58" t="str">
        <f>+VLOOKUP(PROVEEDORES[[#This Row],[PROVEEDOR]],
                       Terceros!$A:$F,
                       5,
                       FALSE)</f>
        <v/>
      </c>
      <c r="G1114" s="161">
        <v>44715</v>
      </c>
      <c r="H1114" s="26" t="s">
        <v>673</v>
      </c>
      <c r="I1114" s="161">
        <v>44715</v>
      </c>
      <c r="J1114" s="35"/>
      <c r="K1114" s="21">
        <v>1000000</v>
      </c>
      <c r="L1114" s="21"/>
      <c r="M1114" s="22">
        <f>(PROVEEDORES[[#This Row],[SUBTOTAL]]-PROVEEDORES[[#This Row],[descuento sobre subtotal]])*VLOOKUP(PROVEEDORES[[#This Row],[PROVEEDOR]],TERCEROS_INFO[#All],3,FALSE)</f>
        <v>0</v>
      </c>
      <c r="N1114" s="23"/>
      <c r="O1114" s="22">
        <f>+PROVEEDORES[[#This Row],[Descuento sobre subtotal %]]*(PROVEEDORES[[#This Row],[SUBTOTAL]]-PROVEEDORES[[#This Row],[descuento sobre subtotal]])</f>
        <v>0</v>
      </c>
      <c r="P1114" s="83">
        <f>+IF(PROVEEDORES[[#This Row],[SUBTOTAL]]&lt;PROVEEDORES[[#This Row],[base retencion]],0,PROVEEDORES[[#This Row],[retención aplicada]])</f>
        <v>0</v>
      </c>
      <c r="Q1114" s="22">
        <f>+PROVEEDORES[[#This Row],[Rete Fuente %]]*(PROVEEDORES[[#This Row],[SUBTOTAL]]-PROVEEDORES[[#This Row],[descuento sobre subtotal]])</f>
        <v>0</v>
      </c>
      <c r="R111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4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68">
        <f ca="1">IF(PROVEEDORES[[#This Row],[FECHA DE PAGO]]=0,TODAY()-PROVEEDORES[[#This Row],[FECHA DE FACTURACIÓN]]-PROVEEDORES[[#This Row],[PLAZO Días]],0)</f>
        <v>0</v>
      </c>
      <c r="U1114" s="113">
        <f>+VLOOKUP(PROVEEDORES[[#This Row],[PROVEEDOR]],Terceros!$A:$D,4,FALSE)</f>
        <v>0</v>
      </c>
      <c r="V1114" s="114">
        <f>+YEAR(PROVEEDORES[[#This Row],[FECHA DE FACTURACIÓN]])</f>
        <v>2022</v>
      </c>
      <c r="W1114" s="114">
        <f>+MATCH(PROVEEDORES[[#This Row],[año facturado]],Retenciones!$1:$1,0)</f>
        <v>5</v>
      </c>
      <c r="X1114" s="115">
        <f>+VLOOKUP(PROVEEDORES[[#This Row],[ID RETENCION]],Retenciones!$A$1:$O$25,PROVEEDORES[[#This Row],[indicador de columna]],FALSE)</f>
        <v>0</v>
      </c>
      <c r="Y1114" s="116">
        <f>+VLOOKUP(PROVEEDORES[[#This Row],[ID RETENCION]],Retenciones!$A$1:$O$25,2,FALSE)</f>
        <v>0</v>
      </c>
      <c r="Z1114" s="125" t="b">
        <f>OR(COUNTIF(PROVEEDORES[[#This Row],[PROVEEDOR]],"*"&amp;'Palabra no opera'!$A$2&amp;"*"))</f>
        <v>0</v>
      </c>
      <c r="AA1114" s="24"/>
      <c r="AB1114" s="24"/>
      <c r="AC1114" s="24"/>
      <c r="AD1114" s="24"/>
      <c r="AE1114" s="24"/>
    </row>
    <row r="1115" spans="1:31" ht="22.2" customHeight="1" x14ac:dyDescent="0.3">
      <c r="A1115" s="159" t="str">
        <f>+IF(PROVEEDORES[[#This Row],[FECHA DE PAGO]]=PROVEEDORES[[#This Row],[FECHA DE FACTURACIÓN]],"DE CONTADO","CRÉDITO")</f>
        <v>DE CONTADO</v>
      </c>
      <c r="B1115" s="38" t="b">
        <f>+IF((PROVEEDORES[[#This Row],[FECHA DE PAGO]]-PROVEEDORES[[#This Row],[FECHA DE FACTURACIÓN]])&gt;PROVEEDORES[[#This Row],[PLAZO Días]],"PAGO VENCIDO")</f>
        <v>0</v>
      </c>
      <c r="C1115" s="20">
        <f>+VLOOKUP(PROVEEDORES[[#This Row],[PROVEEDOR]],TERCEROS_INFO[#All],2,FALSE)</f>
        <v>30</v>
      </c>
      <c r="D1115" s="25">
        <f>+SUMIFS(PROVEEDORES[Total],PROVEEDORES[PROVEEDOR],PROVEEDORES[[#This Row],[PROVEEDOR]],PROVEEDORES[FECHA DE PAGO],"")</f>
        <v>0</v>
      </c>
      <c r="E1115" s="25"/>
      <c r="F1115" s="58" t="str">
        <f>+VLOOKUP(PROVEEDORES[[#This Row],[PROVEEDOR]],
                       Terceros!$A:$F,
                       5,
                       FALSE)</f>
        <v/>
      </c>
      <c r="G1115" s="161">
        <v>44729</v>
      </c>
      <c r="H1115" s="26" t="s">
        <v>673</v>
      </c>
      <c r="I1115" s="161">
        <v>44729</v>
      </c>
      <c r="J1115" s="35"/>
      <c r="K1115" s="21">
        <v>1000000</v>
      </c>
      <c r="L1115" s="21"/>
      <c r="M1115" s="22">
        <f>(PROVEEDORES[[#This Row],[SUBTOTAL]]-PROVEEDORES[[#This Row],[descuento sobre subtotal]])*VLOOKUP(PROVEEDORES[[#This Row],[PROVEEDOR]],TERCEROS_INFO[#All],3,FALSE)</f>
        <v>0</v>
      </c>
      <c r="N1115" s="23"/>
      <c r="O1115" s="22">
        <f>+PROVEEDORES[[#This Row],[Descuento sobre subtotal %]]*(PROVEEDORES[[#This Row],[SUBTOTAL]]-PROVEEDORES[[#This Row],[descuento sobre subtotal]])</f>
        <v>0</v>
      </c>
      <c r="P1115" s="83">
        <f>+IF(PROVEEDORES[[#This Row],[SUBTOTAL]]&lt;PROVEEDORES[[#This Row],[base retencion]],0,PROVEEDORES[[#This Row],[retención aplicada]])</f>
        <v>0</v>
      </c>
      <c r="Q1115" s="22">
        <f>+PROVEEDORES[[#This Row],[Rete Fuente %]]*(PROVEEDORES[[#This Row],[SUBTOTAL]]-PROVEEDORES[[#This Row],[descuento sobre subtotal]])</f>
        <v>0</v>
      </c>
      <c r="R111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68">
        <f ca="1">IF(PROVEEDORES[[#This Row],[FECHA DE PAGO]]=0,TODAY()-PROVEEDORES[[#This Row],[FECHA DE FACTURACIÓN]]-PROVEEDORES[[#This Row],[PLAZO Días]],0)</f>
        <v>0</v>
      </c>
      <c r="U1115" s="113">
        <f>+VLOOKUP(PROVEEDORES[[#This Row],[PROVEEDOR]],Terceros!$A:$D,4,FALSE)</f>
        <v>0</v>
      </c>
      <c r="V1115" s="114">
        <f>+YEAR(PROVEEDORES[[#This Row],[FECHA DE FACTURACIÓN]])</f>
        <v>2022</v>
      </c>
      <c r="W1115" s="114">
        <f>+MATCH(PROVEEDORES[[#This Row],[año facturado]],Retenciones!$1:$1,0)</f>
        <v>5</v>
      </c>
      <c r="X1115" s="115">
        <f>+VLOOKUP(PROVEEDORES[[#This Row],[ID RETENCION]],Retenciones!$A$1:$O$25,PROVEEDORES[[#This Row],[indicador de columna]],FALSE)</f>
        <v>0</v>
      </c>
      <c r="Y1115" s="116">
        <f>+VLOOKUP(PROVEEDORES[[#This Row],[ID RETENCION]],Retenciones!$A$1:$O$25,2,FALSE)</f>
        <v>0</v>
      </c>
      <c r="Z1115" s="125" t="b">
        <f>OR(COUNTIF(PROVEEDORES[[#This Row],[PROVEEDOR]],"*"&amp;'Palabra no opera'!$A$2&amp;"*"))</f>
        <v>0</v>
      </c>
      <c r="AA1115" s="24"/>
      <c r="AB1115" s="24"/>
      <c r="AC1115" s="24"/>
      <c r="AD1115" s="24"/>
      <c r="AE1115" s="24"/>
    </row>
    <row r="1116" spans="1:31" ht="22.2" customHeight="1" x14ac:dyDescent="0.3">
      <c r="A1116" s="159" t="str">
        <f>+IF(PROVEEDORES[[#This Row],[FECHA DE PAGO]]=PROVEEDORES[[#This Row],[FECHA DE FACTURACIÓN]],"DE CONTADO","CRÉDITO")</f>
        <v>DE CONTADO</v>
      </c>
      <c r="B1116" s="38" t="b">
        <f>+IF((PROVEEDORES[[#This Row],[FECHA DE PAGO]]-PROVEEDORES[[#This Row],[FECHA DE FACTURACIÓN]])&gt;PROVEEDORES[[#This Row],[PLAZO Días]],"PAGO VENCIDO")</f>
        <v>0</v>
      </c>
      <c r="C1116" s="20">
        <f>+VLOOKUP(PROVEEDORES[[#This Row],[PROVEEDOR]],TERCEROS_INFO[#All],2,FALSE)</f>
        <v>30</v>
      </c>
      <c r="D1116" s="25">
        <f>+SUMIFS(PROVEEDORES[Total],PROVEEDORES[PROVEEDOR],PROVEEDORES[[#This Row],[PROVEEDOR]],PROVEEDORES[FECHA DE PAGO],"")</f>
        <v>0</v>
      </c>
      <c r="E1116" s="25"/>
      <c r="F1116" s="58" t="str">
        <f>+VLOOKUP(PROVEEDORES[[#This Row],[PROVEEDOR]],
                       Terceros!$A:$F,
                       5,
                       FALSE)</f>
        <v/>
      </c>
      <c r="G1116" s="161">
        <v>44736</v>
      </c>
      <c r="H1116" s="26" t="s">
        <v>673</v>
      </c>
      <c r="I1116" s="161">
        <v>44736</v>
      </c>
      <c r="J1116" s="35"/>
      <c r="K1116" s="21">
        <v>1000000</v>
      </c>
      <c r="L1116" s="21"/>
      <c r="M1116" s="22">
        <f>(PROVEEDORES[[#This Row],[SUBTOTAL]]-PROVEEDORES[[#This Row],[descuento sobre subtotal]])*VLOOKUP(PROVEEDORES[[#This Row],[PROVEEDOR]],TERCEROS_INFO[#All],3,FALSE)</f>
        <v>0</v>
      </c>
      <c r="N1116" s="23"/>
      <c r="O1116" s="22">
        <f>+PROVEEDORES[[#This Row],[Descuento sobre subtotal %]]*(PROVEEDORES[[#This Row],[SUBTOTAL]]-PROVEEDORES[[#This Row],[descuento sobre subtotal]])</f>
        <v>0</v>
      </c>
      <c r="P1116" s="83">
        <f>+IF(PROVEEDORES[[#This Row],[SUBTOTAL]]&lt;PROVEEDORES[[#This Row],[base retencion]],0,PROVEEDORES[[#This Row],[retención aplicada]])</f>
        <v>0</v>
      </c>
      <c r="Q1116" s="22">
        <f>+PROVEEDORES[[#This Row],[Rete Fuente %]]*(PROVEEDORES[[#This Row],[SUBTOTAL]]-PROVEEDORES[[#This Row],[descuento sobre subtotal]])</f>
        <v>0</v>
      </c>
      <c r="R111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68">
        <f ca="1">IF(PROVEEDORES[[#This Row],[FECHA DE PAGO]]=0,TODAY()-PROVEEDORES[[#This Row],[FECHA DE FACTURACIÓN]]-PROVEEDORES[[#This Row],[PLAZO Días]],0)</f>
        <v>0</v>
      </c>
      <c r="U1116" s="113">
        <f>+VLOOKUP(PROVEEDORES[[#This Row],[PROVEEDOR]],Terceros!$A:$D,4,FALSE)</f>
        <v>0</v>
      </c>
      <c r="V1116" s="114">
        <f>+YEAR(PROVEEDORES[[#This Row],[FECHA DE FACTURACIÓN]])</f>
        <v>2022</v>
      </c>
      <c r="W1116" s="114">
        <f>+MATCH(PROVEEDORES[[#This Row],[año facturado]],Retenciones!$1:$1,0)</f>
        <v>5</v>
      </c>
      <c r="X1116" s="115">
        <f>+VLOOKUP(PROVEEDORES[[#This Row],[ID RETENCION]],Retenciones!$A$1:$O$25,PROVEEDORES[[#This Row],[indicador de columna]],FALSE)</f>
        <v>0</v>
      </c>
      <c r="Y1116" s="116">
        <f>+VLOOKUP(PROVEEDORES[[#This Row],[ID RETENCION]],Retenciones!$A$1:$O$25,2,FALSE)</f>
        <v>0</v>
      </c>
      <c r="Z1116" s="125" t="b">
        <f>OR(COUNTIF(PROVEEDORES[[#This Row],[PROVEEDOR]],"*"&amp;'Palabra no opera'!$A$2&amp;"*"))</f>
        <v>0</v>
      </c>
      <c r="AA1116" s="24"/>
      <c r="AB1116" s="24"/>
      <c r="AC1116" s="24"/>
      <c r="AD1116" s="24"/>
      <c r="AE1116" s="24"/>
    </row>
    <row r="1117" spans="1:31" ht="22.2" customHeight="1" x14ac:dyDescent="0.3">
      <c r="A1117" s="159" t="str">
        <f>+IF(PROVEEDORES[[#This Row],[FECHA DE PAGO]]=PROVEEDORES[[#This Row],[FECHA DE FACTURACIÓN]],"DE CONTADO","CRÉDITO")</f>
        <v>DE CONTADO</v>
      </c>
      <c r="B1117" s="38" t="b">
        <f>+IF((PROVEEDORES[[#This Row],[FECHA DE PAGO]]-PROVEEDORES[[#This Row],[FECHA DE FACTURACIÓN]])&gt;PROVEEDORES[[#This Row],[PLAZO Días]],"PAGO VENCIDO")</f>
        <v>0</v>
      </c>
      <c r="C1117" s="20">
        <f>+VLOOKUP(PROVEEDORES[[#This Row],[PROVEEDOR]],TERCEROS_INFO[#All],2,FALSE)</f>
        <v>30</v>
      </c>
      <c r="D1117" s="25">
        <f>+SUMIFS(PROVEEDORES[Total],PROVEEDORES[PROVEEDOR],PROVEEDORES[[#This Row],[PROVEEDOR]],PROVEEDORES[FECHA DE PAGO],"")</f>
        <v>0</v>
      </c>
      <c r="E1117" s="25"/>
      <c r="F1117" s="58" t="str">
        <f>+VLOOKUP(PROVEEDORES[[#This Row],[PROVEEDOR]],
                       Terceros!$A:$F,
                       5,
                       FALSE)</f>
        <v/>
      </c>
      <c r="G1117" s="161">
        <v>44743</v>
      </c>
      <c r="H1117" s="26" t="s">
        <v>673</v>
      </c>
      <c r="I1117" s="161">
        <v>44743</v>
      </c>
      <c r="J1117" s="35"/>
      <c r="K1117" s="21">
        <v>1000000</v>
      </c>
      <c r="L1117" s="21"/>
      <c r="M1117" s="22">
        <f>(PROVEEDORES[[#This Row],[SUBTOTAL]]-PROVEEDORES[[#This Row],[descuento sobre subtotal]])*VLOOKUP(PROVEEDORES[[#This Row],[PROVEEDOR]],TERCEROS_INFO[#All],3,FALSE)</f>
        <v>0</v>
      </c>
      <c r="N1117" s="23"/>
      <c r="O1117" s="22">
        <f>+PROVEEDORES[[#This Row],[Descuento sobre subtotal %]]*(PROVEEDORES[[#This Row],[SUBTOTAL]]-PROVEEDORES[[#This Row],[descuento sobre subtotal]])</f>
        <v>0</v>
      </c>
      <c r="P1117" s="83">
        <f>+IF(PROVEEDORES[[#This Row],[SUBTOTAL]]&lt;PROVEEDORES[[#This Row],[base retencion]],0,PROVEEDORES[[#This Row],[retención aplicada]])</f>
        <v>0</v>
      </c>
      <c r="Q1117" s="22">
        <f>+PROVEEDORES[[#This Row],[Rete Fuente %]]*(PROVEEDORES[[#This Row],[SUBTOTAL]]-PROVEEDORES[[#This Row],[descuento sobre subtotal]])</f>
        <v>0</v>
      </c>
      <c r="R111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68">
        <f ca="1">IF(PROVEEDORES[[#This Row],[FECHA DE PAGO]]=0,TODAY()-PROVEEDORES[[#This Row],[FECHA DE FACTURACIÓN]]-PROVEEDORES[[#This Row],[PLAZO Días]],0)</f>
        <v>0</v>
      </c>
      <c r="U1117" s="113">
        <f>+VLOOKUP(PROVEEDORES[[#This Row],[PROVEEDOR]],Terceros!$A:$D,4,FALSE)</f>
        <v>0</v>
      </c>
      <c r="V1117" s="114">
        <f>+YEAR(PROVEEDORES[[#This Row],[FECHA DE FACTURACIÓN]])</f>
        <v>2022</v>
      </c>
      <c r="W1117" s="114">
        <f>+MATCH(PROVEEDORES[[#This Row],[año facturado]],Retenciones!$1:$1,0)</f>
        <v>5</v>
      </c>
      <c r="X1117" s="115">
        <f>+VLOOKUP(PROVEEDORES[[#This Row],[ID RETENCION]],Retenciones!$A$1:$O$25,PROVEEDORES[[#This Row],[indicador de columna]],FALSE)</f>
        <v>0</v>
      </c>
      <c r="Y1117" s="116">
        <f>+VLOOKUP(PROVEEDORES[[#This Row],[ID RETENCION]],Retenciones!$A$1:$O$25,2,FALSE)</f>
        <v>0</v>
      </c>
      <c r="Z1117" s="125" t="b">
        <f>OR(COUNTIF(PROVEEDORES[[#This Row],[PROVEEDOR]],"*"&amp;'Palabra no opera'!$A$2&amp;"*"))</f>
        <v>0</v>
      </c>
      <c r="AA1117" s="24"/>
      <c r="AB1117" s="24"/>
      <c r="AC1117" s="24"/>
      <c r="AD1117" s="24"/>
      <c r="AE1117" s="24"/>
    </row>
    <row r="1118" spans="1:31" ht="22.2" customHeight="1" x14ac:dyDescent="0.3">
      <c r="A1118" s="72" t="str">
        <f>+IF(PROVEEDORES[[#This Row],[FECHA DE PAGO]]=PROVEEDORES[[#This Row],[FECHA DE FACTURACIÓN]],"DE CONTADO","CRÉDITO")</f>
        <v>DE CONTADO</v>
      </c>
      <c r="B1118" s="38" t="b">
        <f>+IF((PROVEEDORES[[#This Row],[FECHA DE PAGO]]-PROVEEDORES[[#This Row],[FECHA DE FACTURACIÓN]])&gt;PROVEEDORES[[#This Row],[PLAZO Días]],"PAGO VENCIDO")</f>
        <v>0</v>
      </c>
      <c r="C1118" s="20">
        <f>+VLOOKUP(PROVEEDORES[[#This Row],[PROVEEDOR]],TERCEROS_INFO[#All],2,FALSE)</f>
        <v>30</v>
      </c>
      <c r="D1118" s="25">
        <f>+SUMIFS(PROVEEDORES[Total],PROVEEDORES[PROVEEDOR],PROVEEDORES[[#This Row],[PROVEEDOR]],PROVEEDORES[FECHA DE PAGO],"")</f>
        <v>0</v>
      </c>
      <c r="E1118" s="25"/>
      <c r="F1118" s="58" t="str">
        <f>+VLOOKUP(PROVEEDORES[[#This Row],[PROVEEDOR]],
                       Terceros!$A:$F,
                       5,
                       FALSE)</f>
        <v/>
      </c>
      <c r="G1118" s="161">
        <v>44750</v>
      </c>
      <c r="H1118" s="26" t="s">
        <v>673</v>
      </c>
      <c r="I1118" s="161">
        <v>44750</v>
      </c>
      <c r="J1118" s="35"/>
      <c r="K1118" s="21">
        <v>1000000</v>
      </c>
      <c r="L1118" s="21"/>
      <c r="M1118" s="22">
        <f>(PROVEEDORES[[#This Row],[SUBTOTAL]]-PROVEEDORES[[#This Row],[descuento sobre subtotal]])*VLOOKUP(PROVEEDORES[[#This Row],[PROVEEDOR]],TERCEROS_INFO[#All],3,FALSE)</f>
        <v>0</v>
      </c>
      <c r="N1118" s="23"/>
      <c r="O1118" s="22">
        <f>+PROVEEDORES[[#This Row],[Descuento sobre subtotal %]]*(PROVEEDORES[[#This Row],[SUBTOTAL]]-PROVEEDORES[[#This Row],[descuento sobre subtotal]])</f>
        <v>0</v>
      </c>
      <c r="P1118" s="83">
        <f>+IF(PROVEEDORES[[#This Row],[SUBTOTAL]]&lt;PROVEEDORES[[#This Row],[base retencion]],0,PROVEEDORES[[#This Row],[retención aplicada]])</f>
        <v>0</v>
      </c>
      <c r="Q1118" s="22">
        <f>+PROVEEDORES[[#This Row],[Rete Fuente %]]*(PROVEEDORES[[#This Row],[SUBTOTAL]]-PROVEEDORES[[#This Row],[descuento sobre subtotal]])</f>
        <v>0</v>
      </c>
      <c r="R111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68">
        <f ca="1">IF(PROVEEDORES[[#This Row],[FECHA DE PAGO]]=0,TODAY()-PROVEEDORES[[#This Row],[FECHA DE FACTURACIÓN]]-PROVEEDORES[[#This Row],[PLAZO Días]],0)</f>
        <v>0</v>
      </c>
      <c r="U1118" s="113">
        <f>+VLOOKUP(PROVEEDORES[[#This Row],[PROVEEDOR]],Terceros!$A:$D,4,FALSE)</f>
        <v>0</v>
      </c>
      <c r="V1118" s="114">
        <f>+YEAR(PROVEEDORES[[#This Row],[FECHA DE FACTURACIÓN]])</f>
        <v>2022</v>
      </c>
      <c r="W1118" s="114">
        <f>+MATCH(PROVEEDORES[[#This Row],[año facturado]],Retenciones!$1:$1,0)</f>
        <v>5</v>
      </c>
      <c r="X1118" s="115">
        <f>+VLOOKUP(PROVEEDORES[[#This Row],[ID RETENCION]],Retenciones!$A$1:$O$25,PROVEEDORES[[#This Row],[indicador de columna]],FALSE)</f>
        <v>0</v>
      </c>
      <c r="Y1118" s="116">
        <f>+VLOOKUP(PROVEEDORES[[#This Row],[ID RETENCION]],Retenciones!$A$1:$O$25,2,FALSE)</f>
        <v>0</v>
      </c>
      <c r="Z1118" s="125" t="b">
        <f>OR(COUNTIF(PROVEEDORES[[#This Row],[PROVEEDOR]],"*"&amp;'Palabra no opera'!$A$2&amp;"*"))</f>
        <v>0</v>
      </c>
      <c r="AA1118" s="24"/>
      <c r="AB1118" s="24"/>
      <c r="AC1118" s="24"/>
      <c r="AD1118" s="24"/>
      <c r="AE1118" s="24"/>
    </row>
    <row r="1119" spans="1:31" ht="22.2" customHeight="1" x14ac:dyDescent="0.3">
      <c r="A1119" s="185" t="str">
        <f>+IF(PROVEEDORES[[#This Row],[FECHA DE PAGO]]=PROVEEDORES[[#This Row],[FECHA DE FACTURACIÓN]],"DE CONTADO","CRÉDITO")</f>
        <v>DE CONTADO</v>
      </c>
      <c r="B1119" s="38" t="b">
        <f>+IF((PROVEEDORES[[#This Row],[FECHA DE PAGO]]-PROVEEDORES[[#This Row],[FECHA DE FACTURACIÓN]])&gt;PROVEEDORES[[#This Row],[PLAZO Días]],"PAGO VENCIDO")</f>
        <v>0</v>
      </c>
      <c r="C1119" s="20">
        <f>+VLOOKUP(PROVEEDORES[[#This Row],[PROVEEDOR]],TERCEROS_INFO[#All],2,FALSE)</f>
        <v>30</v>
      </c>
      <c r="D1119" s="25">
        <f>+SUMIFS(PROVEEDORES[Total],PROVEEDORES[PROVEEDOR],PROVEEDORES[[#This Row],[PROVEEDOR]],PROVEEDORES[FECHA DE PAGO],"")</f>
        <v>0</v>
      </c>
      <c r="E1119" s="25"/>
      <c r="F1119" s="58" t="str">
        <f>+VLOOKUP(PROVEEDORES[[#This Row],[PROVEEDOR]],
                       Terceros!$A:$F,
                       5,
                       FALSE)</f>
        <v/>
      </c>
      <c r="G1119" s="161">
        <v>44756</v>
      </c>
      <c r="H1119" s="26" t="s">
        <v>673</v>
      </c>
      <c r="I1119" s="161">
        <v>44756</v>
      </c>
      <c r="J1119" s="35"/>
      <c r="K1119" s="21">
        <v>1000000</v>
      </c>
      <c r="L1119" s="21"/>
      <c r="M1119" s="22">
        <f>(PROVEEDORES[[#This Row],[SUBTOTAL]]-PROVEEDORES[[#This Row],[descuento sobre subtotal]])*VLOOKUP(PROVEEDORES[[#This Row],[PROVEEDOR]],TERCEROS_INFO[#All],3,FALSE)</f>
        <v>0</v>
      </c>
      <c r="N1119" s="23"/>
      <c r="O1119" s="22">
        <f>+PROVEEDORES[[#This Row],[Descuento sobre subtotal %]]*(PROVEEDORES[[#This Row],[SUBTOTAL]]-PROVEEDORES[[#This Row],[descuento sobre subtotal]])</f>
        <v>0</v>
      </c>
      <c r="P1119" s="83">
        <f>+IF(PROVEEDORES[[#This Row],[SUBTOTAL]]&lt;PROVEEDORES[[#This Row],[base retencion]],0,PROVEEDORES[[#This Row],[retención aplicada]])</f>
        <v>0</v>
      </c>
      <c r="Q1119" s="22">
        <f>+PROVEEDORES[[#This Row],[Rete Fuente %]]*(PROVEEDORES[[#This Row],[SUBTOTAL]]-PROVEEDORES[[#This Row],[descuento sobre subtotal]])</f>
        <v>0</v>
      </c>
      <c r="R111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9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68">
        <f ca="1">IF(PROVEEDORES[[#This Row],[FECHA DE PAGO]]=0,TODAY()-PROVEEDORES[[#This Row],[FECHA DE FACTURACIÓN]]-PROVEEDORES[[#This Row],[PLAZO Días]],0)</f>
        <v>0</v>
      </c>
      <c r="U1119" s="113">
        <f>+VLOOKUP(PROVEEDORES[[#This Row],[PROVEEDOR]],Terceros!$A:$D,4,FALSE)</f>
        <v>0</v>
      </c>
      <c r="V1119" s="114">
        <f>+YEAR(PROVEEDORES[[#This Row],[FECHA DE FACTURACIÓN]])</f>
        <v>2022</v>
      </c>
      <c r="W1119" s="114">
        <f>+MATCH(PROVEEDORES[[#This Row],[año facturado]],Retenciones!$1:$1,0)</f>
        <v>5</v>
      </c>
      <c r="X1119" s="115">
        <f>+VLOOKUP(PROVEEDORES[[#This Row],[ID RETENCION]],Retenciones!$A$1:$O$25,PROVEEDORES[[#This Row],[indicador de columna]],FALSE)</f>
        <v>0</v>
      </c>
      <c r="Y1119" s="116">
        <f>+VLOOKUP(PROVEEDORES[[#This Row],[ID RETENCION]],Retenciones!$A$1:$O$25,2,FALSE)</f>
        <v>0</v>
      </c>
      <c r="Z1119" s="125" t="b">
        <f>OR(COUNTIF(PROVEEDORES[[#This Row],[PROVEEDOR]],"*"&amp;'Palabra no opera'!$A$2&amp;"*"))</f>
        <v>0</v>
      </c>
      <c r="AA1119" s="24"/>
      <c r="AB1119" s="24"/>
      <c r="AC1119" s="24"/>
      <c r="AD1119" s="24"/>
      <c r="AE1119" s="24"/>
    </row>
    <row r="1120" spans="1:31" ht="22.2" customHeight="1" x14ac:dyDescent="0.3">
      <c r="A1120" s="72" t="str">
        <f>+IF(PROVEEDORES[[#This Row],[FECHA DE PAGO]]=PROVEEDORES[[#This Row],[FECHA DE FACTURACIÓN]],"DE CONTADO","CRÉDITO")</f>
        <v>DE CONTADO</v>
      </c>
      <c r="B1120" s="38" t="b">
        <f>+IF((PROVEEDORES[[#This Row],[FECHA DE PAGO]]-PROVEEDORES[[#This Row],[FECHA DE FACTURACIÓN]])&gt;PROVEEDORES[[#This Row],[PLAZO Días]],"PAGO VENCIDO")</f>
        <v>0</v>
      </c>
      <c r="C1120" s="20">
        <f>+VLOOKUP(PROVEEDORES[[#This Row],[PROVEEDOR]],TERCEROS_INFO[#All],2,FALSE)</f>
        <v>30</v>
      </c>
      <c r="D1120" s="25">
        <f>+SUMIFS(PROVEEDORES[Total],PROVEEDORES[PROVEEDOR],PROVEEDORES[[#This Row],[PROVEEDOR]],PROVEEDORES[FECHA DE PAGO],"")</f>
        <v>0</v>
      </c>
      <c r="E1120" s="25"/>
      <c r="F1120" s="58" t="str">
        <f>+VLOOKUP(PROVEEDORES[[#This Row],[PROVEEDOR]],
                       Terceros!$A:$F,
                       5,
                       FALSE)</f>
        <v/>
      </c>
      <c r="G1120" s="161">
        <v>44764</v>
      </c>
      <c r="H1120" s="26" t="s">
        <v>1134</v>
      </c>
      <c r="I1120" s="161">
        <v>44764</v>
      </c>
      <c r="J1120" s="35"/>
      <c r="K1120" s="21">
        <v>1000000</v>
      </c>
      <c r="L1120" s="21"/>
      <c r="M1120" s="22">
        <f>(PROVEEDORES[[#This Row],[SUBTOTAL]]-PROVEEDORES[[#This Row],[descuento sobre subtotal]])*VLOOKUP(PROVEEDORES[[#This Row],[PROVEEDOR]],TERCEROS_INFO[#All],3,FALSE)</f>
        <v>0</v>
      </c>
      <c r="N1120" s="23"/>
      <c r="O1120" s="22">
        <f>+PROVEEDORES[[#This Row],[Descuento sobre subtotal %]]*(PROVEEDORES[[#This Row],[SUBTOTAL]]-PROVEEDORES[[#This Row],[descuento sobre subtotal]])</f>
        <v>0</v>
      </c>
      <c r="P1120" s="83">
        <f>+IF(PROVEEDORES[[#This Row],[SUBTOTAL]]&lt;PROVEEDORES[[#This Row],[base retencion]],0,PROVEEDORES[[#This Row],[retención aplicada]])</f>
        <v>0</v>
      </c>
      <c r="Q1120" s="22">
        <f>+PROVEEDORES[[#This Row],[Rete Fuente %]]*(PROVEEDORES[[#This Row],[SUBTOTAL]]-PROVEEDORES[[#This Row],[descuento sobre subtotal]])</f>
        <v>0</v>
      </c>
      <c r="R112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68">
        <f ca="1">IF(PROVEEDORES[[#This Row],[FECHA DE PAGO]]=0,TODAY()-PROVEEDORES[[#This Row],[FECHA DE FACTURACIÓN]]-PROVEEDORES[[#This Row],[PLAZO Días]],0)</f>
        <v>0</v>
      </c>
      <c r="U1120" s="113">
        <f>+VLOOKUP(PROVEEDORES[[#This Row],[PROVEEDOR]],Terceros!$A:$D,4,FALSE)</f>
        <v>0</v>
      </c>
      <c r="V1120" s="114">
        <f>+YEAR(PROVEEDORES[[#This Row],[FECHA DE FACTURACIÓN]])</f>
        <v>2022</v>
      </c>
      <c r="W1120" s="114">
        <f>+MATCH(PROVEEDORES[[#This Row],[año facturado]],Retenciones!$1:$1,0)</f>
        <v>5</v>
      </c>
      <c r="X1120" s="115">
        <f>+VLOOKUP(PROVEEDORES[[#This Row],[ID RETENCION]],Retenciones!$A$1:$O$25,PROVEEDORES[[#This Row],[indicador de columna]],FALSE)</f>
        <v>0</v>
      </c>
      <c r="Y1120" s="116">
        <f>+VLOOKUP(PROVEEDORES[[#This Row],[ID RETENCION]],Retenciones!$A$1:$O$25,2,FALSE)</f>
        <v>0</v>
      </c>
      <c r="Z1120" s="125" t="b">
        <f>OR(COUNTIF(PROVEEDORES[[#This Row],[PROVEEDOR]],"*"&amp;'Palabra no opera'!$A$2&amp;"*"))</f>
        <v>0</v>
      </c>
      <c r="AA1120" s="24"/>
      <c r="AB1120" s="24"/>
      <c r="AC1120" s="24"/>
      <c r="AD1120" s="24"/>
      <c r="AE1120" s="24"/>
    </row>
    <row r="1121" spans="1:31" ht="22.2" customHeight="1" x14ac:dyDescent="0.3">
      <c r="A1121" s="72" t="str">
        <f>+IF(PROVEEDORES[[#This Row],[FECHA DE PAGO]]=PROVEEDORES[[#This Row],[FECHA DE FACTURACIÓN]],"DE CONTADO","CRÉDITO")</f>
        <v>DE CONTADO</v>
      </c>
      <c r="B1121" s="38" t="b">
        <f>+IF((PROVEEDORES[[#This Row],[FECHA DE PAGO]]-PROVEEDORES[[#This Row],[FECHA DE FACTURACIÓN]])&gt;PROVEEDORES[[#This Row],[PLAZO Días]],"PAGO VENCIDO")</f>
        <v>0</v>
      </c>
      <c r="C1121" s="20">
        <f>+VLOOKUP(PROVEEDORES[[#This Row],[PROVEEDOR]],TERCEROS_INFO[#All],2,FALSE)</f>
        <v>0</v>
      </c>
      <c r="D1121" s="25">
        <f>+SUMIFS(PROVEEDORES[Total],PROVEEDORES[PROVEEDOR],PROVEEDORES[[#This Row],[PROVEEDOR]],PROVEEDORES[FECHA DE PAGO],"")</f>
        <v>0</v>
      </c>
      <c r="E1121" s="25"/>
      <c r="F1121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1121" s="161">
        <v>44764</v>
      </c>
      <c r="H1121" s="26" t="s">
        <v>1133</v>
      </c>
      <c r="I1121" s="161">
        <v>44764</v>
      </c>
      <c r="J1121" s="35" t="s">
        <v>1393</v>
      </c>
      <c r="K1121" s="21">
        <v>1000000</v>
      </c>
      <c r="L1121" s="21"/>
      <c r="M1121" s="22">
        <v>0</v>
      </c>
      <c r="N1121" s="23"/>
      <c r="O1121" s="22">
        <f>+PROVEEDORES[[#This Row],[Descuento sobre subtotal %]]*(PROVEEDORES[[#This Row],[SUBTOTAL]]-PROVEEDORES[[#This Row],[descuento sobre subtotal]])</f>
        <v>0</v>
      </c>
      <c r="P1121" s="83">
        <f>+IF(PROVEEDORES[[#This Row],[SUBTOTAL]]&lt;PROVEEDORES[[#This Row],[base retencion]],0,PROVEEDORES[[#This Row],[retención aplicada]])</f>
        <v>0</v>
      </c>
      <c r="Q1121" s="22">
        <f>+PROVEEDORES[[#This Row],[Rete Fuente %]]*(PROVEEDORES[[#This Row],[SUBTOTAL]]-PROVEEDORES[[#This Row],[descuento sobre subtotal]])</f>
        <v>0</v>
      </c>
      <c r="R112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68">
        <f ca="1">IF(PROVEEDORES[[#This Row],[FECHA DE PAGO]]=0,TODAY()-PROVEEDORES[[#This Row],[FECHA DE FACTURACIÓN]]-PROVEEDORES[[#This Row],[PLAZO Días]],0)</f>
        <v>0</v>
      </c>
      <c r="U1121" s="113">
        <f>+VLOOKUP(PROVEEDORES[[#This Row],[PROVEEDOR]],Terceros!$A:$D,4,FALSE)</f>
        <v>0</v>
      </c>
      <c r="V1121" s="114">
        <f>+YEAR(PROVEEDORES[[#This Row],[FECHA DE FACTURACIÓN]])</f>
        <v>2022</v>
      </c>
      <c r="W1121" s="114">
        <f>+MATCH(PROVEEDORES[[#This Row],[año facturado]],Retenciones!$1:$1,0)</f>
        <v>5</v>
      </c>
      <c r="X1121" s="115">
        <f>+VLOOKUP(PROVEEDORES[[#This Row],[ID RETENCION]],Retenciones!$A$1:$O$25,PROVEEDORES[[#This Row],[indicador de columna]],FALSE)</f>
        <v>0</v>
      </c>
      <c r="Y1121" s="116">
        <f>+VLOOKUP(PROVEEDORES[[#This Row],[ID RETENCION]],Retenciones!$A$1:$O$25,2,FALSE)</f>
        <v>0</v>
      </c>
      <c r="Z1121" s="125" t="b">
        <f>OR(COUNTIF(PROVEEDORES[[#This Row],[PROVEEDOR]],"*"&amp;'Palabra no opera'!$A$2&amp;"*"))</f>
        <v>1</v>
      </c>
      <c r="AA1121" s="24"/>
      <c r="AB1121" s="24"/>
      <c r="AC1121" s="24"/>
      <c r="AD1121" s="24"/>
      <c r="AE1121" s="24"/>
    </row>
    <row r="1122" spans="1:31" ht="22.2" customHeight="1" x14ac:dyDescent="0.3">
      <c r="A1122" s="189" t="str">
        <f>+IF(PROVEEDORES[[#This Row],[FECHA DE PAGO]]=PROVEEDORES[[#This Row],[FECHA DE FACTURACIÓN]],"DE CONTADO","CRÉDITO")</f>
        <v>CRÉDITO</v>
      </c>
      <c r="B1122" s="38" t="str">
        <f>+IF((PROVEEDORES[[#This Row],[FECHA DE PAGO]]-PROVEEDORES[[#This Row],[FECHA DE FACTURACIÓN]])&gt;PROVEEDORES[[#This Row],[PLAZO Días]],"PAGO VENCIDO")</f>
        <v>PAGO VENCIDO</v>
      </c>
      <c r="C1122" s="20">
        <f>+VLOOKUP(PROVEEDORES[[#This Row],[PROVEEDOR]],TERCEROS_INFO[#All],2,FALSE)</f>
        <v>0</v>
      </c>
      <c r="D1122" s="25">
        <f>+SUMIFS(PROVEEDORES[Total],PROVEEDORES[PROVEEDOR],PROVEEDORES[[#This Row],[PROVEEDOR]],PROVEEDORES[FECHA DE PAGO],"")</f>
        <v>0</v>
      </c>
      <c r="E1122" s="25"/>
      <c r="F1122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1122" s="161">
        <v>44768</v>
      </c>
      <c r="H1122" s="26" t="s">
        <v>1133</v>
      </c>
      <c r="I1122" s="161">
        <v>44764</v>
      </c>
      <c r="J1122" s="35" t="s">
        <v>1394</v>
      </c>
      <c r="K1122" s="21">
        <v>1000000</v>
      </c>
      <c r="L1122" s="21"/>
      <c r="M1122" s="22">
        <v>0</v>
      </c>
      <c r="N1122" s="23"/>
      <c r="O1122" s="22">
        <f>+PROVEEDORES[[#This Row],[Descuento sobre subtotal %]]*(PROVEEDORES[[#This Row],[SUBTOTAL]]-PROVEEDORES[[#This Row],[descuento sobre subtotal]])</f>
        <v>0</v>
      </c>
      <c r="P1122" s="83">
        <f>+IF(PROVEEDORES[[#This Row],[SUBTOTAL]]&lt;PROVEEDORES[[#This Row],[base retencion]],0,PROVEEDORES[[#This Row],[retención aplicada]])</f>
        <v>0</v>
      </c>
      <c r="Q1122" s="22">
        <f>+PROVEEDORES[[#This Row],[Rete Fuente %]]*(PROVEEDORES[[#This Row],[SUBTOTAL]]-PROVEEDORES[[#This Row],[descuento sobre subtotal]])</f>
        <v>0</v>
      </c>
      <c r="R112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2" s="19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68">
        <f ca="1">IF(PROVEEDORES[[#This Row],[FECHA DE PAGO]]=0,TODAY()-PROVEEDORES[[#This Row],[FECHA DE FACTURACIÓN]]-PROVEEDORES[[#This Row],[PLAZO Días]],0)</f>
        <v>0</v>
      </c>
      <c r="U1122" s="113">
        <f>+VLOOKUP(PROVEEDORES[[#This Row],[PROVEEDOR]],Terceros!$A:$D,4,FALSE)</f>
        <v>0</v>
      </c>
      <c r="V1122" s="114">
        <f>+YEAR(PROVEEDORES[[#This Row],[FECHA DE FACTURACIÓN]])</f>
        <v>2022</v>
      </c>
      <c r="W1122" s="114">
        <f>+MATCH(PROVEEDORES[[#This Row],[año facturado]],Retenciones!$1:$1,0)</f>
        <v>5</v>
      </c>
      <c r="X1122" s="115">
        <f>+VLOOKUP(PROVEEDORES[[#This Row],[ID RETENCION]],Retenciones!$A$1:$O$25,PROVEEDORES[[#This Row],[indicador de columna]],FALSE)</f>
        <v>0</v>
      </c>
      <c r="Y1122" s="116">
        <f>+VLOOKUP(PROVEEDORES[[#This Row],[ID RETENCION]],Retenciones!$A$1:$O$25,2,FALSE)</f>
        <v>0</v>
      </c>
      <c r="Z1122" s="125" t="b">
        <f>OR(COUNTIF(PROVEEDORES[[#This Row],[PROVEEDOR]],"*"&amp;'Palabra no opera'!$A$2&amp;"*"))</f>
        <v>1</v>
      </c>
      <c r="AA1122" s="24"/>
      <c r="AB1122" s="24"/>
      <c r="AC1122" s="24"/>
      <c r="AD1122" s="24"/>
      <c r="AE1122" s="24"/>
    </row>
    <row r="1123" spans="1:31" ht="22.2" customHeight="1" x14ac:dyDescent="0.3">
      <c r="A1123" s="72" t="str">
        <f>+IF(PROVEEDORES[[#This Row],[FECHA DE PAGO]]=PROVEEDORES[[#This Row],[FECHA DE FACTURACIÓN]],"DE CONTADO","CRÉDITO")</f>
        <v>DE CONTADO</v>
      </c>
      <c r="B1123" s="38" t="b">
        <f>+IF((PROVEEDORES[[#This Row],[FECHA DE PAGO]]-PROVEEDORES[[#This Row],[FECHA DE FACTURACIÓN]])&gt;PROVEEDORES[[#This Row],[PLAZO Días]],"PAGO VENCIDO")</f>
        <v>0</v>
      </c>
      <c r="C1123" s="20">
        <f>+VLOOKUP(PROVEEDORES[[#This Row],[PROVEEDOR]],TERCEROS_INFO[#All],2,FALSE)</f>
        <v>30</v>
      </c>
      <c r="D1123" s="25">
        <f>+SUMIFS(PROVEEDORES[Total],PROVEEDORES[PROVEEDOR],PROVEEDORES[[#This Row],[PROVEEDOR]],PROVEEDORES[FECHA DE PAGO],"")</f>
        <v>0</v>
      </c>
      <c r="E1123" s="25"/>
      <c r="F1123" s="58" t="str">
        <f>+VLOOKUP(PROVEEDORES[[#This Row],[PROVEEDOR]],
                       Terceros!$A:$F,
                       5,
                       FALSE)</f>
        <v/>
      </c>
      <c r="G1123" s="161">
        <v>44770</v>
      </c>
      <c r="H1123" s="26" t="s">
        <v>1134</v>
      </c>
      <c r="I1123" s="161">
        <v>44770</v>
      </c>
      <c r="J1123" s="35"/>
      <c r="K1123" s="21">
        <v>1000000</v>
      </c>
      <c r="L1123" s="21"/>
      <c r="M1123" s="22">
        <f>(PROVEEDORES[[#This Row],[SUBTOTAL]]-PROVEEDORES[[#This Row],[descuento sobre subtotal]])*VLOOKUP(PROVEEDORES[[#This Row],[PROVEEDOR]],TERCEROS_INFO[#All],3,FALSE)</f>
        <v>0</v>
      </c>
      <c r="N1123" s="23"/>
      <c r="O1123" s="22">
        <f>+PROVEEDORES[[#This Row],[Descuento sobre subtotal %]]*(PROVEEDORES[[#This Row],[SUBTOTAL]]-PROVEEDORES[[#This Row],[descuento sobre subtotal]])</f>
        <v>0</v>
      </c>
      <c r="P1123" s="83">
        <f>+IF(PROVEEDORES[[#This Row],[SUBTOTAL]]&lt;PROVEEDORES[[#This Row],[base retencion]],0,PROVEEDORES[[#This Row],[retención aplicada]])</f>
        <v>0</v>
      </c>
      <c r="Q1123" s="22">
        <f>+PROVEEDORES[[#This Row],[Rete Fuente %]]*(PROVEEDORES[[#This Row],[SUBTOTAL]]-PROVEEDORES[[#This Row],[descuento sobre subtotal]])</f>
        <v>0</v>
      </c>
      <c r="R112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68">
        <f ca="1">IF(PROVEEDORES[[#This Row],[FECHA DE PAGO]]=0,TODAY()-PROVEEDORES[[#This Row],[FECHA DE FACTURACIÓN]]-PROVEEDORES[[#This Row],[PLAZO Días]],0)</f>
        <v>0</v>
      </c>
      <c r="U1123" s="113">
        <f>+VLOOKUP(PROVEEDORES[[#This Row],[PROVEEDOR]],Terceros!$A:$D,4,FALSE)</f>
        <v>0</v>
      </c>
      <c r="V1123" s="114">
        <f>+YEAR(PROVEEDORES[[#This Row],[FECHA DE FACTURACIÓN]])</f>
        <v>2022</v>
      </c>
      <c r="W1123" s="114">
        <f>+MATCH(PROVEEDORES[[#This Row],[año facturado]],Retenciones!$1:$1,0)</f>
        <v>5</v>
      </c>
      <c r="X1123" s="115">
        <f>+VLOOKUP(PROVEEDORES[[#This Row],[ID RETENCION]],Retenciones!$A$1:$O$25,PROVEEDORES[[#This Row],[indicador de columna]],FALSE)</f>
        <v>0</v>
      </c>
      <c r="Y1123" s="116">
        <f>+VLOOKUP(PROVEEDORES[[#This Row],[ID RETENCION]],Retenciones!$A$1:$O$25,2,FALSE)</f>
        <v>0</v>
      </c>
      <c r="Z1123" s="125" t="b">
        <f>OR(COUNTIF(PROVEEDORES[[#This Row],[PROVEEDOR]],"*"&amp;'Palabra no opera'!$A$2&amp;"*"))</f>
        <v>0</v>
      </c>
      <c r="AA1123" s="24"/>
      <c r="AB1123" s="24"/>
      <c r="AC1123" s="24"/>
      <c r="AD1123" s="24"/>
      <c r="AE1123" s="24"/>
    </row>
    <row r="1124" spans="1:31" ht="22.2" customHeight="1" x14ac:dyDescent="0.3">
      <c r="A1124" s="72" t="str">
        <f>+IF(PROVEEDORES[[#This Row],[FECHA DE PAGO]]=PROVEEDORES[[#This Row],[FECHA DE FACTURACIÓN]],"DE CONTADO","CRÉDITO")</f>
        <v>DE CONTADO</v>
      </c>
      <c r="B1124" s="38" t="b">
        <f>+IF((PROVEEDORES[[#This Row],[FECHA DE PAGO]]-PROVEEDORES[[#This Row],[FECHA DE FACTURACIÓN]])&gt;PROVEEDORES[[#This Row],[PLAZO Días]],"PAGO VENCIDO")</f>
        <v>0</v>
      </c>
      <c r="C1124" s="20">
        <f>+VLOOKUP(PROVEEDORES[[#This Row],[PROVEEDOR]],TERCEROS_INFO[#All],2,FALSE)</f>
        <v>30</v>
      </c>
      <c r="D1124" s="25">
        <f>+SUMIFS(PROVEEDORES[Total],PROVEEDORES[PROVEEDOR],PROVEEDORES[[#This Row],[PROVEEDOR]],PROVEEDORES[FECHA DE PAGO],"")</f>
        <v>0</v>
      </c>
      <c r="E1124" s="25"/>
      <c r="F1124" s="58" t="str">
        <f>+VLOOKUP(PROVEEDORES[[#This Row],[PROVEEDOR]],
                       Terceros!$A:$F,
                       5,
                       FALSE)</f>
        <v/>
      </c>
      <c r="G1124" s="161">
        <v>44778</v>
      </c>
      <c r="H1124" s="26" t="s">
        <v>673</v>
      </c>
      <c r="I1124" s="161">
        <v>44778</v>
      </c>
      <c r="J1124" s="35"/>
      <c r="K1124" s="21">
        <v>1000000</v>
      </c>
      <c r="L1124" s="21"/>
      <c r="M1124" s="22">
        <f>(PROVEEDORES[[#This Row],[SUBTOTAL]]-PROVEEDORES[[#This Row],[descuento sobre subtotal]])*VLOOKUP(PROVEEDORES[[#This Row],[PROVEEDOR]],TERCEROS_INFO[#All],3,FALSE)</f>
        <v>0</v>
      </c>
      <c r="N1124" s="23"/>
      <c r="O1124" s="22">
        <f>+PROVEEDORES[[#This Row],[Descuento sobre subtotal %]]*(PROVEEDORES[[#This Row],[SUBTOTAL]]-PROVEEDORES[[#This Row],[descuento sobre subtotal]])</f>
        <v>0</v>
      </c>
      <c r="P1124" s="83">
        <f>+IF(PROVEEDORES[[#This Row],[SUBTOTAL]]&lt;PROVEEDORES[[#This Row],[base retencion]],0,PROVEEDORES[[#This Row],[retención aplicada]])</f>
        <v>0</v>
      </c>
      <c r="Q1124" s="22">
        <f>+PROVEEDORES[[#This Row],[Rete Fuente %]]*(PROVEEDORES[[#This Row],[SUBTOTAL]]-PROVEEDORES[[#This Row],[descuento sobre subtotal]])</f>
        <v>0</v>
      </c>
      <c r="R112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68">
        <f ca="1">IF(PROVEEDORES[[#This Row],[FECHA DE PAGO]]=0,TODAY()-PROVEEDORES[[#This Row],[FECHA DE FACTURACIÓN]]-PROVEEDORES[[#This Row],[PLAZO Días]],0)</f>
        <v>0</v>
      </c>
      <c r="U1124" s="113">
        <f>+VLOOKUP(PROVEEDORES[[#This Row],[PROVEEDOR]],Terceros!$A:$D,4,FALSE)</f>
        <v>0</v>
      </c>
      <c r="V1124" s="114">
        <f>+YEAR(PROVEEDORES[[#This Row],[FECHA DE FACTURACIÓN]])</f>
        <v>2022</v>
      </c>
      <c r="W1124" s="114">
        <f>+MATCH(PROVEEDORES[[#This Row],[año facturado]],Retenciones!$1:$1,0)</f>
        <v>5</v>
      </c>
      <c r="X1124" s="115">
        <f>+VLOOKUP(PROVEEDORES[[#This Row],[ID RETENCION]],Retenciones!$A$1:$O$25,PROVEEDORES[[#This Row],[indicador de columna]],FALSE)</f>
        <v>0</v>
      </c>
      <c r="Y1124" s="116">
        <f>+VLOOKUP(PROVEEDORES[[#This Row],[ID RETENCION]],Retenciones!$A$1:$O$25,2,FALSE)</f>
        <v>0</v>
      </c>
      <c r="Z1124" s="125" t="b">
        <f>OR(COUNTIF(PROVEEDORES[[#This Row],[PROVEEDOR]],"*"&amp;'Palabra no opera'!$A$2&amp;"*"))</f>
        <v>0</v>
      </c>
      <c r="AA1124" s="24"/>
      <c r="AB1124" s="24"/>
      <c r="AC1124" s="24"/>
      <c r="AD1124" s="24"/>
      <c r="AE1124" s="24"/>
    </row>
    <row r="1125" spans="1:31" ht="22.2" customHeight="1" x14ac:dyDescent="0.3">
      <c r="A1125" s="199" t="str">
        <f>+IF(PROVEEDORES[[#This Row],[FECHA DE PAGO]]=PROVEEDORES[[#This Row],[FECHA DE FACTURACIÓN]],"DE CONTADO","CRÉDITO")</f>
        <v>DE CONTADO</v>
      </c>
      <c r="B1125" s="38" t="b">
        <f>+IF((PROVEEDORES[[#This Row],[FECHA DE PAGO]]-PROVEEDORES[[#This Row],[FECHA DE FACTURACIÓN]])&gt;PROVEEDORES[[#This Row],[PLAZO Días]],"PAGO VENCIDO")</f>
        <v>0</v>
      </c>
      <c r="C1125" s="20">
        <f>+VLOOKUP(PROVEEDORES[[#This Row],[PROVEEDOR]],TERCEROS_INFO[#All],2,FALSE)</f>
        <v>30</v>
      </c>
      <c r="D1125" s="25">
        <f>+SUMIFS(PROVEEDORES[Total],PROVEEDORES[PROVEEDOR],PROVEEDORES[[#This Row],[PROVEEDOR]],PROVEEDORES[FECHA DE PAGO],"")</f>
        <v>0</v>
      </c>
      <c r="E1125" s="25"/>
      <c r="F1125" s="58" t="str">
        <f>+VLOOKUP(PROVEEDORES[[#This Row],[PROVEEDOR]],
                       Terceros!$A:$F,
                       5,
                       FALSE)</f>
        <v/>
      </c>
      <c r="G1125" s="161">
        <v>44785</v>
      </c>
      <c r="H1125" s="26" t="s">
        <v>673</v>
      </c>
      <c r="I1125" s="161">
        <v>44785</v>
      </c>
      <c r="J1125" s="35"/>
      <c r="K1125" s="21">
        <v>1000000</v>
      </c>
      <c r="L1125" s="21"/>
      <c r="M1125" s="22">
        <f>(PROVEEDORES[[#This Row],[SUBTOTAL]]-PROVEEDORES[[#This Row],[descuento sobre subtotal]])*VLOOKUP(PROVEEDORES[[#This Row],[PROVEEDOR]],TERCEROS_INFO[#All],3,FALSE)</f>
        <v>0</v>
      </c>
      <c r="N1125" s="23"/>
      <c r="O1125" s="22">
        <f>+PROVEEDORES[[#This Row],[Descuento sobre subtotal %]]*(PROVEEDORES[[#This Row],[SUBTOTAL]]-PROVEEDORES[[#This Row],[descuento sobre subtotal]])</f>
        <v>0</v>
      </c>
      <c r="P1125" s="83">
        <f>+IF(PROVEEDORES[[#This Row],[SUBTOTAL]]&lt;PROVEEDORES[[#This Row],[base retencion]],0,PROVEEDORES[[#This Row],[retención aplicada]])</f>
        <v>0</v>
      </c>
      <c r="Q1125" s="22">
        <f>+PROVEEDORES[[#This Row],[Rete Fuente %]]*(PROVEEDORES[[#This Row],[SUBTOTAL]]-PROVEEDORES[[#This Row],[descuento sobre subtotal]])</f>
        <v>0</v>
      </c>
      <c r="R112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5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68">
        <f ca="1">IF(PROVEEDORES[[#This Row],[FECHA DE PAGO]]=0,TODAY()-PROVEEDORES[[#This Row],[FECHA DE FACTURACIÓN]]-PROVEEDORES[[#This Row],[PLAZO Días]],0)</f>
        <v>0</v>
      </c>
      <c r="U1125" s="113">
        <f>+VLOOKUP(PROVEEDORES[[#This Row],[PROVEEDOR]],Terceros!$A:$D,4,FALSE)</f>
        <v>0</v>
      </c>
      <c r="V1125" s="114">
        <f>+YEAR(PROVEEDORES[[#This Row],[FECHA DE FACTURACIÓN]])</f>
        <v>2022</v>
      </c>
      <c r="W1125" s="114">
        <f>+MATCH(PROVEEDORES[[#This Row],[año facturado]],Retenciones!$1:$1,0)</f>
        <v>5</v>
      </c>
      <c r="X1125" s="115">
        <f>+VLOOKUP(PROVEEDORES[[#This Row],[ID RETENCION]],Retenciones!$A$1:$O$25,PROVEEDORES[[#This Row],[indicador de columna]],FALSE)</f>
        <v>0</v>
      </c>
      <c r="Y1125" s="116">
        <f>+VLOOKUP(PROVEEDORES[[#This Row],[ID RETENCION]],Retenciones!$A$1:$O$25,2,FALSE)</f>
        <v>0</v>
      </c>
      <c r="Z1125" s="125" t="b">
        <f>OR(COUNTIF(PROVEEDORES[[#This Row],[PROVEEDOR]],"*"&amp;'Palabra no opera'!$A$2&amp;"*"))</f>
        <v>0</v>
      </c>
      <c r="AA1125" s="24"/>
      <c r="AB1125" s="24"/>
      <c r="AC1125" s="24"/>
      <c r="AD1125" s="24"/>
      <c r="AE1125" s="24"/>
    </row>
    <row r="1126" spans="1:31" ht="22.2" customHeight="1" x14ac:dyDescent="0.3">
      <c r="A1126" s="72" t="str">
        <f>+IF(PROVEEDORES[[#This Row],[FECHA DE PAGO]]=PROVEEDORES[[#This Row],[FECHA DE FACTURACIÓN]],"DE CONTADO","CRÉDITO")</f>
        <v>CRÉDITO</v>
      </c>
      <c r="B1126" s="38" t="str">
        <f>+IF((PROVEEDORES[[#This Row],[FECHA DE PAGO]]-PROVEEDORES[[#This Row],[FECHA DE FACTURACIÓN]])&gt;PROVEEDORES[[#This Row],[PLAZO Días]],"PAGO VENCIDO")</f>
        <v>PAGO VENCIDO</v>
      </c>
      <c r="C1126" s="20">
        <f>+VLOOKUP(PROVEEDORES[[#This Row],[PROVEEDOR]],TERCEROS_INFO[#All],2,FALSE)</f>
        <v>0</v>
      </c>
      <c r="D1126" s="25">
        <f>+SUMIFS(PROVEEDORES[Total],PROVEEDORES[PROVEEDOR],PROVEEDORES[[#This Row],[PROVEEDOR]],PROVEEDORES[FECHA DE PAGO],"")</f>
        <v>0</v>
      </c>
      <c r="E1126" s="25"/>
      <c r="F1126" s="58" t="str">
        <f>+VLOOKUP(PROVEEDORES[[#This Row],[PROVEEDOR]],
                       Terceros!$A:$F,
                       5,
                       FALSE)</f>
        <v>santiago30m@hotmail.com;girlesa.ruiz@servipilas.com;joriescobar64@gmail.com</v>
      </c>
      <c r="G1126" s="161">
        <v>44827</v>
      </c>
      <c r="H1126" s="26" t="s">
        <v>1685</v>
      </c>
      <c r="I1126" s="161">
        <v>44810</v>
      </c>
      <c r="J1126" s="35" t="s">
        <v>1684</v>
      </c>
      <c r="K1126" s="21">
        <v>1000000</v>
      </c>
      <c r="L1126" s="21"/>
      <c r="M1126" s="22">
        <f>(PROVEEDORES[[#This Row],[SUBTOTAL]]-PROVEEDORES[[#This Row],[descuento sobre subtotal]])*VLOOKUP(PROVEEDORES[[#This Row],[PROVEEDOR]],TERCEROS_INFO[#All],3,FALSE)</f>
        <v>0</v>
      </c>
      <c r="N1126" s="23"/>
      <c r="O1126" s="22">
        <f>+PROVEEDORES[[#This Row],[Descuento sobre subtotal %]]*(PROVEEDORES[[#This Row],[SUBTOTAL]]-PROVEEDORES[[#This Row],[descuento sobre subtotal]])</f>
        <v>0</v>
      </c>
      <c r="P1126" s="83">
        <f>+IF(PROVEEDORES[[#This Row],[SUBTOTAL]]&lt;PROVEEDORES[[#This Row],[base retencion]],0,PROVEEDORES[[#This Row],[retención aplicada]])</f>
        <v>0</v>
      </c>
      <c r="Q1126" s="22">
        <f>+PROVEEDORES[[#This Row],[Rete Fuente %]]*(PROVEEDORES[[#This Row],[SUBTOTAL]]-PROVEEDORES[[#This Row],[descuento sobre subtotal]])</f>
        <v>0</v>
      </c>
      <c r="R112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68">
        <f ca="1">IF(PROVEEDORES[[#This Row],[FECHA DE PAGO]]=0,TODAY()-PROVEEDORES[[#This Row],[FECHA DE FACTURACIÓN]]-PROVEEDORES[[#This Row],[PLAZO Días]],0)</f>
        <v>0</v>
      </c>
      <c r="U1126" s="113">
        <f>+VLOOKUP(PROVEEDORES[[#This Row],[PROVEEDOR]],Terceros!$A:$D,4,FALSE)</f>
        <v>0</v>
      </c>
      <c r="V1126" s="114">
        <f>+YEAR(PROVEEDORES[[#This Row],[FECHA DE FACTURACIÓN]])</f>
        <v>2022</v>
      </c>
      <c r="W1126" s="114">
        <f>+MATCH(PROVEEDORES[[#This Row],[año facturado]],Retenciones!$1:$1,0)</f>
        <v>5</v>
      </c>
      <c r="X1126" s="115">
        <f>+VLOOKUP(PROVEEDORES[[#This Row],[ID RETENCION]],Retenciones!$A$1:$O$25,PROVEEDORES[[#This Row],[indicador de columna]],FALSE)</f>
        <v>0</v>
      </c>
      <c r="Y1126" s="116">
        <f>+VLOOKUP(PROVEEDORES[[#This Row],[ID RETENCION]],Retenciones!$A$1:$O$25,2,FALSE)</f>
        <v>0</v>
      </c>
      <c r="Z1126" s="125" t="b">
        <f>OR(COUNTIF(PROVEEDORES[[#This Row],[PROVEEDOR]],"*"&amp;'Palabra no opera'!$A$2&amp;"*"))</f>
        <v>1</v>
      </c>
      <c r="AA1126" s="24"/>
      <c r="AB1126" s="24"/>
      <c r="AC1126" s="24"/>
      <c r="AD1126" s="24"/>
      <c r="AE1126" s="24"/>
    </row>
    <row r="1127" spans="1:31" ht="22.2" customHeight="1" x14ac:dyDescent="0.3">
      <c r="A1127" s="66" t="str">
        <f>+IF(PROVEEDORES[[#This Row],[FECHA DE PAGO]]=PROVEEDORES[[#This Row],[FECHA DE FACTURACIÓN]],"DE CONTADO","CRÉDITO")</f>
        <v>CRÉDITO</v>
      </c>
      <c r="B1127" s="38" t="b">
        <f>+IF((PROVEEDORES[[#This Row],[FECHA DE PAGO]]-PROVEEDORES[[#This Row],[FECHA DE FACTURACIÓN]])&gt;PROVEEDORES[[#This Row],[PLAZO Días]],"PAGO VENCIDO")</f>
        <v>0</v>
      </c>
      <c r="C1127" s="20">
        <f>+VLOOKUP(PROVEEDORES[[#This Row],[PROVEEDOR]],TERCEROS_INFO[#All],2,FALSE)</f>
        <v>30</v>
      </c>
      <c r="D1127" s="25">
        <f>+SUMIFS(PROVEEDORES[Total],PROVEEDORES[PROVEEDOR],PROVEEDORES[[#This Row],[PROVEEDOR]],PROVEEDORES[FECHA DE PAGO],"")</f>
        <v>0</v>
      </c>
      <c r="E1127" s="25"/>
      <c r="F1127" s="58">
        <f>+VLOOKUP(PROVEEDORES[[#This Row],[PROVEEDOR]],
                       Terceros!$A:$F,
                       5,
                       FALSE)</f>
        <v>0</v>
      </c>
      <c r="G1127" s="161">
        <v>44543</v>
      </c>
      <c r="H1127" s="26" t="s">
        <v>700</v>
      </c>
      <c r="I1127" s="161">
        <v>44539</v>
      </c>
      <c r="J1127" s="35" t="s">
        <v>1541</v>
      </c>
      <c r="K1127" s="21">
        <v>1001000</v>
      </c>
      <c r="L1127" s="21"/>
      <c r="M1127" s="22">
        <f>(PROVEEDORES[[#This Row],[SUBTOTAL]]-PROVEEDORES[[#This Row],[descuento sobre subtotal]])*VLOOKUP(PROVEEDORES[[#This Row],[PROVEEDOR]],TERCEROS_INFO[#All],3,FALSE)</f>
        <v>0</v>
      </c>
      <c r="N1127" s="23"/>
      <c r="O1127" s="22">
        <f>+PROVEEDORES[[#This Row],[Descuento sobre subtotal %]]*(PROVEEDORES[[#This Row],[SUBTOTAL]]-PROVEEDORES[[#This Row],[descuento sobre subtotal]])</f>
        <v>0</v>
      </c>
      <c r="P1127" s="83">
        <f>+IF(PROVEEDORES[[#This Row],[SUBTOTAL]]&lt;PROVEEDORES[[#This Row],[base retencion]],0,PROVEEDORES[[#This Row],[retención aplicada]])</f>
        <v>0</v>
      </c>
      <c r="Q1127" s="22">
        <f>+PROVEEDORES[[#This Row],[Rete Fuente %]]*(PROVEEDORES[[#This Row],[SUBTOTAL]]-PROVEEDORES[[#This Row],[descuento sobre subtotal]])</f>
        <v>0</v>
      </c>
      <c r="R1127" s="21">
        <f>+PROVEEDORES[[#This Row],[SUBTOTAL]]+PROVEEDORES[[#This Row],[IVA 19%]]-PROVEEDORES[[#This Row],[descuento sobre subtotal]]-PROVEEDORES[[#This Row],[Descuento sobre subtotal $2]]-PROVEEDORES[[#This Row],[Rete Fuente $]]</f>
        <v>1001000</v>
      </c>
      <c r="S11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68">
        <f ca="1">IF(PROVEEDORES[[#This Row],[FECHA DE PAGO]]=0,TODAY()-PROVEEDORES[[#This Row],[FECHA DE FACTURACIÓN]]-PROVEEDORES[[#This Row],[PLAZO Días]],0)</f>
        <v>0</v>
      </c>
      <c r="U1127" s="96">
        <f>+VLOOKUP(PROVEEDORES[[#This Row],[PROVEEDOR]],Terceros!$A:$D,4,FALSE)</f>
        <v>0</v>
      </c>
      <c r="V1127" s="97">
        <f>+YEAR(PROVEEDORES[[#This Row],[FECHA DE FACTURACIÓN]])</f>
        <v>2021</v>
      </c>
      <c r="W1127" s="97">
        <f>+MATCH(PROVEEDORES[[#This Row],[año facturado]],Retenciones!$1:$1,0)</f>
        <v>4</v>
      </c>
      <c r="X1127" s="98">
        <f>+VLOOKUP(PROVEEDORES[[#This Row],[ID RETENCION]],Retenciones!$A$1:$O$25,PROVEEDORES[[#This Row],[indicador de columna]],FALSE)</f>
        <v>0</v>
      </c>
      <c r="Y1127" s="99">
        <f>+VLOOKUP(PROVEEDORES[[#This Row],[ID RETENCION]],Retenciones!$A$1:$O$25,2,FALSE)</f>
        <v>0</v>
      </c>
      <c r="Z1127" s="125" t="b">
        <f>OR(COUNTIF(PROVEEDORES[[#This Row],[PROVEEDOR]],"*"&amp;'Palabra no opera'!$A$2&amp;"*"))</f>
        <v>0</v>
      </c>
      <c r="AA1127" s="24"/>
      <c r="AB1127" s="24"/>
      <c r="AC1127" s="24"/>
      <c r="AD1127" s="24"/>
      <c r="AE1127" s="24"/>
    </row>
    <row r="1128" spans="1:31" ht="22.2" customHeight="1" x14ac:dyDescent="0.3">
      <c r="A1128" s="207" t="str">
        <f>+IF(PROVEEDORES[[#This Row],[FECHA DE PAGO]]=PROVEEDORES[[#This Row],[FECHA DE FACTURACIÓN]],"DE CONTADO","CRÉDITO")</f>
        <v>CRÉDITO</v>
      </c>
      <c r="B1128" s="38" t="b">
        <f>+IF((PROVEEDORES[[#This Row],[FECHA DE PAGO]]-PROVEEDORES[[#This Row],[FECHA DE FACTURACIÓN]])&gt;PROVEEDORES[[#This Row],[PLAZO Días]],"PAGO VENCIDO")</f>
        <v>0</v>
      </c>
      <c r="C1128" s="20">
        <f>+VLOOKUP(PROVEEDORES[[#This Row],[PROVEEDOR]],TERCEROS_INFO[#All],2,FALSE)</f>
        <v>30</v>
      </c>
      <c r="D1128" s="25">
        <f>+SUMIFS(PROVEEDORES[Total],PROVEEDORES[PROVEEDOR],PROVEEDORES[[#This Row],[PROVEEDOR]],PROVEEDORES[FECHA DE PAGO],"")</f>
        <v>1957800</v>
      </c>
      <c r="E1128" s="25"/>
      <c r="F1128" s="58">
        <f>+VLOOKUP(PROVEEDORES[[#This Row],[PROVEEDOR]],
                       Terceros!$A:$F,
                       5,
                       FALSE)</f>
        <v>0</v>
      </c>
      <c r="G1128" s="161">
        <v>44803</v>
      </c>
      <c r="H1128" s="26" t="s">
        <v>994</v>
      </c>
      <c r="I1128" s="161">
        <v>44793</v>
      </c>
      <c r="J1128" s="35" t="s">
        <v>1421</v>
      </c>
      <c r="K1128" s="21">
        <v>1009000</v>
      </c>
      <c r="L1128" s="21"/>
      <c r="M1128" s="22">
        <f>(PROVEEDORES[[#This Row],[SUBTOTAL]]-PROVEEDORES[[#This Row],[descuento sobre subtotal]])*VLOOKUP(PROVEEDORES[[#This Row],[PROVEEDOR]],TERCEROS_INFO[#All],3,FALSE)</f>
        <v>0</v>
      </c>
      <c r="N1128" s="23"/>
      <c r="O1128" s="22">
        <f>+PROVEEDORES[[#This Row],[Descuento sobre subtotal %]]*(PROVEEDORES[[#This Row],[SUBTOTAL]]-PROVEEDORES[[#This Row],[descuento sobre subtotal]])</f>
        <v>0</v>
      </c>
      <c r="P1128" s="83">
        <f>+IF(PROVEEDORES[[#This Row],[SUBTOTAL]]&lt;PROVEEDORES[[#This Row],[base retencion]],0,PROVEEDORES[[#This Row],[retención aplicada]])</f>
        <v>0</v>
      </c>
      <c r="Q1128" s="22">
        <f>+PROVEEDORES[[#This Row],[Rete Fuente %]]*(PROVEEDORES[[#This Row],[SUBTOTAL]]-PROVEEDORES[[#This Row],[descuento sobre subtotal]])</f>
        <v>0</v>
      </c>
      <c r="R1128" s="21">
        <f>+PROVEEDORES[[#This Row],[SUBTOTAL]]+PROVEEDORES[[#This Row],[IVA 19%]]-PROVEEDORES[[#This Row],[descuento sobre subtotal]]-PROVEEDORES[[#This Row],[Descuento sobre subtotal $2]]-PROVEEDORES[[#This Row],[Rete Fuente $]]</f>
        <v>1009000</v>
      </c>
      <c r="S1128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8" s="68">
        <f ca="1">IF(PROVEEDORES[[#This Row],[FECHA DE PAGO]]=0,TODAY()-PROVEEDORES[[#This Row],[FECHA DE FACTURACIÓN]]-PROVEEDORES[[#This Row],[PLAZO Días]],0)</f>
        <v>0</v>
      </c>
      <c r="U1128" s="113">
        <f>+VLOOKUP(PROVEEDORES[[#This Row],[PROVEEDOR]],Terceros!$A:$D,4,FALSE)</f>
        <v>0</v>
      </c>
      <c r="V1128" s="114">
        <f>+YEAR(PROVEEDORES[[#This Row],[FECHA DE FACTURACIÓN]])</f>
        <v>2022</v>
      </c>
      <c r="W1128" s="114">
        <f>+MATCH(PROVEEDORES[[#This Row],[año facturado]],Retenciones!$1:$1,0)</f>
        <v>5</v>
      </c>
      <c r="X1128" s="115">
        <f>+VLOOKUP(PROVEEDORES[[#This Row],[ID RETENCION]],Retenciones!$A$1:$O$25,PROVEEDORES[[#This Row],[indicador de columna]],FALSE)</f>
        <v>0</v>
      </c>
      <c r="Y1128" s="116">
        <f>+VLOOKUP(PROVEEDORES[[#This Row],[ID RETENCION]],Retenciones!$A$1:$O$25,2,FALSE)</f>
        <v>0</v>
      </c>
      <c r="Z1128" s="125" t="b">
        <f>OR(COUNTIF(PROVEEDORES[[#This Row],[PROVEEDOR]],"*"&amp;'Palabra no opera'!$A$2&amp;"*"))</f>
        <v>0</v>
      </c>
      <c r="AA1128" s="24"/>
      <c r="AB1128" s="24"/>
      <c r="AC1128" s="24"/>
      <c r="AD1128" s="24"/>
      <c r="AE1128" s="24"/>
    </row>
    <row r="1129" spans="1:31" ht="22.2" customHeight="1" x14ac:dyDescent="0.3">
      <c r="A1129" s="159" t="str">
        <f>+IF(PROVEEDORES[[#This Row],[FECHA DE PAGO]]=PROVEEDORES[[#This Row],[FECHA DE FACTURACIÓN]],"DE CONTADO","CRÉDITO")</f>
        <v>CRÉDITO</v>
      </c>
      <c r="B1129" s="38" t="b">
        <f>+IF((PROVEEDORES[[#This Row],[FECHA DE PAGO]]-PROVEEDORES[[#This Row],[FECHA DE FACTURACIÓN]])&gt;PROVEEDORES[[#This Row],[PLAZO Días]],"PAGO VENCIDO")</f>
        <v>0</v>
      </c>
      <c r="C1129" s="20">
        <f>+VLOOKUP(PROVEEDORES[[#This Row],[PROVEEDOR]],TERCEROS_INFO[#All],2,FALSE)</f>
        <v>30</v>
      </c>
      <c r="D1129" s="25">
        <f>+SUMIFS(PROVEEDORES[Total],PROVEEDORES[PROVEEDOR],PROVEEDORES[[#This Row],[PROVEEDOR]],PROVEEDORES[FECHA DE PAGO],"")</f>
        <v>4595668.7</v>
      </c>
      <c r="E1129" s="25"/>
      <c r="F1129" s="58" t="str">
        <f>+VLOOKUP(PROVEEDORES[[#This Row],[PROVEEDOR]],
                       Terceros!$A:$F,
                       5,
                       FALSE)</f>
        <v/>
      </c>
      <c r="G1129" s="161">
        <v>44755</v>
      </c>
      <c r="H1129" s="26" t="s">
        <v>81</v>
      </c>
      <c r="I1129" s="161">
        <v>44741</v>
      </c>
      <c r="J1129" s="35">
        <v>8313</v>
      </c>
      <c r="K1129" s="21">
        <v>849316.78</v>
      </c>
      <c r="L1129" s="21"/>
      <c r="M1129" s="22">
        <f>(PROVEEDORES[[#This Row],[SUBTOTAL]]-PROVEEDORES[[#This Row],[descuento sobre subtotal]])*VLOOKUP(PROVEEDORES[[#This Row],[PROVEEDOR]],TERCEROS_INFO[#All],3,FALSE)</f>
        <v>161370.1882</v>
      </c>
      <c r="N1129" s="23"/>
      <c r="O1129" s="22">
        <f>+PROVEEDORES[[#This Row],[Descuento sobre subtotal %]]*(PROVEEDORES[[#This Row],[SUBTOTAL]]-PROVEEDORES[[#This Row],[descuento sobre subtotal]])</f>
        <v>0</v>
      </c>
      <c r="P1129" s="83">
        <f>+IF(PROVEEDORES[[#This Row],[SUBTOTAL]]&lt;PROVEEDORES[[#This Row],[base retencion]],0,PROVEEDORES[[#This Row],[retención aplicada]])</f>
        <v>0</v>
      </c>
      <c r="Q1129" s="22">
        <f>+PROVEEDORES[[#This Row],[Rete Fuente %]]*(PROVEEDORES[[#This Row],[SUBTOTAL]]-PROVEEDORES[[#This Row],[descuento sobre subtotal]])</f>
        <v>0</v>
      </c>
      <c r="R1129" s="21">
        <f>+PROVEEDORES[[#This Row],[SUBTOTAL]]+PROVEEDORES[[#This Row],[IVA 19%]]-PROVEEDORES[[#This Row],[descuento sobre subtotal]]-PROVEEDORES[[#This Row],[Descuento sobre subtotal $2]]-PROVEEDORES[[#This Row],[Rete Fuente $]]</f>
        <v>1010686.9682</v>
      </c>
      <c r="S112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68">
        <f ca="1">IF(PROVEEDORES[[#This Row],[FECHA DE PAGO]]=0,TODAY()-PROVEEDORES[[#This Row],[FECHA DE FACTURACIÓN]]-PROVEEDORES[[#This Row],[PLAZO Días]],0)</f>
        <v>0</v>
      </c>
      <c r="U1129" s="113" t="str">
        <f>+VLOOKUP(PROVEEDORES[[#This Row],[PROVEEDOR]],Terceros!$A:$D,4,FALSE)</f>
        <v>2,5% con base</v>
      </c>
      <c r="V1129" s="114">
        <f>+YEAR(PROVEEDORES[[#This Row],[FECHA DE FACTURACIÓN]])</f>
        <v>2022</v>
      </c>
      <c r="W1129" s="114">
        <f>+MATCH(PROVEEDORES[[#This Row],[año facturado]],Retenciones!$1:$1,0)</f>
        <v>5</v>
      </c>
      <c r="X1129" s="115">
        <f>+VLOOKUP(PROVEEDORES[[#This Row],[ID RETENCION]],Retenciones!$A$1:$O$25,PROVEEDORES[[#This Row],[indicador de columna]],FALSE)</f>
        <v>1026000</v>
      </c>
      <c r="Y1129" s="116">
        <f>+VLOOKUP(PROVEEDORES[[#This Row],[ID RETENCION]],Retenciones!$A$1:$O$25,2,FALSE)</f>
        <v>2.5000000000000001E-2</v>
      </c>
      <c r="Z1129" s="125" t="b">
        <f>OR(COUNTIF(PROVEEDORES[[#This Row],[PROVEEDOR]],"*"&amp;'Palabra no opera'!$A$2&amp;"*"))</f>
        <v>0</v>
      </c>
      <c r="AA1129" s="24"/>
      <c r="AB1129" s="24"/>
      <c r="AC1129" s="24"/>
      <c r="AD1129" s="24"/>
      <c r="AE1129" s="24"/>
    </row>
    <row r="1130" spans="1:31" ht="22.2" customHeight="1" x14ac:dyDescent="0.3">
      <c r="A1130" s="66" t="str">
        <f>+IF(PROVEEDORES[[#This Row],[FECHA DE PAGO]]=PROVEEDORES[[#This Row],[FECHA DE FACTURACIÓN]],"DE CONTADO","CRÉDITO")</f>
        <v>CRÉDITO</v>
      </c>
      <c r="B1130" s="38" t="b">
        <f>+IF((PROVEEDORES[[#This Row],[FECHA DE PAGO]]-PROVEEDORES[[#This Row],[FECHA DE FACTURACIÓN]])&gt;PROVEEDORES[[#This Row],[PLAZO Días]],"PAGO VENCIDO")</f>
        <v>0</v>
      </c>
      <c r="C1130" s="20">
        <f>+VLOOKUP(PROVEEDORES[[#This Row],[PROVEEDOR]],TERCEROS_INFO[#All],2,FALSE)</f>
        <v>30</v>
      </c>
      <c r="D1130" s="25">
        <f>+SUMIFS(PROVEEDORES[Total],PROVEEDORES[PROVEEDOR],PROVEEDORES[[#This Row],[PROVEEDOR]],PROVEEDORES[FECHA DE PAGO],"")</f>
        <v>4712021.58</v>
      </c>
      <c r="E1130" s="25"/>
      <c r="F113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30" s="161">
        <v>44461</v>
      </c>
      <c r="H1130" s="26" t="s">
        <v>17</v>
      </c>
      <c r="I1130" s="161">
        <v>44432</v>
      </c>
      <c r="J1130" s="35">
        <v>1803380</v>
      </c>
      <c r="K1130" s="21">
        <v>849915</v>
      </c>
      <c r="L1130" s="21"/>
      <c r="M1130" s="22">
        <f>(PROVEEDORES[[#This Row],[SUBTOTAL]]-PROVEEDORES[[#This Row],[descuento sobre subtotal]])*VLOOKUP(PROVEEDORES[[#This Row],[PROVEEDOR]],TERCEROS_INFO[#All],3,FALSE)</f>
        <v>161483.85</v>
      </c>
      <c r="N1130" s="23"/>
      <c r="O1130" s="22">
        <f>+PROVEEDORES[[#This Row],[Descuento sobre subtotal %]]*(PROVEEDORES[[#This Row],[SUBTOTAL]]-PROVEEDORES[[#This Row],[descuento sobre subtotal]])</f>
        <v>0</v>
      </c>
      <c r="P1130" s="83">
        <f>+IF(PROVEEDORES[[#This Row],[SUBTOTAL]]&lt;PROVEEDORES[[#This Row],[base retencion]],0,PROVEEDORES[[#This Row],[retención aplicada]])</f>
        <v>0</v>
      </c>
      <c r="Q1130" s="22">
        <f>+PROVEEDORES[[#This Row],[Rete Fuente %]]*(PROVEEDORES[[#This Row],[SUBTOTAL]]-PROVEEDORES[[#This Row],[descuento sobre subtotal]])</f>
        <v>0</v>
      </c>
      <c r="R1130" s="21">
        <f>+PROVEEDORES[[#This Row],[SUBTOTAL]]+PROVEEDORES[[#This Row],[IVA 19%]]-PROVEEDORES[[#This Row],[descuento sobre subtotal]]-PROVEEDORES[[#This Row],[Descuento sobre subtotal $2]]-PROVEEDORES[[#This Row],[Rete Fuente $]]</f>
        <v>1011398.85</v>
      </c>
      <c r="S11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68">
        <f ca="1">IF(PROVEEDORES[[#This Row],[FECHA DE PAGO]]=0,TODAY()-PROVEEDORES[[#This Row],[FECHA DE FACTURACIÓN]]-PROVEEDORES[[#This Row],[PLAZO Días]],0)</f>
        <v>0</v>
      </c>
      <c r="U1130" s="96">
        <f>+VLOOKUP(PROVEEDORES[[#This Row],[PROVEEDOR]],Terceros!$A:$D,4,FALSE)</f>
        <v>0</v>
      </c>
      <c r="V1130" s="97">
        <f>+YEAR(PROVEEDORES[[#This Row],[FECHA DE FACTURACIÓN]])</f>
        <v>2021</v>
      </c>
      <c r="W1130" s="97">
        <f>+MATCH(PROVEEDORES[[#This Row],[año facturado]],Retenciones!$1:$1,0)</f>
        <v>4</v>
      </c>
      <c r="X1130" s="98">
        <f>+VLOOKUP(PROVEEDORES[[#This Row],[ID RETENCION]],Retenciones!$A$1:$O$25,PROVEEDORES[[#This Row],[indicador de columna]],FALSE)</f>
        <v>0</v>
      </c>
      <c r="Y1130" s="99">
        <f>+VLOOKUP(PROVEEDORES[[#This Row],[ID RETENCION]],Retenciones!$A$1:$O$25,2,FALSE)</f>
        <v>0</v>
      </c>
      <c r="Z1130" s="125" t="b">
        <f>OR(COUNTIF(PROVEEDORES[[#This Row],[PROVEEDOR]],"*"&amp;'Palabra no opera'!$A$2&amp;"*"))</f>
        <v>0</v>
      </c>
      <c r="AA1130" s="24"/>
      <c r="AB1130" s="24"/>
      <c r="AC1130" s="24"/>
      <c r="AD1130" s="24"/>
      <c r="AE1130" s="24"/>
    </row>
    <row r="1131" spans="1:31" ht="22.2" customHeight="1" x14ac:dyDescent="0.3">
      <c r="A1131" s="66" t="str">
        <f>+IF(PROVEEDORES[[#This Row],[FECHA DE PAGO]]=PROVEEDORES[[#This Row],[FECHA DE FACTURACIÓN]],"DE CONTADO","CRÉDITO")</f>
        <v>CRÉDITO</v>
      </c>
      <c r="B1131" s="38" t="b">
        <f>+IF((PROVEEDORES[[#This Row],[FECHA DE PAGO]]-PROVEEDORES[[#This Row],[FECHA DE FACTURACIÓN]])&gt;PROVEEDORES[[#This Row],[PLAZO Días]],"PAGO VENCIDO")</f>
        <v>0</v>
      </c>
      <c r="C1131" s="20">
        <f>+VLOOKUP(PROVEEDORES[[#This Row],[PROVEEDOR]],TERCEROS_INFO[#All],2,FALSE)</f>
        <v>30</v>
      </c>
      <c r="D1131" s="25">
        <f>+SUMIFS(PROVEEDORES[Total],PROVEEDORES[PROVEEDOR],PROVEEDORES[[#This Row],[PROVEEDOR]],PROVEEDORES[FECHA DE PAGO],"")</f>
        <v>23124164.219999999</v>
      </c>
      <c r="E1131" s="25"/>
      <c r="F113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31" s="161">
        <v>44348</v>
      </c>
      <c r="H1131" s="26" t="s">
        <v>318</v>
      </c>
      <c r="I1131" s="161">
        <v>44320</v>
      </c>
      <c r="J1131" s="35">
        <v>1037460</v>
      </c>
      <c r="K1131" s="21">
        <v>850000</v>
      </c>
      <c r="L1131" s="21"/>
      <c r="M1131" s="22">
        <f>(PROVEEDORES[[#This Row],[SUBTOTAL]]-PROVEEDORES[[#This Row],[descuento sobre subtotal]])*VLOOKUP(PROVEEDORES[[#This Row],[PROVEEDOR]],TERCEROS_INFO[#All],3,FALSE)</f>
        <v>161500</v>
      </c>
      <c r="N1131" s="23"/>
      <c r="O1131" s="22">
        <f>+PROVEEDORES[[#This Row],[Descuento sobre subtotal %]]*(PROVEEDORES[[#This Row],[SUBTOTAL]]-PROVEEDORES[[#This Row],[descuento sobre subtotal]])</f>
        <v>0</v>
      </c>
      <c r="P1131" s="83">
        <f>+IF(PROVEEDORES[[#This Row],[SUBTOTAL]]&lt;PROVEEDORES[[#This Row],[base retencion]],0,PROVEEDORES[[#This Row],[retención aplicada]])</f>
        <v>0</v>
      </c>
      <c r="Q1131" s="22">
        <f>+PROVEEDORES[[#This Row],[Rete Fuente %]]*(PROVEEDORES[[#This Row],[SUBTOTAL]]-PROVEEDORES[[#This Row],[descuento sobre subtotal]])</f>
        <v>0</v>
      </c>
      <c r="R1131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68">
        <f ca="1">IF(PROVEEDORES[[#This Row],[FECHA DE PAGO]]=0,TODAY()-PROVEEDORES[[#This Row],[FECHA DE FACTURACIÓN]]-PROVEEDORES[[#This Row],[PLAZO Días]],0)</f>
        <v>0</v>
      </c>
      <c r="U1131" s="96" t="str">
        <f>+VLOOKUP(PROVEEDORES[[#This Row],[PROVEEDOR]],Terceros!$A:$D,4,FALSE)</f>
        <v>2,5% con base</v>
      </c>
      <c r="V1131" s="97">
        <f>+YEAR(PROVEEDORES[[#This Row],[FECHA DE FACTURACIÓN]])</f>
        <v>2021</v>
      </c>
      <c r="W1131" s="97">
        <f>+MATCH(PROVEEDORES[[#This Row],[año facturado]],Retenciones!$1:$1,0)</f>
        <v>4</v>
      </c>
      <c r="X1131" s="98">
        <f>+VLOOKUP(PROVEEDORES[[#This Row],[ID RETENCION]],Retenciones!$A$1:$O$25,PROVEEDORES[[#This Row],[indicador de columna]],FALSE)</f>
        <v>980000</v>
      </c>
      <c r="Y1131" s="99">
        <f>+VLOOKUP(PROVEEDORES[[#This Row],[ID RETENCION]],Retenciones!$A$1:$O$25,2,FALSE)</f>
        <v>2.5000000000000001E-2</v>
      </c>
      <c r="Z1131" s="125" t="b">
        <f>OR(COUNTIF(PROVEEDORES[[#This Row],[PROVEEDOR]],"*"&amp;'Palabra no opera'!$A$2&amp;"*"))</f>
        <v>0</v>
      </c>
      <c r="AA1131" s="24"/>
      <c r="AB1131" s="24"/>
      <c r="AC1131" s="24"/>
      <c r="AD1131" s="24"/>
      <c r="AE1131" s="24"/>
    </row>
    <row r="1132" spans="1:31" ht="22.2" customHeight="1" x14ac:dyDescent="0.3">
      <c r="A1132" s="66" t="str">
        <f>+IF(PROVEEDORES[[#This Row],[FECHA DE PAGO]]=PROVEEDORES[[#This Row],[FECHA DE FACTURACIÓN]],"DE CONTADO","CRÉDITO")</f>
        <v>CRÉDITO</v>
      </c>
      <c r="B1132" s="38" t="b">
        <f>+IF((PROVEEDORES[[#This Row],[FECHA DE PAGO]]-PROVEEDORES[[#This Row],[FECHA DE FACTURACIÓN]])&gt;PROVEEDORES[[#This Row],[PLAZO Días]],"PAGO VENCIDO")</f>
        <v>0</v>
      </c>
      <c r="C1132" s="20">
        <f>+VLOOKUP(PROVEEDORES[[#This Row],[PROVEEDOR]],TERCEROS_INFO[#All],2,FALSE)</f>
        <v>30</v>
      </c>
      <c r="D1132" s="25">
        <f>+SUMIFS(PROVEEDORES[Total],PROVEEDORES[PROVEEDOR],PROVEEDORES[[#This Row],[PROVEEDOR]],PROVEEDORES[FECHA DE PAGO],"")</f>
        <v>23124164.219999999</v>
      </c>
      <c r="E1132" s="25"/>
      <c r="F113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32" s="161">
        <v>44558</v>
      </c>
      <c r="H1132" s="26" t="s">
        <v>18</v>
      </c>
      <c r="I1132" s="161">
        <v>44532</v>
      </c>
      <c r="J1132" s="35">
        <v>1046842</v>
      </c>
      <c r="K1132" s="21">
        <v>850000</v>
      </c>
      <c r="L1132" s="21"/>
      <c r="M1132" s="22">
        <f>(PROVEEDORES[[#This Row],[SUBTOTAL]]-PROVEEDORES[[#This Row],[descuento sobre subtotal]])*VLOOKUP(PROVEEDORES[[#This Row],[PROVEEDOR]],TERCEROS_INFO[#All],3,FALSE)</f>
        <v>161500</v>
      </c>
      <c r="N1132" s="23"/>
      <c r="O1132" s="22">
        <f>+PROVEEDORES[[#This Row],[Descuento sobre subtotal %]]*(PROVEEDORES[[#This Row],[SUBTOTAL]]-PROVEEDORES[[#This Row],[descuento sobre subtotal]])</f>
        <v>0</v>
      </c>
      <c r="P1132" s="83">
        <f>+IF(PROVEEDORES[[#This Row],[SUBTOTAL]]&lt;PROVEEDORES[[#This Row],[base retencion]],0,PROVEEDORES[[#This Row],[retención aplicada]])</f>
        <v>0</v>
      </c>
      <c r="Q1132" s="22">
        <f>+PROVEEDORES[[#This Row],[Rete Fuente %]]*(PROVEEDORES[[#This Row],[SUBTOTAL]]-PROVEEDORES[[#This Row],[descuento sobre subtotal]])</f>
        <v>0</v>
      </c>
      <c r="R1132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68">
        <f ca="1">IF(PROVEEDORES[[#This Row],[FECHA DE PAGO]]=0,TODAY()-PROVEEDORES[[#This Row],[FECHA DE FACTURACIÓN]]-PROVEEDORES[[#This Row],[PLAZO Días]],0)</f>
        <v>0</v>
      </c>
      <c r="U1132" s="96" t="str">
        <f>+VLOOKUP(PROVEEDORES[[#This Row],[PROVEEDOR]],Terceros!$A:$D,4,FALSE)</f>
        <v>2,5% con base</v>
      </c>
      <c r="V1132" s="97">
        <f>+YEAR(PROVEEDORES[[#This Row],[FECHA DE FACTURACIÓN]])</f>
        <v>2021</v>
      </c>
      <c r="W1132" s="97">
        <f>+MATCH(PROVEEDORES[[#This Row],[año facturado]],Retenciones!$1:$1,0)</f>
        <v>4</v>
      </c>
      <c r="X1132" s="98">
        <f>+VLOOKUP(PROVEEDORES[[#This Row],[ID RETENCION]],Retenciones!$A$1:$O$25,PROVEEDORES[[#This Row],[indicador de columna]],FALSE)</f>
        <v>980000</v>
      </c>
      <c r="Y1132" s="99">
        <f>+VLOOKUP(PROVEEDORES[[#This Row],[ID RETENCION]],Retenciones!$A$1:$O$25,2,FALSE)</f>
        <v>2.5000000000000001E-2</v>
      </c>
      <c r="Z1132" s="125" t="b">
        <f>OR(COUNTIF(PROVEEDORES[[#This Row],[PROVEEDOR]],"*"&amp;'Palabra no opera'!$A$2&amp;"*"))</f>
        <v>0</v>
      </c>
      <c r="AA1132" s="24"/>
      <c r="AB1132" s="24"/>
      <c r="AC1132" s="24"/>
      <c r="AD1132" s="24"/>
      <c r="AE1132" s="24"/>
    </row>
    <row r="1133" spans="1:31" ht="22.2" customHeight="1" x14ac:dyDescent="0.3">
      <c r="A1133" s="66" t="str">
        <f>+IF(PROVEEDORES[[#This Row],[FECHA DE PAGO]]=PROVEEDORES[[#This Row],[FECHA DE FACTURACIÓN]],"DE CONTADO","CRÉDITO")</f>
        <v>CRÉDITO</v>
      </c>
      <c r="B1133" s="38" t="str">
        <f>+IF((PROVEEDORES[[#This Row],[FECHA DE PAGO]]-PROVEEDORES[[#This Row],[FECHA DE FACTURACIÓN]])&gt;PROVEEDORES[[#This Row],[PLAZO Días]],"PAGO VENCIDO")</f>
        <v>PAGO VENCIDO</v>
      </c>
      <c r="C1133" s="20">
        <f>+VLOOKUP(PROVEEDORES[[#This Row],[PROVEEDOR]],TERCEROS_INFO[#All],2,FALSE)</f>
        <v>30</v>
      </c>
      <c r="D1133" s="25">
        <f>+SUMIFS(PROVEEDORES[Total],PROVEEDORES[PROVEEDOR],PROVEEDORES[[#This Row],[PROVEEDOR]],PROVEEDORES[FECHA DE PAGO],"")</f>
        <v>23124164.219999999</v>
      </c>
      <c r="E1133" s="25"/>
      <c r="F113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33" s="161">
        <v>44684</v>
      </c>
      <c r="H1133" s="26" t="s">
        <v>18</v>
      </c>
      <c r="I1133" s="161">
        <v>44629</v>
      </c>
      <c r="J1133" s="35">
        <v>1050807</v>
      </c>
      <c r="K1133" s="21">
        <v>850000</v>
      </c>
      <c r="L1133" s="21"/>
      <c r="M1133" s="22">
        <f>(PROVEEDORES[[#This Row],[SUBTOTAL]]-PROVEEDORES[[#This Row],[descuento sobre subtotal]])*VLOOKUP(PROVEEDORES[[#This Row],[PROVEEDOR]],TERCEROS_INFO[#All],3,FALSE)</f>
        <v>161500</v>
      </c>
      <c r="N1133" s="23"/>
      <c r="O1133" s="22">
        <f>+PROVEEDORES[[#This Row],[Descuento sobre subtotal %]]*(PROVEEDORES[[#This Row],[SUBTOTAL]]-PROVEEDORES[[#This Row],[descuento sobre subtotal]])</f>
        <v>0</v>
      </c>
      <c r="P1133" s="83">
        <f>+IF(PROVEEDORES[[#This Row],[SUBTOTAL]]&lt;PROVEEDORES[[#This Row],[base retencion]],0,PROVEEDORES[[#This Row],[retención aplicada]])</f>
        <v>0</v>
      </c>
      <c r="Q1133" s="22">
        <f>+PROVEEDORES[[#This Row],[Rete Fuente %]]*(PROVEEDORES[[#This Row],[SUBTOTAL]]-PROVEEDORES[[#This Row],[descuento sobre subtotal]])</f>
        <v>0</v>
      </c>
      <c r="R1133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68">
        <f ca="1">IF(PROVEEDORES[[#This Row],[FECHA DE PAGO]]=0,TODAY()-PROVEEDORES[[#This Row],[FECHA DE FACTURACIÓN]]-PROVEEDORES[[#This Row],[PLAZO Días]],0)</f>
        <v>0</v>
      </c>
      <c r="U1133" s="96" t="str">
        <f>+VLOOKUP(PROVEEDORES[[#This Row],[PROVEEDOR]],Terceros!$A:$D,4,FALSE)</f>
        <v>2,5% con base</v>
      </c>
      <c r="V1133" s="97">
        <f>+YEAR(PROVEEDORES[[#This Row],[FECHA DE FACTURACIÓN]])</f>
        <v>2022</v>
      </c>
      <c r="W1133" s="97">
        <f>+MATCH(PROVEEDORES[[#This Row],[año facturado]],Retenciones!$1:$1,0)</f>
        <v>5</v>
      </c>
      <c r="X1133" s="98">
        <f>+VLOOKUP(PROVEEDORES[[#This Row],[ID RETENCION]],Retenciones!$A$1:$O$25,PROVEEDORES[[#This Row],[indicador de columna]],FALSE)</f>
        <v>1026000</v>
      </c>
      <c r="Y1133" s="99">
        <f>+VLOOKUP(PROVEEDORES[[#This Row],[ID RETENCION]],Retenciones!$A$1:$O$25,2,FALSE)</f>
        <v>2.5000000000000001E-2</v>
      </c>
      <c r="Z1133" s="125" t="b">
        <f>OR(COUNTIF(PROVEEDORES[[#This Row],[PROVEEDOR]],"*"&amp;'Palabra no opera'!$A$2&amp;"*"))</f>
        <v>0</v>
      </c>
      <c r="AA1133" s="24"/>
      <c r="AB1133" s="24"/>
      <c r="AC1133" s="24"/>
      <c r="AD1133" s="24"/>
      <c r="AE1133" s="24"/>
    </row>
    <row r="1134" spans="1:31" ht="22.2" customHeight="1" x14ac:dyDescent="0.3">
      <c r="A1134" s="66" t="str">
        <f>+IF(PROVEEDORES[[#This Row],[FECHA DE PAGO]]=PROVEEDORES[[#This Row],[FECHA DE FACTURACIÓN]],"DE CONTADO","CRÉDITO")</f>
        <v>CRÉDITO</v>
      </c>
      <c r="B1134" s="38" t="str">
        <f>+IF((PROVEEDORES[[#This Row],[FECHA DE PAGO]]-PROVEEDORES[[#This Row],[FECHA DE FACTURACIÓN]])&gt;PROVEEDORES[[#This Row],[PLAZO Días]],"PAGO VENCIDO")</f>
        <v>PAGO VENCIDO</v>
      </c>
      <c r="C1134" s="20">
        <f>+VLOOKUP(PROVEEDORES[[#This Row],[PROVEEDOR]],TERCEROS_INFO[#All],2,FALSE)</f>
        <v>30</v>
      </c>
      <c r="D1134" s="25">
        <f>+SUMIFS(PROVEEDORES[Total],PROVEEDORES[PROVEEDOR],PROVEEDORES[[#This Row],[PROVEEDOR]],PROVEEDORES[FECHA DE PAGO],"")</f>
        <v>401799.93</v>
      </c>
      <c r="E1134" s="25"/>
      <c r="F1134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134" s="161">
        <v>44498</v>
      </c>
      <c r="H1134" s="26" t="s">
        <v>508</v>
      </c>
      <c r="I1134" s="161">
        <v>44439</v>
      </c>
      <c r="J1134" s="35" t="s">
        <v>464</v>
      </c>
      <c r="K1134" s="21">
        <v>854457</v>
      </c>
      <c r="L1134" s="21"/>
      <c r="M1134" s="22">
        <f>(PROVEEDORES[[#This Row],[SUBTOTAL]]-PROVEEDORES[[#This Row],[descuento sobre subtotal]])*VLOOKUP(PROVEEDORES[[#This Row],[PROVEEDOR]],TERCEROS_INFO[#All],3,FALSE)</f>
        <v>162346.83000000002</v>
      </c>
      <c r="N1134" s="23"/>
      <c r="O1134" s="22">
        <f>+PROVEEDORES[[#This Row],[Descuento sobre subtotal %]]*(PROVEEDORES[[#This Row],[SUBTOTAL]]-PROVEEDORES[[#This Row],[descuento sobre subtotal]])</f>
        <v>0</v>
      </c>
      <c r="P1134" s="83">
        <f>+IF(PROVEEDORES[[#This Row],[SUBTOTAL]]&lt;PROVEEDORES[[#This Row],[base retencion]],0,PROVEEDORES[[#This Row],[retención aplicada]])</f>
        <v>0</v>
      </c>
      <c r="Q1134" s="22">
        <f>+PROVEEDORES[[#This Row],[Rete Fuente %]]*(PROVEEDORES[[#This Row],[SUBTOTAL]]-PROVEEDORES[[#This Row],[descuento sobre subtotal]])</f>
        <v>0</v>
      </c>
      <c r="R1134" s="21">
        <f>+PROVEEDORES[[#This Row],[SUBTOTAL]]+PROVEEDORES[[#This Row],[IVA 19%]]-PROVEEDORES[[#This Row],[descuento sobre subtotal]]-PROVEEDORES[[#This Row],[Descuento sobre subtotal $2]]-PROVEEDORES[[#This Row],[Rete Fuente $]]</f>
        <v>1016803.8300000001</v>
      </c>
      <c r="S11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68">
        <f ca="1">IF(PROVEEDORES[[#This Row],[FECHA DE PAGO]]=0,TODAY()-PROVEEDORES[[#This Row],[FECHA DE FACTURACIÓN]]-PROVEEDORES[[#This Row],[PLAZO Días]],0)</f>
        <v>0</v>
      </c>
      <c r="U1134" s="96" t="str">
        <f>+VLOOKUP(PROVEEDORES[[#This Row],[PROVEEDOR]],Terceros!$A:$D,4,FALSE)</f>
        <v>2,5% con base</v>
      </c>
      <c r="V1134" s="97">
        <f>+YEAR(PROVEEDORES[[#This Row],[FECHA DE FACTURACIÓN]])</f>
        <v>2021</v>
      </c>
      <c r="W1134" s="97">
        <f>+MATCH(PROVEEDORES[[#This Row],[año facturado]],Retenciones!$1:$1,0)</f>
        <v>4</v>
      </c>
      <c r="X1134" s="98">
        <f>+VLOOKUP(PROVEEDORES[[#This Row],[ID RETENCION]],Retenciones!$A$1:$O$25,PROVEEDORES[[#This Row],[indicador de columna]],FALSE)</f>
        <v>980000</v>
      </c>
      <c r="Y1134" s="99">
        <f>+VLOOKUP(PROVEEDORES[[#This Row],[ID RETENCION]],Retenciones!$A$1:$O$25,2,FALSE)</f>
        <v>2.5000000000000001E-2</v>
      </c>
      <c r="Z1134" s="125" t="b">
        <f>OR(COUNTIF(PROVEEDORES[[#This Row],[PROVEEDOR]],"*"&amp;'Palabra no opera'!$A$2&amp;"*"))</f>
        <v>0</v>
      </c>
      <c r="AA1134" s="24"/>
      <c r="AB1134" s="24"/>
      <c r="AC1134" s="24"/>
      <c r="AD1134" s="24"/>
      <c r="AE1134" s="24"/>
    </row>
    <row r="1135" spans="1:31" ht="22.2" customHeight="1" x14ac:dyDescent="0.3">
      <c r="A1135" s="72" t="str">
        <f>+IF(PROVEEDORES[[#This Row],[FECHA DE PAGO]]=PROVEEDORES[[#This Row],[FECHA DE FACTURACIÓN]],"DE CONTADO","CRÉDITO")</f>
        <v>CRÉDITO</v>
      </c>
      <c r="B1135" s="38" t="b">
        <f>+IF((PROVEEDORES[[#This Row],[FECHA DE PAGO]]-PROVEEDORES[[#This Row],[FECHA DE FACTURACIÓN]])&gt;PROVEEDORES[[#This Row],[PLAZO Días]],"PAGO VENCIDO")</f>
        <v>0</v>
      </c>
      <c r="C1135" s="20">
        <f>+VLOOKUP(PROVEEDORES[[#This Row],[PROVEEDOR]],TERCEROS_INFO[#All],2,FALSE)</f>
        <v>30</v>
      </c>
      <c r="D1135" s="25">
        <f>+SUMIFS(PROVEEDORES[Total],PROVEEDORES[PROVEEDOR],PROVEEDORES[[#This Row],[PROVEEDOR]],PROVEEDORES[FECHA DE PAGO],"")</f>
        <v>430000</v>
      </c>
      <c r="E1135" s="25"/>
      <c r="F1135" s="58" t="str">
        <f>+VLOOKUP(PROVEEDORES[[#This Row],[PROVEEDOR]],
                       Terceros!$A:$F,
                       5,
                       FALSE)</f>
        <v/>
      </c>
      <c r="G1135" s="161">
        <v>44733</v>
      </c>
      <c r="H1135" s="26" t="s">
        <v>695</v>
      </c>
      <c r="I1135" s="161">
        <v>44713</v>
      </c>
      <c r="J1135" s="35" t="s">
        <v>1075</v>
      </c>
      <c r="K1135" s="21">
        <v>1018500</v>
      </c>
      <c r="L1135" s="21"/>
      <c r="M1135" s="22">
        <f>(PROVEEDORES[[#This Row],[SUBTOTAL]]-PROVEEDORES[[#This Row],[descuento sobre subtotal]])*VLOOKUP(PROVEEDORES[[#This Row],[PROVEEDOR]],TERCEROS_INFO[#All],3,FALSE)</f>
        <v>0</v>
      </c>
      <c r="N1135" s="23"/>
      <c r="O1135" s="22">
        <f>+PROVEEDORES[[#This Row],[Descuento sobre subtotal %]]*(PROVEEDORES[[#This Row],[SUBTOTAL]]-PROVEEDORES[[#This Row],[descuento sobre subtotal]])</f>
        <v>0</v>
      </c>
      <c r="P1135" s="83">
        <f>+IF(PROVEEDORES[[#This Row],[SUBTOTAL]]&lt;PROVEEDORES[[#This Row],[base retencion]],0,PROVEEDORES[[#This Row],[retención aplicada]])</f>
        <v>0</v>
      </c>
      <c r="Q1135" s="22">
        <f>+PROVEEDORES[[#This Row],[Rete Fuente %]]*(PROVEEDORES[[#This Row],[SUBTOTAL]]-PROVEEDORES[[#This Row],[descuento sobre subtotal]])</f>
        <v>0</v>
      </c>
      <c r="R1135" s="21">
        <f>+PROVEEDORES[[#This Row],[SUBTOTAL]]+PROVEEDORES[[#This Row],[IVA 19%]]-PROVEEDORES[[#This Row],[descuento sobre subtotal]]-PROVEEDORES[[#This Row],[Descuento sobre subtotal $2]]-PROVEEDORES[[#This Row],[Rete Fuente $]]</f>
        <v>1018500</v>
      </c>
      <c r="S113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68">
        <f ca="1">IF(PROVEEDORES[[#This Row],[FECHA DE PAGO]]=0,TODAY()-PROVEEDORES[[#This Row],[FECHA DE FACTURACIÓN]]-PROVEEDORES[[#This Row],[PLAZO Días]],0)</f>
        <v>0</v>
      </c>
      <c r="U1135" s="113">
        <f>+VLOOKUP(PROVEEDORES[[#This Row],[PROVEEDOR]],Terceros!$A:$D,4,FALSE)</f>
        <v>0</v>
      </c>
      <c r="V1135" s="114">
        <f>+YEAR(PROVEEDORES[[#This Row],[FECHA DE FACTURACIÓN]])</f>
        <v>2022</v>
      </c>
      <c r="W1135" s="114">
        <f>+MATCH(PROVEEDORES[[#This Row],[año facturado]],Retenciones!$1:$1,0)</f>
        <v>5</v>
      </c>
      <c r="X1135" s="115">
        <f>+VLOOKUP(PROVEEDORES[[#This Row],[ID RETENCION]],Retenciones!$A$1:$O$25,PROVEEDORES[[#This Row],[indicador de columna]],FALSE)</f>
        <v>0</v>
      </c>
      <c r="Y1135" s="116">
        <f>+VLOOKUP(PROVEEDORES[[#This Row],[ID RETENCION]],Retenciones!$A$1:$O$25,2,FALSE)</f>
        <v>0</v>
      </c>
      <c r="Z1135" s="125" t="b">
        <f>OR(COUNTIF(PROVEEDORES[[#This Row],[PROVEEDOR]],"*"&amp;'Palabra no opera'!$A$2&amp;"*"))</f>
        <v>0</v>
      </c>
      <c r="AA1135" s="24"/>
      <c r="AB1135" s="24"/>
      <c r="AC1135" s="24"/>
      <c r="AD1135" s="24"/>
      <c r="AE1135" s="24"/>
    </row>
    <row r="1136" spans="1:31" ht="22.2" customHeight="1" x14ac:dyDescent="0.3">
      <c r="A1136" s="66" t="str">
        <f>+IF(PROVEEDORES[[#This Row],[FECHA DE PAGO]]=PROVEEDORES[[#This Row],[FECHA DE FACTURACIÓN]],"DE CONTADO","CRÉDITO")</f>
        <v>CRÉDITO</v>
      </c>
      <c r="B1136" s="38" t="str">
        <f>+IF((PROVEEDORES[[#This Row],[FECHA DE PAGO]]-PROVEEDORES[[#This Row],[FECHA DE FACTURACIÓN]])&gt;PROVEEDORES[[#This Row],[PLAZO Días]],"PAGO VENCIDO")</f>
        <v>PAGO VENCIDO</v>
      </c>
      <c r="C1136" s="20">
        <f>+VLOOKUP(PROVEEDORES[[#This Row],[PROVEEDOR]],TERCEROS_INFO[#All],2,FALSE)</f>
        <v>30</v>
      </c>
      <c r="D1136" s="25">
        <f>+SUMIFS(PROVEEDORES[Total],PROVEEDORES[PROVEEDOR],PROVEEDORES[[#This Row],[PROVEEDOR]],PROVEEDORES[FECHA DE PAGO],"")</f>
        <v>2318500</v>
      </c>
      <c r="E1136" s="25"/>
      <c r="F1136" s="58" t="str">
        <f>+VLOOKUP(PROVEEDORES[[#This Row],[PROVEEDOR]],
                       Terceros!$A:$F,
                       5,
                       FALSE)</f>
        <v/>
      </c>
      <c r="G1136" s="161">
        <v>44466</v>
      </c>
      <c r="H1136" s="26" t="s">
        <v>629</v>
      </c>
      <c r="I1136" s="161">
        <v>44425</v>
      </c>
      <c r="J1136" s="35" t="s">
        <v>1284</v>
      </c>
      <c r="K1136" s="21">
        <v>1019000</v>
      </c>
      <c r="L1136" s="21"/>
      <c r="M1136" s="22">
        <f>(PROVEEDORES[[#This Row],[SUBTOTAL]]-PROVEEDORES[[#This Row],[descuento sobre subtotal]])*VLOOKUP(PROVEEDORES[[#This Row],[PROVEEDOR]],TERCEROS_INFO[#All],3,FALSE)</f>
        <v>0</v>
      </c>
      <c r="N1136" s="23"/>
      <c r="O1136" s="22">
        <f>+PROVEEDORES[[#This Row],[Descuento sobre subtotal %]]*(PROVEEDORES[[#This Row],[SUBTOTAL]]-PROVEEDORES[[#This Row],[descuento sobre subtotal]])</f>
        <v>0</v>
      </c>
      <c r="P1136" s="83">
        <f>+IF(PROVEEDORES[[#This Row],[SUBTOTAL]]&lt;PROVEEDORES[[#This Row],[base retencion]],0,PROVEEDORES[[#This Row],[retención aplicada]])</f>
        <v>0</v>
      </c>
      <c r="Q1136" s="22">
        <f>+PROVEEDORES[[#This Row],[Rete Fuente %]]*(PROVEEDORES[[#This Row],[SUBTOTAL]]-PROVEEDORES[[#This Row],[descuento sobre subtotal]])</f>
        <v>0</v>
      </c>
      <c r="R1136" s="21">
        <f>+PROVEEDORES[[#This Row],[SUBTOTAL]]+PROVEEDORES[[#This Row],[IVA 19%]]-PROVEEDORES[[#This Row],[descuento sobre subtotal]]-PROVEEDORES[[#This Row],[Descuento sobre subtotal $2]]-PROVEEDORES[[#This Row],[Rete Fuente $]]</f>
        <v>1019000</v>
      </c>
      <c r="S11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68">
        <f ca="1">IF(PROVEEDORES[[#This Row],[FECHA DE PAGO]]=0,TODAY()-PROVEEDORES[[#This Row],[FECHA DE FACTURACIÓN]]-PROVEEDORES[[#This Row],[PLAZO Días]],0)</f>
        <v>0</v>
      </c>
      <c r="U1136" s="96">
        <f>+VLOOKUP(PROVEEDORES[[#This Row],[PROVEEDOR]],Terceros!$A:$D,4,FALSE)</f>
        <v>0</v>
      </c>
      <c r="V1136" s="97">
        <f>+YEAR(PROVEEDORES[[#This Row],[FECHA DE FACTURACIÓN]])</f>
        <v>2021</v>
      </c>
      <c r="W1136" s="97">
        <f>+MATCH(PROVEEDORES[[#This Row],[año facturado]],Retenciones!$1:$1,0)</f>
        <v>4</v>
      </c>
      <c r="X1136" s="98">
        <f>+VLOOKUP(PROVEEDORES[[#This Row],[ID RETENCION]],Retenciones!$A$1:$O$25,PROVEEDORES[[#This Row],[indicador de columna]],FALSE)</f>
        <v>0</v>
      </c>
      <c r="Y1136" s="99">
        <f>+VLOOKUP(PROVEEDORES[[#This Row],[ID RETENCION]],Retenciones!$A$1:$O$25,2,FALSE)</f>
        <v>0</v>
      </c>
      <c r="Z1136" s="125" t="b">
        <f>OR(COUNTIF(PROVEEDORES[[#This Row],[PROVEEDOR]],"*"&amp;'Palabra no opera'!$A$2&amp;"*"))</f>
        <v>0</v>
      </c>
      <c r="AA1136" s="24"/>
      <c r="AB1136" s="24"/>
      <c r="AC1136" s="24"/>
      <c r="AD1136" s="24"/>
      <c r="AE1136" s="24"/>
    </row>
    <row r="1137" spans="1:31" ht="22.2" customHeight="1" x14ac:dyDescent="0.3">
      <c r="A1137" s="207" t="str">
        <f>+IF(PROVEEDORES[[#This Row],[FECHA DE PAGO]]=PROVEEDORES[[#This Row],[FECHA DE FACTURACIÓN]],"DE CONTADO","CRÉDITO")</f>
        <v>CRÉDITO</v>
      </c>
      <c r="B1137" s="38" t="b">
        <f>+IF((PROVEEDORES[[#This Row],[FECHA DE PAGO]]-PROVEEDORES[[#This Row],[FECHA DE FACTURACIÓN]])&gt;PROVEEDORES[[#This Row],[PLAZO Días]],"PAGO VENCIDO")</f>
        <v>0</v>
      </c>
      <c r="C1137" s="20">
        <f>+VLOOKUP(PROVEEDORES[[#This Row],[PROVEEDOR]],TERCEROS_INFO[#All],2,FALSE)</f>
        <v>90</v>
      </c>
      <c r="D1137" s="25">
        <f>+SUMIFS(PROVEEDORES[Total],PROVEEDORES[PROVEEDOR],PROVEEDORES[[#This Row],[PROVEEDOR]],PROVEEDORES[FECHA DE PAGO],"")</f>
        <v>26350422.770000003</v>
      </c>
      <c r="E1137" s="25"/>
      <c r="F113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1137" s="26" t="s">
        <v>12</v>
      </c>
      <c r="I1137" s="161">
        <v>44795</v>
      </c>
      <c r="J1137" s="35" t="s">
        <v>1446</v>
      </c>
      <c r="K1137" s="21">
        <v>856305</v>
      </c>
      <c r="L1137" s="21"/>
      <c r="M1137" s="22">
        <f>(PROVEEDORES[[#This Row],[SUBTOTAL]]-PROVEEDORES[[#This Row],[descuento sobre subtotal]])*VLOOKUP(PROVEEDORES[[#This Row],[PROVEEDOR]],TERCEROS_INFO[#All],3,FALSE)</f>
        <v>162697.95000000001</v>
      </c>
      <c r="N1137" s="23"/>
      <c r="O1137" s="22">
        <f>+PROVEEDORES[[#This Row],[Descuento sobre subtotal %]]*(PROVEEDORES[[#This Row],[SUBTOTAL]]-PROVEEDORES[[#This Row],[descuento sobre subtotal]])</f>
        <v>0</v>
      </c>
      <c r="P1137" s="83">
        <f>+IF(PROVEEDORES[[#This Row],[SUBTOTAL]]&lt;PROVEEDORES[[#This Row],[base retencion]],0,PROVEEDORES[[#This Row],[retención aplicada]])</f>
        <v>0</v>
      </c>
      <c r="Q1137" s="22">
        <f>+PROVEEDORES[[#This Row],[Rete Fuente %]]*(PROVEEDORES[[#This Row],[SUBTOTAL]]-PROVEEDORES[[#This Row],[descuento sobre subtotal]])</f>
        <v>0</v>
      </c>
      <c r="R1137" s="21">
        <f>+PROVEEDORES[[#This Row],[SUBTOTAL]]+PROVEEDORES[[#This Row],[IVA 19%]]-PROVEEDORES[[#This Row],[descuento sobre subtotal]]-PROVEEDORES[[#This Row],[Descuento sobre subtotal $2]]-PROVEEDORES[[#This Row],[Rete Fuente $]]</f>
        <v>1019002.95</v>
      </c>
      <c r="S1137" s="2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137" s="68">
        <f ca="1">IF(PROVEEDORES[[#This Row],[FECHA DE PAGO]]=0,TODAY()-PROVEEDORES[[#This Row],[FECHA DE FACTURACIÓN]]-PROVEEDORES[[#This Row],[PLAZO Días]],0)</f>
        <v>-10</v>
      </c>
      <c r="U1137" s="113" t="str">
        <f>+VLOOKUP(PROVEEDORES[[#This Row],[PROVEEDOR]],Terceros!$A:$D,4,FALSE)</f>
        <v>2,5% con base</v>
      </c>
      <c r="V1137" s="114">
        <f>+YEAR(PROVEEDORES[[#This Row],[FECHA DE FACTURACIÓN]])</f>
        <v>2022</v>
      </c>
      <c r="W1137" s="114">
        <f>+MATCH(PROVEEDORES[[#This Row],[año facturado]],Retenciones!$1:$1,0)</f>
        <v>5</v>
      </c>
      <c r="X1137" s="115">
        <f>+VLOOKUP(PROVEEDORES[[#This Row],[ID RETENCION]],Retenciones!$A$1:$O$25,PROVEEDORES[[#This Row],[indicador de columna]],FALSE)</f>
        <v>1026000</v>
      </c>
      <c r="Y1137" s="116">
        <f>+VLOOKUP(PROVEEDORES[[#This Row],[ID RETENCION]],Retenciones!$A$1:$O$25,2,FALSE)</f>
        <v>2.5000000000000001E-2</v>
      </c>
      <c r="Z1137" s="125" t="b">
        <f>OR(COUNTIF(PROVEEDORES[[#This Row],[PROVEEDOR]],"*"&amp;'Palabra no opera'!$A$2&amp;"*"))</f>
        <v>0</v>
      </c>
      <c r="AA1137" s="24"/>
      <c r="AB1137" s="24"/>
      <c r="AC1137" s="24"/>
      <c r="AD1137" s="24"/>
      <c r="AE1137" s="24"/>
    </row>
    <row r="1138" spans="1:31" ht="22.2" customHeight="1" x14ac:dyDescent="0.3">
      <c r="A1138" s="159" t="str">
        <f>+IF(PROVEEDORES[[#This Row],[FECHA DE PAGO]]=PROVEEDORES[[#This Row],[FECHA DE FACTURACIÓN]],"DE CONTADO","CRÉDITO")</f>
        <v>CRÉDITO</v>
      </c>
      <c r="B1138" s="38" t="str">
        <f>+IF((PROVEEDORES[[#This Row],[FECHA DE PAGO]]-PROVEEDORES[[#This Row],[FECHA DE FACTURACIÓN]])&gt;PROVEEDORES[[#This Row],[PLAZO Días]],"PAGO VENCIDO")</f>
        <v>PAGO VENCIDO</v>
      </c>
      <c r="C1138" s="20">
        <f>+VLOOKUP(PROVEEDORES[[#This Row],[PROVEEDOR]],TERCEROS_INFO[#All],2,FALSE)</f>
        <v>30</v>
      </c>
      <c r="D1138" s="25">
        <f>+SUMIFS(PROVEEDORES[Total],PROVEEDORES[PROVEEDOR],PROVEEDORES[[#This Row],[PROVEEDOR]],PROVEEDORES[FECHA DE PAGO],"")</f>
        <v>3236000</v>
      </c>
      <c r="E1138" s="25"/>
      <c r="F113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38" s="161">
        <v>44756</v>
      </c>
      <c r="H1138" s="26" t="s">
        <v>677</v>
      </c>
      <c r="I1138" s="161">
        <v>44725</v>
      </c>
      <c r="J1138" s="35" t="s">
        <v>1068</v>
      </c>
      <c r="K1138" s="21">
        <v>1020000</v>
      </c>
      <c r="L1138" s="21"/>
      <c r="M1138" s="22">
        <f>(PROVEEDORES[[#This Row],[SUBTOTAL]]-PROVEEDORES[[#This Row],[descuento sobre subtotal]])*VLOOKUP(PROVEEDORES[[#This Row],[PROVEEDOR]],TERCEROS_INFO[#All],3,FALSE)</f>
        <v>0</v>
      </c>
      <c r="N1138" s="23"/>
      <c r="O1138" s="22">
        <f>+PROVEEDORES[[#This Row],[Descuento sobre subtotal %]]*(PROVEEDORES[[#This Row],[SUBTOTAL]]-PROVEEDORES[[#This Row],[descuento sobre subtotal]])</f>
        <v>0</v>
      </c>
      <c r="P1138" s="83">
        <f>+IF(PROVEEDORES[[#This Row],[SUBTOTAL]]&lt;PROVEEDORES[[#This Row],[base retencion]],0,PROVEEDORES[[#This Row],[retención aplicada]])</f>
        <v>0</v>
      </c>
      <c r="Q1138" s="22">
        <f>+PROVEEDORES[[#This Row],[Rete Fuente %]]*(PROVEEDORES[[#This Row],[SUBTOTAL]]-PROVEEDORES[[#This Row],[descuento sobre subtotal]])</f>
        <v>0</v>
      </c>
      <c r="R1138" s="21">
        <f>+PROVEEDORES[[#This Row],[SUBTOTAL]]+PROVEEDORES[[#This Row],[IVA 19%]]-PROVEEDORES[[#This Row],[descuento sobre subtotal]]-PROVEEDORES[[#This Row],[Descuento sobre subtotal $2]]-PROVEEDORES[[#This Row],[Rete Fuente $]]</f>
        <v>1020000</v>
      </c>
      <c r="S1138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68">
        <f ca="1">IF(PROVEEDORES[[#This Row],[FECHA DE PAGO]]=0,TODAY()-PROVEEDORES[[#This Row],[FECHA DE FACTURACIÓN]]-PROVEEDORES[[#This Row],[PLAZO Días]],0)</f>
        <v>0</v>
      </c>
      <c r="U1138" s="113">
        <f>+VLOOKUP(PROVEEDORES[[#This Row],[PROVEEDOR]],Terceros!$A:$D,4,FALSE)</f>
        <v>0</v>
      </c>
      <c r="V1138" s="114">
        <f>+YEAR(PROVEEDORES[[#This Row],[FECHA DE FACTURACIÓN]])</f>
        <v>2022</v>
      </c>
      <c r="W1138" s="114">
        <f>+MATCH(PROVEEDORES[[#This Row],[año facturado]],Retenciones!$1:$1,0)</f>
        <v>5</v>
      </c>
      <c r="X1138" s="115">
        <f>+VLOOKUP(PROVEEDORES[[#This Row],[ID RETENCION]],Retenciones!$A$1:$O$25,PROVEEDORES[[#This Row],[indicador de columna]],FALSE)</f>
        <v>0</v>
      </c>
      <c r="Y1138" s="116">
        <f>+VLOOKUP(PROVEEDORES[[#This Row],[ID RETENCION]],Retenciones!$A$1:$O$25,2,FALSE)</f>
        <v>0</v>
      </c>
      <c r="Z1138" s="125" t="b">
        <f>OR(COUNTIF(PROVEEDORES[[#This Row],[PROVEEDOR]],"*"&amp;'Palabra no opera'!$A$2&amp;"*"))</f>
        <v>0</v>
      </c>
      <c r="AA1138" s="24"/>
      <c r="AB1138" s="24"/>
      <c r="AC1138" s="24"/>
      <c r="AD1138" s="24"/>
      <c r="AE1138" s="24"/>
    </row>
    <row r="1139" spans="1:31" ht="22.2" customHeight="1" x14ac:dyDescent="0.3">
      <c r="A1139" s="193" t="str">
        <f>+IF(PROVEEDORES[[#This Row],[FECHA DE PAGO]]=PROVEEDORES[[#This Row],[FECHA DE FACTURACIÓN]],"DE CONTADO","CRÉDITO")</f>
        <v>CRÉDITO</v>
      </c>
      <c r="B1139" s="38" t="b">
        <f>+IF((PROVEEDORES[[#This Row],[FECHA DE PAGO]]-PROVEEDORES[[#This Row],[FECHA DE FACTURACIÓN]])&gt;PROVEEDORES[[#This Row],[PLAZO Días]],"PAGO VENCIDO")</f>
        <v>0</v>
      </c>
      <c r="C1139" s="20">
        <f>+VLOOKUP(PROVEEDORES[[#This Row],[PROVEEDOR]],TERCEROS_INFO[#All],2,FALSE)</f>
        <v>30</v>
      </c>
      <c r="D1139" s="25">
        <f>+SUMIFS(PROVEEDORES[Total],PROVEEDORES[PROVEEDOR],PROVEEDORES[[#This Row],[PROVEEDOR]],PROVEEDORES[FECHA DE PAGO],"")</f>
        <v>0</v>
      </c>
      <c r="E1139" s="25"/>
      <c r="F1139" s="58" t="str">
        <f>+VLOOKUP(PROVEEDORES[[#This Row],[PROVEEDOR]],
                       Terceros!$A:$F,
                       5,
                       FALSE)</f>
        <v/>
      </c>
      <c r="G1139" s="161">
        <v>44778</v>
      </c>
      <c r="H1139" s="26" t="s">
        <v>1130</v>
      </c>
      <c r="I1139" s="161">
        <v>44768</v>
      </c>
      <c r="J1139" s="35" t="s">
        <v>1158</v>
      </c>
      <c r="K1139" s="21">
        <f>588603+(100*4330)</f>
        <v>1021603</v>
      </c>
      <c r="L1139" s="21"/>
      <c r="M1139" s="22">
        <f>(PROVEEDORES[[#This Row],[SUBTOTAL]]-PROVEEDORES[[#This Row],[descuento sobre subtotal]])*VLOOKUP(PROVEEDORES[[#This Row],[PROVEEDOR]],TERCEROS_INFO[#All],3,FALSE)</f>
        <v>0</v>
      </c>
      <c r="N1139" s="23"/>
      <c r="O1139" s="22">
        <f>+PROVEEDORES[[#This Row],[Descuento sobre subtotal %]]*(PROVEEDORES[[#This Row],[SUBTOTAL]]-PROVEEDORES[[#This Row],[descuento sobre subtotal]])</f>
        <v>0</v>
      </c>
      <c r="P1139" s="83">
        <f>+IF(PROVEEDORES[[#This Row],[SUBTOTAL]]&lt;PROVEEDORES[[#This Row],[base retencion]],0,PROVEEDORES[[#This Row],[retención aplicada]])</f>
        <v>0</v>
      </c>
      <c r="Q1139" s="22">
        <f>+PROVEEDORES[[#This Row],[Rete Fuente %]]*(PROVEEDORES[[#This Row],[SUBTOTAL]]-PROVEEDORES[[#This Row],[descuento sobre subtotal]])</f>
        <v>0</v>
      </c>
      <c r="R1139" s="21">
        <f>+PROVEEDORES[[#This Row],[SUBTOTAL]]+PROVEEDORES[[#This Row],[IVA 19%]]-PROVEEDORES[[#This Row],[descuento sobre subtotal]]-PROVEEDORES[[#This Row],[Descuento sobre subtotal $2]]-PROVEEDORES[[#This Row],[Rete Fuente $]]</f>
        <v>1021603</v>
      </c>
      <c r="S1139" s="1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68">
        <f ca="1">IF(PROVEEDORES[[#This Row],[FECHA DE PAGO]]=0,TODAY()-PROVEEDORES[[#This Row],[FECHA DE FACTURACIÓN]]-PROVEEDORES[[#This Row],[PLAZO Días]],0)</f>
        <v>0</v>
      </c>
      <c r="U1139" s="113">
        <f>+VLOOKUP(PROVEEDORES[[#This Row],[PROVEEDOR]],Terceros!$A:$D,4,FALSE)</f>
        <v>0</v>
      </c>
      <c r="V1139" s="114">
        <f>+YEAR(PROVEEDORES[[#This Row],[FECHA DE FACTURACIÓN]])</f>
        <v>2022</v>
      </c>
      <c r="W1139" s="114">
        <f>+MATCH(PROVEEDORES[[#This Row],[año facturado]],Retenciones!$1:$1,0)</f>
        <v>5</v>
      </c>
      <c r="X1139" s="115">
        <f>+VLOOKUP(PROVEEDORES[[#This Row],[ID RETENCION]],Retenciones!$A$1:$O$25,PROVEEDORES[[#This Row],[indicador de columna]],FALSE)</f>
        <v>0</v>
      </c>
      <c r="Y1139" s="116">
        <f>+VLOOKUP(PROVEEDORES[[#This Row],[ID RETENCION]],Retenciones!$A$1:$O$25,2,FALSE)</f>
        <v>0</v>
      </c>
      <c r="Z1139" s="125" t="b">
        <f>OR(COUNTIF(PROVEEDORES[[#This Row],[PROVEEDOR]],"*"&amp;'Palabra no opera'!$A$2&amp;"*"))</f>
        <v>1</v>
      </c>
      <c r="AA1139" s="24"/>
      <c r="AB1139" s="24"/>
      <c r="AC1139" s="24"/>
      <c r="AD1139" s="24"/>
      <c r="AE1139" s="24"/>
    </row>
    <row r="1140" spans="1:31" ht="22.2" customHeight="1" x14ac:dyDescent="0.3">
      <c r="A1140" s="66" t="str">
        <f>+IF(PROVEEDORES[[#This Row],[FECHA DE PAGO]]=PROVEEDORES[[#This Row],[FECHA DE FACTURACIÓN]],"DE CONTADO","CRÉDITO")</f>
        <v>CRÉDITO</v>
      </c>
      <c r="B1140" s="38" t="b">
        <f>+IF((PROVEEDORES[[#This Row],[FECHA DE PAGO]]-PROVEEDORES[[#This Row],[FECHA DE FACTURACIÓN]])&gt;PROVEEDORES[[#This Row],[PLAZO Días]],"PAGO VENCIDO")</f>
        <v>0</v>
      </c>
      <c r="C1140" s="20">
        <f>+VLOOKUP(PROVEEDORES[[#This Row],[PROVEEDOR]],TERCEROS_INFO[#All],2,FALSE)</f>
        <v>30</v>
      </c>
      <c r="D1140" s="25">
        <f>+SUMIFS(PROVEEDORES[Total],PROVEEDORES[PROVEEDOR],PROVEEDORES[[#This Row],[PROVEEDOR]],PROVEEDORES[FECHA DE PAGO],"")</f>
        <v>430000</v>
      </c>
      <c r="E1140" s="25"/>
      <c r="F1140" s="58" t="str">
        <f>+VLOOKUP(PROVEEDORES[[#This Row],[PROVEEDOR]],
                       Terceros!$A:$F,
                       5,
                       FALSE)</f>
        <v/>
      </c>
      <c r="G1140" s="161">
        <v>44428</v>
      </c>
      <c r="H1140" s="26" t="s">
        <v>695</v>
      </c>
      <c r="I1140" s="161">
        <v>44423</v>
      </c>
      <c r="J1140" s="35" t="s">
        <v>1283</v>
      </c>
      <c r="K1140" s="21">
        <v>1026700</v>
      </c>
      <c r="L1140" s="21"/>
      <c r="M1140" s="22">
        <f>(PROVEEDORES[[#This Row],[SUBTOTAL]]-PROVEEDORES[[#This Row],[descuento sobre subtotal]])*VLOOKUP(PROVEEDORES[[#This Row],[PROVEEDOR]],TERCEROS_INFO[#All],3,FALSE)</f>
        <v>0</v>
      </c>
      <c r="N1140" s="23"/>
      <c r="O1140" s="22">
        <f>+PROVEEDORES[[#This Row],[Descuento sobre subtotal %]]*(PROVEEDORES[[#This Row],[SUBTOTAL]]-PROVEEDORES[[#This Row],[descuento sobre subtotal]])</f>
        <v>0</v>
      </c>
      <c r="P1140" s="83">
        <f>+IF(PROVEEDORES[[#This Row],[SUBTOTAL]]&lt;PROVEEDORES[[#This Row],[base retencion]],0,PROVEEDORES[[#This Row],[retención aplicada]])</f>
        <v>0</v>
      </c>
      <c r="Q1140" s="22">
        <f>+PROVEEDORES[[#This Row],[Rete Fuente %]]*(PROVEEDORES[[#This Row],[SUBTOTAL]]-PROVEEDORES[[#This Row],[descuento sobre subtotal]])</f>
        <v>0</v>
      </c>
      <c r="R1140" s="21">
        <f>+PROVEEDORES[[#This Row],[SUBTOTAL]]+PROVEEDORES[[#This Row],[IVA 19%]]-PROVEEDORES[[#This Row],[descuento sobre subtotal]]-PROVEEDORES[[#This Row],[Descuento sobre subtotal $2]]-PROVEEDORES[[#This Row],[Rete Fuente $]]</f>
        <v>1026700</v>
      </c>
      <c r="S11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68">
        <f ca="1">IF(PROVEEDORES[[#This Row],[FECHA DE PAGO]]=0,TODAY()-PROVEEDORES[[#This Row],[FECHA DE FACTURACIÓN]]-PROVEEDORES[[#This Row],[PLAZO Días]],0)</f>
        <v>0</v>
      </c>
      <c r="U1140" s="96">
        <f>+VLOOKUP(PROVEEDORES[[#This Row],[PROVEEDOR]],Terceros!$A:$D,4,FALSE)</f>
        <v>0</v>
      </c>
      <c r="V1140" s="97">
        <f>+YEAR(PROVEEDORES[[#This Row],[FECHA DE FACTURACIÓN]])</f>
        <v>2021</v>
      </c>
      <c r="W1140" s="97">
        <f>+MATCH(PROVEEDORES[[#This Row],[año facturado]],Retenciones!$1:$1,0)</f>
        <v>4</v>
      </c>
      <c r="X1140" s="98">
        <f>+VLOOKUP(PROVEEDORES[[#This Row],[ID RETENCION]],Retenciones!$A$1:$O$25,PROVEEDORES[[#This Row],[indicador de columna]],FALSE)</f>
        <v>0</v>
      </c>
      <c r="Y1140" s="99">
        <f>+VLOOKUP(PROVEEDORES[[#This Row],[ID RETENCION]],Retenciones!$A$1:$O$25,2,FALSE)</f>
        <v>0</v>
      </c>
      <c r="Z1140" s="125" t="b">
        <f>OR(COUNTIF(PROVEEDORES[[#This Row],[PROVEEDOR]],"*"&amp;'Palabra no opera'!$A$2&amp;"*"))</f>
        <v>0</v>
      </c>
      <c r="AA1140" s="24"/>
      <c r="AB1140" s="24"/>
      <c r="AC1140" s="24"/>
      <c r="AD1140" s="24"/>
      <c r="AE1140" s="24"/>
    </row>
    <row r="1141" spans="1:31" ht="22.2" customHeight="1" x14ac:dyDescent="0.3">
      <c r="A1141" s="66" t="str">
        <f>+IF(PROVEEDORES[[#This Row],[FECHA DE PAGO]]=PROVEEDORES[[#This Row],[FECHA DE FACTURACIÓN]],"DE CONTADO","CRÉDITO")</f>
        <v>CRÉDITO</v>
      </c>
      <c r="B1141" s="38" t="str">
        <f>+IF((PROVEEDORES[[#This Row],[FECHA DE PAGO]]-PROVEEDORES[[#This Row],[FECHA DE FACTURACIÓN]])&gt;PROVEEDORES[[#This Row],[PLAZO Días]],"PAGO VENCIDO")</f>
        <v>PAGO VENCIDO</v>
      </c>
      <c r="C1141" s="20">
        <f>+VLOOKUP(PROVEEDORES[[#This Row],[PROVEEDOR]],TERCEROS_INFO[#All],2,FALSE)</f>
        <v>45</v>
      </c>
      <c r="D1141" s="25">
        <f>+SUMIFS(PROVEEDORES[Total],PROVEEDORES[PROVEEDOR],PROVEEDORES[[#This Row],[PROVEEDOR]],PROVEEDORES[FECHA DE PAGO],"")</f>
        <v>2604910</v>
      </c>
      <c r="E1141" s="25"/>
      <c r="F114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41" s="161">
        <v>44342</v>
      </c>
      <c r="H1141" s="26" t="s">
        <v>10</v>
      </c>
      <c r="I1141" s="161">
        <v>44257</v>
      </c>
      <c r="J1141" s="35" t="s">
        <v>231</v>
      </c>
      <c r="K1141" s="21">
        <v>864000</v>
      </c>
      <c r="L1141" s="21"/>
      <c r="M1141" s="22">
        <f>(PROVEEDORES[[#This Row],[SUBTOTAL]]-PROVEEDORES[[#This Row],[descuento sobre subtotal]])*VLOOKUP(PROVEEDORES[[#This Row],[PROVEEDOR]],TERCEROS_INFO[#All],3,FALSE)</f>
        <v>164160</v>
      </c>
      <c r="N1141" s="23"/>
      <c r="O1141" s="22">
        <f>+PROVEEDORES[[#This Row],[Descuento sobre subtotal %]]*(PROVEEDORES[[#This Row],[SUBTOTAL]]-PROVEEDORES[[#This Row],[descuento sobre subtotal]])</f>
        <v>0</v>
      </c>
      <c r="P1141" s="83">
        <f>+IF(PROVEEDORES[[#This Row],[SUBTOTAL]]&lt;PROVEEDORES[[#This Row],[base retencion]],0,PROVEEDORES[[#This Row],[retención aplicada]])</f>
        <v>0</v>
      </c>
      <c r="Q1141" s="22">
        <f>+PROVEEDORES[[#This Row],[Rete Fuente %]]*(PROVEEDORES[[#This Row],[SUBTOTAL]]-PROVEEDORES[[#This Row],[descuento sobre subtotal]])</f>
        <v>0</v>
      </c>
      <c r="R1141" s="21">
        <f>+PROVEEDORES[[#This Row],[SUBTOTAL]]+PROVEEDORES[[#This Row],[IVA 19%]]-PROVEEDORES[[#This Row],[descuento sobre subtotal]]-PROVEEDORES[[#This Row],[Descuento sobre subtotal $2]]-PROVEEDORES[[#This Row],[Rete Fuente $]]</f>
        <v>1028160</v>
      </c>
      <c r="S11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1" s="68">
        <f ca="1">IF(PROVEEDORES[[#This Row],[FECHA DE PAGO]]=0,TODAY()-PROVEEDORES[[#This Row],[FECHA DE FACTURACIÓN]]-PROVEEDORES[[#This Row],[PLAZO Días]],0)</f>
        <v>0</v>
      </c>
      <c r="U1141" s="96">
        <f>+VLOOKUP(PROVEEDORES[[#This Row],[PROVEEDOR]],Terceros!$A:$D,4,FALSE)</f>
        <v>0</v>
      </c>
      <c r="V1141" s="97">
        <f>+YEAR(PROVEEDORES[[#This Row],[FECHA DE FACTURACIÓN]])</f>
        <v>2021</v>
      </c>
      <c r="W1141" s="97">
        <f>+MATCH(PROVEEDORES[[#This Row],[año facturado]],Retenciones!$1:$1,0)</f>
        <v>4</v>
      </c>
      <c r="X1141" s="98">
        <f>+VLOOKUP(PROVEEDORES[[#This Row],[ID RETENCION]],Retenciones!$A$1:$O$25,PROVEEDORES[[#This Row],[indicador de columna]],FALSE)</f>
        <v>0</v>
      </c>
      <c r="Y1141" s="99">
        <f>+VLOOKUP(PROVEEDORES[[#This Row],[ID RETENCION]],Retenciones!$A$1:$O$25,2,FALSE)</f>
        <v>0</v>
      </c>
      <c r="Z1141" s="125" t="b">
        <f>OR(COUNTIF(PROVEEDORES[[#This Row],[PROVEEDOR]],"*"&amp;'Palabra no opera'!$A$2&amp;"*"))</f>
        <v>0</v>
      </c>
      <c r="AA1141" s="24"/>
      <c r="AB1141" s="24"/>
      <c r="AC1141" s="24"/>
      <c r="AD1141" s="24"/>
      <c r="AE1141" s="24"/>
    </row>
    <row r="1142" spans="1:31" ht="22.2" customHeight="1" x14ac:dyDescent="0.3">
      <c r="A1142" s="146" t="str">
        <f>+IF(PROVEEDORES[[#This Row],[FECHA DE PAGO]]=PROVEEDORES[[#This Row],[FECHA DE FACTURACIÓN]],"DE CONTADO","CRÉDITO")</f>
        <v>CRÉDITO</v>
      </c>
      <c r="B1142" s="38" t="str">
        <f>+IF((PROVEEDORES[[#This Row],[FECHA DE PAGO]]-PROVEEDORES[[#This Row],[FECHA DE FACTURACIÓN]])&gt;PROVEEDORES[[#This Row],[PLAZO Días]],"PAGO VENCIDO")</f>
        <v>PAGO VENCIDO</v>
      </c>
      <c r="C1142" s="20">
        <f>+VLOOKUP(PROVEEDORES[[#This Row],[PROVEEDOR]],TERCEROS_INFO[#All],2,FALSE)</f>
        <v>30</v>
      </c>
      <c r="D1142" s="25">
        <f>+SUMIFS(PROVEEDORES[Total],PROVEEDORES[PROVEEDOR],PROVEEDORES[[#This Row],[PROVEEDOR]],PROVEEDORES[FECHA DE PAGO],"")</f>
        <v>2456000</v>
      </c>
      <c r="E1142" s="25"/>
      <c r="F1142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42" s="161">
        <v>44760</v>
      </c>
      <c r="H1142" s="26" t="s">
        <v>623</v>
      </c>
      <c r="I1142" s="161">
        <v>44705</v>
      </c>
      <c r="J1142" s="35" t="s">
        <v>1602</v>
      </c>
      <c r="K1142" s="21">
        <v>1030000</v>
      </c>
      <c r="L1142" s="21"/>
      <c r="M1142" s="22">
        <f>(PROVEEDORES[[#This Row],[SUBTOTAL]]-PROVEEDORES[[#This Row],[descuento sobre subtotal]])*VLOOKUP(PROVEEDORES[[#This Row],[PROVEEDOR]],TERCEROS_INFO[#All],3,FALSE)</f>
        <v>0</v>
      </c>
      <c r="N1142" s="23"/>
      <c r="O1142" s="22">
        <f>+PROVEEDORES[[#This Row],[Descuento sobre subtotal %]]*(PROVEEDORES[[#This Row],[SUBTOTAL]]-PROVEEDORES[[#This Row],[descuento sobre subtotal]])</f>
        <v>0</v>
      </c>
      <c r="P1142" s="83">
        <f>+IF(PROVEEDORES[[#This Row],[SUBTOTAL]]&lt;PROVEEDORES[[#This Row],[base retencion]],0,PROVEEDORES[[#This Row],[retención aplicada]])</f>
        <v>0</v>
      </c>
      <c r="Q1142" s="22">
        <f>+PROVEEDORES[[#This Row],[Rete Fuente %]]*(PROVEEDORES[[#This Row],[SUBTOTAL]]-PROVEEDORES[[#This Row],[descuento sobre subtotal]])</f>
        <v>0</v>
      </c>
      <c r="R1142" s="21">
        <f>+PROVEEDORES[[#This Row],[SUBTOTAL]]+PROVEEDORES[[#This Row],[IVA 19%]]-PROVEEDORES[[#This Row],[descuento sobre subtotal]]-PROVEEDORES[[#This Row],[Descuento sobre subtotal $2]]-PROVEEDORES[[#This Row],[Rete Fuente $]]</f>
        <v>1030000</v>
      </c>
      <c r="S1142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2" s="68">
        <f ca="1">IF(PROVEEDORES[[#This Row],[FECHA DE PAGO]]=0,TODAY()-PROVEEDORES[[#This Row],[FECHA DE FACTURACIÓN]]-PROVEEDORES[[#This Row],[PLAZO Días]],0)</f>
        <v>0</v>
      </c>
      <c r="U1142" s="113">
        <f>+VLOOKUP(PROVEEDORES[[#This Row],[PROVEEDOR]],Terceros!$A:$D,4,FALSE)</f>
        <v>0</v>
      </c>
      <c r="V1142" s="114">
        <f>+YEAR(PROVEEDORES[[#This Row],[FECHA DE FACTURACIÓN]])</f>
        <v>2022</v>
      </c>
      <c r="W1142" s="114">
        <f>+MATCH(PROVEEDORES[[#This Row],[año facturado]],Retenciones!$1:$1,0)</f>
        <v>5</v>
      </c>
      <c r="X1142" s="115">
        <f>+VLOOKUP(PROVEEDORES[[#This Row],[ID RETENCION]],Retenciones!$A$1:$O$25,PROVEEDORES[[#This Row],[indicador de columna]],FALSE)</f>
        <v>0</v>
      </c>
      <c r="Y1142" s="116">
        <f>+VLOOKUP(PROVEEDORES[[#This Row],[ID RETENCION]],Retenciones!$A$1:$O$25,2,FALSE)</f>
        <v>0</v>
      </c>
      <c r="Z1142" s="125" t="b">
        <f>OR(COUNTIF(PROVEEDORES[[#This Row],[PROVEEDOR]],"*"&amp;'Palabra no opera'!$A$2&amp;"*"))</f>
        <v>0</v>
      </c>
      <c r="AA1142" s="24"/>
      <c r="AB1142" s="24"/>
      <c r="AC1142" s="24"/>
      <c r="AD1142" s="24"/>
      <c r="AE1142" s="24"/>
    </row>
    <row r="1143" spans="1:31" ht="22.2" customHeight="1" x14ac:dyDescent="0.3">
      <c r="A1143" s="66" t="str">
        <f>+IF(PROVEEDORES[[#This Row],[FECHA DE PAGO]]=PROVEEDORES[[#This Row],[FECHA DE FACTURACIÓN]],"DE CONTADO","CRÉDITO")</f>
        <v>CRÉDITO</v>
      </c>
      <c r="B1143" s="38" t="str">
        <f>+IF((PROVEEDORES[[#This Row],[FECHA DE PAGO]]-PROVEEDORES[[#This Row],[FECHA DE FACTURACIÓN]])&gt;PROVEEDORES[[#This Row],[PLAZO Días]],"PAGO VENCIDO")</f>
        <v>PAGO VENCIDO</v>
      </c>
      <c r="C1143" s="20">
        <f>+VLOOKUP(PROVEEDORES[[#This Row],[PROVEEDOR]],TERCEROS_INFO[#All],2,FALSE)</f>
        <v>30</v>
      </c>
      <c r="D1143" s="25">
        <f>+SUMIFS(PROVEEDORES[Total],PROVEEDORES[PROVEEDOR],PROVEEDORES[[#This Row],[PROVEEDOR]],PROVEEDORES[FECHA DE PAGO],"")</f>
        <v>0</v>
      </c>
      <c r="E1143" s="25"/>
      <c r="F1143" s="58" t="str">
        <f>+VLOOKUP(PROVEEDORES[[#This Row],[PROVEEDOR]],
                       Terceros!$A:$F,
                       5,
                       FALSE)</f>
        <v/>
      </c>
      <c r="G1143" s="161">
        <v>44431</v>
      </c>
      <c r="H1143" s="26" t="s">
        <v>686</v>
      </c>
      <c r="I1143" s="161">
        <v>44396</v>
      </c>
      <c r="J1143" s="35" t="s">
        <v>1272</v>
      </c>
      <c r="K1143" s="21">
        <v>1033000</v>
      </c>
      <c r="L1143" s="21"/>
      <c r="M1143" s="22">
        <f>(PROVEEDORES[[#This Row],[SUBTOTAL]]-PROVEEDORES[[#This Row],[descuento sobre subtotal]])*VLOOKUP(PROVEEDORES[[#This Row],[PROVEEDOR]],TERCEROS_INFO[#All],3,FALSE)</f>
        <v>0</v>
      </c>
      <c r="N1143" s="23"/>
      <c r="O1143" s="22">
        <f>+PROVEEDORES[[#This Row],[Descuento sobre subtotal %]]*(PROVEEDORES[[#This Row],[SUBTOTAL]]-PROVEEDORES[[#This Row],[descuento sobre subtotal]])</f>
        <v>0</v>
      </c>
      <c r="P1143" s="83">
        <f>+IF(PROVEEDORES[[#This Row],[SUBTOTAL]]&lt;PROVEEDORES[[#This Row],[base retencion]],0,PROVEEDORES[[#This Row],[retención aplicada]])</f>
        <v>0</v>
      </c>
      <c r="Q1143" s="22">
        <f>+PROVEEDORES[[#This Row],[Rete Fuente %]]*(PROVEEDORES[[#This Row],[SUBTOTAL]]-PROVEEDORES[[#This Row],[descuento sobre subtotal]])</f>
        <v>0</v>
      </c>
      <c r="R1143" s="21">
        <f>+PROVEEDORES[[#This Row],[SUBTOTAL]]+PROVEEDORES[[#This Row],[IVA 19%]]-PROVEEDORES[[#This Row],[descuento sobre subtotal]]-PROVEEDORES[[#This Row],[Descuento sobre subtotal $2]]-PROVEEDORES[[#This Row],[Rete Fuente $]]</f>
        <v>1033000</v>
      </c>
      <c r="S11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68">
        <f ca="1">IF(PROVEEDORES[[#This Row],[FECHA DE PAGO]]=0,TODAY()-PROVEEDORES[[#This Row],[FECHA DE FACTURACIÓN]]-PROVEEDORES[[#This Row],[PLAZO Días]],0)</f>
        <v>0</v>
      </c>
      <c r="U1143" s="96">
        <f>+VLOOKUP(PROVEEDORES[[#This Row],[PROVEEDOR]],Terceros!$A:$D,4,FALSE)</f>
        <v>0</v>
      </c>
      <c r="V1143" s="97">
        <f>+YEAR(PROVEEDORES[[#This Row],[FECHA DE FACTURACIÓN]])</f>
        <v>2021</v>
      </c>
      <c r="W1143" s="97">
        <f>+MATCH(PROVEEDORES[[#This Row],[año facturado]],Retenciones!$1:$1,0)</f>
        <v>4</v>
      </c>
      <c r="X1143" s="98">
        <f>+VLOOKUP(PROVEEDORES[[#This Row],[ID RETENCION]],Retenciones!$A$1:$O$25,PROVEEDORES[[#This Row],[indicador de columna]],FALSE)</f>
        <v>0</v>
      </c>
      <c r="Y1143" s="99">
        <f>+VLOOKUP(PROVEEDORES[[#This Row],[ID RETENCION]],Retenciones!$A$1:$O$25,2,FALSE)</f>
        <v>0</v>
      </c>
      <c r="Z1143" s="125" t="b">
        <f>OR(COUNTIF(PROVEEDORES[[#This Row],[PROVEEDOR]],"*"&amp;'Palabra no opera'!$A$2&amp;"*"))</f>
        <v>0</v>
      </c>
      <c r="AA1143" s="24"/>
      <c r="AB1143" s="24"/>
      <c r="AC1143" s="24"/>
      <c r="AD1143" s="24"/>
      <c r="AE1143" s="24"/>
    </row>
    <row r="1144" spans="1:31" ht="22.2" customHeight="1" x14ac:dyDescent="0.3">
      <c r="A1144" s="66" t="str">
        <f>+IF(PROVEEDORES[[#This Row],[FECHA DE PAGO]]=PROVEEDORES[[#This Row],[FECHA DE FACTURACIÓN]],"DE CONTADO","CRÉDITO")</f>
        <v>CRÉDITO</v>
      </c>
      <c r="B1144" s="38" t="str">
        <f>+IF((PROVEEDORES[[#This Row],[FECHA DE PAGO]]-PROVEEDORES[[#This Row],[FECHA DE FACTURACIÓN]])&gt;PROVEEDORES[[#This Row],[PLAZO Días]],"PAGO VENCIDO")</f>
        <v>PAGO VENCIDO</v>
      </c>
      <c r="C1144" s="20">
        <f>+VLOOKUP(PROVEEDORES[[#This Row],[PROVEEDOR]],TERCEROS_INFO[#All],2,FALSE)</f>
        <v>20</v>
      </c>
      <c r="D1144" s="25">
        <f>+SUMIFS(PROVEEDORES[Total],PROVEEDORES[PROVEEDOR],PROVEEDORES[[#This Row],[PROVEEDOR]],PROVEEDORES[FECHA DE PAGO],"")</f>
        <v>0</v>
      </c>
      <c r="E1144" s="25"/>
      <c r="F1144" s="58">
        <f>+VLOOKUP(PROVEEDORES[[#This Row],[PROVEEDOR]],
                       Terceros!$A:$F,
                       5,
                       FALSE)</f>
        <v>0</v>
      </c>
      <c r="G1144" s="161">
        <v>44400</v>
      </c>
      <c r="H1144" s="26" t="s">
        <v>672</v>
      </c>
      <c r="I1144" s="161">
        <v>44363</v>
      </c>
      <c r="J1144" s="35" t="s">
        <v>1249</v>
      </c>
      <c r="K1144" s="21">
        <v>1035000</v>
      </c>
      <c r="L1144" s="21"/>
      <c r="M1144" s="22">
        <f>(PROVEEDORES[[#This Row],[SUBTOTAL]]-PROVEEDORES[[#This Row],[descuento sobre subtotal]])*VLOOKUP(PROVEEDORES[[#This Row],[PROVEEDOR]],TERCEROS_INFO[#All],3,FALSE)</f>
        <v>0</v>
      </c>
      <c r="N1144" s="23"/>
      <c r="O1144" s="22">
        <f>+PROVEEDORES[[#This Row],[Descuento sobre subtotal %]]*(PROVEEDORES[[#This Row],[SUBTOTAL]]-PROVEEDORES[[#This Row],[descuento sobre subtotal]])</f>
        <v>0</v>
      </c>
      <c r="P1144" s="83">
        <f>+IF(PROVEEDORES[[#This Row],[SUBTOTAL]]&lt;PROVEEDORES[[#This Row],[base retencion]],0,PROVEEDORES[[#This Row],[retención aplicada]])</f>
        <v>0</v>
      </c>
      <c r="Q1144" s="22">
        <f>+PROVEEDORES[[#This Row],[Rete Fuente %]]*(PROVEEDORES[[#This Row],[SUBTOTAL]]-PROVEEDORES[[#This Row],[descuento sobre subtotal]])</f>
        <v>0</v>
      </c>
      <c r="R1144" s="21">
        <f>+PROVEEDORES[[#This Row],[SUBTOTAL]]+PROVEEDORES[[#This Row],[IVA 19%]]-PROVEEDORES[[#This Row],[descuento sobre subtotal]]-PROVEEDORES[[#This Row],[Descuento sobre subtotal $2]]-PROVEEDORES[[#This Row],[Rete Fuente $]]</f>
        <v>1035000</v>
      </c>
      <c r="S11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68">
        <f ca="1">IF(PROVEEDORES[[#This Row],[FECHA DE PAGO]]=0,TODAY()-PROVEEDORES[[#This Row],[FECHA DE FACTURACIÓN]]-PROVEEDORES[[#This Row],[PLAZO Días]],0)</f>
        <v>0</v>
      </c>
      <c r="U1144" s="96">
        <f>+VLOOKUP(PROVEEDORES[[#This Row],[PROVEEDOR]],Terceros!$A:$D,4,FALSE)</f>
        <v>0</v>
      </c>
      <c r="V1144" s="97">
        <f>+YEAR(PROVEEDORES[[#This Row],[FECHA DE FACTURACIÓN]])</f>
        <v>2021</v>
      </c>
      <c r="W1144" s="97">
        <f>+MATCH(PROVEEDORES[[#This Row],[año facturado]],Retenciones!$1:$1,0)</f>
        <v>4</v>
      </c>
      <c r="X1144" s="98">
        <f>+VLOOKUP(PROVEEDORES[[#This Row],[ID RETENCION]],Retenciones!$A$1:$O$25,PROVEEDORES[[#This Row],[indicador de columna]],FALSE)</f>
        <v>0</v>
      </c>
      <c r="Y1144" s="99">
        <f>+VLOOKUP(PROVEEDORES[[#This Row],[ID RETENCION]],Retenciones!$A$1:$O$25,2,FALSE)</f>
        <v>0</v>
      </c>
      <c r="Z1144" s="125" t="b">
        <f>OR(COUNTIF(PROVEEDORES[[#This Row],[PROVEEDOR]],"*"&amp;'Palabra no opera'!$A$2&amp;"*"))</f>
        <v>0</v>
      </c>
      <c r="AA1144" s="24"/>
      <c r="AB1144" s="24"/>
      <c r="AC1144" s="24"/>
      <c r="AD1144" s="24"/>
      <c r="AE1144" s="24"/>
    </row>
    <row r="1145" spans="1:31" ht="22.2" customHeight="1" x14ac:dyDescent="0.3">
      <c r="A1145" s="66" t="str">
        <f>+IF(PROVEEDORES[[#This Row],[FECHA DE PAGO]]=PROVEEDORES[[#This Row],[FECHA DE FACTURACIÓN]],"DE CONTADO","CRÉDITO")</f>
        <v>CRÉDITO</v>
      </c>
      <c r="B1145" s="38" t="str">
        <f>+IF((PROVEEDORES[[#This Row],[FECHA DE PAGO]]-PROVEEDORES[[#This Row],[FECHA DE FACTURACIÓN]])&gt;PROVEEDORES[[#This Row],[PLAZO Días]],"PAGO VENCIDO")</f>
        <v>PAGO VENCIDO</v>
      </c>
      <c r="C1145" s="20">
        <f>+VLOOKUP(PROVEEDORES[[#This Row],[PROVEEDOR]],TERCEROS_INFO[#All],2,FALSE)</f>
        <v>30</v>
      </c>
      <c r="D1145" s="25">
        <f>+SUMIFS(PROVEEDORES[Total],PROVEEDORES[PROVEEDOR],PROVEEDORES[[#This Row],[PROVEEDOR]],PROVEEDORES[FECHA DE PAGO],"")</f>
        <v>0</v>
      </c>
      <c r="E1145" s="25"/>
      <c r="F114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145" s="161">
        <v>44537</v>
      </c>
      <c r="H1145" s="26" t="s">
        <v>1637</v>
      </c>
      <c r="I1145" s="161">
        <v>44475</v>
      </c>
      <c r="J1145" s="35">
        <v>22816</v>
      </c>
      <c r="K1145" s="21">
        <v>870000</v>
      </c>
      <c r="L1145" s="21"/>
      <c r="M1145" s="22">
        <f>(PROVEEDORES[[#This Row],[SUBTOTAL]]-PROVEEDORES[[#This Row],[descuento sobre subtotal]])*VLOOKUP(PROVEEDORES[[#This Row],[PROVEEDOR]],TERCEROS_INFO[#All],3,FALSE)</f>
        <v>165300</v>
      </c>
      <c r="N1145" s="23"/>
      <c r="O1145" s="22">
        <f>+PROVEEDORES[[#This Row],[Descuento sobre subtotal %]]*(PROVEEDORES[[#This Row],[SUBTOTAL]]-PROVEEDORES[[#This Row],[descuento sobre subtotal]])</f>
        <v>0</v>
      </c>
      <c r="P1145" s="83">
        <f>+IF(PROVEEDORES[[#This Row],[SUBTOTAL]]&lt;PROVEEDORES[[#This Row],[base retencion]],0,PROVEEDORES[[#This Row],[retención aplicada]])</f>
        <v>0</v>
      </c>
      <c r="Q1145" s="22">
        <f>+PROVEEDORES[[#This Row],[Rete Fuente %]]*(PROVEEDORES[[#This Row],[SUBTOTAL]]-PROVEEDORES[[#This Row],[descuento sobre subtotal]])</f>
        <v>0</v>
      </c>
      <c r="R1145" s="21">
        <f>+PROVEEDORES[[#This Row],[SUBTOTAL]]+PROVEEDORES[[#This Row],[IVA 19%]]-PROVEEDORES[[#This Row],[descuento sobre subtotal]]-PROVEEDORES[[#This Row],[Descuento sobre subtotal $2]]-PROVEEDORES[[#This Row],[Rete Fuente $]]</f>
        <v>1035300</v>
      </c>
      <c r="S11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68">
        <f ca="1">IF(PROVEEDORES[[#This Row],[FECHA DE PAGO]]=0,TODAY()-PROVEEDORES[[#This Row],[FECHA DE FACTURACIÓN]]-PROVEEDORES[[#This Row],[PLAZO Días]],0)</f>
        <v>0</v>
      </c>
      <c r="U1145" s="96" t="str">
        <f>+VLOOKUP(PROVEEDORES[[#This Row],[PROVEEDOR]],Terceros!$A:$D,4,FALSE)</f>
        <v>2,5% con base</v>
      </c>
      <c r="V1145" s="97">
        <f>+YEAR(PROVEEDORES[[#This Row],[FECHA DE FACTURACIÓN]])</f>
        <v>2021</v>
      </c>
      <c r="W1145" s="97">
        <f>+MATCH(PROVEEDORES[[#This Row],[año facturado]],Retenciones!$1:$1,0)</f>
        <v>4</v>
      </c>
      <c r="X1145" s="98">
        <f>+VLOOKUP(PROVEEDORES[[#This Row],[ID RETENCION]],Retenciones!$A$1:$O$25,PROVEEDORES[[#This Row],[indicador de columna]],FALSE)</f>
        <v>980000</v>
      </c>
      <c r="Y1145" s="99">
        <f>+VLOOKUP(PROVEEDORES[[#This Row],[ID RETENCION]],Retenciones!$A$1:$O$25,2,FALSE)</f>
        <v>2.5000000000000001E-2</v>
      </c>
      <c r="Z1145" s="125" t="b">
        <f>OR(COUNTIF(PROVEEDORES[[#This Row],[PROVEEDOR]],"*"&amp;'Palabra no opera'!$A$2&amp;"*"))</f>
        <v>0</v>
      </c>
      <c r="AA1145" s="24"/>
      <c r="AB1145" s="24"/>
      <c r="AC1145" s="24"/>
      <c r="AD1145" s="24"/>
      <c r="AE1145" s="24"/>
    </row>
    <row r="1146" spans="1:31" ht="22.2" customHeight="1" x14ac:dyDescent="0.3">
      <c r="A1146" s="123" t="str">
        <f>+IF(PROVEEDORES[[#This Row],[FECHA DE PAGO]]=PROVEEDORES[[#This Row],[FECHA DE FACTURACIÓN]],"DE CONTADO","CRÉDITO")</f>
        <v>CRÉDITO</v>
      </c>
      <c r="B1146" s="38" t="str">
        <f>+IF((PROVEEDORES[[#This Row],[FECHA DE PAGO]]-PROVEEDORES[[#This Row],[FECHA DE FACTURACIÓN]])&gt;PROVEEDORES[[#This Row],[PLAZO Días]],"PAGO VENCIDO")</f>
        <v>PAGO VENCIDO</v>
      </c>
      <c r="C1146" s="20">
        <f>+VLOOKUP(PROVEEDORES[[#This Row],[PROVEEDOR]],TERCEROS_INFO[#All],2,FALSE)</f>
        <v>30</v>
      </c>
      <c r="D1146" s="25">
        <f>+SUMIFS(PROVEEDORES[Total],PROVEEDORES[PROVEEDOR],PROVEEDORES[[#This Row],[PROVEEDOR]],PROVEEDORES[FECHA DE PAGO],"")</f>
        <v>2456000</v>
      </c>
      <c r="E1146" s="25"/>
      <c r="F114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46" s="161">
        <v>44748</v>
      </c>
      <c r="H1146" s="26" t="s">
        <v>623</v>
      </c>
      <c r="I1146" s="161">
        <v>44677</v>
      </c>
      <c r="J1146" s="35" t="s">
        <v>1590</v>
      </c>
      <c r="K1146" s="21">
        <v>1039000</v>
      </c>
      <c r="L1146" s="21"/>
      <c r="M1146" s="22">
        <f>(PROVEEDORES[[#This Row],[SUBTOTAL]]-PROVEEDORES[[#This Row],[descuento sobre subtotal]])*VLOOKUP(PROVEEDORES[[#This Row],[PROVEEDOR]],TERCEROS_INFO[#All],3,FALSE)</f>
        <v>0</v>
      </c>
      <c r="N1146" s="23"/>
      <c r="O1146" s="22">
        <f>+PROVEEDORES[[#This Row],[Descuento sobre subtotal %]]*(PROVEEDORES[[#This Row],[SUBTOTAL]]-PROVEEDORES[[#This Row],[descuento sobre subtotal]])</f>
        <v>0</v>
      </c>
      <c r="P1146" s="83">
        <f>+IF(PROVEEDORES[[#This Row],[SUBTOTAL]]&lt;PROVEEDORES[[#This Row],[base retencion]],0,PROVEEDORES[[#This Row],[retención aplicada]])</f>
        <v>0</v>
      </c>
      <c r="Q1146" s="22">
        <f>+PROVEEDORES[[#This Row],[Rete Fuente %]]*(PROVEEDORES[[#This Row],[SUBTOTAL]]-PROVEEDORES[[#This Row],[descuento sobre subtotal]])</f>
        <v>0</v>
      </c>
      <c r="R1146" s="21">
        <f>+PROVEEDORES[[#This Row],[SUBTOTAL]]+PROVEEDORES[[#This Row],[IVA 19%]]-PROVEEDORES[[#This Row],[descuento sobre subtotal]]-PROVEEDORES[[#This Row],[Descuento sobre subtotal $2]]-PROVEEDORES[[#This Row],[Rete Fuente $]]</f>
        <v>1039000</v>
      </c>
      <c r="S114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68">
        <f ca="1">IF(PROVEEDORES[[#This Row],[FECHA DE PAGO]]=0,TODAY()-PROVEEDORES[[#This Row],[FECHA DE FACTURACIÓN]]-PROVEEDORES[[#This Row],[PLAZO Días]],0)</f>
        <v>0</v>
      </c>
      <c r="U1146" s="113">
        <f>+VLOOKUP(PROVEEDORES[[#This Row],[PROVEEDOR]],Terceros!$A:$D,4,FALSE)</f>
        <v>0</v>
      </c>
      <c r="V1146" s="114">
        <f>+YEAR(PROVEEDORES[[#This Row],[FECHA DE FACTURACIÓN]])</f>
        <v>2022</v>
      </c>
      <c r="W1146" s="114">
        <f>+MATCH(PROVEEDORES[[#This Row],[año facturado]],Retenciones!$1:$1,0)</f>
        <v>5</v>
      </c>
      <c r="X1146" s="115">
        <f>+VLOOKUP(PROVEEDORES[[#This Row],[ID RETENCION]],Retenciones!$A$1:$O$25,PROVEEDORES[[#This Row],[indicador de columna]],FALSE)</f>
        <v>0</v>
      </c>
      <c r="Y1146" s="116">
        <f>+VLOOKUP(PROVEEDORES[[#This Row],[ID RETENCION]],Retenciones!$A$1:$O$25,2,FALSE)</f>
        <v>0</v>
      </c>
      <c r="Z1146" s="125" t="b">
        <f>OR(COUNTIF(PROVEEDORES[[#This Row],[PROVEEDOR]],"*"&amp;'Palabra no opera'!$A$2&amp;"*"))</f>
        <v>0</v>
      </c>
      <c r="AA1146" s="24"/>
      <c r="AB1146" s="24"/>
      <c r="AC1146" s="24"/>
      <c r="AD1146" s="24"/>
      <c r="AE1146" s="24"/>
    </row>
    <row r="1147" spans="1:31" ht="22.2" customHeight="1" x14ac:dyDescent="0.3">
      <c r="A1147" s="66" t="str">
        <f>+IF(PROVEEDORES[[#This Row],[FECHA DE PAGO]]=PROVEEDORES[[#This Row],[FECHA DE FACTURACIÓN]],"DE CONTADO","CRÉDITO")</f>
        <v>CRÉDITO</v>
      </c>
      <c r="B1147" s="38" t="b">
        <f>+IF((PROVEEDORES[[#This Row],[FECHA DE PAGO]]-PROVEEDORES[[#This Row],[FECHA DE FACTURACIÓN]])&gt;PROVEEDORES[[#This Row],[PLAZO Días]],"PAGO VENCIDO")</f>
        <v>0</v>
      </c>
      <c r="C1147" s="20">
        <f>+VLOOKUP(PROVEEDORES[[#This Row],[PROVEEDOR]],TERCEROS_INFO[#All],2,FALSE)</f>
        <v>30</v>
      </c>
      <c r="D1147" s="25">
        <f>+SUMIFS(PROVEEDORES[Total],PROVEEDORES[PROVEEDOR],PROVEEDORES[[#This Row],[PROVEEDOR]],PROVEEDORES[FECHA DE PAGO],"")</f>
        <v>0</v>
      </c>
      <c r="E1147" s="25"/>
      <c r="F1147" s="58" t="str">
        <f>+VLOOKUP(PROVEEDORES[[#This Row],[PROVEEDOR]],
                       Terceros!$A:$F,
                       5,
                       FALSE)</f>
        <v/>
      </c>
      <c r="G1147" s="161">
        <v>44271</v>
      </c>
      <c r="H1147" s="26" t="s">
        <v>680</v>
      </c>
      <c r="I1147" s="161">
        <v>44261</v>
      </c>
      <c r="J1147" s="35"/>
      <c r="K1147" s="21">
        <v>1040200</v>
      </c>
      <c r="L1147" s="21"/>
      <c r="M1147" s="22">
        <f>(PROVEEDORES[[#This Row],[SUBTOTAL]]-PROVEEDORES[[#This Row],[descuento sobre subtotal]])*VLOOKUP(PROVEEDORES[[#This Row],[PROVEEDOR]],TERCEROS_INFO[#All],3,FALSE)</f>
        <v>0</v>
      </c>
      <c r="N1147" s="23"/>
      <c r="O1147" s="22">
        <f>+PROVEEDORES[[#This Row],[Descuento sobre subtotal %]]*(PROVEEDORES[[#This Row],[SUBTOTAL]]-PROVEEDORES[[#This Row],[descuento sobre subtotal]])</f>
        <v>0</v>
      </c>
      <c r="P1147" s="83">
        <f>+IF(PROVEEDORES[[#This Row],[SUBTOTAL]]&lt;PROVEEDORES[[#This Row],[base retencion]],0,PROVEEDORES[[#This Row],[retención aplicada]])</f>
        <v>0</v>
      </c>
      <c r="Q1147" s="22">
        <f>+PROVEEDORES[[#This Row],[Rete Fuente %]]*(PROVEEDORES[[#This Row],[SUBTOTAL]]-PROVEEDORES[[#This Row],[descuento sobre subtotal]])</f>
        <v>0</v>
      </c>
      <c r="R1147" s="21">
        <f>+PROVEEDORES[[#This Row],[SUBTOTAL]]+PROVEEDORES[[#This Row],[IVA 19%]]-PROVEEDORES[[#This Row],[descuento sobre subtotal]]-PROVEEDORES[[#This Row],[Descuento sobre subtotal $2]]-PROVEEDORES[[#This Row],[Rete Fuente $]]</f>
        <v>1040200</v>
      </c>
      <c r="S11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68">
        <f ca="1">IF(PROVEEDORES[[#This Row],[FECHA DE PAGO]]=0,TODAY()-PROVEEDORES[[#This Row],[FECHA DE FACTURACIÓN]]-PROVEEDORES[[#This Row],[PLAZO Días]],0)</f>
        <v>0</v>
      </c>
      <c r="U1147" s="96">
        <f>+VLOOKUP(PROVEEDORES[[#This Row],[PROVEEDOR]],Terceros!$A:$D,4,FALSE)</f>
        <v>0</v>
      </c>
      <c r="V1147" s="97">
        <f>+YEAR(PROVEEDORES[[#This Row],[FECHA DE FACTURACIÓN]])</f>
        <v>2021</v>
      </c>
      <c r="W1147" s="97">
        <f>+MATCH(PROVEEDORES[[#This Row],[año facturado]],Retenciones!$1:$1,0)</f>
        <v>4</v>
      </c>
      <c r="X1147" s="98">
        <f>+VLOOKUP(PROVEEDORES[[#This Row],[ID RETENCION]],Retenciones!$A$1:$O$25,PROVEEDORES[[#This Row],[indicador de columna]],FALSE)</f>
        <v>0</v>
      </c>
      <c r="Y1147" s="99">
        <f>+VLOOKUP(PROVEEDORES[[#This Row],[ID RETENCION]],Retenciones!$A$1:$O$25,2,FALSE)</f>
        <v>0</v>
      </c>
      <c r="Z1147" s="125" t="b">
        <f>OR(COUNTIF(PROVEEDORES[[#This Row],[PROVEEDOR]],"*"&amp;'Palabra no opera'!$A$2&amp;"*"))</f>
        <v>0</v>
      </c>
      <c r="AA1147" s="24"/>
      <c r="AB1147" s="24"/>
      <c r="AC1147" s="24"/>
      <c r="AD1147" s="24"/>
      <c r="AE1147" s="24"/>
    </row>
    <row r="1148" spans="1:31" ht="22.2" customHeight="1" x14ac:dyDescent="0.3">
      <c r="A1148" s="66" t="str">
        <f>+IF(PROVEEDORES[[#This Row],[FECHA DE PAGO]]=PROVEEDORES[[#This Row],[FECHA DE FACTURACIÓN]],"DE CONTADO","CRÉDITO")</f>
        <v>CRÉDITO</v>
      </c>
      <c r="B1148" s="38" t="b">
        <f>+IF((PROVEEDORES[[#This Row],[FECHA DE PAGO]]-PROVEEDORES[[#This Row],[FECHA DE FACTURACIÓN]])&gt;PROVEEDORES[[#This Row],[PLAZO Días]],"PAGO VENCIDO")</f>
        <v>0</v>
      </c>
      <c r="C1148" s="20">
        <f>+VLOOKUP(PROVEEDORES[[#This Row],[PROVEEDOR]],TERCEROS_INFO[#All],2,FALSE)</f>
        <v>30</v>
      </c>
      <c r="D1148" s="25">
        <f>+SUMIFS(PROVEEDORES[Total],PROVEEDORES[PROVEEDOR],PROVEEDORES[[#This Row],[PROVEEDOR]],PROVEEDORES[FECHA DE PAGO],"")</f>
        <v>2318500</v>
      </c>
      <c r="E1148" s="25"/>
      <c r="F1148" s="58" t="str">
        <f>+VLOOKUP(PROVEEDORES[[#This Row],[PROVEEDOR]],
                       Terceros!$A:$F,
                       5,
                       FALSE)</f>
        <v/>
      </c>
      <c r="G1148" s="161">
        <v>44200</v>
      </c>
      <c r="H1148" s="26" t="s">
        <v>629</v>
      </c>
      <c r="I1148" s="161">
        <v>44550</v>
      </c>
      <c r="J1148" s="35" t="s">
        <v>1363</v>
      </c>
      <c r="K1148" s="21">
        <v>1045000</v>
      </c>
      <c r="L1148" s="21"/>
      <c r="M1148" s="22">
        <f>(PROVEEDORES[[#This Row],[SUBTOTAL]]-PROVEEDORES[[#This Row],[descuento sobre subtotal]])*VLOOKUP(PROVEEDORES[[#This Row],[PROVEEDOR]],TERCEROS_INFO[#All],3,FALSE)</f>
        <v>0</v>
      </c>
      <c r="N1148" s="23"/>
      <c r="O1148" s="22">
        <f>+PROVEEDORES[[#This Row],[Descuento sobre subtotal %]]*(PROVEEDORES[[#This Row],[SUBTOTAL]]-PROVEEDORES[[#This Row],[descuento sobre subtotal]])</f>
        <v>0</v>
      </c>
      <c r="P1148" s="83">
        <f>+IF(PROVEEDORES[[#This Row],[SUBTOTAL]]&lt;PROVEEDORES[[#This Row],[base retencion]],0,PROVEEDORES[[#This Row],[retención aplicada]])</f>
        <v>0</v>
      </c>
      <c r="Q1148" s="22">
        <f>+PROVEEDORES[[#This Row],[Rete Fuente %]]*(PROVEEDORES[[#This Row],[SUBTOTAL]]-PROVEEDORES[[#This Row],[descuento sobre subtotal]])</f>
        <v>0</v>
      </c>
      <c r="R1148" s="21">
        <f>+PROVEEDORES[[#This Row],[SUBTOTAL]]+PROVEEDORES[[#This Row],[IVA 19%]]-PROVEEDORES[[#This Row],[descuento sobre subtotal]]-PROVEEDORES[[#This Row],[Descuento sobre subtotal $2]]-PROVEEDORES[[#This Row],[Rete Fuente $]]</f>
        <v>1045000</v>
      </c>
      <c r="S11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68">
        <f ca="1">IF(PROVEEDORES[[#This Row],[FECHA DE PAGO]]=0,TODAY()-PROVEEDORES[[#This Row],[FECHA DE FACTURACIÓN]]-PROVEEDORES[[#This Row],[PLAZO Días]],0)</f>
        <v>0</v>
      </c>
      <c r="U1148" s="96">
        <f>+VLOOKUP(PROVEEDORES[[#This Row],[PROVEEDOR]],Terceros!$A:$D,4,FALSE)</f>
        <v>0</v>
      </c>
      <c r="V1148" s="97">
        <f>+YEAR(PROVEEDORES[[#This Row],[FECHA DE FACTURACIÓN]])</f>
        <v>2021</v>
      </c>
      <c r="W1148" s="97">
        <f>+MATCH(PROVEEDORES[[#This Row],[año facturado]],Retenciones!$1:$1,0)</f>
        <v>4</v>
      </c>
      <c r="X1148" s="98">
        <f>+VLOOKUP(PROVEEDORES[[#This Row],[ID RETENCION]],Retenciones!$A$1:$O$25,PROVEEDORES[[#This Row],[indicador de columna]],FALSE)</f>
        <v>0</v>
      </c>
      <c r="Y1148" s="99">
        <f>+VLOOKUP(PROVEEDORES[[#This Row],[ID RETENCION]],Retenciones!$A$1:$O$25,2,FALSE)</f>
        <v>0</v>
      </c>
      <c r="Z1148" s="125" t="b">
        <f>OR(COUNTIF(PROVEEDORES[[#This Row],[PROVEEDOR]],"*"&amp;'Palabra no opera'!$A$2&amp;"*"))</f>
        <v>0</v>
      </c>
      <c r="AA1148" s="24"/>
      <c r="AB1148" s="24"/>
      <c r="AC1148" s="24"/>
      <c r="AD1148" s="24"/>
      <c r="AE1148" s="24"/>
    </row>
    <row r="1149" spans="1:31" ht="22.2" customHeight="1" x14ac:dyDescent="0.3">
      <c r="A1149" s="66" t="str">
        <f>+IF(PROVEEDORES[[#This Row],[FECHA DE PAGO]]=PROVEEDORES[[#This Row],[FECHA DE FACTURACIÓN]],"DE CONTADO","CRÉDITO")</f>
        <v>CRÉDITO</v>
      </c>
      <c r="B1149" s="38" t="str">
        <f>+IF((PROVEEDORES[[#This Row],[FECHA DE PAGO]]-PROVEEDORES[[#This Row],[FECHA DE FACTURACIÓN]])&gt;PROVEEDORES[[#This Row],[PLAZO Días]],"PAGO VENCIDO")</f>
        <v>PAGO VENCIDO</v>
      </c>
      <c r="C1149" s="20">
        <f>+VLOOKUP(PROVEEDORES[[#This Row],[PROVEEDOR]],TERCEROS_INFO[#All],2,FALSE)</f>
        <v>30</v>
      </c>
      <c r="D1149" s="25">
        <f>+SUMIFS(PROVEEDORES[Total],PROVEEDORES[PROVEEDOR],PROVEEDORES[[#This Row],[PROVEEDOR]],PROVEEDORES[FECHA DE PAGO],"")</f>
        <v>3430770</v>
      </c>
      <c r="E1149" s="25"/>
      <c r="F114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149" s="161">
        <v>44550</v>
      </c>
      <c r="H1149" s="26" t="s">
        <v>1448</v>
      </c>
      <c r="I1149" s="161">
        <v>44512</v>
      </c>
      <c r="J1149" s="35">
        <v>24688</v>
      </c>
      <c r="K1149" s="21">
        <v>897164.80000000005</v>
      </c>
      <c r="L1149" s="21"/>
      <c r="M1149" s="22">
        <f>(PROVEEDORES[[#This Row],[SUBTOTAL]]-PROVEEDORES[[#This Row],[descuento sobre subtotal]])*VLOOKUP(PROVEEDORES[[#This Row],[PROVEEDOR]],TERCEROS_INFO[#All],3,FALSE)</f>
        <v>170461.31200000001</v>
      </c>
      <c r="N1149" s="23"/>
      <c r="O1149" s="22">
        <f>+PROVEEDORES[[#This Row],[Descuento sobre subtotal %]]*(PROVEEDORES[[#This Row],[SUBTOTAL]]-PROVEEDORES[[#This Row],[descuento sobre subtotal]])</f>
        <v>0</v>
      </c>
      <c r="P1149" s="83">
        <v>2.5000000000000001E-2</v>
      </c>
      <c r="Q1149" s="22">
        <f>+PROVEEDORES[[#This Row],[Rete Fuente %]]*(PROVEEDORES[[#This Row],[SUBTOTAL]]-PROVEEDORES[[#This Row],[descuento sobre subtotal]])</f>
        <v>22429.120000000003</v>
      </c>
      <c r="R1149" s="21">
        <f>+PROVEEDORES[[#This Row],[SUBTOTAL]]+PROVEEDORES[[#This Row],[IVA 19%]]-PROVEEDORES[[#This Row],[descuento sobre subtotal]]-PROVEEDORES[[#This Row],[Descuento sobre subtotal $2]]-PROVEEDORES[[#This Row],[Rete Fuente $]]</f>
        <v>1045196.992</v>
      </c>
      <c r="S11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68">
        <f ca="1">IF(PROVEEDORES[[#This Row],[FECHA DE PAGO]]=0,TODAY()-PROVEEDORES[[#This Row],[FECHA DE FACTURACIÓN]]-PROVEEDORES[[#This Row],[PLAZO Días]],0)</f>
        <v>0</v>
      </c>
      <c r="U1149" s="96">
        <f>+VLOOKUP(PROVEEDORES[[#This Row],[PROVEEDOR]],Terceros!$A:$D,4,FALSE)</f>
        <v>0</v>
      </c>
      <c r="V1149" s="97">
        <f>+YEAR(PROVEEDORES[[#This Row],[FECHA DE FACTURACIÓN]])</f>
        <v>2021</v>
      </c>
      <c r="W1149" s="97">
        <f>+MATCH(PROVEEDORES[[#This Row],[año facturado]],Retenciones!$1:$1,0)</f>
        <v>4</v>
      </c>
      <c r="X1149" s="98">
        <f>+VLOOKUP(PROVEEDORES[[#This Row],[ID RETENCION]],Retenciones!$A$1:$O$25,PROVEEDORES[[#This Row],[indicador de columna]],FALSE)</f>
        <v>0</v>
      </c>
      <c r="Y1149" s="99">
        <f>+VLOOKUP(PROVEEDORES[[#This Row],[ID RETENCION]],Retenciones!$A$1:$O$25,2,FALSE)</f>
        <v>0</v>
      </c>
      <c r="Z1149" s="125" t="b">
        <f>OR(COUNTIF(PROVEEDORES[[#This Row],[PROVEEDOR]],"*"&amp;'Palabra no opera'!$A$2&amp;"*"))</f>
        <v>0</v>
      </c>
      <c r="AA1149" s="24"/>
      <c r="AB1149" s="24"/>
      <c r="AC1149" s="24"/>
      <c r="AD1149" s="24"/>
      <c r="AE1149" s="24"/>
    </row>
    <row r="1150" spans="1:31" ht="22.2" customHeight="1" x14ac:dyDescent="0.3">
      <c r="A1150" s="66" t="str">
        <f>+IF(PROVEEDORES[[#This Row],[FECHA DE PAGO]]=PROVEEDORES[[#This Row],[FECHA DE FACTURACIÓN]],"DE CONTADO","CRÉDITO")</f>
        <v>CRÉDITO</v>
      </c>
      <c r="B1150" s="38" t="b">
        <f>+IF((PROVEEDORES[[#This Row],[FECHA DE PAGO]]-PROVEEDORES[[#This Row],[FECHA DE FACTURACIÓN]])&gt;PROVEEDORES[[#This Row],[PLAZO Días]],"PAGO VENCIDO")</f>
        <v>0</v>
      </c>
      <c r="C1150" s="20">
        <f>+VLOOKUP(PROVEEDORES[[#This Row],[PROVEEDOR]],TERCEROS_INFO[#All],2,FALSE)</f>
        <v>30</v>
      </c>
      <c r="D1150" s="25">
        <f>+SUMIFS(PROVEEDORES[Total],PROVEEDORES[PROVEEDOR],PROVEEDORES[[#This Row],[PROVEEDOR]],PROVEEDORES[FECHA DE PAGO],"")</f>
        <v>0</v>
      </c>
      <c r="E1150" s="25"/>
      <c r="F1150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1150" s="161">
        <v>44298</v>
      </c>
      <c r="H1150" s="26" t="s">
        <v>34</v>
      </c>
      <c r="I1150" s="161">
        <v>44279</v>
      </c>
      <c r="J1150" s="35">
        <v>1313</v>
      </c>
      <c r="K1150" s="21">
        <v>880332</v>
      </c>
      <c r="L1150" s="21"/>
      <c r="M1150" s="22">
        <f>(PROVEEDORES[[#This Row],[SUBTOTAL]]-PROVEEDORES[[#This Row],[descuento sobre subtotal]])*VLOOKUP(PROVEEDORES[[#This Row],[PROVEEDOR]],TERCEROS_INFO[#All],3,FALSE)</f>
        <v>167263.08000000002</v>
      </c>
      <c r="N1150" s="23"/>
      <c r="O1150" s="22">
        <f>+PROVEEDORES[[#This Row],[Descuento sobre subtotal %]]*(PROVEEDORES[[#This Row],[SUBTOTAL]]-PROVEEDORES[[#This Row],[descuento sobre subtotal]])</f>
        <v>0</v>
      </c>
      <c r="P1150" s="83">
        <f>+IF(PROVEEDORES[[#This Row],[SUBTOTAL]]&lt;PROVEEDORES[[#This Row],[base retencion]],0,PROVEEDORES[[#This Row],[retención aplicada]])</f>
        <v>0</v>
      </c>
      <c r="Q1150" s="22">
        <f>+PROVEEDORES[[#This Row],[Rete Fuente %]]*(PROVEEDORES[[#This Row],[SUBTOTAL]]-PROVEEDORES[[#This Row],[descuento sobre subtotal]])</f>
        <v>0</v>
      </c>
      <c r="R1150" s="21">
        <f>+PROVEEDORES[[#This Row],[SUBTOTAL]]+PROVEEDORES[[#This Row],[IVA 19%]]-PROVEEDORES[[#This Row],[descuento sobre subtotal]]-PROVEEDORES[[#This Row],[Descuento sobre subtotal $2]]-PROVEEDORES[[#This Row],[Rete Fuente $]]</f>
        <v>1047595.0800000001</v>
      </c>
      <c r="S11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68">
        <f ca="1">IF(PROVEEDORES[[#This Row],[FECHA DE PAGO]]=0,TODAY()-PROVEEDORES[[#This Row],[FECHA DE FACTURACIÓN]]-PROVEEDORES[[#This Row],[PLAZO Días]],0)</f>
        <v>0</v>
      </c>
      <c r="U1150" s="96" t="str">
        <f>+VLOOKUP(PROVEEDORES[[#This Row],[PROVEEDOR]],Terceros!$A:$D,4,FALSE)</f>
        <v>2,5% con base</v>
      </c>
      <c r="V1150" s="97">
        <f>+YEAR(PROVEEDORES[[#This Row],[FECHA DE FACTURACIÓN]])</f>
        <v>2021</v>
      </c>
      <c r="W1150" s="97">
        <f>+MATCH(PROVEEDORES[[#This Row],[año facturado]],Retenciones!$1:$1,0)</f>
        <v>4</v>
      </c>
      <c r="X1150" s="98">
        <f>+VLOOKUP(PROVEEDORES[[#This Row],[ID RETENCION]],Retenciones!$A$1:$O$25,PROVEEDORES[[#This Row],[indicador de columna]],FALSE)</f>
        <v>980000</v>
      </c>
      <c r="Y1150" s="99">
        <f>+VLOOKUP(PROVEEDORES[[#This Row],[ID RETENCION]],Retenciones!$A$1:$O$25,2,FALSE)</f>
        <v>2.5000000000000001E-2</v>
      </c>
      <c r="Z1150" s="125" t="b">
        <f>OR(COUNTIF(PROVEEDORES[[#This Row],[PROVEEDOR]],"*"&amp;'Palabra no opera'!$A$2&amp;"*"))</f>
        <v>0</v>
      </c>
      <c r="AA1150" s="24"/>
      <c r="AB1150" s="24"/>
      <c r="AC1150" s="24"/>
      <c r="AD1150" s="24"/>
      <c r="AE1150" s="24"/>
    </row>
    <row r="1151" spans="1:31" ht="22.2" customHeight="1" x14ac:dyDescent="0.3">
      <c r="A1151" s="66" t="str">
        <f>+IF(PROVEEDORES[[#This Row],[FECHA DE PAGO]]=PROVEEDORES[[#This Row],[FECHA DE FACTURACIÓN]],"DE CONTADO","CRÉDITO")</f>
        <v>DE CONTADO</v>
      </c>
      <c r="B1151" s="38" t="b">
        <f>+IF((PROVEEDORES[[#This Row],[FECHA DE PAGO]]-PROVEEDORES[[#This Row],[FECHA DE FACTURACIÓN]])&gt;PROVEEDORES[[#This Row],[PLAZO Días]],"PAGO VENCIDO")</f>
        <v>0</v>
      </c>
      <c r="C1151" s="20">
        <f>+VLOOKUP(PROVEEDORES[[#This Row],[PROVEEDOR]],TERCEROS_INFO[#All],2,FALSE)</f>
        <v>30</v>
      </c>
      <c r="D1151" s="25">
        <f>+SUMIFS(PROVEEDORES[Total],PROVEEDORES[PROVEEDOR],PROVEEDORES[[#This Row],[PROVEEDOR]],PROVEEDORES[FECHA DE PAGO],"")</f>
        <v>0</v>
      </c>
      <c r="E1151" s="25"/>
      <c r="F1151" s="58" t="str">
        <f>+VLOOKUP(PROVEEDORES[[#This Row],[PROVEEDOR]],
                       Terceros!$A:$F,
                       5,
                       FALSE)</f>
        <v/>
      </c>
      <c r="G1151" s="161">
        <v>44286</v>
      </c>
      <c r="H1151" s="26" t="s">
        <v>644</v>
      </c>
      <c r="I1151" s="161">
        <v>44286</v>
      </c>
      <c r="J1151" s="35" t="s">
        <v>597</v>
      </c>
      <c r="K1151" s="21">
        <v>1054000</v>
      </c>
      <c r="L1151" s="21"/>
      <c r="M1151" s="22">
        <f>(PROVEEDORES[[#This Row],[SUBTOTAL]]-PROVEEDORES[[#This Row],[descuento sobre subtotal]])*VLOOKUP(PROVEEDORES[[#This Row],[PROVEEDOR]],TERCEROS_INFO[#All],3,FALSE)</f>
        <v>0</v>
      </c>
      <c r="N1151" s="23"/>
      <c r="O1151" s="22">
        <f>+PROVEEDORES[[#This Row],[Descuento sobre subtotal %]]*(PROVEEDORES[[#This Row],[SUBTOTAL]]-PROVEEDORES[[#This Row],[descuento sobre subtotal]])</f>
        <v>0</v>
      </c>
      <c r="P1151" s="83">
        <f>+IF(PROVEEDORES[[#This Row],[SUBTOTAL]]&lt;PROVEEDORES[[#This Row],[base retencion]],0,PROVEEDORES[[#This Row],[retención aplicada]])</f>
        <v>0</v>
      </c>
      <c r="Q1151" s="22">
        <f>+PROVEEDORES[[#This Row],[Rete Fuente %]]*(PROVEEDORES[[#This Row],[SUBTOTAL]]-PROVEEDORES[[#This Row],[descuento sobre subtotal]])</f>
        <v>0</v>
      </c>
      <c r="R1151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11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68">
        <f ca="1">IF(PROVEEDORES[[#This Row],[FECHA DE PAGO]]=0,TODAY()-PROVEEDORES[[#This Row],[FECHA DE FACTURACIÓN]]-PROVEEDORES[[#This Row],[PLAZO Días]],0)</f>
        <v>0</v>
      </c>
      <c r="U1151" s="96">
        <f>+VLOOKUP(PROVEEDORES[[#This Row],[PROVEEDOR]],Terceros!$A:$D,4,FALSE)</f>
        <v>0</v>
      </c>
      <c r="V1151" s="97">
        <f>+YEAR(PROVEEDORES[[#This Row],[FECHA DE FACTURACIÓN]])</f>
        <v>2021</v>
      </c>
      <c r="W1151" s="97">
        <f>+MATCH(PROVEEDORES[[#This Row],[año facturado]],Retenciones!$1:$1,0)</f>
        <v>4</v>
      </c>
      <c r="X1151" s="98">
        <f>+VLOOKUP(PROVEEDORES[[#This Row],[ID RETENCION]],Retenciones!$A$1:$O$25,PROVEEDORES[[#This Row],[indicador de columna]],FALSE)</f>
        <v>0</v>
      </c>
      <c r="Y1151" s="99">
        <f>+VLOOKUP(PROVEEDORES[[#This Row],[ID RETENCION]],Retenciones!$A$1:$O$25,2,FALSE)</f>
        <v>0</v>
      </c>
      <c r="Z1151" s="125" t="b">
        <f>OR(COUNTIF(PROVEEDORES[[#This Row],[PROVEEDOR]],"*"&amp;'Palabra no opera'!$A$2&amp;"*"))</f>
        <v>0</v>
      </c>
      <c r="AA1151" s="24"/>
      <c r="AB1151" s="24"/>
      <c r="AC1151" s="24"/>
      <c r="AD1151" s="24"/>
      <c r="AE1151" s="24"/>
    </row>
    <row r="1152" spans="1:31" ht="22.2" customHeight="1" x14ac:dyDescent="0.3">
      <c r="A1152" s="112" t="str">
        <f>+IF(PROVEEDORES[[#This Row],[FECHA DE PAGO]]=PROVEEDORES[[#This Row],[FECHA DE FACTURACIÓN]],"DE CONTADO","CRÉDITO")</f>
        <v>CRÉDITO</v>
      </c>
      <c r="B1152" s="38" t="str">
        <f>+IF((PROVEEDORES[[#This Row],[FECHA DE PAGO]]-PROVEEDORES[[#This Row],[FECHA DE FACTURACIÓN]])&gt;PROVEEDORES[[#This Row],[PLAZO Días]],"PAGO VENCIDO")</f>
        <v>PAGO VENCIDO</v>
      </c>
      <c r="C1152" s="20">
        <f>+VLOOKUP(PROVEEDORES[[#This Row],[PROVEEDOR]],TERCEROS_INFO[#All],2,FALSE)</f>
        <v>30</v>
      </c>
      <c r="D1152" s="25">
        <f>+SUMIFS(PROVEEDORES[Total],PROVEEDORES[PROVEEDOR],PROVEEDORES[[#This Row],[PROVEEDOR]],PROVEEDORES[FECHA DE PAGO],"")</f>
        <v>1354000</v>
      </c>
      <c r="E1152" s="25"/>
      <c r="F115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52" s="161">
        <v>44700</v>
      </c>
      <c r="H1152" s="26" t="s">
        <v>699</v>
      </c>
      <c r="I1152" s="161">
        <v>44669</v>
      </c>
      <c r="J1152" s="35" t="s">
        <v>1587</v>
      </c>
      <c r="K1152" s="21">
        <v>1054000</v>
      </c>
      <c r="L1152" s="21"/>
      <c r="M1152" s="22">
        <f>(PROVEEDORES[[#This Row],[SUBTOTAL]]-PROVEEDORES[[#This Row],[descuento sobre subtotal]])*VLOOKUP(PROVEEDORES[[#This Row],[PROVEEDOR]],TERCEROS_INFO[#All],3,FALSE)</f>
        <v>0</v>
      </c>
      <c r="N1152" s="23"/>
      <c r="O1152" s="22">
        <f>+PROVEEDORES[[#This Row],[Descuento sobre subtotal %]]*(PROVEEDORES[[#This Row],[SUBTOTAL]]-PROVEEDORES[[#This Row],[descuento sobre subtotal]])</f>
        <v>0</v>
      </c>
      <c r="P1152" s="83">
        <f>+IF(PROVEEDORES[[#This Row],[SUBTOTAL]]&lt;PROVEEDORES[[#This Row],[base retencion]],0,PROVEEDORES[[#This Row],[retención aplicada]])</f>
        <v>0</v>
      </c>
      <c r="Q1152" s="22">
        <f>+PROVEEDORES[[#This Row],[Rete Fuente %]]*(PROVEEDORES[[#This Row],[SUBTOTAL]]-PROVEEDORES[[#This Row],[descuento sobre subtotal]])</f>
        <v>0</v>
      </c>
      <c r="R1152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1152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68">
        <f ca="1">IF(PROVEEDORES[[#This Row],[FECHA DE PAGO]]=0,TODAY()-PROVEEDORES[[#This Row],[FECHA DE FACTURACIÓN]]-PROVEEDORES[[#This Row],[PLAZO Días]],0)</f>
        <v>0</v>
      </c>
      <c r="U1152" s="113">
        <f>+VLOOKUP(PROVEEDORES[[#This Row],[PROVEEDOR]],Terceros!$A:$D,4,FALSE)</f>
        <v>0</v>
      </c>
      <c r="V1152" s="114">
        <f>+YEAR(PROVEEDORES[[#This Row],[FECHA DE FACTURACIÓN]])</f>
        <v>2022</v>
      </c>
      <c r="W1152" s="114">
        <f>+MATCH(PROVEEDORES[[#This Row],[año facturado]],Retenciones!$1:$1,0)</f>
        <v>5</v>
      </c>
      <c r="X1152" s="115">
        <f>+VLOOKUP(PROVEEDORES[[#This Row],[ID RETENCION]],Retenciones!$A$1:$O$25,PROVEEDORES[[#This Row],[indicador de columna]],FALSE)</f>
        <v>0</v>
      </c>
      <c r="Y1152" s="116">
        <f>+VLOOKUP(PROVEEDORES[[#This Row],[ID RETENCION]],Retenciones!$A$1:$O$25,2,FALSE)</f>
        <v>0</v>
      </c>
      <c r="Z1152" s="125" t="b">
        <f>OR(COUNTIF(PROVEEDORES[[#This Row],[PROVEEDOR]],"*"&amp;'Palabra no opera'!$A$2&amp;"*"))</f>
        <v>0</v>
      </c>
      <c r="AA1152" s="24"/>
      <c r="AB1152" s="24"/>
      <c r="AC1152" s="24"/>
      <c r="AD1152" s="24"/>
      <c r="AE1152" s="24"/>
    </row>
    <row r="1153" spans="1:31" ht="22.2" customHeight="1" x14ac:dyDescent="0.3">
      <c r="A1153" s="178" t="str">
        <f>+IF(PROVEEDORES[[#This Row],[FECHA DE PAGO]]=PROVEEDORES[[#This Row],[FECHA DE FACTURACIÓN]],"DE CONTADO","CRÉDITO")</f>
        <v>CRÉDITO</v>
      </c>
      <c r="B1153" s="38" t="b">
        <f>+IF((PROVEEDORES[[#This Row],[FECHA DE PAGO]]-PROVEEDORES[[#This Row],[FECHA DE FACTURACIÓN]])&gt;PROVEEDORES[[#This Row],[PLAZO Días]],"PAGO VENCIDO")</f>
        <v>0</v>
      </c>
      <c r="C1153" s="20">
        <f>+VLOOKUP(PROVEEDORES[[#This Row],[PROVEEDOR]],TERCEROS_INFO[#All],2,FALSE)</f>
        <v>13</v>
      </c>
      <c r="D1153" s="25">
        <f>+SUMIFS(PROVEEDORES[Total],PROVEEDORES[PROVEEDOR],PROVEEDORES[[#This Row],[PROVEEDOR]],PROVEEDORES[FECHA DE PAGO],"")</f>
        <v>0</v>
      </c>
      <c r="E1153" s="25"/>
      <c r="F1153" s="58">
        <f>+VLOOKUP(PROVEEDORES[[#This Row],[PROVEEDOR]],
                       Terceros!$A:$F,
                       5,
                       FALSE)</f>
        <v>0</v>
      </c>
      <c r="G1153" s="161">
        <v>44750</v>
      </c>
      <c r="H1153" s="26" t="s">
        <v>934</v>
      </c>
      <c r="I1153" s="161">
        <v>44743</v>
      </c>
      <c r="J1153" s="35"/>
      <c r="K1153" s="21">
        <v>1055464</v>
      </c>
      <c r="L1153" s="21"/>
      <c r="M1153" s="22">
        <f>(PROVEEDORES[[#This Row],[SUBTOTAL]]-PROVEEDORES[[#This Row],[descuento sobre subtotal]])*VLOOKUP(PROVEEDORES[[#This Row],[PROVEEDOR]],TERCEROS_INFO[#All],3,FALSE)</f>
        <v>0</v>
      </c>
      <c r="N1153" s="23"/>
      <c r="O1153" s="22">
        <f>+PROVEEDORES[[#This Row],[Descuento sobre subtotal %]]*(PROVEEDORES[[#This Row],[SUBTOTAL]]-PROVEEDORES[[#This Row],[descuento sobre subtotal]])</f>
        <v>0</v>
      </c>
      <c r="P1153" s="83">
        <f>+IF(PROVEEDORES[[#This Row],[SUBTOTAL]]&lt;PROVEEDORES[[#This Row],[base retencion]],0,PROVEEDORES[[#This Row],[retención aplicada]])</f>
        <v>0</v>
      </c>
      <c r="Q1153" s="22">
        <f>+PROVEEDORES[[#This Row],[Rete Fuente %]]*(PROVEEDORES[[#This Row],[SUBTOTAL]]-PROVEEDORES[[#This Row],[descuento sobre subtotal]])</f>
        <v>0</v>
      </c>
      <c r="R1153" s="21">
        <f>+PROVEEDORES[[#This Row],[SUBTOTAL]]+PROVEEDORES[[#This Row],[IVA 19%]]-PROVEEDORES[[#This Row],[descuento sobre subtotal]]-PROVEEDORES[[#This Row],[Descuento sobre subtotal $2]]-PROVEEDORES[[#This Row],[Rete Fuente $]]</f>
        <v>1055464</v>
      </c>
      <c r="S1153" s="17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68">
        <f ca="1">IF(PROVEEDORES[[#This Row],[FECHA DE PAGO]]=0,TODAY()-PROVEEDORES[[#This Row],[FECHA DE FACTURACIÓN]]-PROVEEDORES[[#This Row],[PLAZO Días]],0)</f>
        <v>0</v>
      </c>
      <c r="U1153" s="113">
        <f>+VLOOKUP(PROVEEDORES[[#This Row],[PROVEEDOR]],Terceros!$A:$D,4,FALSE)</f>
        <v>0</v>
      </c>
      <c r="V1153" s="114">
        <f>+YEAR(PROVEEDORES[[#This Row],[FECHA DE FACTURACIÓN]])</f>
        <v>2022</v>
      </c>
      <c r="W1153" s="114">
        <f>+MATCH(PROVEEDORES[[#This Row],[año facturado]],Retenciones!$1:$1,0)</f>
        <v>5</v>
      </c>
      <c r="X1153" s="115">
        <f>+VLOOKUP(PROVEEDORES[[#This Row],[ID RETENCION]],Retenciones!$A$1:$O$25,PROVEEDORES[[#This Row],[indicador de columna]],FALSE)</f>
        <v>0</v>
      </c>
      <c r="Y1153" s="116">
        <f>+VLOOKUP(PROVEEDORES[[#This Row],[ID RETENCION]],Retenciones!$A$1:$O$25,2,FALSE)</f>
        <v>0</v>
      </c>
      <c r="Z1153" s="125" t="b">
        <f>OR(COUNTIF(PROVEEDORES[[#This Row],[PROVEEDOR]],"*"&amp;'Palabra no opera'!$A$2&amp;"*"))</f>
        <v>1</v>
      </c>
      <c r="AA1153" s="24"/>
      <c r="AB1153" s="24"/>
      <c r="AC1153" s="24"/>
      <c r="AD1153" s="24"/>
      <c r="AE1153" s="24"/>
    </row>
    <row r="1154" spans="1:31" ht="22.2" customHeight="1" x14ac:dyDescent="0.3">
      <c r="A1154" s="66" t="str">
        <f>+IF(PROVEEDORES[[#This Row],[FECHA DE PAGO]]=PROVEEDORES[[#This Row],[FECHA DE FACTURACIÓN]],"DE CONTADO","CRÉDITO")</f>
        <v>CRÉDITO</v>
      </c>
      <c r="B1154" s="38" t="str">
        <f>+IF((PROVEEDORES[[#This Row],[FECHA DE PAGO]]-PROVEEDORES[[#This Row],[FECHA DE FACTURACIÓN]])&gt;PROVEEDORES[[#This Row],[PLAZO Días]],"PAGO VENCIDO")</f>
        <v>PAGO VENCIDO</v>
      </c>
      <c r="C1154" s="20">
        <f>+VLOOKUP(PROVEEDORES[[#This Row],[PROVEEDOR]],TERCEROS_INFO[#All],2,FALSE)</f>
        <v>10</v>
      </c>
      <c r="D1154" s="25">
        <f>+SUMIFS(PROVEEDORES[Total],PROVEEDORES[PROVEEDOR],PROVEEDORES[[#This Row],[PROVEEDOR]],PROVEEDORES[FECHA DE PAGO],"")</f>
        <v>0</v>
      </c>
      <c r="E1154" s="25"/>
      <c r="F1154" s="58" t="str">
        <f>+VLOOKUP(PROVEEDORES[[#This Row],[PROVEEDOR]],
                       Terceros!$A:$F,
                       5,
                       FALSE)</f>
        <v>carloseuristika@hotmail.com;girlesa.ruiz@servipilas.com;joriescobar64@gmail.com</v>
      </c>
      <c r="G1154" s="161">
        <v>44574</v>
      </c>
      <c r="H1154" s="26" t="s">
        <v>637</v>
      </c>
      <c r="I1154" s="161">
        <v>44562</v>
      </c>
      <c r="J1154" s="35"/>
      <c r="K1154" s="21">
        <v>1060000</v>
      </c>
      <c r="L1154" s="21"/>
      <c r="M1154" s="22">
        <f>(PROVEEDORES[[#This Row],[SUBTOTAL]]-PROVEEDORES[[#This Row],[descuento sobre subtotal]])*VLOOKUP(PROVEEDORES[[#This Row],[PROVEEDOR]],TERCEROS_INFO[#All],3,FALSE)</f>
        <v>0</v>
      </c>
      <c r="N1154" s="23"/>
      <c r="O1154" s="22">
        <f>+PROVEEDORES[[#This Row],[Descuento sobre subtotal %]]*(PROVEEDORES[[#This Row],[SUBTOTAL]]-PROVEEDORES[[#This Row],[descuento sobre subtotal]])</f>
        <v>0</v>
      </c>
      <c r="P1154" s="83">
        <f>+IF(PROVEEDORES[[#This Row],[SUBTOTAL]]&lt;PROVEEDORES[[#This Row],[base retencion]],0,PROVEEDORES[[#This Row],[retención aplicada]])</f>
        <v>0</v>
      </c>
      <c r="Q1154" s="22">
        <f>+PROVEEDORES[[#This Row],[Rete Fuente %]]*(PROVEEDORES[[#This Row],[SUBTOTAL]]-PROVEEDORES[[#This Row],[descuento sobre subtotal]])</f>
        <v>0</v>
      </c>
      <c r="R1154" s="21">
        <v>1060000</v>
      </c>
      <c r="S11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68">
        <f ca="1">IF(PROVEEDORES[[#This Row],[FECHA DE PAGO]]=0,TODAY()-PROVEEDORES[[#This Row],[FECHA DE FACTURACIÓN]]-PROVEEDORES[[#This Row],[PLAZO Días]],0)</f>
        <v>0</v>
      </c>
      <c r="U1154" s="96">
        <f>+VLOOKUP(PROVEEDORES[[#This Row],[PROVEEDOR]],Terceros!$A:$D,4,FALSE)</f>
        <v>0</v>
      </c>
      <c r="V1154" s="97">
        <f>+YEAR(PROVEEDORES[[#This Row],[FECHA DE FACTURACIÓN]])</f>
        <v>2022</v>
      </c>
      <c r="W1154" s="97">
        <f>+MATCH(PROVEEDORES[[#This Row],[año facturado]],Retenciones!$1:$1,0)</f>
        <v>5</v>
      </c>
      <c r="X1154" s="98">
        <f>+VLOOKUP(PROVEEDORES[[#This Row],[ID RETENCION]],Retenciones!$A$1:$O$25,PROVEEDORES[[#This Row],[indicador de columna]],FALSE)</f>
        <v>0</v>
      </c>
      <c r="Y1154" s="99">
        <f>+VLOOKUP(PROVEEDORES[[#This Row],[ID RETENCION]],Retenciones!$A$1:$O$25,2,FALSE)</f>
        <v>0</v>
      </c>
      <c r="Z1154" s="125" t="b">
        <f>OR(COUNTIF(PROVEEDORES[[#This Row],[PROVEEDOR]],"*"&amp;'Palabra no opera'!$A$2&amp;"*"))</f>
        <v>0</v>
      </c>
      <c r="AA1154" s="24"/>
      <c r="AB1154" s="24"/>
      <c r="AC1154" s="24"/>
      <c r="AD1154" s="24"/>
      <c r="AE1154" s="24"/>
    </row>
    <row r="1155" spans="1:31" ht="22.2" customHeight="1" x14ac:dyDescent="0.3">
      <c r="A1155" s="72" t="str">
        <f>+IF(PROVEEDORES[[#This Row],[FECHA DE PAGO]]=PROVEEDORES[[#This Row],[FECHA DE FACTURACIÓN]],"DE CONTADO","CRÉDITO")</f>
        <v>DE CONTADO</v>
      </c>
      <c r="B1155" s="38" t="b">
        <f>+IF((PROVEEDORES[[#This Row],[FECHA DE PAGO]]-PROVEEDORES[[#This Row],[FECHA DE FACTURACIÓN]])&gt;PROVEEDORES[[#This Row],[PLAZO Días]],"PAGO VENCIDO")</f>
        <v>0</v>
      </c>
      <c r="C1155" s="20">
        <f>+VLOOKUP(PROVEEDORES[[#This Row],[PROVEEDOR]],TERCEROS_INFO[#All],2,FALSE)</f>
        <v>30</v>
      </c>
      <c r="D1155" s="25">
        <f>+SUMIFS(PROVEEDORES[Total],PROVEEDORES[PROVEEDOR],PROVEEDORES[[#This Row],[PROVEEDOR]],PROVEEDORES[FECHA DE PAGO],"")</f>
        <v>0</v>
      </c>
      <c r="E1155" s="25"/>
      <c r="F1155" s="58" t="str">
        <f>+VLOOKUP(PROVEEDORES[[#This Row],[PROVEEDOR]],
                       Terceros!$A:$F,
                       5,
                       FALSE)</f>
        <v/>
      </c>
      <c r="G1155" s="161">
        <v>44841</v>
      </c>
      <c r="H1155" s="26" t="s">
        <v>1771</v>
      </c>
      <c r="I1155" s="161">
        <v>44841</v>
      </c>
      <c r="J1155" s="35" t="s">
        <v>1772</v>
      </c>
      <c r="K1155" s="21">
        <v>1060000</v>
      </c>
      <c r="L1155" s="21"/>
      <c r="M1155" s="22">
        <f>(PROVEEDORES[[#This Row],[SUBTOTAL]]-PROVEEDORES[[#This Row],[descuento sobre subtotal]])*VLOOKUP(PROVEEDORES[[#This Row],[PROVEEDOR]],TERCEROS_INFO[#All],3,FALSE)</f>
        <v>0</v>
      </c>
      <c r="N1155" s="23"/>
      <c r="O1155" s="22">
        <f>+PROVEEDORES[[#This Row],[Descuento sobre subtotal %]]*(PROVEEDORES[[#This Row],[SUBTOTAL]]-PROVEEDORES[[#This Row],[descuento sobre subtotal]])</f>
        <v>0</v>
      </c>
      <c r="P1155" s="83">
        <f>+IF(PROVEEDORES[[#This Row],[SUBTOTAL]]&lt;PROVEEDORES[[#This Row],[base retencion]],0,PROVEEDORES[[#This Row],[retención aplicada]])</f>
        <v>0</v>
      </c>
      <c r="Q1155" s="22">
        <f>+PROVEEDORES[[#This Row],[Rete Fuente %]]*(PROVEEDORES[[#This Row],[SUBTOTAL]]-PROVEEDORES[[#This Row],[descuento sobre subtotal]])</f>
        <v>0</v>
      </c>
      <c r="R1155" s="21">
        <f>+PROVEEDORES[[#This Row],[SUBTOTAL]]+PROVEEDORES[[#This Row],[IVA 19%]]-PROVEEDORES[[#This Row],[descuento sobre subtotal]]-PROVEEDORES[[#This Row],[Descuento sobre subtotal $2]]-PROVEEDORES[[#This Row],[Rete Fuente $]]</f>
        <v>1060000</v>
      </c>
      <c r="S115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68">
        <f ca="1">IF(PROVEEDORES[[#This Row],[FECHA DE PAGO]]=0,TODAY()-PROVEEDORES[[#This Row],[FECHA DE FACTURACIÓN]]-PROVEEDORES[[#This Row],[PLAZO Días]],0)</f>
        <v>0</v>
      </c>
      <c r="U1155" s="113">
        <f>+VLOOKUP(PROVEEDORES[[#This Row],[PROVEEDOR]],Terceros!$A:$D,4,FALSE)</f>
        <v>0</v>
      </c>
      <c r="V1155" s="114">
        <f>+YEAR(PROVEEDORES[[#This Row],[FECHA DE FACTURACIÓN]])</f>
        <v>2022</v>
      </c>
      <c r="W1155" s="114">
        <f>+MATCH(PROVEEDORES[[#This Row],[año facturado]],Retenciones!$1:$1,0)</f>
        <v>5</v>
      </c>
      <c r="X1155" s="115">
        <f>+VLOOKUP(PROVEEDORES[[#This Row],[ID RETENCION]],Retenciones!$A$1:$O$25,PROVEEDORES[[#This Row],[indicador de columna]],FALSE)</f>
        <v>0</v>
      </c>
      <c r="Y1155" s="116">
        <f>+VLOOKUP(PROVEEDORES[[#This Row],[ID RETENCION]],Retenciones!$A$1:$O$25,2,FALSE)</f>
        <v>0</v>
      </c>
      <c r="Z1155" s="125" t="b">
        <f>OR(COUNTIF(PROVEEDORES[[#This Row],[PROVEEDOR]],"*"&amp;'Palabra no opera'!$A$2&amp;"*"))</f>
        <v>0</v>
      </c>
      <c r="AA1155" s="24"/>
      <c r="AB1155" s="24"/>
      <c r="AC1155" s="24"/>
      <c r="AD1155" s="24"/>
      <c r="AE1155" s="24"/>
    </row>
    <row r="1156" spans="1:31" ht="22.2" customHeight="1" x14ac:dyDescent="0.3">
      <c r="A1156" s="66" t="str">
        <f>+IF(PROVEEDORES[[#This Row],[FECHA DE PAGO]]=PROVEEDORES[[#This Row],[FECHA DE FACTURACIÓN]],"DE CONTADO","CRÉDITO")</f>
        <v>CRÉDITO</v>
      </c>
      <c r="B1156" s="38" t="str">
        <f>+IF((PROVEEDORES[[#This Row],[FECHA DE PAGO]]-PROVEEDORES[[#This Row],[FECHA DE FACTURACIÓN]])&gt;PROVEEDORES[[#This Row],[PLAZO Días]],"PAGO VENCIDO")</f>
        <v>PAGO VENCIDO</v>
      </c>
      <c r="C1156" s="20">
        <f>+VLOOKUP(PROVEEDORES[[#This Row],[PROVEEDOR]],TERCEROS_INFO[#All],2,FALSE)</f>
        <v>45</v>
      </c>
      <c r="D1156" s="25">
        <f>+SUMIFS(PROVEEDORES[Total],PROVEEDORES[PROVEEDOR],PROVEEDORES[[#This Row],[PROVEEDOR]],PROVEEDORES[FECHA DE PAGO],"")</f>
        <v>2604910</v>
      </c>
      <c r="E1156" s="25"/>
      <c r="F115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56" s="161">
        <v>44369</v>
      </c>
      <c r="H1156" s="26" t="s">
        <v>10</v>
      </c>
      <c r="I1156" s="161">
        <v>44307</v>
      </c>
      <c r="J1156" s="35" t="s">
        <v>296</v>
      </c>
      <c r="K1156" s="21">
        <v>894000</v>
      </c>
      <c r="L1156" s="21"/>
      <c r="M1156" s="22">
        <f>(PROVEEDORES[[#This Row],[SUBTOTAL]]-PROVEEDORES[[#This Row],[descuento sobre subtotal]])*VLOOKUP(PROVEEDORES[[#This Row],[PROVEEDOR]],TERCEROS_INFO[#All],3,FALSE)</f>
        <v>169860</v>
      </c>
      <c r="N1156" s="23"/>
      <c r="O1156" s="22">
        <f>+PROVEEDORES[[#This Row],[Descuento sobre subtotal %]]*(PROVEEDORES[[#This Row],[SUBTOTAL]]-PROVEEDORES[[#This Row],[descuento sobre subtotal]])</f>
        <v>0</v>
      </c>
      <c r="P1156" s="83">
        <f>+IF(PROVEEDORES[[#This Row],[SUBTOTAL]]&lt;PROVEEDORES[[#This Row],[base retencion]],0,PROVEEDORES[[#This Row],[retención aplicada]])</f>
        <v>0</v>
      </c>
      <c r="Q1156" s="22">
        <f>+PROVEEDORES[[#This Row],[Rete Fuente %]]*(PROVEEDORES[[#This Row],[SUBTOTAL]]-PROVEEDORES[[#This Row],[descuento sobre subtotal]])</f>
        <v>0</v>
      </c>
      <c r="R1156" s="21">
        <f>+PROVEEDORES[[#This Row],[SUBTOTAL]]+PROVEEDORES[[#This Row],[IVA 19%]]-PROVEEDORES[[#This Row],[descuento sobre subtotal]]-PROVEEDORES[[#This Row],[Descuento sobre subtotal $2]]-PROVEEDORES[[#This Row],[Rete Fuente $]]</f>
        <v>1063860</v>
      </c>
      <c r="S11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68">
        <f ca="1">IF(PROVEEDORES[[#This Row],[FECHA DE PAGO]]=0,TODAY()-PROVEEDORES[[#This Row],[FECHA DE FACTURACIÓN]]-PROVEEDORES[[#This Row],[PLAZO Días]],0)</f>
        <v>0</v>
      </c>
      <c r="U1156" s="96">
        <f>+VLOOKUP(PROVEEDORES[[#This Row],[PROVEEDOR]],Terceros!$A:$D,4,FALSE)</f>
        <v>0</v>
      </c>
      <c r="V1156" s="97">
        <f>+YEAR(PROVEEDORES[[#This Row],[FECHA DE FACTURACIÓN]])</f>
        <v>2021</v>
      </c>
      <c r="W1156" s="97">
        <f>+MATCH(PROVEEDORES[[#This Row],[año facturado]],Retenciones!$1:$1,0)</f>
        <v>4</v>
      </c>
      <c r="X1156" s="98">
        <f>+VLOOKUP(PROVEEDORES[[#This Row],[ID RETENCION]],Retenciones!$A$1:$O$25,PROVEEDORES[[#This Row],[indicador de columna]],FALSE)</f>
        <v>0</v>
      </c>
      <c r="Y1156" s="99">
        <f>+VLOOKUP(PROVEEDORES[[#This Row],[ID RETENCION]],Retenciones!$A$1:$O$25,2,FALSE)</f>
        <v>0</v>
      </c>
      <c r="Z1156" s="125" t="b">
        <f>OR(COUNTIF(PROVEEDORES[[#This Row],[PROVEEDOR]],"*"&amp;'Palabra no opera'!$A$2&amp;"*"))</f>
        <v>0</v>
      </c>
      <c r="AA1156" s="24"/>
      <c r="AB1156" s="24"/>
      <c r="AC1156" s="24"/>
      <c r="AD1156" s="24"/>
      <c r="AE1156" s="24"/>
    </row>
    <row r="1157" spans="1:31" ht="22.2" customHeight="1" x14ac:dyDescent="0.3">
      <c r="A1157" s="66" t="str">
        <f>+IF(PROVEEDORES[[#This Row],[FECHA DE PAGO]]=PROVEEDORES[[#This Row],[FECHA DE FACTURACIÓN]],"DE CONTADO","CRÉDITO")</f>
        <v>CRÉDITO</v>
      </c>
      <c r="B1157" s="38" t="b">
        <f>+IF((PROVEEDORES[[#This Row],[FECHA DE PAGO]]-PROVEEDORES[[#This Row],[FECHA DE FACTURACIÓN]])&gt;PROVEEDORES[[#This Row],[PLAZO Días]],"PAGO VENCIDO")</f>
        <v>0</v>
      </c>
      <c r="C1157" s="20">
        <f>+VLOOKUP(PROVEEDORES[[#This Row],[PROVEEDOR]],TERCEROS_INFO[#All],2,FALSE)</f>
        <v>30</v>
      </c>
      <c r="D1157" s="25">
        <f>+SUMIFS(PROVEEDORES[Total],PROVEEDORES[PROVEEDOR],PROVEEDORES[[#This Row],[PROVEEDOR]],PROVEEDORES[FECHA DE PAGO],"")</f>
        <v>2318500</v>
      </c>
      <c r="E1157" s="25"/>
      <c r="F1157" s="58" t="str">
        <f>+VLOOKUP(PROVEEDORES[[#This Row],[PROVEEDOR]],
                       Terceros!$A:$F,
                       5,
                       FALSE)</f>
        <v/>
      </c>
      <c r="G1157" s="161">
        <v>44391</v>
      </c>
      <c r="H1157" s="26" t="s">
        <v>629</v>
      </c>
      <c r="I1157" s="161">
        <v>44363</v>
      </c>
      <c r="J1157" s="35" t="s">
        <v>1248</v>
      </c>
      <c r="K1157" s="21">
        <v>1065000</v>
      </c>
      <c r="L1157" s="21"/>
      <c r="M1157" s="22">
        <f>(PROVEEDORES[[#This Row],[SUBTOTAL]]-PROVEEDORES[[#This Row],[descuento sobre subtotal]])*VLOOKUP(PROVEEDORES[[#This Row],[PROVEEDOR]],TERCEROS_INFO[#All],3,FALSE)</f>
        <v>0</v>
      </c>
      <c r="N1157" s="23"/>
      <c r="O1157" s="22">
        <f>+PROVEEDORES[[#This Row],[Descuento sobre subtotal %]]*(PROVEEDORES[[#This Row],[SUBTOTAL]]-PROVEEDORES[[#This Row],[descuento sobre subtotal]])</f>
        <v>0</v>
      </c>
      <c r="P1157" s="83">
        <f>+IF(PROVEEDORES[[#This Row],[SUBTOTAL]]&lt;PROVEEDORES[[#This Row],[base retencion]],0,PROVEEDORES[[#This Row],[retención aplicada]])</f>
        <v>0</v>
      </c>
      <c r="Q1157" s="22">
        <f>+PROVEEDORES[[#This Row],[Rete Fuente %]]*(PROVEEDORES[[#This Row],[SUBTOTAL]]-PROVEEDORES[[#This Row],[descuento sobre subtotal]])</f>
        <v>0</v>
      </c>
      <c r="R1157" s="21">
        <f>+PROVEEDORES[[#This Row],[SUBTOTAL]]+PROVEEDORES[[#This Row],[IVA 19%]]-PROVEEDORES[[#This Row],[descuento sobre subtotal]]-PROVEEDORES[[#This Row],[Descuento sobre subtotal $2]]-PROVEEDORES[[#This Row],[Rete Fuente $]]</f>
        <v>1065000</v>
      </c>
      <c r="S11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68">
        <f ca="1">IF(PROVEEDORES[[#This Row],[FECHA DE PAGO]]=0,TODAY()-PROVEEDORES[[#This Row],[FECHA DE FACTURACIÓN]]-PROVEEDORES[[#This Row],[PLAZO Días]],0)</f>
        <v>0</v>
      </c>
      <c r="U1157" s="96">
        <f>+VLOOKUP(PROVEEDORES[[#This Row],[PROVEEDOR]],Terceros!$A:$D,4,FALSE)</f>
        <v>0</v>
      </c>
      <c r="V1157" s="97">
        <f>+YEAR(PROVEEDORES[[#This Row],[FECHA DE FACTURACIÓN]])</f>
        <v>2021</v>
      </c>
      <c r="W1157" s="97">
        <f>+MATCH(PROVEEDORES[[#This Row],[año facturado]],Retenciones!$1:$1,0)</f>
        <v>4</v>
      </c>
      <c r="X1157" s="98">
        <f>+VLOOKUP(PROVEEDORES[[#This Row],[ID RETENCION]],Retenciones!$A$1:$O$25,PROVEEDORES[[#This Row],[indicador de columna]],FALSE)</f>
        <v>0</v>
      </c>
      <c r="Y1157" s="99">
        <f>+VLOOKUP(PROVEEDORES[[#This Row],[ID RETENCION]],Retenciones!$A$1:$O$25,2,FALSE)</f>
        <v>0</v>
      </c>
      <c r="Z1157" s="125" t="b">
        <f>OR(COUNTIF(PROVEEDORES[[#This Row],[PROVEEDOR]],"*"&amp;'Palabra no opera'!$A$2&amp;"*"))</f>
        <v>0</v>
      </c>
      <c r="AA1157" s="24"/>
      <c r="AB1157" s="24"/>
      <c r="AC1157" s="24"/>
      <c r="AD1157" s="24"/>
      <c r="AE1157" s="24"/>
    </row>
    <row r="1158" spans="1:31" ht="22.2" customHeight="1" x14ac:dyDescent="0.3">
      <c r="A1158" s="66" t="str">
        <f>+IF(PROVEEDORES[[#This Row],[FECHA DE PAGO]]=PROVEEDORES[[#This Row],[FECHA DE FACTURACIÓN]],"DE CONTADO","CRÉDITO")</f>
        <v>CRÉDITO</v>
      </c>
      <c r="B1158" s="38" t="str">
        <f>+IF((PROVEEDORES[[#This Row],[FECHA DE PAGO]]-PROVEEDORES[[#This Row],[FECHA DE FACTURACIÓN]])&gt;PROVEEDORES[[#This Row],[PLAZO Días]],"PAGO VENCIDO")</f>
        <v>PAGO VENCIDO</v>
      </c>
      <c r="C1158" s="20">
        <f>+VLOOKUP(PROVEEDORES[[#This Row],[PROVEEDOR]],TERCEROS_INFO[#All],2,FALSE)</f>
        <v>30</v>
      </c>
      <c r="D1158" s="25">
        <f>+SUMIFS(PROVEEDORES[Total],PROVEEDORES[PROVEEDOR],PROVEEDORES[[#This Row],[PROVEEDOR]],PROVEEDORES[FECHA DE PAGO],"")</f>
        <v>0</v>
      </c>
      <c r="E1158" s="25"/>
      <c r="F115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58" s="161">
        <v>44348</v>
      </c>
      <c r="H1158" s="26" t="s">
        <v>20</v>
      </c>
      <c r="I1158" s="161">
        <v>44306</v>
      </c>
      <c r="J1158" s="35">
        <v>3909</v>
      </c>
      <c r="K1158" s="21">
        <v>898920</v>
      </c>
      <c r="L1158" s="21"/>
      <c r="M1158" s="22">
        <f>(PROVEEDORES[[#This Row],[SUBTOTAL]]-PROVEEDORES[[#This Row],[descuento sobre subtotal]])*VLOOKUP(PROVEEDORES[[#This Row],[PROVEEDOR]],TERCEROS_INFO[#All],3,FALSE)</f>
        <v>170794.8</v>
      </c>
      <c r="N1158" s="23"/>
      <c r="O1158" s="22">
        <f>+PROVEEDORES[[#This Row],[Descuento sobre subtotal %]]*(PROVEEDORES[[#This Row],[SUBTOTAL]]-PROVEEDORES[[#This Row],[descuento sobre subtotal]])</f>
        <v>0</v>
      </c>
      <c r="P1158" s="83">
        <f>+IF(PROVEEDORES[[#This Row],[SUBTOTAL]]&lt;PROVEEDORES[[#This Row],[base retencion]],0,PROVEEDORES[[#This Row],[retención aplicada]])</f>
        <v>0</v>
      </c>
      <c r="Q1158" s="22">
        <f>+PROVEEDORES[[#This Row],[Rete Fuente %]]*(PROVEEDORES[[#This Row],[SUBTOTAL]]-PROVEEDORES[[#This Row],[descuento sobre subtotal]])</f>
        <v>0</v>
      </c>
      <c r="R1158" s="21">
        <f>+PROVEEDORES[[#This Row],[SUBTOTAL]]+PROVEEDORES[[#This Row],[IVA 19%]]-PROVEEDORES[[#This Row],[descuento sobre subtotal]]-PROVEEDORES[[#This Row],[Descuento sobre subtotal $2]]-PROVEEDORES[[#This Row],[Rete Fuente $]]</f>
        <v>1069714.8</v>
      </c>
      <c r="S11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68">
        <f ca="1">IF(PROVEEDORES[[#This Row],[FECHA DE PAGO]]=0,TODAY()-PROVEEDORES[[#This Row],[FECHA DE FACTURACIÓN]]-PROVEEDORES[[#This Row],[PLAZO Días]],0)</f>
        <v>0</v>
      </c>
      <c r="U1158" s="96" t="str">
        <f>+VLOOKUP(PROVEEDORES[[#This Row],[PROVEEDOR]],Terceros!$A:$D,4,FALSE)</f>
        <v>2,5% con base</v>
      </c>
      <c r="V1158" s="97">
        <f>+YEAR(PROVEEDORES[[#This Row],[FECHA DE FACTURACIÓN]])</f>
        <v>2021</v>
      </c>
      <c r="W1158" s="97">
        <f>+MATCH(PROVEEDORES[[#This Row],[año facturado]],Retenciones!$1:$1,0)</f>
        <v>4</v>
      </c>
      <c r="X1158" s="98">
        <f>+VLOOKUP(PROVEEDORES[[#This Row],[ID RETENCION]],Retenciones!$A$1:$O$25,PROVEEDORES[[#This Row],[indicador de columna]],FALSE)</f>
        <v>980000</v>
      </c>
      <c r="Y1158" s="99">
        <f>+VLOOKUP(PROVEEDORES[[#This Row],[ID RETENCION]],Retenciones!$A$1:$O$25,2,FALSE)</f>
        <v>2.5000000000000001E-2</v>
      </c>
      <c r="Z1158" s="125" t="b">
        <f>OR(COUNTIF(PROVEEDORES[[#This Row],[PROVEEDOR]],"*"&amp;'Palabra no opera'!$A$2&amp;"*"))</f>
        <v>0</v>
      </c>
      <c r="AA1158" s="24"/>
      <c r="AB1158" s="24"/>
      <c r="AC1158" s="24"/>
      <c r="AD1158" s="24"/>
      <c r="AE1158" s="24"/>
    </row>
    <row r="1159" spans="1:31" ht="22.2" customHeight="1" x14ac:dyDescent="0.3">
      <c r="A1159" s="199" t="str">
        <f>+IF(PROVEEDORES[[#This Row],[FECHA DE PAGO]]=PROVEEDORES[[#This Row],[FECHA DE FACTURACIÓN]],"DE CONTADO","CRÉDITO")</f>
        <v>CRÉDITO</v>
      </c>
      <c r="B1159" s="38" t="b">
        <f>+IF((PROVEEDORES[[#This Row],[FECHA DE PAGO]]-PROVEEDORES[[#This Row],[FECHA DE FACTURACIÓN]])&gt;PROVEEDORES[[#This Row],[PLAZO Días]],"PAGO VENCIDO")</f>
        <v>0</v>
      </c>
      <c r="C1159" s="20">
        <f>+VLOOKUP(PROVEEDORES[[#This Row],[PROVEEDOR]],TERCEROS_INFO[#All],2,FALSE)</f>
        <v>30</v>
      </c>
      <c r="D1159" s="25">
        <f>+SUMIFS(PROVEEDORES[Total],PROVEEDORES[PROVEEDOR],PROVEEDORES[[#This Row],[PROVEEDOR]],PROVEEDORES[FECHA DE PAGO],"")</f>
        <v>0</v>
      </c>
      <c r="E1159" s="25"/>
      <c r="F1159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159" s="161">
        <v>44796</v>
      </c>
      <c r="H1159" s="26" t="s">
        <v>930</v>
      </c>
      <c r="I1159" s="161">
        <v>44783</v>
      </c>
      <c r="J1159" s="35" t="s">
        <v>1178</v>
      </c>
      <c r="K1159" s="21">
        <v>1070000</v>
      </c>
      <c r="L1159" s="21"/>
      <c r="M1159" s="22">
        <f>(PROVEEDORES[[#This Row],[SUBTOTAL]]-PROVEEDORES[[#This Row],[descuento sobre subtotal]])*VLOOKUP(PROVEEDORES[[#This Row],[PROVEEDOR]],TERCEROS_INFO[#All],3,FALSE)</f>
        <v>0</v>
      </c>
      <c r="N1159" s="23"/>
      <c r="O1159" s="22">
        <f>+PROVEEDORES[[#This Row],[Descuento sobre subtotal %]]*(PROVEEDORES[[#This Row],[SUBTOTAL]]-PROVEEDORES[[#This Row],[descuento sobre subtotal]])</f>
        <v>0</v>
      </c>
      <c r="P1159" s="83">
        <v>0</v>
      </c>
      <c r="Q1159" s="22">
        <f>+PROVEEDORES[[#This Row],[Rete Fuente %]]*(PROVEEDORES[[#This Row],[SUBTOTAL]]-PROVEEDORES[[#This Row],[descuento sobre subtotal]])</f>
        <v>0</v>
      </c>
      <c r="R1159" s="21">
        <f>+PROVEEDORES[[#This Row],[SUBTOTAL]]+PROVEEDORES[[#This Row],[IVA 19%]]-PROVEEDORES[[#This Row],[descuento sobre subtotal]]-PROVEEDORES[[#This Row],[Descuento sobre subtotal $2]]-PROVEEDORES[[#This Row],[Rete Fuente $]]</f>
        <v>1070000</v>
      </c>
      <c r="S1159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68">
        <f ca="1">IF(PROVEEDORES[[#This Row],[FECHA DE PAGO]]=0,TODAY()-PROVEEDORES[[#This Row],[FECHA DE FACTURACIÓN]]-PROVEEDORES[[#This Row],[PLAZO Días]],0)</f>
        <v>0</v>
      </c>
      <c r="U1159" s="113" t="str">
        <f>+VLOOKUP(PROVEEDORES[[#This Row],[PROVEEDOR]],Terceros!$A:$D,4,FALSE)</f>
        <v>3,5% sin base</v>
      </c>
      <c r="V1159" s="114">
        <f>+YEAR(PROVEEDORES[[#This Row],[FECHA DE FACTURACIÓN]])</f>
        <v>2022</v>
      </c>
      <c r="W1159" s="114">
        <f>+MATCH(PROVEEDORES[[#This Row],[año facturado]],Retenciones!$1:$1,0)</f>
        <v>5</v>
      </c>
      <c r="X1159" s="115">
        <f>+VLOOKUP(PROVEEDORES[[#This Row],[ID RETENCION]],Retenciones!$A$1:$O$25,PROVEEDORES[[#This Row],[indicador de columna]],FALSE)</f>
        <v>0</v>
      </c>
      <c r="Y1159" s="116">
        <f>+VLOOKUP(PROVEEDORES[[#This Row],[ID RETENCION]],Retenciones!$A$1:$O$25,2,FALSE)</f>
        <v>3.5000000000000003E-2</v>
      </c>
      <c r="Z1159" s="125" t="b">
        <f>OR(COUNTIF(PROVEEDORES[[#This Row],[PROVEEDOR]],"*"&amp;'Palabra no opera'!$A$2&amp;"*"))</f>
        <v>1</v>
      </c>
      <c r="AA1159" s="24"/>
      <c r="AB1159" s="24"/>
      <c r="AC1159" s="24"/>
      <c r="AD1159" s="24"/>
      <c r="AE1159" s="24"/>
    </row>
    <row r="1160" spans="1:31" ht="22.2" customHeight="1" x14ac:dyDescent="0.3">
      <c r="A1160" s="66" t="str">
        <f>+IF(PROVEEDORES[[#This Row],[FECHA DE PAGO]]=PROVEEDORES[[#This Row],[FECHA DE FACTURACIÓN]],"DE CONTADO","CRÉDITO")</f>
        <v>CRÉDITO</v>
      </c>
      <c r="B1160" s="38" t="str">
        <f>+IF((PROVEEDORES[[#This Row],[FECHA DE PAGO]]-PROVEEDORES[[#This Row],[FECHA DE FACTURACIÓN]])&gt;PROVEEDORES[[#This Row],[PLAZO Días]],"PAGO VENCIDO")</f>
        <v>PAGO VENCIDO</v>
      </c>
      <c r="C1160" s="20">
        <f>+VLOOKUP(PROVEEDORES[[#This Row],[PROVEEDOR]],TERCEROS_INFO[#All],2,FALSE)</f>
        <v>30</v>
      </c>
      <c r="D1160" s="25">
        <f>+SUMIFS(PROVEEDORES[Total],PROVEEDORES[PROVEEDOR],PROVEEDORES[[#This Row],[PROVEEDOR]],PROVEEDORES[FECHA DE PAGO],"")</f>
        <v>3236000</v>
      </c>
      <c r="E1160" s="25"/>
      <c r="F116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60" s="161">
        <v>44494</v>
      </c>
      <c r="H1160" s="26" t="s">
        <v>677</v>
      </c>
      <c r="I1160" s="161">
        <v>44459</v>
      </c>
      <c r="J1160" s="35" t="s">
        <v>1500</v>
      </c>
      <c r="K1160" s="21">
        <v>1082500</v>
      </c>
      <c r="L1160" s="21"/>
      <c r="M1160" s="22">
        <f>(PROVEEDORES[[#This Row],[SUBTOTAL]]-PROVEEDORES[[#This Row],[descuento sobre subtotal]])*VLOOKUP(PROVEEDORES[[#This Row],[PROVEEDOR]],TERCEROS_INFO[#All],3,FALSE)</f>
        <v>0</v>
      </c>
      <c r="N1160" s="23"/>
      <c r="O1160" s="22">
        <f>+PROVEEDORES[[#This Row],[Descuento sobre subtotal %]]*(PROVEEDORES[[#This Row],[SUBTOTAL]]-PROVEEDORES[[#This Row],[descuento sobre subtotal]])</f>
        <v>0</v>
      </c>
      <c r="P1160" s="83">
        <f>+IF(PROVEEDORES[[#This Row],[SUBTOTAL]]&lt;PROVEEDORES[[#This Row],[base retencion]],0,PROVEEDORES[[#This Row],[retención aplicada]])</f>
        <v>0</v>
      </c>
      <c r="Q1160" s="22">
        <f>+PROVEEDORES[[#This Row],[Rete Fuente %]]*(PROVEEDORES[[#This Row],[SUBTOTAL]]-PROVEEDORES[[#This Row],[descuento sobre subtotal]])</f>
        <v>0</v>
      </c>
      <c r="R1160" s="21">
        <f>+PROVEEDORES[[#This Row],[SUBTOTAL]]+PROVEEDORES[[#This Row],[IVA 19%]]-PROVEEDORES[[#This Row],[descuento sobre subtotal]]-PROVEEDORES[[#This Row],[Descuento sobre subtotal $2]]-PROVEEDORES[[#This Row],[Rete Fuente $]]</f>
        <v>1082500</v>
      </c>
      <c r="S11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68">
        <f ca="1">IF(PROVEEDORES[[#This Row],[FECHA DE PAGO]]=0,TODAY()-PROVEEDORES[[#This Row],[FECHA DE FACTURACIÓN]]-PROVEEDORES[[#This Row],[PLAZO Días]],0)</f>
        <v>0</v>
      </c>
      <c r="U1160" s="96">
        <f>+VLOOKUP(PROVEEDORES[[#This Row],[PROVEEDOR]],Terceros!$A:$D,4,FALSE)</f>
        <v>0</v>
      </c>
      <c r="V1160" s="97">
        <f>+YEAR(PROVEEDORES[[#This Row],[FECHA DE FACTURACIÓN]])</f>
        <v>2021</v>
      </c>
      <c r="W1160" s="97">
        <f>+MATCH(PROVEEDORES[[#This Row],[año facturado]],Retenciones!$1:$1,0)</f>
        <v>4</v>
      </c>
      <c r="X1160" s="98">
        <f>+VLOOKUP(PROVEEDORES[[#This Row],[ID RETENCION]],Retenciones!$A$1:$O$25,PROVEEDORES[[#This Row],[indicador de columna]],FALSE)</f>
        <v>0</v>
      </c>
      <c r="Y1160" s="99">
        <f>+VLOOKUP(PROVEEDORES[[#This Row],[ID RETENCION]],Retenciones!$A$1:$O$25,2,FALSE)</f>
        <v>0</v>
      </c>
      <c r="Z1160" s="125" t="b">
        <f>OR(COUNTIF(PROVEEDORES[[#This Row],[PROVEEDOR]],"*"&amp;'Palabra no opera'!$A$2&amp;"*"))</f>
        <v>0</v>
      </c>
      <c r="AA1160" s="24"/>
      <c r="AB1160" s="24"/>
      <c r="AC1160" s="24"/>
      <c r="AD1160" s="24"/>
      <c r="AE1160" s="24"/>
    </row>
    <row r="1161" spans="1:31" ht="22.2" customHeight="1" x14ac:dyDescent="0.3">
      <c r="A1161" s="66" t="str">
        <f>+IF(PROVEEDORES[[#This Row],[FECHA DE PAGO]]=PROVEEDORES[[#This Row],[FECHA DE FACTURACIÓN]],"DE CONTADO","CRÉDITO")</f>
        <v>CRÉDITO</v>
      </c>
      <c r="B1161" s="38" t="str">
        <f>+IF((PROVEEDORES[[#This Row],[FECHA DE PAGO]]-PROVEEDORES[[#This Row],[FECHA DE FACTURACIÓN]])&gt;PROVEEDORES[[#This Row],[PLAZO Días]],"PAGO VENCIDO")</f>
        <v>PAGO VENCIDO</v>
      </c>
      <c r="C1161" s="20">
        <f>+VLOOKUP(PROVEEDORES[[#This Row],[PROVEEDOR]],TERCEROS_INFO[#All],2,FALSE)</f>
        <v>30</v>
      </c>
      <c r="D1161" s="25">
        <f>+SUMIFS(PROVEEDORES[Total],PROVEEDORES[PROVEEDOR],PROVEEDORES[[#This Row],[PROVEEDOR]],PROVEEDORES[FECHA DE PAGO],"")</f>
        <v>1127400.05</v>
      </c>
      <c r="E1161" s="25"/>
      <c r="F116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161" s="161">
        <v>44403</v>
      </c>
      <c r="H1161" s="26" t="s">
        <v>47</v>
      </c>
      <c r="I1161" s="161">
        <v>44352</v>
      </c>
      <c r="J1161" s="35">
        <v>28795</v>
      </c>
      <c r="K1161" s="21">
        <v>910879</v>
      </c>
      <c r="L1161" s="21"/>
      <c r="M1161" s="22">
        <f>(PROVEEDORES[[#This Row],[SUBTOTAL]]-PROVEEDORES[[#This Row],[descuento sobre subtotal]])*VLOOKUP(PROVEEDORES[[#This Row],[PROVEEDOR]],TERCEROS_INFO[#All],3,FALSE)</f>
        <v>173067.01</v>
      </c>
      <c r="N1161" s="23"/>
      <c r="O1161" s="22">
        <f>+PROVEEDORES[[#This Row],[Descuento sobre subtotal %]]*(PROVEEDORES[[#This Row],[SUBTOTAL]]-PROVEEDORES[[#This Row],[descuento sobre subtotal]])</f>
        <v>0</v>
      </c>
      <c r="P1161" s="83">
        <f>+IF(PROVEEDORES[[#This Row],[SUBTOTAL]]&lt;PROVEEDORES[[#This Row],[base retencion]],0,PROVEEDORES[[#This Row],[retención aplicada]])</f>
        <v>0</v>
      </c>
      <c r="Q1161" s="22">
        <f>+PROVEEDORES[[#This Row],[Rete Fuente %]]*(PROVEEDORES[[#This Row],[SUBTOTAL]]-PROVEEDORES[[#This Row],[descuento sobre subtotal]])</f>
        <v>0</v>
      </c>
      <c r="R1161" s="21">
        <f>+PROVEEDORES[[#This Row],[SUBTOTAL]]+PROVEEDORES[[#This Row],[IVA 19%]]-PROVEEDORES[[#This Row],[descuento sobre subtotal]]-PROVEEDORES[[#This Row],[Descuento sobre subtotal $2]]-PROVEEDORES[[#This Row],[Rete Fuente $]]</f>
        <v>1083946.01</v>
      </c>
      <c r="S11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68">
        <f ca="1">IF(PROVEEDORES[[#This Row],[FECHA DE PAGO]]=0,TODAY()-PROVEEDORES[[#This Row],[FECHA DE FACTURACIÓN]]-PROVEEDORES[[#This Row],[PLAZO Días]],0)</f>
        <v>0</v>
      </c>
      <c r="U1161" s="96" t="str">
        <f>+VLOOKUP(PROVEEDORES[[#This Row],[PROVEEDOR]],Terceros!$A:$D,4,FALSE)</f>
        <v>2,5% con base</v>
      </c>
      <c r="V1161" s="97">
        <f>+YEAR(PROVEEDORES[[#This Row],[FECHA DE FACTURACIÓN]])</f>
        <v>2021</v>
      </c>
      <c r="W1161" s="97">
        <f>+MATCH(PROVEEDORES[[#This Row],[año facturado]],Retenciones!$1:$1,0)</f>
        <v>4</v>
      </c>
      <c r="X1161" s="98">
        <f>+VLOOKUP(PROVEEDORES[[#This Row],[ID RETENCION]],Retenciones!$A$1:$O$25,PROVEEDORES[[#This Row],[indicador de columna]],FALSE)</f>
        <v>980000</v>
      </c>
      <c r="Y1161" s="99">
        <f>+VLOOKUP(PROVEEDORES[[#This Row],[ID RETENCION]],Retenciones!$A$1:$O$25,2,FALSE)</f>
        <v>2.5000000000000001E-2</v>
      </c>
      <c r="Z1161" s="125" t="b">
        <f>OR(COUNTIF(PROVEEDORES[[#This Row],[PROVEEDOR]],"*"&amp;'Palabra no opera'!$A$2&amp;"*"))</f>
        <v>0</v>
      </c>
      <c r="AA1161" s="24"/>
      <c r="AB1161" s="24"/>
      <c r="AC1161" s="24"/>
      <c r="AD1161" s="24"/>
      <c r="AE1161" s="24"/>
    </row>
    <row r="1162" spans="1:31" ht="22.2" customHeight="1" x14ac:dyDescent="0.3">
      <c r="A1162" s="213" t="str">
        <f>+IF(PROVEEDORES[[#This Row],[FECHA DE PAGO]]=PROVEEDORES[[#This Row],[FECHA DE FACTURACIÓN]],"DE CONTADO","CRÉDITO")</f>
        <v>DE CONTADO</v>
      </c>
      <c r="B1162" s="38" t="b">
        <f>+IF((PROVEEDORES[[#This Row],[FECHA DE PAGO]]-PROVEEDORES[[#This Row],[FECHA DE FACTURACIÓN]])&gt;PROVEEDORES[[#This Row],[PLAZO Días]],"PAGO VENCIDO")</f>
        <v>0</v>
      </c>
      <c r="C1162" s="20">
        <f>+VLOOKUP(PROVEEDORES[[#This Row],[PROVEEDOR]],TERCEROS_INFO[#All],2,FALSE)</f>
        <v>30</v>
      </c>
      <c r="D1162" s="25">
        <f>+SUMIFS(PROVEEDORES[Total],PROVEEDORES[PROVEEDOR],PROVEEDORES[[#This Row],[PROVEEDOR]],PROVEEDORES[FECHA DE PAGO],"")</f>
        <v>0</v>
      </c>
      <c r="E1162" s="25"/>
      <c r="F1162" s="58" t="str">
        <f>+VLOOKUP(PROVEEDORES[[#This Row],[PROVEEDOR]],
                       Terceros!$A:$F,
                       5,
                       FALSE)</f>
        <v/>
      </c>
      <c r="G1162" s="161">
        <v>44804</v>
      </c>
      <c r="H1162" s="26" t="s">
        <v>644</v>
      </c>
      <c r="I1162" s="161">
        <v>44804</v>
      </c>
      <c r="J1162" s="35" t="s">
        <v>174</v>
      </c>
      <c r="K1162" s="21">
        <v>1084000</v>
      </c>
      <c r="L1162" s="21"/>
      <c r="M1162" s="22">
        <f>(PROVEEDORES[[#This Row],[SUBTOTAL]]-PROVEEDORES[[#This Row],[descuento sobre subtotal]])*VLOOKUP(PROVEEDORES[[#This Row],[PROVEEDOR]],TERCEROS_INFO[#All],3,FALSE)</f>
        <v>0</v>
      </c>
      <c r="N1162" s="23"/>
      <c r="O1162" s="22">
        <f>+PROVEEDORES[[#This Row],[Descuento sobre subtotal %]]*(PROVEEDORES[[#This Row],[SUBTOTAL]]-PROVEEDORES[[#This Row],[descuento sobre subtotal]])</f>
        <v>0</v>
      </c>
      <c r="P1162" s="83">
        <f>+IF(PROVEEDORES[[#This Row],[SUBTOTAL]]&lt;PROVEEDORES[[#This Row],[base retencion]],0,PROVEEDORES[[#This Row],[retención aplicada]])</f>
        <v>0</v>
      </c>
      <c r="Q1162" s="22">
        <f>+PROVEEDORES[[#This Row],[Rete Fuente %]]*(PROVEEDORES[[#This Row],[SUBTOTAL]]-PROVEEDORES[[#This Row],[descuento sobre subtotal]])</f>
        <v>0</v>
      </c>
      <c r="R1162" s="21">
        <f>+PROVEEDORES[[#This Row],[SUBTOTAL]]+PROVEEDORES[[#This Row],[IVA 19%]]-PROVEEDORES[[#This Row],[descuento sobre subtotal]]-PROVEEDORES[[#This Row],[Descuento sobre subtotal $2]]-PROVEEDORES[[#This Row],[Rete Fuente $]]</f>
        <v>1084000</v>
      </c>
      <c r="S1162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68">
        <f ca="1">IF(PROVEEDORES[[#This Row],[FECHA DE PAGO]]=0,TODAY()-PROVEEDORES[[#This Row],[FECHA DE FACTURACIÓN]]-PROVEEDORES[[#This Row],[PLAZO Días]],0)</f>
        <v>0</v>
      </c>
      <c r="U1162" s="113">
        <f>+VLOOKUP(PROVEEDORES[[#This Row],[PROVEEDOR]],Terceros!$A:$D,4,FALSE)</f>
        <v>0</v>
      </c>
      <c r="V1162" s="114">
        <f>+YEAR(PROVEEDORES[[#This Row],[FECHA DE FACTURACIÓN]])</f>
        <v>2022</v>
      </c>
      <c r="W1162" s="114">
        <f>+MATCH(PROVEEDORES[[#This Row],[año facturado]],Retenciones!$1:$1,0)</f>
        <v>5</v>
      </c>
      <c r="X1162" s="115">
        <f>+VLOOKUP(PROVEEDORES[[#This Row],[ID RETENCION]],Retenciones!$A$1:$O$25,PROVEEDORES[[#This Row],[indicador de columna]],FALSE)</f>
        <v>0</v>
      </c>
      <c r="Y1162" s="116">
        <f>+VLOOKUP(PROVEEDORES[[#This Row],[ID RETENCION]],Retenciones!$A$1:$O$25,2,FALSE)</f>
        <v>0</v>
      </c>
      <c r="Z1162" s="125" t="b">
        <f>OR(COUNTIF(PROVEEDORES[[#This Row],[PROVEEDOR]],"*"&amp;'Palabra no opera'!$A$2&amp;"*"))</f>
        <v>0</v>
      </c>
      <c r="AA1162" s="24"/>
      <c r="AB1162" s="24"/>
      <c r="AC1162" s="24"/>
      <c r="AD1162" s="24"/>
      <c r="AE1162" s="24"/>
    </row>
    <row r="1163" spans="1:31" ht="22.2" customHeight="1" x14ac:dyDescent="0.3">
      <c r="A1163" s="66" t="str">
        <f>+IF(PROVEEDORES[[#This Row],[FECHA DE PAGO]]=PROVEEDORES[[#This Row],[FECHA DE FACTURACIÓN]],"DE CONTADO","CRÉDITO")</f>
        <v>CRÉDITO</v>
      </c>
      <c r="B1163" s="38" t="str">
        <f>+IF((PROVEEDORES[[#This Row],[FECHA DE PAGO]]-PROVEEDORES[[#This Row],[FECHA DE FACTURACIÓN]])&gt;PROVEEDORES[[#This Row],[PLAZO Días]],"PAGO VENCIDO")</f>
        <v>PAGO VENCIDO</v>
      </c>
      <c r="C1163" s="20">
        <f>+VLOOKUP(PROVEEDORES[[#This Row],[PROVEEDOR]],TERCEROS_INFO[#All],2,FALSE)</f>
        <v>30</v>
      </c>
      <c r="D1163" s="25">
        <f>+SUMIFS(PROVEEDORES[Total],PROVEEDORES[PROVEEDOR],PROVEEDORES[[#This Row],[PROVEEDOR]],PROVEEDORES[FECHA DE PAGO],"")</f>
        <v>5272763.2050000001</v>
      </c>
      <c r="E1163" s="25"/>
      <c r="F116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63" s="161">
        <v>44348</v>
      </c>
      <c r="H1163" s="26" t="s">
        <v>11</v>
      </c>
      <c r="I1163" s="161">
        <v>44292</v>
      </c>
      <c r="J1163" s="35" t="s">
        <v>293</v>
      </c>
      <c r="K1163" s="21">
        <v>912101</v>
      </c>
      <c r="L1163" s="21"/>
      <c r="M1163" s="22">
        <f>(PROVEEDORES[[#This Row],[SUBTOTAL]]-PROVEEDORES[[#This Row],[descuento sobre subtotal]])*VLOOKUP(PROVEEDORES[[#This Row],[PROVEEDOR]],TERCEROS_INFO[#All],3,FALSE)</f>
        <v>173299.19</v>
      </c>
      <c r="N1163" s="23"/>
      <c r="O1163" s="22">
        <f>+PROVEEDORES[[#This Row],[Descuento sobre subtotal %]]*(PROVEEDORES[[#This Row],[SUBTOTAL]]-PROVEEDORES[[#This Row],[descuento sobre subtotal]])</f>
        <v>0</v>
      </c>
      <c r="P1163" s="83">
        <f>+IF(PROVEEDORES[[#This Row],[SUBTOTAL]]&lt;PROVEEDORES[[#This Row],[base retencion]],0,PROVEEDORES[[#This Row],[retención aplicada]])</f>
        <v>0</v>
      </c>
      <c r="Q1163" s="22">
        <f>+PROVEEDORES[[#This Row],[Rete Fuente %]]*(PROVEEDORES[[#This Row],[SUBTOTAL]]-PROVEEDORES[[#This Row],[descuento sobre subtotal]])</f>
        <v>0</v>
      </c>
      <c r="R1163" s="21">
        <f>+PROVEEDORES[[#This Row],[SUBTOTAL]]+PROVEEDORES[[#This Row],[IVA 19%]]-PROVEEDORES[[#This Row],[descuento sobre subtotal]]-PROVEEDORES[[#This Row],[Descuento sobre subtotal $2]]-PROVEEDORES[[#This Row],[Rete Fuente $]]</f>
        <v>1085400.19</v>
      </c>
      <c r="S11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68">
        <f ca="1">IF(PROVEEDORES[[#This Row],[FECHA DE PAGO]]=0,TODAY()-PROVEEDORES[[#This Row],[FECHA DE FACTURACIÓN]]-PROVEEDORES[[#This Row],[PLAZO Días]],0)</f>
        <v>0</v>
      </c>
      <c r="U1163" s="96" t="str">
        <f>+VLOOKUP(PROVEEDORES[[#This Row],[PROVEEDOR]],Terceros!$A:$D,4,FALSE)</f>
        <v>2,5% con base</v>
      </c>
      <c r="V1163" s="97">
        <f>+YEAR(PROVEEDORES[[#This Row],[FECHA DE FACTURACIÓN]])</f>
        <v>2021</v>
      </c>
      <c r="W1163" s="97">
        <f>+MATCH(PROVEEDORES[[#This Row],[año facturado]],Retenciones!$1:$1,0)</f>
        <v>4</v>
      </c>
      <c r="X1163" s="98">
        <f>+VLOOKUP(PROVEEDORES[[#This Row],[ID RETENCION]],Retenciones!$A$1:$O$25,PROVEEDORES[[#This Row],[indicador de columna]],FALSE)</f>
        <v>980000</v>
      </c>
      <c r="Y1163" s="99">
        <f>+VLOOKUP(PROVEEDORES[[#This Row],[ID RETENCION]],Retenciones!$A$1:$O$25,2,FALSE)</f>
        <v>2.5000000000000001E-2</v>
      </c>
      <c r="Z1163" s="127" t="b">
        <f>OR(COUNTIF(PROVEEDORES[[#This Row],[PROVEEDOR]],"*"&amp;'Palabra no opera'!$A$2&amp;"*"))</f>
        <v>0</v>
      </c>
      <c r="AA1163" s="24"/>
      <c r="AB1163" s="24"/>
      <c r="AC1163" s="24"/>
      <c r="AD1163" s="24"/>
      <c r="AE1163" s="24"/>
    </row>
    <row r="1164" spans="1:31" ht="22.2" customHeight="1" x14ac:dyDescent="0.3">
      <c r="A1164" s="66" t="str">
        <f>+IF(PROVEEDORES[[#This Row],[FECHA DE PAGO]]=PROVEEDORES[[#This Row],[FECHA DE FACTURACIÓN]],"DE CONTADO","CRÉDITO")</f>
        <v>CRÉDITO</v>
      </c>
      <c r="B1164" s="38" t="str">
        <f>+IF((PROVEEDORES[[#This Row],[FECHA DE PAGO]]-PROVEEDORES[[#This Row],[FECHA DE FACTURACIÓN]])&gt;PROVEEDORES[[#This Row],[PLAZO Días]],"PAGO VENCIDO")</f>
        <v>PAGO VENCIDO</v>
      </c>
      <c r="C1164" s="20">
        <f>+VLOOKUP(PROVEEDORES[[#This Row],[PROVEEDOR]],TERCEROS_INFO[#All],2,FALSE)</f>
        <v>30</v>
      </c>
      <c r="D1164" s="25">
        <f>+SUMIFS(PROVEEDORES[Total],PROVEEDORES[PROVEEDOR],PROVEEDORES[[#This Row],[PROVEEDOR]],PROVEEDORES[FECHA DE PAGO],"")</f>
        <v>2456000</v>
      </c>
      <c r="E1164" s="25"/>
      <c r="F1164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64" s="161">
        <v>44290</v>
      </c>
      <c r="H1164" s="26" t="s">
        <v>623</v>
      </c>
      <c r="I1164" s="161">
        <v>44183</v>
      </c>
      <c r="J1164" s="35">
        <v>537</v>
      </c>
      <c r="K1164" s="21">
        <v>1086000</v>
      </c>
      <c r="L1164" s="21"/>
      <c r="M1164" s="22">
        <f>(PROVEEDORES[[#This Row],[SUBTOTAL]]-PROVEEDORES[[#This Row],[descuento sobre subtotal]])*VLOOKUP(PROVEEDORES[[#This Row],[PROVEEDOR]],TERCEROS_INFO[#All],3,FALSE)</f>
        <v>0</v>
      </c>
      <c r="N1164" s="23"/>
      <c r="O1164" s="22">
        <f>+PROVEEDORES[[#This Row],[Descuento sobre subtotal %]]*(PROVEEDORES[[#This Row],[SUBTOTAL]]-PROVEEDORES[[#This Row],[descuento sobre subtotal]])</f>
        <v>0</v>
      </c>
      <c r="P1164" s="83">
        <f>+IF(PROVEEDORES[[#This Row],[SUBTOTAL]]&lt;PROVEEDORES[[#This Row],[base retencion]],0,PROVEEDORES[[#This Row],[retención aplicada]])</f>
        <v>0</v>
      </c>
      <c r="Q1164" s="22">
        <f>+PROVEEDORES[[#This Row],[Rete Fuente %]]*(PROVEEDORES[[#This Row],[SUBTOTAL]]-PROVEEDORES[[#This Row],[descuento sobre subtotal]])</f>
        <v>0</v>
      </c>
      <c r="R1164" s="21">
        <f>+PROVEEDORES[[#This Row],[SUBTOTAL]]+PROVEEDORES[[#This Row],[IVA 19%]]-PROVEEDORES[[#This Row],[descuento sobre subtotal]]-PROVEEDORES[[#This Row],[Descuento sobre subtotal $2]]-PROVEEDORES[[#This Row],[Rete Fuente $]]</f>
        <v>1086000</v>
      </c>
      <c r="S11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68">
        <f ca="1">IF(PROVEEDORES[[#This Row],[FECHA DE PAGO]]=0,TODAY()-PROVEEDORES[[#This Row],[FECHA DE FACTURACIÓN]]-PROVEEDORES[[#This Row],[PLAZO Días]],0)</f>
        <v>0</v>
      </c>
      <c r="U1164" s="96">
        <f>+VLOOKUP(PROVEEDORES[[#This Row],[PROVEEDOR]],Terceros!$A:$D,4,FALSE)</f>
        <v>0</v>
      </c>
      <c r="V1164" s="97">
        <f>+YEAR(PROVEEDORES[[#This Row],[FECHA DE FACTURACIÓN]])</f>
        <v>2020</v>
      </c>
      <c r="W1164" s="97">
        <f>+MATCH(PROVEEDORES[[#This Row],[año facturado]],Retenciones!$1:$1,0)</f>
        <v>3</v>
      </c>
      <c r="X1164" s="98">
        <f>+VLOOKUP(PROVEEDORES[[#This Row],[ID RETENCION]],Retenciones!$A$1:$O$25,PROVEEDORES[[#This Row],[indicador de columna]],FALSE)</f>
        <v>0</v>
      </c>
      <c r="Y1164" s="99">
        <f>+VLOOKUP(PROVEEDORES[[#This Row],[ID RETENCION]],Retenciones!$A$1:$O$25,2,FALSE)</f>
        <v>0</v>
      </c>
      <c r="Z1164" s="125" t="b">
        <f>OR(COUNTIF(PROVEEDORES[[#This Row],[PROVEEDOR]],"*"&amp;'Palabra no opera'!$A$2&amp;"*"))</f>
        <v>0</v>
      </c>
      <c r="AA1164" s="24"/>
      <c r="AB1164" s="24"/>
      <c r="AC1164" s="24"/>
      <c r="AD1164" s="24"/>
      <c r="AE1164" s="24"/>
    </row>
    <row r="1165" spans="1:31" ht="22.2" customHeight="1" x14ac:dyDescent="0.3">
      <c r="A1165" s="66" t="str">
        <f>+IF(PROVEEDORES[[#This Row],[FECHA DE PAGO]]=PROVEEDORES[[#This Row],[FECHA DE FACTURACIÓN]],"DE CONTADO","CRÉDITO")</f>
        <v>CRÉDITO</v>
      </c>
      <c r="B1165" s="38" t="str">
        <f>+IF((PROVEEDORES[[#This Row],[FECHA DE PAGO]]-PROVEEDORES[[#This Row],[FECHA DE FACTURACIÓN]])&gt;PROVEEDORES[[#This Row],[PLAZO Días]],"PAGO VENCIDO")</f>
        <v>PAGO VENCIDO</v>
      </c>
      <c r="C1165" s="20">
        <f>+VLOOKUP(PROVEEDORES[[#This Row],[PROVEEDOR]],TERCEROS_INFO[#All],2,FALSE)</f>
        <v>30</v>
      </c>
      <c r="D1165" s="25">
        <f>+SUMIFS(PROVEEDORES[Total],PROVEEDORES[PROVEEDOR],PROVEEDORES[[#This Row],[PROVEEDOR]],PROVEEDORES[FECHA DE PAGO],"")</f>
        <v>0</v>
      </c>
      <c r="E1165" s="25"/>
      <c r="F116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65" s="161">
        <v>44649</v>
      </c>
      <c r="H1165" s="26" t="s">
        <v>430</v>
      </c>
      <c r="I1165" s="161">
        <v>44616</v>
      </c>
      <c r="J1165" s="35">
        <v>26</v>
      </c>
      <c r="K1165" s="21">
        <v>913000</v>
      </c>
      <c r="L1165" s="21"/>
      <c r="M1165" s="22">
        <f>(PROVEEDORES[[#This Row],[SUBTOTAL]]-PROVEEDORES[[#This Row],[descuento sobre subtotal]])*VLOOKUP(PROVEEDORES[[#This Row],[PROVEEDOR]],TERCEROS_INFO[#All],3,FALSE)</f>
        <v>173470</v>
      </c>
      <c r="N1165" s="23"/>
      <c r="O1165" s="22">
        <f>+PROVEEDORES[[#This Row],[Descuento sobre subtotal %]]*(PROVEEDORES[[#This Row],[SUBTOTAL]]-PROVEEDORES[[#This Row],[descuento sobre subtotal]])</f>
        <v>0</v>
      </c>
      <c r="P1165" s="83">
        <f>+IF(PROVEEDORES[[#This Row],[SUBTOTAL]]&lt;PROVEEDORES[[#This Row],[base retencion]],0,PROVEEDORES[[#This Row],[retención aplicada]])</f>
        <v>0</v>
      </c>
      <c r="Q1165" s="22">
        <f>+PROVEEDORES[[#This Row],[Rete Fuente %]]*(PROVEEDORES[[#This Row],[SUBTOTAL]]-PROVEEDORES[[#This Row],[descuento sobre subtotal]])</f>
        <v>0</v>
      </c>
      <c r="R1165" s="21">
        <v>1086470</v>
      </c>
      <c r="S11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68">
        <f ca="1">IF(PROVEEDORES[[#This Row],[FECHA DE PAGO]]=0,TODAY()-PROVEEDORES[[#This Row],[FECHA DE FACTURACIÓN]]-PROVEEDORES[[#This Row],[PLAZO Días]],0)</f>
        <v>0</v>
      </c>
      <c r="U1165" s="96" t="str">
        <f>+VLOOKUP(PROVEEDORES[[#This Row],[PROVEEDOR]],Terceros!$A:$D,4,FALSE)</f>
        <v>2,5% con base</v>
      </c>
      <c r="V1165" s="97">
        <f>+YEAR(PROVEEDORES[[#This Row],[FECHA DE FACTURACIÓN]])</f>
        <v>2022</v>
      </c>
      <c r="W1165" s="97">
        <f>+MATCH(PROVEEDORES[[#This Row],[año facturado]],Retenciones!$1:$1,0)</f>
        <v>5</v>
      </c>
      <c r="X1165" s="98">
        <f>+VLOOKUP(PROVEEDORES[[#This Row],[ID RETENCION]],Retenciones!$A$1:$O$25,PROVEEDORES[[#This Row],[indicador de columna]],FALSE)</f>
        <v>1026000</v>
      </c>
      <c r="Y1165" s="99">
        <f>+VLOOKUP(PROVEEDORES[[#This Row],[ID RETENCION]],Retenciones!$A$1:$O$25,2,FALSE)</f>
        <v>2.5000000000000001E-2</v>
      </c>
      <c r="Z1165" s="125" t="b">
        <f>OR(COUNTIF(PROVEEDORES[[#This Row],[PROVEEDOR]],"*"&amp;'Palabra no opera'!$A$2&amp;"*"))</f>
        <v>0</v>
      </c>
      <c r="AA1165" s="24"/>
      <c r="AB1165" s="24"/>
      <c r="AC1165" s="24"/>
      <c r="AD1165" s="24"/>
      <c r="AE1165" s="24"/>
    </row>
    <row r="1166" spans="1:31" ht="22.2" customHeight="1" x14ac:dyDescent="0.3">
      <c r="A1166" s="144" t="str">
        <f>+IF(PROVEEDORES[[#This Row],[FECHA DE PAGO]]=PROVEEDORES[[#This Row],[FECHA DE FACTURACIÓN]],"DE CONTADO","CRÉDITO")</f>
        <v>CRÉDITO</v>
      </c>
      <c r="B1166" s="38" t="str">
        <f>+IF((PROVEEDORES[[#This Row],[FECHA DE PAGO]]-PROVEEDORES[[#This Row],[FECHA DE FACTURACIÓN]])&gt;PROVEEDORES[[#This Row],[PLAZO Días]],"PAGO VENCIDO")</f>
        <v>PAGO VENCIDO</v>
      </c>
      <c r="C1166" s="20">
        <f>+VLOOKUP(PROVEEDORES[[#This Row],[PROVEEDOR]],TERCEROS_INFO[#All],2,FALSE)</f>
        <v>30</v>
      </c>
      <c r="D1166" s="25">
        <f>+SUMIFS(PROVEEDORES[Total],PROVEEDORES[PROVEEDOR],PROVEEDORES[[#This Row],[PROVEEDOR]],PROVEEDORES[FECHA DE PAGO],"")</f>
        <v>401799.93</v>
      </c>
      <c r="E1166" s="25"/>
      <c r="F1166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166" s="161">
        <v>44741</v>
      </c>
      <c r="H1166" s="26" t="s">
        <v>508</v>
      </c>
      <c r="I1166" s="161">
        <v>44699</v>
      </c>
      <c r="J1166" s="35" t="s">
        <v>984</v>
      </c>
      <c r="K1166" s="21">
        <v>913109.22</v>
      </c>
      <c r="L1166" s="21"/>
      <c r="M1166" s="22">
        <f>(PROVEEDORES[[#This Row],[SUBTOTAL]]-PROVEEDORES[[#This Row],[descuento sobre subtotal]])*VLOOKUP(PROVEEDORES[[#This Row],[PROVEEDOR]],TERCEROS_INFO[#All],3,FALSE)</f>
        <v>173490.7518</v>
      </c>
      <c r="N1166" s="23"/>
      <c r="O1166" s="22">
        <f>+PROVEEDORES[[#This Row],[Descuento sobre subtotal %]]*(PROVEEDORES[[#This Row],[SUBTOTAL]]-PROVEEDORES[[#This Row],[descuento sobre subtotal]])</f>
        <v>0</v>
      </c>
      <c r="P1166" s="83">
        <f>+IF(PROVEEDORES[[#This Row],[SUBTOTAL]]&lt;PROVEEDORES[[#This Row],[base retencion]],0,PROVEEDORES[[#This Row],[retención aplicada]])</f>
        <v>0</v>
      </c>
      <c r="Q1166" s="22">
        <f>+PROVEEDORES[[#This Row],[Rete Fuente %]]*(PROVEEDORES[[#This Row],[SUBTOTAL]]-PROVEEDORES[[#This Row],[descuento sobre subtotal]])</f>
        <v>0</v>
      </c>
      <c r="R1166" s="21">
        <f>+PROVEEDORES[[#This Row],[SUBTOTAL]]+PROVEEDORES[[#This Row],[IVA 19%]]-PROVEEDORES[[#This Row],[descuento sobre subtotal]]-PROVEEDORES[[#This Row],[Descuento sobre subtotal $2]]-PROVEEDORES[[#This Row],[Rete Fuente $]]</f>
        <v>1086599.9717999999</v>
      </c>
      <c r="S1166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68">
        <f ca="1">IF(PROVEEDORES[[#This Row],[FECHA DE PAGO]]=0,TODAY()-PROVEEDORES[[#This Row],[FECHA DE FACTURACIÓN]]-PROVEEDORES[[#This Row],[PLAZO Días]],0)</f>
        <v>0</v>
      </c>
      <c r="U1166" s="113" t="str">
        <f>+VLOOKUP(PROVEEDORES[[#This Row],[PROVEEDOR]],Terceros!$A:$D,4,FALSE)</f>
        <v>2,5% con base</v>
      </c>
      <c r="V1166" s="114">
        <f>+YEAR(PROVEEDORES[[#This Row],[FECHA DE FACTURACIÓN]])</f>
        <v>2022</v>
      </c>
      <c r="W1166" s="114">
        <f>+MATCH(PROVEEDORES[[#This Row],[año facturado]],Retenciones!$1:$1,0)</f>
        <v>5</v>
      </c>
      <c r="X1166" s="115">
        <f>+VLOOKUP(PROVEEDORES[[#This Row],[ID RETENCION]],Retenciones!$A$1:$O$25,PROVEEDORES[[#This Row],[indicador de columna]],FALSE)</f>
        <v>1026000</v>
      </c>
      <c r="Y1166" s="116">
        <f>+VLOOKUP(PROVEEDORES[[#This Row],[ID RETENCION]],Retenciones!$A$1:$O$25,2,FALSE)</f>
        <v>2.5000000000000001E-2</v>
      </c>
      <c r="Z1166" s="125" t="b">
        <f>OR(COUNTIF(PROVEEDORES[[#This Row],[PROVEEDOR]],"*"&amp;'Palabra no opera'!$A$2&amp;"*"))</f>
        <v>0</v>
      </c>
      <c r="AA1166" s="24"/>
      <c r="AB1166" s="24"/>
      <c r="AC1166" s="24"/>
      <c r="AD1166" s="24"/>
      <c r="AE1166" s="24"/>
    </row>
    <row r="1167" spans="1:31" ht="22.2" customHeight="1" x14ac:dyDescent="0.3">
      <c r="A1167" s="66" t="str">
        <f>+IF(PROVEEDORES[[#This Row],[FECHA DE PAGO]]=PROVEEDORES[[#This Row],[FECHA DE FACTURACIÓN]],"DE CONTADO","CRÉDITO")</f>
        <v>CRÉDITO</v>
      </c>
      <c r="B1167" s="38" t="str">
        <f>+IF((PROVEEDORES[[#This Row],[FECHA DE PAGO]]-PROVEEDORES[[#This Row],[FECHA DE FACTURACIÓN]])&gt;PROVEEDORES[[#This Row],[PLAZO Días]],"PAGO VENCIDO")</f>
        <v>PAGO VENCIDO</v>
      </c>
      <c r="C1167" s="20">
        <f>+VLOOKUP(PROVEEDORES[[#This Row],[PROVEEDOR]],TERCEROS_INFO[#All],2,FALSE)</f>
        <v>30</v>
      </c>
      <c r="D1167" s="25">
        <f>+SUMIFS(PROVEEDORES[Total],PROVEEDORES[PROVEEDOR],PROVEEDORES[[#This Row],[PROVEEDOR]],PROVEEDORES[FECHA DE PAGO],"")</f>
        <v>0</v>
      </c>
      <c r="E1167" s="25"/>
      <c r="F1167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167" s="161">
        <v>44684</v>
      </c>
      <c r="H1167" s="26" t="s">
        <v>131</v>
      </c>
      <c r="I1167" s="161">
        <v>44597</v>
      </c>
      <c r="J1167" s="35">
        <v>51</v>
      </c>
      <c r="K1167" s="21">
        <v>914118</v>
      </c>
      <c r="L1167" s="21"/>
      <c r="M1167" s="22">
        <f>(PROVEEDORES[[#This Row],[SUBTOTAL]]-PROVEEDORES[[#This Row],[descuento sobre subtotal]])*VLOOKUP(PROVEEDORES[[#This Row],[PROVEEDOR]],TERCEROS_INFO[#All],3,FALSE)</f>
        <v>173682.42</v>
      </c>
      <c r="N1167" s="23"/>
      <c r="O1167" s="22">
        <f>+PROVEEDORES[[#This Row],[Descuento sobre subtotal %]]*(PROVEEDORES[[#This Row],[SUBTOTAL]]-PROVEEDORES[[#This Row],[descuento sobre subtotal]])</f>
        <v>0</v>
      </c>
      <c r="P1167" s="83">
        <f>+IF(PROVEEDORES[[#This Row],[SUBTOTAL]]&lt;PROVEEDORES[[#This Row],[base retencion]],0,PROVEEDORES[[#This Row],[retención aplicada]])</f>
        <v>0</v>
      </c>
      <c r="Q1167" s="22">
        <f>+PROVEEDORES[[#This Row],[Rete Fuente %]]*(PROVEEDORES[[#This Row],[SUBTOTAL]]-PROVEEDORES[[#This Row],[descuento sobre subtotal]])</f>
        <v>0</v>
      </c>
      <c r="R1167" s="21">
        <f>+PROVEEDORES[[#This Row],[SUBTOTAL]]+PROVEEDORES[[#This Row],[IVA 19%]]-PROVEEDORES[[#This Row],[descuento sobre subtotal]]-PROVEEDORES[[#This Row],[Descuento sobre subtotal $2]]-PROVEEDORES[[#This Row],[Rete Fuente $]]</f>
        <v>1087800.42</v>
      </c>
      <c r="S11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68">
        <f ca="1">IF(PROVEEDORES[[#This Row],[FECHA DE PAGO]]=0,TODAY()-PROVEEDORES[[#This Row],[FECHA DE FACTURACIÓN]]-PROVEEDORES[[#This Row],[PLAZO Días]],0)</f>
        <v>0</v>
      </c>
      <c r="U1167" s="96" t="str">
        <f>+VLOOKUP(PROVEEDORES[[#This Row],[PROVEEDOR]],Terceros!$A:$D,4,FALSE)</f>
        <v>2,5% con base</v>
      </c>
      <c r="V1167" s="97">
        <f>+YEAR(PROVEEDORES[[#This Row],[FECHA DE FACTURACIÓN]])</f>
        <v>2022</v>
      </c>
      <c r="W1167" s="97">
        <f>+MATCH(PROVEEDORES[[#This Row],[año facturado]],Retenciones!$1:$1,0)</f>
        <v>5</v>
      </c>
      <c r="X1167" s="98">
        <f>+VLOOKUP(PROVEEDORES[[#This Row],[ID RETENCION]],Retenciones!$A$1:$O$25,PROVEEDORES[[#This Row],[indicador de columna]],FALSE)</f>
        <v>1026000</v>
      </c>
      <c r="Y1167" s="99">
        <f>+VLOOKUP(PROVEEDORES[[#This Row],[ID RETENCION]],Retenciones!$A$1:$O$25,2,FALSE)</f>
        <v>2.5000000000000001E-2</v>
      </c>
      <c r="Z1167" s="125" t="b">
        <f>OR(COUNTIF(PROVEEDORES[[#This Row],[PROVEEDOR]],"*"&amp;'Palabra no opera'!$A$2&amp;"*"))</f>
        <v>0</v>
      </c>
      <c r="AA1167" s="24"/>
      <c r="AB1167" s="24"/>
      <c r="AC1167" s="24"/>
      <c r="AD1167" s="24"/>
      <c r="AE1167" s="24"/>
    </row>
    <row r="1168" spans="1:31" ht="22.2" customHeight="1" x14ac:dyDescent="0.3">
      <c r="A1168" s="66" t="str">
        <f>+IF(PROVEEDORES[[#This Row],[FECHA DE PAGO]]=PROVEEDORES[[#This Row],[FECHA DE FACTURACIÓN]],"DE CONTADO","CRÉDITO")</f>
        <v>CRÉDITO</v>
      </c>
      <c r="B1168" s="38" t="b">
        <f>+IF((PROVEEDORES[[#This Row],[FECHA DE PAGO]]-PROVEEDORES[[#This Row],[FECHA DE FACTURACIÓN]])&gt;PROVEEDORES[[#This Row],[PLAZO Días]],"PAGO VENCIDO")</f>
        <v>0</v>
      </c>
      <c r="C1168" s="20">
        <f>+VLOOKUP(PROVEEDORES[[#This Row],[PROVEEDOR]],TERCEROS_INFO[#All],2,FALSE)</f>
        <v>90</v>
      </c>
      <c r="D1168" s="25">
        <f>+SUMIFS(PROVEEDORES[Total],PROVEEDORES[PROVEEDOR],PROVEEDORES[[#This Row],[PROVEEDOR]],PROVEEDORES[FECHA DE PAGO],"")</f>
        <v>26350422.770000003</v>
      </c>
      <c r="E1168" s="25"/>
      <c r="F116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68" s="161">
        <v>44418</v>
      </c>
      <c r="H1168" s="26" t="s">
        <v>12</v>
      </c>
      <c r="I1168" s="161">
        <v>44363</v>
      </c>
      <c r="J1168" s="35" t="s">
        <v>492</v>
      </c>
      <c r="K1168" s="21">
        <v>915967</v>
      </c>
      <c r="L1168" s="21"/>
      <c r="M1168" s="22">
        <f>(PROVEEDORES[[#This Row],[SUBTOTAL]]-PROVEEDORES[[#This Row],[descuento sobre subtotal]])*VLOOKUP(PROVEEDORES[[#This Row],[PROVEEDOR]],TERCEROS_INFO[#All],3,FALSE)</f>
        <v>174033.73</v>
      </c>
      <c r="N1168" s="23"/>
      <c r="O1168" s="22">
        <f>+PROVEEDORES[[#This Row],[Descuento sobre subtotal %]]*(PROVEEDORES[[#This Row],[SUBTOTAL]]-PROVEEDORES[[#This Row],[descuento sobre subtotal]])</f>
        <v>0</v>
      </c>
      <c r="P1168" s="83">
        <f>+IF(PROVEEDORES[[#This Row],[SUBTOTAL]]&lt;PROVEEDORES[[#This Row],[base retencion]],0,PROVEEDORES[[#This Row],[retención aplicada]])</f>
        <v>0</v>
      </c>
      <c r="Q1168" s="22">
        <f>+PROVEEDORES[[#This Row],[Rete Fuente %]]*(PROVEEDORES[[#This Row],[SUBTOTAL]]-PROVEEDORES[[#This Row],[descuento sobre subtotal]])</f>
        <v>0</v>
      </c>
      <c r="R1168" s="21">
        <f>+PROVEEDORES[[#This Row],[SUBTOTAL]]+PROVEEDORES[[#This Row],[IVA 19%]]-PROVEEDORES[[#This Row],[descuento sobre subtotal]]-PROVEEDORES[[#This Row],[Descuento sobre subtotal $2]]-PROVEEDORES[[#This Row],[Rete Fuente $]]</f>
        <v>1090000.73</v>
      </c>
      <c r="S11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68">
        <f ca="1">IF(PROVEEDORES[[#This Row],[FECHA DE PAGO]]=0,TODAY()-PROVEEDORES[[#This Row],[FECHA DE FACTURACIÓN]]-PROVEEDORES[[#This Row],[PLAZO Días]],0)</f>
        <v>0</v>
      </c>
      <c r="U1168" s="96" t="str">
        <f>+VLOOKUP(PROVEEDORES[[#This Row],[PROVEEDOR]],Terceros!$A:$D,4,FALSE)</f>
        <v>2,5% con base</v>
      </c>
      <c r="V1168" s="97">
        <f>+YEAR(PROVEEDORES[[#This Row],[FECHA DE FACTURACIÓN]])</f>
        <v>2021</v>
      </c>
      <c r="W1168" s="97">
        <f>+MATCH(PROVEEDORES[[#This Row],[año facturado]],Retenciones!$1:$1,0)</f>
        <v>4</v>
      </c>
      <c r="X1168" s="98">
        <f>+VLOOKUP(PROVEEDORES[[#This Row],[ID RETENCION]],Retenciones!$A$1:$O$25,PROVEEDORES[[#This Row],[indicador de columna]],FALSE)</f>
        <v>980000</v>
      </c>
      <c r="Y1168" s="99">
        <f>+VLOOKUP(PROVEEDORES[[#This Row],[ID RETENCION]],Retenciones!$A$1:$O$25,2,FALSE)</f>
        <v>2.5000000000000001E-2</v>
      </c>
      <c r="Z1168" s="125" t="b">
        <f>OR(COUNTIF(PROVEEDORES[[#This Row],[PROVEEDOR]],"*"&amp;'Palabra no opera'!$A$2&amp;"*"))</f>
        <v>0</v>
      </c>
      <c r="AA1168" s="24"/>
      <c r="AB1168" s="24"/>
      <c r="AC1168" s="24"/>
      <c r="AD1168" s="24"/>
      <c r="AE1168" s="24"/>
    </row>
    <row r="1169" spans="1:31" ht="22.2" customHeight="1" x14ac:dyDescent="0.3">
      <c r="A1169" s="66" t="str">
        <f>+IF(PROVEEDORES[[#This Row],[FECHA DE PAGO]]=PROVEEDORES[[#This Row],[FECHA DE FACTURACIÓN]],"DE CONTADO","CRÉDITO")</f>
        <v>CRÉDITO</v>
      </c>
      <c r="B1169" s="38" t="str">
        <f>+IF((PROVEEDORES[[#This Row],[FECHA DE PAGO]]-PROVEEDORES[[#This Row],[FECHA DE FACTURACIÓN]])&gt;PROVEEDORES[[#This Row],[PLAZO Días]],"PAGO VENCIDO")</f>
        <v>PAGO VENCIDO</v>
      </c>
      <c r="C1169" s="20">
        <f>+VLOOKUP(PROVEEDORES[[#This Row],[PROVEEDOR]],TERCEROS_INFO[#All],2,FALSE)</f>
        <v>30</v>
      </c>
      <c r="D1169" s="25">
        <f>+SUMIFS(PROVEEDORES[Total],PROVEEDORES[PROVEEDOR],PROVEEDORES[[#This Row],[PROVEEDOR]],PROVEEDORES[FECHA DE PAGO],"")</f>
        <v>3430770</v>
      </c>
      <c r="E1169" s="25"/>
      <c r="F116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169" s="161">
        <v>44523</v>
      </c>
      <c r="H1169" s="26" t="s">
        <v>1448</v>
      </c>
      <c r="I1169" s="161">
        <v>44488</v>
      </c>
      <c r="J1169" s="35">
        <v>23594</v>
      </c>
      <c r="K1169" s="21">
        <v>936200</v>
      </c>
      <c r="L1169" s="21"/>
      <c r="M1169" s="22">
        <f>(PROVEEDORES[[#This Row],[SUBTOTAL]]-PROVEEDORES[[#This Row],[descuento sobre subtotal]])*VLOOKUP(PROVEEDORES[[#This Row],[PROVEEDOR]],TERCEROS_INFO[#All],3,FALSE)</f>
        <v>177878</v>
      </c>
      <c r="N1169" s="23"/>
      <c r="O1169" s="22">
        <f>+PROVEEDORES[[#This Row],[Descuento sobre subtotal %]]*(PROVEEDORES[[#This Row],[SUBTOTAL]]-PROVEEDORES[[#This Row],[descuento sobre subtotal]])</f>
        <v>0</v>
      </c>
      <c r="P1169" s="83">
        <v>2.5000000000000001E-2</v>
      </c>
      <c r="Q1169" s="22">
        <f>+PROVEEDORES[[#This Row],[Rete Fuente %]]*(PROVEEDORES[[#This Row],[SUBTOTAL]]-PROVEEDORES[[#This Row],[descuento sobre subtotal]])</f>
        <v>23405</v>
      </c>
      <c r="R1169" s="21">
        <f>+PROVEEDORES[[#This Row],[SUBTOTAL]]+PROVEEDORES[[#This Row],[IVA 19%]]-PROVEEDORES[[#This Row],[descuento sobre subtotal]]-PROVEEDORES[[#This Row],[Descuento sobre subtotal $2]]-PROVEEDORES[[#This Row],[Rete Fuente $]]</f>
        <v>1090673</v>
      </c>
      <c r="S11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68">
        <f ca="1">IF(PROVEEDORES[[#This Row],[FECHA DE PAGO]]=0,TODAY()-PROVEEDORES[[#This Row],[FECHA DE FACTURACIÓN]]-PROVEEDORES[[#This Row],[PLAZO Días]],0)</f>
        <v>0</v>
      </c>
      <c r="U1169" s="96">
        <f>+VLOOKUP(PROVEEDORES[[#This Row],[PROVEEDOR]],Terceros!$A:$D,4,FALSE)</f>
        <v>0</v>
      </c>
      <c r="V1169" s="97">
        <f>+YEAR(PROVEEDORES[[#This Row],[FECHA DE FACTURACIÓN]])</f>
        <v>2021</v>
      </c>
      <c r="W1169" s="97">
        <f>+MATCH(PROVEEDORES[[#This Row],[año facturado]],Retenciones!$1:$1,0)</f>
        <v>4</v>
      </c>
      <c r="X1169" s="98">
        <f>+VLOOKUP(PROVEEDORES[[#This Row],[ID RETENCION]],Retenciones!$A$1:$O$25,PROVEEDORES[[#This Row],[indicador de columna]],FALSE)</f>
        <v>0</v>
      </c>
      <c r="Y1169" s="99">
        <f>+VLOOKUP(PROVEEDORES[[#This Row],[ID RETENCION]],Retenciones!$A$1:$O$25,2,FALSE)</f>
        <v>0</v>
      </c>
      <c r="Z1169" s="125" t="b">
        <f>OR(COUNTIF(PROVEEDORES[[#This Row],[PROVEEDOR]],"*"&amp;'Palabra no opera'!$A$2&amp;"*"))</f>
        <v>0</v>
      </c>
      <c r="AA1169" s="24"/>
      <c r="AB1169" s="24"/>
      <c r="AC1169" s="24"/>
      <c r="AD1169" s="24"/>
      <c r="AE1169" s="24"/>
    </row>
    <row r="1170" spans="1:31" ht="22.2" customHeight="1" x14ac:dyDescent="0.3">
      <c r="A1170" s="66" t="str">
        <f>+IF(PROVEEDORES[[#This Row],[FECHA DE PAGO]]=PROVEEDORES[[#This Row],[FECHA DE FACTURACIÓN]],"DE CONTADO","CRÉDITO")</f>
        <v>CRÉDITO</v>
      </c>
      <c r="B1170" s="38" t="str">
        <f>+IF((PROVEEDORES[[#This Row],[FECHA DE PAGO]]-PROVEEDORES[[#This Row],[FECHA DE FACTURACIÓN]])&gt;PROVEEDORES[[#This Row],[PLAZO Días]],"PAGO VENCIDO")</f>
        <v>PAGO VENCIDO</v>
      </c>
      <c r="C1170" s="20">
        <f>+VLOOKUP(PROVEEDORES[[#This Row],[PROVEEDOR]],TERCEROS_INFO[#All],2,FALSE)</f>
        <v>30</v>
      </c>
      <c r="D1170" s="25">
        <f>+SUMIFS(PROVEEDORES[Total],PROVEEDORES[PROVEEDOR],PROVEEDORES[[#This Row],[PROVEEDOR]],PROVEEDORES[FECHA DE PAGO],"")</f>
        <v>2318500</v>
      </c>
      <c r="E1170" s="25"/>
      <c r="F1170" s="58" t="str">
        <f>+VLOOKUP(PROVEEDORES[[#This Row],[PROVEEDOR]],
                       Terceros!$A:$F,
                       5,
                       FALSE)</f>
        <v/>
      </c>
      <c r="G1170" s="161">
        <v>44355</v>
      </c>
      <c r="H1170" s="26" t="s">
        <v>629</v>
      </c>
      <c r="I1170" s="161">
        <v>44312</v>
      </c>
      <c r="J1170" s="35" t="s">
        <v>1210</v>
      </c>
      <c r="K1170" s="21">
        <v>1092000</v>
      </c>
      <c r="L1170" s="21"/>
      <c r="M1170" s="22">
        <f>(PROVEEDORES[[#This Row],[SUBTOTAL]]-PROVEEDORES[[#This Row],[descuento sobre subtotal]])*VLOOKUP(PROVEEDORES[[#This Row],[PROVEEDOR]],TERCEROS_INFO[#All],3,FALSE)</f>
        <v>0</v>
      </c>
      <c r="N1170" s="23"/>
      <c r="O1170" s="22">
        <f>+PROVEEDORES[[#This Row],[Descuento sobre subtotal %]]*(PROVEEDORES[[#This Row],[SUBTOTAL]]-PROVEEDORES[[#This Row],[descuento sobre subtotal]])</f>
        <v>0</v>
      </c>
      <c r="P1170" s="83">
        <f>+IF(PROVEEDORES[[#This Row],[SUBTOTAL]]&lt;PROVEEDORES[[#This Row],[base retencion]],0,PROVEEDORES[[#This Row],[retención aplicada]])</f>
        <v>0</v>
      </c>
      <c r="Q1170" s="22">
        <f>+PROVEEDORES[[#This Row],[Rete Fuente %]]*(PROVEEDORES[[#This Row],[SUBTOTAL]]-PROVEEDORES[[#This Row],[descuento sobre subtotal]])</f>
        <v>0</v>
      </c>
      <c r="R1170" s="21">
        <f>+PROVEEDORES[[#This Row],[SUBTOTAL]]+PROVEEDORES[[#This Row],[IVA 19%]]-PROVEEDORES[[#This Row],[descuento sobre subtotal]]-PROVEEDORES[[#This Row],[Descuento sobre subtotal $2]]-PROVEEDORES[[#This Row],[Rete Fuente $]]</f>
        <v>1092000</v>
      </c>
      <c r="S11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68">
        <f ca="1">IF(PROVEEDORES[[#This Row],[FECHA DE PAGO]]=0,TODAY()-PROVEEDORES[[#This Row],[FECHA DE FACTURACIÓN]]-PROVEEDORES[[#This Row],[PLAZO Días]],0)</f>
        <v>0</v>
      </c>
      <c r="U1170" s="96">
        <f>+VLOOKUP(PROVEEDORES[[#This Row],[PROVEEDOR]],Terceros!$A:$D,4,FALSE)</f>
        <v>0</v>
      </c>
      <c r="V1170" s="97">
        <f>+YEAR(PROVEEDORES[[#This Row],[FECHA DE FACTURACIÓN]])</f>
        <v>2021</v>
      </c>
      <c r="W1170" s="97">
        <f>+MATCH(PROVEEDORES[[#This Row],[año facturado]],Retenciones!$1:$1,0)</f>
        <v>4</v>
      </c>
      <c r="X1170" s="98">
        <f>+VLOOKUP(PROVEEDORES[[#This Row],[ID RETENCION]],Retenciones!$A$1:$O$25,PROVEEDORES[[#This Row],[indicador de columna]],FALSE)</f>
        <v>0</v>
      </c>
      <c r="Y1170" s="99">
        <f>+VLOOKUP(PROVEEDORES[[#This Row],[ID RETENCION]],Retenciones!$A$1:$O$25,2,FALSE)</f>
        <v>0</v>
      </c>
      <c r="Z1170" s="125" t="b">
        <f>OR(COUNTIF(PROVEEDORES[[#This Row],[PROVEEDOR]],"*"&amp;'Palabra no opera'!$A$2&amp;"*"))</f>
        <v>0</v>
      </c>
      <c r="AA1170" s="24"/>
      <c r="AB1170" s="24"/>
      <c r="AC1170" s="24"/>
      <c r="AD1170" s="24"/>
      <c r="AE1170" s="24"/>
    </row>
    <row r="1171" spans="1:31" ht="22.2" customHeight="1" x14ac:dyDescent="0.3">
      <c r="A1171" s="66" t="str">
        <f>+IF(PROVEEDORES[[#This Row],[FECHA DE PAGO]]=PROVEEDORES[[#This Row],[FECHA DE FACTURACIÓN]],"DE CONTADO","CRÉDITO")</f>
        <v>CRÉDITO</v>
      </c>
      <c r="B1171" s="38" t="str">
        <f>+IF((PROVEEDORES[[#This Row],[FECHA DE PAGO]]-PROVEEDORES[[#This Row],[FECHA DE FACTURACIÓN]])&gt;PROVEEDORES[[#This Row],[PLAZO Días]],"PAGO VENCIDO")</f>
        <v>PAGO VENCIDO</v>
      </c>
      <c r="C1171" s="20">
        <f>+VLOOKUP(PROVEEDORES[[#This Row],[PROVEEDOR]],TERCEROS_INFO[#All],2,FALSE)</f>
        <v>45</v>
      </c>
      <c r="D1171" s="25">
        <f>+SUMIFS(PROVEEDORES[Total],PROVEEDORES[PROVEEDOR],PROVEEDORES[[#This Row],[PROVEEDOR]],PROVEEDORES[FECHA DE PAGO],"")</f>
        <v>2604910</v>
      </c>
      <c r="E1171" s="25"/>
      <c r="F117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1" s="161">
        <v>44229</v>
      </c>
      <c r="H1171" s="26" t="s">
        <v>10</v>
      </c>
      <c r="I1171" s="161">
        <v>44181</v>
      </c>
      <c r="J1171" s="35" t="s">
        <v>90</v>
      </c>
      <c r="K1171" s="21">
        <v>920000</v>
      </c>
      <c r="L1171" s="21"/>
      <c r="M1171" s="22">
        <f>(PROVEEDORES[[#This Row],[SUBTOTAL]]-PROVEEDORES[[#This Row],[descuento sobre subtotal]])*VLOOKUP(PROVEEDORES[[#This Row],[PROVEEDOR]],TERCEROS_INFO[#All],3,FALSE)</f>
        <v>174800</v>
      </c>
      <c r="N1171" s="23"/>
      <c r="O1171" s="22">
        <f>+PROVEEDORES[[#This Row],[Descuento sobre subtotal %]]*(PROVEEDORES[[#This Row],[SUBTOTAL]]-PROVEEDORES[[#This Row],[descuento sobre subtotal]])</f>
        <v>0</v>
      </c>
      <c r="P1171" s="83">
        <f>+IF(PROVEEDORES[[#This Row],[SUBTOTAL]]&lt;PROVEEDORES[[#This Row],[base retencion]],0,PROVEEDORES[[#This Row],[retención aplicada]])</f>
        <v>0</v>
      </c>
      <c r="Q1171" s="22">
        <f>+PROVEEDORES[[#This Row],[Rete Fuente %]]*(PROVEEDORES[[#This Row],[SUBTOTAL]]-PROVEEDORES[[#This Row],[descuento sobre subtotal]])</f>
        <v>0</v>
      </c>
      <c r="R1171" s="21">
        <f>+PROVEEDORES[[#This Row],[SUBTOTAL]]+PROVEEDORES[[#This Row],[IVA 19%]]-PROVEEDORES[[#This Row],[descuento sobre subtotal]]-PROVEEDORES[[#This Row],[Descuento sobre subtotal $2]]-PROVEEDORES[[#This Row],[Rete Fuente $]]</f>
        <v>1094800</v>
      </c>
      <c r="S11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68">
        <f ca="1">IF(PROVEEDORES[[#This Row],[FECHA DE PAGO]]=0,TODAY()-PROVEEDORES[[#This Row],[FECHA DE FACTURACIÓN]]-PROVEEDORES[[#This Row],[PLAZO Días]],0)</f>
        <v>0</v>
      </c>
      <c r="U1171" s="96">
        <f>+VLOOKUP(PROVEEDORES[[#This Row],[PROVEEDOR]],Terceros!$A:$D,4,FALSE)</f>
        <v>0</v>
      </c>
      <c r="V1171" s="97">
        <f>+YEAR(PROVEEDORES[[#This Row],[FECHA DE FACTURACIÓN]])</f>
        <v>2020</v>
      </c>
      <c r="W1171" s="97">
        <f>+MATCH(PROVEEDORES[[#This Row],[año facturado]],Retenciones!$1:$1,0)</f>
        <v>3</v>
      </c>
      <c r="X1171" s="98">
        <f>+VLOOKUP(PROVEEDORES[[#This Row],[ID RETENCION]],Retenciones!$A$1:$O$25,PROVEEDORES[[#This Row],[indicador de columna]],FALSE)</f>
        <v>0</v>
      </c>
      <c r="Y1171" s="99">
        <f>+VLOOKUP(PROVEEDORES[[#This Row],[ID RETENCION]],Retenciones!$A$1:$O$25,2,FALSE)</f>
        <v>0</v>
      </c>
      <c r="Z1171" s="125" t="b">
        <f>OR(COUNTIF(PROVEEDORES[[#This Row],[PROVEEDOR]],"*"&amp;'Palabra no opera'!$A$2&amp;"*"))</f>
        <v>0</v>
      </c>
      <c r="AA1171" s="24"/>
      <c r="AB1171" s="24"/>
      <c r="AC1171" s="24"/>
      <c r="AD1171" s="24"/>
      <c r="AE1171" s="24"/>
    </row>
    <row r="1172" spans="1:31" ht="22.2" customHeight="1" x14ac:dyDescent="0.3">
      <c r="A1172" s="66" t="str">
        <f>+IF(PROVEEDORES[[#This Row],[FECHA DE PAGO]]=PROVEEDORES[[#This Row],[FECHA DE FACTURACIÓN]],"DE CONTADO","CRÉDITO")</f>
        <v>DE CONTADO</v>
      </c>
      <c r="B1172" s="38" t="b">
        <f>+IF((PROVEEDORES[[#This Row],[FECHA DE PAGO]]-PROVEEDORES[[#This Row],[FECHA DE FACTURACIÓN]])&gt;PROVEEDORES[[#This Row],[PLAZO Días]],"PAGO VENCIDO")</f>
        <v>0</v>
      </c>
      <c r="C1172" s="20">
        <f>+VLOOKUP(PROVEEDORES[[#This Row],[PROVEEDOR]],TERCEROS_INFO[#All],2,FALSE)</f>
        <v>30</v>
      </c>
      <c r="D1172" s="25">
        <f>+SUMIFS(PROVEEDORES[Total],PROVEEDORES[PROVEEDOR],PROVEEDORES[[#This Row],[PROVEEDOR]],PROVEEDORES[FECHA DE PAGO],"")</f>
        <v>0</v>
      </c>
      <c r="E1172" s="25"/>
      <c r="F1172" s="58" t="str">
        <f>+VLOOKUP(PROVEEDORES[[#This Row],[PROVEEDOR]],
                       Terceros!$A:$F,
                       5,
                       FALSE)</f>
        <v/>
      </c>
      <c r="G1172" s="161">
        <v>44347</v>
      </c>
      <c r="H1172" s="26" t="s">
        <v>644</v>
      </c>
      <c r="I1172" s="161">
        <v>44347</v>
      </c>
      <c r="J1172" s="35" t="s">
        <v>597</v>
      </c>
      <c r="K1172" s="21">
        <v>1095000</v>
      </c>
      <c r="L1172" s="21"/>
      <c r="M1172" s="22">
        <f>(PROVEEDORES[[#This Row],[SUBTOTAL]]-PROVEEDORES[[#This Row],[descuento sobre subtotal]])*VLOOKUP(PROVEEDORES[[#This Row],[PROVEEDOR]],TERCEROS_INFO[#All],3,FALSE)</f>
        <v>0</v>
      </c>
      <c r="N1172" s="23"/>
      <c r="O1172" s="22">
        <f>+PROVEEDORES[[#This Row],[Descuento sobre subtotal %]]*(PROVEEDORES[[#This Row],[SUBTOTAL]]-PROVEEDORES[[#This Row],[descuento sobre subtotal]])</f>
        <v>0</v>
      </c>
      <c r="P1172" s="83">
        <f>+IF(PROVEEDORES[[#This Row],[SUBTOTAL]]&lt;PROVEEDORES[[#This Row],[base retencion]],0,PROVEEDORES[[#This Row],[retención aplicada]])</f>
        <v>0</v>
      </c>
      <c r="Q1172" s="22">
        <f>+PROVEEDORES[[#This Row],[Rete Fuente %]]*(PROVEEDORES[[#This Row],[SUBTOTAL]]-PROVEEDORES[[#This Row],[descuento sobre subtotal]])</f>
        <v>0</v>
      </c>
      <c r="R1172" s="21">
        <f>+PROVEEDORES[[#This Row],[SUBTOTAL]]+PROVEEDORES[[#This Row],[IVA 19%]]-PROVEEDORES[[#This Row],[descuento sobre subtotal]]-PROVEEDORES[[#This Row],[Descuento sobre subtotal $2]]-PROVEEDORES[[#This Row],[Rete Fuente $]]</f>
        <v>1095000</v>
      </c>
      <c r="S11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68">
        <f ca="1">IF(PROVEEDORES[[#This Row],[FECHA DE PAGO]]=0,TODAY()-PROVEEDORES[[#This Row],[FECHA DE FACTURACIÓN]]-PROVEEDORES[[#This Row],[PLAZO Días]],0)</f>
        <v>0</v>
      </c>
      <c r="U1172" s="96">
        <f>+VLOOKUP(PROVEEDORES[[#This Row],[PROVEEDOR]],Terceros!$A:$D,4,FALSE)</f>
        <v>0</v>
      </c>
      <c r="V1172" s="97">
        <f>+YEAR(PROVEEDORES[[#This Row],[FECHA DE FACTURACIÓN]])</f>
        <v>2021</v>
      </c>
      <c r="W1172" s="97">
        <f>+MATCH(PROVEEDORES[[#This Row],[año facturado]],Retenciones!$1:$1,0)</f>
        <v>4</v>
      </c>
      <c r="X1172" s="98">
        <f>+VLOOKUP(PROVEEDORES[[#This Row],[ID RETENCION]],Retenciones!$A$1:$O$25,PROVEEDORES[[#This Row],[indicador de columna]],FALSE)</f>
        <v>0</v>
      </c>
      <c r="Y1172" s="99">
        <f>+VLOOKUP(PROVEEDORES[[#This Row],[ID RETENCION]],Retenciones!$A$1:$O$25,2,FALSE)</f>
        <v>0</v>
      </c>
      <c r="Z1172" s="125" t="b">
        <f>OR(COUNTIF(PROVEEDORES[[#This Row],[PROVEEDOR]],"*"&amp;'Palabra no opera'!$A$2&amp;"*"))</f>
        <v>0</v>
      </c>
      <c r="AA1172" s="24"/>
      <c r="AB1172" s="24"/>
      <c r="AC1172" s="24"/>
      <c r="AD1172" s="24"/>
      <c r="AE1172" s="24"/>
    </row>
    <row r="1173" spans="1:31" ht="22.2" customHeight="1" x14ac:dyDescent="0.3">
      <c r="A1173" s="66" t="str">
        <f>+IF(PROVEEDORES[[#This Row],[FECHA DE PAGO]]=PROVEEDORES[[#This Row],[FECHA DE FACTURACIÓN]],"DE CONTADO","CRÉDITO")</f>
        <v>DE CONTADO</v>
      </c>
      <c r="B1173" s="38" t="b">
        <f>+IF((PROVEEDORES[[#This Row],[FECHA DE PAGO]]-PROVEEDORES[[#This Row],[FECHA DE FACTURACIÓN]])&gt;PROVEEDORES[[#This Row],[PLAZO Días]],"PAGO VENCIDO")</f>
        <v>0</v>
      </c>
      <c r="C1173" s="20">
        <f>+VLOOKUP(PROVEEDORES[[#This Row],[PROVEEDOR]],TERCEROS_INFO[#All],2,FALSE)</f>
        <v>30</v>
      </c>
      <c r="D1173" s="25">
        <f>+SUMIFS(PROVEEDORES[Total],PROVEEDORES[PROVEEDOR],PROVEEDORES[[#This Row],[PROVEEDOR]],PROVEEDORES[FECHA DE PAGO],"")</f>
        <v>0</v>
      </c>
      <c r="E1173" s="25"/>
      <c r="F1173" s="58">
        <f>+VLOOKUP(PROVEEDORES[[#This Row],[PROVEEDOR]],
                       Terceros!$A:$F,
                       5,
                       FALSE)</f>
        <v>0</v>
      </c>
      <c r="G1173" s="161">
        <v>44281</v>
      </c>
      <c r="H1173" s="26" t="s">
        <v>542</v>
      </c>
      <c r="I1173" s="161">
        <v>44281</v>
      </c>
      <c r="J1173" s="35">
        <v>2229</v>
      </c>
      <c r="K1173" s="21">
        <v>922404</v>
      </c>
      <c r="L1173" s="21"/>
      <c r="M1173" s="22">
        <f>(PROVEEDORES[[#This Row],[SUBTOTAL]]-PROVEEDORES[[#This Row],[descuento sobre subtotal]])*VLOOKUP(PROVEEDORES[[#This Row],[PROVEEDOR]],TERCEROS_INFO[#All],3,FALSE)</f>
        <v>175256.76</v>
      </c>
      <c r="N1173" s="23"/>
      <c r="O1173" s="22">
        <f>+PROVEEDORES[[#This Row],[Descuento sobre subtotal %]]*(PROVEEDORES[[#This Row],[SUBTOTAL]]-PROVEEDORES[[#This Row],[descuento sobre subtotal]])</f>
        <v>0</v>
      </c>
      <c r="P1173" s="83">
        <f>+IF(PROVEEDORES[[#This Row],[SUBTOTAL]]&lt;PROVEEDORES[[#This Row],[base retencion]],0,PROVEEDORES[[#This Row],[retención aplicada]])</f>
        <v>0</v>
      </c>
      <c r="Q1173" s="22">
        <f>+PROVEEDORES[[#This Row],[Rete Fuente %]]*(PROVEEDORES[[#This Row],[SUBTOTAL]]-PROVEEDORES[[#This Row],[descuento sobre subtotal]])</f>
        <v>0</v>
      </c>
      <c r="R1173" s="21">
        <f>+PROVEEDORES[[#This Row],[SUBTOTAL]]+PROVEEDORES[[#This Row],[IVA 19%]]-PROVEEDORES[[#This Row],[descuento sobre subtotal]]-PROVEEDORES[[#This Row],[Descuento sobre subtotal $2]]-PROVEEDORES[[#This Row],[Rete Fuente $]]</f>
        <v>1097660.76</v>
      </c>
      <c r="S11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68">
        <f ca="1">IF(PROVEEDORES[[#This Row],[FECHA DE PAGO]]=0,TODAY()-PROVEEDORES[[#This Row],[FECHA DE FACTURACIÓN]]-PROVEEDORES[[#This Row],[PLAZO Días]],0)</f>
        <v>0</v>
      </c>
      <c r="U1173" s="96" t="str">
        <f>+VLOOKUP(PROVEEDORES[[#This Row],[PROVEEDOR]],Terceros!$A:$D,4,FALSE)</f>
        <v>2,5% con base</v>
      </c>
      <c r="V1173" s="97">
        <f>+YEAR(PROVEEDORES[[#This Row],[FECHA DE FACTURACIÓN]])</f>
        <v>2021</v>
      </c>
      <c r="W1173" s="97">
        <f>+MATCH(PROVEEDORES[[#This Row],[año facturado]],Retenciones!$1:$1,0)</f>
        <v>4</v>
      </c>
      <c r="X1173" s="98">
        <f>+VLOOKUP(PROVEEDORES[[#This Row],[ID RETENCION]],Retenciones!$A$1:$O$25,PROVEEDORES[[#This Row],[indicador de columna]],FALSE)</f>
        <v>980000</v>
      </c>
      <c r="Y1173" s="99">
        <f>+VLOOKUP(PROVEEDORES[[#This Row],[ID RETENCION]],Retenciones!$A$1:$O$25,2,FALSE)</f>
        <v>2.5000000000000001E-2</v>
      </c>
      <c r="Z1173" s="125" t="b">
        <f>OR(COUNTIF(PROVEEDORES[[#This Row],[PROVEEDOR]],"*"&amp;'Palabra no opera'!$A$2&amp;"*"))</f>
        <v>0</v>
      </c>
      <c r="AA1173" s="24"/>
      <c r="AB1173" s="24"/>
      <c r="AC1173" s="24"/>
      <c r="AD1173" s="24"/>
      <c r="AE1173" s="24"/>
    </row>
    <row r="1174" spans="1:31" ht="22.2" customHeight="1" x14ac:dyDescent="0.3">
      <c r="A1174" s="66" t="str">
        <f>+IF(PROVEEDORES[[#This Row],[FECHA DE PAGO]]=PROVEEDORES[[#This Row],[FECHA DE FACTURACIÓN]],"DE CONTADO","CRÉDITO")</f>
        <v>CRÉDITO</v>
      </c>
      <c r="B1174" s="38" t="str">
        <f>+IF((PROVEEDORES[[#This Row],[FECHA DE PAGO]]-PROVEEDORES[[#This Row],[FECHA DE FACTURACIÓN]])&gt;PROVEEDORES[[#This Row],[PLAZO Días]],"PAGO VENCIDO")</f>
        <v>PAGO VENCIDO</v>
      </c>
      <c r="C1174" s="20">
        <f>+VLOOKUP(PROVEEDORES[[#This Row],[PROVEEDOR]],TERCEROS_INFO[#All],2,FALSE)</f>
        <v>30</v>
      </c>
      <c r="D1174" s="25">
        <f>+SUMIFS(PROVEEDORES[Total],PROVEEDORES[PROVEEDOR],PROVEEDORES[[#This Row],[PROVEEDOR]],PROVEEDORES[FECHA DE PAGO],"")</f>
        <v>2318500</v>
      </c>
      <c r="E1174" s="25"/>
      <c r="F1174" s="58" t="str">
        <f>+VLOOKUP(PROVEEDORES[[#This Row],[PROVEEDOR]],
                       Terceros!$A:$F,
                       5,
                       FALSE)</f>
        <v/>
      </c>
      <c r="G1174" s="161">
        <v>44264</v>
      </c>
      <c r="H1174" s="26" t="s">
        <v>629</v>
      </c>
      <c r="I1174" s="161">
        <v>44217</v>
      </c>
      <c r="J1174" s="35">
        <v>1416</v>
      </c>
      <c r="K1174" s="21">
        <v>1100000</v>
      </c>
      <c r="L1174" s="21"/>
      <c r="M1174" s="22">
        <f>(PROVEEDORES[[#This Row],[SUBTOTAL]]-PROVEEDORES[[#This Row],[descuento sobre subtotal]])*VLOOKUP(PROVEEDORES[[#This Row],[PROVEEDOR]],TERCEROS_INFO[#All],3,FALSE)</f>
        <v>0</v>
      </c>
      <c r="N1174" s="23"/>
      <c r="O1174" s="22">
        <f>+PROVEEDORES[[#This Row],[Descuento sobre subtotal %]]*(PROVEEDORES[[#This Row],[SUBTOTAL]]-PROVEEDORES[[#This Row],[descuento sobre subtotal]])</f>
        <v>0</v>
      </c>
      <c r="P1174" s="83">
        <f>+IF(PROVEEDORES[[#This Row],[SUBTOTAL]]&lt;PROVEEDORES[[#This Row],[base retencion]],0,PROVEEDORES[[#This Row],[retención aplicada]])</f>
        <v>0</v>
      </c>
      <c r="Q1174" s="22">
        <f>+PROVEEDORES[[#This Row],[Rete Fuente %]]*(PROVEEDORES[[#This Row],[SUBTOTAL]]-PROVEEDORES[[#This Row],[descuento sobre subtotal]])</f>
        <v>0</v>
      </c>
      <c r="R1174" s="21">
        <f>+PROVEEDORES[[#This Row],[SUBTOTAL]]+PROVEEDORES[[#This Row],[IVA 19%]]-PROVEEDORES[[#This Row],[descuento sobre subtotal]]-PROVEEDORES[[#This Row],[Descuento sobre subtotal $2]]-PROVEEDORES[[#This Row],[Rete Fuente $]]</f>
        <v>1100000</v>
      </c>
      <c r="S11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68">
        <f ca="1">IF(PROVEEDORES[[#This Row],[FECHA DE PAGO]]=0,TODAY()-PROVEEDORES[[#This Row],[FECHA DE FACTURACIÓN]]-PROVEEDORES[[#This Row],[PLAZO Días]],0)</f>
        <v>0</v>
      </c>
      <c r="U1174" s="96">
        <f>+VLOOKUP(PROVEEDORES[[#This Row],[PROVEEDOR]],Terceros!$A:$D,4,FALSE)</f>
        <v>0</v>
      </c>
      <c r="V1174" s="97">
        <f>+YEAR(PROVEEDORES[[#This Row],[FECHA DE FACTURACIÓN]])</f>
        <v>2021</v>
      </c>
      <c r="W1174" s="97">
        <f>+MATCH(PROVEEDORES[[#This Row],[año facturado]],Retenciones!$1:$1,0)</f>
        <v>4</v>
      </c>
      <c r="X1174" s="98">
        <f>+VLOOKUP(PROVEEDORES[[#This Row],[ID RETENCION]],Retenciones!$A$1:$O$25,PROVEEDORES[[#This Row],[indicador de columna]],FALSE)</f>
        <v>0</v>
      </c>
      <c r="Y1174" s="99">
        <f>+VLOOKUP(PROVEEDORES[[#This Row],[ID RETENCION]],Retenciones!$A$1:$O$25,2,FALSE)</f>
        <v>0</v>
      </c>
      <c r="Z1174" s="125" t="b">
        <f>OR(COUNTIF(PROVEEDORES[[#This Row],[PROVEEDOR]],"*"&amp;'Palabra no opera'!$A$2&amp;"*"))</f>
        <v>0</v>
      </c>
      <c r="AA1174" s="24"/>
      <c r="AB1174" s="24"/>
      <c r="AC1174" s="24"/>
      <c r="AD1174" s="24"/>
      <c r="AE1174" s="24"/>
    </row>
    <row r="1175" spans="1:31" ht="22.2" customHeight="1" x14ac:dyDescent="0.3">
      <c r="A1175" s="66" t="str">
        <f>+IF(PROVEEDORES[[#This Row],[FECHA DE PAGO]]=PROVEEDORES[[#This Row],[FECHA DE FACTURACIÓN]],"DE CONTADO","CRÉDITO")</f>
        <v>CRÉDITO</v>
      </c>
      <c r="B1175" s="38" t="str">
        <f>+IF((PROVEEDORES[[#This Row],[FECHA DE PAGO]]-PROVEEDORES[[#This Row],[FECHA DE FACTURACIÓN]])&gt;PROVEEDORES[[#This Row],[PLAZO Días]],"PAGO VENCIDO")</f>
        <v>PAGO VENCIDO</v>
      </c>
      <c r="C1175" s="20">
        <f>+VLOOKUP(PROVEEDORES[[#This Row],[PROVEEDOR]],TERCEROS_INFO[#All],2,FALSE)</f>
        <v>30</v>
      </c>
      <c r="D1175" s="25">
        <f>+SUMIFS(PROVEEDORES[Total],PROVEEDORES[PROVEEDOR],PROVEEDORES[[#This Row],[PROVEEDOR]],PROVEEDORES[FECHA DE PAGO],"")</f>
        <v>0</v>
      </c>
      <c r="E1175" s="25"/>
      <c r="F117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75" s="161">
        <v>44476</v>
      </c>
      <c r="H1175" s="26" t="s">
        <v>20</v>
      </c>
      <c r="I1175" s="161">
        <v>44445</v>
      </c>
      <c r="J1175" s="35">
        <v>5005</v>
      </c>
      <c r="K1175" s="21">
        <v>926808</v>
      </c>
      <c r="L1175" s="21"/>
      <c r="M1175" s="22">
        <f>(PROVEEDORES[[#This Row],[SUBTOTAL]]-PROVEEDORES[[#This Row],[descuento sobre subtotal]])*VLOOKUP(PROVEEDORES[[#This Row],[PROVEEDOR]],TERCEROS_INFO[#All],3,FALSE)</f>
        <v>176093.52</v>
      </c>
      <c r="N1175" s="23"/>
      <c r="O1175" s="22">
        <f>+PROVEEDORES[[#This Row],[Descuento sobre subtotal %]]*(PROVEEDORES[[#This Row],[SUBTOTAL]]-PROVEEDORES[[#This Row],[descuento sobre subtotal]])</f>
        <v>0</v>
      </c>
      <c r="P1175" s="83">
        <f>+IF(PROVEEDORES[[#This Row],[SUBTOTAL]]&lt;PROVEEDORES[[#This Row],[base retencion]],0,PROVEEDORES[[#This Row],[retención aplicada]])</f>
        <v>0</v>
      </c>
      <c r="Q1175" s="22">
        <f>+PROVEEDORES[[#This Row],[Rete Fuente %]]*(PROVEEDORES[[#This Row],[SUBTOTAL]]-PROVEEDORES[[#This Row],[descuento sobre subtotal]])</f>
        <v>0</v>
      </c>
      <c r="R1175" s="21">
        <f>+PROVEEDORES[[#This Row],[SUBTOTAL]]+PROVEEDORES[[#This Row],[IVA 19%]]-PROVEEDORES[[#This Row],[descuento sobre subtotal]]-PROVEEDORES[[#This Row],[Descuento sobre subtotal $2]]-PROVEEDORES[[#This Row],[Rete Fuente $]]</f>
        <v>1102901.52</v>
      </c>
      <c r="S11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68">
        <f ca="1">IF(PROVEEDORES[[#This Row],[FECHA DE PAGO]]=0,TODAY()-PROVEEDORES[[#This Row],[FECHA DE FACTURACIÓN]]-PROVEEDORES[[#This Row],[PLAZO Días]],0)</f>
        <v>0</v>
      </c>
      <c r="U1175" s="96" t="str">
        <f>+VLOOKUP(PROVEEDORES[[#This Row],[PROVEEDOR]],Terceros!$A:$D,4,FALSE)</f>
        <v>2,5% con base</v>
      </c>
      <c r="V1175" s="97">
        <f>+YEAR(PROVEEDORES[[#This Row],[FECHA DE FACTURACIÓN]])</f>
        <v>2021</v>
      </c>
      <c r="W1175" s="97">
        <f>+MATCH(PROVEEDORES[[#This Row],[año facturado]],Retenciones!$1:$1,0)</f>
        <v>4</v>
      </c>
      <c r="X1175" s="98">
        <f>+VLOOKUP(PROVEEDORES[[#This Row],[ID RETENCION]],Retenciones!$A$1:$O$25,PROVEEDORES[[#This Row],[indicador de columna]],FALSE)</f>
        <v>980000</v>
      </c>
      <c r="Y1175" s="99">
        <f>+VLOOKUP(PROVEEDORES[[#This Row],[ID RETENCION]],Retenciones!$A$1:$O$25,2,FALSE)</f>
        <v>2.5000000000000001E-2</v>
      </c>
      <c r="Z1175" s="125" t="b">
        <f>OR(COUNTIF(PROVEEDORES[[#This Row],[PROVEEDOR]],"*"&amp;'Palabra no opera'!$A$2&amp;"*"))</f>
        <v>0</v>
      </c>
      <c r="AA1175" s="24"/>
      <c r="AB1175" s="24"/>
      <c r="AC1175" s="24"/>
      <c r="AD1175" s="24"/>
      <c r="AE1175" s="24"/>
    </row>
    <row r="1176" spans="1:31" ht="22.2" customHeight="1" x14ac:dyDescent="0.3">
      <c r="A1176" s="66" t="str">
        <f>+IF(PROVEEDORES[[#This Row],[FECHA DE PAGO]]=PROVEEDORES[[#This Row],[FECHA DE FACTURACIÓN]],"DE CONTADO","CRÉDITO")</f>
        <v>CRÉDITO</v>
      </c>
      <c r="B1176" s="38" t="str">
        <f>+IF((PROVEEDORES[[#This Row],[FECHA DE PAGO]]-PROVEEDORES[[#This Row],[FECHA DE FACTURACIÓN]])&gt;PROVEEDORES[[#This Row],[PLAZO Días]],"PAGO VENCIDO")</f>
        <v>PAGO VENCIDO</v>
      </c>
      <c r="C1176" s="20">
        <f>+VLOOKUP(PROVEEDORES[[#This Row],[PROVEEDOR]],TERCEROS_INFO[#All],2,FALSE)</f>
        <v>90</v>
      </c>
      <c r="D1176" s="25">
        <f>+SUMIFS(PROVEEDORES[Total],PROVEEDORES[PROVEEDOR],PROVEEDORES[[#This Row],[PROVEEDOR]],PROVEEDORES[FECHA DE PAGO],"")</f>
        <v>75241004.385000005</v>
      </c>
      <c r="E1176" s="25"/>
      <c r="F117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176" s="161">
        <v>44558</v>
      </c>
      <c r="H1176" s="26" t="s">
        <v>77</v>
      </c>
      <c r="I1176" s="161">
        <v>44414</v>
      </c>
      <c r="J1176" s="35" t="s">
        <v>410</v>
      </c>
      <c r="K1176" s="21">
        <v>927733</v>
      </c>
      <c r="L1176" s="21"/>
      <c r="M1176" s="22">
        <f>(PROVEEDORES[[#This Row],[SUBTOTAL]]-PROVEEDORES[[#This Row],[descuento sobre subtotal]])*VLOOKUP(PROVEEDORES[[#This Row],[PROVEEDOR]],TERCEROS_INFO[#All],3,FALSE)</f>
        <v>176269.27</v>
      </c>
      <c r="N1176" s="23"/>
      <c r="O1176" s="22">
        <f>+PROVEEDORES[[#This Row],[Descuento sobre subtotal %]]*(PROVEEDORES[[#This Row],[SUBTOTAL]]-PROVEEDORES[[#This Row],[descuento sobre subtotal]])</f>
        <v>0</v>
      </c>
      <c r="P1176" s="83">
        <f>+IF(PROVEEDORES[[#This Row],[SUBTOTAL]]&lt;PROVEEDORES[[#This Row],[base retencion]],0,PROVEEDORES[[#This Row],[retención aplicada]])</f>
        <v>0</v>
      </c>
      <c r="Q1176" s="22">
        <f>+PROVEEDORES[[#This Row],[Rete Fuente %]]*(PROVEEDORES[[#This Row],[SUBTOTAL]]-PROVEEDORES[[#This Row],[descuento sobre subtotal]])</f>
        <v>0</v>
      </c>
      <c r="R1176" s="21">
        <f>+PROVEEDORES[[#This Row],[SUBTOTAL]]+PROVEEDORES[[#This Row],[IVA 19%]]-PROVEEDORES[[#This Row],[descuento sobre subtotal]]-PROVEEDORES[[#This Row],[Descuento sobre subtotal $2]]-PROVEEDORES[[#This Row],[Rete Fuente $]]</f>
        <v>1104002.27</v>
      </c>
      <c r="S11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68">
        <f ca="1">IF(PROVEEDORES[[#This Row],[FECHA DE PAGO]]=0,TODAY()-PROVEEDORES[[#This Row],[FECHA DE FACTURACIÓN]]-PROVEEDORES[[#This Row],[PLAZO Días]],0)</f>
        <v>0</v>
      </c>
      <c r="U1176" s="96" t="str">
        <f>+VLOOKUP(PROVEEDORES[[#This Row],[PROVEEDOR]],Terceros!$A:$D,4,FALSE)</f>
        <v>2,5% con base</v>
      </c>
      <c r="V1176" s="97">
        <f>+YEAR(PROVEEDORES[[#This Row],[FECHA DE FACTURACIÓN]])</f>
        <v>2021</v>
      </c>
      <c r="W1176" s="97">
        <f>+MATCH(PROVEEDORES[[#This Row],[año facturado]],Retenciones!$1:$1,0)</f>
        <v>4</v>
      </c>
      <c r="X1176" s="98">
        <f>+VLOOKUP(PROVEEDORES[[#This Row],[ID RETENCION]],Retenciones!$A$1:$O$25,PROVEEDORES[[#This Row],[indicador de columna]],FALSE)</f>
        <v>980000</v>
      </c>
      <c r="Y1176" s="99">
        <f>+VLOOKUP(PROVEEDORES[[#This Row],[ID RETENCION]],Retenciones!$A$1:$O$25,2,FALSE)</f>
        <v>2.5000000000000001E-2</v>
      </c>
      <c r="Z1176" s="125" t="b">
        <f>OR(COUNTIF(PROVEEDORES[[#This Row],[PROVEEDOR]],"*"&amp;'Palabra no opera'!$A$2&amp;"*"))</f>
        <v>0</v>
      </c>
      <c r="AA1176" s="24"/>
      <c r="AB1176" s="24"/>
      <c r="AC1176" s="24"/>
      <c r="AD1176" s="24"/>
      <c r="AE1176" s="24"/>
    </row>
    <row r="1177" spans="1:31" ht="22.2" customHeight="1" x14ac:dyDescent="0.3">
      <c r="A1177" s="195" t="str">
        <f>+IF(PROVEEDORES[[#This Row],[FECHA DE PAGO]]=PROVEEDORES[[#This Row],[FECHA DE FACTURACIÓN]],"DE CONTADO","CRÉDITO")</f>
        <v>CRÉDITO</v>
      </c>
      <c r="B1177" s="38" t="b">
        <f>+IF((PROVEEDORES[[#This Row],[FECHA DE PAGO]]-PROVEEDORES[[#This Row],[FECHA DE FACTURACIÓN]])&gt;PROVEEDORES[[#This Row],[PLAZO Días]],"PAGO VENCIDO")</f>
        <v>0</v>
      </c>
      <c r="C1177" s="20">
        <f>+VLOOKUP(PROVEEDORES[[#This Row],[PROVEEDOR]],TERCEROS_INFO[#All],2,FALSE)</f>
        <v>13</v>
      </c>
      <c r="D1177" s="25">
        <f>+SUMIFS(PROVEEDORES[Total],PROVEEDORES[PROVEEDOR],PROVEEDORES[[#This Row],[PROVEEDOR]],PROVEEDORES[FECHA DE PAGO],"")</f>
        <v>0</v>
      </c>
      <c r="E1177" s="25"/>
      <c r="F1177" s="58">
        <f>+VLOOKUP(PROVEEDORES[[#This Row],[PROVEEDOR]],
                       Terceros!$A:$F,
                       5,
                       FALSE)</f>
        <v>0</v>
      </c>
      <c r="G1177" s="161">
        <v>44784</v>
      </c>
      <c r="H1177" s="26" t="s">
        <v>934</v>
      </c>
      <c r="I1177" s="161">
        <v>44774</v>
      </c>
      <c r="J1177" s="35"/>
      <c r="K1177" s="21">
        <v>1104931</v>
      </c>
      <c r="L1177" s="21"/>
      <c r="M1177" s="22">
        <f>(PROVEEDORES[[#This Row],[SUBTOTAL]]-PROVEEDORES[[#This Row],[descuento sobre subtotal]])*VLOOKUP(PROVEEDORES[[#This Row],[PROVEEDOR]],TERCEROS_INFO[#All],3,FALSE)</f>
        <v>0</v>
      </c>
      <c r="N1177" s="23"/>
      <c r="O1177" s="22">
        <f>+PROVEEDORES[[#This Row],[Descuento sobre subtotal %]]*(PROVEEDORES[[#This Row],[SUBTOTAL]]-PROVEEDORES[[#This Row],[descuento sobre subtotal]])</f>
        <v>0</v>
      </c>
      <c r="P1177" s="83">
        <f>+IF(PROVEEDORES[[#This Row],[SUBTOTAL]]&lt;PROVEEDORES[[#This Row],[base retencion]],0,PROVEEDORES[[#This Row],[retención aplicada]])</f>
        <v>0</v>
      </c>
      <c r="Q1177" s="22">
        <f>+PROVEEDORES[[#This Row],[Rete Fuente %]]*(PROVEEDORES[[#This Row],[SUBTOTAL]]-PROVEEDORES[[#This Row],[descuento sobre subtotal]])</f>
        <v>0</v>
      </c>
      <c r="R1177" s="21">
        <f>+PROVEEDORES[[#This Row],[SUBTOTAL]]+PROVEEDORES[[#This Row],[IVA 19%]]-PROVEEDORES[[#This Row],[descuento sobre subtotal]]-PROVEEDORES[[#This Row],[Descuento sobre subtotal $2]]-PROVEEDORES[[#This Row],[Rete Fuente $]]</f>
        <v>1104931</v>
      </c>
      <c r="S1177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68">
        <f ca="1">IF(PROVEEDORES[[#This Row],[FECHA DE PAGO]]=0,TODAY()-PROVEEDORES[[#This Row],[FECHA DE FACTURACIÓN]]-PROVEEDORES[[#This Row],[PLAZO Días]],0)</f>
        <v>0</v>
      </c>
      <c r="U1177" s="113">
        <f>+VLOOKUP(PROVEEDORES[[#This Row],[PROVEEDOR]],Terceros!$A:$D,4,FALSE)</f>
        <v>0</v>
      </c>
      <c r="V1177" s="114">
        <f>+YEAR(PROVEEDORES[[#This Row],[FECHA DE FACTURACIÓN]])</f>
        <v>2022</v>
      </c>
      <c r="W1177" s="114">
        <f>+MATCH(PROVEEDORES[[#This Row],[año facturado]],Retenciones!$1:$1,0)</f>
        <v>5</v>
      </c>
      <c r="X1177" s="115">
        <f>+VLOOKUP(PROVEEDORES[[#This Row],[ID RETENCION]],Retenciones!$A$1:$O$25,PROVEEDORES[[#This Row],[indicador de columna]],FALSE)</f>
        <v>0</v>
      </c>
      <c r="Y1177" s="116">
        <f>+VLOOKUP(PROVEEDORES[[#This Row],[ID RETENCION]],Retenciones!$A$1:$O$25,2,FALSE)</f>
        <v>0</v>
      </c>
      <c r="Z1177" s="125" t="b">
        <f>OR(COUNTIF(PROVEEDORES[[#This Row],[PROVEEDOR]],"*"&amp;'Palabra no opera'!$A$2&amp;"*"))</f>
        <v>1</v>
      </c>
      <c r="AA1177" s="24"/>
      <c r="AB1177" s="24"/>
      <c r="AC1177" s="24"/>
      <c r="AD1177" s="24"/>
      <c r="AE1177" s="24"/>
    </row>
    <row r="1178" spans="1:31" ht="22.2" customHeight="1" x14ac:dyDescent="0.3">
      <c r="A1178" s="66" t="str">
        <f>+IF(PROVEEDORES[[#This Row],[FECHA DE PAGO]]=PROVEEDORES[[#This Row],[FECHA DE FACTURACIÓN]],"DE CONTADO","CRÉDITO")</f>
        <v>CRÉDITO</v>
      </c>
      <c r="B1178" s="38" t="b">
        <f>+IF((PROVEEDORES[[#This Row],[FECHA DE PAGO]]-PROVEEDORES[[#This Row],[FECHA DE FACTURACIÓN]])&gt;PROVEEDORES[[#This Row],[PLAZO Días]],"PAGO VENCIDO")</f>
        <v>0</v>
      </c>
      <c r="C1178" s="20">
        <f>+VLOOKUP(PROVEEDORES[[#This Row],[PROVEEDOR]],TERCEROS_INFO[#All],2,FALSE)</f>
        <v>30</v>
      </c>
      <c r="D1178" s="25">
        <f>+SUMIFS(PROVEEDORES[Total],PROVEEDORES[PROVEEDOR],PROVEEDORES[[#This Row],[PROVEEDOR]],PROVEEDORES[FECHA DE PAGO],"")</f>
        <v>0</v>
      </c>
      <c r="E1178" s="25"/>
      <c r="F1178" s="58" t="str">
        <f>+VLOOKUP(PROVEEDORES[[#This Row],[PROVEEDOR]],
                       Terceros!$A:$F,
                       5,
                       FALSE)</f>
        <v/>
      </c>
      <c r="G1178" s="161">
        <v>44454</v>
      </c>
      <c r="H1178" s="26" t="s">
        <v>638</v>
      </c>
      <c r="I1178" s="161">
        <v>44453</v>
      </c>
      <c r="J1178" s="35" t="s">
        <v>1306</v>
      </c>
      <c r="K1178" s="21">
        <v>1106000</v>
      </c>
      <c r="L1178" s="21"/>
      <c r="M1178" s="22">
        <f>(PROVEEDORES[[#This Row],[SUBTOTAL]]-PROVEEDORES[[#This Row],[descuento sobre subtotal]])*VLOOKUP(PROVEEDORES[[#This Row],[PROVEEDOR]],TERCEROS_INFO[#All],3,FALSE)</f>
        <v>0</v>
      </c>
      <c r="N1178" s="23"/>
      <c r="O1178" s="22">
        <f>+PROVEEDORES[[#This Row],[Descuento sobre subtotal %]]*(PROVEEDORES[[#This Row],[SUBTOTAL]]-PROVEEDORES[[#This Row],[descuento sobre subtotal]])</f>
        <v>0</v>
      </c>
      <c r="P1178" s="83">
        <f>+IF(PROVEEDORES[[#This Row],[SUBTOTAL]]&lt;PROVEEDORES[[#This Row],[base retencion]],0,PROVEEDORES[[#This Row],[retención aplicada]])</f>
        <v>0</v>
      </c>
      <c r="Q1178" s="22">
        <f>+PROVEEDORES[[#This Row],[Rete Fuente %]]*(PROVEEDORES[[#This Row],[SUBTOTAL]]-PROVEEDORES[[#This Row],[descuento sobre subtotal]])</f>
        <v>0</v>
      </c>
      <c r="R1178" s="21">
        <f>+PROVEEDORES[[#This Row],[SUBTOTAL]]+PROVEEDORES[[#This Row],[IVA 19%]]-PROVEEDORES[[#This Row],[descuento sobre subtotal]]-PROVEEDORES[[#This Row],[Descuento sobre subtotal $2]]-PROVEEDORES[[#This Row],[Rete Fuente $]]</f>
        <v>1106000</v>
      </c>
      <c r="S11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68">
        <f ca="1">IF(PROVEEDORES[[#This Row],[FECHA DE PAGO]]=0,TODAY()-PROVEEDORES[[#This Row],[FECHA DE FACTURACIÓN]]-PROVEEDORES[[#This Row],[PLAZO Días]],0)</f>
        <v>0</v>
      </c>
      <c r="U1178" s="96">
        <f>+VLOOKUP(PROVEEDORES[[#This Row],[PROVEEDOR]],Terceros!$A:$D,4,FALSE)</f>
        <v>0</v>
      </c>
      <c r="V1178" s="97">
        <f>+YEAR(PROVEEDORES[[#This Row],[FECHA DE FACTURACIÓN]])</f>
        <v>2021</v>
      </c>
      <c r="W1178" s="97">
        <f>+MATCH(PROVEEDORES[[#This Row],[año facturado]],Retenciones!$1:$1,0)</f>
        <v>4</v>
      </c>
      <c r="X1178" s="98">
        <f>+VLOOKUP(PROVEEDORES[[#This Row],[ID RETENCION]],Retenciones!$A$1:$O$25,PROVEEDORES[[#This Row],[indicador de columna]],FALSE)</f>
        <v>0</v>
      </c>
      <c r="Y1178" s="99">
        <f>+VLOOKUP(PROVEEDORES[[#This Row],[ID RETENCION]],Retenciones!$A$1:$O$25,2,FALSE)</f>
        <v>0</v>
      </c>
      <c r="Z1178" s="125" t="b">
        <f>OR(COUNTIF(PROVEEDORES[[#This Row],[PROVEEDOR]],"*"&amp;'Palabra no opera'!$A$2&amp;"*"))</f>
        <v>0</v>
      </c>
      <c r="AA1178" s="24"/>
      <c r="AB1178" s="24"/>
      <c r="AC1178" s="24"/>
      <c r="AD1178" s="24"/>
      <c r="AE1178" s="24"/>
    </row>
    <row r="1179" spans="1:31" ht="22.2" customHeight="1" x14ac:dyDescent="0.3">
      <c r="A1179" s="72" t="str">
        <f>+IF(PROVEEDORES[[#This Row],[FECHA DE PAGO]]=PROVEEDORES[[#This Row],[FECHA DE FACTURACIÓN]],"DE CONTADO","CRÉDITO")</f>
        <v>CRÉDITO</v>
      </c>
      <c r="B1179" s="38" t="b">
        <f>+IF((PROVEEDORES[[#This Row],[FECHA DE PAGO]]-PROVEEDORES[[#This Row],[FECHA DE FACTURACIÓN]])&gt;PROVEEDORES[[#This Row],[PLAZO Días]],"PAGO VENCIDO")</f>
        <v>0</v>
      </c>
      <c r="C1179" s="20">
        <f>+VLOOKUP(PROVEEDORES[[#This Row],[PROVEEDOR]],TERCEROS_INFO[#All],2,FALSE)</f>
        <v>30</v>
      </c>
      <c r="D1179" s="25">
        <f>+SUMIFS(PROVEEDORES[Total],PROVEEDORES[PROVEEDOR],PROVEEDORES[[#This Row],[PROVEEDOR]],PROVEEDORES[FECHA DE PAGO],"")</f>
        <v>2223034.2400000002</v>
      </c>
      <c r="E1179" s="25"/>
      <c r="F117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1179" s="26" t="s">
        <v>216</v>
      </c>
      <c r="I1179" s="161">
        <v>44862</v>
      </c>
      <c r="J1179" s="35">
        <v>325475</v>
      </c>
      <c r="K1179" s="21">
        <v>937500</v>
      </c>
      <c r="L1179" s="21"/>
      <c r="M1179" s="22">
        <f>(PROVEEDORES[[#This Row],[SUBTOTAL]]-PROVEEDORES[[#This Row],[descuento sobre subtotal]])*VLOOKUP(PROVEEDORES[[#This Row],[PROVEEDOR]],TERCEROS_INFO[#All],3,FALSE)</f>
        <v>178125</v>
      </c>
      <c r="N1179" s="23"/>
      <c r="O1179" s="22">
        <f>+PROVEEDORES[[#This Row],[Descuento sobre subtotal %]]*(PROVEEDORES[[#This Row],[SUBTOTAL]]-PROVEEDORES[[#This Row],[descuento sobre subtotal]])</f>
        <v>0</v>
      </c>
      <c r="P1179" s="83">
        <f>+IF(PROVEEDORES[[#This Row],[SUBTOTAL]]&lt;PROVEEDORES[[#This Row],[base retencion]],0,PROVEEDORES[[#This Row],[retención aplicada]])</f>
        <v>0</v>
      </c>
      <c r="Q1179" s="22">
        <f>+PROVEEDORES[[#This Row],[Rete Fuente %]]*(PROVEEDORES[[#This Row],[SUBTOTAL]]-PROVEEDORES[[#This Row],[descuento sobre subtotal]])</f>
        <v>0</v>
      </c>
      <c r="R1179" s="21">
        <f>+PROVEEDORES[[#This Row],[SUBTOTAL]]+PROVEEDORES[[#This Row],[IVA 19%]]-PROVEEDORES[[#This Row],[descuento sobre subtotal]]-PROVEEDORES[[#This Row],[Descuento sobre subtotal $2]]-PROVEEDORES[[#This Row],[Rete Fuente $]]</f>
        <v>1115625</v>
      </c>
      <c r="S1179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179" s="68">
        <f ca="1">IF(PROVEEDORES[[#This Row],[FECHA DE PAGO]]=0,TODAY()-PROVEEDORES[[#This Row],[FECHA DE FACTURACIÓN]]-PROVEEDORES[[#This Row],[PLAZO Días]],0)</f>
        <v>-17</v>
      </c>
      <c r="U1179" s="113" t="str">
        <f>+VLOOKUP(PROVEEDORES[[#This Row],[PROVEEDOR]],Terceros!$A:$D,4,FALSE)</f>
        <v>2,5% con base</v>
      </c>
      <c r="V1179" s="114">
        <f>+YEAR(PROVEEDORES[[#This Row],[FECHA DE FACTURACIÓN]])</f>
        <v>2022</v>
      </c>
      <c r="W1179" s="114">
        <f>+MATCH(PROVEEDORES[[#This Row],[año facturado]],Retenciones!$1:$1,0)</f>
        <v>5</v>
      </c>
      <c r="X1179" s="115">
        <f>+VLOOKUP(PROVEEDORES[[#This Row],[ID RETENCION]],Retenciones!$A$1:$O$25,PROVEEDORES[[#This Row],[indicador de columna]],FALSE)</f>
        <v>1026000</v>
      </c>
      <c r="Y1179" s="116">
        <f>+VLOOKUP(PROVEEDORES[[#This Row],[ID RETENCION]],Retenciones!$A$1:$O$25,2,FALSE)</f>
        <v>2.5000000000000001E-2</v>
      </c>
      <c r="Z1179" s="125" t="b">
        <f>OR(COUNTIF(PROVEEDORES[[#This Row],[PROVEEDOR]],"*"&amp;'Palabra no opera'!$A$2&amp;"*"))</f>
        <v>0</v>
      </c>
      <c r="AA1179" s="24"/>
      <c r="AB1179" s="24"/>
      <c r="AC1179" s="24"/>
      <c r="AD1179" s="24"/>
      <c r="AE1179" s="24"/>
    </row>
    <row r="1180" spans="1:31" ht="22.2" customHeight="1" x14ac:dyDescent="0.3">
      <c r="A1180" s="66" t="str">
        <f>+IF(PROVEEDORES[[#This Row],[FECHA DE PAGO]]=PROVEEDORES[[#This Row],[FECHA DE FACTURACIÓN]],"DE CONTADO","CRÉDITO")</f>
        <v>CRÉDITO</v>
      </c>
      <c r="B1180" s="38" t="str">
        <f>+IF((PROVEEDORES[[#This Row],[FECHA DE PAGO]]-PROVEEDORES[[#This Row],[FECHA DE FACTURACIÓN]])&gt;PROVEEDORES[[#This Row],[PLAZO Días]],"PAGO VENCIDO")</f>
        <v>PAGO VENCIDO</v>
      </c>
      <c r="C1180" s="20">
        <f>+VLOOKUP(PROVEEDORES[[#This Row],[PROVEEDOR]],TERCEROS_INFO[#All],2,FALSE)</f>
        <v>45</v>
      </c>
      <c r="D1180" s="25">
        <f>+SUMIFS(PROVEEDORES[Total],PROVEEDORES[PROVEEDOR],PROVEEDORES[[#This Row],[PROVEEDOR]],PROVEEDORES[FECHA DE PAGO],"")</f>
        <v>2604910</v>
      </c>
      <c r="E1180" s="25"/>
      <c r="F118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80" s="161">
        <v>44257</v>
      </c>
      <c r="H1180" s="26" t="s">
        <v>10</v>
      </c>
      <c r="I1180" s="161">
        <v>44209</v>
      </c>
      <c r="J1180" s="35" t="s">
        <v>105</v>
      </c>
      <c r="K1180" s="21">
        <v>938000</v>
      </c>
      <c r="L1180" s="21"/>
      <c r="M1180" s="22">
        <f>(PROVEEDORES[[#This Row],[SUBTOTAL]]-PROVEEDORES[[#This Row],[descuento sobre subtotal]])*VLOOKUP(PROVEEDORES[[#This Row],[PROVEEDOR]],TERCEROS_INFO[#All],3,FALSE)</f>
        <v>178220</v>
      </c>
      <c r="N1180" s="23"/>
      <c r="O1180" s="22">
        <f>+PROVEEDORES[[#This Row],[Descuento sobre subtotal %]]*(PROVEEDORES[[#This Row],[SUBTOTAL]]-PROVEEDORES[[#This Row],[descuento sobre subtotal]])</f>
        <v>0</v>
      </c>
      <c r="P1180" s="83">
        <f>+IF(PROVEEDORES[[#This Row],[SUBTOTAL]]&lt;PROVEEDORES[[#This Row],[base retencion]],0,PROVEEDORES[[#This Row],[retención aplicada]])</f>
        <v>0</v>
      </c>
      <c r="Q1180" s="22">
        <f>+PROVEEDORES[[#This Row],[Rete Fuente %]]*(PROVEEDORES[[#This Row],[SUBTOTAL]]-PROVEEDORES[[#This Row],[descuento sobre subtotal]])</f>
        <v>0</v>
      </c>
      <c r="R1180" s="21">
        <f>+PROVEEDORES[[#This Row],[SUBTOTAL]]+PROVEEDORES[[#This Row],[IVA 19%]]-PROVEEDORES[[#This Row],[descuento sobre subtotal]]-PROVEEDORES[[#This Row],[Descuento sobre subtotal $2]]-PROVEEDORES[[#This Row],[Rete Fuente $]]</f>
        <v>1116220</v>
      </c>
      <c r="S11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68">
        <f ca="1">IF(PROVEEDORES[[#This Row],[FECHA DE PAGO]]=0,TODAY()-PROVEEDORES[[#This Row],[FECHA DE FACTURACIÓN]]-PROVEEDORES[[#This Row],[PLAZO Días]],0)</f>
        <v>0</v>
      </c>
      <c r="U1180" s="96">
        <f>+VLOOKUP(PROVEEDORES[[#This Row],[PROVEEDOR]],Terceros!$A:$D,4,FALSE)</f>
        <v>0</v>
      </c>
      <c r="V1180" s="97">
        <f>+YEAR(PROVEEDORES[[#This Row],[FECHA DE FACTURACIÓN]])</f>
        <v>2021</v>
      </c>
      <c r="W1180" s="97">
        <f>+MATCH(PROVEEDORES[[#This Row],[año facturado]],Retenciones!$1:$1,0)</f>
        <v>4</v>
      </c>
      <c r="X1180" s="98">
        <f>+VLOOKUP(PROVEEDORES[[#This Row],[ID RETENCION]],Retenciones!$A$1:$O$25,PROVEEDORES[[#This Row],[indicador de columna]],FALSE)</f>
        <v>0</v>
      </c>
      <c r="Y1180" s="99">
        <f>+VLOOKUP(PROVEEDORES[[#This Row],[ID RETENCION]],Retenciones!$A$1:$O$25,2,FALSE)</f>
        <v>0</v>
      </c>
      <c r="Z1180" s="125" t="b">
        <f>OR(COUNTIF(PROVEEDORES[[#This Row],[PROVEEDOR]],"*"&amp;'Palabra no opera'!$A$2&amp;"*"))</f>
        <v>0</v>
      </c>
      <c r="AA1180" s="24"/>
      <c r="AB1180" s="24"/>
      <c r="AC1180" s="24"/>
      <c r="AD1180" s="24"/>
      <c r="AE1180" s="24"/>
    </row>
    <row r="1181" spans="1:31" ht="22.2" customHeight="1" x14ac:dyDescent="0.3">
      <c r="A1181" s="66" t="str">
        <f>+IF(PROVEEDORES[[#This Row],[FECHA DE PAGO]]=PROVEEDORES[[#This Row],[FECHA DE FACTURACIÓN]],"DE CONTADO","CRÉDITO")</f>
        <v>CRÉDITO</v>
      </c>
      <c r="B1181" s="38" t="str">
        <f>+IF((PROVEEDORES[[#This Row],[FECHA DE PAGO]]-PROVEEDORES[[#This Row],[FECHA DE FACTURACIÓN]])&gt;PROVEEDORES[[#This Row],[PLAZO Días]],"PAGO VENCIDO")</f>
        <v>PAGO VENCIDO</v>
      </c>
      <c r="C1181" s="20">
        <f>+VLOOKUP(PROVEEDORES[[#This Row],[PROVEEDOR]],TERCEROS_INFO[#All],2,FALSE)</f>
        <v>30</v>
      </c>
      <c r="D1181" s="25">
        <f>+SUMIFS(PROVEEDORES[Total],PROVEEDORES[PROVEEDOR],PROVEEDORES[[#This Row],[PROVEEDOR]],PROVEEDORES[FECHA DE PAGO],"")</f>
        <v>2456000</v>
      </c>
      <c r="E1181" s="25"/>
      <c r="F1181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81" s="161">
        <v>44652</v>
      </c>
      <c r="H1181" s="26" t="s">
        <v>623</v>
      </c>
      <c r="I1181" s="161">
        <v>44573</v>
      </c>
      <c r="J1181" s="35" t="s">
        <v>1555</v>
      </c>
      <c r="K1181" s="21">
        <v>1120000</v>
      </c>
      <c r="L1181" s="21"/>
      <c r="M1181" s="22">
        <f>(PROVEEDORES[[#This Row],[SUBTOTAL]]-PROVEEDORES[[#This Row],[descuento sobre subtotal]])*VLOOKUP(PROVEEDORES[[#This Row],[PROVEEDOR]],TERCEROS_INFO[#All],3,FALSE)</f>
        <v>0</v>
      </c>
      <c r="N1181" s="23"/>
      <c r="O1181" s="22">
        <f>+PROVEEDORES[[#This Row],[Descuento sobre subtotal %]]*(PROVEEDORES[[#This Row],[SUBTOTAL]]-PROVEEDORES[[#This Row],[descuento sobre subtotal]])</f>
        <v>0</v>
      </c>
      <c r="P1181" s="83">
        <f>+IF(PROVEEDORES[[#This Row],[SUBTOTAL]]&lt;PROVEEDORES[[#This Row],[base retencion]],0,PROVEEDORES[[#This Row],[retención aplicada]])</f>
        <v>0</v>
      </c>
      <c r="Q1181" s="22">
        <f>+PROVEEDORES[[#This Row],[Rete Fuente %]]*(PROVEEDORES[[#This Row],[SUBTOTAL]]-PROVEEDORES[[#This Row],[descuento sobre subtotal]])</f>
        <v>0</v>
      </c>
      <c r="R1181" s="21">
        <v>1120000</v>
      </c>
      <c r="S11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1" s="68">
        <f ca="1">IF(PROVEEDORES[[#This Row],[FECHA DE PAGO]]=0,TODAY()-PROVEEDORES[[#This Row],[FECHA DE FACTURACIÓN]]-PROVEEDORES[[#This Row],[PLAZO Días]],0)</f>
        <v>0</v>
      </c>
      <c r="U1181" s="96">
        <f>+VLOOKUP(PROVEEDORES[[#This Row],[PROVEEDOR]],Terceros!$A:$D,4,FALSE)</f>
        <v>0</v>
      </c>
      <c r="V1181" s="97">
        <f>+YEAR(PROVEEDORES[[#This Row],[FECHA DE FACTURACIÓN]])</f>
        <v>2022</v>
      </c>
      <c r="W1181" s="97">
        <f>+MATCH(PROVEEDORES[[#This Row],[año facturado]],Retenciones!$1:$1,0)</f>
        <v>5</v>
      </c>
      <c r="X1181" s="98">
        <f>+VLOOKUP(PROVEEDORES[[#This Row],[ID RETENCION]],Retenciones!$A$1:$O$25,PROVEEDORES[[#This Row],[indicador de columna]],FALSE)</f>
        <v>0</v>
      </c>
      <c r="Y1181" s="99">
        <f>+VLOOKUP(PROVEEDORES[[#This Row],[ID RETENCION]],Retenciones!$A$1:$O$25,2,FALSE)</f>
        <v>0</v>
      </c>
      <c r="Z1181" s="125" t="b">
        <f>OR(COUNTIF(PROVEEDORES[[#This Row],[PROVEEDOR]],"*"&amp;'Palabra no opera'!$A$2&amp;"*"))</f>
        <v>0</v>
      </c>
      <c r="AA1181" s="24"/>
      <c r="AB1181" s="24"/>
      <c r="AC1181" s="24"/>
      <c r="AD1181" s="24"/>
      <c r="AE1181" s="24"/>
    </row>
    <row r="1182" spans="1:31" ht="22.2" customHeight="1" x14ac:dyDescent="0.3">
      <c r="A1182" s="66" t="str">
        <f>+IF(PROVEEDORES[[#This Row],[FECHA DE PAGO]]=PROVEEDORES[[#This Row],[FECHA DE FACTURACIÓN]],"DE CONTADO","CRÉDITO")</f>
        <v>CRÉDITO</v>
      </c>
      <c r="B1182" s="38" t="b">
        <f>+IF((PROVEEDORES[[#This Row],[FECHA DE PAGO]]-PROVEEDORES[[#This Row],[FECHA DE FACTURACIÓN]])&gt;PROVEEDORES[[#This Row],[PLAZO Días]],"PAGO VENCIDO")</f>
        <v>0</v>
      </c>
      <c r="C1182" s="20">
        <f>+VLOOKUP(PROVEEDORES[[#This Row],[PROVEEDOR]],TERCEROS_INFO[#All],2,FALSE)</f>
        <v>30</v>
      </c>
      <c r="D1182" s="25">
        <f>+SUMIFS(PROVEEDORES[Total],PROVEEDORES[PROVEEDOR],PROVEEDORES[[#This Row],[PROVEEDOR]],PROVEEDORES[FECHA DE PAGO],"")</f>
        <v>0</v>
      </c>
      <c r="E1182" s="25"/>
      <c r="F118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82" s="161">
        <v>44650</v>
      </c>
      <c r="H1182" s="26" t="s">
        <v>913</v>
      </c>
      <c r="I1182" s="161">
        <v>44621</v>
      </c>
      <c r="J1182" s="35" t="s">
        <v>958</v>
      </c>
      <c r="K1182" s="21">
        <v>942255</v>
      </c>
      <c r="L1182" s="21"/>
      <c r="M1182" s="22">
        <v>179028.45</v>
      </c>
      <c r="N1182" s="23"/>
      <c r="O1182" s="22">
        <v>0</v>
      </c>
      <c r="P1182" s="83">
        <f>+IF(PROVEEDORES[[#This Row],[SUBTOTAL]]&lt;PROVEEDORES[[#This Row],[base retencion]],0,PROVEEDORES[[#This Row],[retención aplicada]])</f>
        <v>0</v>
      </c>
      <c r="Q1182" s="22">
        <f>+PROVEEDORES[[#This Row],[Rete Fuente %]]*(PROVEEDORES[[#This Row],[SUBTOTAL]]-PROVEEDORES[[#This Row],[descuento sobre subtotal]])</f>
        <v>0</v>
      </c>
      <c r="R1182" s="21">
        <v>1121283.45</v>
      </c>
      <c r="S11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2" s="68">
        <f ca="1">IF(PROVEEDORES[[#This Row],[FECHA DE PAGO]]=0,TODAY()-PROVEEDORES[[#This Row],[FECHA DE FACTURACIÓN]]-PROVEEDORES[[#This Row],[PLAZO Días]],0)</f>
        <v>0</v>
      </c>
      <c r="U1182" s="96">
        <f>+VLOOKUP(PROVEEDORES[[#This Row],[PROVEEDOR]],Terceros!$A:$D,4,FALSE)</f>
        <v>0</v>
      </c>
      <c r="V1182" s="97">
        <f>+YEAR(PROVEEDORES[[#This Row],[FECHA DE FACTURACIÓN]])</f>
        <v>2022</v>
      </c>
      <c r="W1182" s="97">
        <f>+MATCH(PROVEEDORES[[#This Row],[año facturado]],Retenciones!$1:$1,0)</f>
        <v>5</v>
      </c>
      <c r="X1182" s="98">
        <f>+VLOOKUP(PROVEEDORES[[#This Row],[ID RETENCION]],Retenciones!$A$1:$O$25,PROVEEDORES[[#This Row],[indicador de columna]],FALSE)</f>
        <v>0</v>
      </c>
      <c r="Y1182" s="99">
        <f>+VLOOKUP(PROVEEDORES[[#This Row],[ID RETENCION]],Retenciones!$A$1:$O$25,2,FALSE)</f>
        <v>0</v>
      </c>
      <c r="Z1182" s="125" t="b">
        <f>OR(COUNTIF(PROVEEDORES[[#This Row],[PROVEEDOR]],"*"&amp;'Palabra no opera'!$A$2&amp;"*"))</f>
        <v>1</v>
      </c>
      <c r="AA1182" s="24"/>
      <c r="AB1182" s="24"/>
      <c r="AC1182" s="24"/>
      <c r="AD1182" s="24"/>
      <c r="AE1182" s="24"/>
    </row>
    <row r="1183" spans="1:31" ht="22.2" customHeight="1" x14ac:dyDescent="0.3">
      <c r="A1183" s="269" t="str">
        <f>+IF(PROVEEDORES[[#This Row],[FECHA DE PAGO]]=PROVEEDORES[[#This Row],[FECHA DE FACTURACIÓN]],"DE CONTADO","CRÉDITO")</f>
        <v>CRÉDITO</v>
      </c>
      <c r="B1183" s="38" t="b">
        <f>+IF((PROVEEDORES[[#This Row],[FECHA DE PAGO]]-PROVEEDORES[[#This Row],[FECHA DE FACTURACIÓN]])&gt;PROVEEDORES[[#This Row],[PLAZO Días]],"PAGO VENCIDO")</f>
        <v>0</v>
      </c>
      <c r="C1183" s="20">
        <f>+VLOOKUP(PROVEEDORES[[#This Row],[PROVEEDOR]],TERCEROS_INFO[#All],2,FALSE)</f>
        <v>30</v>
      </c>
      <c r="D1183" s="25">
        <f>+SUMIFS(PROVEEDORES[Total],PROVEEDORES[PROVEEDOR],PROVEEDORES[[#This Row],[PROVEEDOR]],PROVEEDORES[FECHA DE PAGO],"")</f>
        <v>1127400.05</v>
      </c>
      <c r="E1183" s="25"/>
      <c r="F118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H1183" s="26" t="s">
        <v>47</v>
      </c>
      <c r="I1183" s="161">
        <v>44867</v>
      </c>
      <c r="J1183" s="35" t="s">
        <v>1823</v>
      </c>
      <c r="K1183" s="21">
        <v>947395</v>
      </c>
      <c r="L1183" s="21"/>
      <c r="M1183" s="22">
        <f>(PROVEEDORES[[#This Row],[SUBTOTAL]]-PROVEEDORES[[#This Row],[descuento sobre subtotal]])*VLOOKUP(PROVEEDORES[[#This Row],[PROVEEDOR]],TERCEROS_INFO[#All],3,FALSE)</f>
        <v>180005.05</v>
      </c>
      <c r="N1183" s="23"/>
      <c r="O1183" s="22">
        <f>+PROVEEDORES[[#This Row],[Descuento sobre subtotal %]]*(PROVEEDORES[[#This Row],[SUBTOTAL]]-PROVEEDORES[[#This Row],[descuento sobre subtotal]])</f>
        <v>0</v>
      </c>
      <c r="P1183" s="83">
        <f>+IF(PROVEEDORES[[#This Row],[SUBTOTAL]]&lt;PROVEEDORES[[#This Row],[base retencion]],0,PROVEEDORES[[#This Row],[retención aplicada]])</f>
        <v>0</v>
      </c>
      <c r="Q1183" s="22">
        <f>+PROVEEDORES[[#This Row],[Rete Fuente %]]*(PROVEEDORES[[#This Row],[SUBTOTAL]]-PROVEEDORES[[#This Row],[descuento sobre subtotal]])</f>
        <v>0</v>
      </c>
      <c r="R1183" s="21">
        <f>+PROVEEDORES[[#This Row],[SUBTOTAL]]+PROVEEDORES[[#This Row],[IVA 19%]]-PROVEEDORES[[#This Row],[descuento sobre subtotal]]-PROVEEDORES[[#This Row],[Descuento sobre subtotal $2]]-PROVEEDORES[[#This Row],[Rete Fuente $]]</f>
        <v>1127400.05</v>
      </c>
      <c r="S1183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183" s="68">
        <f ca="1">IF(PROVEEDORES[[#This Row],[FECHA DE PAGO]]=0,TODAY()-PROVEEDORES[[#This Row],[FECHA DE FACTURACIÓN]]-PROVEEDORES[[#This Row],[PLAZO Días]],0)</f>
        <v>-22</v>
      </c>
      <c r="U1183" s="113" t="str">
        <f>+VLOOKUP(PROVEEDORES[[#This Row],[PROVEEDOR]],Terceros!$A:$D,4,FALSE)</f>
        <v>2,5% con base</v>
      </c>
      <c r="V1183" s="114">
        <f>+YEAR(PROVEEDORES[[#This Row],[FECHA DE FACTURACIÓN]])</f>
        <v>2022</v>
      </c>
      <c r="W1183" s="114">
        <f>+MATCH(PROVEEDORES[[#This Row],[año facturado]],Retenciones!$1:$1,0)</f>
        <v>5</v>
      </c>
      <c r="X1183" s="115">
        <f>+VLOOKUP(PROVEEDORES[[#This Row],[ID RETENCION]],Retenciones!$A$1:$O$25,PROVEEDORES[[#This Row],[indicador de columna]],FALSE)</f>
        <v>1026000</v>
      </c>
      <c r="Y1183" s="116">
        <f>+VLOOKUP(PROVEEDORES[[#This Row],[ID RETENCION]],Retenciones!$A$1:$O$25,2,FALSE)</f>
        <v>2.5000000000000001E-2</v>
      </c>
      <c r="Z1183" s="125" t="b">
        <f>OR(COUNTIF(PROVEEDORES[[#This Row],[PROVEEDOR]],"*"&amp;'Palabra no opera'!$A$2&amp;"*"))</f>
        <v>0</v>
      </c>
      <c r="AA1183" s="24"/>
      <c r="AB1183" s="24"/>
      <c r="AC1183" s="24"/>
      <c r="AD1183" s="24"/>
      <c r="AE1183" s="24"/>
    </row>
    <row r="1184" spans="1:31" ht="22.2" customHeight="1" x14ac:dyDescent="0.3">
      <c r="A1184" s="66" t="str">
        <f>+IF(PROVEEDORES[[#This Row],[FECHA DE PAGO]]=PROVEEDORES[[#This Row],[FECHA DE FACTURACIÓN]],"DE CONTADO","CRÉDITO")</f>
        <v>CRÉDITO</v>
      </c>
      <c r="B1184" s="38" t="str">
        <f>+IF((PROVEEDORES[[#This Row],[FECHA DE PAGO]]-PROVEEDORES[[#This Row],[FECHA DE FACTURACIÓN]])&gt;PROVEEDORES[[#This Row],[PLAZO Días]],"PAGO VENCIDO")</f>
        <v>PAGO VENCIDO</v>
      </c>
      <c r="C1184" s="20">
        <f>+VLOOKUP(PROVEEDORES[[#This Row],[PROVEEDOR]],TERCEROS_INFO[#All],2,FALSE)</f>
        <v>30</v>
      </c>
      <c r="D1184" s="25">
        <f>+SUMIFS(PROVEEDORES[Total],PROVEEDORES[PROVEEDOR],PROVEEDORES[[#This Row],[PROVEEDOR]],PROVEEDORES[FECHA DE PAGO],"")</f>
        <v>4712021.58</v>
      </c>
      <c r="E1184" s="25"/>
      <c r="F118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84" s="161">
        <v>44257</v>
      </c>
      <c r="H1184" s="26" t="s">
        <v>17</v>
      </c>
      <c r="I1184" s="161">
        <v>44221</v>
      </c>
      <c r="J1184" s="35">
        <v>1716568</v>
      </c>
      <c r="K1184" s="21">
        <v>948000</v>
      </c>
      <c r="L1184" s="21"/>
      <c r="M1184" s="22">
        <f>(PROVEEDORES[[#This Row],[SUBTOTAL]]-PROVEEDORES[[#This Row],[descuento sobre subtotal]])*VLOOKUP(PROVEEDORES[[#This Row],[PROVEEDOR]],TERCEROS_INFO[#All],3,FALSE)</f>
        <v>180120</v>
      </c>
      <c r="N1184" s="23"/>
      <c r="O1184" s="22">
        <f>+PROVEEDORES[[#This Row],[Descuento sobre subtotal %]]*(PROVEEDORES[[#This Row],[SUBTOTAL]]-PROVEEDORES[[#This Row],[descuento sobre subtotal]])</f>
        <v>0</v>
      </c>
      <c r="P1184" s="83">
        <f>+IF(PROVEEDORES[[#This Row],[SUBTOTAL]]&lt;PROVEEDORES[[#This Row],[base retencion]],0,PROVEEDORES[[#This Row],[retención aplicada]])</f>
        <v>0</v>
      </c>
      <c r="Q1184" s="22">
        <f>+PROVEEDORES[[#This Row],[Rete Fuente %]]*(PROVEEDORES[[#This Row],[SUBTOTAL]]-PROVEEDORES[[#This Row],[descuento sobre subtotal]])</f>
        <v>0</v>
      </c>
      <c r="R1184" s="21">
        <f>+PROVEEDORES[[#This Row],[SUBTOTAL]]+PROVEEDORES[[#This Row],[IVA 19%]]-PROVEEDORES[[#This Row],[descuento sobre subtotal]]-PROVEEDORES[[#This Row],[Descuento sobre subtotal $2]]-PROVEEDORES[[#This Row],[Rete Fuente $]]</f>
        <v>1128120</v>
      </c>
      <c r="S11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68">
        <f ca="1">IF(PROVEEDORES[[#This Row],[FECHA DE PAGO]]=0,TODAY()-PROVEEDORES[[#This Row],[FECHA DE FACTURACIÓN]]-PROVEEDORES[[#This Row],[PLAZO Días]],0)</f>
        <v>0</v>
      </c>
      <c r="U1184" s="96">
        <f>+VLOOKUP(PROVEEDORES[[#This Row],[PROVEEDOR]],Terceros!$A:$D,4,FALSE)</f>
        <v>0</v>
      </c>
      <c r="V1184" s="97">
        <f>+YEAR(PROVEEDORES[[#This Row],[FECHA DE FACTURACIÓN]])</f>
        <v>2021</v>
      </c>
      <c r="W1184" s="97">
        <f>+MATCH(PROVEEDORES[[#This Row],[año facturado]],Retenciones!$1:$1,0)</f>
        <v>4</v>
      </c>
      <c r="X1184" s="98">
        <f>+VLOOKUP(PROVEEDORES[[#This Row],[ID RETENCION]],Retenciones!$A$1:$O$25,PROVEEDORES[[#This Row],[indicador de columna]],FALSE)</f>
        <v>0</v>
      </c>
      <c r="Y1184" s="99">
        <f>+VLOOKUP(PROVEEDORES[[#This Row],[ID RETENCION]],Retenciones!$A$1:$O$25,2,FALSE)</f>
        <v>0</v>
      </c>
      <c r="Z1184" s="125" t="b">
        <f>OR(COUNTIF(PROVEEDORES[[#This Row],[PROVEEDOR]],"*"&amp;'Palabra no opera'!$A$2&amp;"*"))</f>
        <v>0</v>
      </c>
      <c r="AA1184" s="24"/>
      <c r="AB1184" s="24"/>
      <c r="AC1184" s="24"/>
      <c r="AD1184" s="24"/>
      <c r="AE1184" s="24"/>
    </row>
    <row r="1185" spans="1:31" ht="22.2" customHeight="1" x14ac:dyDescent="0.3">
      <c r="A1185" s="66" t="str">
        <f>+IF(PROVEEDORES[[#This Row],[FECHA DE PAGO]]=PROVEEDORES[[#This Row],[FECHA DE FACTURACIÓN]],"DE CONTADO","CRÉDITO")</f>
        <v>CRÉDITO</v>
      </c>
      <c r="B1185" s="38" t="str">
        <f>+IF((PROVEEDORES[[#This Row],[FECHA DE PAGO]]-PROVEEDORES[[#This Row],[FECHA DE FACTURACIÓN]])&gt;PROVEEDORES[[#This Row],[PLAZO Días]],"PAGO VENCIDO")</f>
        <v>PAGO VENCIDO</v>
      </c>
      <c r="C1185" s="20">
        <f>+VLOOKUP(PROVEEDORES[[#This Row],[PROVEEDOR]],TERCEROS_INFO[#All],2,FALSE)</f>
        <v>90</v>
      </c>
      <c r="D1185" s="25">
        <f>+SUMIFS(PROVEEDORES[Total],PROVEEDORES[PROVEEDOR],PROVEEDORES[[#This Row],[PROVEEDOR]],PROVEEDORES[FECHA DE PAGO],"")</f>
        <v>26350422.770000003</v>
      </c>
      <c r="E1185" s="25"/>
      <c r="F118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85" s="161">
        <v>44533</v>
      </c>
      <c r="H1185" s="26" t="s">
        <v>12</v>
      </c>
      <c r="I1185" s="161">
        <v>44433</v>
      </c>
      <c r="J1185" s="35" t="s">
        <v>436</v>
      </c>
      <c r="K1185" s="21">
        <v>949580</v>
      </c>
      <c r="L1185" s="21"/>
      <c r="M1185" s="22">
        <f>(PROVEEDORES[[#This Row],[SUBTOTAL]]-PROVEEDORES[[#This Row],[descuento sobre subtotal]])*VLOOKUP(PROVEEDORES[[#This Row],[PROVEEDOR]],TERCEROS_INFO[#All],3,FALSE)</f>
        <v>180420.2</v>
      </c>
      <c r="N1185" s="23"/>
      <c r="O1185" s="22">
        <f>+PROVEEDORES[[#This Row],[Descuento sobre subtotal %]]*(PROVEEDORES[[#This Row],[SUBTOTAL]]-PROVEEDORES[[#This Row],[descuento sobre subtotal]])</f>
        <v>0</v>
      </c>
      <c r="P1185" s="83">
        <f>+IF(PROVEEDORES[[#This Row],[SUBTOTAL]]&lt;PROVEEDORES[[#This Row],[base retencion]],0,PROVEEDORES[[#This Row],[retención aplicada]])</f>
        <v>0</v>
      </c>
      <c r="Q1185" s="22">
        <f>+PROVEEDORES[[#This Row],[Rete Fuente %]]*(PROVEEDORES[[#This Row],[SUBTOTAL]]-PROVEEDORES[[#This Row],[descuento sobre subtotal]])</f>
        <v>0</v>
      </c>
      <c r="R1185" s="21">
        <f>+PROVEEDORES[[#This Row],[SUBTOTAL]]+PROVEEDORES[[#This Row],[IVA 19%]]-PROVEEDORES[[#This Row],[descuento sobre subtotal]]-PROVEEDORES[[#This Row],[Descuento sobre subtotal $2]]-PROVEEDORES[[#This Row],[Rete Fuente $]]</f>
        <v>1130000.2</v>
      </c>
      <c r="S11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68">
        <f ca="1">IF(PROVEEDORES[[#This Row],[FECHA DE PAGO]]=0,TODAY()-PROVEEDORES[[#This Row],[FECHA DE FACTURACIÓN]]-PROVEEDORES[[#This Row],[PLAZO Días]],0)</f>
        <v>0</v>
      </c>
      <c r="U1185" s="96" t="str">
        <f>+VLOOKUP(PROVEEDORES[[#This Row],[PROVEEDOR]],Terceros!$A:$D,4,FALSE)</f>
        <v>2,5% con base</v>
      </c>
      <c r="V1185" s="97">
        <f>+YEAR(PROVEEDORES[[#This Row],[FECHA DE FACTURACIÓN]])</f>
        <v>2021</v>
      </c>
      <c r="W1185" s="97">
        <f>+MATCH(PROVEEDORES[[#This Row],[año facturado]],Retenciones!$1:$1,0)</f>
        <v>4</v>
      </c>
      <c r="X1185" s="98">
        <f>+VLOOKUP(PROVEEDORES[[#This Row],[ID RETENCION]],Retenciones!$A$1:$O$25,PROVEEDORES[[#This Row],[indicador de columna]],FALSE)</f>
        <v>980000</v>
      </c>
      <c r="Y1185" s="99">
        <f>+VLOOKUP(PROVEEDORES[[#This Row],[ID RETENCION]],Retenciones!$A$1:$O$25,2,FALSE)</f>
        <v>2.5000000000000001E-2</v>
      </c>
      <c r="Z1185" s="125" t="b">
        <f>OR(COUNTIF(PROVEEDORES[[#This Row],[PROVEEDOR]],"*"&amp;'Palabra no opera'!$A$2&amp;"*"))</f>
        <v>0</v>
      </c>
      <c r="AA1185" s="24"/>
      <c r="AB1185" s="24"/>
      <c r="AC1185" s="24"/>
      <c r="AD1185" s="24"/>
      <c r="AE1185" s="24"/>
    </row>
    <row r="1186" spans="1:31" ht="22.2" customHeight="1" x14ac:dyDescent="0.3">
      <c r="A1186" s="66" t="str">
        <f>+IF(PROVEEDORES[[#This Row],[FECHA DE PAGO]]=PROVEEDORES[[#This Row],[FECHA DE FACTURACIÓN]],"DE CONTADO","CRÉDITO")</f>
        <v>CRÉDITO</v>
      </c>
      <c r="B1186" s="38" t="str">
        <f>+IF((PROVEEDORES[[#This Row],[FECHA DE PAGO]]-PROVEEDORES[[#This Row],[FECHA DE FACTURACIÓN]])&gt;PROVEEDORES[[#This Row],[PLAZO Días]],"PAGO VENCIDO")</f>
        <v>PAGO VENCIDO</v>
      </c>
      <c r="C1186" s="20">
        <f>+VLOOKUP(PROVEEDORES[[#This Row],[PROVEEDOR]],TERCEROS_INFO[#All],2,FALSE)</f>
        <v>45</v>
      </c>
      <c r="D1186" s="25">
        <f>+SUMIFS(PROVEEDORES[Total],PROVEEDORES[PROVEEDOR],PROVEEDORES[[#This Row],[PROVEEDOR]],PROVEEDORES[FECHA DE PAGO],"")</f>
        <v>2604910</v>
      </c>
      <c r="E1186" s="25"/>
      <c r="F118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86" s="161">
        <v>44418</v>
      </c>
      <c r="H1186" s="26" t="s">
        <v>10</v>
      </c>
      <c r="I1186" s="161">
        <v>44356</v>
      </c>
      <c r="J1186" s="35" t="s">
        <v>349</v>
      </c>
      <c r="K1186" s="21">
        <v>950500</v>
      </c>
      <c r="L1186" s="21"/>
      <c r="M1186" s="22">
        <f>(PROVEEDORES[[#This Row],[SUBTOTAL]]-PROVEEDORES[[#This Row],[descuento sobre subtotal]])*VLOOKUP(PROVEEDORES[[#This Row],[PROVEEDOR]],TERCEROS_INFO[#All],3,FALSE)</f>
        <v>180595</v>
      </c>
      <c r="N1186" s="23"/>
      <c r="O1186" s="22">
        <f>+PROVEEDORES[[#This Row],[Descuento sobre subtotal %]]*(PROVEEDORES[[#This Row],[SUBTOTAL]]-PROVEEDORES[[#This Row],[descuento sobre subtotal]])</f>
        <v>0</v>
      </c>
      <c r="P1186" s="83">
        <f>+IF(PROVEEDORES[[#This Row],[SUBTOTAL]]&lt;PROVEEDORES[[#This Row],[base retencion]],0,PROVEEDORES[[#This Row],[retención aplicada]])</f>
        <v>0</v>
      </c>
      <c r="Q1186" s="22">
        <f>+PROVEEDORES[[#This Row],[Rete Fuente %]]*(PROVEEDORES[[#This Row],[SUBTOTAL]]-PROVEEDORES[[#This Row],[descuento sobre subtotal]])</f>
        <v>0</v>
      </c>
      <c r="R1186" s="21">
        <f>+PROVEEDORES[[#This Row],[SUBTOTAL]]+PROVEEDORES[[#This Row],[IVA 19%]]-PROVEEDORES[[#This Row],[descuento sobre subtotal]]-PROVEEDORES[[#This Row],[Descuento sobre subtotal $2]]-PROVEEDORES[[#This Row],[Rete Fuente $]]</f>
        <v>1131095</v>
      </c>
      <c r="S11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68">
        <f ca="1">IF(PROVEEDORES[[#This Row],[FECHA DE PAGO]]=0,TODAY()-PROVEEDORES[[#This Row],[FECHA DE FACTURACIÓN]]-PROVEEDORES[[#This Row],[PLAZO Días]],0)</f>
        <v>0</v>
      </c>
      <c r="U1186" s="96">
        <f>+VLOOKUP(PROVEEDORES[[#This Row],[PROVEEDOR]],Terceros!$A:$D,4,FALSE)</f>
        <v>0</v>
      </c>
      <c r="V1186" s="97">
        <f>+YEAR(PROVEEDORES[[#This Row],[FECHA DE FACTURACIÓN]])</f>
        <v>2021</v>
      </c>
      <c r="W1186" s="97">
        <f>+MATCH(PROVEEDORES[[#This Row],[año facturado]],Retenciones!$1:$1,0)</f>
        <v>4</v>
      </c>
      <c r="X1186" s="98">
        <f>+VLOOKUP(PROVEEDORES[[#This Row],[ID RETENCION]],Retenciones!$A$1:$O$25,PROVEEDORES[[#This Row],[indicador de columna]],FALSE)</f>
        <v>0</v>
      </c>
      <c r="Y1186" s="99">
        <f>+VLOOKUP(PROVEEDORES[[#This Row],[ID RETENCION]],Retenciones!$A$1:$O$25,2,FALSE)</f>
        <v>0</v>
      </c>
      <c r="Z1186" s="125" t="b">
        <f>OR(COUNTIF(PROVEEDORES[[#This Row],[PROVEEDOR]],"*"&amp;'Palabra no opera'!$A$2&amp;"*"))</f>
        <v>0</v>
      </c>
      <c r="AA1186" s="24"/>
      <c r="AB1186" s="24"/>
      <c r="AC1186" s="24"/>
      <c r="AD1186" s="24"/>
      <c r="AE1186" s="24"/>
    </row>
    <row r="1187" spans="1:31" ht="22.2" customHeight="1" x14ac:dyDescent="0.3">
      <c r="A1187" s="66" t="str">
        <f>+IF(PROVEEDORES[[#This Row],[FECHA DE PAGO]]=PROVEEDORES[[#This Row],[FECHA DE FACTURACIÓN]],"DE CONTADO","CRÉDITO")</f>
        <v>CRÉDITO</v>
      </c>
      <c r="B1187" s="38" t="str">
        <f>+IF((PROVEEDORES[[#This Row],[FECHA DE PAGO]]-PROVEEDORES[[#This Row],[FECHA DE FACTURACIÓN]])&gt;PROVEEDORES[[#This Row],[PLAZO Días]],"PAGO VENCIDO")</f>
        <v>PAGO VENCIDO</v>
      </c>
      <c r="C1187" s="20">
        <f>+VLOOKUP(PROVEEDORES[[#This Row],[PROVEEDOR]],TERCEROS_INFO[#All],2,FALSE)</f>
        <v>30</v>
      </c>
      <c r="D1187" s="25">
        <f>+SUMIFS(PROVEEDORES[Total],PROVEEDORES[PROVEEDOR],PROVEEDORES[[#This Row],[PROVEEDOR]],PROVEEDORES[FECHA DE PAGO],"")</f>
        <v>3215000</v>
      </c>
      <c r="E1187" s="25"/>
      <c r="F1187" s="58" t="str">
        <f>+VLOOKUP(PROVEEDORES[[#This Row],[PROVEEDOR]],
                       Terceros!$A:$F,
                       5,
                       FALSE)</f>
        <v/>
      </c>
      <c r="G1187" s="161">
        <v>44510</v>
      </c>
      <c r="H1187" s="26" t="s">
        <v>671</v>
      </c>
      <c r="I1187" s="161">
        <v>44449</v>
      </c>
      <c r="J1187" s="35" t="s">
        <v>1497</v>
      </c>
      <c r="K1187" s="21">
        <v>1140000</v>
      </c>
      <c r="L1187" s="21"/>
      <c r="M1187" s="22">
        <f>(PROVEEDORES[[#This Row],[SUBTOTAL]]-PROVEEDORES[[#This Row],[descuento sobre subtotal]])*VLOOKUP(PROVEEDORES[[#This Row],[PROVEEDOR]],TERCEROS_INFO[#All],3,FALSE)</f>
        <v>0</v>
      </c>
      <c r="N1187" s="23"/>
      <c r="O1187" s="22">
        <f>+PROVEEDORES[[#This Row],[Descuento sobre subtotal %]]*(PROVEEDORES[[#This Row],[SUBTOTAL]]-PROVEEDORES[[#This Row],[descuento sobre subtotal]])</f>
        <v>0</v>
      </c>
      <c r="P1187" s="83">
        <f>+IF(PROVEEDORES[[#This Row],[SUBTOTAL]]&lt;PROVEEDORES[[#This Row],[base retencion]],0,PROVEEDORES[[#This Row],[retención aplicada]])</f>
        <v>0</v>
      </c>
      <c r="Q1187" s="22">
        <f>+PROVEEDORES[[#This Row],[Rete Fuente %]]*(PROVEEDORES[[#This Row],[SUBTOTAL]]-PROVEEDORES[[#This Row],[descuento sobre subtotal]])</f>
        <v>0</v>
      </c>
      <c r="R1187" s="21">
        <f>+PROVEEDORES[[#This Row],[SUBTOTAL]]+PROVEEDORES[[#This Row],[IVA 19%]]-PROVEEDORES[[#This Row],[descuento sobre subtotal]]-PROVEEDORES[[#This Row],[Descuento sobre subtotal $2]]-PROVEEDORES[[#This Row],[Rete Fuente $]]</f>
        <v>1140000</v>
      </c>
      <c r="S11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68">
        <f ca="1">IF(PROVEEDORES[[#This Row],[FECHA DE PAGO]]=0,TODAY()-PROVEEDORES[[#This Row],[FECHA DE FACTURACIÓN]]-PROVEEDORES[[#This Row],[PLAZO Días]],0)</f>
        <v>0</v>
      </c>
      <c r="U1187" s="96">
        <f>+VLOOKUP(PROVEEDORES[[#This Row],[PROVEEDOR]],Terceros!$A:$D,4,FALSE)</f>
        <v>0</v>
      </c>
      <c r="V1187" s="97">
        <f>+YEAR(PROVEEDORES[[#This Row],[FECHA DE FACTURACIÓN]])</f>
        <v>2021</v>
      </c>
      <c r="W1187" s="97">
        <f>+MATCH(PROVEEDORES[[#This Row],[año facturado]],Retenciones!$1:$1,0)</f>
        <v>4</v>
      </c>
      <c r="X1187" s="98">
        <f>+VLOOKUP(PROVEEDORES[[#This Row],[ID RETENCION]],Retenciones!$A$1:$O$25,PROVEEDORES[[#This Row],[indicador de columna]],FALSE)</f>
        <v>0</v>
      </c>
      <c r="Y1187" s="99">
        <f>+VLOOKUP(PROVEEDORES[[#This Row],[ID RETENCION]],Retenciones!$A$1:$O$25,2,FALSE)</f>
        <v>0</v>
      </c>
      <c r="Z1187" s="125" t="b">
        <f>OR(COUNTIF(PROVEEDORES[[#This Row],[PROVEEDOR]],"*"&amp;'Palabra no opera'!$A$2&amp;"*"))</f>
        <v>0</v>
      </c>
      <c r="AA1187" s="24"/>
      <c r="AB1187" s="24"/>
      <c r="AC1187" s="24"/>
      <c r="AD1187" s="24"/>
      <c r="AE1187" s="24"/>
    </row>
    <row r="1188" spans="1:31" ht="22.2" customHeight="1" x14ac:dyDescent="0.3">
      <c r="A1188" s="66" t="str">
        <f>+IF(PROVEEDORES[[#This Row],[FECHA DE PAGO]]=PROVEEDORES[[#This Row],[FECHA DE FACTURACIÓN]],"DE CONTADO","CRÉDITO")</f>
        <v>CRÉDITO</v>
      </c>
      <c r="B1188" s="38" t="b">
        <f>+IF((PROVEEDORES[[#This Row],[FECHA DE PAGO]]-PROVEEDORES[[#This Row],[FECHA DE FACTURACIÓN]])&gt;PROVEEDORES[[#This Row],[PLAZO Días]],"PAGO VENCIDO")</f>
        <v>0</v>
      </c>
      <c r="C1188" s="20">
        <f>+VLOOKUP(PROVEEDORES[[#This Row],[PROVEEDOR]],TERCEROS_INFO[#All],2,FALSE)</f>
        <v>30</v>
      </c>
      <c r="D1188" s="25">
        <f>+SUMIFS(PROVEEDORES[Total],PROVEEDORES[PROVEEDOR],PROVEEDORES[[#This Row],[PROVEEDOR]],PROVEEDORES[FECHA DE PAGO],"")</f>
        <v>4024829</v>
      </c>
      <c r="E1188" s="25"/>
      <c r="F118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188" s="161">
        <v>44494</v>
      </c>
      <c r="H1188" s="26" t="s">
        <v>345</v>
      </c>
      <c r="I1188" s="161">
        <v>44493</v>
      </c>
      <c r="J1188" s="35" t="s">
        <v>1333</v>
      </c>
      <c r="K1188" s="21">
        <v>1141000</v>
      </c>
      <c r="L1188" s="21"/>
      <c r="M1188" s="22">
        <f>(PROVEEDORES[[#This Row],[SUBTOTAL]]-PROVEEDORES[[#This Row],[descuento sobre subtotal]])*VLOOKUP(PROVEEDORES[[#This Row],[PROVEEDOR]],TERCEROS_INFO[#All],3,FALSE)</f>
        <v>0</v>
      </c>
      <c r="N1188" s="23"/>
      <c r="O1188" s="22">
        <f>+PROVEEDORES[[#This Row],[Descuento sobre subtotal %]]*(PROVEEDORES[[#This Row],[SUBTOTAL]]-PROVEEDORES[[#This Row],[descuento sobre subtotal]])</f>
        <v>0</v>
      </c>
      <c r="P1188" s="83">
        <f>+IF(PROVEEDORES[[#This Row],[SUBTOTAL]]&lt;PROVEEDORES[[#This Row],[base retencion]],0,PROVEEDORES[[#This Row],[retención aplicada]])</f>
        <v>0</v>
      </c>
      <c r="Q1188" s="22">
        <f>+PROVEEDORES[[#This Row],[Rete Fuente %]]*(PROVEEDORES[[#This Row],[SUBTOTAL]]-PROVEEDORES[[#This Row],[descuento sobre subtotal]])</f>
        <v>0</v>
      </c>
      <c r="R1188" s="21">
        <f>+PROVEEDORES[[#This Row],[SUBTOTAL]]+PROVEEDORES[[#This Row],[IVA 19%]]-PROVEEDORES[[#This Row],[descuento sobre subtotal]]-PROVEEDORES[[#This Row],[Descuento sobre subtotal $2]]-PROVEEDORES[[#This Row],[Rete Fuente $]]</f>
        <v>1141000</v>
      </c>
      <c r="S11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68">
        <f ca="1">IF(PROVEEDORES[[#This Row],[FECHA DE PAGO]]=0,TODAY()-PROVEEDORES[[#This Row],[FECHA DE FACTURACIÓN]]-PROVEEDORES[[#This Row],[PLAZO Días]],0)</f>
        <v>0</v>
      </c>
      <c r="U1188" s="96">
        <f>+VLOOKUP(PROVEEDORES[[#This Row],[PROVEEDOR]],Terceros!$A:$D,4,FALSE)</f>
        <v>0</v>
      </c>
      <c r="V1188" s="97">
        <f>+YEAR(PROVEEDORES[[#This Row],[FECHA DE FACTURACIÓN]])</f>
        <v>2021</v>
      </c>
      <c r="W1188" s="97">
        <f>+MATCH(PROVEEDORES[[#This Row],[año facturado]],Retenciones!$1:$1,0)</f>
        <v>4</v>
      </c>
      <c r="X1188" s="98">
        <f>+VLOOKUP(PROVEEDORES[[#This Row],[ID RETENCION]],Retenciones!$A$1:$O$25,PROVEEDORES[[#This Row],[indicador de columna]],FALSE)</f>
        <v>0</v>
      </c>
      <c r="Y1188" s="99">
        <f>+VLOOKUP(PROVEEDORES[[#This Row],[ID RETENCION]],Retenciones!$A$1:$O$25,2,FALSE)</f>
        <v>0</v>
      </c>
      <c r="Z1188" s="125" t="b">
        <f>OR(COUNTIF(PROVEEDORES[[#This Row],[PROVEEDOR]],"*"&amp;'Palabra no opera'!$A$2&amp;"*"))</f>
        <v>0</v>
      </c>
      <c r="AA1188" s="24"/>
      <c r="AB1188" s="24"/>
      <c r="AC1188" s="24"/>
      <c r="AD1188" s="24"/>
      <c r="AE1188" s="24"/>
    </row>
    <row r="1189" spans="1:31" ht="22.2" customHeight="1" x14ac:dyDescent="0.3">
      <c r="A1189" s="159" t="str">
        <f>+IF(PROVEEDORES[[#This Row],[FECHA DE PAGO]]=PROVEEDORES[[#This Row],[FECHA DE FACTURACIÓN]],"DE CONTADO","CRÉDITO")</f>
        <v>CRÉDITO</v>
      </c>
      <c r="B1189" s="38" t="str">
        <f>+IF((PROVEEDORES[[#This Row],[FECHA DE PAGO]]-PROVEEDORES[[#This Row],[FECHA DE FACTURACIÓN]])&gt;PROVEEDORES[[#This Row],[PLAZO Días]],"PAGO VENCIDO")</f>
        <v>PAGO VENCIDO</v>
      </c>
      <c r="C1189" s="20">
        <f>+VLOOKUP(PROVEEDORES[[#This Row],[PROVEEDOR]],TERCEROS_INFO[#All],2,FALSE)</f>
        <v>30</v>
      </c>
      <c r="D1189" s="25">
        <f>+SUMIFS(PROVEEDORES[Total],PROVEEDORES[PROVEEDOR],PROVEEDORES[[#This Row],[PROVEEDOR]],PROVEEDORES[FECHA DE PAGO],"")</f>
        <v>0</v>
      </c>
      <c r="E1189" s="25"/>
      <c r="F118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189" s="161">
        <v>44855</v>
      </c>
      <c r="H1189" s="26" t="s">
        <v>407</v>
      </c>
      <c r="I1189" s="161">
        <v>44720</v>
      </c>
      <c r="J1189" s="35">
        <v>150</v>
      </c>
      <c r="K1189" s="21">
        <v>965300</v>
      </c>
      <c r="L1189" s="21"/>
      <c r="M1189" s="22">
        <f>(PROVEEDORES[[#This Row],[SUBTOTAL]]-PROVEEDORES[[#This Row],[descuento sobre subtotal]])*VLOOKUP(PROVEEDORES[[#This Row],[PROVEEDOR]],TERCEROS_INFO[#All],3,FALSE)</f>
        <v>183407</v>
      </c>
      <c r="N1189" s="23"/>
      <c r="O1189" s="22">
        <f>+PROVEEDORES[[#This Row],[Descuento sobre subtotal %]]*(PROVEEDORES[[#This Row],[SUBTOTAL]]-PROVEEDORES[[#This Row],[descuento sobre subtotal]])</f>
        <v>0</v>
      </c>
      <c r="P1189" s="83">
        <f>+IF(PROVEEDORES[[#This Row],[SUBTOTAL]]&lt;PROVEEDORES[[#This Row],[base retencion]],0,PROVEEDORES[[#This Row],[retención aplicada]])</f>
        <v>0</v>
      </c>
      <c r="Q1189" s="22">
        <f>+PROVEEDORES[[#This Row],[Rete Fuente %]]*(PROVEEDORES[[#This Row],[SUBTOTAL]]-PROVEEDORES[[#This Row],[descuento sobre subtotal]])</f>
        <v>0</v>
      </c>
      <c r="R1189" s="21">
        <f>+PROVEEDORES[[#This Row],[SUBTOTAL]]+PROVEEDORES[[#This Row],[IVA 19%]]-PROVEEDORES[[#This Row],[descuento sobre subtotal]]-PROVEEDORES[[#This Row],[Descuento sobre subtotal $2]]-PROVEEDORES[[#This Row],[Rete Fuente $]]</f>
        <v>1148707</v>
      </c>
      <c r="S118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68">
        <f ca="1">IF(PROVEEDORES[[#This Row],[FECHA DE PAGO]]=0,TODAY()-PROVEEDORES[[#This Row],[FECHA DE FACTURACIÓN]]-PROVEEDORES[[#This Row],[PLAZO Días]],0)</f>
        <v>0</v>
      </c>
      <c r="U1189" s="113" t="str">
        <f>+VLOOKUP(PROVEEDORES[[#This Row],[PROVEEDOR]],Terceros!$A:$D,4,FALSE)</f>
        <v>2,5% con base</v>
      </c>
      <c r="V1189" s="114">
        <f>+YEAR(PROVEEDORES[[#This Row],[FECHA DE FACTURACIÓN]])</f>
        <v>2022</v>
      </c>
      <c r="W1189" s="114">
        <f>+MATCH(PROVEEDORES[[#This Row],[año facturado]],Retenciones!$1:$1,0)</f>
        <v>5</v>
      </c>
      <c r="X1189" s="115">
        <f>+VLOOKUP(PROVEEDORES[[#This Row],[ID RETENCION]],Retenciones!$A$1:$O$25,PROVEEDORES[[#This Row],[indicador de columna]],FALSE)</f>
        <v>1026000</v>
      </c>
      <c r="Y1189" s="116">
        <f>+VLOOKUP(PROVEEDORES[[#This Row],[ID RETENCION]],Retenciones!$A$1:$O$25,2,FALSE)</f>
        <v>2.5000000000000001E-2</v>
      </c>
      <c r="Z1189" s="125" t="b">
        <f>OR(COUNTIF(PROVEEDORES[[#This Row],[PROVEEDOR]],"*"&amp;'Palabra no opera'!$A$2&amp;"*"))</f>
        <v>0</v>
      </c>
      <c r="AA1189" s="24"/>
      <c r="AB1189" s="24"/>
      <c r="AC1189" s="24"/>
      <c r="AD1189" s="24"/>
      <c r="AE1189" s="24"/>
    </row>
    <row r="1190" spans="1:31" ht="22.2" customHeight="1" x14ac:dyDescent="0.3">
      <c r="A1190" s="269" t="str">
        <f>+IF(PROVEEDORES[[#This Row],[FECHA DE PAGO]]=PROVEEDORES[[#This Row],[FECHA DE FACTURACIÓN]],"DE CONTADO","CRÉDITO")</f>
        <v>CRÉDITO</v>
      </c>
      <c r="B1190" s="38" t="b">
        <f>+IF((PROVEEDORES[[#This Row],[FECHA DE PAGO]]-PROVEEDORES[[#This Row],[FECHA DE FACTURACIÓN]])&gt;PROVEEDORES[[#This Row],[PLAZO Días]],"PAGO VENCIDO")</f>
        <v>0</v>
      </c>
      <c r="C1190" s="20">
        <f>+VLOOKUP(PROVEEDORES[[#This Row],[PROVEEDOR]],TERCEROS_INFO[#All],2,FALSE)</f>
        <v>30</v>
      </c>
      <c r="D1190" s="25">
        <f>+SUMIFS(PROVEEDORES[Total],PROVEEDORES[PROVEEDOR],PROVEEDORES[[#This Row],[PROVEEDOR]],PROVEEDORES[FECHA DE PAGO],"")</f>
        <v>3236000</v>
      </c>
      <c r="E1190" s="25"/>
      <c r="F119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90" s="161">
        <v>44870</v>
      </c>
      <c r="H1190" s="26" t="s">
        <v>677</v>
      </c>
      <c r="I1190" s="161">
        <v>44866</v>
      </c>
      <c r="J1190" s="35" t="s">
        <v>1824</v>
      </c>
      <c r="K1190" s="21">
        <v>1150000</v>
      </c>
      <c r="L1190" s="21"/>
      <c r="M1190" s="22">
        <f>(PROVEEDORES[[#This Row],[SUBTOTAL]]-PROVEEDORES[[#This Row],[descuento sobre subtotal]])*VLOOKUP(PROVEEDORES[[#This Row],[PROVEEDOR]],TERCEROS_INFO[#All],3,FALSE)</f>
        <v>0</v>
      </c>
      <c r="N1190" s="23"/>
      <c r="O1190" s="22">
        <f>+PROVEEDORES[[#This Row],[Descuento sobre subtotal %]]*(PROVEEDORES[[#This Row],[SUBTOTAL]]-PROVEEDORES[[#This Row],[descuento sobre subtotal]])</f>
        <v>0</v>
      </c>
      <c r="P1190" s="83">
        <f>+IF(PROVEEDORES[[#This Row],[SUBTOTAL]]&lt;PROVEEDORES[[#This Row],[base retencion]],0,PROVEEDORES[[#This Row],[retención aplicada]])</f>
        <v>0</v>
      </c>
      <c r="Q1190" s="22">
        <f>+PROVEEDORES[[#This Row],[Rete Fuente %]]*(PROVEEDORES[[#This Row],[SUBTOTAL]]-PROVEEDORES[[#This Row],[descuento sobre subtotal]])</f>
        <v>0</v>
      </c>
      <c r="R1190" s="21">
        <f>+PROVEEDORES[[#This Row],[SUBTOTAL]]+PROVEEDORES[[#This Row],[IVA 19%]]-PROVEEDORES[[#This Row],[descuento sobre subtotal]]-PROVEEDORES[[#This Row],[Descuento sobre subtotal $2]]-PROVEEDORES[[#This Row],[Rete Fuente $]]</f>
        <v>1150000</v>
      </c>
      <c r="S1190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68">
        <f ca="1">IF(PROVEEDORES[[#This Row],[FECHA DE PAGO]]=0,TODAY()-PROVEEDORES[[#This Row],[FECHA DE FACTURACIÓN]]-PROVEEDORES[[#This Row],[PLAZO Días]],0)</f>
        <v>0</v>
      </c>
      <c r="U1190" s="113">
        <f>+VLOOKUP(PROVEEDORES[[#This Row],[PROVEEDOR]],Terceros!$A:$D,4,FALSE)</f>
        <v>0</v>
      </c>
      <c r="V1190" s="114">
        <f>+YEAR(PROVEEDORES[[#This Row],[FECHA DE FACTURACIÓN]])</f>
        <v>2022</v>
      </c>
      <c r="W1190" s="114">
        <f>+MATCH(PROVEEDORES[[#This Row],[año facturado]],Retenciones!$1:$1,0)</f>
        <v>5</v>
      </c>
      <c r="X1190" s="115">
        <f>+VLOOKUP(PROVEEDORES[[#This Row],[ID RETENCION]],Retenciones!$A$1:$O$25,PROVEEDORES[[#This Row],[indicador de columna]],FALSE)</f>
        <v>0</v>
      </c>
      <c r="Y1190" s="116">
        <f>+VLOOKUP(PROVEEDORES[[#This Row],[ID RETENCION]],Retenciones!$A$1:$O$25,2,FALSE)</f>
        <v>0</v>
      </c>
      <c r="Z1190" s="125" t="b">
        <f>OR(COUNTIF(PROVEEDORES[[#This Row],[PROVEEDOR]],"*"&amp;'Palabra no opera'!$A$2&amp;"*"))</f>
        <v>0</v>
      </c>
      <c r="AA1190" s="24"/>
      <c r="AB1190" s="24"/>
      <c r="AC1190" s="24"/>
      <c r="AD1190" s="24"/>
      <c r="AE1190" s="24"/>
    </row>
    <row r="1191" spans="1:31" ht="22.2" customHeight="1" x14ac:dyDescent="0.3">
      <c r="A1191" s="66" t="str">
        <f>+IF(PROVEEDORES[[#This Row],[FECHA DE PAGO]]=PROVEEDORES[[#This Row],[FECHA DE FACTURACIÓN]],"DE CONTADO","CRÉDITO")</f>
        <v>CRÉDITO</v>
      </c>
      <c r="B1191" s="38" t="str">
        <f>+IF((PROVEEDORES[[#This Row],[FECHA DE PAGO]]-PROVEEDORES[[#This Row],[FECHA DE FACTURACIÓN]])&gt;PROVEEDORES[[#This Row],[PLAZO Días]],"PAGO VENCIDO")</f>
        <v>PAGO VENCIDO</v>
      </c>
      <c r="C1191" s="20">
        <f>+VLOOKUP(PROVEEDORES[[#This Row],[PROVEEDOR]],TERCEROS_INFO[#All],2,FALSE)</f>
        <v>30</v>
      </c>
      <c r="D1191" s="25">
        <f>+SUMIFS(PROVEEDORES[Total],PROVEEDORES[PROVEEDOR],PROVEEDORES[[#This Row],[PROVEEDOR]],PROVEEDORES[FECHA DE PAGO],"")</f>
        <v>401799.93</v>
      </c>
      <c r="E1191" s="25"/>
      <c r="F1191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191" s="161">
        <v>44552</v>
      </c>
      <c r="H1191" s="26" t="s">
        <v>508</v>
      </c>
      <c r="I1191" s="161">
        <v>44513</v>
      </c>
      <c r="J1191" s="35" t="s">
        <v>539</v>
      </c>
      <c r="K1191" s="21">
        <v>968910</v>
      </c>
      <c r="L1191" s="21"/>
      <c r="M1191" s="22">
        <f>(PROVEEDORES[[#This Row],[SUBTOTAL]]-PROVEEDORES[[#This Row],[descuento sobre subtotal]])*VLOOKUP(PROVEEDORES[[#This Row],[PROVEEDOR]],TERCEROS_INFO[#All],3,FALSE)</f>
        <v>184092.9</v>
      </c>
      <c r="N1191" s="23"/>
      <c r="O1191" s="22">
        <f>+PROVEEDORES[[#This Row],[Descuento sobre subtotal %]]*(PROVEEDORES[[#This Row],[SUBTOTAL]]-PROVEEDORES[[#This Row],[descuento sobre subtotal]])</f>
        <v>0</v>
      </c>
      <c r="P1191" s="83">
        <f>+IF(PROVEEDORES[[#This Row],[SUBTOTAL]]&lt;PROVEEDORES[[#This Row],[base retencion]],0,PROVEEDORES[[#This Row],[retención aplicada]])</f>
        <v>0</v>
      </c>
      <c r="Q1191" s="22">
        <f>+PROVEEDORES[[#This Row],[Rete Fuente %]]*(PROVEEDORES[[#This Row],[SUBTOTAL]]-PROVEEDORES[[#This Row],[descuento sobre subtotal]])</f>
        <v>0</v>
      </c>
      <c r="R1191" s="21">
        <f>+PROVEEDORES[[#This Row],[SUBTOTAL]]+PROVEEDORES[[#This Row],[IVA 19%]]-PROVEEDORES[[#This Row],[descuento sobre subtotal]]-PROVEEDORES[[#This Row],[Descuento sobre subtotal $2]]-PROVEEDORES[[#This Row],[Rete Fuente $]]</f>
        <v>1153002.8999999999</v>
      </c>
      <c r="S11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68">
        <f ca="1">IF(PROVEEDORES[[#This Row],[FECHA DE PAGO]]=0,TODAY()-PROVEEDORES[[#This Row],[FECHA DE FACTURACIÓN]]-PROVEEDORES[[#This Row],[PLAZO Días]],0)</f>
        <v>0</v>
      </c>
      <c r="U1191" s="96" t="str">
        <f>+VLOOKUP(PROVEEDORES[[#This Row],[PROVEEDOR]],Terceros!$A:$D,4,FALSE)</f>
        <v>2,5% con base</v>
      </c>
      <c r="V1191" s="97">
        <f>+YEAR(PROVEEDORES[[#This Row],[FECHA DE FACTURACIÓN]])</f>
        <v>2021</v>
      </c>
      <c r="W1191" s="97">
        <f>+MATCH(PROVEEDORES[[#This Row],[año facturado]],Retenciones!$1:$1,0)</f>
        <v>4</v>
      </c>
      <c r="X1191" s="98">
        <f>+VLOOKUP(PROVEEDORES[[#This Row],[ID RETENCION]],Retenciones!$A$1:$O$25,PROVEEDORES[[#This Row],[indicador de columna]],FALSE)</f>
        <v>980000</v>
      </c>
      <c r="Y1191" s="99">
        <f>+VLOOKUP(PROVEEDORES[[#This Row],[ID RETENCION]],Retenciones!$A$1:$O$25,2,FALSE)</f>
        <v>2.5000000000000001E-2</v>
      </c>
      <c r="Z1191" s="125" t="b">
        <f>OR(COUNTIF(PROVEEDORES[[#This Row],[PROVEEDOR]],"*"&amp;'Palabra no opera'!$A$2&amp;"*"))</f>
        <v>0</v>
      </c>
      <c r="AA1191" s="24"/>
      <c r="AB1191" s="24"/>
      <c r="AC1191" s="24"/>
      <c r="AD1191" s="24"/>
      <c r="AE1191" s="24"/>
    </row>
    <row r="1192" spans="1:31" ht="22.2" customHeight="1" x14ac:dyDescent="0.3">
      <c r="A1192" s="66" t="str">
        <f>+IF(PROVEEDORES[[#This Row],[FECHA DE PAGO]]=PROVEEDORES[[#This Row],[FECHA DE FACTURACIÓN]],"DE CONTADO","CRÉDITO")</f>
        <v>CRÉDITO</v>
      </c>
      <c r="B1192" s="38" t="str">
        <f>+IF((PROVEEDORES[[#This Row],[FECHA DE PAGO]]-PROVEEDORES[[#This Row],[FECHA DE FACTURACIÓN]])&gt;PROVEEDORES[[#This Row],[PLAZO Días]],"PAGO VENCIDO")</f>
        <v>PAGO VENCIDO</v>
      </c>
      <c r="C1192" s="20">
        <f>+VLOOKUP(PROVEEDORES[[#This Row],[PROVEEDOR]],TERCEROS_INFO[#All],2,FALSE)</f>
        <v>30</v>
      </c>
      <c r="D1192" s="25">
        <f>+SUMIFS(PROVEEDORES[Total],PROVEEDORES[PROVEEDOR],PROVEEDORES[[#This Row],[PROVEEDOR]],PROVEEDORES[FECHA DE PAGO],"")</f>
        <v>2223034.2400000002</v>
      </c>
      <c r="E1192" s="25"/>
      <c r="F119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92" s="161">
        <v>44389</v>
      </c>
      <c r="H1192" s="26" t="s">
        <v>216</v>
      </c>
      <c r="I1192" s="161">
        <v>44336</v>
      </c>
      <c r="J1192" s="35">
        <v>272</v>
      </c>
      <c r="K1192" s="21">
        <v>993276</v>
      </c>
      <c r="L1192" s="21"/>
      <c r="M1192" s="22">
        <f>(PROVEEDORES[[#This Row],[SUBTOTAL]]-PROVEEDORES[[#This Row],[descuento sobre subtotal]])*VLOOKUP(PROVEEDORES[[#This Row],[PROVEEDOR]],TERCEROS_INFO[#All],3,FALSE)</f>
        <v>188722.44</v>
      </c>
      <c r="N1192" s="23"/>
      <c r="O1192" s="22">
        <f>+PROVEEDORES[[#This Row],[Descuento sobre subtotal %]]*(PROVEEDORES[[#This Row],[SUBTOTAL]]-PROVEEDORES[[#This Row],[descuento sobre subtotal]])</f>
        <v>0</v>
      </c>
      <c r="P1192" s="83">
        <f>+IF(PROVEEDORES[[#This Row],[SUBTOTAL]]&lt;PROVEEDORES[[#This Row],[base retencion]],0,PROVEEDORES[[#This Row],[retención aplicada]])</f>
        <v>2.5000000000000001E-2</v>
      </c>
      <c r="Q1192" s="22">
        <f>+PROVEEDORES[[#This Row],[Rete Fuente %]]*(PROVEEDORES[[#This Row],[SUBTOTAL]]-PROVEEDORES[[#This Row],[descuento sobre subtotal]])</f>
        <v>24831.9</v>
      </c>
      <c r="R1192" s="21">
        <f>+PROVEEDORES[[#This Row],[SUBTOTAL]]+PROVEEDORES[[#This Row],[IVA 19%]]-PROVEEDORES[[#This Row],[descuento sobre subtotal]]-PROVEEDORES[[#This Row],[Descuento sobre subtotal $2]]-PROVEEDORES[[#This Row],[Rete Fuente $]]</f>
        <v>1157166.54</v>
      </c>
      <c r="S11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68">
        <f ca="1">IF(PROVEEDORES[[#This Row],[FECHA DE PAGO]]=0,TODAY()-PROVEEDORES[[#This Row],[FECHA DE FACTURACIÓN]]-PROVEEDORES[[#This Row],[PLAZO Días]],0)</f>
        <v>0</v>
      </c>
      <c r="U1192" s="96" t="str">
        <f>+VLOOKUP(PROVEEDORES[[#This Row],[PROVEEDOR]],Terceros!$A:$D,4,FALSE)</f>
        <v>2,5% con base</v>
      </c>
      <c r="V1192" s="97">
        <f>+YEAR(PROVEEDORES[[#This Row],[FECHA DE FACTURACIÓN]])</f>
        <v>2021</v>
      </c>
      <c r="W1192" s="97">
        <f>+MATCH(PROVEEDORES[[#This Row],[año facturado]],Retenciones!$1:$1,0)</f>
        <v>4</v>
      </c>
      <c r="X1192" s="98">
        <f>+VLOOKUP(PROVEEDORES[[#This Row],[ID RETENCION]],Retenciones!$A$1:$O$25,PROVEEDORES[[#This Row],[indicador de columna]],FALSE)</f>
        <v>980000</v>
      </c>
      <c r="Y1192" s="99">
        <f>+VLOOKUP(PROVEEDORES[[#This Row],[ID RETENCION]],Retenciones!$A$1:$O$25,2,FALSE)</f>
        <v>2.5000000000000001E-2</v>
      </c>
      <c r="Z1192" s="125" t="b">
        <f>OR(COUNTIF(PROVEEDORES[[#This Row],[PROVEEDOR]],"*"&amp;'Palabra no opera'!$A$2&amp;"*"))</f>
        <v>0</v>
      </c>
      <c r="AA1192" s="24"/>
      <c r="AB1192" s="24"/>
      <c r="AC1192" s="24"/>
      <c r="AD1192" s="24"/>
      <c r="AE1192" s="24"/>
    </row>
    <row r="1193" spans="1:31" ht="22.2" customHeight="1" x14ac:dyDescent="0.3">
      <c r="A1193" s="66" t="str">
        <f>+IF(PROVEEDORES[[#This Row],[FECHA DE PAGO]]=PROVEEDORES[[#This Row],[FECHA DE FACTURACIÓN]],"DE CONTADO","CRÉDITO")</f>
        <v>CRÉDITO</v>
      </c>
      <c r="B1193" s="38" t="str">
        <f>+IF((PROVEEDORES[[#This Row],[FECHA DE PAGO]]-PROVEEDORES[[#This Row],[FECHA DE FACTURACIÓN]])&gt;PROVEEDORES[[#This Row],[PLAZO Días]],"PAGO VENCIDO")</f>
        <v>PAGO VENCIDO</v>
      </c>
      <c r="C1193" s="20">
        <f>+VLOOKUP(PROVEEDORES[[#This Row],[PROVEEDOR]],TERCEROS_INFO[#All],2,FALSE)</f>
        <v>30</v>
      </c>
      <c r="D1193" s="25">
        <f>+SUMIFS(PROVEEDORES[Total],PROVEEDORES[PROVEEDOR],PROVEEDORES[[#This Row],[PROVEEDOR]],PROVEEDORES[FECHA DE PAGO],"")</f>
        <v>0</v>
      </c>
      <c r="E1193" s="25"/>
      <c r="F1193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193" s="161">
        <v>44551</v>
      </c>
      <c r="H1193" s="26" t="s">
        <v>667</v>
      </c>
      <c r="I1193" s="161">
        <v>44518</v>
      </c>
      <c r="J1193" s="35" t="s">
        <v>1528</v>
      </c>
      <c r="K1193" s="21">
        <v>1163000</v>
      </c>
      <c r="L1193" s="21"/>
      <c r="M1193" s="22">
        <f>(PROVEEDORES[[#This Row],[SUBTOTAL]]-PROVEEDORES[[#This Row],[descuento sobre subtotal]])*VLOOKUP(PROVEEDORES[[#This Row],[PROVEEDOR]],TERCEROS_INFO[#All],3,FALSE)</f>
        <v>0</v>
      </c>
      <c r="N1193" s="23"/>
      <c r="O1193" s="22">
        <f>+PROVEEDORES[[#This Row],[Descuento sobre subtotal %]]*(PROVEEDORES[[#This Row],[SUBTOTAL]]-PROVEEDORES[[#This Row],[descuento sobre subtotal]])</f>
        <v>0</v>
      </c>
      <c r="P1193" s="83">
        <f>+IF(PROVEEDORES[[#This Row],[SUBTOTAL]]&lt;PROVEEDORES[[#This Row],[base retencion]],0,PROVEEDORES[[#This Row],[retención aplicada]])</f>
        <v>0</v>
      </c>
      <c r="Q1193" s="22">
        <f>+PROVEEDORES[[#This Row],[Rete Fuente %]]*(PROVEEDORES[[#This Row],[SUBTOTAL]]-PROVEEDORES[[#This Row],[descuento sobre subtotal]])</f>
        <v>0</v>
      </c>
      <c r="R1193" s="21">
        <f>+PROVEEDORES[[#This Row],[SUBTOTAL]]+PROVEEDORES[[#This Row],[IVA 19%]]-PROVEEDORES[[#This Row],[descuento sobre subtotal]]-PROVEEDORES[[#This Row],[Descuento sobre subtotal $2]]-PROVEEDORES[[#This Row],[Rete Fuente $]]</f>
        <v>1163000</v>
      </c>
      <c r="S11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68">
        <f ca="1">IF(PROVEEDORES[[#This Row],[FECHA DE PAGO]]=0,TODAY()-PROVEEDORES[[#This Row],[FECHA DE FACTURACIÓN]]-PROVEEDORES[[#This Row],[PLAZO Días]],0)</f>
        <v>0</v>
      </c>
      <c r="U1193" s="96">
        <f>+VLOOKUP(PROVEEDORES[[#This Row],[PROVEEDOR]],Terceros!$A:$D,4,FALSE)</f>
        <v>0</v>
      </c>
      <c r="V1193" s="97">
        <f>+YEAR(PROVEEDORES[[#This Row],[FECHA DE FACTURACIÓN]])</f>
        <v>2021</v>
      </c>
      <c r="W1193" s="97">
        <f>+MATCH(PROVEEDORES[[#This Row],[año facturado]],Retenciones!$1:$1,0)</f>
        <v>4</v>
      </c>
      <c r="X1193" s="98">
        <f>+VLOOKUP(PROVEEDORES[[#This Row],[ID RETENCION]],Retenciones!$A$1:$O$25,PROVEEDORES[[#This Row],[indicador de columna]],FALSE)</f>
        <v>0</v>
      </c>
      <c r="Y1193" s="99">
        <f>+VLOOKUP(PROVEEDORES[[#This Row],[ID RETENCION]],Retenciones!$A$1:$O$25,2,FALSE)</f>
        <v>0</v>
      </c>
      <c r="Z1193" s="125" t="b">
        <f>OR(COUNTIF(PROVEEDORES[[#This Row],[PROVEEDOR]],"*"&amp;'Palabra no opera'!$A$2&amp;"*"))</f>
        <v>0</v>
      </c>
      <c r="AA1193" s="24"/>
      <c r="AB1193" s="24"/>
      <c r="AC1193" s="24"/>
      <c r="AD1193" s="24"/>
      <c r="AE1193" s="24"/>
    </row>
    <row r="1194" spans="1:31" ht="22.2" customHeight="1" x14ac:dyDescent="0.3">
      <c r="A1194" s="72" t="str">
        <f>+IF(PROVEEDORES[[#This Row],[FECHA DE PAGO]]=PROVEEDORES[[#This Row],[FECHA DE FACTURACIÓN]],"DE CONTADO","CRÉDITO")</f>
        <v>CRÉDITO</v>
      </c>
      <c r="B1194" s="38" t="b">
        <f>+IF((PROVEEDORES[[#This Row],[FECHA DE PAGO]]-PROVEEDORES[[#This Row],[FECHA DE FACTURACIÓN]])&gt;PROVEEDORES[[#This Row],[PLAZO Días]],"PAGO VENCIDO")</f>
        <v>0</v>
      </c>
      <c r="C1194" s="20">
        <f>+VLOOKUP(PROVEEDORES[[#This Row],[PROVEEDOR]],TERCEROS_INFO[#All],2,FALSE)</f>
        <v>30</v>
      </c>
      <c r="D1194" s="25">
        <f>+SUMIFS(PROVEEDORES[Total],PROVEEDORES[PROVEEDOR],PROVEEDORES[[#This Row],[PROVEEDOR]],PROVEEDORES[FECHA DE PAGO],"")</f>
        <v>4712021.58</v>
      </c>
      <c r="E1194" s="25"/>
      <c r="F119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94" s="161">
        <v>44764</v>
      </c>
      <c r="H1194" s="26" t="s">
        <v>17</v>
      </c>
      <c r="I1194" s="161">
        <v>44748</v>
      </c>
      <c r="J1194" s="35">
        <v>1936697</v>
      </c>
      <c r="K1194" s="21">
        <v>978238</v>
      </c>
      <c r="L1194" s="21"/>
      <c r="M1194" s="22">
        <f>(PROVEEDORES[[#This Row],[SUBTOTAL]]-PROVEEDORES[[#This Row],[descuento sobre subtotal]])*VLOOKUP(PROVEEDORES[[#This Row],[PROVEEDOR]],TERCEROS_INFO[#All],3,FALSE)</f>
        <v>185865.22</v>
      </c>
      <c r="N1194" s="23"/>
      <c r="O1194" s="22">
        <f>+PROVEEDORES[[#This Row],[Descuento sobre subtotal %]]*(PROVEEDORES[[#This Row],[SUBTOTAL]]-PROVEEDORES[[#This Row],[descuento sobre subtotal]])</f>
        <v>0</v>
      </c>
      <c r="P1194" s="83">
        <f>+IF(PROVEEDORES[[#This Row],[SUBTOTAL]]&lt;PROVEEDORES[[#This Row],[base retencion]],0,PROVEEDORES[[#This Row],[retención aplicada]])</f>
        <v>0</v>
      </c>
      <c r="Q1194" s="22">
        <f>+PROVEEDORES[[#This Row],[Rete Fuente %]]*(PROVEEDORES[[#This Row],[SUBTOTAL]]-PROVEEDORES[[#This Row],[descuento sobre subtotal]])</f>
        <v>0</v>
      </c>
      <c r="R1194" s="21">
        <f>+PROVEEDORES[[#This Row],[SUBTOTAL]]+PROVEEDORES[[#This Row],[IVA 19%]]-PROVEEDORES[[#This Row],[descuento sobre subtotal]]-PROVEEDORES[[#This Row],[Descuento sobre subtotal $2]]-PROVEEDORES[[#This Row],[Rete Fuente $]]</f>
        <v>1164103.22</v>
      </c>
      <c r="S119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68">
        <f ca="1">IF(PROVEEDORES[[#This Row],[FECHA DE PAGO]]=0,TODAY()-PROVEEDORES[[#This Row],[FECHA DE FACTURACIÓN]]-PROVEEDORES[[#This Row],[PLAZO Días]],0)</f>
        <v>0</v>
      </c>
      <c r="U1194" s="113">
        <f>+VLOOKUP(PROVEEDORES[[#This Row],[PROVEEDOR]],Terceros!$A:$D,4,FALSE)</f>
        <v>0</v>
      </c>
      <c r="V1194" s="114">
        <f>+YEAR(PROVEEDORES[[#This Row],[FECHA DE FACTURACIÓN]])</f>
        <v>2022</v>
      </c>
      <c r="W1194" s="114">
        <f>+MATCH(PROVEEDORES[[#This Row],[año facturado]],Retenciones!$1:$1,0)</f>
        <v>5</v>
      </c>
      <c r="X1194" s="115">
        <f>+VLOOKUP(PROVEEDORES[[#This Row],[ID RETENCION]],Retenciones!$A$1:$O$25,PROVEEDORES[[#This Row],[indicador de columna]],FALSE)</f>
        <v>0</v>
      </c>
      <c r="Y1194" s="116">
        <f>+VLOOKUP(PROVEEDORES[[#This Row],[ID RETENCION]],Retenciones!$A$1:$O$25,2,FALSE)</f>
        <v>0</v>
      </c>
      <c r="Z1194" s="125" t="b">
        <f>OR(COUNTIF(PROVEEDORES[[#This Row],[PROVEEDOR]],"*"&amp;'Palabra no opera'!$A$2&amp;"*"))</f>
        <v>0</v>
      </c>
      <c r="AA1194" s="24"/>
      <c r="AB1194" s="24"/>
      <c r="AC1194" s="24"/>
      <c r="AD1194" s="24"/>
      <c r="AE1194" s="24"/>
    </row>
    <row r="1195" spans="1:31" ht="22.2" customHeight="1" x14ac:dyDescent="0.3">
      <c r="A1195" s="66" t="str">
        <f>+IF(PROVEEDORES[[#This Row],[FECHA DE PAGO]]=PROVEEDORES[[#This Row],[FECHA DE FACTURACIÓN]],"DE CONTADO","CRÉDITO")</f>
        <v>CRÉDITO</v>
      </c>
      <c r="B1195" s="38" t="str">
        <f>+IF((PROVEEDORES[[#This Row],[FECHA DE PAGO]]-PROVEEDORES[[#This Row],[FECHA DE FACTURACIÓN]])&gt;PROVEEDORES[[#This Row],[PLAZO Días]],"PAGO VENCIDO")</f>
        <v>PAGO VENCIDO</v>
      </c>
      <c r="C1195" s="20">
        <f>+VLOOKUP(PROVEEDORES[[#This Row],[PROVEEDOR]],TERCEROS_INFO[#All],2,FALSE)</f>
        <v>30</v>
      </c>
      <c r="D1195" s="25">
        <f>+SUMIFS(PROVEEDORES[Total],PROVEEDORES[PROVEEDOR],PROVEEDORES[[#This Row],[PROVEEDOR]],PROVEEDORES[FECHA DE PAGO],"")</f>
        <v>0</v>
      </c>
      <c r="E1195" s="25"/>
      <c r="F119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95" s="161">
        <v>44264</v>
      </c>
      <c r="H1195" s="26" t="s">
        <v>20</v>
      </c>
      <c r="I1195" s="161">
        <v>44216</v>
      </c>
      <c r="J1195" s="35">
        <v>3129</v>
      </c>
      <c r="K1195" s="21">
        <v>979579</v>
      </c>
      <c r="L1195" s="21"/>
      <c r="M1195" s="22">
        <f>(PROVEEDORES[[#This Row],[SUBTOTAL]]-PROVEEDORES[[#This Row],[descuento sobre subtotal]])*VLOOKUP(PROVEEDORES[[#This Row],[PROVEEDOR]],TERCEROS_INFO[#All],3,FALSE)</f>
        <v>186120.01</v>
      </c>
      <c r="N1195" s="23"/>
      <c r="O1195" s="22">
        <f>+PROVEEDORES[[#This Row],[Descuento sobre subtotal %]]*(PROVEEDORES[[#This Row],[SUBTOTAL]]-PROVEEDORES[[#This Row],[descuento sobre subtotal]])</f>
        <v>0</v>
      </c>
      <c r="P1195" s="83">
        <f>+IF(PROVEEDORES[[#This Row],[SUBTOTAL]]&lt;PROVEEDORES[[#This Row],[base retencion]],0,PROVEEDORES[[#This Row],[retención aplicada]])</f>
        <v>0</v>
      </c>
      <c r="Q1195" s="22">
        <f>+PROVEEDORES[[#This Row],[Rete Fuente %]]*(PROVEEDORES[[#This Row],[SUBTOTAL]]-PROVEEDORES[[#This Row],[descuento sobre subtotal]])</f>
        <v>0</v>
      </c>
      <c r="R1195" s="21">
        <f>+PROVEEDORES[[#This Row],[SUBTOTAL]]+PROVEEDORES[[#This Row],[IVA 19%]]-PROVEEDORES[[#This Row],[descuento sobre subtotal]]-PROVEEDORES[[#This Row],[Descuento sobre subtotal $2]]-PROVEEDORES[[#This Row],[Rete Fuente $]]</f>
        <v>1165699.01</v>
      </c>
      <c r="S11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68">
        <f ca="1">IF(PROVEEDORES[[#This Row],[FECHA DE PAGO]]=0,TODAY()-PROVEEDORES[[#This Row],[FECHA DE FACTURACIÓN]]-PROVEEDORES[[#This Row],[PLAZO Días]],0)</f>
        <v>0</v>
      </c>
      <c r="U1195" s="96" t="str">
        <f>+VLOOKUP(PROVEEDORES[[#This Row],[PROVEEDOR]],Terceros!$A:$D,4,FALSE)</f>
        <v>2,5% con base</v>
      </c>
      <c r="V1195" s="97">
        <f>+YEAR(PROVEEDORES[[#This Row],[FECHA DE FACTURACIÓN]])</f>
        <v>2021</v>
      </c>
      <c r="W1195" s="97">
        <f>+MATCH(PROVEEDORES[[#This Row],[año facturado]],Retenciones!$1:$1,0)</f>
        <v>4</v>
      </c>
      <c r="X1195" s="98">
        <f>+VLOOKUP(PROVEEDORES[[#This Row],[ID RETENCION]],Retenciones!$A$1:$O$25,PROVEEDORES[[#This Row],[indicador de columna]],FALSE)</f>
        <v>980000</v>
      </c>
      <c r="Y1195" s="99">
        <f>+VLOOKUP(PROVEEDORES[[#This Row],[ID RETENCION]],Retenciones!$A$1:$O$25,2,FALSE)</f>
        <v>2.5000000000000001E-2</v>
      </c>
      <c r="Z1195" s="125" t="b">
        <f>OR(COUNTIF(PROVEEDORES[[#This Row],[PROVEEDOR]],"*"&amp;'Palabra no opera'!$A$2&amp;"*"))</f>
        <v>0</v>
      </c>
      <c r="AA1195" s="24"/>
      <c r="AB1195" s="24"/>
      <c r="AC1195" s="24"/>
      <c r="AD1195" s="24"/>
      <c r="AE1195" s="24"/>
    </row>
    <row r="1196" spans="1:31" ht="22.2" customHeight="1" x14ac:dyDescent="0.3">
      <c r="A1196" s="66" t="str">
        <f>+IF(PROVEEDORES[[#This Row],[FECHA DE PAGO]]=PROVEEDORES[[#This Row],[FECHA DE FACTURACIÓN]],"DE CONTADO","CRÉDITO")</f>
        <v>DE CONTADO</v>
      </c>
      <c r="B1196" s="38" t="b">
        <f>+IF((PROVEEDORES[[#This Row],[FECHA DE PAGO]]-PROVEEDORES[[#This Row],[FECHA DE FACTURACIÓN]])&gt;PROVEEDORES[[#This Row],[PLAZO Días]],"PAGO VENCIDO")</f>
        <v>0</v>
      </c>
      <c r="C1196" s="20">
        <f>+VLOOKUP(PROVEEDORES[[#This Row],[PROVEEDOR]],TERCEROS_INFO[#All],2,FALSE)</f>
        <v>30</v>
      </c>
      <c r="D1196" s="25">
        <f>+SUMIFS(PROVEEDORES[Total],PROVEEDORES[PROVEEDOR],PROVEEDORES[[#This Row],[PROVEEDOR]],PROVEEDORES[FECHA DE PAGO],"")</f>
        <v>0</v>
      </c>
      <c r="E1196" s="25"/>
      <c r="F1196" s="58">
        <f>+VLOOKUP(PROVEEDORES[[#This Row],[PROVEEDOR]],
                       Terceros!$A:$F,
                       5,
                       FALSE)</f>
        <v>0</v>
      </c>
      <c r="G1196" s="161">
        <v>44470</v>
      </c>
      <c r="H1196" s="26" t="s">
        <v>700</v>
      </c>
      <c r="I1196" s="161">
        <v>44470</v>
      </c>
      <c r="J1196" s="35" t="s">
        <v>1502</v>
      </c>
      <c r="K1196" s="21">
        <v>1170000</v>
      </c>
      <c r="L1196" s="21"/>
      <c r="M1196" s="22">
        <f>(PROVEEDORES[[#This Row],[SUBTOTAL]]-PROVEEDORES[[#This Row],[descuento sobre subtotal]])*VLOOKUP(PROVEEDORES[[#This Row],[PROVEEDOR]],TERCEROS_INFO[#All],3,FALSE)</f>
        <v>0</v>
      </c>
      <c r="N1196" s="23"/>
      <c r="O1196" s="22">
        <f>+PROVEEDORES[[#This Row],[Descuento sobre subtotal %]]*(PROVEEDORES[[#This Row],[SUBTOTAL]]-PROVEEDORES[[#This Row],[descuento sobre subtotal]])</f>
        <v>0</v>
      </c>
      <c r="P1196" s="83">
        <f>+IF(PROVEEDORES[[#This Row],[SUBTOTAL]]&lt;PROVEEDORES[[#This Row],[base retencion]],0,PROVEEDORES[[#This Row],[retención aplicada]])</f>
        <v>0</v>
      </c>
      <c r="Q1196" s="22">
        <f>+PROVEEDORES[[#This Row],[Rete Fuente %]]*(PROVEEDORES[[#This Row],[SUBTOTAL]]-PROVEEDORES[[#This Row],[descuento sobre subtotal]])</f>
        <v>0</v>
      </c>
      <c r="R1196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11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68">
        <f ca="1">IF(PROVEEDORES[[#This Row],[FECHA DE PAGO]]=0,TODAY()-PROVEEDORES[[#This Row],[FECHA DE FACTURACIÓN]]-PROVEEDORES[[#This Row],[PLAZO Días]],0)</f>
        <v>0</v>
      </c>
      <c r="U1196" s="96">
        <f>+VLOOKUP(PROVEEDORES[[#This Row],[PROVEEDOR]],Terceros!$A:$D,4,FALSE)</f>
        <v>0</v>
      </c>
      <c r="V1196" s="97">
        <f>+YEAR(PROVEEDORES[[#This Row],[FECHA DE FACTURACIÓN]])</f>
        <v>2021</v>
      </c>
      <c r="W1196" s="97">
        <f>+MATCH(PROVEEDORES[[#This Row],[año facturado]],Retenciones!$1:$1,0)</f>
        <v>4</v>
      </c>
      <c r="X1196" s="98">
        <f>+VLOOKUP(PROVEEDORES[[#This Row],[ID RETENCION]],Retenciones!$A$1:$O$25,PROVEEDORES[[#This Row],[indicador de columna]],FALSE)</f>
        <v>0</v>
      </c>
      <c r="Y1196" s="99">
        <f>+VLOOKUP(PROVEEDORES[[#This Row],[ID RETENCION]],Retenciones!$A$1:$O$25,2,FALSE)</f>
        <v>0</v>
      </c>
      <c r="Z1196" s="125" t="b">
        <f>OR(COUNTIF(PROVEEDORES[[#This Row],[PROVEEDOR]],"*"&amp;'Palabra no opera'!$A$2&amp;"*"))</f>
        <v>0</v>
      </c>
      <c r="AA1196" s="24"/>
      <c r="AB1196" s="24"/>
      <c r="AC1196" s="24"/>
      <c r="AD1196" s="24"/>
      <c r="AE1196" s="24"/>
    </row>
    <row r="1197" spans="1:31" ht="22.2" customHeight="1" x14ac:dyDescent="0.3">
      <c r="A1197" s="72" t="str">
        <f>+IF(PROVEEDORES[[#This Row],[FECHA DE PAGO]]=PROVEEDORES[[#This Row],[FECHA DE FACTURACIÓN]],"DE CONTADO","CRÉDITO")</f>
        <v>CRÉDITO</v>
      </c>
      <c r="B1197" s="38" t="b">
        <f>+IF((PROVEEDORES[[#This Row],[FECHA DE PAGO]]-PROVEEDORES[[#This Row],[FECHA DE FACTURACIÓN]])&gt;PROVEEDORES[[#This Row],[PLAZO Días]],"PAGO VENCIDO")</f>
        <v>0</v>
      </c>
      <c r="C1197" s="20">
        <f>+VLOOKUP(PROVEEDORES[[#This Row],[PROVEEDOR]],TERCEROS_INFO[#All],2,FALSE)</f>
        <v>30</v>
      </c>
      <c r="D1197" s="25">
        <f>+SUMIFS(PROVEEDORES[Total],PROVEEDORES[PROVEEDOR],PROVEEDORES[[#This Row],[PROVEEDOR]],PROVEEDORES[FECHA DE PAGO],"")</f>
        <v>0</v>
      </c>
      <c r="E1197" s="25"/>
      <c r="F1197" s="58">
        <f>+VLOOKUP(PROVEEDORES[[#This Row],[PROVEEDOR]],
                       Terceros!$A:$F,
                       5,
                       FALSE)</f>
        <v>0</v>
      </c>
      <c r="G1197" s="161">
        <v>44796</v>
      </c>
      <c r="H1197" s="26" t="s">
        <v>700</v>
      </c>
      <c r="I1197" s="161">
        <v>44767</v>
      </c>
      <c r="J1197" s="35" t="s">
        <v>1154</v>
      </c>
      <c r="K1197" s="21">
        <v>1170000</v>
      </c>
      <c r="L1197" s="21"/>
      <c r="M1197" s="22">
        <f>(PROVEEDORES[[#This Row],[SUBTOTAL]]-PROVEEDORES[[#This Row],[descuento sobre subtotal]])*VLOOKUP(PROVEEDORES[[#This Row],[PROVEEDOR]],TERCEROS_INFO[#All],3,FALSE)</f>
        <v>0</v>
      </c>
      <c r="N1197" s="23"/>
      <c r="O1197" s="22">
        <f>+PROVEEDORES[[#This Row],[Descuento sobre subtotal %]]*(PROVEEDORES[[#This Row],[SUBTOTAL]]-PROVEEDORES[[#This Row],[descuento sobre subtotal]])</f>
        <v>0</v>
      </c>
      <c r="P1197" s="83">
        <f>+IF(PROVEEDORES[[#This Row],[SUBTOTAL]]&lt;PROVEEDORES[[#This Row],[base retencion]],0,PROVEEDORES[[#This Row],[retención aplicada]])</f>
        <v>0</v>
      </c>
      <c r="Q1197" s="22">
        <f>+PROVEEDORES[[#This Row],[Rete Fuente %]]*(PROVEEDORES[[#This Row],[SUBTOTAL]]-PROVEEDORES[[#This Row],[descuento sobre subtotal]])</f>
        <v>0</v>
      </c>
      <c r="R1197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119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68">
        <f ca="1">IF(PROVEEDORES[[#This Row],[FECHA DE PAGO]]=0,TODAY()-PROVEEDORES[[#This Row],[FECHA DE FACTURACIÓN]]-PROVEEDORES[[#This Row],[PLAZO Días]],0)</f>
        <v>0</v>
      </c>
      <c r="U1197" s="113">
        <f>+VLOOKUP(PROVEEDORES[[#This Row],[PROVEEDOR]],Terceros!$A:$D,4,FALSE)</f>
        <v>0</v>
      </c>
      <c r="V1197" s="114">
        <f>+YEAR(PROVEEDORES[[#This Row],[FECHA DE FACTURACIÓN]])</f>
        <v>2022</v>
      </c>
      <c r="W1197" s="114">
        <f>+MATCH(PROVEEDORES[[#This Row],[año facturado]],Retenciones!$1:$1,0)</f>
        <v>5</v>
      </c>
      <c r="X1197" s="115">
        <f>+VLOOKUP(PROVEEDORES[[#This Row],[ID RETENCION]],Retenciones!$A$1:$O$25,PROVEEDORES[[#This Row],[indicador de columna]],FALSE)</f>
        <v>0</v>
      </c>
      <c r="Y1197" s="116">
        <f>+VLOOKUP(PROVEEDORES[[#This Row],[ID RETENCION]],Retenciones!$A$1:$O$25,2,FALSE)</f>
        <v>0</v>
      </c>
      <c r="Z1197" s="125" t="b">
        <f>OR(COUNTIF(PROVEEDORES[[#This Row],[PROVEEDOR]],"*"&amp;'Palabra no opera'!$A$2&amp;"*"))</f>
        <v>0</v>
      </c>
      <c r="AA1197" s="24"/>
      <c r="AB1197" s="24"/>
      <c r="AC1197" s="24"/>
      <c r="AD1197" s="24"/>
      <c r="AE1197" s="24"/>
    </row>
    <row r="1198" spans="1:31" ht="22.2" customHeight="1" x14ac:dyDescent="0.3">
      <c r="A1198" s="66" t="str">
        <f>+IF(PROVEEDORES[[#This Row],[FECHA DE PAGO]]=PROVEEDORES[[#This Row],[FECHA DE FACTURACIÓN]],"DE CONTADO","CRÉDITO")</f>
        <v>CRÉDITO</v>
      </c>
      <c r="B1198" s="38" t="str">
        <f>+IF((PROVEEDORES[[#This Row],[FECHA DE PAGO]]-PROVEEDORES[[#This Row],[FECHA DE FACTURACIÓN]])&gt;PROVEEDORES[[#This Row],[PLAZO Días]],"PAGO VENCIDO")</f>
        <v>PAGO VENCIDO</v>
      </c>
      <c r="C1198" s="20">
        <f>+VLOOKUP(PROVEEDORES[[#This Row],[PROVEEDOR]],TERCEROS_INFO[#All],2,FALSE)</f>
        <v>45</v>
      </c>
      <c r="D1198" s="25">
        <f>+SUMIFS(PROVEEDORES[Total],PROVEEDORES[PROVEEDOR],PROVEEDORES[[#This Row],[PROVEEDOR]],PROVEEDORES[FECHA DE PAGO],"")</f>
        <v>2604910</v>
      </c>
      <c r="E1198" s="25"/>
      <c r="F11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98" s="161">
        <v>44351</v>
      </c>
      <c r="H1198" s="26" t="s">
        <v>10</v>
      </c>
      <c r="I1198" s="161">
        <v>44300</v>
      </c>
      <c r="J1198" s="35" t="s">
        <v>297</v>
      </c>
      <c r="K1198" s="21">
        <v>990000</v>
      </c>
      <c r="L1198" s="21"/>
      <c r="M1198" s="22">
        <f>(PROVEEDORES[[#This Row],[SUBTOTAL]]-PROVEEDORES[[#This Row],[descuento sobre subtotal]])*VLOOKUP(PROVEEDORES[[#This Row],[PROVEEDOR]],TERCEROS_INFO[#All],3,FALSE)</f>
        <v>188100</v>
      </c>
      <c r="N1198" s="23"/>
      <c r="O1198" s="22">
        <f>+PROVEEDORES[[#This Row],[Descuento sobre subtotal %]]*(PROVEEDORES[[#This Row],[SUBTOTAL]]-PROVEEDORES[[#This Row],[descuento sobre subtotal]])</f>
        <v>0</v>
      </c>
      <c r="P1198" s="83">
        <f>+IF(PROVEEDORES[[#This Row],[SUBTOTAL]]&lt;PROVEEDORES[[#This Row],[base retencion]],0,PROVEEDORES[[#This Row],[retención aplicada]])</f>
        <v>0</v>
      </c>
      <c r="Q1198" s="22">
        <f>+PROVEEDORES[[#This Row],[Rete Fuente %]]*(PROVEEDORES[[#This Row],[SUBTOTAL]]-PROVEEDORES[[#This Row],[descuento sobre subtotal]])</f>
        <v>0</v>
      </c>
      <c r="R1198" s="21">
        <f>+PROVEEDORES[[#This Row],[SUBTOTAL]]+PROVEEDORES[[#This Row],[IVA 19%]]-PROVEEDORES[[#This Row],[descuento sobre subtotal]]-PROVEEDORES[[#This Row],[Descuento sobre subtotal $2]]-PROVEEDORES[[#This Row],[Rete Fuente $]]</f>
        <v>1178100</v>
      </c>
      <c r="S11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68">
        <f ca="1">IF(PROVEEDORES[[#This Row],[FECHA DE PAGO]]=0,TODAY()-PROVEEDORES[[#This Row],[FECHA DE FACTURACIÓN]]-PROVEEDORES[[#This Row],[PLAZO Días]],0)</f>
        <v>0</v>
      </c>
      <c r="U1198" s="96">
        <f>+VLOOKUP(PROVEEDORES[[#This Row],[PROVEEDOR]],Terceros!$A:$D,4,FALSE)</f>
        <v>0</v>
      </c>
      <c r="V1198" s="97">
        <f>+YEAR(PROVEEDORES[[#This Row],[FECHA DE FACTURACIÓN]])</f>
        <v>2021</v>
      </c>
      <c r="W1198" s="97">
        <f>+MATCH(PROVEEDORES[[#This Row],[año facturado]],Retenciones!$1:$1,0)</f>
        <v>4</v>
      </c>
      <c r="X1198" s="98">
        <f>+VLOOKUP(PROVEEDORES[[#This Row],[ID RETENCION]],Retenciones!$A$1:$O$25,PROVEEDORES[[#This Row],[indicador de columna]],FALSE)</f>
        <v>0</v>
      </c>
      <c r="Y1198" s="99">
        <f>+VLOOKUP(PROVEEDORES[[#This Row],[ID RETENCION]],Retenciones!$A$1:$O$25,2,FALSE)</f>
        <v>0</v>
      </c>
      <c r="Z1198" s="125" t="b">
        <f>OR(COUNTIF(PROVEEDORES[[#This Row],[PROVEEDOR]],"*"&amp;'Palabra no opera'!$A$2&amp;"*"))</f>
        <v>0</v>
      </c>
      <c r="AA1198" s="24"/>
      <c r="AB1198" s="24"/>
      <c r="AC1198" s="24"/>
      <c r="AD1198" s="24"/>
      <c r="AE1198" s="24"/>
    </row>
    <row r="1199" spans="1:31" ht="22.2" customHeight="1" x14ac:dyDescent="0.3">
      <c r="A1199" s="66" t="str">
        <f>+IF(PROVEEDORES[[#This Row],[FECHA DE PAGO]]=PROVEEDORES[[#This Row],[FECHA DE FACTURACIÓN]],"DE CONTADO","CRÉDITO")</f>
        <v>CRÉDITO</v>
      </c>
      <c r="B1199" s="38" t="str">
        <f>+IF((PROVEEDORES[[#This Row],[FECHA DE PAGO]]-PROVEEDORES[[#This Row],[FECHA DE FACTURACIÓN]])&gt;PROVEEDORES[[#This Row],[PLAZO Días]],"PAGO VENCIDO")</f>
        <v>PAGO VENCIDO</v>
      </c>
      <c r="C1199" s="20">
        <f>+VLOOKUP(PROVEEDORES[[#This Row],[PROVEEDOR]],TERCEROS_INFO[#All],2,FALSE)</f>
        <v>45</v>
      </c>
      <c r="D1199" s="25">
        <f>+SUMIFS(PROVEEDORES[Total],PROVEEDORES[PROVEEDOR],PROVEEDORES[[#This Row],[PROVEEDOR]],PROVEEDORES[FECHA DE PAGO],"")</f>
        <v>2604910</v>
      </c>
      <c r="E1199" s="25"/>
      <c r="F119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99" s="161">
        <v>44650</v>
      </c>
      <c r="H1199" s="26" t="s">
        <v>10</v>
      </c>
      <c r="I1199" s="161">
        <v>44579</v>
      </c>
      <c r="J1199" s="35" t="s">
        <v>763</v>
      </c>
      <c r="K1199" s="21">
        <v>990000</v>
      </c>
      <c r="L1199" s="21"/>
      <c r="M1199" s="22">
        <f>(PROVEEDORES[[#This Row],[SUBTOTAL]]-PROVEEDORES[[#This Row],[descuento sobre subtotal]])*VLOOKUP(PROVEEDORES[[#This Row],[PROVEEDOR]],TERCEROS_INFO[#All],3,FALSE)</f>
        <v>188100</v>
      </c>
      <c r="N1199" s="23"/>
      <c r="O1199" s="22">
        <f>+PROVEEDORES[[#This Row],[Descuento sobre subtotal %]]*(PROVEEDORES[[#This Row],[SUBTOTAL]]-PROVEEDORES[[#This Row],[descuento sobre subtotal]])</f>
        <v>0</v>
      </c>
      <c r="P1199" s="83">
        <f>+IF(PROVEEDORES[[#This Row],[SUBTOTAL]]&lt;PROVEEDORES[[#This Row],[base retencion]],0,PROVEEDORES[[#This Row],[retención aplicada]])</f>
        <v>0</v>
      </c>
      <c r="Q1199" s="22">
        <f>+PROVEEDORES[[#This Row],[Rete Fuente %]]*(PROVEEDORES[[#This Row],[SUBTOTAL]]-PROVEEDORES[[#This Row],[descuento sobre subtotal]])</f>
        <v>0</v>
      </c>
      <c r="R1199" s="21">
        <v>1178100</v>
      </c>
      <c r="S11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68">
        <f ca="1">IF(PROVEEDORES[[#This Row],[FECHA DE PAGO]]=0,TODAY()-PROVEEDORES[[#This Row],[FECHA DE FACTURACIÓN]]-PROVEEDORES[[#This Row],[PLAZO Días]],0)</f>
        <v>0</v>
      </c>
      <c r="U1199" s="96">
        <f>+VLOOKUP(PROVEEDORES[[#This Row],[PROVEEDOR]],Terceros!$A:$D,4,FALSE)</f>
        <v>0</v>
      </c>
      <c r="V1199" s="97">
        <f>+YEAR(PROVEEDORES[[#This Row],[FECHA DE FACTURACIÓN]])</f>
        <v>2022</v>
      </c>
      <c r="W1199" s="97">
        <f>+MATCH(PROVEEDORES[[#This Row],[año facturado]],Retenciones!$1:$1,0)</f>
        <v>5</v>
      </c>
      <c r="X1199" s="98">
        <f>+VLOOKUP(PROVEEDORES[[#This Row],[ID RETENCION]],Retenciones!$A$1:$O$25,PROVEEDORES[[#This Row],[indicador de columna]],FALSE)</f>
        <v>0</v>
      </c>
      <c r="Y1199" s="99">
        <f>+VLOOKUP(PROVEEDORES[[#This Row],[ID RETENCION]],Retenciones!$A$1:$O$25,2,FALSE)</f>
        <v>0</v>
      </c>
      <c r="Z1199" s="125" t="b">
        <f>OR(COUNTIF(PROVEEDORES[[#This Row],[PROVEEDOR]],"*"&amp;'Palabra no opera'!$A$2&amp;"*"))</f>
        <v>0</v>
      </c>
      <c r="AA1199" s="24"/>
      <c r="AB1199" s="24"/>
      <c r="AC1199" s="24"/>
      <c r="AD1199" s="24"/>
      <c r="AE1199" s="24"/>
    </row>
    <row r="1200" spans="1:31" ht="22.2" customHeight="1" x14ac:dyDescent="0.3">
      <c r="A1200" s="66" t="str">
        <f>+IF(PROVEEDORES[[#This Row],[FECHA DE PAGO]]=PROVEEDORES[[#This Row],[FECHA DE FACTURACIÓN]],"DE CONTADO","CRÉDITO")</f>
        <v>CRÉDITO</v>
      </c>
      <c r="B1200" s="38" t="b">
        <f>+IF((PROVEEDORES[[#This Row],[FECHA DE PAGO]]-PROVEEDORES[[#This Row],[FECHA DE FACTURACIÓN]])&gt;PROVEEDORES[[#This Row],[PLAZO Días]],"PAGO VENCIDO")</f>
        <v>0</v>
      </c>
      <c r="C1200" s="20">
        <f>+VLOOKUP(PROVEEDORES[[#This Row],[PROVEEDOR]],TERCEROS_INFO[#All],2,FALSE)</f>
        <v>30</v>
      </c>
      <c r="D1200" s="25">
        <f>+SUMIFS(PROVEEDORES[Total],PROVEEDORES[PROVEEDOR],PROVEEDORES[[#This Row],[PROVEEDOR]],PROVEEDORES[FECHA DE PAGO],"")</f>
        <v>430000</v>
      </c>
      <c r="E1200" s="25"/>
      <c r="F1200" s="58" t="str">
        <f>+VLOOKUP(PROVEEDORES[[#This Row],[PROVEEDOR]],
                       Terceros!$A:$F,
                       5,
                       FALSE)</f>
        <v/>
      </c>
      <c r="G1200" s="161">
        <v>44632</v>
      </c>
      <c r="H1200" s="26" t="s">
        <v>695</v>
      </c>
      <c r="I1200" s="161">
        <v>44631</v>
      </c>
      <c r="J1200" s="35" t="s">
        <v>696</v>
      </c>
      <c r="K1200" s="21">
        <v>1180100</v>
      </c>
      <c r="L1200" s="21"/>
      <c r="M1200" s="22">
        <v>0</v>
      </c>
      <c r="N1200" s="23"/>
      <c r="O1200" s="22">
        <v>0</v>
      </c>
      <c r="P1200" s="83">
        <f>+IF(PROVEEDORES[[#This Row],[SUBTOTAL]]&lt;PROVEEDORES[[#This Row],[base retencion]],0,PROVEEDORES[[#This Row],[retención aplicada]])</f>
        <v>0</v>
      </c>
      <c r="Q1200" s="22">
        <f>+PROVEEDORES[[#This Row],[Rete Fuente %]]*(PROVEEDORES[[#This Row],[SUBTOTAL]]-PROVEEDORES[[#This Row],[descuento sobre subtotal]])</f>
        <v>0</v>
      </c>
      <c r="R1200" s="21">
        <v>1180100</v>
      </c>
      <c r="S12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68">
        <f ca="1">IF(PROVEEDORES[[#This Row],[FECHA DE PAGO]]=0,TODAY()-PROVEEDORES[[#This Row],[FECHA DE FACTURACIÓN]]-PROVEEDORES[[#This Row],[PLAZO Días]],0)</f>
        <v>0</v>
      </c>
      <c r="U1200" s="96">
        <f>+VLOOKUP(PROVEEDORES[[#This Row],[PROVEEDOR]],Terceros!$A:$D,4,FALSE)</f>
        <v>0</v>
      </c>
      <c r="V1200" s="97">
        <f>+YEAR(PROVEEDORES[[#This Row],[FECHA DE FACTURACIÓN]])</f>
        <v>2022</v>
      </c>
      <c r="W1200" s="97">
        <f>+MATCH(PROVEEDORES[[#This Row],[año facturado]],Retenciones!$1:$1,0)</f>
        <v>5</v>
      </c>
      <c r="X1200" s="98">
        <f>+VLOOKUP(PROVEEDORES[[#This Row],[ID RETENCION]],Retenciones!$A$1:$O$25,PROVEEDORES[[#This Row],[indicador de columna]],FALSE)</f>
        <v>0</v>
      </c>
      <c r="Y1200" s="99">
        <f>+VLOOKUP(PROVEEDORES[[#This Row],[ID RETENCION]],Retenciones!$A$1:$O$25,2,FALSE)</f>
        <v>0</v>
      </c>
      <c r="Z1200" s="125" t="b">
        <f>OR(COUNTIF(PROVEEDORES[[#This Row],[PROVEEDOR]],"*"&amp;'Palabra no opera'!$A$2&amp;"*"))</f>
        <v>0</v>
      </c>
      <c r="AA1200" s="24"/>
      <c r="AB1200" s="24"/>
      <c r="AC1200" s="24"/>
      <c r="AD1200" s="24"/>
      <c r="AE1200" s="24"/>
    </row>
    <row r="1201" spans="1:31" ht="22.2" customHeight="1" x14ac:dyDescent="0.3">
      <c r="A1201" s="66" t="str">
        <f>+IF(PROVEEDORES[[#This Row],[FECHA DE PAGO]]=PROVEEDORES[[#This Row],[FECHA DE FACTURACIÓN]],"DE CONTADO","CRÉDITO")</f>
        <v>CRÉDITO</v>
      </c>
      <c r="B1201" s="38" t="str">
        <f>+IF((PROVEEDORES[[#This Row],[FECHA DE PAGO]]-PROVEEDORES[[#This Row],[FECHA DE FACTURACIÓN]])&gt;PROVEEDORES[[#This Row],[PLAZO Días]],"PAGO VENCIDO")</f>
        <v>PAGO VENCIDO</v>
      </c>
      <c r="C1201" s="20">
        <f>+VLOOKUP(PROVEEDORES[[#This Row],[PROVEEDOR]],TERCEROS_INFO[#All],2,FALSE)</f>
        <v>30</v>
      </c>
      <c r="D1201" s="25">
        <f>+SUMIFS(PROVEEDORES[Total],PROVEEDORES[PROVEEDOR],PROVEEDORES[[#This Row],[PROVEEDOR]],PROVEEDORES[FECHA DE PAGO],"")</f>
        <v>0</v>
      </c>
      <c r="E1201" s="25"/>
      <c r="F120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01" s="161">
        <v>44517</v>
      </c>
      <c r="H1201" s="26" t="s">
        <v>20</v>
      </c>
      <c r="I1201" s="161">
        <v>44467</v>
      </c>
      <c r="J1201" s="35">
        <v>5196</v>
      </c>
      <c r="K1201" s="21">
        <v>1014100</v>
      </c>
      <c r="L1201" s="21"/>
      <c r="M1201" s="22">
        <f>(PROVEEDORES[[#This Row],[SUBTOTAL]]-PROVEEDORES[[#This Row],[descuento sobre subtotal]])*VLOOKUP(PROVEEDORES[[#This Row],[PROVEEDOR]],TERCEROS_INFO[#All],3,FALSE)</f>
        <v>192679</v>
      </c>
      <c r="N1201" s="23"/>
      <c r="O1201" s="22">
        <f>+PROVEEDORES[[#This Row],[Descuento sobre subtotal %]]*(PROVEEDORES[[#This Row],[SUBTOTAL]]-PROVEEDORES[[#This Row],[descuento sobre subtotal]])</f>
        <v>0</v>
      </c>
      <c r="P1201" s="83">
        <f>+IF(PROVEEDORES[[#This Row],[SUBTOTAL]]&lt;PROVEEDORES[[#This Row],[base retencion]],0,PROVEEDORES[[#This Row],[retención aplicada]])</f>
        <v>2.5000000000000001E-2</v>
      </c>
      <c r="Q1201" s="22">
        <f>+PROVEEDORES[[#This Row],[Rete Fuente %]]*(PROVEEDORES[[#This Row],[SUBTOTAL]]-PROVEEDORES[[#This Row],[descuento sobre subtotal]])</f>
        <v>25352.5</v>
      </c>
      <c r="R1201" s="21">
        <f>+PROVEEDORES[[#This Row],[SUBTOTAL]]+PROVEEDORES[[#This Row],[IVA 19%]]-PROVEEDORES[[#This Row],[descuento sobre subtotal]]-PROVEEDORES[[#This Row],[Descuento sobre subtotal $2]]-PROVEEDORES[[#This Row],[Rete Fuente $]]</f>
        <v>1181426.5</v>
      </c>
      <c r="S12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68">
        <f ca="1">IF(PROVEEDORES[[#This Row],[FECHA DE PAGO]]=0,TODAY()-PROVEEDORES[[#This Row],[FECHA DE FACTURACIÓN]]-PROVEEDORES[[#This Row],[PLAZO Días]],0)</f>
        <v>0</v>
      </c>
      <c r="U1201" s="96" t="str">
        <f>+VLOOKUP(PROVEEDORES[[#This Row],[PROVEEDOR]],Terceros!$A:$D,4,FALSE)</f>
        <v>2,5% con base</v>
      </c>
      <c r="V1201" s="97">
        <f>+YEAR(PROVEEDORES[[#This Row],[FECHA DE FACTURACIÓN]])</f>
        <v>2021</v>
      </c>
      <c r="W1201" s="97">
        <f>+MATCH(PROVEEDORES[[#This Row],[año facturado]],Retenciones!$1:$1,0)</f>
        <v>4</v>
      </c>
      <c r="X1201" s="98">
        <f>+VLOOKUP(PROVEEDORES[[#This Row],[ID RETENCION]],Retenciones!$A$1:$O$25,PROVEEDORES[[#This Row],[indicador de columna]],FALSE)</f>
        <v>980000</v>
      </c>
      <c r="Y1201" s="99">
        <f>+VLOOKUP(PROVEEDORES[[#This Row],[ID RETENCION]],Retenciones!$A$1:$O$25,2,FALSE)</f>
        <v>2.5000000000000001E-2</v>
      </c>
      <c r="Z1201" s="125" t="b">
        <f>OR(COUNTIF(PROVEEDORES[[#This Row],[PROVEEDOR]],"*"&amp;'Palabra no opera'!$A$2&amp;"*"))</f>
        <v>0</v>
      </c>
      <c r="AA1201" s="24"/>
      <c r="AB1201" s="24"/>
      <c r="AC1201" s="24"/>
      <c r="AD1201" s="24"/>
      <c r="AE1201" s="24"/>
    </row>
    <row r="1202" spans="1:31" ht="22.2" customHeight="1" x14ac:dyDescent="0.3">
      <c r="A1202" s="269" t="str">
        <f>+IF(PROVEEDORES[[#This Row],[FECHA DE PAGO]]=PROVEEDORES[[#This Row],[FECHA DE FACTURACIÓN]],"DE CONTADO","CRÉDITO")</f>
        <v>DE CONTADO</v>
      </c>
      <c r="B1202" s="38" t="b">
        <f>+IF((PROVEEDORES[[#This Row],[FECHA DE PAGO]]-PROVEEDORES[[#This Row],[FECHA DE FACTURACIÓN]])&gt;PROVEEDORES[[#This Row],[PLAZO Días]],"PAGO VENCIDO")</f>
        <v>0</v>
      </c>
      <c r="C1202" s="20">
        <f>+VLOOKUP(PROVEEDORES[[#This Row],[PROVEEDOR]],TERCEROS_INFO[#All],2,FALSE)</f>
        <v>30</v>
      </c>
      <c r="D1202" s="25">
        <f>+SUMIFS(PROVEEDORES[Total],PROVEEDORES[PROVEEDOR],PROVEEDORES[[#This Row],[PROVEEDOR]],PROVEEDORES[FECHA DE PAGO],"")</f>
        <v>0</v>
      </c>
      <c r="E1202" s="25"/>
      <c r="F1202" s="58" t="str">
        <f>+VLOOKUP(PROVEEDORES[[#This Row],[PROVEEDOR]],
                       Terceros!$A:$F,
                       5,
                       FALSE)</f>
        <v/>
      </c>
      <c r="G1202" s="161">
        <v>44865</v>
      </c>
      <c r="H1202" s="26" t="s">
        <v>644</v>
      </c>
      <c r="I1202" s="161">
        <v>44865</v>
      </c>
      <c r="J1202" s="35" t="s">
        <v>1750</v>
      </c>
      <c r="K1202" s="21">
        <v>1185800</v>
      </c>
      <c r="L1202" s="21"/>
      <c r="M1202" s="22">
        <f>(PROVEEDORES[[#This Row],[SUBTOTAL]]-PROVEEDORES[[#This Row],[descuento sobre subtotal]])*VLOOKUP(PROVEEDORES[[#This Row],[PROVEEDOR]],TERCEROS_INFO[#All],3,FALSE)</f>
        <v>0</v>
      </c>
      <c r="N1202" s="23"/>
      <c r="O1202" s="22">
        <f>+PROVEEDORES[[#This Row],[Descuento sobre subtotal %]]*(PROVEEDORES[[#This Row],[SUBTOTAL]]-PROVEEDORES[[#This Row],[descuento sobre subtotal]])</f>
        <v>0</v>
      </c>
      <c r="P1202" s="83">
        <f>+IF(PROVEEDORES[[#This Row],[SUBTOTAL]]&lt;PROVEEDORES[[#This Row],[base retencion]],0,PROVEEDORES[[#This Row],[retención aplicada]])</f>
        <v>0</v>
      </c>
      <c r="Q1202" s="22">
        <f>+PROVEEDORES[[#This Row],[Rete Fuente %]]*(PROVEEDORES[[#This Row],[SUBTOTAL]]-PROVEEDORES[[#This Row],[descuento sobre subtotal]])</f>
        <v>0</v>
      </c>
      <c r="R1202" s="21">
        <f>+PROVEEDORES[[#This Row],[SUBTOTAL]]+PROVEEDORES[[#This Row],[IVA 19%]]-PROVEEDORES[[#This Row],[descuento sobre subtotal]]-PROVEEDORES[[#This Row],[Descuento sobre subtotal $2]]-PROVEEDORES[[#This Row],[Rete Fuente $]]</f>
        <v>1185800</v>
      </c>
      <c r="S1202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68">
        <f ca="1">IF(PROVEEDORES[[#This Row],[FECHA DE PAGO]]=0,TODAY()-PROVEEDORES[[#This Row],[FECHA DE FACTURACIÓN]]-PROVEEDORES[[#This Row],[PLAZO Días]],0)</f>
        <v>0</v>
      </c>
      <c r="U1202" s="113">
        <f>+VLOOKUP(PROVEEDORES[[#This Row],[PROVEEDOR]],Terceros!$A:$D,4,FALSE)</f>
        <v>0</v>
      </c>
      <c r="V1202" s="114">
        <f>+YEAR(PROVEEDORES[[#This Row],[FECHA DE FACTURACIÓN]])</f>
        <v>2022</v>
      </c>
      <c r="W1202" s="114">
        <f>+MATCH(PROVEEDORES[[#This Row],[año facturado]],Retenciones!$1:$1,0)</f>
        <v>5</v>
      </c>
      <c r="X1202" s="115">
        <f>+VLOOKUP(PROVEEDORES[[#This Row],[ID RETENCION]],Retenciones!$A$1:$O$25,PROVEEDORES[[#This Row],[indicador de columna]],FALSE)</f>
        <v>0</v>
      </c>
      <c r="Y1202" s="116">
        <f>+VLOOKUP(PROVEEDORES[[#This Row],[ID RETENCION]],Retenciones!$A$1:$O$25,2,FALSE)</f>
        <v>0</v>
      </c>
      <c r="Z1202" s="125" t="b">
        <f>OR(COUNTIF(PROVEEDORES[[#This Row],[PROVEEDOR]],"*"&amp;'Palabra no opera'!$A$2&amp;"*"))</f>
        <v>0</v>
      </c>
      <c r="AA1202" s="24"/>
      <c r="AB1202" s="24"/>
      <c r="AC1202" s="24"/>
      <c r="AD1202" s="24"/>
      <c r="AE1202" s="24"/>
    </row>
    <row r="1203" spans="1:31" ht="22.2" customHeight="1" x14ac:dyDescent="0.3">
      <c r="A1203" s="66" t="str">
        <f>+IF(PROVEEDORES[[#This Row],[FECHA DE PAGO]]=PROVEEDORES[[#This Row],[FECHA DE FACTURACIÓN]],"DE CONTADO","CRÉDITO")</f>
        <v>CRÉDITO</v>
      </c>
      <c r="B1203" s="38" t="str">
        <f>+IF((PROVEEDORES[[#This Row],[FECHA DE PAGO]]-PROVEEDORES[[#This Row],[FECHA DE FACTURACIÓN]])&gt;PROVEEDORES[[#This Row],[PLAZO Días]],"PAGO VENCIDO")</f>
        <v>PAGO VENCIDO</v>
      </c>
      <c r="C1203" s="20">
        <f>+VLOOKUP(PROVEEDORES[[#This Row],[PROVEEDOR]],TERCEROS_INFO[#All],2,FALSE)</f>
        <v>30</v>
      </c>
      <c r="D1203" s="25">
        <f>+SUMIFS(PROVEEDORES[Total],PROVEEDORES[PROVEEDOR],PROVEEDORES[[#This Row],[PROVEEDOR]],PROVEEDORES[FECHA DE PAGO],"")</f>
        <v>0</v>
      </c>
      <c r="E1203" s="25"/>
      <c r="F120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03" s="161">
        <v>44348</v>
      </c>
      <c r="H1203" s="26" t="s">
        <v>1637</v>
      </c>
      <c r="I1203" s="161">
        <v>44253</v>
      </c>
      <c r="J1203" s="35">
        <v>20108</v>
      </c>
      <c r="K1203" s="21">
        <v>1018772</v>
      </c>
      <c r="L1203" s="21"/>
      <c r="M1203" s="22">
        <f>(PROVEEDORES[[#This Row],[SUBTOTAL]]-PROVEEDORES[[#This Row],[descuento sobre subtotal]])*VLOOKUP(PROVEEDORES[[#This Row],[PROVEEDOR]],TERCEROS_INFO[#All],3,FALSE)</f>
        <v>193566.68</v>
      </c>
      <c r="N1203" s="23"/>
      <c r="O1203" s="22">
        <f>+PROVEEDORES[[#This Row],[Descuento sobre subtotal %]]*(PROVEEDORES[[#This Row],[SUBTOTAL]]-PROVEEDORES[[#This Row],[descuento sobre subtotal]])</f>
        <v>0</v>
      </c>
      <c r="P1203" s="83">
        <f>+IF(PROVEEDORES[[#This Row],[SUBTOTAL]]&lt;PROVEEDORES[[#This Row],[base retencion]],0,PROVEEDORES[[#This Row],[retención aplicada]])</f>
        <v>2.5000000000000001E-2</v>
      </c>
      <c r="Q1203" s="22">
        <f>+PROVEEDORES[[#This Row],[Rete Fuente %]]*(PROVEEDORES[[#This Row],[SUBTOTAL]]-PROVEEDORES[[#This Row],[descuento sobre subtotal]])</f>
        <v>25469.300000000003</v>
      </c>
      <c r="R1203" s="21">
        <f>+PROVEEDORES[[#This Row],[SUBTOTAL]]+PROVEEDORES[[#This Row],[IVA 19%]]-PROVEEDORES[[#This Row],[descuento sobre subtotal]]-PROVEEDORES[[#This Row],[Descuento sobre subtotal $2]]-PROVEEDORES[[#This Row],[Rete Fuente $]]</f>
        <v>1186869.3799999999</v>
      </c>
      <c r="S12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68">
        <f ca="1">IF(PROVEEDORES[[#This Row],[FECHA DE PAGO]]=0,TODAY()-PROVEEDORES[[#This Row],[FECHA DE FACTURACIÓN]]-PROVEEDORES[[#This Row],[PLAZO Días]],0)</f>
        <v>0</v>
      </c>
      <c r="U1203" s="96" t="str">
        <f>+VLOOKUP(PROVEEDORES[[#This Row],[PROVEEDOR]],Terceros!$A:$D,4,FALSE)</f>
        <v>2,5% con base</v>
      </c>
      <c r="V1203" s="97">
        <f>+YEAR(PROVEEDORES[[#This Row],[FECHA DE FACTURACIÓN]])</f>
        <v>2021</v>
      </c>
      <c r="W1203" s="97">
        <f>+MATCH(PROVEEDORES[[#This Row],[año facturado]],Retenciones!$1:$1,0)</f>
        <v>4</v>
      </c>
      <c r="X1203" s="98">
        <f>+VLOOKUP(PROVEEDORES[[#This Row],[ID RETENCION]],Retenciones!$A$1:$O$25,PROVEEDORES[[#This Row],[indicador de columna]],FALSE)</f>
        <v>980000</v>
      </c>
      <c r="Y1203" s="99">
        <f>+VLOOKUP(PROVEEDORES[[#This Row],[ID RETENCION]],Retenciones!$A$1:$O$25,2,FALSE)</f>
        <v>2.5000000000000001E-2</v>
      </c>
      <c r="Z1203" s="125" t="b">
        <f>OR(COUNTIF(PROVEEDORES[[#This Row],[PROVEEDOR]],"*"&amp;'Palabra no opera'!$A$2&amp;"*"))</f>
        <v>0</v>
      </c>
      <c r="AA1203" s="24"/>
      <c r="AB1203" s="24"/>
      <c r="AC1203" s="24"/>
      <c r="AD1203" s="24"/>
      <c r="AE1203" s="24"/>
    </row>
    <row r="1204" spans="1:31" ht="22.2" customHeight="1" x14ac:dyDescent="0.3">
      <c r="A1204" s="66" t="str">
        <f>+IF(PROVEEDORES[[#This Row],[FECHA DE PAGO]]=PROVEEDORES[[#This Row],[FECHA DE FACTURACIÓN]],"DE CONTADO","CRÉDITO")</f>
        <v>CRÉDITO</v>
      </c>
      <c r="B1204" s="38" t="b">
        <f>+IF((PROVEEDORES[[#This Row],[FECHA DE PAGO]]-PROVEEDORES[[#This Row],[FECHA DE FACTURACIÓN]])&gt;PROVEEDORES[[#This Row],[PLAZO Días]],"PAGO VENCIDO")</f>
        <v>0</v>
      </c>
      <c r="C1204" s="20">
        <f>+VLOOKUP(PROVEEDORES[[#This Row],[PROVEEDOR]],TERCEROS_INFO[#All],2,FALSE)</f>
        <v>30</v>
      </c>
      <c r="D1204" s="25">
        <f>+SUMIFS(PROVEEDORES[Total],PROVEEDORES[PROVEEDOR],PROVEEDORES[[#This Row],[PROVEEDOR]],PROVEEDORES[FECHA DE PAGO],"")</f>
        <v>0</v>
      </c>
      <c r="E1204" s="25"/>
      <c r="F1204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204" s="161">
        <v>44245</v>
      </c>
      <c r="H1204" s="26" t="s">
        <v>129</v>
      </c>
      <c r="I1204" s="161">
        <v>44244</v>
      </c>
      <c r="J1204" s="35" t="s">
        <v>214</v>
      </c>
      <c r="K1204" s="21">
        <v>1190000</v>
      </c>
      <c r="L1204" s="21"/>
      <c r="M1204" s="22">
        <f>(PROVEEDORES[[#This Row],[SUBTOTAL]]-PROVEEDORES[[#This Row],[descuento sobre subtotal]])*VLOOKUP(PROVEEDORES[[#This Row],[PROVEEDOR]],TERCEROS_INFO[#All],3,FALSE)</f>
        <v>0</v>
      </c>
      <c r="N1204" s="23"/>
      <c r="O1204" s="22">
        <f>+PROVEEDORES[[#This Row],[Descuento sobre subtotal %]]*(PROVEEDORES[[#This Row],[SUBTOTAL]]-PROVEEDORES[[#This Row],[descuento sobre subtotal]])</f>
        <v>0</v>
      </c>
      <c r="P1204" s="83">
        <f>+IF(PROVEEDORES[[#This Row],[SUBTOTAL]]&lt;PROVEEDORES[[#This Row],[base retencion]],0,PROVEEDORES[[#This Row],[retención aplicada]])</f>
        <v>0</v>
      </c>
      <c r="Q1204" s="22">
        <f>+PROVEEDORES[[#This Row],[Rete Fuente %]]*(PROVEEDORES[[#This Row],[SUBTOTAL]]-PROVEEDORES[[#This Row],[descuento sobre subtotal]])</f>
        <v>0</v>
      </c>
      <c r="R1204" s="21">
        <f>+PROVEEDORES[[#This Row],[SUBTOTAL]]+PROVEEDORES[[#This Row],[IVA 19%]]-PROVEEDORES[[#This Row],[descuento sobre subtotal]]-PROVEEDORES[[#This Row],[Descuento sobre subtotal $2]]-PROVEEDORES[[#This Row],[Rete Fuente $]]</f>
        <v>1190000</v>
      </c>
      <c r="S12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68">
        <f ca="1">IF(PROVEEDORES[[#This Row],[FECHA DE PAGO]]=0,TODAY()-PROVEEDORES[[#This Row],[FECHA DE FACTURACIÓN]]-PROVEEDORES[[#This Row],[PLAZO Días]],0)</f>
        <v>0</v>
      </c>
      <c r="U1204" s="96">
        <f>+VLOOKUP(PROVEEDORES[[#This Row],[PROVEEDOR]],Terceros!$A:$D,4,FALSE)</f>
        <v>0</v>
      </c>
      <c r="V1204" s="97">
        <f>+YEAR(PROVEEDORES[[#This Row],[FECHA DE FACTURACIÓN]])</f>
        <v>2021</v>
      </c>
      <c r="W1204" s="97">
        <f>+MATCH(PROVEEDORES[[#This Row],[año facturado]],Retenciones!$1:$1,0)</f>
        <v>4</v>
      </c>
      <c r="X1204" s="98">
        <f>+VLOOKUP(PROVEEDORES[[#This Row],[ID RETENCION]],Retenciones!$A$1:$O$25,PROVEEDORES[[#This Row],[indicador de columna]],FALSE)</f>
        <v>0</v>
      </c>
      <c r="Y1204" s="99">
        <f>+VLOOKUP(PROVEEDORES[[#This Row],[ID RETENCION]],Retenciones!$A$1:$O$25,2,FALSE)</f>
        <v>0</v>
      </c>
      <c r="Z1204" s="125" t="b">
        <f>OR(COUNTIF(PROVEEDORES[[#This Row],[PROVEEDOR]],"*"&amp;'Palabra no opera'!$A$2&amp;"*"))</f>
        <v>0</v>
      </c>
      <c r="AA1204" s="24"/>
      <c r="AB1204" s="24"/>
      <c r="AC1204" s="24"/>
      <c r="AD1204" s="24"/>
      <c r="AE1204" s="24"/>
    </row>
    <row r="1205" spans="1:31" ht="22.2" customHeight="1" x14ac:dyDescent="0.3">
      <c r="A1205" s="66" t="str">
        <f>+IF(PROVEEDORES[[#This Row],[FECHA DE PAGO]]=PROVEEDORES[[#This Row],[FECHA DE FACTURACIÓN]],"DE CONTADO","CRÉDITO")</f>
        <v>DE CONTADO</v>
      </c>
      <c r="B1205" s="38" t="b">
        <f>+IF((PROVEEDORES[[#This Row],[FECHA DE PAGO]]-PROVEEDORES[[#This Row],[FECHA DE FACTURACIÓN]])&gt;PROVEEDORES[[#This Row],[PLAZO Días]],"PAGO VENCIDO")</f>
        <v>0</v>
      </c>
      <c r="C1205" s="20">
        <f>+VLOOKUP(PROVEEDORES[[#This Row],[PROVEEDOR]],TERCEROS_INFO[#All],2,FALSE)</f>
        <v>30</v>
      </c>
      <c r="D1205" s="25">
        <f>+SUMIFS(PROVEEDORES[Total],PROVEEDORES[PROVEEDOR],PROVEEDORES[[#This Row],[PROVEEDOR]],PROVEEDORES[FECHA DE PAGO],"")</f>
        <v>0</v>
      </c>
      <c r="E1205" s="25"/>
      <c r="F1205" s="58" t="str">
        <f>+VLOOKUP(PROVEEDORES[[#This Row],[PROVEEDOR]],
                       Terceros!$A:$F,
                       5,
                       FALSE)</f>
        <v/>
      </c>
      <c r="G1205" s="161">
        <v>44232</v>
      </c>
      <c r="H1205" s="26" t="s">
        <v>661</v>
      </c>
      <c r="I1205" s="161">
        <v>44232</v>
      </c>
      <c r="J1205" s="35" t="s">
        <v>1192</v>
      </c>
      <c r="K1205" s="21">
        <v>1192000</v>
      </c>
      <c r="L1205" s="21"/>
      <c r="M1205" s="22">
        <f>(PROVEEDORES[[#This Row],[SUBTOTAL]]-PROVEEDORES[[#This Row],[descuento sobre subtotal]])*VLOOKUP(PROVEEDORES[[#This Row],[PROVEEDOR]],TERCEROS_INFO[#All],3,FALSE)</f>
        <v>0</v>
      </c>
      <c r="N1205" s="23"/>
      <c r="O1205" s="22">
        <f>+PROVEEDORES[[#This Row],[Descuento sobre subtotal %]]*(PROVEEDORES[[#This Row],[SUBTOTAL]]-PROVEEDORES[[#This Row],[descuento sobre subtotal]])</f>
        <v>0</v>
      </c>
      <c r="P1205" s="83">
        <f>+IF(PROVEEDORES[[#This Row],[SUBTOTAL]]&lt;PROVEEDORES[[#This Row],[base retencion]],0,PROVEEDORES[[#This Row],[retención aplicada]])</f>
        <v>0</v>
      </c>
      <c r="Q1205" s="22">
        <f>+PROVEEDORES[[#This Row],[Rete Fuente %]]*(PROVEEDORES[[#This Row],[SUBTOTAL]]-PROVEEDORES[[#This Row],[descuento sobre subtotal]])</f>
        <v>0</v>
      </c>
      <c r="R1205" s="21">
        <f>+PROVEEDORES[[#This Row],[SUBTOTAL]]+PROVEEDORES[[#This Row],[IVA 19%]]-PROVEEDORES[[#This Row],[descuento sobre subtotal]]-PROVEEDORES[[#This Row],[Descuento sobre subtotal $2]]-PROVEEDORES[[#This Row],[Rete Fuente $]]</f>
        <v>1192000</v>
      </c>
      <c r="S12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68">
        <f ca="1">IF(PROVEEDORES[[#This Row],[FECHA DE PAGO]]=0,TODAY()-PROVEEDORES[[#This Row],[FECHA DE FACTURACIÓN]]-PROVEEDORES[[#This Row],[PLAZO Días]],0)</f>
        <v>0</v>
      </c>
      <c r="U1205" s="96">
        <f>+VLOOKUP(PROVEEDORES[[#This Row],[PROVEEDOR]],Terceros!$A:$D,4,FALSE)</f>
        <v>0</v>
      </c>
      <c r="V1205" s="97">
        <f>+YEAR(PROVEEDORES[[#This Row],[FECHA DE FACTURACIÓN]])</f>
        <v>2021</v>
      </c>
      <c r="W1205" s="97">
        <f>+MATCH(PROVEEDORES[[#This Row],[año facturado]],Retenciones!$1:$1,0)</f>
        <v>4</v>
      </c>
      <c r="X1205" s="98">
        <f>+VLOOKUP(PROVEEDORES[[#This Row],[ID RETENCION]],Retenciones!$A$1:$O$25,PROVEEDORES[[#This Row],[indicador de columna]],FALSE)</f>
        <v>0</v>
      </c>
      <c r="Y1205" s="99">
        <f>+VLOOKUP(PROVEEDORES[[#This Row],[ID RETENCION]],Retenciones!$A$1:$O$25,2,FALSE)</f>
        <v>0</v>
      </c>
      <c r="Z1205" s="125" t="b">
        <f>OR(COUNTIF(PROVEEDORES[[#This Row],[PROVEEDOR]],"*"&amp;'Palabra no opera'!$A$2&amp;"*"))</f>
        <v>0</v>
      </c>
      <c r="AA1205" s="24"/>
      <c r="AB1205" s="24"/>
      <c r="AC1205" s="24"/>
      <c r="AD1205" s="24"/>
      <c r="AE1205" s="24"/>
    </row>
    <row r="1206" spans="1:31" ht="22.2" customHeight="1" x14ac:dyDescent="0.3">
      <c r="A1206" s="66" t="str">
        <f>+IF(PROVEEDORES[[#This Row],[FECHA DE PAGO]]=PROVEEDORES[[#This Row],[FECHA DE FACTURACIÓN]],"DE CONTADO","CRÉDITO")</f>
        <v>CRÉDITO</v>
      </c>
      <c r="B1206" s="38" t="str">
        <f>+IF((PROVEEDORES[[#This Row],[FECHA DE PAGO]]-PROVEEDORES[[#This Row],[FECHA DE FACTURACIÓN]])&gt;PROVEEDORES[[#This Row],[PLAZO Días]],"PAGO VENCIDO")</f>
        <v>PAGO VENCIDO</v>
      </c>
      <c r="C1206" s="20">
        <f>+VLOOKUP(PROVEEDORES[[#This Row],[PROVEEDOR]],TERCEROS_INFO[#All],2,FALSE)</f>
        <v>30</v>
      </c>
      <c r="D1206" s="25">
        <f>+SUMIFS(PROVEEDORES[Total],PROVEEDORES[PROVEEDOR],PROVEEDORES[[#This Row],[PROVEEDOR]],PROVEEDORES[FECHA DE PAGO],"")</f>
        <v>0</v>
      </c>
      <c r="E1206" s="25"/>
      <c r="F120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206" s="161">
        <v>44488</v>
      </c>
      <c r="H1206" s="26" t="s">
        <v>691</v>
      </c>
      <c r="I1206" s="161">
        <v>44456</v>
      </c>
      <c r="J1206" s="35" t="s">
        <v>1435</v>
      </c>
      <c r="K1206" s="21">
        <v>1192550</v>
      </c>
      <c r="L1206" s="21"/>
      <c r="M1206" s="22">
        <f>(PROVEEDORES[[#This Row],[SUBTOTAL]]-PROVEEDORES[[#This Row],[descuento sobre subtotal]])*VLOOKUP(PROVEEDORES[[#This Row],[PROVEEDOR]],TERCEROS_INFO[#All],3,FALSE)</f>
        <v>0</v>
      </c>
      <c r="N1206" s="23"/>
      <c r="O1206" s="22">
        <f>+PROVEEDORES[[#This Row],[Descuento sobre subtotal %]]*(PROVEEDORES[[#This Row],[SUBTOTAL]]-PROVEEDORES[[#This Row],[descuento sobre subtotal]])</f>
        <v>0</v>
      </c>
      <c r="P1206" s="83">
        <f>+IF(PROVEEDORES[[#This Row],[SUBTOTAL]]&lt;PROVEEDORES[[#This Row],[base retencion]],0,PROVEEDORES[[#This Row],[retención aplicada]])</f>
        <v>0</v>
      </c>
      <c r="Q1206" s="22">
        <f>+PROVEEDORES[[#This Row],[Rete Fuente %]]*(PROVEEDORES[[#This Row],[SUBTOTAL]]-PROVEEDORES[[#This Row],[descuento sobre subtotal]])</f>
        <v>0</v>
      </c>
      <c r="R1206" s="21">
        <f>+PROVEEDORES[[#This Row],[SUBTOTAL]]+PROVEEDORES[[#This Row],[IVA 19%]]-PROVEEDORES[[#This Row],[descuento sobre subtotal]]-PROVEEDORES[[#This Row],[Descuento sobre subtotal $2]]-PROVEEDORES[[#This Row],[Rete Fuente $]]</f>
        <v>1192550</v>
      </c>
      <c r="S12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68">
        <f ca="1">IF(PROVEEDORES[[#This Row],[FECHA DE PAGO]]=0,TODAY()-PROVEEDORES[[#This Row],[FECHA DE FACTURACIÓN]]-PROVEEDORES[[#This Row],[PLAZO Días]],0)</f>
        <v>0</v>
      </c>
      <c r="U1206" s="96">
        <f>+VLOOKUP(PROVEEDORES[[#This Row],[PROVEEDOR]],Terceros!$A:$D,4,FALSE)</f>
        <v>0</v>
      </c>
      <c r="V1206" s="97">
        <f>+YEAR(PROVEEDORES[[#This Row],[FECHA DE FACTURACIÓN]])</f>
        <v>2021</v>
      </c>
      <c r="W1206" s="97">
        <f>+MATCH(PROVEEDORES[[#This Row],[año facturado]],Retenciones!$1:$1,0)</f>
        <v>4</v>
      </c>
      <c r="X1206" s="98">
        <f>+VLOOKUP(PROVEEDORES[[#This Row],[ID RETENCION]],Retenciones!$A$1:$O$25,PROVEEDORES[[#This Row],[indicador de columna]],FALSE)</f>
        <v>0</v>
      </c>
      <c r="Y1206" s="99">
        <f>+VLOOKUP(PROVEEDORES[[#This Row],[ID RETENCION]],Retenciones!$A$1:$O$25,2,FALSE)</f>
        <v>0</v>
      </c>
      <c r="Z1206" s="125" t="b">
        <f>OR(COUNTIF(PROVEEDORES[[#This Row],[PROVEEDOR]],"*"&amp;'Palabra no opera'!$A$2&amp;"*"))</f>
        <v>0</v>
      </c>
      <c r="AA1206" s="24"/>
      <c r="AB1206" s="24"/>
      <c r="AC1206" s="24"/>
      <c r="AD1206" s="24"/>
      <c r="AE1206" s="24"/>
    </row>
    <row r="1207" spans="1:31" ht="22.2" customHeight="1" x14ac:dyDescent="0.3">
      <c r="A1207" s="207" t="str">
        <f>+IF(PROVEEDORES[[#This Row],[FECHA DE PAGO]]=PROVEEDORES[[#This Row],[FECHA DE FACTURACIÓN]],"DE CONTADO","CRÉDITO")</f>
        <v>CRÉDITO</v>
      </c>
      <c r="B1207" s="38" t="str">
        <f>+IF((PROVEEDORES[[#This Row],[FECHA DE PAGO]]-PROVEEDORES[[#This Row],[FECHA DE FACTURACIÓN]])&gt;PROVEEDORES[[#This Row],[PLAZO Días]],"PAGO VENCIDO")</f>
        <v>PAGO VENCIDO</v>
      </c>
      <c r="C1207" s="20">
        <f>+VLOOKUP(PROVEEDORES[[#This Row],[PROVEEDOR]],TERCEROS_INFO[#All],2,FALSE)</f>
        <v>30</v>
      </c>
      <c r="D1207" s="25">
        <f>+SUMIFS(PROVEEDORES[Total],PROVEEDORES[PROVEEDOR],PROVEEDORES[[#This Row],[PROVEEDOR]],PROVEEDORES[FECHA DE PAGO],"")</f>
        <v>0</v>
      </c>
      <c r="E1207" s="25"/>
      <c r="F120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07" s="161">
        <v>44855</v>
      </c>
      <c r="H1207" s="26" t="s">
        <v>20</v>
      </c>
      <c r="I1207" s="161">
        <v>44797</v>
      </c>
      <c r="J1207" s="35">
        <v>7689</v>
      </c>
      <c r="K1207" s="21">
        <v>1026000</v>
      </c>
      <c r="L1207" s="21"/>
      <c r="M1207" s="22">
        <f>(PROVEEDORES[[#This Row],[SUBTOTAL]]-PROVEEDORES[[#This Row],[descuento sobre subtotal]])*VLOOKUP(PROVEEDORES[[#This Row],[PROVEEDOR]],TERCEROS_INFO[#All],3,FALSE)</f>
        <v>194940</v>
      </c>
      <c r="N1207" s="23"/>
      <c r="O1207" s="22">
        <f>+PROVEEDORES[[#This Row],[Descuento sobre subtotal %]]*(PROVEEDORES[[#This Row],[SUBTOTAL]]-PROVEEDORES[[#This Row],[descuento sobre subtotal]])</f>
        <v>0</v>
      </c>
      <c r="P1207" s="83">
        <f>+IF(PROVEEDORES[[#This Row],[SUBTOTAL]]&lt;PROVEEDORES[[#This Row],[base retencion]],0,PROVEEDORES[[#This Row],[retención aplicada]])</f>
        <v>2.5000000000000001E-2</v>
      </c>
      <c r="Q1207" s="22">
        <f>+PROVEEDORES[[#This Row],[Rete Fuente %]]*(PROVEEDORES[[#This Row],[SUBTOTAL]]-PROVEEDORES[[#This Row],[descuento sobre subtotal]])</f>
        <v>25650</v>
      </c>
      <c r="R1207" s="21">
        <f>+PROVEEDORES[[#This Row],[SUBTOTAL]]+PROVEEDORES[[#This Row],[IVA 19%]]-PROVEEDORES[[#This Row],[descuento sobre subtotal]]-PROVEEDORES[[#This Row],[Descuento sobre subtotal $2]]-PROVEEDORES[[#This Row],[Rete Fuente $]]</f>
        <v>1195290</v>
      </c>
      <c r="S1207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68">
        <f ca="1">IF(PROVEEDORES[[#This Row],[FECHA DE PAGO]]=0,TODAY()-PROVEEDORES[[#This Row],[FECHA DE FACTURACIÓN]]-PROVEEDORES[[#This Row],[PLAZO Días]],0)</f>
        <v>0</v>
      </c>
      <c r="U1207" s="113" t="str">
        <f>+VLOOKUP(PROVEEDORES[[#This Row],[PROVEEDOR]],Terceros!$A:$D,4,FALSE)</f>
        <v>2,5% con base</v>
      </c>
      <c r="V1207" s="114">
        <f>+YEAR(PROVEEDORES[[#This Row],[FECHA DE FACTURACIÓN]])</f>
        <v>2022</v>
      </c>
      <c r="W1207" s="114">
        <f>+MATCH(PROVEEDORES[[#This Row],[año facturado]],Retenciones!$1:$1,0)</f>
        <v>5</v>
      </c>
      <c r="X1207" s="115">
        <f>+VLOOKUP(PROVEEDORES[[#This Row],[ID RETENCION]],Retenciones!$A$1:$O$25,PROVEEDORES[[#This Row],[indicador de columna]],FALSE)</f>
        <v>1026000</v>
      </c>
      <c r="Y1207" s="116">
        <f>+VLOOKUP(PROVEEDORES[[#This Row],[ID RETENCION]],Retenciones!$A$1:$O$25,2,FALSE)</f>
        <v>2.5000000000000001E-2</v>
      </c>
      <c r="Z1207" s="125" t="b">
        <f>OR(COUNTIF(PROVEEDORES[[#This Row],[PROVEEDOR]],"*"&amp;'Palabra no opera'!$A$2&amp;"*"))</f>
        <v>0</v>
      </c>
      <c r="AA1207" s="24"/>
      <c r="AB1207" s="24"/>
      <c r="AC1207" s="24"/>
      <c r="AD1207" s="24"/>
      <c r="AE1207" s="24"/>
    </row>
    <row r="1208" spans="1:31" ht="22.2" customHeight="1" x14ac:dyDescent="0.3">
      <c r="A1208" s="144" t="str">
        <f>+IF(PROVEEDORES[[#This Row],[FECHA DE PAGO]]=PROVEEDORES[[#This Row],[FECHA DE FACTURACIÓN]],"DE CONTADO","CRÉDITO")</f>
        <v>CRÉDITO</v>
      </c>
      <c r="B1208" s="38" t="str">
        <f>+IF((PROVEEDORES[[#This Row],[FECHA DE PAGO]]-PROVEEDORES[[#This Row],[FECHA DE FACTURACIÓN]])&gt;PROVEEDORES[[#This Row],[PLAZO Días]],"PAGO VENCIDO")</f>
        <v>PAGO VENCIDO</v>
      </c>
      <c r="C1208" s="20">
        <f>+VLOOKUP(PROVEEDORES[[#This Row],[PROVEEDOR]],TERCEROS_INFO[#All],2,FALSE)</f>
        <v>30</v>
      </c>
      <c r="D1208" s="25">
        <f>+SUMIFS(PROVEEDORES[Total],PROVEEDORES[PROVEEDOR],PROVEEDORES[[#This Row],[PROVEEDOR]],PROVEEDORES[FECHA DE PAGO],"")</f>
        <v>23124164.219999999</v>
      </c>
      <c r="E1208" s="25"/>
      <c r="F120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8" s="161">
        <v>44749</v>
      </c>
      <c r="H1208" s="26" t="s">
        <v>18</v>
      </c>
      <c r="I1208" s="161">
        <v>44701</v>
      </c>
      <c r="J1208" s="35">
        <v>1053888</v>
      </c>
      <c r="K1208" s="21">
        <v>1029010</v>
      </c>
      <c r="L1208" s="21"/>
      <c r="M1208" s="22">
        <f>(PROVEEDORES[[#This Row],[SUBTOTAL]]-PROVEEDORES[[#This Row],[descuento sobre subtotal]])*VLOOKUP(PROVEEDORES[[#This Row],[PROVEEDOR]],TERCEROS_INFO[#All],3,FALSE)</f>
        <v>195511.9</v>
      </c>
      <c r="N1208" s="23"/>
      <c r="O1208" s="22">
        <f>+PROVEEDORES[[#This Row],[Descuento sobre subtotal %]]*(PROVEEDORES[[#This Row],[SUBTOTAL]]-PROVEEDORES[[#This Row],[descuento sobre subtotal]])</f>
        <v>0</v>
      </c>
      <c r="P1208" s="83">
        <f>+IF(PROVEEDORES[[#This Row],[SUBTOTAL]]&lt;PROVEEDORES[[#This Row],[base retencion]],0,PROVEEDORES[[#This Row],[retención aplicada]])</f>
        <v>2.5000000000000001E-2</v>
      </c>
      <c r="Q1208" s="22">
        <f>+PROVEEDORES[[#This Row],[Rete Fuente %]]*(PROVEEDORES[[#This Row],[SUBTOTAL]]-PROVEEDORES[[#This Row],[descuento sobre subtotal]])</f>
        <v>25725.25</v>
      </c>
      <c r="R1208" s="21">
        <f>+PROVEEDORES[[#This Row],[SUBTOTAL]]+PROVEEDORES[[#This Row],[IVA 19%]]-PROVEEDORES[[#This Row],[descuento sobre subtotal]]-PROVEEDORES[[#This Row],[Descuento sobre subtotal $2]]-PROVEEDORES[[#This Row],[Rete Fuente $]]</f>
        <v>1198796.6499999999</v>
      </c>
      <c r="S1208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68">
        <f ca="1">IF(PROVEEDORES[[#This Row],[FECHA DE PAGO]]=0,TODAY()-PROVEEDORES[[#This Row],[FECHA DE FACTURACIÓN]]-PROVEEDORES[[#This Row],[PLAZO Días]],0)</f>
        <v>0</v>
      </c>
      <c r="U1208" s="113" t="str">
        <f>+VLOOKUP(PROVEEDORES[[#This Row],[PROVEEDOR]],Terceros!$A:$D,4,FALSE)</f>
        <v>2,5% con base</v>
      </c>
      <c r="V1208" s="114">
        <f>+YEAR(PROVEEDORES[[#This Row],[FECHA DE FACTURACIÓN]])</f>
        <v>2022</v>
      </c>
      <c r="W1208" s="114">
        <f>+MATCH(PROVEEDORES[[#This Row],[año facturado]],Retenciones!$1:$1,0)</f>
        <v>5</v>
      </c>
      <c r="X1208" s="115">
        <f>+VLOOKUP(PROVEEDORES[[#This Row],[ID RETENCION]],Retenciones!$A$1:$O$25,PROVEEDORES[[#This Row],[indicador de columna]],FALSE)</f>
        <v>1026000</v>
      </c>
      <c r="Y1208" s="116">
        <f>+VLOOKUP(PROVEEDORES[[#This Row],[ID RETENCION]],Retenciones!$A$1:$O$25,2,FALSE)</f>
        <v>2.5000000000000001E-2</v>
      </c>
      <c r="Z1208" s="125" t="b">
        <f>OR(COUNTIF(PROVEEDORES[[#This Row],[PROVEEDOR]],"*"&amp;'Palabra no opera'!$A$2&amp;"*"))</f>
        <v>0</v>
      </c>
      <c r="AA1208" s="24"/>
      <c r="AB1208" s="24"/>
      <c r="AC1208" s="24"/>
      <c r="AD1208" s="24"/>
      <c r="AE1208" s="24"/>
    </row>
    <row r="1209" spans="1:31" ht="22.2" customHeight="1" x14ac:dyDescent="0.3">
      <c r="A1209" s="66" t="str">
        <f>+IF(PROVEEDORES[[#This Row],[FECHA DE PAGO]]=PROVEEDORES[[#This Row],[FECHA DE FACTURACIÓN]],"DE CONTADO","CRÉDITO")</f>
        <v>CRÉDITO</v>
      </c>
      <c r="B1209" s="38" t="b">
        <f>+IF((PROVEEDORES[[#This Row],[FECHA DE PAGO]]-PROVEEDORES[[#This Row],[FECHA DE FACTURACIÓN]])&gt;PROVEEDORES[[#This Row],[PLAZO Días]],"PAGO VENCIDO")</f>
        <v>0</v>
      </c>
      <c r="C1209" s="20">
        <f>+VLOOKUP(PROVEEDORES[[#This Row],[PROVEEDOR]],TERCEROS_INFO[#All],2,FALSE)</f>
        <v>30</v>
      </c>
      <c r="D1209" s="25">
        <f>+SUMIFS(PROVEEDORES[Total],PROVEEDORES[PROVEEDOR],PROVEEDORES[[#This Row],[PROVEEDOR]],PROVEEDORES[FECHA DE PAGO],"")</f>
        <v>0</v>
      </c>
      <c r="E1209" s="25"/>
      <c r="F1209" s="58" t="str">
        <f>+VLOOKUP(PROVEEDORES[[#This Row],[PROVEEDOR]],
                       Terceros!$A:$F,
                       5,
                       FALSE)</f>
        <v/>
      </c>
      <c r="G1209" s="161">
        <v>44459</v>
      </c>
      <c r="H1209" s="26" t="s">
        <v>680</v>
      </c>
      <c r="I1209" s="161">
        <v>44450</v>
      </c>
      <c r="J1209" s="35"/>
      <c r="K1209" s="21">
        <v>1200000</v>
      </c>
      <c r="L1209" s="21"/>
      <c r="M1209" s="22">
        <f>(PROVEEDORES[[#This Row],[SUBTOTAL]]-PROVEEDORES[[#This Row],[descuento sobre subtotal]])*VLOOKUP(PROVEEDORES[[#This Row],[PROVEEDOR]],TERCEROS_INFO[#All],3,FALSE)</f>
        <v>0</v>
      </c>
      <c r="N1209" s="23"/>
      <c r="O1209" s="22">
        <f>+PROVEEDORES[[#This Row],[Descuento sobre subtotal %]]*(PROVEEDORES[[#This Row],[SUBTOTAL]]-PROVEEDORES[[#This Row],[descuento sobre subtotal]])</f>
        <v>0</v>
      </c>
      <c r="P1209" s="83">
        <f>+IF(PROVEEDORES[[#This Row],[SUBTOTAL]]&lt;PROVEEDORES[[#This Row],[base retencion]],0,PROVEEDORES[[#This Row],[retención aplicada]])</f>
        <v>0</v>
      </c>
      <c r="Q1209" s="22">
        <f>+PROVEEDORES[[#This Row],[Rete Fuente %]]*(PROVEEDORES[[#This Row],[SUBTOTAL]]-PROVEEDORES[[#This Row],[descuento sobre subtotal]])</f>
        <v>0</v>
      </c>
      <c r="R1209" s="21">
        <f>+PROVEEDORES[[#This Row],[SUBTOTAL]]+PROVEEDORES[[#This Row],[IVA 19%]]-PROVEEDORES[[#This Row],[descuento sobre subtotal]]-PROVEEDORES[[#This Row],[Descuento sobre subtotal $2]]-PROVEEDORES[[#This Row],[Rete Fuente $]]</f>
        <v>1200000</v>
      </c>
      <c r="S12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9" s="68">
        <f ca="1">IF(PROVEEDORES[[#This Row],[FECHA DE PAGO]]=0,TODAY()-PROVEEDORES[[#This Row],[FECHA DE FACTURACIÓN]]-PROVEEDORES[[#This Row],[PLAZO Días]],0)</f>
        <v>0</v>
      </c>
      <c r="U1209" s="96">
        <f>+VLOOKUP(PROVEEDORES[[#This Row],[PROVEEDOR]],Terceros!$A:$D,4,FALSE)</f>
        <v>0</v>
      </c>
      <c r="V1209" s="97">
        <f>+YEAR(PROVEEDORES[[#This Row],[FECHA DE FACTURACIÓN]])</f>
        <v>2021</v>
      </c>
      <c r="W1209" s="97">
        <f>+MATCH(PROVEEDORES[[#This Row],[año facturado]],Retenciones!$1:$1,0)</f>
        <v>4</v>
      </c>
      <c r="X1209" s="98">
        <f>+VLOOKUP(PROVEEDORES[[#This Row],[ID RETENCION]],Retenciones!$A$1:$O$25,PROVEEDORES[[#This Row],[indicador de columna]],FALSE)</f>
        <v>0</v>
      </c>
      <c r="Y1209" s="99">
        <f>+VLOOKUP(PROVEEDORES[[#This Row],[ID RETENCION]],Retenciones!$A$1:$O$25,2,FALSE)</f>
        <v>0</v>
      </c>
      <c r="Z1209" s="125" t="b">
        <f>OR(COUNTIF(PROVEEDORES[[#This Row],[PROVEEDOR]],"*"&amp;'Palabra no opera'!$A$2&amp;"*"))</f>
        <v>0</v>
      </c>
      <c r="AA1209" s="24"/>
      <c r="AB1209" s="24"/>
      <c r="AC1209" s="24"/>
      <c r="AD1209" s="24"/>
      <c r="AE1209" s="24"/>
    </row>
    <row r="1210" spans="1:31" ht="22.2" customHeight="1" x14ac:dyDescent="0.3">
      <c r="A1210" s="66" t="str">
        <f>+IF(PROVEEDORES[[#This Row],[FECHA DE PAGO]]=PROVEEDORES[[#This Row],[FECHA DE FACTURACIÓN]],"DE CONTADO","CRÉDITO")</f>
        <v>CRÉDITO</v>
      </c>
      <c r="B1210" s="38" t="str">
        <f>+IF((PROVEEDORES[[#This Row],[FECHA DE PAGO]]-PROVEEDORES[[#This Row],[FECHA DE FACTURACIÓN]])&gt;PROVEEDORES[[#This Row],[PLAZO Días]],"PAGO VENCIDO")</f>
        <v>PAGO VENCIDO</v>
      </c>
      <c r="C1210" s="20">
        <f>+VLOOKUP(PROVEEDORES[[#This Row],[PROVEEDOR]],TERCEROS_INFO[#All],2,FALSE)</f>
        <v>90</v>
      </c>
      <c r="D1210" s="25">
        <f>+SUMIFS(PROVEEDORES[Total],PROVEEDORES[PROVEEDOR],PROVEEDORES[[#This Row],[PROVEEDOR]],PROVEEDORES[FECHA DE PAGO],"")</f>
        <v>26350422.770000003</v>
      </c>
      <c r="E1210" s="25"/>
      <c r="F121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210" s="161">
        <v>44533</v>
      </c>
      <c r="H1210" s="26" t="s">
        <v>12</v>
      </c>
      <c r="I1210" s="161">
        <v>44438</v>
      </c>
      <c r="J1210" s="35" t="s">
        <v>455</v>
      </c>
      <c r="K1210" s="21">
        <v>1033614</v>
      </c>
      <c r="L1210" s="21"/>
      <c r="M1210" s="22">
        <f>(PROVEEDORES[[#This Row],[SUBTOTAL]]-PROVEEDORES[[#This Row],[descuento sobre subtotal]])*VLOOKUP(PROVEEDORES[[#This Row],[PROVEEDOR]],TERCEROS_INFO[#All],3,FALSE)</f>
        <v>196386.66</v>
      </c>
      <c r="N1210" s="23"/>
      <c r="O1210" s="22">
        <f>+PROVEEDORES[[#This Row],[Descuento sobre subtotal %]]*(PROVEEDORES[[#This Row],[SUBTOTAL]]-PROVEEDORES[[#This Row],[descuento sobre subtotal]])</f>
        <v>0</v>
      </c>
      <c r="P1210" s="83">
        <f>+IF(PROVEEDORES[[#This Row],[SUBTOTAL]]&lt;PROVEEDORES[[#This Row],[base retencion]],0,PROVEEDORES[[#This Row],[retención aplicada]])</f>
        <v>2.5000000000000001E-2</v>
      </c>
      <c r="Q1210" s="22">
        <f>+PROVEEDORES[[#This Row],[Rete Fuente %]]*(PROVEEDORES[[#This Row],[SUBTOTAL]]-PROVEEDORES[[#This Row],[descuento sobre subtotal]])</f>
        <v>25840.350000000002</v>
      </c>
      <c r="R1210" s="21">
        <f>+PROVEEDORES[[#This Row],[SUBTOTAL]]+PROVEEDORES[[#This Row],[IVA 19%]]-PROVEEDORES[[#This Row],[descuento sobre subtotal]]-PROVEEDORES[[#This Row],[Descuento sobre subtotal $2]]-PROVEEDORES[[#This Row],[Rete Fuente $]]</f>
        <v>1204160.3099999998</v>
      </c>
      <c r="S12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68">
        <f ca="1">IF(PROVEEDORES[[#This Row],[FECHA DE PAGO]]=0,TODAY()-PROVEEDORES[[#This Row],[FECHA DE FACTURACIÓN]]-PROVEEDORES[[#This Row],[PLAZO Días]],0)</f>
        <v>0</v>
      </c>
      <c r="U1210" s="96" t="str">
        <f>+VLOOKUP(PROVEEDORES[[#This Row],[PROVEEDOR]],Terceros!$A:$D,4,FALSE)</f>
        <v>2,5% con base</v>
      </c>
      <c r="V1210" s="97">
        <f>+YEAR(PROVEEDORES[[#This Row],[FECHA DE FACTURACIÓN]])</f>
        <v>2021</v>
      </c>
      <c r="W1210" s="97">
        <f>+MATCH(PROVEEDORES[[#This Row],[año facturado]],Retenciones!$1:$1,0)</f>
        <v>4</v>
      </c>
      <c r="X1210" s="98">
        <f>+VLOOKUP(PROVEEDORES[[#This Row],[ID RETENCION]],Retenciones!$A$1:$O$25,PROVEEDORES[[#This Row],[indicador de columna]],FALSE)</f>
        <v>980000</v>
      </c>
      <c r="Y1210" s="99">
        <f>+VLOOKUP(PROVEEDORES[[#This Row],[ID RETENCION]],Retenciones!$A$1:$O$25,2,FALSE)</f>
        <v>2.5000000000000001E-2</v>
      </c>
      <c r="Z1210" s="125" t="b">
        <f>OR(COUNTIF(PROVEEDORES[[#This Row],[PROVEEDOR]],"*"&amp;'Palabra no opera'!$A$2&amp;"*"))</f>
        <v>0</v>
      </c>
      <c r="AA1210" s="24"/>
      <c r="AB1210" s="24"/>
      <c r="AC1210" s="24"/>
      <c r="AD1210" s="24"/>
      <c r="AE1210" s="24"/>
    </row>
    <row r="1211" spans="1:31" ht="22.2" customHeight="1" x14ac:dyDescent="0.3">
      <c r="A1211" s="159" t="str">
        <f>+IF(PROVEEDORES[[#This Row],[FECHA DE PAGO]]=PROVEEDORES[[#This Row],[FECHA DE FACTURACIÓN]],"DE CONTADO","CRÉDITO")</f>
        <v>CRÉDITO</v>
      </c>
      <c r="B1211" s="38" t="str">
        <f>+IF((PROVEEDORES[[#This Row],[FECHA DE PAGO]]-PROVEEDORES[[#This Row],[FECHA DE FACTURACIÓN]])&gt;PROVEEDORES[[#This Row],[PLAZO Días]],"PAGO VENCIDO")</f>
        <v>PAGO VENCIDO</v>
      </c>
      <c r="C1211" s="20">
        <f>+VLOOKUP(PROVEEDORES[[#This Row],[PROVEEDOR]],TERCEROS_INFO[#All],2,FALSE)</f>
        <v>30</v>
      </c>
      <c r="D1211" s="25">
        <f>+SUMIFS(PROVEEDORES[Total],PROVEEDORES[PROVEEDOR],PROVEEDORES[[#This Row],[PROVEEDOR]],PROVEEDORES[FECHA DE PAGO],"")</f>
        <v>1468491.82</v>
      </c>
      <c r="E1211" s="25"/>
      <c r="F1211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211" s="161">
        <v>44758</v>
      </c>
      <c r="H1211" s="26" t="s">
        <v>1638</v>
      </c>
      <c r="I1211" s="161">
        <v>44727</v>
      </c>
      <c r="J1211" s="35" t="s">
        <v>1039</v>
      </c>
      <c r="K1211" s="21">
        <v>1012608</v>
      </c>
      <c r="L1211" s="21"/>
      <c r="M1211" s="22">
        <f>(PROVEEDORES[[#This Row],[SUBTOTAL]]-PROVEEDORES[[#This Row],[descuento sobre subtotal]])*VLOOKUP(PROVEEDORES[[#This Row],[PROVEEDOR]],TERCEROS_INFO[#All],3,FALSE)</f>
        <v>192395.51999999999</v>
      </c>
      <c r="N1211" s="23"/>
      <c r="O1211" s="22">
        <f>+PROVEEDORES[[#This Row],[Descuento sobre subtotal %]]*(PROVEEDORES[[#This Row],[SUBTOTAL]]-PROVEEDORES[[#This Row],[descuento sobre subtotal]])</f>
        <v>0</v>
      </c>
      <c r="P1211" s="83">
        <f>+IF(PROVEEDORES[[#This Row],[SUBTOTAL]]&lt;PROVEEDORES[[#This Row],[base retencion]],0,PROVEEDORES[[#This Row],[retención aplicada]])</f>
        <v>0</v>
      </c>
      <c r="Q1211" s="22">
        <f>+PROVEEDORES[[#This Row],[Rete Fuente %]]*(PROVEEDORES[[#This Row],[SUBTOTAL]]-PROVEEDORES[[#This Row],[descuento sobre subtotal]])</f>
        <v>0</v>
      </c>
      <c r="R1211" s="21">
        <f>+PROVEEDORES[[#This Row],[SUBTOTAL]]+PROVEEDORES[[#This Row],[IVA 19%]]-PROVEEDORES[[#This Row],[descuento sobre subtotal]]-PROVEEDORES[[#This Row],[Descuento sobre subtotal $2]]-PROVEEDORES[[#This Row],[Rete Fuente $]]</f>
        <v>1205003.52</v>
      </c>
      <c r="S121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68">
        <f ca="1">IF(PROVEEDORES[[#This Row],[FECHA DE PAGO]]=0,TODAY()-PROVEEDORES[[#This Row],[FECHA DE FACTURACIÓN]]-PROVEEDORES[[#This Row],[PLAZO Días]],0)</f>
        <v>0</v>
      </c>
      <c r="U1211" s="113" t="str">
        <f>+VLOOKUP(PROVEEDORES[[#This Row],[PROVEEDOR]],Terceros!$A:$D,4,FALSE)</f>
        <v>2,5% con base</v>
      </c>
      <c r="V1211" s="114">
        <f>+YEAR(PROVEEDORES[[#This Row],[FECHA DE FACTURACIÓN]])</f>
        <v>2022</v>
      </c>
      <c r="W1211" s="114">
        <f>+MATCH(PROVEEDORES[[#This Row],[año facturado]],Retenciones!$1:$1,0)</f>
        <v>5</v>
      </c>
      <c r="X1211" s="115">
        <f>+VLOOKUP(PROVEEDORES[[#This Row],[ID RETENCION]],Retenciones!$A$1:$O$25,PROVEEDORES[[#This Row],[indicador de columna]],FALSE)</f>
        <v>1026000</v>
      </c>
      <c r="Y1211" s="116">
        <f>+VLOOKUP(PROVEEDORES[[#This Row],[ID RETENCION]],Retenciones!$A$1:$O$25,2,FALSE)</f>
        <v>2.5000000000000001E-2</v>
      </c>
      <c r="Z1211" s="125" t="b">
        <f>OR(COUNTIF(PROVEEDORES[[#This Row],[PROVEEDOR]],"*"&amp;'Palabra no opera'!$A$2&amp;"*"))</f>
        <v>0</v>
      </c>
      <c r="AA1211" s="24"/>
      <c r="AB1211" s="24"/>
      <c r="AC1211" s="24"/>
      <c r="AD1211" s="24"/>
      <c r="AE1211" s="24"/>
    </row>
    <row r="1212" spans="1:31" ht="22.2" customHeight="1" x14ac:dyDescent="0.3">
      <c r="A1212" s="66" t="str">
        <f>+IF(PROVEEDORES[[#This Row],[FECHA DE PAGO]]=PROVEEDORES[[#This Row],[FECHA DE FACTURACIÓN]],"DE CONTADO","CRÉDITO")</f>
        <v>CRÉDITO</v>
      </c>
      <c r="B1212" s="38" t="str">
        <f>+IF((PROVEEDORES[[#This Row],[FECHA DE PAGO]]-PROVEEDORES[[#This Row],[FECHA DE FACTURACIÓN]])&gt;PROVEEDORES[[#This Row],[PLAZO Días]],"PAGO VENCIDO")</f>
        <v>PAGO VENCIDO</v>
      </c>
      <c r="C1212" s="20">
        <f>+VLOOKUP(PROVEEDORES[[#This Row],[PROVEEDOR]],TERCEROS_INFO[#All],2,FALSE)</f>
        <v>45</v>
      </c>
      <c r="D1212" s="25">
        <f>+SUMIFS(PROVEEDORES[Total],PROVEEDORES[PROVEEDOR],PROVEEDORES[[#This Row],[PROVEEDOR]],PROVEEDORES[FECHA DE PAGO],"")</f>
        <v>2604910</v>
      </c>
      <c r="E1212" s="25"/>
      <c r="F121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12" s="161">
        <v>44414</v>
      </c>
      <c r="H1212" s="26" t="s">
        <v>10</v>
      </c>
      <c r="I1212" s="161">
        <v>44363</v>
      </c>
      <c r="J1212" s="35" t="s">
        <v>355</v>
      </c>
      <c r="K1212" s="21">
        <v>1013000</v>
      </c>
      <c r="L1212" s="21"/>
      <c r="M1212" s="22">
        <f>(PROVEEDORES[[#This Row],[SUBTOTAL]]-PROVEEDORES[[#This Row],[descuento sobre subtotal]])*VLOOKUP(PROVEEDORES[[#This Row],[PROVEEDOR]],TERCEROS_INFO[#All],3,FALSE)</f>
        <v>192470</v>
      </c>
      <c r="N1212" s="23"/>
      <c r="O1212" s="22">
        <f>+PROVEEDORES[[#This Row],[Descuento sobre subtotal %]]*(PROVEEDORES[[#This Row],[SUBTOTAL]]-PROVEEDORES[[#This Row],[descuento sobre subtotal]])</f>
        <v>0</v>
      </c>
      <c r="P1212" s="83">
        <f>+IF(PROVEEDORES[[#This Row],[SUBTOTAL]]&lt;PROVEEDORES[[#This Row],[base retencion]],0,PROVEEDORES[[#This Row],[retención aplicada]])</f>
        <v>0</v>
      </c>
      <c r="Q1212" s="22">
        <f>+PROVEEDORES[[#This Row],[Rete Fuente %]]*(PROVEEDORES[[#This Row],[SUBTOTAL]]-PROVEEDORES[[#This Row],[descuento sobre subtotal]])</f>
        <v>0</v>
      </c>
      <c r="R1212" s="21">
        <f>+PROVEEDORES[[#This Row],[SUBTOTAL]]+PROVEEDORES[[#This Row],[IVA 19%]]-PROVEEDORES[[#This Row],[descuento sobre subtotal]]-PROVEEDORES[[#This Row],[Descuento sobre subtotal $2]]-PROVEEDORES[[#This Row],[Rete Fuente $]]</f>
        <v>1205470</v>
      </c>
      <c r="S12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68">
        <f ca="1">IF(PROVEEDORES[[#This Row],[FECHA DE PAGO]]=0,TODAY()-PROVEEDORES[[#This Row],[FECHA DE FACTURACIÓN]]-PROVEEDORES[[#This Row],[PLAZO Días]],0)</f>
        <v>0</v>
      </c>
      <c r="U1212" s="96">
        <f>+VLOOKUP(PROVEEDORES[[#This Row],[PROVEEDOR]],Terceros!$A:$D,4,FALSE)</f>
        <v>0</v>
      </c>
      <c r="V1212" s="97">
        <f>+YEAR(PROVEEDORES[[#This Row],[FECHA DE FACTURACIÓN]])</f>
        <v>2021</v>
      </c>
      <c r="W1212" s="97">
        <f>+MATCH(PROVEEDORES[[#This Row],[año facturado]],Retenciones!$1:$1,0)</f>
        <v>4</v>
      </c>
      <c r="X1212" s="98">
        <f>+VLOOKUP(PROVEEDORES[[#This Row],[ID RETENCION]],Retenciones!$A$1:$O$25,PROVEEDORES[[#This Row],[indicador de columna]],FALSE)</f>
        <v>0</v>
      </c>
      <c r="Y1212" s="99">
        <f>+VLOOKUP(PROVEEDORES[[#This Row],[ID RETENCION]],Retenciones!$A$1:$O$25,2,FALSE)</f>
        <v>0</v>
      </c>
      <c r="Z1212" s="125" t="b">
        <f>OR(COUNTIF(PROVEEDORES[[#This Row],[PROVEEDOR]],"*"&amp;'Palabra no opera'!$A$2&amp;"*"))</f>
        <v>0</v>
      </c>
      <c r="AA1212" s="24"/>
      <c r="AB1212" s="24"/>
      <c r="AC1212" s="24"/>
      <c r="AD1212" s="24"/>
      <c r="AE1212" s="24"/>
    </row>
    <row r="1213" spans="1:31" ht="22.2" customHeight="1" x14ac:dyDescent="0.3">
      <c r="A1213" s="66" t="str">
        <f>+IF(PROVEEDORES[[#This Row],[FECHA DE PAGO]]=PROVEEDORES[[#This Row],[FECHA DE FACTURACIÓN]],"DE CONTADO","CRÉDITO")</f>
        <v>CRÉDITO</v>
      </c>
      <c r="B1213" s="38" t="b">
        <f>+IF((PROVEEDORES[[#This Row],[FECHA DE PAGO]]-PROVEEDORES[[#This Row],[FECHA DE FACTURACIÓN]])&gt;PROVEEDORES[[#This Row],[PLAZO Días]],"PAGO VENCIDO")</f>
        <v>0</v>
      </c>
      <c r="C1213" s="20">
        <f>+VLOOKUP(PROVEEDORES[[#This Row],[PROVEEDOR]],TERCEROS_INFO[#All],2,FALSE)</f>
        <v>30</v>
      </c>
      <c r="D1213" s="25">
        <f>+SUMIFS(PROVEEDORES[Total],PROVEEDORES[PROVEEDOR],PROVEEDORES[[#This Row],[PROVEEDOR]],PROVEEDORES[FECHA DE PAGO],"")</f>
        <v>0</v>
      </c>
      <c r="E1213" s="25"/>
      <c r="F121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213" s="161">
        <v>44693</v>
      </c>
      <c r="H1213" s="26" t="s">
        <v>860</v>
      </c>
      <c r="I1213" s="161">
        <v>44663</v>
      </c>
      <c r="J1213" s="35" t="s">
        <v>862</v>
      </c>
      <c r="K1213" s="21">
        <v>1013201</v>
      </c>
      <c r="L1213" s="21"/>
      <c r="M1213" s="22">
        <f>(PROVEEDORES[[#This Row],[SUBTOTAL]]-PROVEEDORES[[#This Row],[descuento sobre subtotal]])*VLOOKUP(PROVEEDORES[[#This Row],[PROVEEDOR]],TERCEROS_INFO[#All],3,FALSE)</f>
        <v>192508.19</v>
      </c>
      <c r="N1213" s="23"/>
      <c r="O1213" s="22">
        <f>+PROVEEDORES[[#This Row],[Descuento sobre subtotal %]]*(PROVEEDORES[[#This Row],[SUBTOTAL]]-PROVEEDORES[[#This Row],[descuento sobre subtotal]])</f>
        <v>0</v>
      </c>
      <c r="P1213" s="83">
        <f>+IF(PROVEEDORES[[#This Row],[SUBTOTAL]]&lt;PROVEEDORES[[#This Row],[base retencion]],0,PROVEEDORES[[#This Row],[retención aplicada]])</f>
        <v>0</v>
      </c>
      <c r="Q1213" s="22">
        <f>+PROVEEDORES[[#This Row],[Rete Fuente %]]*(PROVEEDORES[[#This Row],[SUBTOTAL]]-PROVEEDORES[[#This Row],[descuento sobre subtotal]])</f>
        <v>0</v>
      </c>
      <c r="R1213" s="21">
        <f>+PROVEEDORES[[#This Row],[SUBTOTAL]]+PROVEEDORES[[#This Row],[IVA 19%]]-PROVEEDORES[[#This Row],[descuento sobre subtotal]]-PROVEEDORES[[#This Row],[Descuento sobre subtotal $2]]-PROVEEDORES[[#This Row],[Rete Fuente $]]</f>
        <v>1205709.19</v>
      </c>
      <c r="S12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68">
        <f ca="1">IF(PROVEEDORES[[#This Row],[FECHA DE PAGO]]=0,TODAY()-PROVEEDORES[[#This Row],[FECHA DE FACTURACIÓN]]-PROVEEDORES[[#This Row],[PLAZO Días]],0)</f>
        <v>0</v>
      </c>
      <c r="U1213" s="96">
        <f>+VLOOKUP(PROVEEDORES[[#This Row],[PROVEEDOR]],Terceros!$A:$D,4,FALSE)</f>
        <v>0</v>
      </c>
      <c r="V1213" s="97">
        <f>+YEAR(PROVEEDORES[[#This Row],[FECHA DE FACTURACIÓN]])</f>
        <v>2022</v>
      </c>
      <c r="W1213" s="97">
        <f>+MATCH(PROVEEDORES[[#This Row],[año facturado]],Retenciones!$1:$1,0)</f>
        <v>5</v>
      </c>
      <c r="X1213" s="98">
        <f>+VLOOKUP(PROVEEDORES[[#This Row],[ID RETENCION]],Retenciones!$A$1:$O$25,PROVEEDORES[[#This Row],[indicador de columna]],FALSE)</f>
        <v>0</v>
      </c>
      <c r="Y1213" s="99">
        <f>+VLOOKUP(PROVEEDORES[[#This Row],[ID RETENCION]],Retenciones!$A$1:$O$25,2,FALSE)</f>
        <v>0</v>
      </c>
      <c r="Z1213" s="125" t="b">
        <f>OR(COUNTIF(PROVEEDORES[[#This Row],[PROVEEDOR]],"*"&amp;'Palabra no opera'!$A$2&amp;"*"))</f>
        <v>0</v>
      </c>
      <c r="AA1213" s="24"/>
      <c r="AB1213" s="24"/>
      <c r="AC1213" s="24"/>
      <c r="AD1213" s="24"/>
      <c r="AE1213" s="24"/>
    </row>
    <row r="1214" spans="1:31" ht="22.2" customHeight="1" x14ac:dyDescent="0.3">
      <c r="A1214" s="66" t="str">
        <f>+IF(PROVEEDORES[[#This Row],[FECHA DE PAGO]]=PROVEEDORES[[#This Row],[FECHA DE FACTURACIÓN]],"DE CONTADO","CRÉDITO")</f>
        <v>CRÉDITO</v>
      </c>
      <c r="B1214" s="38" t="str">
        <f>+IF((PROVEEDORES[[#This Row],[FECHA DE PAGO]]-PROVEEDORES[[#This Row],[FECHA DE FACTURACIÓN]])&gt;PROVEEDORES[[#This Row],[PLAZO Días]],"PAGO VENCIDO")</f>
        <v>PAGO VENCIDO</v>
      </c>
      <c r="C1214" s="20">
        <f>+VLOOKUP(PROVEEDORES[[#This Row],[PROVEEDOR]],TERCEROS_INFO[#All],2,FALSE)</f>
        <v>30</v>
      </c>
      <c r="D1214" s="25">
        <f>+SUMIFS(PROVEEDORES[Total],PROVEEDORES[PROVEEDOR],PROVEEDORES[[#This Row],[PROVEEDOR]],PROVEEDORES[FECHA DE PAGO],"")</f>
        <v>23124164.219999999</v>
      </c>
      <c r="E1214" s="25"/>
      <c r="F121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4" s="161">
        <v>44662</v>
      </c>
      <c r="H1214" s="26" t="s">
        <v>18</v>
      </c>
      <c r="I1214" s="161">
        <v>44622</v>
      </c>
      <c r="J1214" s="35">
        <v>1050519</v>
      </c>
      <c r="K1214" s="21">
        <v>1020000</v>
      </c>
      <c r="L1214" s="21"/>
      <c r="M1214" s="22">
        <v>193800</v>
      </c>
      <c r="N1214" s="23"/>
      <c r="O1214" s="22">
        <v>0</v>
      </c>
      <c r="P1214" s="83">
        <f>+IF(PROVEEDORES[[#This Row],[SUBTOTAL]]&lt;PROVEEDORES[[#This Row],[base retencion]],0,PROVEEDORES[[#This Row],[retención aplicada]])</f>
        <v>0</v>
      </c>
      <c r="Q1214" s="22">
        <f>+PROVEEDORES[[#This Row],[Rete Fuente %]]*(PROVEEDORES[[#This Row],[SUBTOTAL]]-PROVEEDORES[[#This Row],[descuento sobre subtotal]])</f>
        <v>0</v>
      </c>
      <c r="R1214" s="21">
        <v>1213800</v>
      </c>
      <c r="S12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68">
        <f ca="1">IF(PROVEEDORES[[#This Row],[FECHA DE PAGO]]=0,TODAY()-PROVEEDORES[[#This Row],[FECHA DE FACTURACIÓN]]-PROVEEDORES[[#This Row],[PLAZO Días]],0)</f>
        <v>0</v>
      </c>
      <c r="U1214" s="96" t="str">
        <f>+VLOOKUP(PROVEEDORES[[#This Row],[PROVEEDOR]],Terceros!$A:$D,4,FALSE)</f>
        <v>2,5% con base</v>
      </c>
      <c r="V1214" s="97">
        <f>+YEAR(PROVEEDORES[[#This Row],[FECHA DE FACTURACIÓN]])</f>
        <v>2022</v>
      </c>
      <c r="W1214" s="97">
        <f>+MATCH(PROVEEDORES[[#This Row],[año facturado]],Retenciones!$1:$1,0)</f>
        <v>5</v>
      </c>
      <c r="X1214" s="98">
        <f>+VLOOKUP(PROVEEDORES[[#This Row],[ID RETENCION]],Retenciones!$A$1:$O$25,PROVEEDORES[[#This Row],[indicador de columna]],FALSE)</f>
        <v>1026000</v>
      </c>
      <c r="Y1214" s="99">
        <f>+VLOOKUP(PROVEEDORES[[#This Row],[ID RETENCION]],Retenciones!$A$1:$O$25,2,FALSE)</f>
        <v>2.5000000000000001E-2</v>
      </c>
      <c r="Z1214" s="125" t="b">
        <f>OR(COUNTIF(PROVEEDORES[[#This Row],[PROVEEDOR]],"*"&amp;'Palabra no opera'!$A$2&amp;"*"))</f>
        <v>0</v>
      </c>
      <c r="AA1214" s="24"/>
      <c r="AB1214" s="24"/>
      <c r="AC1214" s="24"/>
      <c r="AD1214" s="24"/>
      <c r="AE1214" s="24"/>
    </row>
    <row r="1215" spans="1:31" ht="22.2" customHeight="1" x14ac:dyDescent="0.3">
      <c r="A1215" s="66" t="str">
        <f>+IF(PROVEEDORES[[#This Row],[FECHA DE PAGO]]=PROVEEDORES[[#This Row],[FECHA DE FACTURACIÓN]],"DE CONTADO","CRÉDITO")</f>
        <v>CRÉDITO</v>
      </c>
      <c r="B1215" s="38" t="str">
        <f>+IF((PROVEEDORES[[#This Row],[FECHA DE PAGO]]-PROVEEDORES[[#This Row],[FECHA DE FACTURACIÓN]])&gt;PROVEEDORES[[#This Row],[PLAZO Días]],"PAGO VENCIDO")</f>
        <v>PAGO VENCIDO</v>
      </c>
      <c r="C1215" s="20">
        <f>+VLOOKUP(PROVEEDORES[[#This Row],[PROVEEDOR]],TERCEROS_INFO[#All],2,FALSE)</f>
        <v>30</v>
      </c>
      <c r="D1215" s="25">
        <f>+SUMIFS(PROVEEDORES[Total],PROVEEDORES[PROVEEDOR],PROVEEDORES[[#This Row],[PROVEEDOR]],PROVEEDORES[FECHA DE PAGO],"")</f>
        <v>2318500</v>
      </c>
      <c r="E1215" s="25"/>
      <c r="F1215" s="58" t="str">
        <f>+VLOOKUP(PROVEEDORES[[#This Row],[PROVEEDOR]],
                       Terceros!$A:$F,
                       5,
                       FALSE)</f>
        <v/>
      </c>
      <c r="G1215" s="161">
        <v>44211</v>
      </c>
      <c r="H1215" s="26" t="s">
        <v>629</v>
      </c>
      <c r="I1215" s="161">
        <v>44150</v>
      </c>
      <c r="J1215" s="35"/>
      <c r="K1215" s="21">
        <v>1216000</v>
      </c>
      <c r="L1215" s="21"/>
      <c r="M1215" s="22">
        <f>(PROVEEDORES[[#This Row],[SUBTOTAL]]-PROVEEDORES[[#This Row],[descuento sobre subtotal]])*VLOOKUP(PROVEEDORES[[#This Row],[PROVEEDOR]],TERCEROS_INFO[#All],3,FALSE)</f>
        <v>0</v>
      </c>
      <c r="N1215" s="23"/>
      <c r="O1215" s="22">
        <f>+PROVEEDORES[[#This Row],[Descuento sobre subtotal %]]*(PROVEEDORES[[#This Row],[SUBTOTAL]]-PROVEEDORES[[#This Row],[descuento sobre subtotal]])</f>
        <v>0</v>
      </c>
      <c r="P1215" s="83">
        <f>+IF(PROVEEDORES[[#This Row],[SUBTOTAL]]&lt;PROVEEDORES[[#This Row],[base retencion]],0,PROVEEDORES[[#This Row],[retención aplicada]])</f>
        <v>0</v>
      </c>
      <c r="Q1215" s="22">
        <f>+PROVEEDORES[[#This Row],[Rete Fuente %]]*(PROVEEDORES[[#This Row],[SUBTOTAL]]-PROVEEDORES[[#This Row],[descuento sobre subtotal]])</f>
        <v>0</v>
      </c>
      <c r="R1215" s="21">
        <f>+PROVEEDORES[[#This Row],[SUBTOTAL]]+PROVEEDORES[[#This Row],[IVA 19%]]-PROVEEDORES[[#This Row],[descuento sobre subtotal]]-PROVEEDORES[[#This Row],[Descuento sobre subtotal $2]]-PROVEEDORES[[#This Row],[Rete Fuente $]]</f>
        <v>1216000</v>
      </c>
      <c r="S12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68">
        <f ca="1">IF(PROVEEDORES[[#This Row],[FECHA DE PAGO]]=0,TODAY()-PROVEEDORES[[#This Row],[FECHA DE FACTURACIÓN]]-PROVEEDORES[[#This Row],[PLAZO Días]],0)</f>
        <v>0</v>
      </c>
      <c r="U1215" s="96">
        <f>+VLOOKUP(PROVEEDORES[[#This Row],[PROVEEDOR]],Terceros!$A:$D,4,FALSE)</f>
        <v>0</v>
      </c>
      <c r="V1215" s="97">
        <f>+YEAR(PROVEEDORES[[#This Row],[FECHA DE FACTURACIÓN]])</f>
        <v>2020</v>
      </c>
      <c r="W1215" s="97">
        <f>+MATCH(PROVEEDORES[[#This Row],[año facturado]],Retenciones!$1:$1,0)</f>
        <v>3</v>
      </c>
      <c r="X1215" s="98">
        <f>+VLOOKUP(PROVEEDORES[[#This Row],[ID RETENCION]],Retenciones!$A$1:$O$25,PROVEEDORES[[#This Row],[indicador de columna]],FALSE)</f>
        <v>0</v>
      </c>
      <c r="Y1215" s="99">
        <f>+VLOOKUP(PROVEEDORES[[#This Row],[ID RETENCION]],Retenciones!$A$1:$O$25,2,FALSE)</f>
        <v>0</v>
      </c>
      <c r="Z1215" s="125" t="b">
        <f>OR(COUNTIF(PROVEEDORES[[#This Row],[PROVEEDOR]],"*"&amp;'Palabra no opera'!$A$2&amp;"*"))</f>
        <v>0</v>
      </c>
      <c r="AA1215" s="24"/>
      <c r="AB1215" s="24"/>
      <c r="AC1215" s="24"/>
      <c r="AD1215" s="24"/>
      <c r="AE1215" s="24"/>
    </row>
    <row r="1216" spans="1:31" ht="22.2" customHeight="1" x14ac:dyDescent="0.3">
      <c r="A1216" s="72" t="str">
        <f>+IF(PROVEEDORES[[#This Row],[FECHA DE PAGO]]=PROVEEDORES[[#This Row],[FECHA DE FACTURACIÓN]],"DE CONTADO","CRÉDITO")</f>
        <v>CRÉDITO</v>
      </c>
      <c r="B1216" s="38" t="str">
        <f>+IF((PROVEEDORES[[#This Row],[FECHA DE PAGO]]-PROVEEDORES[[#This Row],[FECHA DE FACTURACIÓN]])&gt;PROVEEDORES[[#This Row],[PLAZO Días]],"PAGO VENCIDO")</f>
        <v>PAGO VENCIDO</v>
      </c>
      <c r="C1216" s="20">
        <f>+VLOOKUP(PROVEEDORES[[#This Row],[PROVEEDOR]],TERCEROS_INFO[#All],2,FALSE)</f>
        <v>30</v>
      </c>
      <c r="D1216" s="25">
        <f>+SUMIFS(PROVEEDORES[Total],PROVEEDORES[PROVEEDOR],PROVEEDORES[[#This Row],[PROVEEDOR]],PROVEEDORES[FECHA DE PAGO],"")</f>
        <v>0</v>
      </c>
      <c r="E1216" s="25"/>
      <c r="F121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16" s="161">
        <v>44867</v>
      </c>
      <c r="H1216" s="26" t="s">
        <v>1637</v>
      </c>
      <c r="I1216" s="161">
        <v>44831</v>
      </c>
      <c r="J1216" s="35">
        <v>27542</v>
      </c>
      <c r="K1216" s="21">
        <v>1044000</v>
      </c>
      <c r="L1216" s="21"/>
      <c r="M1216" s="22">
        <f>(PROVEEDORES[[#This Row],[SUBTOTAL]]-PROVEEDORES[[#This Row],[descuento sobre subtotal]])*VLOOKUP(PROVEEDORES[[#This Row],[PROVEEDOR]],TERCEROS_INFO[#All],3,FALSE)</f>
        <v>198360</v>
      </c>
      <c r="N1216" s="23"/>
      <c r="O1216" s="22">
        <f>+PROVEEDORES[[#This Row],[Descuento sobre subtotal %]]*(PROVEEDORES[[#This Row],[SUBTOTAL]]-PROVEEDORES[[#This Row],[descuento sobre subtotal]])</f>
        <v>0</v>
      </c>
      <c r="P1216" s="83">
        <f>+IF(PROVEEDORES[[#This Row],[SUBTOTAL]]&lt;PROVEEDORES[[#This Row],[base retencion]],0,PROVEEDORES[[#This Row],[retención aplicada]])</f>
        <v>2.5000000000000001E-2</v>
      </c>
      <c r="Q1216" s="22">
        <f>+PROVEEDORES[[#This Row],[Rete Fuente %]]*(PROVEEDORES[[#This Row],[SUBTOTAL]]-PROVEEDORES[[#This Row],[descuento sobre subtotal]])</f>
        <v>26100</v>
      </c>
      <c r="R1216" s="21">
        <f>+PROVEEDORES[[#This Row],[SUBTOTAL]]+PROVEEDORES[[#This Row],[IVA 19%]]-PROVEEDORES[[#This Row],[descuento sobre subtotal]]-PROVEEDORES[[#This Row],[Descuento sobre subtotal $2]]-PROVEEDORES[[#This Row],[Rete Fuente $]]</f>
        <v>1216260</v>
      </c>
      <c r="S121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68">
        <f ca="1">IF(PROVEEDORES[[#This Row],[FECHA DE PAGO]]=0,TODAY()-PROVEEDORES[[#This Row],[FECHA DE FACTURACIÓN]]-PROVEEDORES[[#This Row],[PLAZO Días]],0)</f>
        <v>0</v>
      </c>
      <c r="U1216" s="113" t="str">
        <f>+VLOOKUP(PROVEEDORES[[#This Row],[PROVEEDOR]],Terceros!$A:$D,4,FALSE)</f>
        <v>2,5% con base</v>
      </c>
      <c r="V1216" s="114">
        <f>+YEAR(PROVEEDORES[[#This Row],[FECHA DE FACTURACIÓN]])</f>
        <v>2022</v>
      </c>
      <c r="W1216" s="114">
        <f>+MATCH(PROVEEDORES[[#This Row],[año facturado]],Retenciones!$1:$1,0)</f>
        <v>5</v>
      </c>
      <c r="X1216" s="115">
        <f>+VLOOKUP(PROVEEDORES[[#This Row],[ID RETENCION]],Retenciones!$A$1:$O$25,PROVEEDORES[[#This Row],[indicador de columna]],FALSE)</f>
        <v>1026000</v>
      </c>
      <c r="Y1216" s="116">
        <f>+VLOOKUP(PROVEEDORES[[#This Row],[ID RETENCION]],Retenciones!$A$1:$O$25,2,FALSE)</f>
        <v>2.5000000000000001E-2</v>
      </c>
      <c r="Z1216" s="125" t="b">
        <f>OR(COUNTIF(PROVEEDORES[[#This Row],[PROVEEDOR]],"*"&amp;'Palabra no opera'!$A$2&amp;"*"))</f>
        <v>0</v>
      </c>
      <c r="AA1216" s="24"/>
      <c r="AB1216" s="24"/>
      <c r="AC1216" s="24"/>
      <c r="AD1216" s="24"/>
      <c r="AE1216" s="24"/>
    </row>
    <row r="1217" spans="1:31" ht="22.2" customHeight="1" x14ac:dyDescent="0.3">
      <c r="A1217" s="66" t="str">
        <f>+IF(PROVEEDORES[[#This Row],[FECHA DE PAGO]]=PROVEEDORES[[#This Row],[FECHA DE FACTURACIÓN]],"DE CONTADO","CRÉDITO")</f>
        <v>CRÉDITO</v>
      </c>
      <c r="B1217" s="38" t="b">
        <f>+IF((PROVEEDORES[[#This Row],[FECHA DE PAGO]]-PROVEEDORES[[#This Row],[FECHA DE FACTURACIÓN]])&gt;PROVEEDORES[[#This Row],[PLAZO Días]],"PAGO VENCIDO")</f>
        <v>0</v>
      </c>
      <c r="C1217" s="20">
        <f>+VLOOKUP(PROVEEDORES[[#This Row],[PROVEEDOR]],TERCEROS_INFO[#All],2,FALSE)</f>
        <v>30</v>
      </c>
      <c r="D1217" s="25">
        <f>+SUMIFS(PROVEEDORES[Total],PROVEEDORES[PROVEEDOR],PROVEEDORES[[#This Row],[PROVEEDOR]],PROVEEDORES[FECHA DE PAGO],"")</f>
        <v>0</v>
      </c>
      <c r="E1217" s="25"/>
      <c r="F1217" s="58" t="str">
        <f>+VLOOKUP(PROVEEDORES[[#This Row],[PROVEEDOR]],
                       Terceros!$A:$F,
                       5,
                       FALSE)</f>
        <v/>
      </c>
      <c r="G1217" s="161">
        <v>44484</v>
      </c>
      <c r="H1217" s="26" t="s">
        <v>1130</v>
      </c>
      <c r="I1217" s="161">
        <v>44466</v>
      </c>
      <c r="J1217" s="35" t="s">
        <v>1311</v>
      </c>
      <c r="K1217" s="21">
        <v>1217933</v>
      </c>
      <c r="L1217" s="21"/>
      <c r="M1217" s="22">
        <f>(PROVEEDORES[[#This Row],[SUBTOTAL]]-PROVEEDORES[[#This Row],[descuento sobre subtotal]])*VLOOKUP(PROVEEDORES[[#This Row],[PROVEEDOR]],TERCEROS_INFO[#All],3,FALSE)</f>
        <v>0</v>
      </c>
      <c r="N1217" s="23"/>
      <c r="O1217" s="22">
        <f>+PROVEEDORES[[#This Row],[Descuento sobre subtotal %]]*(PROVEEDORES[[#This Row],[SUBTOTAL]]-PROVEEDORES[[#This Row],[descuento sobre subtotal]])</f>
        <v>0</v>
      </c>
      <c r="P1217" s="83">
        <f>+IF(PROVEEDORES[[#This Row],[SUBTOTAL]]&lt;PROVEEDORES[[#This Row],[base retencion]],0,PROVEEDORES[[#This Row],[retención aplicada]])</f>
        <v>0</v>
      </c>
      <c r="Q1217" s="22">
        <f>+PROVEEDORES[[#This Row],[Rete Fuente %]]*(PROVEEDORES[[#This Row],[SUBTOTAL]]-PROVEEDORES[[#This Row],[descuento sobre subtotal]])</f>
        <v>0</v>
      </c>
      <c r="R1217" s="21">
        <f>+PROVEEDORES[[#This Row],[SUBTOTAL]]+PROVEEDORES[[#This Row],[IVA 19%]]-PROVEEDORES[[#This Row],[descuento sobre subtotal]]-PROVEEDORES[[#This Row],[Descuento sobre subtotal $2]]-PROVEEDORES[[#This Row],[Rete Fuente $]]</f>
        <v>1217933</v>
      </c>
      <c r="S12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68">
        <f ca="1">IF(PROVEEDORES[[#This Row],[FECHA DE PAGO]]=0,TODAY()-PROVEEDORES[[#This Row],[FECHA DE FACTURACIÓN]]-PROVEEDORES[[#This Row],[PLAZO Días]],0)</f>
        <v>0</v>
      </c>
      <c r="U1217" s="96">
        <f>+VLOOKUP(PROVEEDORES[[#This Row],[PROVEEDOR]],Terceros!$A:$D,4,FALSE)</f>
        <v>0</v>
      </c>
      <c r="V1217" s="97">
        <f>+YEAR(PROVEEDORES[[#This Row],[FECHA DE FACTURACIÓN]])</f>
        <v>2021</v>
      </c>
      <c r="W1217" s="97">
        <f>+MATCH(PROVEEDORES[[#This Row],[año facturado]],Retenciones!$1:$1,0)</f>
        <v>4</v>
      </c>
      <c r="X1217" s="98">
        <f>+VLOOKUP(PROVEEDORES[[#This Row],[ID RETENCION]],Retenciones!$A$1:$O$25,PROVEEDORES[[#This Row],[indicador de columna]],FALSE)</f>
        <v>0</v>
      </c>
      <c r="Y1217" s="99">
        <f>+VLOOKUP(PROVEEDORES[[#This Row],[ID RETENCION]],Retenciones!$A$1:$O$25,2,FALSE)</f>
        <v>0</v>
      </c>
      <c r="Z1217" s="125" t="b">
        <f>OR(COUNTIF(PROVEEDORES[[#This Row],[PROVEEDOR]],"*"&amp;'Palabra no opera'!$A$2&amp;"*"))</f>
        <v>1</v>
      </c>
      <c r="AA1217" s="24"/>
      <c r="AB1217" s="24"/>
      <c r="AC1217" s="24"/>
      <c r="AD1217" s="24"/>
      <c r="AE1217" s="24"/>
    </row>
    <row r="1218" spans="1:31" ht="22.2" customHeight="1" x14ac:dyDescent="0.3">
      <c r="A1218" s="72" t="str">
        <f>+IF(PROVEEDORES[[#This Row],[FECHA DE PAGO]]=PROVEEDORES[[#This Row],[FECHA DE FACTURACIÓN]],"DE CONTADO","CRÉDITO")</f>
        <v>CRÉDITO</v>
      </c>
      <c r="B1218" s="38" t="str">
        <f>+IF((PROVEEDORES[[#This Row],[FECHA DE PAGO]]-PROVEEDORES[[#This Row],[FECHA DE FACTURACIÓN]])&gt;PROVEEDORES[[#This Row],[PLAZO Días]],"PAGO VENCIDO")</f>
        <v>PAGO VENCIDO</v>
      </c>
      <c r="C1218" s="20">
        <f>+VLOOKUP(PROVEEDORES[[#This Row],[PROVEEDOR]],TERCEROS_INFO[#All],2,FALSE)</f>
        <v>30</v>
      </c>
      <c r="D1218" s="25">
        <f>+SUMIFS(PROVEEDORES[Total],PROVEEDORES[PROVEEDOR],PROVEEDORES[[#This Row],[PROVEEDOR]],PROVEEDORES[FECHA DE PAGO],"")</f>
        <v>2121000</v>
      </c>
      <c r="E1218" s="25"/>
      <c r="F121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218" s="161">
        <v>44804</v>
      </c>
      <c r="H1218" s="26" t="s">
        <v>685</v>
      </c>
      <c r="I1218" s="161">
        <v>44760</v>
      </c>
      <c r="J1218" s="35" t="s">
        <v>1620</v>
      </c>
      <c r="K1218" s="21">
        <v>1225000</v>
      </c>
      <c r="L1218" s="21"/>
      <c r="M1218" s="22">
        <f>(PROVEEDORES[[#This Row],[SUBTOTAL]]-PROVEEDORES[[#This Row],[descuento sobre subtotal]])*VLOOKUP(PROVEEDORES[[#This Row],[PROVEEDOR]],TERCEROS_INFO[#All],3,FALSE)</f>
        <v>0</v>
      </c>
      <c r="N1218" s="23"/>
      <c r="O1218" s="22">
        <f>+PROVEEDORES[[#This Row],[Descuento sobre subtotal %]]*(PROVEEDORES[[#This Row],[SUBTOTAL]]-PROVEEDORES[[#This Row],[descuento sobre subtotal]])</f>
        <v>0</v>
      </c>
      <c r="P1218" s="83">
        <f>+IF(PROVEEDORES[[#This Row],[SUBTOTAL]]&lt;PROVEEDORES[[#This Row],[base retencion]],0,PROVEEDORES[[#This Row],[retención aplicada]])</f>
        <v>0</v>
      </c>
      <c r="Q1218" s="22">
        <f>+PROVEEDORES[[#This Row],[Rete Fuente %]]*(PROVEEDORES[[#This Row],[SUBTOTAL]]-PROVEEDORES[[#This Row],[descuento sobre subtotal]])</f>
        <v>0</v>
      </c>
      <c r="R1218" s="21">
        <f>+PROVEEDORES[[#This Row],[SUBTOTAL]]+PROVEEDORES[[#This Row],[IVA 19%]]-PROVEEDORES[[#This Row],[descuento sobre subtotal]]-PROVEEDORES[[#This Row],[Descuento sobre subtotal $2]]-PROVEEDORES[[#This Row],[Rete Fuente $]]</f>
        <v>1225000</v>
      </c>
      <c r="S121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68">
        <f ca="1">IF(PROVEEDORES[[#This Row],[FECHA DE PAGO]]=0,TODAY()-PROVEEDORES[[#This Row],[FECHA DE FACTURACIÓN]]-PROVEEDORES[[#This Row],[PLAZO Días]],0)</f>
        <v>0</v>
      </c>
      <c r="U1218" s="113">
        <f>+VLOOKUP(PROVEEDORES[[#This Row],[PROVEEDOR]],Terceros!$A:$D,4,FALSE)</f>
        <v>0</v>
      </c>
      <c r="V1218" s="114">
        <f>+YEAR(PROVEEDORES[[#This Row],[FECHA DE FACTURACIÓN]])</f>
        <v>2022</v>
      </c>
      <c r="W1218" s="114">
        <f>+MATCH(PROVEEDORES[[#This Row],[año facturado]],Retenciones!$1:$1,0)</f>
        <v>5</v>
      </c>
      <c r="X1218" s="115">
        <f>+VLOOKUP(PROVEEDORES[[#This Row],[ID RETENCION]],Retenciones!$A$1:$O$25,PROVEEDORES[[#This Row],[indicador de columna]],FALSE)</f>
        <v>0</v>
      </c>
      <c r="Y1218" s="116">
        <f>+VLOOKUP(PROVEEDORES[[#This Row],[ID RETENCION]],Retenciones!$A$1:$O$25,2,FALSE)</f>
        <v>0</v>
      </c>
      <c r="Z1218" s="125" t="b">
        <f>OR(COUNTIF(PROVEEDORES[[#This Row],[PROVEEDOR]],"*"&amp;'Palabra no opera'!$A$2&amp;"*"))</f>
        <v>0</v>
      </c>
      <c r="AA1218" s="24"/>
      <c r="AB1218" s="24"/>
      <c r="AC1218" s="24"/>
      <c r="AD1218" s="24"/>
      <c r="AE1218" s="24"/>
    </row>
    <row r="1219" spans="1:31" ht="22.2" customHeight="1" x14ac:dyDescent="0.3">
      <c r="A1219" s="207" t="str">
        <f>+IF(PROVEEDORES[[#This Row],[FECHA DE PAGO]]=PROVEEDORES[[#This Row],[FECHA DE FACTURACIÓN]],"DE CONTADO","CRÉDITO")</f>
        <v>CRÉDITO</v>
      </c>
      <c r="B1219" s="38" t="b">
        <f>+IF((PROVEEDORES[[#This Row],[FECHA DE PAGO]]-PROVEEDORES[[#This Row],[FECHA DE FACTURACIÓN]])&gt;PROVEEDORES[[#This Row],[PLAZO Días]],"PAGO VENCIDO")</f>
        <v>0</v>
      </c>
      <c r="C1219" s="20">
        <f>+VLOOKUP(PROVEEDORES[[#This Row],[PROVEEDOR]],TERCEROS_INFO[#All],2,FALSE)</f>
        <v>30</v>
      </c>
      <c r="D1219" s="25">
        <f>+SUMIFS(PROVEEDORES[Total],PROVEEDORES[PROVEEDOR],PROVEEDORES[[#This Row],[PROVEEDOR]],PROVEEDORES[FECHA DE PAGO],"")</f>
        <v>0</v>
      </c>
      <c r="E1219" s="25"/>
      <c r="F1219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219" s="161">
        <v>44796</v>
      </c>
      <c r="H1219" s="26" t="s">
        <v>1127</v>
      </c>
      <c r="I1219" s="161">
        <v>44795</v>
      </c>
      <c r="J1219" s="35" t="s">
        <v>1428</v>
      </c>
      <c r="K1219" s="21">
        <v>1259000</v>
      </c>
      <c r="L1219" s="21"/>
      <c r="M1219" s="22">
        <v>0</v>
      </c>
      <c r="N1219" s="23"/>
      <c r="O1219" s="22">
        <f>+PROVEEDORES[[#This Row],[Descuento sobre subtotal %]]*(PROVEEDORES[[#This Row],[SUBTOTAL]]-PROVEEDORES[[#This Row],[descuento sobre subtotal]])</f>
        <v>0</v>
      </c>
      <c r="P1219" s="83">
        <f>+IF(PROVEEDORES[[#This Row],[SUBTOTAL]]&lt;PROVEEDORES[[#This Row],[base retencion]],0,PROVEEDORES[[#This Row],[retención aplicada]])</f>
        <v>2.5000000000000001E-2</v>
      </c>
      <c r="Q1219" s="22">
        <f>+PROVEEDORES[[#This Row],[Rete Fuente %]]*(PROVEEDORES[[#This Row],[SUBTOTAL]]-PROVEEDORES[[#This Row],[descuento sobre subtotal]])</f>
        <v>31475</v>
      </c>
      <c r="R1219" s="21">
        <f>+PROVEEDORES[[#This Row],[SUBTOTAL]]+PROVEEDORES[[#This Row],[IVA 19%]]-PROVEEDORES[[#This Row],[descuento sobre subtotal]]-PROVEEDORES[[#This Row],[Descuento sobre subtotal $2]]-PROVEEDORES[[#This Row],[Rete Fuente $]]</f>
        <v>1227525</v>
      </c>
      <c r="S1219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68">
        <f ca="1">IF(PROVEEDORES[[#This Row],[FECHA DE PAGO]]=0,TODAY()-PROVEEDORES[[#This Row],[FECHA DE FACTURACIÓN]]-PROVEEDORES[[#This Row],[PLAZO Días]],0)</f>
        <v>0</v>
      </c>
      <c r="U1219" s="113" t="str">
        <f>+VLOOKUP(PROVEEDORES[[#This Row],[PROVEEDOR]],Terceros!$A:$D,4,FALSE)</f>
        <v>2,5% con base</v>
      </c>
      <c r="V1219" s="114">
        <f>+YEAR(PROVEEDORES[[#This Row],[FECHA DE FACTURACIÓN]])</f>
        <v>2022</v>
      </c>
      <c r="W1219" s="114">
        <f>+MATCH(PROVEEDORES[[#This Row],[año facturado]],Retenciones!$1:$1,0)</f>
        <v>5</v>
      </c>
      <c r="X1219" s="115">
        <f>+VLOOKUP(PROVEEDORES[[#This Row],[ID RETENCION]],Retenciones!$A$1:$O$25,PROVEEDORES[[#This Row],[indicador de columna]],FALSE)</f>
        <v>1026000</v>
      </c>
      <c r="Y1219" s="116">
        <f>+VLOOKUP(PROVEEDORES[[#This Row],[ID RETENCION]],Retenciones!$A$1:$O$25,2,FALSE)</f>
        <v>2.5000000000000001E-2</v>
      </c>
      <c r="Z1219" s="125" t="b">
        <f>OR(COUNTIF(PROVEEDORES[[#This Row],[PROVEEDOR]],"*"&amp;'Palabra no opera'!$A$2&amp;"*"))</f>
        <v>1</v>
      </c>
      <c r="AA1219" s="24"/>
      <c r="AB1219" s="24"/>
      <c r="AC1219" s="24"/>
      <c r="AD1219" s="24"/>
      <c r="AE1219" s="24"/>
    </row>
    <row r="1220" spans="1:31" ht="22.2" customHeight="1" x14ac:dyDescent="0.3">
      <c r="A1220" s="66" t="str">
        <f>+IF(PROVEEDORES[[#This Row],[FECHA DE PAGO]]=PROVEEDORES[[#This Row],[FECHA DE FACTURACIÓN]],"DE CONTADO","CRÉDITO")</f>
        <v>CRÉDITO</v>
      </c>
      <c r="B1220" s="38" t="str">
        <f>+IF((PROVEEDORES[[#This Row],[FECHA DE PAGO]]-PROVEEDORES[[#This Row],[FECHA DE FACTURACIÓN]])&gt;PROVEEDORES[[#This Row],[PLAZO Días]],"PAGO VENCIDO")</f>
        <v>PAGO VENCIDO</v>
      </c>
      <c r="C1220" s="20">
        <f>+VLOOKUP(PROVEEDORES[[#This Row],[PROVEEDOR]],TERCEROS_INFO[#All],2,FALSE)</f>
        <v>30</v>
      </c>
      <c r="D1220" s="25">
        <f>+SUMIFS(PROVEEDORES[Total],PROVEEDORES[PROVEEDOR],PROVEEDORES[[#This Row],[PROVEEDOR]],PROVEEDORES[FECHA DE PAGO],"")</f>
        <v>0</v>
      </c>
      <c r="E1220" s="25"/>
      <c r="F122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20" s="161">
        <v>44588</v>
      </c>
      <c r="H1220" s="26" t="s">
        <v>20</v>
      </c>
      <c r="I1220" s="161">
        <v>44539</v>
      </c>
      <c r="J1220" s="35">
        <v>5819</v>
      </c>
      <c r="K1220" s="21">
        <v>1053853.1000000001</v>
      </c>
      <c r="L1220" s="21"/>
      <c r="M1220" s="22">
        <v>200232.08900000001</v>
      </c>
      <c r="N1220" s="23"/>
      <c r="O1220" s="22">
        <v>0</v>
      </c>
      <c r="P1220" s="83">
        <f>+IF(PROVEEDORES[[#This Row],[SUBTOTAL]]&lt;PROVEEDORES[[#This Row],[base retencion]],0,PROVEEDORES[[#This Row],[retención aplicada]])</f>
        <v>2.5000000000000001E-2</v>
      </c>
      <c r="Q1220" s="22">
        <f>+PROVEEDORES[[#This Row],[Rete Fuente %]]*(PROVEEDORES[[#This Row],[SUBTOTAL]]-PROVEEDORES[[#This Row],[descuento sobre subtotal]])</f>
        <v>26346.327500000003</v>
      </c>
      <c r="R1220" s="21">
        <v>1227738.8615000001</v>
      </c>
      <c r="S12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68">
        <f ca="1">IF(PROVEEDORES[[#This Row],[FECHA DE PAGO]]=0,TODAY()-PROVEEDORES[[#This Row],[FECHA DE FACTURACIÓN]]-PROVEEDORES[[#This Row],[PLAZO Días]],0)</f>
        <v>0</v>
      </c>
      <c r="U1220" s="96" t="str">
        <f>+VLOOKUP(PROVEEDORES[[#This Row],[PROVEEDOR]],Terceros!$A:$D,4,FALSE)</f>
        <v>2,5% con base</v>
      </c>
      <c r="V1220" s="97">
        <f>+YEAR(PROVEEDORES[[#This Row],[FECHA DE FACTURACIÓN]])</f>
        <v>2021</v>
      </c>
      <c r="W1220" s="97">
        <f>+MATCH(PROVEEDORES[[#This Row],[año facturado]],Retenciones!$1:$1,0)</f>
        <v>4</v>
      </c>
      <c r="X1220" s="98">
        <f>+VLOOKUP(PROVEEDORES[[#This Row],[ID RETENCION]],Retenciones!$A$1:$O$25,PROVEEDORES[[#This Row],[indicador de columna]],FALSE)</f>
        <v>980000</v>
      </c>
      <c r="Y1220" s="99">
        <f>+VLOOKUP(PROVEEDORES[[#This Row],[ID RETENCION]],Retenciones!$A$1:$O$25,2,FALSE)</f>
        <v>2.5000000000000001E-2</v>
      </c>
      <c r="Z1220" s="125" t="b">
        <f>OR(COUNTIF(PROVEEDORES[[#This Row],[PROVEEDOR]],"*"&amp;'Palabra no opera'!$A$2&amp;"*"))</f>
        <v>0</v>
      </c>
      <c r="AA1220" s="24"/>
      <c r="AB1220" s="24"/>
      <c r="AC1220" s="24"/>
      <c r="AD1220" s="24"/>
      <c r="AE1220" s="24"/>
    </row>
    <row r="1221" spans="1:31" ht="22.2" customHeight="1" x14ac:dyDescent="0.3">
      <c r="A1221" s="66" t="str">
        <f>+IF(PROVEEDORES[[#This Row],[FECHA DE PAGO]]=PROVEEDORES[[#This Row],[FECHA DE FACTURACIÓN]],"DE CONTADO","CRÉDITO")</f>
        <v>CRÉDITO</v>
      </c>
      <c r="B1221" s="38" t="str">
        <f>+IF((PROVEEDORES[[#This Row],[FECHA DE PAGO]]-PROVEEDORES[[#This Row],[FECHA DE FACTURACIÓN]])&gt;PROVEEDORES[[#This Row],[PLAZO Días]],"PAGO VENCIDO")</f>
        <v>PAGO VENCIDO</v>
      </c>
      <c r="C1221" s="20">
        <f>+VLOOKUP(PROVEEDORES[[#This Row],[PROVEEDOR]],TERCEROS_INFO[#All],2,FALSE)</f>
        <v>30</v>
      </c>
      <c r="D1221" s="25">
        <f>+SUMIFS(PROVEEDORES[Total],PROVEEDORES[PROVEEDOR],PROVEEDORES[[#This Row],[PROVEEDOR]],PROVEEDORES[FECHA DE PAGO],"")</f>
        <v>1127400.05</v>
      </c>
      <c r="E1221" s="25"/>
      <c r="F122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221" s="161">
        <v>44452</v>
      </c>
      <c r="H1221" s="26" t="s">
        <v>47</v>
      </c>
      <c r="I1221" s="161">
        <v>44417</v>
      </c>
      <c r="J1221" s="35">
        <v>30483</v>
      </c>
      <c r="K1221" s="21">
        <v>1054338</v>
      </c>
      <c r="L1221" s="21"/>
      <c r="M1221" s="22">
        <f>(PROVEEDORES[[#This Row],[SUBTOTAL]]-PROVEEDORES[[#This Row],[descuento sobre subtotal]])*VLOOKUP(PROVEEDORES[[#This Row],[PROVEEDOR]],TERCEROS_INFO[#All],3,FALSE)</f>
        <v>200324.22</v>
      </c>
      <c r="N1221" s="23"/>
      <c r="O1221" s="22">
        <f>+PROVEEDORES[[#This Row],[Descuento sobre subtotal %]]*(PROVEEDORES[[#This Row],[SUBTOTAL]]-PROVEEDORES[[#This Row],[descuento sobre subtotal]])</f>
        <v>0</v>
      </c>
      <c r="P1221" s="83">
        <f>+IF(PROVEEDORES[[#This Row],[SUBTOTAL]]&lt;PROVEEDORES[[#This Row],[base retencion]],0,PROVEEDORES[[#This Row],[retención aplicada]])</f>
        <v>2.5000000000000001E-2</v>
      </c>
      <c r="Q1221" s="22">
        <f>+PROVEEDORES[[#This Row],[Rete Fuente %]]*(PROVEEDORES[[#This Row],[SUBTOTAL]]-PROVEEDORES[[#This Row],[descuento sobre subtotal]])</f>
        <v>26358.45</v>
      </c>
      <c r="R1221" s="21">
        <f>+PROVEEDORES[[#This Row],[SUBTOTAL]]+PROVEEDORES[[#This Row],[IVA 19%]]-PROVEEDORES[[#This Row],[descuento sobre subtotal]]-PROVEEDORES[[#This Row],[Descuento sobre subtotal $2]]-PROVEEDORES[[#This Row],[Rete Fuente $]]</f>
        <v>1228303.77</v>
      </c>
      <c r="S12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68">
        <f ca="1">IF(PROVEEDORES[[#This Row],[FECHA DE PAGO]]=0,TODAY()-PROVEEDORES[[#This Row],[FECHA DE FACTURACIÓN]]-PROVEEDORES[[#This Row],[PLAZO Días]],0)</f>
        <v>0</v>
      </c>
      <c r="U1221" s="96" t="str">
        <f>+VLOOKUP(PROVEEDORES[[#This Row],[PROVEEDOR]],Terceros!$A:$D,4,FALSE)</f>
        <v>2,5% con base</v>
      </c>
      <c r="V1221" s="97">
        <f>+YEAR(PROVEEDORES[[#This Row],[FECHA DE FACTURACIÓN]])</f>
        <v>2021</v>
      </c>
      <c r="W1221" s="97">
        <f>+MATCH(PROVEEDORES[[#This Row],[año facturado]],Retenciones!$1:$1,0)</f>
        <v>4</v>
      </c>
      <c r="X1221" s="98">
        <f>+VLOOKUP(PROVEEDORES[[#This Row],[ID RETENCION]],Retenciones!$A$1:$O$25,PROVEEDORES[[#This Row],[indicador de columna]],FALSE)</f>
        <v>980000</v>
      </c>
      <c r="Y1221" s="99">
        <f>+VLOOKUP(PROVEEDORES[[#This Row],[ID RETENCION]],Retenciones!$A$1:$O$25,2,FALSE)</f>
        <v>2.5000000000000001E-2</v>
      </c>
      <c r="Z1221" s="125" t="b">
        <f>OR(COUNTIF(PROVEEDORES[[#This Row],[PROVEEDOR]],"*"&amp;'Palabra no opera'!$A$2&amp;"*"))</f>
        <v>0</v>
      </c>
      <c r="AA1221" s="24"/>
      <c r="AB1221" s="24"/>
      <c r="AC1221" s="24"/>
      <c r="AD1221" s="24"/>
      <c r="AE1221" s="24"/>
    </row>
    <row r="1222" spans="1:31" ht="22.2" customHeight="1" x14ac:dyDescent="0.3">
      <c r="A1222" s="66" t="str">
        <f>+IF(PROVEEDORES[[#This Row],[FECHA DE PAGO]]=PROVEEDORES[[#This Row],[FECHA DE FACTURACIÓN]],"DE CONTADO","CRÉDITO")</f>
        <v>CRÉDITO</v>
      </c>
      <c r="B1222" s="38" t="str">
        <f>+IF((PROVEEDORES[[#This Row],[FECHA DE PAGO]]-PROVEEDORES[[#This Row],[FECHA DE FACTURACIÓN]])&gt;PROVEEDORES[[#This Row],[PLAZO Días]],"PAGO VENCIDO")</f>
        <v>PAGO VENCIDO</v>
      </c>
      <c r="C1222" s="20">
        <f>+VLOOKUP(PROVEEDORES[[#This Row],[PROVEEDOR]],TERCEROS_INFO[#All],2,FALSE)</f>
        <v>30</v>
      </c>
      <c r="D1222" s="25">
        <f>+SUMIFS(PROVEEDORES[Total],PROVEEDORES[PROVEEDOR],PROVEEDORES[[#This Row],[PROVEEDOR]],PROVEEDORES[FECHA DE PAGO],"")</f>
        <v>0</v>
      </c>
      <c r="E1222" s="25"/>
      <c r="F1222" s="58">
        <f>+VLOOKUP(PROVEEDORES[[#This Row],[PROVEEDOR]],
                       Terceros!$A:$F,
                       5,
                       FALSE)</f>
        <v>0</v>
      </c>
      <c r="G1222" s="161">
        <v>44340</v>
      </c>
      <c r="H1222" s="26" t="s">
        <v>923</v>
      </c>
      <c r="I1222" s="161">
        <v>44287</v>
      </c>
      <c r="J1222" s="35" t="s">
        <v>305</v>
      </c>
      <c r="K1222" s="21">
        <v>1230953</v>
      </c>
      <c r="L1222" s="21"/>
      <c r="M1222" s="22">
        <f>(PROVEEDORES[[#This Row],[SUBTOTAL]]-PROVEEDORES[[#This Row],[descuento sobre subtotal]])*VLOOKUP(PROVEEDORES[[#This Row],[PROVEEDOR]],TERCEROS_INFO[#All],3,FALSE)</f>
        <v>0</v>
      </c>
      <c r="N1222" s="23"/>
      <c r="O1222" s="22">
        <f>+PROVEEDORES[[#This Row],[Descuento sobre subtotal %]]*(PROVEEDORES[[#This Row],[SUBTOTAL]]-PROVEEDORES[[#This Row],[descuento sobre subtotal]])</f>
        <v>0</v>
      </c>
      <c r="P1222" s="83">
        <f>+IF(PROVEEDORES[[#This Row],[SUBTOTAL]]&lt;PROVEEDORES[[#This Row],[base retencion]],0,PROVEEDORES[[#This Row],[retención aplicada]])</f>
        <v>0</v>
      </c>
      <c r="Q1222" s="22">
        <f>+PROVEEDORES[[#This Row],[Rete Fuente %]]*(PROVEEDORES[[#This Row],[SUBTOTAL]]-PROVEEDORES[[#This Row],[descuento sobre subtotal]])</f>
        <v>0</v>
      </c>
      <c r="R1222" s="21">
        <f>+PROVEEDORES[[#This Row],[SUBTOTAL]]+PROVEEDORES[[#This Row],[IVA 19%]]-PROVEEDORES[[#This Row],[descuento sobre subtotal]]-PROVEEDORES[[#This Row],[Descuento sobre subtotal $2]]-PROVEEDORES[[#This Row],[Rete Fuente $]]</f>
        <v>1230953</v>
      </c>
      <c r="S12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68">
        <f ca="1">IF(PROVEEDORES[[#This Row],[FECHA DE PAGO]]=0,TODAY()-PROVEEDORES[[#This Row],[FECHA DE FACTURACIÓN]]-PROVEEDORES[[#This Row],[PLAZO Días]],0)</f>
        <v>0</v>
      </c>
      <c r="U1222" s="96">
        <f>+VLOOKUP(PROVEEDORES[[#This Row],[PROVEEDOR]],Terceros!$A:$D,4,FALSE)</f>
        <v>0</v>
      </c>
      <c r="V1222" s="97">
        <f>+YEAR(PROVEEDORES[[#This Row],[FECHA DE FACTURACIÓN]])</f>
        <v>2021</v>
      </c>
      <c r="W1222" s="97">
        <f>+MATCH(PROVEEDORES[[#This Row],[año facturado]],Retenciones!$1:$1,0)</f>
        <v>4</v>
      </c>
      <c r="X1222" s="98">
        <f>+VLOOKUP(PROVEEDORES[[#This Row],[ID RETENCION]],Retenciones!$A$1:$O$25,PROVEEDORES[[#This Row],[indicador de columna]],FALSE)</f>
        <v>0</v>
      </c>
      <c r="Y1222" s="99">
        <f>+VLOOKUP(PROVEEDORES[[#This Row],[ID RETENCION]],Retenciones!$A$1:$O$25,2,FALSE)</f>
        <v>0</v>
      </c>
      <c r="Z1222" s="125" t="b">
        <f>OR(COUNTIF(PROVEEDORES[[#This Row],[PROVEEDOR]],"*"&amp;'Palabra no opera'!$A$2&amp;"*"))</f>
        <v>1</v>
      </c>
      <c r="AA1222" s="24"/>
      <c r="AB1222" s="24"/>
      <c r="AC1222" s="24"/>
      <c r="AD1222" s="24"/>
      <c r="AE1222" s="24"/>
    </row>
    <row r="1223" spans="1:31" ht="22.2" customHeight="1" x14ac:dyDescent="0.3">
      <c r="A1223" s="66" t="str">
        <f>+IF(PROVEEDORES[[#This Row],[FECHA DE PAGO]]=PROVEEDORES[[#This Row],[FECHA DE FACTURACIÓN]],"DE CONTADO","CRÉDITO")</f>
        <v>CRÉDITO</v>
      </c>
      <c r="B1223" s="38" t="str">
        <f>+IF((PROVEEDORES[[#This Row],[FECHA DE PAGO]]-PROVEEDORES[[#This Row],[FECHA DE FACTURACIÓN]])&gt;PROVEEDORES[[#This Row],[PLAZO Días]],"PAGO VENCIDO")</f>
        <v>PAGO VENCIDO</v>
      </c>
      <c r="C1223" s="20">
        <f>+VLOOKUP(PROVEEDORES[[#This Row],[PROVEEDOR]],TERCEROS_INFO[#All],2,FALSE)</f>
        <v>30</v>
      </c>
      <c r="D1223" s="25">
        <f>+SUMIFS(PROVEEDORES[Total],PROVEEDORES[PROVEEDOR],PROVEEDORES[[#This Row],[PROVEEDOR]],PROVEEDORES[FECHA DE PAGO],"")</f>
        <v>1127400.05</v>
      </c>
      <c r="E1223" s="25"/>
      <c r="F122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223" s="161">
        <v>44558</v>
      </c>
      <c r="H1223" s="26" t="s">
        <v>47</v>
      </c>
      <c r="I1223" s="161">
        <v>44527</v>
      </c>
      <c r="J1223" s="35">
        <v>33548</v>
      </c>
      <c r="K1223" s="21">
        <v>1057979</v>
      </c>
      <c r="L1223" s="21"/>
      <c r="M1223" s="22">
        <f>(PROVEEDORES[[#This Row],[SUBTOTAL]]-PROVEEDORES[[#This Row],[descuento sobre subtotal]])*VLOOKUP(PROVEEDORES[[#This Row],[PROVEEDOR]],TERCEROS_INFO[#All],3,FALSE)</f>
        <v>201016.01</v>
      </c>
      <c r="N1223" s="23"/>
      <c r="O1223" s="22">
        <f>+PROVEEDORES[[#This Row],[Descuento sobre subtotal %]]*(PROVEEDORES[[#This Row],[SUBTOTAL]]-PROVEEDORES[[#This Row],[descuento sobre subtotal]])</f>
        <v>0</v>
      </c>
      <c r="P1223" s="83">
        <f>+IF(PROVEEDORES[[#This Row],[SUBTOTAL]]&lt;PROVEEDORES[[#This Row],[base retencion]],0,PROVEEDORES[[#This Row],[retención aplicada]])</f>
        <v>2.5000000000000001E-2</v>
      </c>
      <c r="Q1223" s="22">
        <f>+PROVEEDORES[[#This Row],[Rete Fuente %]]*(PROVEEDORES[[#This Row],[SUBTOTAL]]-PROVEEDORES[[#This Row],[descuento sobre subtotal]])</f>
        <v>26449.475000000002</v>
      </c>
      <c r="R1223" s="21">
        <f>+PROVEEDORES[[#This Row],[SUBTOTAL]]+PROVEEDORES[[#This Row],[IVA 19%]]-PROVEEDORES[[#This Row],[descuento sobre subtotal]]-PROVEEDORES[[#This Row],[Descuento sobre subtotal $2]]-PROVEEDORES[[#This Row],[Rete Fuente $]]</f>
        <v>1232545.5349999999</v>
      </c>
      <c r="S12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68">
        <f ca="1">IF(PROVEEDORES[[#This Row],[FECHA DE PAGO]]=0,TODAY()-PROVEEDORES[[#This Row],[FECHA DE FACTURACIÓN]]-PROVEEDORES[[#This Row],[PLAZO Días]],0)</f>
        <v>0</v>
      </c>
      <c r="U1223" s="96" t="str">
        <f>+VLOOKUP(PROVEEDORES[[#This Row],[PROVEEDOR]],Terceros!$A:$D,4,FALSE)</f>
        <v>2,5% con base</v>
      </c>
      <c r="V1223" s="97">
        <f>+YEAR(PROVEEDORES[[#This Row],[FECHA DE FACTURACIÓN]])</f>
        <v>2021</v>
      </c>
      <c r="W1223" s="97">
        <f>+MATCH(PROVEEDORES[[#This Row],[año facturado]],Retenciones!$1:$1,0)</f>
        <v>4</v>
      </c>
      <c r="X1223" s="98">
        <f>+VLOOKUP(PROVEEDORES[[#This Row],[ID RETENCION]],Retenciones!$A$1:$O$25,PROVEEDORES[[#This Row],[indicador de columna]],FALSE)</f>
        <v>980000</v>
      </c>
      <c r="Y1223" s="99">
        <f>+VLOOKUP(PROVEEDORES[[#This Row],[ID RETENCION]],Retenciones!$A$1:$O$25,2,FALSE)</f>
        <v>2.5000000000000001E-2</v>
      </c>
      <c r="Z1223" s="125" t="b">
        <f>OR(COUNTIF(PROVEEDORES[[#This Row],[PROVEEDOR]],"*"&amp;'Palabra no opera'!$A$2&amp;"*"))</f>
        <v>0</v>
      </c>
      <c r="AA1223" s="24"/>
      <c r="AB1223" s="24"/>
      <c r="AC1223" s="24"/>
      <c r="AD1223" s="24"/>
      <c r="AE1223" s="24"/>
    </row>
    <row r="1224" spans="1:31" ht="22.2" customHeight="1" x14ac:dyDescent="0.3">
      <c r="A1224" s="66" t="str">
        <f>+IF(PROVEEDORES[[#This Row],[FECHA DE PAGO]]=PROVEEDORES[[#This Row],[FECHA DE FACTURACIÓN]],"DE CONTADO","CRÉDITO")</f>
        <v>CRÉDITO</v>
      </c>
      <c r="B1224" s="38" t="b">
        <f>+IF((PROVEEDORES[[#This Row],[FECHA DE PAGO]]-PROVEEDORES[[#This Row],[FECHA DE FACTURACIÓN]])&gt;PROVEEDORES[[#This Row],[PLAZO Días]],"PAGO VENCIDO")</f>
        <v>0</v>
      </c>
      <c r="C1224" s="20">
        <f>+VLOOKUP(PROVEEDORES[[#This Row],[PROVEEDOR]],TERCEROS_INFO[#All],2,FALSE)</f>
        <v>30</v>
      </c>
      <c r="D1224" s="25">
        <f>+SUMIFS(PROVEEDORES[Total],PROVEEDORES[PROVEEDOR],PROVEEDORES[[#This Row],[PROVEEDOR]],PROVEEDORES[FECHA DE PAGO],"")</f>
        <v>0</v>
      </c>
      <c r="E1224" s="25"/>
      <c r="F1224" s="58">
        <f>+VLOOKUP(PROVEEDORES[[#This Row],[PROVEEDOR]],
                       Terceros!$A:$F,
                       5,
                       FALSE)</f>
        <v>0</v>
      </c>
      <c r="G1224" s="161">
        <v>44368</v>
      </c>
      <c r="H1224" s="26" t="s">
        <v>923</v>
      </c>
      <c r="I1224" s="161">
        <v>44348</v>
      </c>
      <c r="J1224" s="35" t="s">
        <v>305</v>
      </c>
      <c r="K1224" s="21">
        <v>1235279</v>
      </c>
      <c r="L1224" s="21"/>
      <c r="M1224" s="22">
        <f>(PROVEEDORES[[#This Row],[SUBTOTAL]]-PROVEEDORES[[#This Row],[descuento sobre subtotal]])*VLOOKUP(PROVEEDORES[[#This Row],[PROVEEDOR]],TERCEROS_INFO[#All],3,FALSE)</f>
        <v>0</v>
      </c>
      <c r="N1224" s="23"/>
      <c r="O1224" s="22">
        <f>+PROVEEDORES[[#This Row],[Descuento sobre subtotal %]]*(PROVEEDORES[[#This Row],[SUBTOTAL]]-PROVEEDORES[[#This Row],[descuento sobre subtotal]])</f>
        <v>0</v>
      </c>
      <c r="P1224" s="83">
        <f>+IF(PROVEEDORES[[#This Row],[SUBTOTAL]]&lt;PROVEEDORES[[#This Row],[base retencion]],0,PROVEEDORES[[#This Row],[retención aplicada]])</f>
        <v>0</v>
      </c>
      <c r="Q1224" s="22">
        <f>+PROVEEDORES[[#This Row],[Rete Fuente %]]*(PROVEEDORES[[#This Row],[SUBTOTAL]]-PROVEEDORES[[#This Row],[descuento sobre subtotal]])</f>
        <v>0</v>
      </c>
      <c r="R1224" s="21">
        <f>+PROVEEDORES[[#This Row],[SUBTOTAL]]+PROVEEDORES[[#This Row],[IVA 19%]]-PROVEEDORES[[#This Row],[descuento sobre subtotal]]-PROVEEDORES[[#This Row],[Descuento sobre subtotal $2]]-PROVEEDORES[[#This Row],[Rete Fuente $]]</f>
        <v>1235279</v>
      </c>
      <c r="S12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68">
        <f ca="1">IF(PROVEEDORES[[#This Row],[FECHA DE PAGO]]=0,TODAY()-PROVEEDORES[[#This Row],[FECHA DE FACTURACIÓN]]-PROVEEDORES[[#This Row],[PLAZO Días]],0)</f>
        <v>0</v>
      </c>
      <c r="U1224" s="96">
        <f>+VLOOKUP(PROVEEDORES[[#This Row],[PROVEEDOR]],Terceros!$A:$D,4,FALSE)</f>
        <v>0</v>
      </c>
      <c r="V1224" s="97">
        <f>+YEAR(PROVEEDORES[[#This Row],[FECHA DE FACTURACIÓN]])</f>
        <v>2021</v>
      </c>
      <c r="W1224" s="97">
        <f>+MATCH(PROVEEDORES[[#This Row],[año facturado]],Retenciones!$1:$1,0)</f>
        <v>4</v>
      </c>
      <c r="X1224" s="98">
        <f>+VLOOKUP(PROVEEDORES[[#This Row],[ID RETENCION]],Retenciones!$A$1:$O$25,PROVEEDORES[[#This Row],[indicador de columna]],FALSE)</f>
        <v>0</v>
      </c>
      <c r="Y1224" s="99">
        <f>+VLOOKUP(PROVEEDORES[[#This Row],[ID RETENCION]],Retenciones!$A$1:$O$25,2,FALSE)</f>
        <v>0</v>
      </c>
      <c r="Z1224" s="125" t="b">
        <f>OR(COUNTIF(PROVEEDORES[[#This Row],[PROVEEDOR]],"*"&amp;'Palabra no opera'!$A$2&amp;"*"))</f>
        <v>1</v>
      </c>
      <c r="AA1224" s="24"/>
      <c r="AB1224" s="24"/>
      <c r="AC1224" s="24"/>
      <c r="AD1224" s="24"/>
      <c r="AE1224" s="24"/>
    </row>
    <row r="1225" spans="1:31" ht="22.2" customHeight="1" x14ac:dyDescent="0.3">
      <c r="A1225" s="66" t="str">
        <f>+IF(PROVEEDORES[[#This Row],[FECHA DE PAGO]]=PROVEEDORES[[#This Row],[FECHA DE FACTURACIÓN]],"DE CONTADO","CRÉDITO")</f>
        <v>CRÉDITO</v>
      </c>
      <c r="B1225" s="38" t="str">
        <f>+IF((PROVEEDORES[[#This Row],[FECHA DE PAGO]]-PROVEEDORES[[#This Row],[FECHA DE FACTURACIÓN]])&gt;PROVEEDORES[[#This Row],[PLAZO Días]],"PAGO VENCIDO")</f>
        <v>PAGO VENCIDO</v>
      </c>
      <c r="C1225" s="20">
        <f>+VLOOKUP(PROVEEDORES[[#This Row],[PROVEEDOR]],TERCEROS_INFO[#All],2,FALSE)</f>
        <v>30</v>
      </c>
      <c r="D1225" s="25">
        <f>+SUMIFS(PROVEEDORES[Total],PROVEEDORES[PROVEEDOR],PROVEEDORES[[#This Row],[PROVEEDOR]],PROVEEDORES[FECHA DE PAGO],"")</f>
        <v>1194849.25</v>
      </c>
      <c r="E1225" s="25"/>
      <c r="F122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225" s="161">
        <v>44481</v>
      </c>
      <c r="H1225" s="26" t="s">
        <v>32</v>
      </c>
      <c r="I1225" s="161">
        <v>44432</v>
      </c>
      <c r="J1225" s="35">
        <v>14801</v>
      </c>
      <c r="K1225" s="21">
        <v>1064369.75</v>
      </c>
      <c r="L1225" s="21"/>
      <c r="M1225" s="22">
        <f>(PROVEEDORES[[#This Row],[SUBTOTAL]]-PROVEEDORES[[#This Row],[descuento sobre subtotal]])*VLOOKUP(PROVEEDORES[[#This Row],[PROVEEDOR]],TERCEROS_INFO[#All],3,FALSE)</f>
        <v>202230.2525</v>
      </c>
      <c r="N1225" s="23"/>
      <c r="O1225" s="22">
        <f>+PROVEEDORES[[#This Row],[Descuento sobre subtotal %]]*(PROVEEDORES[[#This Row],[SUBTOTAL]]-PROVEEDORES[[#This Row],[descuento sobre subtotal]])</f>
        <v>0</v>
      </c>
      <c r="P1225" s="83">
        <f>+IF(PROVEEDORES[[#This Row],[SUBTOTAL]]&lt;PROVEEDORES[[#This Row],[base retencion]],0,PROVEEDORES[[#This Row],[retención aplicada]])</f>
        <v>2.5000000000000001E-2</v>
      </c>
      <c r="Q1225" s="22">
        <f>+PROVEEDORES[[#This Row],[Rete Fuente %]]*(PROVEEDORES[[#This Row],[SUBTOTAL]]-PROVEEDORES[[#This Row],[descuento sobre subtotal]])</f>
        <v>26609.243750000001</v>
      </c>
      <c r="R1225" s="21">
        <f>+PROVEEDORES[[#This Row],[SUBTOTAL]]+PROVEEDORES[[#This Row],[IVA 19%]]-PROVEEDORES[[#This Row],[descuento sobre subtotal]]-PROVEEDORES[[#This Row],[Descuento sobre subtotal $2]]-PROVEEDORES[[#This Row],[Rete Fuente $]]</f>
        <v>1239990.75875</v>
      </c>
      <c r="S12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68">
        <f ca="1">IF(PROVEEDORES[[#This Row],[FECHA DE PAGO]]=0,TODAY()-PROVEEDORES[[#This Row],[FECHA DE FACTURACIÓN]]-PROVEEDORES[[#This Row],[PLAZO Días]],0)</f>
        <v>0</v>
      </c>
      <c r="U1225" s="96" t="str">
        <f>+VLOOKUP(PROVEEDORES[[#This Row],[PROVEEDOR]],Terceros!$A:$D,4,FALSE)</f>
        <v>2,5% con base</v>
      </c>
      <c r="V1225" s="97">
        <f>+YEAR(PROVEEDORES[[#This Row],[FECHA DE FACTURACIÓN]])</f>
        <v>2021</v>
      </c>
      <c r="W1225" s="97">
        <f>+MATCH(PROVEEDORES[[#This Row],[año facturado]],Retenciones!$1:$1,0)</f>
        <v>4</v>
      </c>
      <c r="X1225" s="98">
        <f>+VLOOKUP(PROVEEDORES[[#This Row],[ID RETENCION]],Retenciones!$A$1:$O$25,PROVEEDORES[[#This Row],[indicador de columna]],FALSE)</f>
        <v>980000</v>
      </c>
      <c r="Y1225" s="99">
        <f>+VLOOKUP(PROVEEDORES[[#This Row],[ID RETENCION]],Retenciones!$A$1:$O$25,2,FALSE)</f>
        <v>2.5000000000000001E-2</v>
      </c>
      <c r="Z1225" s="125" t="b">
        <f>OR(COUNTIF(PROVEEDORES[[#This Row],[PROVEEDOR]],"*"&amp;'Palabra no opera'!$A$2&amp;"*"))</f>
        <v>0</v>
      </c>
      <c r="AA1225" s="24"/>
      <c r="AB1225" s="24"/>
      <c r="AC1225" s="24"/>
      <c r="AD1225" s="24"/>
      <c r="AE1225" s="24"/>
    </row>
    <row r="1226" spans="1:31" ht="22.2" customHeight="1" x14ac:dyDescent="0.3">
      <c r="A1226" s="146" t="str">
        <f>+IF(PROVEEDORES[[#This Row],[FECHA DE PAGO]]=PROVEEDORES[[#This Row],[FECHA DE FACTURACIÓN]],"DE CONTADO","CRÉDITO")</f>
        <v>DE CONTADO</v>
      </c>
      <c r="B1226" s="38" t="b">
        <f>+IF((PROVEEDORES[[#This Row],[FECHA DE PAGO]]-PROVEEDORES[[#This Row],[FECHA DE FACTURACIÓN]])&gt;PROVEEDORES[[#This Row],[PLAZO Días]],"PAGO VENCIDO")</f>
        <v>0</v>
      </c>
      <c r="C1226" s="20">
        <f>+VLOOKUP(PROVEEDORES[[#This Row],[PROVEEDOR]],TERCEROS_INFO[#All],2,FALSE)</f>
        <v>30</v>
      </c>
      <c r="D1226" s="25">
        <f>+SUMIFS(PROVEEDORES[Total],PROVEEDORES[PROVEEDOR],PROVEEDORES[[#This Row],[PROVEEDOR]],PROVEEDORES[FECHA DE PAGO],"")</f>
        <v>0</v>
      </c>
      <c r="E1226" s="25"/>
      <c r="F1226" s="58" t="str">
        <f>+VLOOKUP(PROVEEDORES[[#This Row],[PROVEEDOR]],
                       Terceros!$A:$F,
                       5,
                       FALSE)</f>
        <v/>
      </c>
      <c r="G1226" s="161">
        <v>44701</v>
      </c>
      <c r="H1226" s="26" t="s">
        <v>661</v>
      </c>
      <c r="I1226" s="161">
        <v>44701</v>
      </c>
      <c r="J1226" s="35" t="s">
        <v>1383</v>
      </c>
      <c r="K1226" s="21">
        <v>1240000</v>
      </c>
      <c r="L1226" s="21"/>
      <c r="M1226" s="22">
        <f>(PROVEEDORES[[#This Row],[SUBTOTAL]]-PROVEEDORES[[#This Row],[descuento sobre subtotal]])*VLOOKUP(PROVEEDORES[[#This Row],[PROVEEDOR]],TERCEROS_INFO[#All],3,FALSE)</f>
        <v>0</v>
      </c>
      <c r="N1226" s="23"/>
      <c r="O1226" s="22">
        <f>+PROVEEDORES[[#This Row],[Descuento sobre subtotal %]]*(PROVEEDORES[[#This Row],[SUBTOTAL]]-PROVEEDORES[[#This Row],[descuento sobre subtotal]])</f>
        <v>0</v>
      </c>
      <c r="P1226" s="83">
        <f>+IF(PROVEEDORES[[#This Row],[SUBTOTAL]]&lt;PROVEEDORES[[#This Row],[base retencion]],0,PROVEEDORES[[#This Row],[retención aplicada]])</f>
        <v>0</v>
      </c>
      <c r="Q1226" s="22">
        <f>+PROVEEDORES[[#This Row],[Rete Fuente %]]*(PROVEEDORES[[#This Row],[SUBTOTAL]]-PROVEEDORES[[#This Row],[descuento sobre subtotal]])</f>
        <v>0</v>
      </c>
      <c r="R1226" s="21">
        <f>+PROVEEDORES[[#This Row],[SUBTOTAL]]+PROVEEDORES[[#This Row],[IVA 19%]]-PROVEEDORES[[#This Row],[descuento sobre subtotal]]-PROVEEDORES[[#This Row],[Descuento sobre subtotal $2]]-PROVEEDORES[[#This Row],[Rete Fuente $]]</f>
        <v>1240000</v>
      </c>
      <c r="S1226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68">
        <f ca="1">IF(PROVEEDORES[[#This Row],[FECHA DE PAGO]]=0,TODAY()-PROVEEDORES[[#This Row],[FECHA DE FACTURACIÓN]]-PROVEEDORES[[#This Row],[PLAZO Días]],0)</f>
        <v>0</v>
      </c>
      <c r="U1226" s="113">
        <f>+VLOOKUP(PROVEEDORES[[#This Row],[PROVEEDOR]],Terceros!$A:$D,4,FALSE)</f>
        <v>0</v>
      </c>
      <c r="V1226" s="114">
        <f>+YEAR(PROVEEDORES[[#This Row],[FECHA DE FACTURACIÓN]])</f>
        <v>2022</v>
      </c>
      <c r="W1226" s="114">
        <f>+MATCH(PROVEEDORES[[#This Row],[año facturado]],Retenciones!$1:$1,0)</f>
        <v>5</v>
      </c>
      <c r="X1226" s="115">
        <f>+VLOOKUP(PROVEEDORES[[#This Row],[ID RETENCION]],Retenciones!$A$1:$O$25,PROVEEDORES[[#This Row],[indicador de columna]],FALSE)</f>
        <v>0</v>
      </c>
      <c r="Y1226" s="116">
        <f>+VLOOKUP(PROVEEDORES[[#This Row],[ID RETENCION]],Retenciones!$A$1:$O$25,2,FALSE)</f>
        <v>0</v>
      </c>
      <c r="Z1226" s="125" t="b">
        <f>OR(COUNTIF(PROVEEDORES[[#This Row],[PROVEEDOR]],"*"&amp;'Palabra no opera'!$A$2&amp;"*"))</f>
        <v>0</v>
      </c>
      <c r="AA1226" s="24"/>
      <c r="AB1226" s="24"/>
      <c r="AC1226" s="24"/>
      <c r="AD1226" s="24"/>
      <c r="AE1226" s="24"/>
    </row>
    <row r="1227" spans="1:31" ht="22.2" customHeight="1" x14ac:dyDescent="0.3">
      <c r="A1227" s="112" t="str">
        <f>+IF(PROVEEDORES[[#This Row],[FECHA DE PAGO]]=PROVEEDORES[[#This Row],[FECHA DE FACTURACIÓN]],"DE CONTADO","CRÉDITO")</f>
        <v>CRÉDITO</v>
      </c>
      <c r="B1227" s="38" t="str">
        <f>+IF((PROVEEDORES[[#This Row],[FECHA DE PAGO]]-PROVEEDORES[[#This Row],[FECHA DE FACTURACIÓN]])&gt;PROVEEDORES[[#This Row],[PLAZO Días]],"PAGO VENCIDO")</f>
        <v>PAGO VENCIDO</v>
      </c>
      <c r="C1227" s="20">
        <f>+VLOOKUP(PROVEEDORES[[#This Row],[PROVEEDOR]],TERCEROS_INFO[#All],2,FALSE)</f>
        <v>30</v>
      </c>
      <c r="D1227" s="25">
        <f>+SUMIFS(PROVEEDORES[Total],PROVEEDORES[PROVEEDOR],PROVEEDORES[[#This Row],[PROVEEDOR]],PROVEEDORES[FECHA DE PAGO],"")</f>
        <v>0</v>
      </c>
      <c r="E1227" s="25"/>
      <c r="F122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27" s="161">
        <v>44691</v>
      </c>
      <c r="H1227" s="26" t="s">
        <v>20</v>
      </c>
      <c r="I1227" s="161">
        <v>44658</v>
      </c>
      <c r="J1227" s="35">
        <v>6737</v>
      </c>
      <c r="K1227" s="21">
        <v>1065430</v>
      </c>
      <c r="L1227" s="21"/>
      <c r="M1227" s="22">
        <f>(PROVEEDORES[[#This Row],[SUBTOTAL]]-PROVEEDORES[[#This Row],[descuento sobre subtotal]])*VLOOKUP(PROVEEDORES[[#This Row],[PROVEEDOR]],TERCEROS_INFO[#All],3,FALSE)</f>
        <v>202431.7</v>
      </c>
      <c r="N1227" s="23"/>
      <c r="O1227" s="22">
        <f>+PROVEEDORES[[#This Row],[Descuento sobre subtotal %]]*(PROVEEDORES[[#This Row],[SUBTOTAL]]-PROVEEDORES[[#This Row],[descuento sobre subtotal]])</f>
        <v>0</v>
      </c>
      <c r="P1227" s="83">
        <f>+IF(PROVEEDORES[[#This Row],[SUBTOTAL]]&lt;PROVEEDORES[[#This Row],[base retencion]],0,PROVEEDORES[[#This Row],[retención aplicada]])</f>
        <v>2.5000000000000001E-2</v>
      </c>
      <c r="Q1227" s="22">
        <f>+PROVEEDORES[[#This Row],[Rete Fuente %]]*(PROVEEDORES[[#This Row],[SUBTOTAL]]-PROVEEDORES[[#This Row],[descuento sobre subtotal]])</f>
        <v>26635.75</v>
      </c>
      <c r="R1227" s="21">
        <f>+PROVEEDORES[[#This Row],[SUBTOTAL]]+PROVEEDORES[[#This Row],[IVA 19%]]-PROVEEDORES[[#This Row],[descuento sobre subtotal]]-PROVEEDORES[[#This Row],[Descuento sobre subtotal $2]]-PROVEEDORES[[#This Row],[Rete Fuente $]]</f>
        <v>1241225.95</v>
      </c>
      <c r="S1227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68">
        <f ca="1">IF(PROVEEDORES[[#This Row],[FECHA DE PAGO]]=0,TODAY()-PROVEEDORES[[#This Row],[FECHA DE FACTURACIÓN]]-PROVEEDORES[[#This Row],[PLAZO Días]],0)</f>
        <v>0</v>
      </c>
      <c r="U1227" s="113" t="str">
        <f>+VLOOKUP(PROVEEDORES[[#This Row],[PROVEEDOR]],Terceros!$A:$D,4,FALSE)</f>
        <v>2,5% con base</v>
      </c>
      <c r="V1227" s="114">
        <f>+YEAR(PROVEEDORES[[#This Row],[FECHA DE FACTURACIÓN]])</f>
        <v>2022</v>
      </c>
      <c r="W1227" s="114">
        <f>+MATCH(PROVEEDORES[[#This Row],[año facturado]],Retenciones!$1:$1,0)</f>
        <v>5</v>
      </c>
      <c r="X1227" s="115">
        <f>+VLOOKUP(PROVEEDORES[[#This Row],[ID RETENCION]],Retenciones!$A$1:$O$25,PROVEEDORES[[#This Row],[indicador de columna]],FALSE)</f>
        <v>1026000</v>
      </c>
      <c r="Y1227" s="116">
        <f>+VLOOKUP(PROVEEDORES[[#This Row],[ID RETENCION]],Retenciones!$A$1:$O$25,2,FALSE)</f>
        <v>2.5000000000000001E-2</v>
      </c>
      <c r="Z1227" s="125" t="b">
        <f>OR(COUNTIF(PROVEEDORES[[#This Row],[PROVEEDOR]],"*"&amp;'Palabra no opera'!$A$2&amp;"*"))</f>
        <v>0</v>
      </c>
      <c r="AA1227" s="24"/>
      <c r="AB1227" s="24"/>
      <c r="AC1227" s="24"/>
      <c r="AD1227" s="24"/>
      <c r="AE1227" s="24"/>
    </row>
    <row r="1228" spans="1:31" ht="22.2" customHeight="1" x14ac:dyDescent="0.3">
      <c r="A1228" s="66" t="str">
        <f>+IF(PROVEEDORES[[#This Row],[FECHA DE PAGO]]=PROVEEDORES[[#This Row],[FECHA DE FACTURACIÓN]],"DE CONTADO","CRÉDITO")</f>
        <v>CRÉDITO</v>
      </c>
      <c r="B1228" s="38" t="b">
        <f>+IF((PROVEEDORES[[#This Row],[FECHA DE PAGO]]-PROVEEDORES[[#This Row],[FECHA DE FACTURACIÓN]])&gt;PROVEEDORES[[#This Row],[PLAZO Días]],"PAGO VENCIDO")</f>
        <v>0</v>
      </c>
      <c r="C1228" s="20">
        <f>+VLOOKUP(PROVEEDORES[[#This Row],[PROVEEDOR]],TERCEROS_INFO[#All],2,FALSE)</f>
        <v>30</v>
      </c>
      <c r="D1228" s="25">
        <f>+SUMIFS(PROVEEDORES[Total],PROVEEDORES[PROVEEDOR],PROVEEDORES[[#This Row],[PROVEEDOR]],PROVEEDORES[FECHA DE PAGO],"")</f>
        <v>4712021.58</v>
      </c>
      <c r="E1228" s="25"/>
      <c r="F122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28" s="161">
        <v>44558</v>
      </c>
      <c r="H1228" s="26" t="s">
        <v>17</v>
      </c>
      <c r="I1228" s="161">
        <v>44539</v>
      </c>
      <c r="J1228" s="35">
        <v>1851854</v>
      </c>
      <c r="K1228" s="21">
        <v>1045000</v>
      </c>
      <c r="L1228" s="21"/>
      <c r="M1228" s="22">
        <f>(PROVEEDORES[[#This Row],[SUBTOTAL]]-PROVEEDORES[[#This Row],[descuento sobre subtotal]])*VLOOKUP(PROVEEDORES[[#This Row],[PROVEEDOR]],TERCEROS_INFO[#All],3,FALSE)</f>
        <v>198550</v>
      </c>
      <c r="N1228" s="23"/>
      <c r="O1228" s="22">
        <f>+PROVEEDORES[[#This Row],[Descuento sobre subtotal %]]*(PROVEEDORES[[#This Row],[SUBTOTAL]]-PROVEEDORES[[#This Row],[descuento sobre subtotal]])</f>
        <v>0</v>
      </c>
      <c r="P1228" s="83">
        <f>+IF(PROVEEDORES[[#This Row],[SUBTOTAL]]&lt;PROVEEDORES[[#This Row],[base retencion]],0,PROVEEDORES[[#This Row],[retención aplicada]])</f>
        <v>0</v>
      </c>
      <c r="Q1228" s="22">
        <f>+PROVEEDORES[[#This Row],[Rete Fuente %]]*(PROVEEDORES[[#This Row],[SUBTOTAL]]-PROVEEDORES[[#This Row],[descuento sobre subtotal]])</f>
        <v>0</v>
      </c>
      <c r="R1228" s="21">
        <f>+PROVEEDORES[[#This Row],[SUBTOTAL]]+PROVEEDORES[[#This Row],[IVA 19%]]-PROVEEDORES[[#This Row],[descuento sobre subtotal]]-PROVEEDORES[[#This Row],[Descuento sobre subtotal $2]]-PROVEEDORES[[#This Row],[Rete Fuente $]]</f>
        <v>1243550</v>
      </c>
      <c r="S12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68">
        <f ca="1">IF(PROVEEDORES[[#This Row],[FECHA DE PAGO]]=0,TODAY()-PROVEEDORES[[#This Row],[FECHA DE FACTURACIÓN]]-PROVEEDORES[[#This Row],[PLAZO Días]],0)</f>
        <v>0</v>
      </c>
      <c r="U1228" s="96">
        <f>+VLOOKUP(PROVEEDORES[[#This Row],[PROVEEDOR]],Terceros!$A:$D,4,FALSE)</f>
        <v>0</v>
      </c>
      <c r="V1228" s="97">
        <f>+YEAR(PROVEEDORES[[#This Row],[FECHA DE FACTURACIÓN]])</f>
        <v>2021</v>
      </c>
      <c r="W1228" s="97">
        <f>+MATCH(PROVEEDORES[[#This Row],[año facturado]],Retenciones!$1:$1,0)</f>
        <v>4</v>
      </c>
      <c r="X1228" s="98">
        <f>+VLOOKUP(PROVEEDORES[[#This Row],[ID RETENCION]],Retenciones!$A$1:$O$25,PROVEEDORES[[#This Row],[indicador de columna]],FALSE)</f>
        <v>0</v>
      </c>
      <c r="Y1228" s="99">
        <f>+VLOOKUP(PROVEEDORES[[#This Row],[ID RETENCION]],Retenciones!$A$1:$O$25,2,FALSE)</f>
        <v>0</v>
      </c>
      <c r="Z1228" s="125" t="b">
        <f>OR(COUNTIF(PROVEEDORES[[#This Row],[PROVEEDOR]],"*"&amp;'Palabra no opera'!$A$2&amp;"*"))</f>
        <v>0</v>
      </c>
      <c r="AA1228" s="24"/>
      <c r="AB1228" s="24"/>
      <c r="AC1228" s="24"/>
      <c r="AD1228" s="24"/>
      <c r="AE1228" s="24"/>
    </row>
    <row r="1229" spans="1:31" ht="22.2" customHeight="1" x14ac:dyDescent="0.3">
      <c r="A1229" s="66" t="str">
        <f>+IF(PROVEEDORES[[#This Row],[FECHA DE PAGO]]=PROVEEDORES[[#This Row],[FECHA DE FACTURACIÓN]],"DE CONTADO","CRÉDITO")</f>
        <v>CRÉDITO</v>
      </c>
      <c r="B1229" s="38" t="str">
        <f>+IF((PROVEEDORES[[#This Row],[FECHA DE PAGO]]-PROVEEDORES[[#This Row],[FECHA DE FACTURACIÓN]])&gt;PROVEEDORES[[#This Row],[PLAZO Días]],"PAGO VENCIDO")</f>
        <v>PAGO VENCIDO</v>
      </c>
      <c r="C1229" s="20">
        <f>+VLOOKUP(PROVEEDORES[[#This Row],[PROVEEDOR]],TERCEROS_INFO[#All],2,FALSE)</f>
        <v>30</v>
      </c>
      <c r="D1229" s="25">
        <f>+SUMIFS(PROVEEDORES[Total],PROVEEDORES[PROVEEDOR],PROVEEDORES[[#This Row],[PROVEEDOR]],PROVEEDORES[FECHA DE PAGO],"")</f>
        <v>5430852.9800000004</v>
      </c>
      <c r="E1229" s="25"/>
      <c r="F1229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229" s="161">
        <v>44498</v>
      </c>
      <c r="H1229" s="26" t="s">
        <v>408</v>
      </c>
      <c r="I1229" s="161">
        <v>44464</v>
      </c>
      <c r="J1229" s="35">
        <v>141124</v>
      </c>
      <c r="K1229" s="21">
        <v>1048754</v>
      </c>
      <c r="L1229" s="21"/>
      <c r="M1229" s="22">
        <f>(PROVEEDORES[[#This Row],[SUBTOTAL]]-PROVEEDORES[[#This Row],[descuento sobre subtotal]])*VLOOKUP(PROVEEDORES[[#This Row],[PROVEEDOR]],TERCEROS_INFO[#All],3,FALSE)</f>
        <v>199263.26</v>
      </c>
      <c r="N1229" s="23"/>
      <c r="O1229" s="22">
        <f>+PROVEEDORES[[#This Row],[Descuento sobre subtotal %]]*(PROVEEDORES[[#This Row],[SUBTOTAL]]-PROVEEDORES[[#This Row],[descuento sobre subtotal]])</f>
        <v>0</v>
      </c>
      <c r="P1229" s="83">
        <f>+IF(PROVEEDORES[[#This Row],[SUBTOTAL]]&lt;PROVEEDORES[[#This Row],[base retencion]],0,PROVEEDORES[[#This Row],[retención aplicada]])</f>
        <v>0</v>
      </c>
      <c r="Q1229" s="22">
        <f>+PROVEEDORES[[#This Row],[Rete Fuente %]]*(PROVEEDORES[[#This Row],[SUBTOTAL]]-PROVEEDORES[[#This Row],[descuento sobre subtotal]])</f>
        <v>0</v>
      </c>
      <c r="R1229" s="21">
        <f>+PROVEEDORES[[#This Row],[SUBTOTAL]]+PROVEEDORES[[#This Row],[IVA 19%]]-PROVEEDORES[[#This Row],[descuento sobre subtotal]]-PROVEEDORES[[#This Row],[Descuento sobre subtotal $2]]-PROVEEDORES[[#This Row],[Rete Fuente $]]</f>
        <v>1248017.26</v>
      </c>
      <c r="S12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68">
        <f ca="1">IF(PROVEEDORES[[#This Row],[FECHA DE PAGO]]=0,TODAY()-PROVEEDORES[[#This Row],[FECHA DE FACTURACIÓN]]-PROVEEDORES[[#This Row],[PLAZO Días]],0)</f>
        <v>0</v>
      </c>
      <c r="U1229" s="96">
        <f>+VLOOKUP(PROVEEDORES[[#This Row],[PROVEEDOR]],Terceros!$A:$D,4,FALSE)</f>
        <v>0</v>
      </c>
      <c r="V1229" s="97">
        <f>+YEAR(PROVEEDORES[[#This Row],[FECHA DE FACTURACIÓN]])</f>
        <v>2021</v>
      </c>
      <c r="W1229" s="97">
        <f>+MATCH(PROVEEDORES[[#This Row],[año facturado]],Retenciones!$1:$1,0)</f>
        <v>4</v>
      </c>
      <c r="X1229" s="98">
        <f>+VLOOKUP(PROVEEDORES[[#This Row],[ID RETENCION]],Retenciones!$A$1:$O$25,PROVEEDORES[[#This Row],[indicador de columna]],FALSE)</f>
        <v>0</v>
      </c>
      <c r="Y1229" s="99">
        <f>+VLOOKUP(PROVEEDORES[[#This Row],[ID RETENCION]],Retenciones!$A$1:$O$25,2,FALSE)</f>
        <v>0</v>
      </c>
      <c r="Z1229" s="125" t="b">
        <f>OR(COUNTIF(PROVEEDORES[[#This Row],[PROVEEDOR]],"*"&amp;'Palabra no opera'!$A$2&amp;"*"))</f>
        <v>0</v>
      </c>
      <c r="AA1229" s="24"/>
      <c r="AB1229" s="24"/>
      <c r="AC1229" s="24"/>
      <c r="AD1229" s="24"/>
      <c r="AE1229" s="24"/>
    </row>
    <row r="1230" spans="1:31" ht="22.2" customHeight="1" x14ac:dyDescent="0.3">
      <c r="A1230" s="72" t="str">
        <f>+IF(PROVEEDORES[[#This Row],[FECHA DE PAGO]]=PROVEEDORES[[#This Row],[FECHA DE FACTURACIÓN]],"DE CONTADO","CRÉDITO")</f>
        <v>CRÉDITO</v>
      </c>
      <c r="B1230" s="38" t="str">
        <f>+IF((PROVEEDORES[[#This Row],[FECHA DE PAGO]]-PROVEEDORES[[#This Row],[FECHA DE FACTURACIÓN]])&gt;PROVEEDORES[[#This Row],[PLAZO Días]],"PAGO VENCIDO")</f>
        <v>PAGO VENCIDO</v>
      </c>
      <c r="C1230" s="20">
        <f>+VLOOKUP(PROVEEDORES[[#This Row],[PROVEEDOR]],TERCEROS_INFO[#All],2,FALSE)</f>
        <v>30</v>
      </c>
      <c r="D1230" s="25">
        <f>+SUMIFS(PROVEEDORES[Total],PROVEEDORES[PROVEEDOR],PROVEEDORES[[#This Row],[PROVEEDOR]],PROVEEDORES[FECHA DE PAGO],"")</f>
        <v>1266521.4319</v>
      </c>
      <c r="E1230" s="25"/>
      <c r="F123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30" s="161">
        <v>44845</v>
      </c>
      <c r="H1230" s="26" t="s">
        <v>512</v>
      </c>
      <c r="I1230" s="161">
        <v>44765</v>
      </c>
      <c r="J1230" s="35">
        <v>1082</v>
      </c>
      <c r="K1230" s="21">
        <v>1072689.08</v>
      </c>
      <c r="L1230" s="21"/>
      <c r="M1230" s="22">
        <f>(PROVEEDORES[[#This Row],[SUBTOTAL]]-PROVEEDORES[[#This Row],[descuento sobre subtotal]])*VLOOKUP(PROVEEDORES[[#This Row],[PROVEEDOR]],TERCEROS_INFO[#All],3,FALSE)</f>
        <v>203810.92520000003</v>
      </c>
      <c r="N1230" s="23"/>
      <c r="O1230" s="22">
        <f>+PROVEEDORES[[#This Row],[Descuento sobre subtotal %]]*(PROVEEDORES[[#This Row],[SUBTOTAL]]-PROVEEDORES[[#This Row],[descuento sobre subtotal]])</f>
        <v>0</v>
      </c>
      <c r="P1230" s="83">
        <f>+IF(PROVEEDORES[[#This Row],[SUBTOTAL]]&lt;PROVEEDORES[[#This Row],[base retencion]],0,PROVEEDORES[[#This Row],[retención aplicada]])</f>
        <v>2.5000000000000001E-2</v>
      </c>
      <c r="Q1230" s="22">
        <f>+PROVEEDORES[[#This Row],[Rete Fuente %]]*(PROVEEDORES[[#This Row],[SUBTOTAL]]-PROVEEDORES[[#This Row],[descuento sobre subtotal]])</f>
        <v>26817.227000000003</v>
      </c>
      <c r="R1230" s="21">
        <f>+PROVEEDORES[[#This Row],[SUBTOTAL]]+PROVEEDORES[[#This Row],[IVA 19%]]-PROVEEDORES[[#This Row],[descuento sobre subtotal]]-PROVEEDORES[[#This Row],[Descuento sobre subtotal $2]]-PROVEEDORES[[#This Row],[Rete Fuente $]]</f>
        <v>1249682.7782000001</v>
      </c>
      <c r="S123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68">
        <f ca="1">IF(PROVEEDORES[[#This Row],[FECHA DE PAGO]]=0,TODAY()-PROVEEDORES[[#This Row],[FECHA DE FACTURACIÓN]]-PROVEEDORES[[#This Row],[PLAZO Días]],0)</f>
        <v>0</v>
      </c>
      <c r="U1230" s="113" t="str">
        <f>+VLOOKUP(PROVEEDORES[[#This Row],[PROVEEDOR]],Terceros!$A:$D,4,FALSE)</f>
        <v>2,5% con base</v>
      </c>
      <c r="V1230" s="114">
        <f>+YEAR(PROVEEDORES[[#This Row],[FECHA DE FACTURACIÓN]])</f>
        <v>2022</v>
      </c>
      <c r="W1230" s="114">
        <f>+MATCH(PROVEEDORES[[#This Row],[año facturado]],Retenciones!$1:$1,0)</f>
        <v>5</v>
      </c>
      <c r="X1230" s="115">
        <f>+VLOOKUP(PROVEEDORES[[#This Row],[ID RETENCION]],Retenciones!$A$1:$O$25,PROVEEDORES[[#This Row],[indicador de columna]],FALSE)</f>
        <v>1026000</v>
      </c>
      <c r="Y1230" s="116">
        <f>+VLOOKUP(PROVEEDORES[[#This Row],[ID RETENCION]],Retenciones!$A$1:$O$25,2,FALSE)</f>
        <v>2.5000000000000001E-2</v>
      </c>
      <c r="Z1230" s="125" t="b">
        <f>OR(COUNTIF(PROVEEDORES[[#This Row],[PROVEEDOR]],"*"&amp;'Palabra no opera'!$A$2&amp;"*"))</f>
        <v>0</v>
      </c>
      <c r="AA1230" s="24"/>
      <c r="AB1230" s="24"/>
      <c r="AC1230" s="24"/>
      <c r="AD1230" s="24"/>
      <c r="AE1230" s="24"/>
    </row>
    <row r="1231" spans="1:31" ht="22.2" customHeight="1" x14ac:dyDescent="0.3">
      <c r="A1231" s="66" t="str">
        <f>+IF(PROVEEDORES[[#This Row],[FECHA DE PAGO]]=PROVEEDORES[[#This Row],[FECHA DE FACTURACIÓN]],"DE CONTADO","CRÉDITO")</f>
        <v>CRÉDITO</v>
      </c>
      <c r="B1231" s="38" t="b">
        <f>+IF((PROVEEDORES[[#This Row],[FECHA DE PAGO]]-PROVEEDORES[[#This Row],[FECHA DE FACTURACIÓN]])&gt;PROVEEDORES[[#This Row],[PLAZO Días]],"PAGO VENCIDO")</f>
        <v>0</v>
      </c>
      <c r="C1231" s="20">
        <f>+VLOOKUP(PROVEEDORES[[#This Row],[PROVEEDOR]],TERCEROS_INFO[#All],2,FALSE)</f>
        <v>30</v>
      </c>
      <c r="D1231" s="25">
        <f>+SUMIFS(PROVEEDORES[Total],PROVEEDORES[PROVEEDOR],PROVEEDORES[[#This Row],[PROVEEDOR]],PROVEEDORES[FECHA DE PAGO],"")</f>
        <v>0</v>
      </c>
      <c r="E1231" s="25"/>
      <c r="F1231" s="58" t="str">
        <f>+VLOOKUP(PROVEEDORES[[#This Row],[PROVEEDOR]],
                       Terceros!$A:$F,
                       5,
                       FALSE)</f>
        <v/>
      </c>
      <c r="G1231" s="161">
        <v>44417</v>
      </c>
      <c r="H1231" s="26" t="s">
        <v>689</v>
      </c>
      <c r="I1231" s="161">
        <v>44414</v>
      </c>
      <c r="J1231" s="35">
        <v>309339</v>
      </c>
      <c r="K1231" s="21">
        <v>1250840</v>
      </c>
      <c r="L1231" s="21"/>
      <c r="M1231" s="22">
        <f>(PROVEEDORES[[#This Row],[SUBTOTAL]]-PROVEEDORES[[#This Row],[descuento sobre subtotal]])*VLOOKUP(PROVEEDORES[[#This Row],[PROVEEDOR]],TERCEROS_INFO[#All],3,FALSE)</f>
        <v>0</v>
      </c>
      <c r="N1231" s="23"/>
      <c r="O1231" s="22">
        <f>+PROVEEDORES[[#This Row],[Descuento sobre subtotal %]]*(PROVEEDORES[[#This Row],[SUBTOTAL]]-PROVEEDORES[[#This Row],[descuento sobre subtotal]])</f>
        <v>0</v>
      </c>
      <c r="P1231" s="83">
        <f>+IF(PROVEEDORES[[#This Row],[SUBTOTAL]]&lt;PROVEEDORES[[#This Row],[base retencion]],0,PROVEEDORES[[#This Row],[retención aplicada]])</f>
        <v>0</v>
      </c>
      <c r="Q1231" s="22">
        <f>+PROVEEDORES[[#This Row],[Rete Fuente %]]*(PROVEEDORES[[#This Row],[SUBTOTAL]]-PROVEEDORES[[#This Row],[descuento sobre subtotal]])</f>
        <v>0</v>
      </c>
      <c r="R1231" s="21">
        <f>+PROVEEDORES[[#This Row],[SUBTOTAL]]+PROVEEDORES[[#This Row],[IVA 19%]]-PROVEEDORES[[#This Row],[descuento sobre subtotal]]-PROVEEDORES[[#This Row],[Descuento sobre subtotal $2]]-PROVEEDORES[[#This Row],[Rete Fuente $]]</f>
        <v>1250840</v>
      </c>
      <c r="S12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68">
        <f ca="1">IF(PROVEEDORES[[#This Row],[FECHA DE PAGO]]=0,TODAY()-PROVEEDORES[[#This Row],[FECHA DE FACTURACIÓN]]-PROVEEDORES[[#This Row],[PLAZO Días]],0)</f>
        <v>0</v>
      </c>
      <c r="U1231" s="96">
        <f>+VLOOKUP(PROVEEDORES[[#This Row],[PROVEEDOR]],Terceros!$A:$D,4,FALSE)</f>
        <v>0</v>
      </c>
      <c r="V1231" s="97">
        <f>+YEAR(PROVEEDORES[[#This Row],[FECHA DE FACTURACIÓN]])</f>
        <v>2021</v>
      </c>
      <c r="W1231" s="97">
        <f>+MATCH(PROVEEDORES[[#This Row],[año facturado]],Retenciones!$1:$1,0)</f>
        <v>4</v>
      </c>
      <c r="X1231" s="98">
        <f>+VLOOKUP(PROVEEDORES[[#This Row],[ID RETENCION]],Retenciones!$A$1:$O$25,PROVEEDORES[[#This Row],[indicador de columna]],FALSE)</f>
        <v>0</v>
      </c>
      <c r="Y1231" s="99">
        <f>+VLOOKUP(PROVEEDORES[[#This Row],[ID RETENCION]],Retenciones!$A$1:$O$25,2,FALSE)</f>
        <v>0</v>
      </c>
      <c r="Z1231" s="125" t="b">
        <f>OR(COUNTIF(PROVEEDORES[[#This Row],[PROVEEDOR]],"*"&amp;'Palabra no opera'!$A$2&amp;"*"))</f>
        <v>0</v>
      </c>
      <c r="AA1231" s="24"/>
      <c r="AB1231" s="24"/>
      <c r="AC1231" s="24"/>
      <c r="AD1231" s="24"/>
      <c r="AE1231" s="24"/>
    </row>
    <row r="1232" spans="1:31" ht="22.2" customHeight="1" x14ac:dyDescent="0.3">
      <c r="A1232" s="66" t="str">
        <f>+IF(PROVEEDORES[[#This Row],[FECHA DE PAGO]]=PROVEEDORES[[#This Row],[FECHA DE FACTURACIÓN]],"DE CONTADO","CRÉDITO")</f>
        <v>CRÉDITO</v>
      </c>
      <c r="B1232" s="38" t="str">
        <f>+IF((PROVEEDORES[[#This Row],[FECHA DE PAGO]]-PROVEEDORES[[#This Row],[FECHA DE FACTURACIÓN]])&gt;PROVEEDORES[[#This Row],[PLAZO Días]],"PAGO VENCIDO")</f>
        <v>PAGO VENCIDO</v>
      </c>
      <c r="C1232" s="20">
        <f>+VLOOKUP(PROVEEDORES[[#This Row],[PROVEEDOR]],TERCEROS_INFO[#All],2,FALSE)</f>
        <v>30</v>
      </c>
      <c r="D1232" s="25">
        <f>+SUMIFS(PROVEEDORES[Total],PROVEEDORES[PROVEEDOR],PROVEEDORES[[#This Row],[PROVEEDOR]],PROVEEDORES[FECHA DE PAGO],"")</f>
        <v>0</v>
      </c>
      <c r="E1232" s="25"/>
      <c r="F1232" s="58" t="str">
        <f>+VLOOKUP(PROVEEDORES[[#This Row],[PROVEEDOR]],
                       Terceros!$A:$F,
                       5,
                       FALSE)</f>
        <v/>
      </c>
      <c r="G1232" s="161">
        <v>44552</v>
      </c>
      <c r="H1232" s="26" t="s">
        <v>625</v>
      </c>
      <c r="I1232" s="161">
        <v>44494</v>
      </c>
      <c r="J1232" s="35" t="s">
        <v>1507</v>
      </c>
      <c r="K1232" s="21">
        <v>1255000</v>
      </c>
      <c r="L1232" s="21"/>
      <c r="M1232" s="22">
        <f>(PROVEEDORES[[#This Row],[SUBTOTAL]]-PROVEEDORES[[#This Row],[descuento sobre subtotal]])*VLOOKUP(PROVEEDORES[[#This Row],[PROVEEDOR]],TERCEROS_INFO[#All],3,FALSE)</f>
        <v>0</v>
      </c>
      <c r="N1232" s="23"/>
      <c r="O1232" s="22">
        <f>+PROVEEDORES[[#This Row],[Descuento sobre subtotal %]]*(PROVEEDORES[[#This Row],[SUBTOTAL]]-PROVEEDORES[[#This Row],[descuento sobre subtotal]])</f>
        <v>0</v>
      </c>
      <c r="P1232" s="83">
        <f>+IF(PROVEEDORES[[#This Row],[SUBTOTAL]]&lt;PROVEEDORES[[#This Row],[base retencion]],0,PROVEEDORES[[#This Row],[retención aplicada]])</f>
        <v>0</v>
      </c>
      <c r="Q1232" s="22">
        <f>+PROVEEDORES[[#This Row],[Rete Fuente %]]*(PROVEEDORES[[#This Row],[SUBTOTAL]]-PROVEEDORES[[#This Row],[descuento sobre subtotal]])</f>
        <v>0</v>
      </c>
      <c r="R1232" s="21">
        <f>+PROVEEDORES[[#This Row],[SUBTOTAL]]+PROVEEDORES[[#This Row],[IVA 19%]]-PROVEEDORES[[#This Row],[descuento sobre subtotal]]-PROVEEDORES[[#This Row],[Descuento sobre subtotal $2]]-PROVEEDORES[[#This Row],[Rete Fuente $]]</f>
        <v>1255000</v>
      </c>
      <c r="S12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2" s="68">
        <f ca="1">IF(PROVEEDORES[[#This Row],[FECHA DE PAGO]]=0,TODAY()-PROVEEDORES[[#This Row],[FECHA DE FACTURACIÓN]]-PROVEEDORES[[#This Row],[PLAZO Días]],0)</f>
        <v>0</v>
      </c>
      <c r="U1232" s="96">
        <f>+VLOOKUP(PROVEEDORES[[#This Row],[PROVEEDOR]],Terceros!$A:$D,4,FALSE)</f>
        <v>0</v>
      </c>
      <c r="V1232" s="97">
        <f>+YEAR(PROVEEDORES[[#This Row],[FECHA DE FACTURACIÓN]])</f>
        <v>2021</v>
      </c>
      <c r="W1232" s="97">
        <f>+MATCH(PROVEEDORES[[#This Row],[año facturado]],Retenciones!$1:$1,0)</f>
        <v>4</v>
      </c>
      <c r="X1232" s="98">
        <f>+VLOOKUP(PROVEEDORES[[#This Row],[ID RETENCION]],Retenciones!$A$1:$O$25,PROVEEDORES[[#This Row],[indicador de columna]],FALSE)</f>
        <v>0</v>
      </c>
      <c r="Y1232" s="99">
        <f>+VLOOKUP(PROVEEDORES[[#This Row],[ID RETENCION]],Retenciones!$A$1:$O$25,2,FALSE)</f>
        <v>0</v>
      </c>
      <c r="Z1232" s="125" t="b">
        <f>OR(COUNTIF(PROVEEDORES[[#This Row],[PROVEEDOR]],"*"&amp;'Palabra no opera'!$A$2&amp;"*"))</f>
        <v>0</v>
      </c>
      <c r="AA1232" s="24"/>
      <c r="AB1232" s="24"/>
      <c r="AC1232" s="24"/>
      <c r="AD1232" s="24"/>
      <c r="AE1232" s="24"/>
    </row>
    <row r="1233" spans="1:31" ht="22.2" customHeight="1" x14ac:dyDescent="0.3">
      <c r="A1233" s="185" t="str">
        <f>+IF(PROVEEDORES[[#This Row],[FECHA DE PAGO]]=PROVEEDORES[[#This Row],[FECHA DE FACTURACIÓN]],"DE CONTADO","CRÉDITO")</f>
        <v>CRÉDITO</v>
      </c>
      <c r="B1233" s="38" t="str">
        <f>+IF((PROVEEDORES[[#This Row],[FECHA DE PAGO]]-PROVEEDORES[[#This Row],[FECHA DE FACTURACIÓN]])&gt;PROVEEDORES[[#This Row],[PLAZO Días]],"PAGO VENCIDO")</f>
        <v>PAGO VENCIDO</v>
      </c>
      <c r="C1233" s="20">
        <f>+VLOOKUP(PROVEEDORES[[#This Row],[PROVEEDOR]],TERCEROS_INFO[#All],2,FALSE)</f>
        <v>30</v>
      </c>
      <c r="D1233" s="25">
        <f>+SUMIFS(PROVEEDORES[Total],PROVEEDORES[PROVEEDOR],PROVEEDORES[[#This Row],[PROVEEDOR]],PROVEEDORES[FECHA DE PAGO],"")</f>
        <v>23124164.219999999</v>
      </c>
      <c r="E1233" s="25"/>
      <c r="F123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33" s="161">
        <v>44792</v>
      </c>
      <c r="H1233" s="26" t="s">
        <v>18</v>
      </c>
      <c r="I1233" s="161">
        <v>44753</v>
      </c>
      <c r="J1233" s="35">
        <v>1056159</v>
      </c>
      <c r="K1233" s="21">
        <v>1079969.04</v>
      </c>
      <c r="L1233" s="21"/>
      <c r="M1233" s="22">
        <f>(PROVEEDORES[[#This Row],[SUBTOTAL]]-PROVEEDORES[[#This Row],[descuento sobre subtotal]])*VLOOKUP(PROVEEDORES[[#This Row],[PROVEEDOR]],TERCEROS_INFO[#All],3,FALSE)</f>
        <v>205194.1176</v>
      </c>
      <c r="N1233" s="23"/>
      <c r="O1233" s="22">
        <f>+PROVEEDORES[[#This Row],[Descuento sobre subtotal %]]*(PROVEEDORES[[#This Row],[SUBTOTAL]]-PROVEEDORES[[#This Row],[descuento sobre subtotal]])</f>
        <v>0</v>
      </c>
      <c r="P1233" s="83">
        <f>+IF(PROVEEDORES[[#This Row],[SUBTOTAL]]&lt;PROVEEDORES[[#This Row],[base retencion]],0,PROVEEDORES[[#This Row],[retención aplicada]])</f>
        <v>2.5000000000000001E-2</v>
      </c>
      <c r="Q1233" s="22">
        <f>+PROVEEDORES[[#This Row],[Rete Fuente %]]*(PROVEEDORES[[#This Row],[SUBTOTAL]]-PROVEEDORES[[#This Row],[descuento sobre subtotal]])</f>
        <v>26999.226000000002</v>
      </c>
      <c r="R1233" s="21">
        <f>+PROVEEDORES[[#This Row],[SUBTOTAL]]+PROVEEDORES[[#This Row],[IVA 19%]]-PROVEEDORES[[#This Row],[descuento sobre subtotal]]-PROVEEDORES[[#This Row],[Descuento sobre subtotal $2]]-PROVEEDORES[[#This Row],[Rete Fuente $]]</f>
        <v>1258163.9316</v>
      </c>
      <c r="S1233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3" s="68">
        <f ca="1">IF(PROVEEDORES[[#This Row],[FECHA DE PAGO]]=0,TODAY()-PROVEEDORES[[#This Row],[FECHA DE FACTURACIÓN]]-PROVEEDORES[[#This Row],[PLAZO Días]],0)</f>
        <v>0</v>
      </c>
      <c r="U1233" s="113" t="str">
        <f>+VLOOKUP(PROVEEDORES[[#This Row],[PROVEEDOR]],Terceros!$A:$D,4,FALSE)</f>
        <v>2,5% con base</v>
      </c>
      <c r="V1233" s="114">
        <f>+YEAR(PROVEEDORES[[#This Row],[FECHA DE FACTURACIÓN]])</f>
        <v>2022</v>
      </c>
      <c r="W1233" s="114">
        <f>+MATCH(PROVEEDORES[[#This Row],[año facturado]],Retenciones!$1:$1,0)</f>
        <v>5</v>
      </c>
      <c r="X1233" s="115">
        <f>+VLOOKUP(PROVEEDORES[[#This Row],[ID RETENCION]],Retenciones!$A$1:$O$25,PROVEEDORES[[#This Row],[indicador de columna]],FALSE)</f>
        <v>1026000</v>
      </c>
      <c r="Y1233" s="116">
        <f>+VLOOKUP(PROVEEDORES[[#This Row],[ID RETENCION]],Retenciones!$A$1:$O$25,2,FALSE)</f>
        <v>2.5000000000000001E-2</v>
      </c>
      <c r="Z1233" s="125" t="b">
        <f>OR(COUNTIF(PROVEEDORES[[#This Row],[PROVEEDOR]],"*"&amp;'Palabra no opera'!$A$2&amp;"*"))</f>
        <v>0</v>
      </c>
      <c r="AA1233" s="24"/>
      <c r="AB1233" s="24"/>
      <c r="AC1233" s="24"/>
      <c r="AD1233" s="24"/>
      <c r="AE1233" s="24"/>
    </row>
    <row r="1234" spans="1:31" ht="22.2" customHeight="1" x14ac:dyDescent="0.3">
      <c r="A1234" s="66" t="str">
        <f>+IF(PROVEEDORES[[#This Row],[FECHA DE PAGO]]=PROVEEDORES[[#This Row],[FECHA DE FACTURACIÓN]],"DE CONTADO","CRÉDITO")</f>
        <v>CRÉDITO</v>
      </c>
      <c r="B1234" s="38" t="str">
        <f>+IF((PROVEEDORES[[#This Row],[FECHA DE PAGO]]-PROVEEDORES[[#This Row],[FECHA DE FACTURACIÓN]])&gt;PROVEEDORES[[#This Row],[PLAZO Días]],"PAGO VENCIDO")</f>
        <v>PAGO VENCIDO</v>
      </c>
      <c r="C1234" s="20">
        <f>+VLOOKUP(PROVEEDORES[[#This Row],[PROVEEDOR]],TERCEROS_INFO[#All],2,FALSE)</f>
        <v>30</v>
      </c>
      <c r="D1234" s="25">
        <f>+SUMIFS(PROVEEDORES[Total],PROVEEDORES[PROVEEDOR],PROVEEDORES[[#This Row],[PROVEEDOR]],PROVEEDORES[FECHA DE PAGO],"")</f>
        <v>0</v>
      </c>
      <c r="E1234" s="25"/>
      <c r="F123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234" s="161">
        <v>44385</v>
      </c>
      <c r="H1234" s="26" t="s">
        <v>49</v>
      </c>
      <c r="I1234" s="161">
        <v>44343</v>
      </c>
      <c r="J1234" s="35">
        <v>2575</v>
      </c>
      <c r="K1234" s="21">
        <v>1080000</v>
      </c>
      <c r="L1234" s="21"/>
      <c r="M1234" s="22">
        <f>(PROVEEDORES[[#This Row],[SUBTOTAL]]-PROVEEDORES[[#This Row],[descuento sobre subtotal]])*VLOOKUP(PROVEEDORES[[#This Row],[PROVEEDOR]],TERCEROS_INFO[#All],3,FALSE)</f>
        <v>205200</v>
      </c>
      <c r="N1234" s="23"/>
      <c r="O1234" s="22">
        <f>+PROVEEDORES[[#This Row],[Descuento sobre subtotal %]]*(PROVEEDORES[[#This Row],[SUBTOTAL]]-PROVEEDORES[[#This Row],[descuento sobre subtotal]])</f>
        <v>0</v>
      </c>
      <c r="P1234" s="83">
        <f>+IF(PROVEEDORES[[#This Row],[SUBTOTAL]]&lt;PROVEEDORES[[#This Row],[base retencion]],0,PROVEEDORES[[#This Row],[retención aplicada]])</f>
        <v>2.5000000000000001E-2</v>
      </c>
      <c r="Q1234" s="22">
        <f>+PROVEEDORES[[#This Row],[Rete Fuente %]]*(PROVEEDORES[[#This Row],[SUBTOTAL]]-PROVEEDORES[[#This Row],[descuento sobre subtotal]])</f>
        <v>27000</v>
      </c>
      <c r="R1234" s="21">
        <f>+PROVEEDORES[[#This Row],[SUBTOTAL]]+PROVEEDORES[[#This Row],[IVA 19%]]-PROVEEDORES[[#This Row],[descuento sobre subtotal]]-PROVEEDORES[[#This Row],[Descuento sobre subtotal $2]]-PROVEEDORES[[#This Row],[Rete Fuente $]]</f>
        <v>1258200</v>
      </c>
      <c r="S12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4" s="68">
        <f ca="1">IF(PROVEEDORES[[#This Row],[FECHA DE PAGO]]=0,TODAY()-PROVEEDORES[[#This Row],[FECHA DE FACTURACIÓN]]-PROVEEDORES[[#This Row],[PLAZO Días]],0)</f>
        <v>0</v>
      </c>
      <c r="U1234" s="96" t="str">
        <f>+VLOOKUP(PROVEEDORES[[#This Row],[PROVEEDOR]],Terceros!$A:$D,4,FALSE)</f>
        <v>2,5% con base</v>
      </c>
      <c r="V1234" s="97">
        <f>+YEAR(PROVEEDORES[[#This Row],[FECHA DE FACTURACIÓN]])</f>
        <v>2021</v>
      </c>
      <c r="W1234" s="97">
        <f>+MATCH(PROVEEDORES[[#This Row],[año facturado]],Retenciones!$1:$1,0)</f>
        <v>4</v>
      </c>
      <c r="X1234" s="98">
        <f>+VLOOKUP(PROVEEDORES[[#This Row],[ID RETENCION]],Retenciones!$A$1:$O$25,PROVEEDORES[[#This Row],[indicador de columna]],FALSE)</f>
        <v>980000</v>
      </c>
      <c r="Y1234" s="99">
        <f>+VLOOKUP(PROVEEDORES[[#This Row],[ID RETENCION]],Retenciones!$A$1:$O$25,2,FALSE)</f>
        <v>2.5000000000000001E-2</v>
      </c>
      <c r="Z1234" s="125" t="b">
        <f>OR(COUNTIF(PROVEEDORES[[#This Row],[PROVEEDOR]],"*"&amp;'Palabra no opera'!$A$2&amp;"*"))</f>
        <v>0</v>
      </c>
      <c r="AA1234" s="24"/>
      <c r="AB1234" s="24"/>
      <c r="AC1234" s="24"/>
      <c r="AD1234" s="24"/>
      <c r="AE1234" s="24"/>
    </row>
    <row r="1235" spans="1:31" ht="22.2" customHeight="1" x14ac:dyDescent="0.3">
      <c r="A1235" s="112" t="str">
        <f>+IF(PROVEEDORES[[#This Row],[FECHA DE PAGO]]=PROVEEDORES[[#This Row],[FECHA DE FACTURACIÓN]],"DE CONTADO","CRÉDITO")</f>
        <v>CRÉDITO</v>
      </c>
      <c r="B1235" s="38" t="str">
        <f>+IF((PROVEEDORES[[#This Row],[FECHA DE PAGO]]-PROVEEDORES[[#This Row],[FECHA DE FACTURACIÓN]])&gt;PROVEEDORES[[#This Row],[PLAZO Días]],"PAGO VENCIDO")</f>
        <v>PAGO VENCIDO</v>
      </c>
      <c r="C1235" s="20">
        <f>+VLOOKUP(PROVEEDORES[[#This Row],[PROVEEDOR]],TERCEROS_INFO[#All],2,FALSE)</f>
        <v>30</v>
      </c>
      <c r="D1235" s="25">
        <f>+SUMIFS(PROVEEDORES[Total],PROVEEDORES[PROVEEDOR],PROVEEDORES[[#This Row],[PROVEEDOR]],PROVEEDORES[FECHA DE PAGO],"")</f>
        <v>23124164.219999999</v>
      </c>
      <c r="E1235" s="25"/>
      <c r="F123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35" s="161">
        <v>44704</v>
      </c>
      <c r="H1235" s="26" t="s">
        <v>18</v>
      </c>
      <c r="I1235" s="161">
        <v>44660</v>
      </c>
      <c r="J1235" s="35">
        <v>15</v>
      </c>
      <c r="K1235" s="21">
        <v>1083711.5</v>
      </c>
      <c r="L1235" s="21"/>
      <c r="M1235" s="22">
        <f>(PROVEEDORES[[#This Row],[SUBTOTAL]]-PROVEEDORES[[#This Row],[descuento sobre subtotal]])*VLOOKUP(PROVEEDORES[[#This Row],[PROVEEDOR]],TERCEROS_INFO[#All],3,FALSE)</f>
        <v>205905.185</v>
      </c>
      <c r="N1235" s="23"/>
      <c r="O1235" s="22">
        <f>+PROVEEDORES[[#This Row],[Descuento sobre subtotal %]]*(PROVEEDORES[[#This Row],[SUBTOTAL]]-PROVEEDORES[[#This Row],[descuento sobre subtotal]])</f>
        <v>0</v>
      </c>
      <c r="P1235" s="83">
        <f>+IF(PROVEEDORES[[#This Row],[SUBTOTAL]]&lt;PROVEEDORES[[#This Row],[base retencion]],0,PROVEEDORES[[#This Row],[retención aplicada]])</f>
        <v>2.5000000000000001E-2</v>
      </c>
      <c r="Q1235" s="22">
        <f>+PROVEEDORES[[#This Row],[Rete Fuente %]]*(PROVEEDORES[[#This Row],[SUBTOTAL]]-PROVEEDORES[[#This Row],[descuento sobre subtotal]])</f>
        <v>27092.787500000002</v>
      </c>
      <c r="R1235" s="21">
        <f>+PROVEEDORES[[#This Row],[SUBTOTAL]]+PROVEEDORES[[#This Row],[IVA 19%]]-PROVEEDORES[[#This Row],[descuento sobre subtotal]]-PROVEEDORES[[#This Row],[Descuento sobre subtotal $2]]-PROVEEDORES[[#This Row],[Rete Fuente $]]</f>
        <v>1262523.8975</v>
      </c>
      <c r="S1235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5" s="68">
        <f ca="1">IF(PROVEEDORES[[#This Row],[FECHA DE PAGO]]=0,TODAY()-PROVEEDORES[[#This Row],[FECHA DE FACTURACIÓN]]-PROVEEDORES[[#This Row],[PLAZO Días]],0)</f>
        <v>0</v>
      </c>
      <c r="U1235" s="113" t="str">
        <f>+VLOOKUP(PROVEEDORES[[#This Row],[PROVEEDOR]],Terceros!$A:$D,4,FALSE)</f>
        <v>2,5% con base</v>
      </c>
      <c r="V1235" s="114">
        <f>+YEAR(PROVEEDORES[[#This Row],[FECHA DE FACTURACIÓN]])</f>
        <v>2022</v>
      </c>
      <c r="W1235" s="114">
        <f>+MATCH(PROVEEDORES[[#This Row],[año facturado]],Retenciones!$1:$1,0)</f>
        <v>5</v>
      </c>
      <c r="X1235" s="115">
        <f>+VLOOKUP(PROVEEDORES[[#This Row],[ID RETENCION]],Retenciones!$A$1:$O$25,PROVEEDORES[[#This Row],[indicador de columna]],FALSE)</f>
        <v>1026000</v>
      </c>
      <c r="Y1235" s="116">
        <f>+VLOOKUP(PROVEEDORES[[#This Row],[ID RETENCION]],Retenciones!$A$1:$O$25,2,FALSE)</f>
        <v>2.5000000000000001E-2</v>
      </c>
      <c r="Z1235" s="125" t="b">
        <f>OR(COUNTIF(PROVEEDORES[[#This Row],[PROVEEDOR]],"*"&amp;'Palabra no opera'!$A$2&amp;"*"))</f>
        <v>0</v>
      </c>
      <c r="AA1235" s="24"/>
      <c r="AB1235" s="24"/>
      <c r="AC1235" s="24"/>
      <c r="AD1235" s="24"/>
      <c r="AE1235" s="24"/>
    </row>
    <row r="1236" spans="1:31" ht="22.2" customHeight="1" x14ac:dyDescent="0.3">
      <c r="A1236" s="66" t="str">
        <f>+IF(PROVEEDORES[[#This Row],[FECHA DE PAGO]]=PROVEEDORES[[#This Row],[FECHA DE FACTURACIÓN]],"DE CONTADO","CRÉDITO")</f>
        <v>CRÉDITO</v>
      </c>
      <c r="B1236" s="38" t="str">
        <f>+IF((PROVEEDORES[[#This Row],[FECHA DE PAGO]]-PROVEEDORES[[#This Row],[FECHA DE FACTURACIÓN]])&gt;PROVEEDORES[[#This Row],[PLAZO Días]],"PAGO VENCIDO")</f>
        <v>PAGO VENCIDO</v>
      </c>
      <c r="C1236" s="20">
        <f>+VLOOKUP(PROVEEDORES[[#This Row],[PROVEEDOR]],TERCEROS_INFO[#All],2,FALSE)</f>
        <v>30</v>
      </c>
      <c r="D1236" s="25">
        <f>+SUMIFS(PROVEEDORES[Total],PROVEEDORES[PROVEEDOR],PROVEEDORES[[#This Row],[PROVEEDOR]],PROVEEDORES[FECHA DE PAGO],"")</f>
        <v>0</v>
      </c>
      <c r="E1236" s="25"/>
      <c r="F1236" s="58">
        <f>+VLOOKUP(PROVEEDORES[[#This Row],[PROVEEDOR]],
                       Terceros!$A:$F,
                       5,
                       FALSE)</f>
        <v>0</v>
      </c>
      <c r="G1236" s="161">
        <v>44404</v>
      </c>
      <c r="H1236" s="26" t="s">
        <v>919</v>
      </c>
      <c r="I1236" s="161">
        <v>44366</v>
      </c>
      <c r="J1236" s="35" t="s">
        <v>1254</v>
      </c>
      <c r="K1236" s="21">
        <v>1264021</v>
      </c>
      <c r="L1236" s="21"/>
      <c r="M1236" s="22">
        <f>(PROVEEDORES[[#This Row],[SUBTOTAL]]-PROVEEDORES[[#This Row],[descuento sobre subtotal]])*VLOOKUP(PROVEEDORES[[#This Row],[PROVEEDOR]],TERCEROS_INFO[#All],3,FALSE)</f>
        <v>0</v>
      </c>
      <c r="N1236" s="23"/>
      <c r="O1236" s="22">
        <f>+PROVEEDORES[[#This Row],[Descuento sobre subtotal %]]*(PROVEEDORES[[#This Row],[SUBTOTAL]]-PROVEEDORES[[#This Row],[descuento sobre subtotal]])</f>
        <v>0</v>
      </c>
      <c r="P1236" s="83">
        <f>+IF(PROVEEDORES[[#This Row],[SUBTOTAL]]&lt;PROVEEDORES[[#This Row],[base retencion]],0,PROVEEDORES[[#This Row],[retención aplicada]])</f>
        <v>0</v>
      </c>
      <c r="Q1236" s="22">
        <f>+PROVEEDORES[[#This Row],[Rete Fuente %]]*(PROVEEDORES[[#This Row],[SUBTOTAL]]-PROVEEDORES[[#This Row],[descuento sobre subtotal]])</f>
        <v>0</v>
      </c>
      <c r="R1236" s="21">
        <f>+PROVEEDORES[[#This Row],[SUBTOTAL]]+PROVEEDORES[[#This Row],[IVA 19%]]-PROVEEDORES[[#This Row],[descuento sobre subtotal]]-PROVEEDORES[[#This Row],[Descuento sobre subtotal $2]]-PROVEEDORES[[#This Row],[Rete Fuente $]]</f>
        <v>1264021</v>
      </c>
      <c r="S12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6" s="68">
        <f ca="1">IF(PROVEEDORES[[#This Row],[FECHA DE PAGO]]=0,TODAY()-PROVEEDORES[[#This Row],[FECHA DE FACTURACIÓN]]-PROVEEDORES[[#This Row],[PLAZO Días]],0)</f>
        <v>0</v>
      </c>
      <c r="U1236" s="96">
        <f>+VLOOKUP(PROVEEDORES[[#This Row],[PROVEEDOR]],Terceros!$A:$D,4,FALSE)</f>
        <v>0</v>
      </c>
      <c r="V1236" s="97">
        <f>+YEAR(PROVEEDORES[[#This Row],[FECHA DE FACTURACIÓN]])</f>
        <v>2021</v>
      </c>
      <c r="W1236" s="97">
        <f>+MATCH(PROVEEDORES[[#This Row],[año facturado]],Retenciones!$1:$1,0)</f>
        <v>4</v>
      </c>
      <c r="X1236" s="98">
        <f>+VLOOKUP(PROVEEDORES[[#This Row],[ID RETENCION]],Retenciones!$A$1:$O$25,PROVEEDORES[[#This Row],[indicador de columna]],FALSE)</f>
        <v>0</v>
      </c>
      <c r="Y1236" s="99">
        <f>+VLOOKUP(PROVEEDORES[[#This Row],[ID RETENCION]],Retenciones!$A$1:$O$25,2,FALSE)</f>
        <v>0</v>
      </c>
      <c r="Z1236" s="125" t="b">
        <f>OR(COUNTIF(PROVEEDORES[[#This Row],[PROVEEDOR]],"*"&amp;'Palabra no opera'!$A$2&amp;"*"))</f>
        <v>1</v>
      </c>
      <c r="AA1236" s="24"/>
      <c r="AB1236" s="24"/>
      <c r="AC1236" s="24"/>
      <c r="AD1236" s="24"/>
      <c r="AE1236" s="24"/>
    </row>
    <row r="1237" spans="1:31" ht="22.2" customHeight="1" x14ac:dyDescent="0.3">
      <c r="A1237" s="66" t="str">
        <f>+IF(PROVEEDORES[[#This Row],[FECHA DE PAGO]]=PROVEEDORES[[#This Row],[FECHA DE FACTURACIÓN]],"DE CONTADO","CRÉDITO")</f>
        <v>CRÉDITO</v>
      </c>
      <c r="B1237" s="38" t="str">
        <f>+IF((PROVEEDORES[[#This Row],[FECHA DE PAGO]]-PROVEEDORES[[#This Row],[FECHA DE FACTURACIÓN]])&gt;PROVEEDORES[[#This Row],[PLAZO Días]],"PAGO VENCIDO")</f>
        <v>PAGO VENCIDO</v>
      </c>
      <c r="C1237" s="20">
        <f>+VLOOKUP(PROVEEDORES[[#This Row],[PROVEEDOR]],TERCEROS_INFO[#All],2,FALSE)</f>
        <v>90</v>
      </c>
      <c r="D1237" s="25">
        <f>+SUMIFS(PROVEEDORES[Total],PROVEEDORES[PROVEEDOR],PROVEEDORES[[#This Row],[PROVEEDOR]],PROVEEDORES[FECHA DE PAGO],"")</f>
        <v>26350422.770000003</v>
      </c>
      <c r="E1237" s="25"/>
      <c r="F123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237" s="161">
        <v>44517</v>
      </c>
      <c r="H1237" s="26" t="s">
        <v>12</v>
      </c>
      <c r="I1237" s="161">
        <v>44420</v>
      </c>
      <c r="J1237" s="35" t="s">
        <v>425</v>
      </c>
      <c r="K1237" s="21">
        <v>1086554</v>
      </c>
      <c r="L1237" s="21"/>
      <c r="M1237" s="22">
        <f>(PROVEEDORES[[#This Row],[SUBTOTAL]]-PROVEEDORES[[#This Row],[descuento sobre subtotal]])*VLOOKUP(PROVEEDORES[[#This Row],[PROVEEDOR]],TERCEROS_INFO[#All],3,FALSE)</f>
        <v>206445.26</v>
      </c>
      <c r="N1237" s="23"/>
      <c r="O1237" s="22">
        <f>+PROVEEDORES[[#This Row],[Descuento sobre subtotal %]]*(PROVEEDORES[[#This Row],[SUBTOTAL]]-PROVEEDORES[[#This Row],[descuento sobre subtotal]])</f>
        <v>0</v>
      </c>
      <c r="P1237" s="83">
        <f>+IF(PROVEEDORES[[#This Row],[SUBTOTAL]]&lt;PROVEEDORES[[#This Row],[base retencion]],0,PROVEEDORES[[#This Row],[retención aplicada]])</f>
        <v>2.5000000000000001E-2</v>
      </c>
      <c r="Q1237" s="22">
        <f>+PROVEEDORES[[#This Row],[Rete Fuente %]]*(PROVEEDORES[[#This Row],[SUBTOTAL]]-PROVEEDORES[[#This Row],[descuento sobre subtotal]])</f>
        <v>27163.850000000002</v>
      </c>
      <c r="R1237" s="21">
        <f>+PROVEEDORES[[#This Row],[SUBTOTAL]]+PROVEEDORES[[#This Row],[IVA 19%]]-PROVEEDORES[[#This Row],[descuento sobre subtotal]]-PROVEEDORES[[#This Row],[Descuento sobre subtotal $2]]-PROVEEDORES[[#This Row],[Rete Fuente $]]</f>
        <v>1265835.4099999999</v>
      </c>
      <c r="S12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68">
        <f ca="1">IF(PROVEEDORES[[#This Row],[FECHA DE PAGO]]=0,TODAY()-PROVEEDORES[[#This Row],[FECHA DE FACTURACIÓN]]-PROVEEDORES[[#This Row],[PLAZO Días]],0)</f>
        <v>0</v>
      </c>
      <c r="U1237" s="96" t="str">
        <f>+VLOOKUP(PROVEEDORES[[#This Row],[PROVEEDOR]],Terceros!$A:$D,4,FALSE)</f>
        <v>2,5% con base</v>
      </c>
      <c r="V1237" s="97">
        <f>+YEAR(PROVEEDORES[[#This Row],[FECHA DE FACTURACIÓN]])</f>
        <v>2021</v>
      </c>
      <c r="W1237" s="97">
        <f>+MATCH(PROVEEDORES[[#This Row],[año facturado]],Retenciones!$1:$1,0)</f>
        <v>4</v>
      </c>
      <c r="X1237" s="98">
        <f>+VLOOKUP(PROVEEDORES[[#This Row],[ID RETENCION]],Retenciones!$A$1:$O$25,PROVEEDORES[[#This Row],[indicador de columna]],FALSE)</f>
        <v>980000</v>
      </c>
      <c r="Y1237" s="99">
        <f>+VLOOKUP(PROVEEDORES[[#This Row],[ID RETENCION]],Retenciones!$A$1:$O$25,2,FALSE)</f>
        <v>2.5000000000000001E-2</v>
      </c>
      <c r="Z1237" s="125" t="b">
        <f>OR(COUNTIF(PROVEEDORES[[#This Row],[PROVEEDOR]],"*"&amp;'Palabra no opera'!$A$2&amp;"*"))</f>
        <v>0</v>
      </c>
      <c r="AA1237" s="24"/>
      <c r="AB1237" s="24"/>
      <c r="AC1237" s="24"/>
      <c r="AD1237" s="24"/>
      <c r="AE1237" s="24"/>
    </row>
    <row r="1238" spans="1:31" ht="22.2" customHeight="1" x14ac:dyDescent="0.3">
      <c r="A1238" s="66" t="str">
        <f>+IF(PROVEEDORES[[#This Row],[FECHA DE PAGO]]=PROVEEDORES[[#This Row],[FECHA DE FACTURACIÓN]],"DE CONTADO","CRÉDITO")</f>
        <v>CRÉDITO</v>
      </c>
      <c r="B1238" s="38" t="b">
        <f>+IF((PROVEEDORES[[#This Row],[FECHA DE PAGO]]-PROVEEDORES[[#This Row],[FECHA DE FACTURACIÓN]])&gt;PROVEEDORES[[#This Row],[PLAZO Días]],"PAGO VENCIDO")</f>
        <v>0</v>
      </c>
      <c r="C1238" s="20">
        <f>+VLOOKUP(PROVEEDORES[[#This Row],[PROVEEDOR]],TERCEROS_INFO[#All],2,FALSE)</f>
        <v>30</v>
      </c>
      <c r="D1238" s="25">
        <f>+SUMIFS(PROVEEDORES[Total],PROVEEDORES[PROVEEDOR],PROVEEDORES[[#This Row],[PROVEEDOR]],PROVEEDORES[FECHA DE PAGO],"")</f>
        <v>0</v>
      </c>
      <c r="E1238" s="25"/>
      <c r="F123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238" s="161">
        <v>44198</v>
      </c>
      <c r="H1238" s="26" t="s">
        <v>130</v>
      </c>
      <c r="I1238" s="161">
        <v>44219</v>
      </c>
      <c r="J1238" s="35" t="s">
        <v>169</v>
      </c>
      <c r="K1238" s="21">
        <v>1266000</v>
      </c>
      <c r="L1238" s="21"/>
      <c r="M1238" s="22">
        <f>(PROVEEDORES[[#This Row],[SUBTOTAL]]-PROVEEDORES[[#This Row],[descuento sobre subtotal]])*VLOOKUP(PROVEEDORES[[#This Row],[PROVEEDOR]],TERCEROS_INFO[#All],3,FALSE)</f>
        <v>0</v>
      </c>
      <c r="N1238" s="23"/>
      <c r="O1238" s="22">
        <f>+PROVEEDORES[[#This Row],[Descuento sobre subtotal %]]*(PROVEEDORES[[#This Row],[SUBTOTAL]]-PROVEEDORES[[#This Row],[descuento sobre subtotal]])</f>
        <v>0</v>
      </c>
      <c r="P1238" s="83">
        <f>+IF(PROVEEDORES[[#This Row],[SUBTOTAL]]&lt;PROVEEDORES[[#This Row],[base retencion]],0,PROVEEDORES[[#This Row],[retención aplicada]])</f>
        <v>0</v>
      </c>
      <c r="Q1238" s="22">
        <f>+PROVEEDORES[[#This Row],[Rete Fuente %]]*(PROVEEDORES[[#This Row],[SUBTOTAL]]-PROVEEDORES[[#This Row],[descuento sobre subtotal]])</f>
        <v>0</v>
      </c>
      <c r="R1238" s="21">
        <f>+PROVEEDORES[[#This Row],[SUBTOTAL]]+PROVEEDORES[[#This Row],[IVA 19%]]-PROVEEDORES[[#This Row],[descuento sobre subtotal]]-PROVEEDORES[[#This Row],[Descuento sobre subtotal $2]]-PROVEEDORES[[#This Row],[Rete Fuente $]]</f>
        <v>1266000</v>
      </c>
      <c r="S12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8" s="68">
        <f ca="1">IF(PROVEEDORES[[#This Row],[FECHA DE PAGO]]=0,TODAY()-PROVEEDORES[[#This Row],[FECHA DE FACTURACIÓN]]-PROVEEDORES[[#This Row],[PLAZO Días]],0)</f>
        <v>0</v>
      </c>
      <c r="U1238" s="96">
        <f>+VLOOKUP(PROVEEDORES[[#This Row],[PROVEEDOR]],Terceros!$A:$D,4,FALSE)</f>
        <v>0</v>
      </c>
      <c r="V1238" s="97">
        <f>+YEAR(PROVEEDORES[[#This Row],[FECHA DE FACTURACIÓN]])</f>
        <v>2021</v>
      </c>
      <c r="W1238" s="97">
        <f>+MATCH(PROVEEDORES[[#This Row],[año facturado]],Retenciones!$1:$1,0)</f>
        <v>4</v>
      </c>
      <c r="X1238" s="98">
        <f>+VLOOKUP(PROVEEDORES[[#This Row],[ID RETENCION]],Retenciones!$A$1:$O$25,PROVEEDORES[[#This Row],[indicador de columna]],FALSE)</f>
        <v>0</v>
      </c>
      <c r="Y1238" s="99">
        <f>+VLOOKUP(PROVEEDORES[[#This Row],[ID RETENCION]],Retenciones!$A$1:$O$25,2,FALSE)</f>
        <v>0</v>
      </c>
      <c r="Z1238" s="125" t="b">
        <f>OR(COUNTIF(PROVEEDORES[[#This Row],[PROVEEDOR]],"*"&amp;'Palabra no opera'!$A$2&amp;"*"))</f>
        <v>0</v>
      </c>
      <c r="AA1238" s="24"/>
      <c r="AB1238" s="24"/>
      <c r="AC1238" s="24"/>
      <c r="AD1238" s="24"/>
      <c r="AE1238" s="24"/>
    </row>
    <row r="1239" spans="1:31" ht="22.2" customHeight="1" x14ac:dyDescent="0.3">
      <c r="A1239" s="257" t="str">
        <f>+IF(PROVEEDORES[[#This Row],[FECHA DE PAGO]]=PROVEEDORES[[#This Row],[FECHA DE FACTURACIÓN]],"DE CONTADO","CRÉDITO")</f>
        <v>CRÉDITO</v>
      </c>
      <c r="B1239" s="38" t="b">
        <f>+IF((PROVEEDORES[[#This Row],[FECHA DE PAGO]]-PROVEEDORES[[#This Row],[FECHA DE FACTURACIÓN]])&gt;PROVEEDORES[[#This Row],[PLAZO Días]],"PAGO VENCIDO")</f>
        <v>0</v>
      </c>
      <c r="C1239" s="20">
        <f>+VLOOKUP(PROVEEDORES[[#This Row],[PROVEEDOR]],TERCEROS_INFO[#All],2,FALSE)</f>
        <v>30</v>
      </c>
      <c r="D1239" s="25">
        <f>+SUMIFS(PROVEEDORES[Total],PROVEEDORES[PROVEEDOR],PROVEEDORES[[#This Row],[PROVEEDOR]],PROVEEDORES[FECHA DE PAGO],"")</f>
        <v>1266521.4319</v>
      </c>
      <c r="E1239" s="25"/>
      <c r="F123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1239" s="26" t="s">
        <v>512</v>
      </c>
      <c r="I1239" s="161">
        <v>44834</v>
      </c>
      <c r="J1239" s="35" t="s">
        <v>1728</v>
      </c>
      <c r="K1239" s="21">
        <v>1087142.8600000001</v>
      </c>
      <c r="L1239" s="21"/>
      <c r="M1239" s="22">
        <f>(PROVEEDORES[[#This Row],[SUBTOTAL]]-PROVEEDORES[[#This Row],[descuento sobre subtotal]])*VLOOKUP(PROVEEDORES[[#This Row],[PROVEEDOR]],TERCEROS_INFO[#All],3,FALSE)</f>
        <v>206557.14340000003</v>
      </c>
      <c r="N1239" s="23"/>
      <c r="O1239" s="22">
        <f>+PROVEEDORES[[#This Row],[Descuento sobre subtotal %]]*(PROVEEDORES[[#This Row],[SUBTOTAL]]-PROVEEDORES[[#This Row],[descuento sobre subtotal]])</f>
        <v>0</v>
      </c>
      <c r="P1239" s="83">
        <f>+IF(PROVEEDORES[[#This Row],[SUBTOTAL]]&lt;PROVEEDORES[[#This Row],[base retencion]],0,PROVEEDORES[[#This Row],[retención aplicada]])</f>
        <v>2.5000000000000001E-2</v>
      </c>
      <c r="Q1239" s="22">
        <f>+PROVEEDORES[[#This Row],[Rete Fuente %]]*(PROVEEDORES[[#This Row],[SUBTOTAL]]-PROVEEDORES[[#This Row],[descuento sobre subtotal]])</f>
        <v>27178.571500000005</v>
      </c>
      <c r="R1239" s="21">
        <f>+PROVEEDORES[[#This Row],[SUBTOTAL]]+PROVEEDORES[[#This Row],[IVA 19%]]-PROVEEDORES[[#This Row],[descuento sobre subtotal]]-PROVEEDORES[[#This Row],[Descuento sobre subtotal $2]]-PROVEEDORES[[#This Row],[Rete Fuente $]]</f>
        <v>1266521.4319</v>
      </c>
      <c r="S1239" s="25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39" s="68">
        <f ca="1">IF(PROVEEDORES[[#This Row],[FECHA DE PAGO]]=0,TODAY()-PROVEEDORES[[#This Row],[FECHA DE FACTURACIÓN]]-PROVEEDORES[[#This Row],[PLAZO Días]],0)</f>
        <v>11</v>
      </c>
      <c r="U1239" s="113" t="str">
        <f>+VLOOKUP(PROVEEDORES[[#This Row],[PROVEEDOR]],Terceros!$A:$D,4,FALSE)</f>
        <v>2,5% con base</v>
      </c>
      <c r="V1239" s="114">
        <f>+YEAR(PROVEEDORES[[#This Row],[FECHA DE FACTURACIÓN]])</f>
        <v>2022</v>
      </c>
      <c r="W1239" s="114">
        <f>+MATCH(PROVEEDORES[[#This Row],[año facturado]],Retenciones!$1:$1,0)</f>
        <v>5</v>
      </c>
      <c r="X1239" s="115">
        <f>+VLOOKUP(PROVEEDORES[[#This Row],[ID RETENCION]],Retenciones!$A$1:$O$25,PROVEEDORES[[#This Row],[indicador de columna]],FALSE)</f>
        <v>1026000</v>
      </c>
      <c r="Y1239" s="116">
        <f>+VLOOKUP(PROVEEDORES[[#This Row],[ID RETENCION]],Retenciones!$A$1:$O$25,2,FALSE)</f>
        <v>2.5000000000000001E-2</v>
      </c>
      <c r="Z1239" s="125" t="b">
        <f>OR(COUNTIF(PROVEEDORES[[#This Row],[PROVEEDOR]],"*"&amp;'Palabra no opera'!$A$2&amp;"*"))</f>
        <v>0</v>
      </c>
      <c r="AA1239" s="24"/>
      <c r="AB1239" s="24"/>
      <c r="AC1239" s="24"/>
      <c r="AD1239" s="24"/>
      <c r="AE1239" s="24"/>
    </row>
    <row r="1240" spans="1:31" ht="22.2" customHeight="1" x14ac:dyDescent="0.3">
      <c r="A1240" s="66" t="str">
        <f>+IF(PROVEEDORES[[#This Row],[FECHA DE PAGO]]=PROVEEDORES[[#This Row],[FECHA DE FACTURACIÓN]],"DE CONTADO","CRÉDITO")</f>
        <v>CRÉDITO</v>
      </c>
      <c r="B1240" s="38" t="str">
        <f>+IF((PROVEEDORES[[#This Row],[FECHA DE PAGO]]-PROVEEDORES[[#This Row],[FECHA DE FACTURACIÓN]])&gt;PROVEEDORES[[#This Row],[PLAZO Días]],"PAGO VENCIDO")</f>
        <v>PAGO VENCIDO</v>
      </c>
      <c r="C1240" s="20">
        <f>+VLOOKUP(PROVEEDORES[[#This Row],[PROVEEDOR]],TERCEROS_INFO[#All],2,FALSE)</f>
        <v>30</v>
      </c>
      <c r="D1240" s="25">
        <f>+SUMIFS(PROVEEDORES[Total],PROVEEDORES[PROVEEDOR],PROVEEDORES[[#This Row],[PROVEEDOR]],PROVEEDORES[FECHA DE PAGO],"")</f>
        <v>0</v>
      </c>
      <c r="E1240" s="25"/>
      <c r="F124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40" s="161">
        <v>44335</v>
      </c>
      <c r="H1240" s="26" t="s">
        <v>20</v>
      </c>
      <c r="I1240" s="161">
        <v>44265</v>
      </c>
      <c r="J1240" s="35">
        <v>3556</v>
      </c>
      <c r="K1240" s="21">
        <v>1098280</v>
      </c>
      <c r="L1240" s="21"/>
      <c r="M1240" s="22">
        <f>(PROVEEDORES[[#This Row],[SUBTOTAL]]-PROVEEDORES[[#This Row],[descuento sobre subtotal]])*VLOOKUP(PROVEEDORES[[#This Row],[PROVEEDOR]],TERCEROS_INFO[#All],3,FALSE)</f>
        <v>208673.2</v>
      </c>
      <c r="N1240" s="23"/>
      <c r="O1240" s="22">
        <f>+PROVEEDORES[[#This Row],[Descuento sobre subtotal %]]*(PROVEEDORES[[#This Row],[SUBTOTAL]]-PROVEEDORES[[#This Row],[descuento sobre subtotal]])</f>
        <v>0</v>
      </c>
      <c r="P1240" s="83">
        <f>+IF(PROVEEDORES[[#This Row],[SUBTOTAL]]&lt;PROVEEDORES[[#This Row],[base retencion]],0,PROVEEDORES[[#This Row],[retención aplicada]])</f>
        <v>2.5000000000000001E-2</v>
      </c>
      <c r="Q1240" s="22">
        <f>+PROVEEDORES[[#This Row],[Rete Fuente %]]*(PROVEEDORES[[#This Row],[SUBTOTAL]]-PROVEEDORES[[#This Row],[descuento sobre subtotal]])</f>
        <v>27457</v>
      </c>
      <c r="R1240" s="21">
        <f>+PROVEEDORES[[#This Row],[SUBTOTAL]]+PROVEEDORES[[#This Row],[IVA 19%]]-PROVEEDORES[[#This Row],[descuento sobre subtotal]]-PROVEEDORES[[#This Row],[Descuento sobre subtotal $2]]-PROVEEDORES[[#This Row],[Rete Fuente $]]</f>
        <v>1279496.2</v>
      </c>
      <c r="S12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0" s="68">
        <f ca="1">IF(PROVEEDORES[[#This Row],[FECHA DE PAGO]]=0,TODAY()-PROVEEDORES[[#This Row],[FECHA DE FACTURACIÓN]]-PROVEEDORES[[#This Row],[PLAZO Días]],0)</f>
        <v>0</v>
      </c>
      <c r="U1240" s="96" t="str">
        <f>+VLOOKUP(PROVEEDORES[[#This Row],[PROVEEDOR]],Terceros!$A:$D,4,FALSE)</f>
        <v>2,5% con base</v>
      </c>
      <c r="V1240" s="97">
        <f>+YEAR(PROVEEDORES[[#This Row],[FECHA DE FACTURACIÓN]])</f>
        <v>2021</v>
      </c>
      <c r="W1240" s="97">
        <f>+MATCH(PROVEEDORES[[#This Row],[año facturado]],Retenciones!$1:$1,0)</f>
        <v>4</v>
      </c>
      <c r="X1240" s="98">
        <f>+VLOOKUP(PROVEEDORES[[#This Row],[ID RETENCION]],Retenciones!$A$1:$O$25,PROVEEDORES[[#This Row],[indicador de columna]],FALSE)</f>
        <v>980000</v>
      </c>
      <c r="Y1240" s="99">
        <f>+VLOOKUP(PROVEEDORES[[#This Row],[ID RETENCION]],Retenciones!$A$1:$O$25,2,FALSE)</f>
        <v>2.5000000000000001E-2</v>
      </c>
      <c r="Z1240" s="125" t="b">
        <f>OR(COUNTIF(PROVEEDORES[[#This Row],[PROVEEDOR]],"*"&amp;'Palabra no opera'!$A$2&amp;"*"))</f>
        <v>0</v>
      </c>
      <c r="AA1240" s="24"/>
      <c r="AB1240" s="24"/>
      <c r="AC1240" s="24"/>
      <c r="AD1240" s="24"/>
      <c r="AE1240" s="24"/>
    </row>
    <row r="1241" spans="1:31" ht="22.2" customHeight="1" x14ac:dyDescent="0.3">
      <c r="A1241" s="66" t="str">
        <f>+IF(PROVEEDORES[[#This Row],[FECHA DE PAGO]]=PROVEEDORES[[#This Row],[FECHA DE FACTURACIÓN]],"DE CONTADO","CRÉDITO")</f>
        <v>CRÉDITO</v>
      </c>
      <c r="B1241" s="38" t="str">
        <f>+IF((PROVEEDORES[[#This Row],[FECHA DE PAGO]]-PROVEEDORES[[#This Row],[FECHA DE FACTURACIÓN]])&gt;PROVEEDORES[[#This Row],[PLAZO Días]],"PAGO VENCIDO")</f>
        <v>PAGO VENCIDO</v>
      </c>
      <c r="C1241" s="20">
        <f>+VLOOKUP(PROVEEDORES[[#This Row],[PROVEEDOR]],TERCEROS_INFO[#All],2,FALSE)</f>
        <v>30</v>
      </c>
      <c r="D1241" s="25">
        <f>+SUMIFS(PROVEEDORES[Total],PROVEEDORES[PROVEEDOR],PROVEEDORES[[#This Row],[PROVEEDOR]],PROVEEDORES[FECHA DE PAGO],"")</f>
        <v>0</v>
      </c>
      <c r="E1241" s="25"/>
      <c r="F124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241" s="161">
        <v>44348</v>
      </c>
      <c r="H1241" s="26" t="s">
        <v>26</v>
      </c>
      <c r="I1241" s="161">
        <v>44274</v>
      </c>
      <c r="J1241" s="35" t="s">
        <v>241</v>
      </c>
      <c r="K1241" s="21">
        <v>1100000</v>
      </c>
      <c r="L1241" s="21"/>
      <c r="M1241" s="22">
        <f>(PROVEEDORES[[#This Row],[SUBTOTAL]]-PROVEEDORES[[#This Row],[descuento sobre subtotal]])*VLOOKUP(PROVEEDORES[[#This Row],[PROVEEDOR]],TERCEROS_INFO[#All],3,FALSE)</f>
        <v>209000</v>
      </c>
      <c r="N1241" s="23"/>
      <c r="O1241" s="22">
        <f>+PROVEEDORES[[#This Row],[Descuento sobre subtotal %]]*(PROVEEDORES[[#This Row],[SUBTOTAL]]-PROVEEDORES[[#This Row],[descuento sobre subtotal]])</f>
        <v>0</v>
      </c>
      <c r="P1241" s="83">
        <f>+IF(PROVEEDORES[[#This Row],[SUBTOTAL]]&lt;PROVEEDORES[[#This Row],[base retencion]],0,PROVEEDORES[[#This Row],[retención aplicada]])</f>
        <v>2.5000000000000001E-2</v>
      </c>
      <c r="Q1241" s="22">
        <f>+PROVEEDORES[[#This Row],[Rete Fuente %]]*(PROVEEDORES[[#This Row],[SUBTOTAL]]-PROVEEDORES[[#This Row],[descuento sobre subtotal]])</f>
        <v>27500</v>
      </c>
      <c r="R1241" s="21">
        <f>+PROVEEDORES[[#This Row],[SUBTOTAL]]+PROVEEDORES[[#This Row],[IVA 19%]]-PROVEEDORES[[#This Row],[descuento sobre subtotal]]-PROVEEDORES[[#This Row],[Descuento sobre subtotal $2]]-PROVEEDORES[[#This Row],[Rete Fuente $]]</f>
        <v>1281500</v>
      </c>
      <c r="S12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1" s="68">
        <f ca="1">IF(PROVEEDORES[[#This Row],[FECHA DE PAGO]]=0,TODAY()-PROVEEDORES[[#This Row],[FECHA DE FACTURACIÓN]]-PROVEEDORES[[#This Row],[PLAZO Días]],0)</f>
        <v>0</v>
      </c>
      <c r="U1241" s="96" t="str">
        <f>+VLOOKUP(PROVEEDORES[[#This Row],[PROVEEDOR]],Terceros!$A:$D,4,FALSE)</f>
        <v>2,5% con base</v>
      </c>
      <c r="V1241" s="97">
        <f>+YEAR(PROVEEDORES[[#This Row],[FECHA DE FACTURACIÓN]])</f>
        <v>2021</v>
      </c>
      <c r="W1241" s="97">
        <f>+MATCH(PROVEEDORES[[#This Row],[año facturado]],Retenciones!$1:$1,0)</f>
        <v>4</v>
      </c>
      <c r="X1241" s="98">
        <f>+VLOOKUP(PROVEEDORES[[#This Row],[ID RETENCION]],Retenciones!$A$1:$O$25,PROVEEDORES[[#This Row],[indicador de columna]],FALSE)</f>
        <v>980000</v>
      </c>
      <c r="Y1241" s="99">
        <f>+VLOOKUP(PROVEEDORES[[#This Row],[ID RETENCION]],Retenciones!$A$1:$O$25,2,FALSE)</f>
        <v>2.5000000000000001E-2</v>
      </c>
      <c r="Z1241" s="125" t="b">
        <f>OR(COUNTIF(PROVEEDORES[[#This Row],[PROVEEDOR]],"*"&amp;'Palabra no opera'!$A$2&amp;"*"))</f>
        <v>0</v>
      </c>
      <c r="AA1241" s="24"/>
      <c r="AB1241" s="24"/>
      <c r="AC1241" s="24"/>
      <c r="AD1241" s="24"/>
      <c r="AE1241" s="24"/>
    </row>
    <row r="1242" spans="1:31" ht="22.2" customHeight="1" x14ac:dyDescent="0.3">
      <c r="A1242" s="72" t="str">
        <f>+IF(PROVEEDORES[[#This Row],[FECHA DE PAGO]]=PROVEEDORES[[#This Row],[FECHA DE FACTURACIÓN]],"DE CONTADO","CRÉDITO")</f>
        <v>CRÉDITO</v>
      </c>
      <c r="B1242" s="38" t="str">
        <f>+IF((PROVEEDORES[[#This Row],[FECHA DE PAGO]]-PROVEEDORES[[#This Row],[FECHA DE FACTURACIÓN]])&gt;PROVEEDORES[[#This Row],[PLAZO Días]],"PAGO VENCIDO")</f>
        <v>PAGO VENCIDO</v>
      </c>
      <c r="C1242" s="20">
        <f>+VLOOKUP(PROVEEDORES[[#This Row],[PROVEEDOR]],TERCEROS_INFO[#All],2,FALSE)</f>
        <v>30</v>
      </c>
      <c r="D1242" s="25">
        <f>+SUMIFS(PROVEEDORES[Total],PROVEEDORES[PROVEEDOR],PROVEEDORES[[#This Row],[PROVEEDOR]],PROVEEDORES[FECHA DE PAGO],"")</f>
        <v>0</v>
      </c>
      <c r="E1242" s="25"/>
      <c r="F1242" s="58" t="str">
        <f>+VLOOKUP(PROVEEDORES[[#This Row],[PROVEEDOR]],
                       Terceros!$A:$F,
                       5,
                       FALSE)</f>
        <v/>
      </c>
      <c r="G1242" s="161">
        <v>44867</v>
      </c>
      <c r="H1242" s="267" t="s">
        <v>1705</v>
      </c>
      <c r="I1242" s="161">
        <v>44820</v>
      </c>
      <c r="J1242" s="35" t="s">
        <v>1706</v>
      </c>
      <c r="K1242" s="21">
        <v>1942500</v>
      </c>
      <c r="L1242" s="21"/>
      <c r="M1242" s="22">
        <f>(PROVEEDORES[[#This Row],[SUBTOTAL]]-PROVEEDORES[[#This Row],[descuento sobre subtotal]])*VLOOKUP(PROVEEDORES[[#This Row],[PROVEEDOR]],TERCEROS_INFO[#All],3,FALSE)</f>
        <v>0</v>
      </c>
      <c r="N1242" s="23">
        <v>0.34</v>
      </c>
      <c r="O1242" s="22">
        <f>+PROVEEDORES[[#This Row],[Descuento sobre subtotal %]]*(PROVEEDORES[[#This Row],[SUBTOTAL]]-PROVEEDORES[[#This Row],[descuento sobre subtotal]])</f>
        <v>660450</v>
      </c>
      <c r="P1242" s="83">
        <f>+IF(PROVEEDORES[[#This Row],[SUBTOTAL]]&lt;PROVEEDORES[[#This Row],[base retencion]],0,PROVEEDORES[[#This Row],[retención aplicada]])</f>
        <v>0</v>
      </c>
      <c r="Q1242" s="22">
        <f>+PROVEEDORES[[#This Row],[Rete Fuente %]]*(PROVEEDORES[[#This Row],[SUBTOTAL]]-PROVEEDORES[[#This Row],[descuento sobre subtotal]])</f>
        <v>0</v>
      </c>
      <c r="R1242" s="21">
        <f>+PROVEEDORES[[#This Row],[SUBTOTAL]]+PROVEEDORES[[#This Row],[IVA 19%]]-PROVEEDORES[[#This Row],[descuento sobre subtotal]]-PROVEEDORES[[#This Row],[Descuento sobre subtotal $2]]-PROVEEDORES[[#This Row],[Rete Fuente $]]</f>
        <v>1282050</v>
      </c>
      <c r="S124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2" s="68">
        <f ca="1">IF(PROVEEDORES[[#This Row],[FECHA DE PAGO]]=0,TODAY()-PROVEEDORES[[#This Row],[FECHA DE FACTURACIÓN]]-PROVEEDORES[[#This Row],[PLAZO Días]],0)</f>
        <v>0</v>
      </c>
      <c r="U1242" s="113">
        <f>+VLOOKUP(PROVEEDORES[[#This Row],[PROVEEDOR]],Terceros!$A:$D,4,FALSE)</f>
        <v>0</v>
      </c>
      <c r="V1242" s="114">
        <f>+YEAR(PROVEEDORES[[#This Row],[FECHA DE FACTURACIÓN]])</f>
        <v>2022</v>
      </c>
      <c r="W1242" s="114">
        <f>+MATCH(PROVEEDORES[[#This Row],[año facturado]],Retenciones!$1:$1,0)</f>
        <v>5</v>
      </c>
      <c r="X1242" s="115">
        <f>+VLOOKUP(PROVEEDORES[[#This Row],[ID RETENCION]],Retenciones!$A$1:$O$25,PROVEEDORES[[#This Row],[indicador de columna]],FALSE)</f>
        <v>0</v>
      </c>
      <c r="Y1242" s="116">
        <f>+VLOOKUP(PROVEEDORES[[#This Row],[ID RETENCION]],Retenciones!$A$1:$O$25,2,FALSE)</f>
        <v>0</v>
      </c>
      <c r="Z1242" s="125" t="b">
        <f>OR(COUNTIF(PROVEEDORES[[#This Row],[PROVEEDOR]],"*"&amp;'Palabra no opera'!$A$2&amp;"*"))</f>
        <v>0</v>
      </c>
      <c r="AA1242" s="24"/>
      <c r="AB1242" s="24"/>
      <c r="AC1242" s="24"/>
      <c r="AD1242" s="24"/>
      <c r="AE1242" s="24"/>
    </row>
    <row r="1243" spans="1:31" ht="22.2" customHeight="1" x14ac:dyDescent="0.3">
      <c r="A1243" s="72" t="str">
        <f>+IF(PROVEEDORES[[#This Row],[FECHA DE PAGO]]=PROVEEDORES[[#This Row],[FECHA DE FACTURACIÓN]],"DE CONTADO","CRÉDITO")</f>
        <v>DE CONTADO</v>
      </c>
      <c r="B1243" s="38" t="b">
        <f>+IF((PROVEEDORES[[#This Row],[FECHA DE PAGO]]-PROVEEDORES[[#This Row],[FECHA DE FACTURACIÓN]])&gt;PROVEEDORES[[#This Row],[PLAZO Días]],"PAGO VENCIDO")</f>
        <v>0</v>
      </c>
      <c r="C1243" s="20">
        <f>+VLOOKUP(PROVEEDORES[[#This Row],[PROVEEDOR]],TERCEROS_INFO[#All],2,FALSE)</f>
        <v>30</v>
      </c>
      <c r="D1243" s="25">
        <f>+SUMIFS(PROVEEDORES[Total],PROVEEDORES[PROVEEDOR],PROVEEDORES[[#This Row],[PROVEEDOR]],PROVEEDORES[FECHA DE PAGO],"")</f>
        <v>0</v>
      </c>
      <c r="E1243" s="25"/>
      <c r="F1243" s="58" t="str">
        <f>+VLOOKUP(PROVEEDORES[[#This Row],[PROVEEDOR]],
                       Terceros!$A:$F,
                       5,
                       FALSE)</f>
        <v/>
      </c>
      <c r="G1243" s="161">
        <v>44742</v>
      </c>
      <c r="H1243" s="26" t="s">
        <v>644</v>
      </c>
      <c r="I1243" s="161">
        <v>44742</v>
      </c>
      <c r="J1243" s="35" t="s">
        <v>174</v>
      </c>
      <c r="K1243" s="21">
        <v>1283400</v>
      </c>
      <c r="L1243" s="21"/>
      <c r="M1243" s="22">
        <f>(PROVEEDORES[[#This Row],[SUBTOTAL]]-PROVEEDORES[[#This Row],[descuento sobre subtotal]])*VLOOKUP(PROVEEDORES[[#This Row],[PROVEEDOR]],TERCEROS_INFO[#All],3,FALSE)</f>
        <v>0</v>
      </c>
      <c r="N1243" s="23"/>
      <c r="O1243" s="22">
        <f>+PROVEEDORES[[#This Row],[Descuento sobre subtotal %]]*(PROVEEDORES[[#This Row],[SUBTOTAL]]-PROVEEDORES[[#This Row],[descuento sobre subtotal]])</f>
        <v>0</v>
      </c>
      <c r="P1243" s="83">
        <f>+IF(PROVEEDORES[[#This Row],[SUBTOTAL]]&lt;PROVEEDORES[[#This Row],[base retencion]],0,PROVEEDORES[[#This Row],[retención aplicada]])</f>
        <v>0</v>
      </c>
      <c r="Q1243" s="22">
        <f>+PROVEEDORES[[#This Row],[Rete Fuente %]]*(PROVEEDORES[[#This Row],[SUBTOTAL]]-PROVEEDORES[[#This Row],[descuento sobre subtotal]])</f>
        <v>0</v>
      </c>
      <c r="R1243" s="21">
        <f>+PROVEEDORES[[#This Row],[SUBTOTAL]]+PROVEEDORES[[#This Row],[IVA 19%]]-PROVEEDORES[[#This Row],[descuento sobre subtotal]]-PROVEEDORES[[#This Row],[Descuento sobre subtotal $2]]-PROVEEDORES[[#This Row],[Rete Fuente $]]</f>
        <v>1283400</v>
      </c>
      <c r="S124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3" s="68">
        <f ca="1">IF(PROVEEDORES[[#This Row],[FECHA DE PAGO]]=0,TODAY()-PROVEEDORES[[#This Row],[FECHA DE FACTURACIÓN]]-PROVEEDORES[[#This Row],[PLAZO Días]],0)</f>
        <v>0</v>
      </c>
      <c r="U1243" s="113">
        <f>+VLOOKUP(PROVEEDORES[[#This Row],[PROVEEDOR]],Terceros!$A:$D,4,FALSE)</f>
        <v>0</v>
      </c>
      <c r="V1243" s="114">
        <f>+YEAR(PROVEEDORES[[#This Row],[FECHA DE FACTURACIÓN]])</f>
        <v>2022</v>
      </c>
      <c r="W1243" s="114">
        <f>+MATCH(PROVEEDORES[[#This Row],[año facturado]],Retenciones!$1:$1,0)</f>
        <v>5</v>
      </c>
      <c r="X1243" s="115">
        <f>+VLOOKUP(PROVEEDORES[[#This Row],[ID RETENCION]],Retenciones!$A$1:$O$25,PROVEEDORES[[#This Row],[indicador de columna]],FALSE)</f>
        <v>0</v>
      </c>
      <c r="Y1243" s="116">
        <f>+VLOOKUP(PROVEEDORES[[#This Row],[ID RETENCION]],Retenciones!$A$1:$O$25,2,FALSE)</f>
        <v>0</v>
      </c>
      <c r="Z1243" s="125" t="b">
        <f>OR(COUNTIF(PROVEEDORES[[#This Row],[PROVEEDOR]],"*"&amp;'Palabra no opera'!$A$2&amp;"*"))</f>
        <v>0</v>
      </c>
      <c r="AA1243" s="24"/>
      <c r="AB1243" s="24"/>
      <c r="AC1243" s="24"/>
      <c r="AD1243" s="24"/>
      <c r="AE1243" s="24"/>
    </row>
    <row r="1244" spans="1:31" ht="22.2" customHeight="1" x14ac:dyDescent="0.3">
      <c r="A1244" s="66" t="str">
        <f>+IF(PROVEEDORES[[#This Row],[FECHA DE PAGO]]=PROVEEDORES[[#This Row],[FECHA DE FACTURACIÓN]],"DE CONTADO","CRÉDITO")</f>
        <v>CRÉDITO</v>
      </c>
      <c r="B1244" s="38" t="str">
        <f>+IF((PROVEEDORES[[#This Row],[FECHA DE PAGO]]-PROVEEDORES[[#This Row],[FECHA DE FACTURACIÓN]])&gt;PROVEEDORES[[#This Row],[PLAZO Días]],"PAGO VENCIDO")</f>
        <v>PAGO VENCIDO</v>
      </c>
      <c r="C1244" s="20">
        <f>+VLOOKUP(PROVEEDORES[[#This Row],[PROVEEDOR]],TERCEROS_INFO[#All],2,FALSE)</f>
        <v>30</v>
      </c>
      <c r="D1244" s="25">
        <f>+SUMIFS(PROVEEDORES[Total],PROVEEDORES[PROVEEDOR],PROVEEDORES[[#This Row],[PROVEEDOR]],PROVEEDORES[FECHA DE PAGO],"")</f>
        <v>0</v>
      </c>
      <c r="E1244" s="25"/>
      <c r="F1244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244" s="161">
        <v>44396</v>
      </c>
      <c r="H1244" s="26" t="s">
        <v>24</v>
      </c>
      <c r="I1244" s="161">
        <v>44351</v>
      </c>
      <c r="J1244" s="35" t="s">
        <v>344</v>
      </c>
      <c r="K1244" s="21">
        <v>1106676</v>
      </c>
      <c r="L1244" s="21"/>
      <c r="M1244" s="22">
        <f>(PROVEEDORES[[#This Row],[SUBTOTAL]]-PROVEEDORES[[#This Row],[descuento sobre subtotal]])*VLOOKUP(PROVEEDORES[[#This Row],[PROVEEDOR]],TERCEROS_INFO[#All],3,FALSE)</f>
        <v>210268.44</v>
      </c>
      <c r="N1244" s="23"/>
      <c r="O1244" s="22">
        <f>+PROVEEDORES[[#This Row],[Descuento sobre subtotal %]]*(PROVEEDORES[[#This Row],[SUBTOTAL]]-PROVEEDORES[[#This Row],[descuento sobre subtotal]])</f>
        <v>0</v>
      </c>
      <c r="P1244" s="83">
        <f>+IF(PROVEEDORES[[#This Row],[SUBTOTAL]]&lt;PROVEEDORES[[#This Row],[base retencion]],0,PROVEEDORES[[#This Row],[retención aplicada]])</f>
        <v>2.5000000000000001E-2</v>
      </c>
      <c r="Q1244" s="22">
        <f>+PROVEEDORES[[#This Row],[Rete Fuente %]]*(PROVEEDORES[[#This Row],[SUBTOTAL]]-PROVEEDORES[[#This Row],[descuento sobre subtotal]])</f>
        <v>27666.9</v>
      </c>
      <c r="R1244" s="21">
        <f>+PROVEEDORES[[#This Row],[SUBTOTAL]]+PROVEEDORES[[#This Row],[IVA 19%]]-PROVEEDORES[[#This Row],[descuento sobre subtotal]]-PROVEEDORES[[#This Row],[Descuento sobre subtotal $2]]-PROVEEDORES[[#This Row],[Rete Fuente $]]</f>
        <v>1289277.54</v>
      </c>
      <c r="S12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4" s="68">
        <f ca="1">IF(PROVEEDORES[[#This Row],[FECHA DE PAGO]]=0,TODAY()-PROVEEDORES[[#This Row],[FECHA DE FACTURACIÓN]]-PROVEEDORES[[#This Row],[PLAZO Días]],0)</f>
        <v>0</v>
      </c>
      <c r="U1244" s="96" t="str">
        <f>+VLOOKUP(PROVEEDORES[[#This Row],[PROVEEDOR]],Terceros!$A:$D,4,FALSE)</f>
        <v>2,5% con base</v>
      </c>
      <c r="V1244" s="97">
        <f>+YEAR(PROVEEDORES[[#This Row],[FECHA DE FACTURACIÓN]])</f>
        <v>2021</v>
      </c>
      <c r="W1244" s="97">
        <f>+MATCH(PROVEEDORES[[#This Row],[año facturado]],Retenciones!$1:$1,0)</f>
        <v>4</v>
      </c>
      <c r="X1244" s="98">
        <f>+VLOOKUP(PROVEEDORES[[#This Row],[ID RETENCION]],Retenciones!$A$1:$O$25,PROVEEDORES[[#This Row],[indicador de columna]],FALSE)</f>
        <v>980000</v>
      </c>
      <c r="Y1244" s="99">
        <f>+VLOOKUP(PROVEEDORES[[#This Row],[ID RETENCION]],Retenciones!$A$1:$O$25,2,FALSE)</f>
        <v>2.5000000000000001E-2</v>
      </c>
      <c r="Z1244" s="125" t="b">
        <f>OR(COUNTIF(PROVEEDORES[[#This Row],[PROVEEDOR]],"*"&amp;'Palabra no opera'!$A$2&amp;"*"))</f>
        <v>0</v>
      </c>
      <c r="AA1244" s="24"/>
      <c r="AB1244" s="24"/>
      <c r="AC1244" s="24"/>
      <c r="AD1244" s="24"/>
      <c r="AE1244" s="24"/>
    </row>
    <row r="1245" spans="1:31" ht="22.2" customHeight="1" x14ac:dyDescent="0.3">
      <c r="A1245" s="66" t="str">
        <f>+IF(PROVEEDORES[[#This Row],[FECHA DE PAGO]]=PROVEEDORES[[#This Row],[FECHA DE FACTURACIÓN]],"DE CONTADO","CRÉDITO")</f>
        <v>CRÉDITO</v>
      </c>
      <c r="B1245" s="38" t="str">
        <f>+IF((PROVEEDORES[[#This Row],[FECHA DE PAGO]]-PROVEEDORES[[#This Row],[FECHA DE FACTURACIÓN]])&gt;PROVEEDORES[[#This Row],[PLAZO Días]],"PAGO VENCIDO")</f>
        <v>PAGO VENCIDO</v>
      </c>
      <c r="C1245" s="20">
        <f>+VLOOKUP(PROVEEDORES[[#This Row],[PROVEEDOR]],TERCEROS_INFO[#All],2,FALSE)</f>
        <v>90</v>
      </c>
      <c r="D1245" s="25">
        <f>+SUMIFS(PROVEEDORES[Total],PROVEEDORES[PROVEEDOR],PROVEEDORES[[#This Row],[PROVEEDOR]],PROVEEDORES[FECHA DE PAGO],"")</f>
        <v>75241004.385000005</v>
      </c>
      <c r="E1245" s="25"/>
      <c r="F124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245" s="161">
        <v>44366</v>
      </c>
      <c r="H1245" s="26" t="s">
        <v>77</v>
      </c>
      <c r="I1245" s="161">
        <v>44188</v>
      </c>
      <c r="J1245" s="35" t="s">
        <v>93</v>
      </c>
      <c r="K1245" s="21">
        <v>1109243.6974789917</v>
      </c>
      <c r="L1245" s="21"/>
      <c r="M1245" s="22">
        <f>(PROVEEDORES[[#This Row],[SUBTOTAL]]-PROVEEDORES[[#This Row],[descuento sobre subtotal]])*VLOOKUP(PROVEEDORES[[#This Row],[PROVEEDOR]],TERCEROS_INFO[#All],3,FALSE)</f>
        <v>210756.30252100842</v>
      </c>
      <c r="N1245" s="23"/>
      <c r="O1245" s="22">
        <f>+PROVEEDORES[[#This Row],[Descuento sobre subtotal %]]*(PROVEEDORES[[#This Row],[SUBTOTAL]]-PROVEEDORES[[#This Row],[descuento sobre subtotal]])</f>
        <v>0</v>
      </c>
      <c r="P1245" s="83">
        <f>+IF(PROVEEDORES[[#This Row],[SUBTOTAL]]&lt;PROVEEDORES[[#This Row],[base retencion]],0,PROVEEDORES[[#This Row],[retención aplicada]])</f>
        <v>2.5000000000000001E-2</v>
      </c>
      <c r="Q1245" s="22">
        <f>+PROVEEDORES[[#This Row],[Rete Fuente %]]*(PROVEEDORES[[#This Row],[SUBTOTAL]]-PROVEEDORES[[#This Row],[descuento sobre subtotal]])</f>
        <v>27731.092436974795</v>
      </c>
      <c r="R1245" s="21">
        <f>+PROVEEDORES[[#This Row],[SUBTOTAL]]+PROVEEDORES[[#This Row],[IVA 19%]]-PROVEEDORES[[#This Row],[descuento sobre subtotal]]-PROVEEDORES[[#This Row],[Descuento sobre subtotal $2]]-PROVEEDORES[[#This Row],[Rete Fuente $]]</f>
        <v>1292268.9075630251</v>
      </c>
      <c r="S12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68">
        <f ca="1">IF(PROVEEDORES[[#This Row],[FECHA DE PAGO]]=0,TODAY()-PROVEEDORES[[#This Row],[FECHA DE FACTURACIÓN]]-PROVEEDORES[[#This Row],[PLAZO Días]],0)</f>
        <v>0</v>
      </c>
      <c r="U1245" s="96" t="str">
        <f>+VLOOKUP(PROVEEDORES[[#This Row],[PROVEEDOR]],Terceros!$A:$D,4,FALSE)</f>
        <v>2,5% con base</v>
      </c>
      <c r="V1245" s="97">
        <f>+YEAR(PROVEEDORES[[#This Row],[FECHA DE FACTURACIÓN]])</f>
        <v>2020</v>
      </c>
      <c r="W1245" s="97">
        <f>+MATCH(PROVEEDORES[[#This Row],[año facturado]],Retenciones!$1:$1,0)</f>
        <v>3</v>
      </c>
      <c r="X1245" s="98">
        <f>+VLOOKUP(PROVEEDORES[[#This Row],[ID RETENCION]],Retenciones!$A$1:$O$25,PROVEEDORES[[#This Row],[indicador de columna]],FALSE)</f>
        <v>961000</v>
      </c>
      <c r="Y1245" s="99">
        <f>+VLOOKUP(PROVEEDORES[[#This Row],[ID RETENCION]],Retenciones!$A$1:$O$25,2,FALSE)</f>
        <v>2.5000000000000001E-2</v>
      </c>
      <c r="Z1245" s="125" t="b">
        <f>OR(COUNTIF(PROVEEDORES[[#This Row],[PROVEEDOR]],"*"&amp;'Palabra no opera'!$A$2&amp;"*"))</f>
        <v>0</v>
      </c>
      <c r="AA1245" s="24"/>
      <c r="AB1245" s="24"/>
      <c r="AC1245" s="24"/>
      <c r="AD1245" s="24"/>
      <c r="AE1245" s="24"/>
    </row>
    <row r="1246" spans="1:31" ht="22.2" customHeight="1" x14ac:dyDescent="0.3">
      <c r="A1246" s="66" t="str">
        <f>+IF(PROVEEDORES[[#This Row],[FECHA DE PAGO]]=PROVEEDORES[[#This Row],[FECHA DE FACTURACIÓN]],"DE CONTADO","CRÉDITO")</f>
        <v>CRÉDITO</v>
      </c>
      <c r="B1246" s="38" t="str">
        <f>+IF((PROVEEDORES[[#This Row],[FECHA DE PAGO]]-PROVEEDORES[[#This Row],[FECHA DE FACTURACIÓN]])&gt;PROVEEDORES[[#This Row],[PLAZO Días]],"PAGO VENCIDO")</f>
        <v>PAGO VENCIDO</v>
      </c>
      <c r="C1246" s="20">
        <f>+VLOOKUP(PROVEEDORES[[#This Row],[PROVEEDOR]],TERCEROS_INFO[#All],2,FALSE)</f>
        <v>30</v>
      </c>
      <c r="D1246" s="25">
        <f>+SUMIFS(PROVEEDORES[Total],PROVEEDORES[PROVEEDOR],PROVEEDORES[[#This Row],[PROVEEDOR]],PROVEEDORES[FECHA DE PAGO],"")</f>
        <v>0</v>
      </c>
      <c r="E1246" s="25"/>
      <c r="F1246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246" s="161">
        <v>44214</v>
      </c>
      <c r="H1246" s="26" t="s">
        <v>49</v>
      </c>
      <c r="I1246" s="161">
        <v>44166</v>
      </c>
      <c r="J1246" s="35">
        <v>732</v>
      </c>
      <c r="K1246" s="21">
        <v>1110619.9495798319</v>
      </c>
      <c r="L1246" s="21"/>
      <c r="M1246" s="22">
        <f>(PROVEEDORES[[#This Row],[SUBTOTAL]]-PROVEEDORES[[#This Row],[descuento sobre subtotal]])*VLOOKUP(PROVEEDORES[[#This Row],[PROVEEDOR]],TERCEROS_INFO[#All],3,FALSE)</f>
        <v>211017.79042016808</v>
      </c>
      <c r="N1246" s="23"/>
      <c r="O1246" s="22">
        <f>+PROVEEDORES[[#This Row],[Descuento sobre subtotal %]]*(PROVEEDORES[[#This Row],[SUBTOTAL]]-PROVEEDORES[[#This Row],[descuento sobre subtotal]])</f>
        <v>0</v>
      </c>
      <c r="P1246" s="83">
        <f>+IF(PROVEEDORES[[#This Row],[SUBTOTAL]]&lt;PROVEEDORES[[#This Row],[base retencion]],0,PROVEEDORES[[#This Row],[retención aplicada]])</f>
        <v>2.5000000000000001E-2</v>
      </c>
      <c r="Q1246" s="22">
        <f>+PROVEEDORES[[#This Row],[Rete Fuente %]]*(PROVEEDORES[[#This Row],[SUBTOTAL]]-PROVEEDORES[[#This Row],[descuento sobre subtotal]])</f>
        <v>27765.498739495801</v>
      </c>
      <c r="R1246" s="21">
        <f>+PROVEEDORES[[#This Row],[SUBTOTAL]]+PROVEEDORES[[#This Row],[IVA 19%]]-PROVEEDORES[[#This Row],[descuento sobre subtotal]]-PROVEEDORES[[#This Row],[Descuento sobre subtotal $2]]-PROVEEDORES[[#This Row],[Rete Fuente $]]</f>
        <v>1293872.2412605041</v>
      </c>
      <c r="S12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6" s="68">
        <f ca="1">IF(PROVEEDORES[[#This Row],[FECHA DE PAGO]]=0,TODAY()-PROVEEDORES[[#This Row],[FECHA DE FACTURACIÓN]]-PROVEEDORES[[#This Row],[PLAZO Días]],0)</f>
        <v>0</v>
      </c>
      <c r="U1246" s="96" t="str">
        <f>+VLOOKUP(PROVEEDORES[[#This Row],[PROVEEDOR]],Terceros!$A:$D,4,FALSE)</f>
        <v>2,5% con base</v>
      </c>
      <c r="V1246" s="97">
        <f>+YEAR(PROVEEDORES[[#This Row],[FECHA DE FACTURACIÓN]])</f>
        <v>2020</v>
      </c>
      <c r="W1246" s="97">
        <f>+MATCH(PROVEEDORES[[#This Row],[año facturado]],Retenciones!$1:$1,0)</f>
        <v>3</v>
      </c>
      <c r="X1246" s="98">
        <f>+VLOOKUP(PROVEEDORES[[#This Row],[ID RETENCION]],Retenciones!$A$1:$O$25,PROVEEDORES[[#This Row],[indicador de columna]],FALSE)</f>
        <v>961000</v>
      </c>
      <c r="Y1246" s="99">
        <f>+VLOOKUP(PROVEEDORES[[#This Row],[ID RETENCION]],Retenciones!$A$1:$O$25,2,FALSE)</f>
        <v>2.5000000000000001E-2</v>
      </c>
      <c r="Z1246" s="125" t="b">
        <f>OR(COUNTIF(PROVEEDORES[[#This Row],[PROVEEDOR]],"*"&amp;'Palabra no opera'!$A$2&amp;"*"))</f>
        <v>0</v>
      </c>
      <c r="AA1246" s="24"/>
      <c r="AB1246" s="24"/>
      <c r="AC1246" s="24"/>
      <c r="AD1246" s="24"/>
      <c r="AE1246" s="24"/>
    </row>
    <row r="1247" spans="1:31" ht="22.2" customHeight="1" x14ac:dyDescent="0.3">
      <c r="A1247" s="66" t="str">
        <f>+IF(PROVEEDORES[[#This Row],[FECHA DE PAGO]]=PROVEEDORES[[#This Row],[FECHA DE FACTURACIÓN]],"DE CONTADO","CRÉDITO")</f>
        <v>CRÉDITO</v>
      </c>
      <c r="B1247" s="38" t="str">
        <f>+IF((PROVEEDORES[[#This Row],[FECHA DE PAGO]]-PROVEEDORES[[#This Row],[FECHA DE FACTURACIÓN]])&gt;PROVEEDORES[[#This Row],[PLAZO Días]],"PAGO VENCIDO")</f>
        <v>PAGO VENCIDO</v>
      </c>
      <c r="C1247" s="20">
        <f>+VLOOKUP(PROVEEDORES[[#This Row],[PROVEEDOR]],TERCEROS_INFO[#All],2,FALSE)</f>
        <v>30</v>
      </c>
      <c r="D1247" s="25">
        <f>+SUMIFS(PROVEEDORES[Total],PROVEEDORES[PROVEEDOR],PROVEEDORES[[#This Row],[PROVEEDOR]],PROVEEDORES[FECHA DE PAGO],"")</f>
        <v>2223034.2400000002</v>
      </c>
      <c r="E1247" s="25"/>
      <c r="F124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47" s="161">
        <v>44348</v>
      </c>
      <c r="H1247" s="26" t="s">
        <v>216</v>
      </c>
      <c r="I1247" s="161">
        <v>44218</v>
      </c>
      <c r="J1247" s="35">
        <v>134</v>
      </c>
      <c r="K1247" s="21">
        <v>1112605</v>
      </c>
      <c r="L1247" s="21"/>
      <c r="M1247" s="22">
        <f>(PROVEEDORES[[#This Row],[SUBTOTAL]]-PROVEEDORES[[#This Row],[descuento sobre subtotal]])*VLOOKUP(PROVEEDORES[[#This Row],[PROVEEDOR]],TERCEROS_INFO[#All],3,FALSE)</f>
        <v>211394.95</v>
      </c>
      <c r="N1247" s="23"/>
      <c r="O1247" s="22">
        <f>+PROVEEDORES[[#This Row],[Descuento sobre subtotal %]]*(PROVEEDORES[[#This Row],[SUBTOTAL]]-PROVEEDORES[[#This Row],[descuento sobre subtotal]])</f>
        <v>0</v>
      </c>
      <c r="P1247" s="83">
        <f>+IF(PROVEEDORES[[#This Row],[SUBTOTAL]]&lt;PROVEEDORES[[#This Row],[base retencion]],0,PROVEEDORES[[#This Row],[retención aplicada]])</f>
        <v>2.5000000000000001E-2</v>
      </c>
      <c r="Q1247" s="22">
        <f>+PROVEEDORES[[#This Row],[Rete Fuente %]]*(PROVEEDORES[[#This Row],[SUBTOTAL]]-PROVEEDORES[[#This Row],[descuento sobre subtotal]])</f>
        <v>27815.125</v>
      </c>
      <c r="R1247" s="21">
        <f>+PROVEEDORES[[#This Row],[SUBTOTAL]]+PROVEEDORES[[#This Row],[IVA 19%]]-PROVEEDORES[[#This Row],[descuento sobre subtotal]]-PROVEEDORES[[#This Row],[Descuento sobre subtotal $2]]-PROVEEDORES[[#This Row],[Rete Fuente $]]</f>
        <v>1296184.825</v>
      </c>
      <c r="S12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68">
        <f ca="1">IF(PROVEEDORES[[#This Row],[FECHA DE PAGO]]=0,TODAY()-PROVEEDORES[[#This Row],[FECHA DE FACTURACIÓN]]-PROVEEDORES[[#This Row],[PLAZO Días]],0)</f>
        <v>0</v>
      </c>
      <c r="U1247" s="96" t="str">
        <f>+VLOOKUP(PROVEEDORES[[#This Row],[PROVEEDOR]],Terceros!$A:$D,4,FALSE)</f>
        <v>2,5% con base</v>
      </c>
      <c r="V1247" s="97">
        <f>+YEAR(PROVEEDORES[[#This Row],[FECHA DE FACTURACIÓN]])</f>
        <v>2021</v>
      </c>
      <c r="W1247" s="97">
        <f>+MATCH(PROVEEDORES[[#This Row],[año facturado]],Retenciones!$1:$1,0)</f>
        <v>4</v>
      </c>
      <c r="X1247" s="98">
        <f>+VLOOKUP(PROVEEDORES[[#This Row],[ID RETENCION]],Retenciones!$A$1:$O$25,PROVEEDORES[[#This Row],[indicador de columna]],FALSE)</f>
        <v>980000</v>
      </c>
      <c r="Y1247" s="99">
        <f>+VLOOKUP(PROVEEDORES[[#This Row],[ID RETENCION]],Retenciones!$A$1:$O$25,2,FALSE)</f>
        <v>2.5000000000000001E-2</v>
      </c>
      <c r="Z1247" s="125" t="b">
        <f>OR(COUNTIF(PROVEEDORES[[#This Row],[PROVEEDOR]],"*"&amp;'Palabra no opera'!$A$2&amp;"*"))</f>
        <v>0</v>
      </c>
      <c r="AA1247" s="24"/>
      <c r="AB1247" s="24"/>
      <c r="AC1247" s="24"/>
      <c r="AD1247" s="24"/>
      <c r="AE1247" s="24"/>
    </row>
    <row r="1248" spans="1:31" ht="22.2" customHeight="1" x14ac:dyDescent="0.3">
      <c r="A1248" s="66" t="str">
        <f>+IF(PROVEEDORES[[#This Row],[FECHA DE PAGO]]=PROVEEDORES[[#This Row],[FECHA DE FACTURACIÓN]],"DE CONTADO","CRÉDITO")</f>
        <v>DE CONTADO</v>
      </c>
      <c r="B1248" s="38" t="b">
        <f>+IF((PROVEEDORES[[#This Row],[FECHA DE PAGO]]-PROVEEDORES[[#This Row],[FECHA DE FACTURACIÓN]])&gt;PROVEEDORES[[#This Row],[PLAZO Días]],"PAGO VENCIDO")</f>
        <v>0</v>
      </c>
      <c r="C1248" s="20">
        <f>+VLOOKUP(PROVEEDORES[[#This Row],[PROVEEDOR]],TERCEROS_INFO[#All],2,FALSE)</f>
        <v>30</v>
      </c>
      <c r="D1248" s="25">
        <f>+SUMIFS(PROVEEDORES[Total],PROVEEDORES[PROVEEDOR],PROVEEDORES[[#This Row],[PROVEEDOR]],PROVEEDORES[FECHA DE PAGO],"")</f>
        <v>0</v>
      </c>
      <c r="E1248" s="25"/>
      <c r="F1248" s="58" t="str">
        <f>+VLOOKUP(PROVEEDORES[[#This Row],[PROVEEDOR]],
                       Terceros!$A:$F,
                       5,
                       FALSE)</f>
        <v/>
      </c>
      <c r="G1248" s="161">
        <v>44650</v>
      </c>
      <c r="H1248" s="26" t="s">
        <v>673</v>
      </c>
      <c r="I1248" s="161">
        <v>44650</v>
      </c>
      <c r="J1248" s="35"/>
      <c r="K1248" s="21">
        <v>1300000</v>
      </c>
      <c r="L1248" s="21"/>
      <c r="M1248" s="22">
        <v>0</v>
      </c>
      <c r="N1248" s="23"/>
      <c r="O1248" s="22">
        <v>0</v>
      </c>
      <c r="P1248" s="83">
        <f>+IF(PROVEEDORES[[#This Row],[SUBTOTAL]]&lt;PROVEEDORES[[#This Row],[base retencion]],0,PROVEEDORES[[#This Row],[retención aplicada]])</f>
        <v>0</v>
      </c>
      <c r="Q1248" s="22">
        <f>+PROVEEDORES[[#This Row],[Rete Fuente %]]*(PROVEEDORES[[#This Row],[SUBTOTAL]]-PROVEEDORES[[#This Row],[descuento sobre subtotal]])</f>
        <v>0</v>
      </c>
      <c r="R1248" s="21">
        <v>1300000</v>
      </c>
      <c r="S12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8" s="68">
        <f ca="1">IF(PROVEEDORES[[#This Row],[FECHA DE PAGO]]=0,TODAY()-PROVEEDORES[[#This Row],[FECHA DE FACTURACIÓN]]-PROVEEDORES[[#This Row],[PLAZO Días]],0)</f>
        <v>0</v>
      </c>
      <c r="U1248" s="96">
        <f>+VLOOKUP(PROVEEDORES[[#This Row],[PROVEEDOR]],Terceros!$A:$D,4,FALSE)</f>
        <v>0</v>
      </c>
      <c r="V1248" s="97">
        <f>+YEAR(PROVEEDORES[[#This Row],[FECHA DE FACTURACIÓN]])</f>
        <v>2022</v>
      </c>
      <c r="W1248" s="97">
        <f>+MATCH(PROVEEDORES[[#This Row],[año facturado]],Retenciones!$1:$1,0)</f>
        <v>5</v>
      </c>
      <c r="X1248" s="98">
        <f>+VLOOKUP(PROVEEDORES[[#This Row],[ID RETENCION]],Retenciones!$A$1:$O$25,PROVEEDORES[[#This Row],[indicador de columna]],FALSE)</f>
        <v>0</v>
      </c>
      <c r="Y1248" s="99">
        <f>+VLOOKUP(PROVEEDORES[[#This Row],[ID RETENCION]],Retenciones!$A$1:$O$25,2,FALSE)</f>
        <v>0</v>
      </c>
      <c r="Z1248" s="125" t="b">
        <f>OR(COUNTIF(PROVEEDORES[[#This Row],[PROVEEDOR]],"*"&amp;'Palabra no opera'!$A$2&amp;"*"))</f>
        <v>0</v>
      </c>
      <c r="AA1248" s="24"/>
      <c r="AB1248" s="24"/>
      <c r="AC1248" s="24"/>
      <c r="AD1248" s="24"/>
      <c r="AE1248" s="24"/>
    </row>
    <row r="1249" spans="1:31" ht="22.2" customHeight="1" x14ac:dyDescent="0.3">
      <c r="A1249" s="123" t="str">
        <f>+IF(PROVEEDORES[[#This Row],[FECHA DE PAGO]]=PROVEEDORES[[#This Row],[FECHA DE FACTURACIÓN]],"DE CONTADO","CRÉDITO")</f>
        <v>DE CONTADO</v>
      </c>
      <c r="B1249" s="38" t="b">
        <f>+IF((PROVEEDORES[[#This Row],[FECHA DE PAGO]]-PROVEEDORES[[#This Row],[FECHA DE FACTURACIÓN]])&gt;PROVEEDORES[[#This Row],[PLAZO Días]],"PAGO VENCIDO")</f>
        <v>0</v>
      </c>
      <c r="C1249" s="20">
        <f>+VLOOKUP(PROVEEDORES[[#This Row],[PROVEEDOR]],TERCEROS_INFO[#All],2,FALSE)</f>
        <v>30</v>
      </c>
      <c r="D1249" s="25">
        <f>+SUMIFS(PROVEEDORES[Total],PROVEEDORES[PROVEEDOR],PROVEEDORES[[#This Row],[PROVEEDOR]],PROVEEDORES[FECHA DE PAGO],"")</f>
        <v>0</v>
      </c>
      <c r="E1249" s="25"/>
      <c r="F1249" s="58" t="str">
        <f>+VLOOKUP(PROVEEDORES[[#This Row],[PROVEEDOR]],
                       Terceros!$A:$F,
                       5,
                       FALSE)</f>
        <v/>
      </c>
      <c r="G1249" s="161">
        <v>44680</v>
      </c>
      <c r="H1249" s="26" t="s">
        <v>661</v>
      </c>
      <c r="I1249" s="161">
        <v>44680</v>
      </c>
      <c r="J1249" s="35" t="s">
        <v>1381</v>
      </c>
      <c r="K1249" s="21">
        <v>1300000</v>
      </c>
      <c r="L1249" s="21"/>
      <c r="M1249" s="22">
        <f>(PROVEEDORES[[#This Row],[SUBTOTAL]]-PROVEEDORES[[#This Row],[descuento sobre subtotal]])*VLOOKUP(PROVEEDORES[[#This Row],[PROVEEDOR]],TERCEROS_INFO[#All],3,FALSE)</f>
        <v>0</v>
      </c>
      <c r="N1249" s="23"/>
      <c r="O1249" s="22">
        <f>+PROVEEDORES[[#This Row],[Descuento sobre subtotal %]]*(PROVEEDORES[[#This Row],[SUBTOTAL]]-PROVEEDORES[[#This Row],[descuento sobre subtotal]])</f>
        <v>0</v>
      </c>
      <c r="P1249" s="83">
        <f>+IF(PROVEEDORES[[#This Row],[SUBTOTAL]]&lt;PROVEEDORES[[#This Row],[base retencion]],0,PROVEEDORES[[#This Row],[retención aplicada]])</f>
        <v>0</v>
      </c>
      <c r="Q1249" s="22">
        <f>+PROVEEDORES[[#This Row],[Rete Fuente %]]*(PROVEEDORES[[#This Row],[SUBTOTAL]]-PROVEEDORES[[#This Row],[descuento sobre subtotal]])</f>
        <v>0</v>
      </c>
      <c r="R1249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1249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9" s="68">
        <f ca="1">IF(PROVEEDORES[[#This Row],[FECHA DE PAGO]]=0,TODAY()-PROVEEDORES[[#This Row],[FECHA DE FACTURACIÓN]]-PROVEEDORES[[#This Row],[PLAZO Días]],0)</f>
        <v>0</v>
      </c>
      <c r="U1249" s="113">
        <f>+VLOOKUP(PROVEEDORES[[#This Row],[PROVEEDOR]],Terceros!$A:$D,4,FALSE)</f>
        <v>0</v>
      </c>
      <c r="V1249" s="114">
        <f>+YEAR(PROVEEDORES[[#This Row],[FECHA DE FACTURACIÓN]])</f>
        <v>2022</v>
      </c>
      <c r="W1249" s="114">
        <f>+MATCH(PROVEEDORES[[#This Row],[año facturado]],Retenciones!$1:$1,0)</f>
        <v>5</v>
      </c>
      <c r="X1249" s="115">
        <f>+VLOOKUP(PROVEEDORES[[#This Row],[ID RETENCION]],Retenciones!$A$1:$O$25,PROVEEDORES[[#This Row],[indicador de columna]],FALSE)</f>
        <v>0</v>
      </c>
      <c r="Y1249" s="116">
        <f>+VLOOKUP(PROVEEDORES[[#This Row],[ID RETENCION]],Retenciones!$A$1:$O$25,2,FALSE)</f>
        <v>0</v>
      </c>
      <c r="Z1249" s="125" t="b">
        <f>OR(COUNTIF(PROVEEDORES[[#This Row],[PROVEEDOR]],"*"&amp;'Palabra no opera'!$A$2&amp;"*"))</f>
        <v>0</v>
      </c>
      <c r="AA1249" s="24"/>
      <c r="AB1249" s="24"/>
      <c r="AC1249" s="24"/>
      <c r="AD1249" s="24"/>
      <c r="AE1249" s="24"/>
    </row>
    <row r="1250" spans="1:31" ht="22.2" customHeight="1" x14ac:dyDescent="0.3">
      <c r="A1250" s="135" t="str">
        <f>+IF(PROVEEDORES[[#This Row],[FECHA DE PAGO]]=PROVEEDORES[[#This Row],[FECHA DE FACTURACIÓN]],"DE CONTADO","CRÉDITO")</f>
        <v>CRÉDITO</v>
      </c>
      <c r="B1250" s="38" t="str">
        <f>+IF((PROVEEDORES[[#This Row],[FECHA DE PAGO]]-PROVEEDORES[[#This Row],[FECHA DE FACTURACIÓN]])&gt;PROVEEDORES[[#This Row],[PLAZO Días]],"PAGO VENCIDO")</f>
        <v>PAGO VENCIDO</v>
      </c>
      <c r="C1250" s="20">
        <f>+VLOOKUP(PROVEEDORES[[#This Row],[PROVEEDOR]],TERCEROS_INFO[#All],2,FALSE)</f>
        <v>30</v>
      </c>
      <c r="D1250" s="25">
        <f>+SUMIFS(PROVEEDORES[Total],PROVEEDORES[PROVEEDOR],PROVEEDORES[[#This Row],[PROVEEDOR]],PROVEEDORES[FECHA DE PAGO],"")</f>
        <v>0</v>
      </c>
      <c r="E1250" s="25"/>
      <c r="F1250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250" s="161">
        <v>44754</v>
      </c>
      <c r="H1250" s="26" t="s">
        <v>688</v>
      </c>
      <c r="I1250" s="161">
        <v>44688</v>
      </c>
      <c r="J1250" s="35" t="s">
        <v>1592</v>
      </c>
      <c r="K1250" s="21">
        <v>1300000</v>
      </c>
      <c r="L1250" s="21"/>
      <c r="M1250" s="22">
        <f>(PROVEEDORES[[#This Row],[SUBTOTAL]]-PROVEEDORES[[#This Row],[descuento sobre subtotal]])*VLOOKUP(PROVEEDORES[[#This Row],[PROVEEDOR]],TERCEROS_INFO[#All],3,FALSE)</f>
        <v>0</v>
      </c>
      <c r="N1250" s="23"/>
      <c r="O1250" s="22">
        <f>+PROVEEDORES[[#This Row],[Descuento sobre subtotal %]]*(PROVEEDORES[[#This Row],[SUBTOTAL]]-PROVEEDORES[[#This Row],[descuento sobre subtotal]])</f>
        <v>0</v>
      </c>
      <c r="P1250" s="83">
        <f>+IF(PROVEEDORES[[#This Row],[SUBTOTAL]]&lt;PROVEEDORES[[#This Row],[base retencion]],0,PROVEEDORES[[#This Row],[retención aplicada]])</f>
        <v>0</v>
      </c>
      <c r="Q1250" s="22">
        <f>+PROVEEDORES[[#This Row],[Rete Fuente %]]*(PROVEEDORES[[#This Row],[SUBTOTAL]]-PROVEEDORES[[#This Row],[descuento sobre subtotal]])</f>
        <v>0</v>
      </c>
      <c r="R1250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1250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0" s="68">
        <f ca="1">IF(PROVEEDORES[[#This Row],[FECHA DE PAGO]]=0,TODAY()-PROVEEDORES[[#This Row],[FECHA DE FACTURACIÓN]]-PROVEEDORES[[#This Row],[PLAZO Días]],0)</f>
        <v>0</v>
      </c>
      <c r="U1250" s="113">
        <f>+VLOOKUP(PROVEEDORES[[#This Row],[PROVEEDOR]],Terceros!$A:$D,4,FALSE)</f>
        <v>0</v>
      </c>
      <c r="V1250" s="114">
        <f>+YEAR(PROVEEDORES[[#This Row],[FECHA DE FACTURACIÓN]])</f>
        <v>2022</v>
      </c>
      <c r="W1250" s="114">
        <f>+MATCH(PROVEEDORES[[#This Row],[año facturado]],Retenciones!$1:$1,0)</f>
        <v>5</v>
      </c>
      <c r="X1250" s="115">
        <f>+VLOOKUP(PROVEEDORES[[#This Row],[ID RETENCION]],Retenciones!$A$1:$O$25,PROVEEDORES[[#This Row],[indicador de columna]],FALSE)</f>
        <v>0</v>
      </c>
      <c r="Y1250" s="116">
        <f>+VLOOKUP(PROVEEDORES[[#This Row],[ID RETENCION]],Retenciones!$A$1:$O$25,2,FALSE)</f>
        <v>0</v>
      </c>
      <c r="Z1250" s="125" t="b">
        <f>OR(COUNTIF(PROVEEDORES[[#This Row],[PROVEEDOR]],"*"&amp;'Palabra no opera'!$A$2&amp;"*"))</f>
        <v>0</v>
      </c>
      <c r="AA1250" s="24"/>
      <c r="AB1250" s="24"/>
      <c r="AC1250" s="24"/>
      <c r="AD1250" s="24"/>
      <c r="AE1250" s="24"/>
    </row>
    <row r="1251" spans="1:31" ht="22.2" customHeight="1" x14ac:dyDescent="0.3">
      <c r="A1251" s="66" t="str">
        <f>+IF(PROVEEDORES[[#This Row],[FECHA DE PAGO]]=PROVEEDORES[[#This Row],[FECHA DE FACTURACIÓN]],"DE CONTADO","CRÉDITO")</f>
        <v>CRÉDITO</v>
      </c>
      <c r="B1251" s="38" t="b">
        <f>+IF((PROVEEDORES[[#This Row],[FECHA DE PAGO]]-PROVEEDORES[[#This Row],[FECHA DE FACTURACIÓN]])&gt;PROVEEDORES[[#This Row],[PLAZO Días]],"PAGO VENCIDO")</f>
        <v>0</v>
      </c>
      <c r="C1251" s="20">
        <f>+VLOOKUP(PROVEEDORES[[#This Row],[PROVEEDOR]],TERCEROS_INFO[#All],2,FALSE)</f>
        <v>30</v>
      </c>
      <c r="D1251" s="25">
        <f>+SUMIFS(PROVEEDORES[Total],PROVEEDORES[PROVEEDOR],PROVEEDORES[[#This Row],[PROVEEDOR]],PROVEEDORES[FECHA DE PAGO],"")</f>
        <v>2318500</v>
      </c>
      <c r="E1251" s="25"/>
      <c r="F1251" s="58" t="str">
        <f>+VLOOKUP(PROVEEDORES[[#This Row],[PROVEEDOR]],
                       Terceros!$A:$F,
                       5,
                       FALSE)</f>
        <v/>
      </c>
      <c r="G1251" s="161">
        <v>44606</v>
      </c>
      <c r="H1251" s="26" t="s">
        <v>629</v>
      </c>
      <c r="I1251" s="161">
        <v>44576</v>
      </c>
      <c r="J1251" s="35" t="s">
        <v>1373</v>
      </c>
      <c r="K1251" s="21">
        <v>1306000</v>
      </c>
      <c r="L1251" s="21"/>
      <c r="M1251" s="22">
        <f>(PROVEEDORES[[#This Row],[SUBTOTAL]]-PROVEEDORES[[#This Row],[descuento sobre subtotal]])*VLOOKUP(PROVEEDORES[[#This Row],[PROVEEDOR]],TERCEROS_INFO[#All],3,FALSE)</f>
        <v>0</v>
      </c>
      <c r="N1251" s="23"/>
      <c r="O1251" s="22">
        <f>+PROVEEDORES[[#This Row],[Descuento sobre subtotal %]]*(PROVEEDORES[[#This Row],[SUBTOTAL]]-PROVEEDORES[[#This Row],[descuento sobre subtotal]])</f>
        <v>0</v>
      </c>
      <c r="P1251" s="83">
        <f>+IF(PROVEEDORES[[#This Row],[SUBTOTAL]]&lt;PROVEEDORES[[#This Row],[base retencion]],0,PROVEEDORES[[#This Row],[retención aplicada]])</f>
        <v>0</v>
      </c>
      <c r="Q1251" s="22">
        <f>+PROVEEDORES[[#This Row],[Rete Fuente %]]*(PROVEEDORES[[#This Row],[SUBTOTAL]]-PROVEEDORES[[#This Row],[descuento sobre subtotal]])</f>
        <v>0</v>
      </c>
      <c r="R1251" s="21">
        <v>1306000</v>
      </c>
      <c r="S12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68">
        <f ca="1">IF(PROVEEDORES[[#This Row],[FECHA DE PAGO]]=0,TODAY()-PROVEEDORES[[#This Row],[FECHA DE FACTURACIÓN]]-PROVEEDORES[[#This Row],[PLAZO Días]],0)</f>
        <v>0</v>
      </c>
      <c r="U1251" s="96">
        <f>+VLOOKUP(PROVEEDORES[[#This Row],[PROVEEDOR]],Terceros!$A:$D,4,FALSE)</f>
        <v>0</v>
      </c>
      <c r="V1251" s="97">
        <f>+YEAR(PROVEEDORES[[#This Row],[FECHA DE FACTURACIÓN]])</f>
        <v>2022</v>
      </c>
      <c r="W1251" s="97">
        <f>+MATCH(PROVEEDORES[[#This Row],[año facturado]],Retenciones!$1:$1,0)</f>
        <v>5</v>
      </c>
      <c r="X1251" s="98">
        <f>+VLOOKUP(PROVEEDORES[[#This Row],[ID RETENCION]],Retenciones!$A$1:$O$25,PROVEEDORES[[#This Row],[indicador de columna]],FALSE)</f>
        <v>0</v>
      </c>
      <c r="Y1251" s="99">
        <f>+VLOOKUP(PROVEEDORES[[#This Row],[ID RETENCION]],Retenciones!$A$1:$O$25,2,FALSE)</f>
        <v>0</v>
      </c>
      <c r="Z1251" s="125" t="b">
        <f>OR(COUNTIF(PROVEEDORES[[#This Row],[PROVEEDOR]],"*"&amp;'Palabra no opera'!$A$2&amp;"*"))</f>
        <v>0</v>
      </c>
      <c r="AA1251" s="24"/>
      <c r="AB1251" s="24"/>
      <c r="AC1251" s="24"/>
      <c r="AD1251" s="24"/>
      <c r="AE1251" s="24"/>
    </row>
    <row r="1252" spans="1:31" ht="22.2" customHeight="1" x14ac:dyDescent="0.3">
      <c r="A1252" s="112" t="str">
        <f>+IF(PROVEEDORES[[#This Row],[FECHA DE PAGO]]=PROVEEDORES[[#This Row],[FECHA DE FACTURACIÓN]],"DE CONTADO","CRÉDITO")</f>
        <v>CRÉDITO</v>
      </c>
      <c r="B1252" s="38" t="str">
        <f>+IF((PROVEEDORES[[#This Row],[FECHA DE PAGO]]-PROVEEDORES[[#This Row],[FECHA DE FACTURACIÓN]])&gt;PROVEEDORES[[#This Row],[PLAZO Días]],"PAGO VENCIDO")</f>
        <v>PAGO VENCIDO</v>
      </c>
      <c r="C1252" s="20">
        <f>+VLOOKUP(PROVEEDORES[[#This Row],[PROVEEDOR]],TERCEROS_INFO[#All],2,FALSE)</f>
        <v>30</v>
      </c>
      <c r="D1252" s="25">
        <f>+SUMIFS(PROVEEDORES[Total],PROVEEDORES[PROVEEDOR],PROVEEDORES[[#This Row],[PROVEEDOR]],PROVEEDORES[FECHA DE PAGO],"")</f>
        <v>1354000</v>
      </c>
      <c r="E1252" s="25"/>
      <c r="F125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52" s="161">
        <v>44671</v>
      </c>
      <c r="H1252" s="26" t="s">
        <v>699</v>
      </c>
      <c r="I1252" s="161">
        <v>44511</v>
      </c>
      <c r="J1252" s="35" t="s">
        <v>1523</v>
      </c>
      <c r="K1252" s="21">
        <v>1306000</v>
      </c>
      <c r="L1252" s="21"/>
      <c r="M1252" s="22">
        <f>(PROVEEDORES[[#This Row],[SUBTOTAL]]-PROVEEDORES[[#This Row],[descuento sobre subtotal]])*VLOOKUP(PROVEEDORES[[#This Row],[PROVEEDOR]],TERCEROS_INFO[#All],3,FALSE)</f>
        <v>0</v>
      </c>
      <c r="N1252" s="23"/>
      <c r="O1252" s="22">
        <f>+PROVEEDORES[[#This Row],[Descuento sobre subtotal %]]*(PROVEEDORES[[#This Row],[SUBTOTAL]]-PROVEEDORES[[#This Row],[descuento sobre subtotal]])</f>
        <v>0</v>
      </c>
      <c r="P1252" s="83">
        <f>+IF(PROVEEDORES[[#This Row],[SUBTOTAL]]&lt;PROVEEDORES[[#This Row],[base retencion]],0,PROVEEDORES[[#This Row],[retención aplicada]])</f>
        <v>0</v>
      </c>
      <c r="Q1252" s="22">
        <f>+PROVEEDORES[[#This Row],[Rete Fuente %]]*(PROVEEDORES[[#This Row],[SUBTOTAL]]-PROVEEDORES[[#This Row],[descuento sobre subtotal]])</f>
        <v>0</v>
      </c>
      <c r="R1252" s="21">
        <f>+PROVEEDORES[[#This Row],[SUBTOTAL]]+PROVEEDORES[[#This Row],[IVA 19%]]-PROVEEDORES[[#This Row],[descuento sobre subtotal]]-PROVEEDORES[[#This Row],[Descuento sobre subtotal $2]]-PROVEEDORES[[#This Row],[Rete Fuente $]]</f>
        <v>1306000</v>
      </c>
      <c r="S1252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68">
        <f ca="1">IF(PROVEEDORES[[#This Row],[FECHA DE PAGO]]=0,TODAY()-PROVEEDORES[[#This Row],[FECHA DE FACTURACIÓN]]-PROVEEDORES[[#This Row],[PLAZO Días]],0)</f>
        <v>0</v>
      </c>
      <c r="U1252" s="113">
        <f>+VLOOKUP(PROVEEDORES[[#This Row],[PROVEEDOR]],Terceros!$A:$D,4,FALSE)</f>
        <v>0</v>
      </c>
      <c r="V1252" s="114">
        <f>+YEAR(PROVEEDORES[[#This Row],[FECHA DE FACTURACIÓN]])</f>
        <v>2021</v>
      </c>
      <c r="W1252" s="114">
        <f>+MATCH(PROVEEDORES[[#This Row],[año facturado]],Retenciones!$1:$1,0)</f>
        <v>4</v>
      </c>
      <c r="X1252" s="115">
        <f>+VLOOKUP(PROVEEDORES[[#This Row],[ID RETENCION]],Retenciones!$A$1:$O$25,PROVEEDORES[[#This Row],[indicador de columna]],FALSE)</f>
        <v>0</v>
      </c>
      <c r="Y1252" s="116">
        <f>+VLOOKUP(PROVEEDORES[[#This Row],[ID RETENCION]],Retenciones!$A$1:$O$25,2,FALSE)</f>
        <v>0</v>
      </c>
      <c r="Z1252" s="125" t="b">
        <f>OR(COUNTIF(PROVEEDORES[[#This Row],[PROVEEDOR]],"*"&amp;'Palabra no opera'!$A$2&amp;"*"))</f>
        <v>0</v>
      </c>
      <c r="AA1252" s="24"/>
      <c r="AB1252" s="24"/>
      <c r="AC1252" s="24"/>
      <c r="AD1252" s="24"/>
      <c r="AE1252" s="24"/>
    </row>
    <row r="1253" spans="1:31" ht="22.2" customHeight="1" x14ac:dyDescent="0.3">
      <c r="A1253" s="66" t="str">
        <f>+IF(PROVEEDORES[[#This Row],[FECHA DE PAGO]]=PROVEEDORES[[#This Row],[FECHA DE FACTURACIÓN]],"DE CONTADO","CRÉDITO")</f>
        <v>CRÉDITO</v>
      </c>
      <c r="B1253" s="38" t="str">
        <f>+IF((PROVEEDORES[[#This Row],[FECHA DE PAGO]]-PROVEEDORES[[#This Row],[FECHA DE FACTURACIÓN]])&gt;PROVEEDORES[[#This Row],[PLAZO Días]],"PAGO VENCIDO")</f>
        <v>PAGO VENCIDO</v>
      </c>
      <c r="C1253" s="20">
        <f>+VLOOKUP(PROVEEDORES[[#This Row],[PROVEEDOR]],TERCEROS_INFO[#All],2,FALSE)</f>
        <v>30</v>
      </c>
      <c r="D1253" s="25">
        <f>+SUMIFS(PROVEEDORES[Total],PROVEEDORES[PROVEEDOR],PROVEEDORES[[#This Row],[PROVEEDOR]],PROVEEDORES[FECHA DE PAGO],"")</f>
        <v>0</v>
      </c>
      <c r="E1253" s="25"/>
      <c r="F1253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253" s="161">
        <v>44385</v>
      </c>
      <c r="H1253" s="26" t="s">
        <v>49</v>
      </c>
      <c r="I1253" s="161">
        <v>44342</v>
      </c>
      <c r="J1253" s="35">
        <v>2568</v>
      </c>
      <c r="K1253" s="21">
        <v>1134453</v>
      </c>
      <c r="L1253" s="21"/>
      <c r="M1253" s="22">
        <f>(PROVEEDORES[[#This Row],[SUBTOTAL]]-PROVEEDORES[[#This Row],[descuento sobre subtotal]])*VLOOKUP(PROVEEDORES[[#This Row],[PROVEEDOR]],TERCEROS_INFO[#All],3,FALSE)</f>
        <v>215546.07</v>
      </c>
      <c r="N1253" s="23"/>
      <c r="O1253" s="22">
        <f>+PROVEEDORES[[#This Row],[Descuento sobre subtotal %]]*(PROVEEDORES[[#This Row],[SUBTOTAL]]-PROVEEDORES[[#This Row],[descuento sobre subtotal]])</f>
        <v>0</v>
      </c>
      <c r="P1253" s="83">
        <f>+IF(PROVEEDORES[[#This Row],[SUBTOTAL]]&lt;PROVEEDORES[[#This Row],[base retencion]],0,PROVEEDORES[[#This Row],[retención aplicada]])</f>
        <v>2.5000000000000001E-2</v>
      </c>
      <c r="Q1253" s="22">
        <f>+PROVEEDORES[[#This Row],[Rete Fuente %]]*(PROVEEDORES[[#This Row],[SUBTOTAL]]-PROVEEDORES[[#This Row],[descuento sobre subtotal]])</f>
        <v>28361.325000000001</v>
      </c>
      <c r="R1253" s="21">
        <f>+PROVEEDORES[[#This Row],[SUBTOTAL]]+PROVEEDORES[[#This Row],[IVA 19%]]-PROVEEDORES[[#This Row],[descuento sobre subtotal]]-PROVEEDORES[[#This Row],[Descuento sobre subtotal $2]]-PROVEEDORES[[#This Row],[Rete Fuente $]]</f>
        <v>1321637.7450000001</v>
      </c>
      <c r="S12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3" s="68">
        <f ca="1">IF(PROVEEDORES[[#This Row],[FECHA DE PAGO]]=0,TODAY()-PROVEEDORES[[#This Row],[FECHA DE FACTURACIÓN]]-PROVEEDORES[[#This Row],[PLAZO Días]],0)</f>
        <v>0</v>
      </c>
      <c r="U1253" s="96" t="str">
        <f>+VLOOKUP(PROVEEDORES[[#This Row],[PROVEEDOR]],Terceros!$A:$D,4,FALSE)</f>
        <v>2,5% con base</v>
      </c>
      <c r="V1253" s="97">
        <f>+YEAR(PROVEEDORES[[#This Row],[FECHA DE FACTURACIÓN]])</f>
        <v>2021</v>
      </c>
      <c r="W1253" s="97">
        <f>+MATCH(PROVEEDORES[[#This Row],[año facturado]],Retenciones!$1:$1,0)</f>
        <v>4</v>
      </c>
      <c r="X1253" s="98">
        <f>+VLOOKUP(PROVEEDORES[[#This Row],[ID RETENCION]],Retenciones!$A$1:$O$25,PROVEEDORES[[#This Row],[indicador de columna]],FALSE)</f>
        <v>980000</v>
      </c>
      <c r="Y1253" s="99">
        <f>+VLOOKUP(PROVEEDORES[[#This Row],[ID RETENCION]],Retenciones!$A$1:$O$25,2,FALSE)</f>
        <v>2.5000000000000001E-2</v>
      </c>
      <c r="Z1253" s="125" t="b">
        <f>OR(COUNTIF(PROVEEDORES[[#This Row],[PROVEEDOR]],"*"&amp;'Palabra no opera'!$A$2&amp;"*"))</f>
        <v>0</v>
      </c>
      <c r="AA1253" s="24"/>
      <c r="AB1253" s="24"/>
      <c r="AC1253" s="24"/>
      <c r="AD1253" s="24"/>
      <c r="AE1253" s="24"/>
    </row>
    <row r="1254" spans="1:31" ht="22.2" customHeight="1" x14ac:dyDescent="0.3">
      <c r="A1254" s="66" t="str">
        <f>+IF(PROVEEDORES[[#This Row],[FECHA DE PAGO]]=PROVEEDORES[[#This Row],[FECHA DE FACTURACIÓN]],"DE CONTADO","CRÉDITO")</f>
        <v>CRÉDITO</v>
      </c>
      <c r="B1254" s="38" t="b">
        <f>+IF((PROVEEDORES[[#This Row],[FECHA DE PAGO]]-PROVEEDORES[[#This Row],[FECHA DE FACTURACIÓN]])&gt;PROVEEDORES[[#This Row],[PLAZO Días]],"PAGO VENCIDO")</f>
        <v>0</v>
      </c>
      <c r="C1254" s="20">
        <f>+VLOOKUP(PROVEEDORES[[#This Row],[PROVEEDOR]],TERCEROS_INFO[#All],2,FALSE)</f>
        <v>30</v>
      </c>
      <c r="D1254" s="25">
        <f>+SUMIFS(PROVEEDORES[Total],PROVEEDORES[PROVEEDOR],PROVEEDORES[[#This Row],[PROVEEDOR]],PROVEEDORES[FECHA DE PAGO],"")</f>
        <v>0</v>
      </c>
      <c r="E1254" s="25"/>
      <c r="F125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54" s="161">
        <v>44250</v>
      </c>
      <c r="H1254" s="26" t="s">
        <v>918</v>
      </c>
      <c r="I1254" s="161">
        <v>44228</v>
      </c>
      <c r="J1254" s="35"/>
      <c r="K1254" s="21">
        <v>1327746</v>
      </c>
      <c r="L1254" s="21"/>
      <c r="M1254" s="22">
        <f>(PROVEEDORES[[#This Row],[SUBTOTAL]]-PROVEEDORES[[#This Row],[descuento sobre subtotal]])*VLOOKUP(PROVEEDORES[[#This Row],[PROVEEDOR]],TERCEROS_INFO[#All],3,FALSE)</f>
        <v>0</v>
      </c>
      <c r="N1254" s="23"/>
      <c r="O1254" s="22">
        <f>+PROVEEDORES[[#This Row],[Descuento sobre subtotal %]]*(PROVEEDORES[[#This Row],[SUBTOTAL]]-PROVEEDORES[[#This Row],[descuento sobre subtotal]])</f>
        <v>0</v>
      </c>
      <c r="P1254" s="83">
        <f>+IF(PROVEEDORES[[#This Row],[SUBTOTAL]]&lt;PROVEEDORES[[#This Row],[base retencion]],0,PROVEEDORES[[#This Row],[retención aplicada]])</f>
        <v>0</v>
      </c>
      <c r="Q1254" s="22">
        <f>+PROVEEDORES[[#This Row],[Rete Fuente %]]*(PROVEEDORES[[#This Row],[SUBTOTAL]]-PROVEEDORES[[#This Row],[descuento sobre subtotal]])</f>
        <v>0</v>
      </c>
      <c r="R1254" s="21">
        <f>+PROVEEDORES[[#This Row],[SUBTOTAL]]+PROVEEDORES[[#This Row],[IVA 19%]]-PROVEEDORES[[#This Row],[descuento sobre subtotal]]-PROVEEDORES[[#This Row],[Descuento sobre subtotal $2]]-PROVEEDORES[[#This Row],[Rete Fuente $]]</f>
        <v>1327746</v>
      </c>
      <c r="S12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4" s="68">
        <f ca="1">IF(PROVEEDORES[[#This Row],[FECHA DE PAGO]]=0,TODAY()-PROVEEDORES[[#This Row],[FECHA DE FACTURACIÓN]]-PROVEEDORES[[#This Row],[PLAZO Días]],0)</f>
        <v>0</v>
      </c>
      <c r="U1254" s="96">
        <f>+VLOOKUP(PROVEEDORES[[#This Row],[PROVEEDOR]],Terceros!$A:$D,4,FALSE)</f>
        <v>0</v>
      </c>
      <c r="V1254" s="97">
        <f>+YEAR(PROVEEDORES[[#This Row],[FECHA DE FACTURACIÓN]])</f>
        <v>2021</v>
      </c>
      <c r="W1254" s="97">
        <f>+MATCH(PROVEEDORES[[#This Row],[año facturado]],Retenciones!$1:$1,0)</f>
        <v>4</v>
      </c>
      <c r="X1254" s="98">
        <f>+VLOOKUP(PROVEEDORES[[#This Row],[ID RETENCION]],Retenciones!$A$1:$O$25,PROVEEDORES[[#This Row],[indicador de columna]],FALSE)</f>
        <v>0</v>
      </c>
      <c r="Y1254" s="99">
        <f>+VLOOKUP(PROVEEDORES[[#This Row],[ID RETENCION]],Retenciones!$A$1:$O$25,2,FALSE)</f>
        <v>0</v>
      </c>
      <c r="Z1254" s="125" t="b">
        <f>OR(COUNTIF(PROVEEDORES[[#This Row],[PROVEEDOR]],"*"&amp;'Palabra no opera'!$A$2&amp;"*"))</f>
        <v>1</v>
      </c>
      <c r="AA1254" s="24"/>
      <c r="AB1254" s="24"/>
      <c r="AC1254" s="24"/>
      <c r="AD1254" s="24"/>
      <c r="AE1254" s="24"/>
    </row>
    <row r="1255" spans="1:31" ht="22.2" customHeight="1" x14ac:dyDescent="0.3">
      <c r="A1255" s="66" t="str">
        <f>+IF(PROVEEDORES[[#This Row],[FECHA DE PAGO]]=PROVEEDORES[[#This Row],[FECHA DE FACTURACIÓN]],"DE CONTADO","CRÉDITO")</f>
        <v>CRÉDITO</v>
      </c>
      <c r="B1255" s="38" t="b">
        <f>+IF((PROVEEDORES[[#This Row],[FECHA DE PAGO]]-PROVEEDORES[[#This Row],[FECHA DE FACTURACIÓN]])&gt;PROVEEDORES[[#This Row],[PLAZO Días]],"PAGO VENCIDO")</f>
        <v>0</v>
      </c>
      <c r="C1255" s="20">
        <f>+VLOOKUP(PROVEEDORES[[#This Row],[PROVEEDOR]],TERCEROS_INFO[#All],2,FALSE)</f>
        <v>30</v>
      </c>
      <c r="D1255" s="25">
        <f>+SUMIFS(PROVEEDORES[Total],PROVEEDORES[PROVEEDOR],PROVEEDORES[[#This Row],[PROVEEDOR]],PROVEEDORES[FECHA DE PAGO],"")</f>
        <v>0</v>
      </c>
      <c r="E1255" s="25"/>
      <c r="F125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55" s="161">
        <v>44285</v>
      </c>
      <c r="H1255" s="26" t="s">
        <v>918</v>
      </c>
      <c r="I1255" s="161">
        <v>44256</v>
      </c>
      <c r="J1255" s="35">
        <v>7708</v>
      </c>
      <c r="K1255" s="21">
        <v>1327746</v>
      </c>
      <c r="L1255" s="21"/>
      <c r="M1255" s="22">
        <f>(PROVEEDORES[[#This Row],[SUBTOTAL]]-PROVEEDORES[[#This Row],[descuento sobre subtotal]])*VLOOKUP(PROVEEDORES[[#This Row],[PROVEEDOR]],TERCEROS_INFO[#All],3,FALSE)</f>
        <v>0</v>
      </c>
      <c r="N1255" s="23"/>
      <c r="O1255" s="22">
        <f>+PROVEEDORES[[#This Row],[Descuento sobre subtotal %]]*(PROVEEDORES[[#This Row],[SUBTOTAL]]-PROVEEDORES[[#This Row],[descuento sobre subtotal]])</f>
        <v>0</v>
      </c>
      <c r="P1255" s="83">
        <f>+IF(PROVEEDORES[[#This Row],[SUBTOTAL]]&lt;PROVEEDORES[[#This Row],[base retencion]],0,PROVEEDORES[[#This Row],[retención aplicada]])</f>
        <v>0</v>
      </c>
      <c r="Q1255" s="22">
        <f>+PROVEEDORES[[#This Row],[Rete Fuente %]]*(PROVEEDORES[[#This Row],[SUBTOTAL]]-PROVEEDORES[[#This Row],[descuento sobre subtotal]])</f>
        <v>0</v>
      </c>
      <c r="R1255" s="21">
        <f>+PROVEEDORES[[#This Row],[SUBTOTAL]]+PROVEEDORES[[#This Row],[IVA 19%]]-PROVEEDORES[[#This Row],[descuento sobre subtotal]]-PROVEEDORES[[#This Row],[Descuento sobre subtotal $2]]-PROVEEDORES[[#This Row],[Rete Fuente $]]</f>
        <v>1327746</v>
      </c>
      <c r="S12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5" s="68">
        <f ca="1">IF(PROVEEDORES[[#This Row],[FECHA DE PAGO]]=0,TODAY()-PROVEEDORES[[#This Row],[FECHA DE FACTURACIÓN]]-PROVEEDORES[[#This Row],[PLAZO Días]],0)</f>
        <v>0</v>
      </c>
      <c r="U1255" s="96">
        <f>+VLOOKUP(PROVEEDORES[[#This Row],[PROVEEDOR]],Terceros!$A:$D,4,FALSE)</f>
        <v>0</v>
      </c>
      <c r="V1255" s="97">
        <f>+YEAR(PROVEEDORES[[#This Row],[FECHA DE FACTURACIÓN]])</f>
        <v>2021</v>
      </c>
      <c r="W1255" s="97">
        <f>+MATCH(PROVEEDORES[[#This Row],[año facturado]],Retenciones!$1:$1,0)</f>
        <v>4</v>
      </c>
      <c r="X1255" s="98">
        <f>+VLOOKUP(PROVEEDORES[[#This Row],[ID RETENCION]],Retenciones!$A$1:$O$25,PROVEEDORES[[#This Row],[indicador de columna]],FALSE)</f>
        <v>0</v>
      </c>
      <c r="Y1255" s="99">
        <f>+VLOOKUP(PROVEEDORES[[#This Row],[ID RETENCION]],Retenciones!$A$1:$O$25,2,FALSE)</f>
        <v>0</v>
      </c>
      <c r="Z1255" s="125" t="b">
        <f>OR(COUNTIF(PROVEEDORES[[#This Row],[PROVEEDOR]],"*"&amp;'Palabra no opera'!$A$2&amp;"*"))</f>
        <v>1</v>
      </c>
      <c r="AA1255" s="24"/>
      <c r="AB1255" s="24"/>
      <c r="AC1255" s="24"/>
      <c r="AD1255" s="24"/>
      <c r="AE1255" s="24"/>
    </row>
    <row r="1256" spans="1:31" ht="22.2" customHeight="1" x14ac:dyDescent="0.3">
      <c r="A1256" s="66" t="str">
        <f>+IF(PROVEEDORES[[#This Row],[FECHA DE PAGO]]=PROVEEDORES[[#This Row],[FECHA DE FACTURACIÓN]],"DE CONTADO","CRÉDITO")</f>
        <v>CRÉDITO</v>
      </c>
      <c r="B1256" s="38" t="b">
        <f>+IF((PROVEEDORES[[#This Row],[FECHA DE PAGO]]-PROVEEDORES[[#This Row],[FECHA DE FACTURACIÓN]])&gt;PROVEEDORES[[#This Row],[PLAZO Días]],"PAGO VENCIDO")</f>
        <v>0</v>
      </c>
      <c r="C1256" s="20">
        <f>+VLOOKUP(PROVEEDORES[[#This Row],[PROVEEDOR]],TERCEROS_INFO[#All],2,FALSE)</f>
        <v>30</v>
      </c>
      <c r="D1256" s="25">
        <f>+SUMIFS(PROVEEDORES[Total],PROVEEDORES[PROVEEDOR],PROVEEDORES[[#This Row],[PROVEEDOR]],PROVEEDORES[FECHA DE PAGO],"")</f>
        <v>0</v>
      </c>
      <c r="E1256" s="25"/>
      <c r="F1256" s="58" t="str">
        <f>+VLOOKUP(PROVEEDORES[[#This Row],[PROVEEDOR]],
                       Terceros!$A:$F,
                       5,
                       FALSE)</f>
        <v/>
      </c>
      <c r="G1256" s="161">
        <v>44492</v>
      </c>
      <c r="H1256" s="26" t="s">
        <v>689</v>
      </c>
      <c r="I1256" s="161">
        <v>44491</v>
      </c>
      <c r="J1256" s="35" t="s">
        <v>1506</v>
      </c>
      <c r="K1256" s="21">
        <v>1327986</v>
      </c>
      <c r="L1256" s="21"/>
      <c r="M1256" s="22">
        <f>(PROVEEDORES[[#This Row],[SUBTOTAL]]-PROVEEDORES[[#This Row],[descuento sobre subtotal]])*VLOOKUP(PROVEEDORES[[#This Row],[PROVEEDOR]],TERCEROS_INFO[#All],3,FALSE)</f>
        <v>0</v>
      </c>
      <c r="N1256" s="23"/>
      <c r="O1256" s="22">
        <f>+PROVEEDORES[[#This Row],[Descuento sobre subtotal %]]*(PROVEEDORES[[#This Row],[SUBTOTAL]]-PROVEEDORES[[#This Row],[descuento sobre subtotal]])</f>
        <v>0</v>
      </c>
      <c r="P1256" s="83">
        <f>+IF(PROVEEDORES[[#This Row],[SUBTOTAL]]&lt;PROVEEDORES[[#This Row],[base retencion]],0,PROVEEDORES[[#This Row],[retención aplicada]])</f>
        <v>0</v>
      </c>
      <c r="Q1256" s="22">
        <f>+PROVEEDORES[[#This Row],[Rete Fuente %]]*(PROVEEDORES[[#This Row],[SUBTOTAL]]-PROVEEDORES[[#This Row],[descuento sobre subtotal]])</f>
        <v>0</v>
      </c>
      <c r="R1256" s="21">
        <f>+PROVEEDORES[[#This Row],[SUBTOTAL]]+PROVEEDORES[[#This Row],[IVA 19%]]-PROVEEDORES[[#This Row],[descuento sobre subtotal]]-PROVEEDORES[[#This Row],[Descuento sobre subtotal $2]]-PROVEEDORES[[#This Row],[Rete Fuente $]]</f>
        <v>1327986</v>
      </c>
      <c r="S12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6" s="68">
        <f ca="1">IF(PROVEEDORES[[#This Row],[FECHA DE PAGO]]=0,TODAY()-PROVEEDORES[[#This Row],[FECHA DE FACTURACIÓN]]-PROVEEDORES[[#This Row],[PLAZO Días]],0)</f>
        <v>0</v>
      </c>
      <c r="U1256" s="96">
        <f>+VLOOKUP(PROVEEDORES[[#This Row],[PROVEEDOR]],Terceros!$A:$D,4,FALSE)</f>
        <v>0</v>
      </c>
      <c r="V1256" s="97">
        <f>+YEAR(PROVEEDORES[[#This Row],[FECHA DE FACTURACIÓN]])</f>
        <v>2021</v>
      </c>
      <c r="W1256" s="97">
        <f>+MATCH(PROVEEDORES[[#This Row],[año facturado]],Retenciones!$1:$1,0)</f>
        <v>4</v>
      </c>
      <c r="X1256" s="98">
        <f>+VLOOKUP(PROVEEDORES[[#This Row],[ID RETENCION]],Retenciones!$A$1:$O$25,PROVEEDORES[[#This Row],[indicador de columna]],FALSE)</f>
        <v>0</v>
      </c>
      <c r="Y1256" s="99">
        <f>+VLOOKUP(PROVEEDORES[[#This Row],[ID RETENCION]],Retenciones!$A$1:$O$25,2,FALSE)</f>
        <v>0</v>
      </c>
      <c r="Z1256" s="125" t="b">
        <f>OR(COUNTIF(PROVEEDORES[[#This Row],[PROVEEDOR]],"*"&amp;'Palabra no opera'!$A$2&amp;"*"))</f>
        <v>0</v>
      </c>
      <c r="AA1256" s="24"/>
      <c r="AB1256" s="24"/>
      <c r="AC1256" s="24"/>
      <c r="AD1256" s="24"/>
      <c r="AE1256" s="24"/>
    </row>
    <row r="1257" spans="1:31" ht="22.2" customHeight="1" x14ac:dyDescent="0.3">
      <c r="A1257" s="66" t="str">
        <f>+IF(PROVEEDORES[[#This Row],[FECHA DE PAGO]]=PROVEEDORES[[#This Row],[FECHA DE FACTURACIÓN]],"DE CONTADO","CRÉDITO")</f>
        <v>CRÉDITO</v>
      </c>
      <c r="B1257" s="38" t="str">
        <f>+IF((PROVEEDORES[[#This Row],[FECHA DE PAGO]]-PROVEEDORES[[#This Row],[FECHA DE FACTURACIÓN]])&gt;PROVEEDORES[[#This Row],[PLAZO Días]],"PAGO VENCIDO")</f>
        <v>PAGO VENCIDO</v>
      </c>
      <c r="C1257" s="20">
        <f>+VLOOKUP(PROVEEDORES[[#This Row],[PROVEEDOR]],TERCEROS_INFO[#All],2,FALSE)</f>
        <v>30</v>
      </c>
      <c r="D1257" s="25">
        <f>+SUMIFS(PROVEEDORES[Total],PROVEEDORES[PROVEEDOR],PROVEEDORES[[#This Row],[PROVEEDOR]],PROVEEDORES[FECHA DE PAGO],"")</f>
        <v>0</v>
      </c>
      <c r="E1257" s="25"/>
      <c r="F1257" s="58" t="str">
        <f>+VLOOKUP(PROVEEDORES[[#This Row],[PROVEEDOR]],
                       Terceros!$A:$F,
                       5,
                       FALSE)</f>
        <v/>
      </c>
      <c r="G1257" s="161">
        <v>44627</v>
      </c>
      <c r="H1257" s="26" t="s">
        <v>686</v>
      </c>
      <c r="I1257" s="161">
        <v>44589</v>
      </c>
      <c r="J1257" s="35">
        <v>2371</v>
      </c>
      <c r="K1257" s="21">
        <v>1036500</v>
      </c>
      <c r="L1257" s="21"/>
      <c r="M1257" s="22">
        <v>0</v>
      </c>
      <c r="N1257" s="23"/>
      <c r="O1257" s="22">
        <v>0</v>
      </c>
      <c r="P1257" s="83">
        <f>+IF(PROVEEDORES[[#This Row],[SUBTOTAL]]&lt;PROVEEDORES[[#This Row],[base retencion]],0,PROVEEDORES[[#This Row],[retención aplicada]])</f>
        <v>0</v>
      </c>
      <c r="Q1257" s="22">
        <f>+PROVEEDORES[[#This Row],[Rete Fuente %]]*(PROVEEDORES[[#This Row],[SUBTOTAL]]-PROVEEDORES[[#This Row],[descuento sobre subtotal]])</f>
        <v>0</v>
      </c>
      <c r="R1257" s="21">
        <v>1329000</v>
      </c>
      <c r="S12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7" s="68">
        <f ca="1">IF(PROVEEDORES[[#This Row],[FECHA DE PAGO]]=0,TODAY()-PROVEEDORES[[#This Row],[FECHA DE FACTURACIÓN]]-PROVEEDORES[[#This Row],[PLAZO Días]],0)</f>
        <v>0</v>
      </c>
      <c r="U1257" s="96">
        <f>+VLOOKUP(PROVEEDORES[[#This Row],[PROVEEDOR]],Terceros!$A:$D,4,FALSE)</f>
        <v>0</v>
      </c>
      <c r="V1257" s="97">
        <f>+YEAR(PROVEEDORES[[#This Row],[FECHA DE FACTURACIÓN]])</f>
        <v>2022</v>
      </c>
      <c r="W1257" s="97">
        <f>+MATCH(PROVEEDORES[[#This Row],[año facturado]],Retenciones!$1:$1,0)</f>
        <v>5</v>
      </c>
      <c r="X1257" s="98">
        <f>+VLOOKUP(PROVEEDORES[[#This Row],[ID RETENCION]],Retenciones!$A$1:$O$25,PROVEEDORES[[#This Row],[indicador de columna]],FALSE)</f>
        <v>0</v>
      </c>
      <c r="Y1257" s="99">
        <f>+VLOOKUP(PROVEEDORES[[#This Row],[ID RETENCION]],Retenciones!$A$1:$O$25,2,FALSE)</f>
        <v>0</v>
      </c>
      <c r="Z1257" s="125" t="b">
        <f>OR(COUNTIF(PROVEEDORES[[#This Row],[PROVEEDOR]],"*"&amp;'Palabra no opera'!$A$2&amp;"*"))</f>
        <v>0</v>
      </c>
      <c r="AA1257" s="24"/>
      <c r="AB1257" s="24"/>
      <c r="AC1257" s="24"/>
      <c r="AD1257" s="24"/>
      <c r="AE1257" s="24"/>
    </row>
    <row r="1258" spans="1:31" ht="22.2" customHeight="1" x14ac:dyDescent="0.3">
      <c r="A1258" s="66" t="str">
        <f>+IF(PROVEEDORES[[#This Row],[FECHA DE PAGO]]=PROVEEDORES[[#This Row],[FECHA DE FACTURACIÓN]],"DE CONTADO","CRÉDITO")</f>
        <v>CRÉDITO</v>
      </c>
      <c r="B1258" s="38" t="str">
        <f>+IF((PROVEEDORES[[#This Row],[FECHA DE PAGO]]-PROVEEDORES[[#This Row],[FECHA DE FACTURACIÓN]])&gt;PROVEEDORES[[#This Row],[PLAZO Días]],"PAGO VENCIDO")</f>
        <v>PAGO VENCIDO</v>
      </c>
      <c r="C1258" s="20">
        <f>+VLOOKUP(PROVEEDORES[[#This Row],[PROVEEDOR]],TERCEROS_INFO[#All],2,FALSE)</f>
        <v>30</v>
      </c>
      <c r="D1258" s="25">
        <f>+SUMIFS(PROVEEDORES[Total],PROVEEDORES[PROVEEDOR],PROVEEDORES[[#This Row],[PROVEEDOR]],PROVEEDORES[FECHA DE PAGO],"")</f>
        <v>2223034.2400000002</v>
      </c>
      <c r="E1258" s="25"/>
      <c r="F125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58" s="161">
        <v>44442</v>
      </c>
      <c r="H1258" s="26" t="s">
        <v>216</v>
      </c>
      <c r="I1258" s="161">
        <v>44376</v>
      </c>
      <c r="J1258" s="35">
        <v>301</v>
      </c>
      <c r="K1258" s="21">
        <v>1144538</v>
      </c>
      <c r="L1258" s="21"/>
      <c r="M1258" s="22">
        <f>(PROVEEDORES[[#This Row],[SUBTOTAL]]-PROVEEDORES[[#This Row],[descuento sobre subtotal]])*VLOOKUP(PROVEEDORES[[#This Row],[PROVEEDOR]],TERCEROS_INFO[#All],3,FALSE)</f>
        <v>217462.22</v>
      </c>
      <c r="N1258" s="23"/>
      <c r="O1258" s="22">
        <f>+PROVEEDORES[[#This Row],[Descuento sobre subtotal %]]*(PROVEEDORES[[#This Row],[SUBTOTAL]]-PROVEEDORES[[#This Row],[descuento sobre subtotal]])</f>
        <v>0</v>
      </c>
      <c r="P1258" s="83">
        <f>+IF(PROVEEDORES[[#This Row],[SUBTOTAL]]&lt;PROVEEDORES[[#This Row],[base retencion]],0,PROVEEDORES[[#This Row],[retención aplicada]])</f>
        <v>2.5000000000000001E-2</v>
      </c>
      <c r="Q1258" s="22">
        <f>+PROVEEDORES[[#This Row],[Rete Fuente %]]*(PROVEEDORES[[#This Row],[SUBTOTAL]]-PROVEEDORES[[#This Row],[descuento sobre subtotal]])</f>
        <v>28613.45</v>
      </c>
      <c r="R1258" s="21">
        <f>+PROVEEDORES[[#This Row],[SUBTOTAL]]+PROVEEDORES[[#This Row],[IVA 19%]]-PROVEEDORES[[#This Row],[descuento sobre subtotal]]-PROVEEDORES[[#This Row],[Descuento sobre subtotal $2]]-PROVEEDORES[[#This Row],[Rete Fuente $]]</f>
        <v>1333386.77</v>
      </c>
      <c r="S12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8" s="68">
        <f ca="1">IF(PROVEEDORES[[#This Row],[FECHA DE PAGO]]=0,TODAY()-PROVEEDORES[[#This Row],[FECHA DE FACTURACIÓN]]-PROVEEDORES[[#This Row],[PLAZO Días]],0)</f>
        <v>0</v>
      </c>
      <c r="U1258" s="96" t="str">
        <f>+VLOOKUP(PROVEEDORES[[#This Row],[PROVEEDOR]],Terceros!$A:$D,4,FALSE)</f>
        <v>2,5% con base</v>
      </c>
      <c r="V1258" s="97">
        <f>+YEAR(PROVEEDORES[[#This Row],[FECHA DE FACTURACIÓN]])</f>
        <v>2021</v>
      </c>
      <c r="W1258" s="97">
        <f>+MATCH(PROVEEDORES[[#This Row],[año facturado]],Retenciones!$1:$1,0)</f>
        <v>4</v>
      </c>
      <c r="X1258" s="98">
        <f>+VLOOKUP(PROVEEDORES[[#This Row],[ID RETENCION]],Retenciones!$A$1:$O$25,PROVEEDORES[[#This Row],[indicador de columna]],FALSE)</f>
        <v>980000</v>
      </c>
      <c r="Y1258" s="99">
        <f>+VLOOKUP(PROVEEDORES[[#This Row],[ID RETENCION]],Retenciones!$A$1:$O$25,2,FALSE)</f>
        <v>2.5000000000000001E-2</v>
      </c>
      <c r="Z1258" s="125" t="b">
        <f>OR(COUNTIF(PROVEEDORES[[#This Row],[PROVEEDOR]],"*"&amp;'Palabra no opera'!$A$2&amp;"*"))</f>
        <v>0</v>
      </c>
      <c r="AA1258" s="24"/>
      <c r="AB1258" s="24"/>
      <c r="AC1258" s="24"/>
      <c r="AD1258" s="24"/>
      <c r="AE1258" s="24"/>
    </row>
    <row r="1259" spans="1:31" ht="22.2" customHeight="1" x14ac:dyDescent="0.3">
      <c r="A1259" s="269" t="str">
        <f>+IF(PROVEEDORES[[#This Row],[FECHA DE PAGO]]=PROVEEDORES[[#This Row],[FECHA DE FACTURACIÓN]],"DE CONTADO","CRÉDITO")</f>
        <v>CRÉDITO</v>
      </c>
      <c r="B1259" s="38" t="b">
        <f>+IF((PROVEEDORES[[#This Row],[FECHA DE PAGO]]-PROVEEDORES[[#This Row],[FECHA DE FACTURACIÓN]])&gt;PROVEEDORES[[#This Row],[PLAZO Días]],"PAGO VENCIDO")</f>
        <v>0</v>
      </c>
      <c r="C1259" s="20">
        <f>+VLOOKUP(PROVEEDORES[[#This Row],[PROVEEDOR]],TERCEROS_INFO[#All],2,FALSE)</f>
        <v>30</v>
      </c>
      <c r="D1259" s="25">
        <f>+SUMIFS(PROVEEDORES[Total],PROVEEDORES[PROVEEDOR],PROVEEDORES[[#This Row],[PROVEEDOR]],PROVEEDORES[FECHA DE PAGO],"")</f>
        <v>1333437.8400000001</v>
      </c>
      <c r="E1259" s="25"/>
      <c r="F125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H1259" s="26" t="s">
        <v>905</v>
      </c>
      <c r="I1259" s="161">
        <v>44853</v>
      </c>
      <c r="J1259" s="35" t="s">
        <v>1803</v>
      </c>
      <c r="K1259" s="21">
        <v>1120536</v>
      </c>
      <c r="L1259" s="21"/>
      <c r="M1259" s="22">
        <f>(PROVEEDORES[[#This Row],[SUBTOTAL]]-PROVEEDORES[[#This Row],[descuento sobre subtotal]])*VLOOKUP(PROVEEDORES[[#This Row],[PROVEEDOR]],TERCEROS_INFO[#All],3,FALSE)</f>
        <v>212901.84</v>
      </c>
      <c r="N1259" s="23"/>
      <c r="O1259" s="22">
        <f>+PROVEEDORES[[#This Row],[Descuento sobre subtotal %]]*(PROVEEDORES[[#This Row],[SUBTOTAL]]-PROVEEDORES[[#This Row],[descuento sobre subtotal]])</f>
        <v>0</v>
      </c>
      <c r="P1259" s="83">
        <f>+IF(PROVEEDORES[[#This Row],[SUBTOTAL]]&lt;PROVEEDORES[[#This Row],[base retencion]],0,PROVEEDORES[[#This Row],[retención aplicada]])</f>
        <v>0</v>
      </c>
      <c r="Q1259" s="22">
        <f>+PROVEEDORES[[#This Row],[Rete Fuente %]]*(PROVEEDORES[[#This Row],[SUBTOTAL]]-PROVEEDORES[[#This Row],[descuento sobre subtotal]])</f>
        <v>0</v>
      </c>
      <c r="R1259" s="21">
        <f>+PROVEEDORES[[#This Row],[SUBTOTAL]]+PROVEEDORES[[#This Row],[IVA 19%]]-PROVEEDORES[[#This Row],[descuento sobre subtotal]]-PROVEEDORES[[#This Row],[Descuento sobre subtotal $2]]-PROVEEDORES[[#This Row],[Rete Fuente $]]</f>
        <v>1333437.8400000001</v>
      </c>
      <c r="S1259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59" s="68">
        <f ca="1">IF(PROVEEDORES[[#This Row],[FECHA DE PAGO]]=0,TODAY()-PROVEEDORES[[#This Row],[FECHA DE FACTURACIÓN]]-PROVEEDORES[[#This Row],[PLAZO Días]],0)</f>
        <v>-8</v>
      </c>
      <c r="U1259" s="113">
        <f>+VLOOKUP(PROVEEDORES[[#This Row],[PROVEEDOR]],Terceros!$A:$D,4,FALSE)</f>
        <v>0</v>
      </c>
      <c r="V1259" s="114">
        <f>+YEAR(PROVEEDORES[[#This Row],[FECHA DE FACTURACIÓN]])</f>
        <v>2022</v>
      </c>
      <c r="W1259" s="114">
        <f>+MATCH(PROVEEDORES[[#This Row],[año facturado]],Retenciones!$1:$1,0)</f>
        <v>5</v>
      </c>
      <c r="X1259" s="115">
        <f>+VLOOKUP(PROVEEDORES[[#This Row],[ID RETENCION]],Retenciones!$A$1:$O$25,PROVEEDORES[[#This Row],[indicador de columna]],FALSE)</f>
        <v>0</v>
      </c>
      <c r="Y1259" s="116">
        <f>+VLOOKUP(PROVEEDORES[[#This Row],[ID RETENCION]],Retenciones!$A$1:$O$25,2,FALSE)</f>
        <v>0</v>
      </c>
      <c r="Z1259" s="125" t="b">
        <f>OR(COUNTIF(PROVEEDORES[[#This Row],[PROVEEDOR]],"*"&amp;'Palabra no opera'!$A$2&amp;"*"))</f>
        <v>1</v>
      </c>
      <c r="AA1259" s="24"/>
      <c r="AB1259" s="24"/>
      <c r="AC1259" s="24"/>
      <c r="AD1259" s="24"/>
      <c r="AE1259" s="24"/>
    </row>
    <row r="1260" spans="1:31" ht="22.2" customHeight="1" x14ac:dyDescent="0.3">
      <c r="A1260" s="159" t="str">
        <f>+IF(PROVEEDORES[[#This Row],[FECHA DE PAGO]]=PROVEEDORES[[#This Row],[FECHA DE FACTURACIÓN]],"DE CONTADO","CRÉDITO")</f>
        <v>CRÉDITO</v>
      </c>
      <c r="B1260" s="38" t="str">
        <f>+IF((PROVEEDORES[[#This Row],[FECHA DE PAGO]]-PROVEEDORES[[#This Row],[FECHA DE FACTURACIÓN]])&gt;PROVEEDORES[[#This Row],[PLAZO Días]],"PAGO VENCIDO")</f>
        <v>PAGO VENCIDO</v>
      </c>
      <c r="C1260" s="20">
        <f>+VLOOKUP(PROVEEDORES[[#This Row],[PROVEEDOR]],TERCEROS_INFO[#All],2,FALSE)</f>
        <v>45</v>
      </c>
      <c r="D1260" s="25">
        <f>+SUMIFS(PROVEEDORES[Total],PROVEEDORES[PROVEEDOR],PROVEEDORES[[#This Row],[PROVEEDOR]],PROVEEDORES[FECHA DE PAGO],"")</f>
        <v>31891814.359999999</v>
      </c>
      <c r="E1260" s="25"/>
      <c r="F126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60" s="161">
        <v>44796</v>
      </c>
      <c r="H1260" s="26" t="s">
        <v>19</v>
      </c>
      <c r="I1260" s="161">
        <v>44740</v>
      </c>
      <c r="J1260" s="35" t="s">
        <v>1101</v>
      </c>
      <c r="K1260" s="21">
        <v>1122560</v>
      </c>
      <c r="L1260" s="21"/>
      <c r="M1260" s="22">
        <f>(PROVEEDORES[[#This Row],[SUBTOTAL]]-PROVEEDORES[[#This Row],[descuento sobre subtotal]])*VLOOKUP(PROVEEDORES[[#This Row],[PROVEEDOR]],TERCEROS_INFO[#All],3,FALSE)</f>
        <v>213286.39999999999</v>
      </c>
      <c r="N1260" s="23"/>
      <c r="O1260" s="22">
        <f>+PROVEEDORES[[#This Row],[Descuento sobre subtotal %]]*(PROVEEDORES[[#This Row],[SUBTOTAL]]-PROVEEDORES[[#This Row],[descuento sobre subtotal]])</f>
        <v>0</v>
      </c>
      <c r="P1260" s="83">
        <f>+IF(PROVEEDORES[[#This Row],[SUBTOTAL]]&lt;PROVEEDORES[[#This Row],[base retencion]],0,PROVEEDORES[[#This Row],[retención aplicada]])</f>
        <v>0</v>
      </c>
      <c r="Q1260" s="22">
        <f>+PROVEEDORES[[#This Row],[Rete Fuente %]]*(PROVEEDORES[[#This Row],[SUBTOTAL]]-PROVEEDORES[[#This Row],[descuento sobre subtotal]])</f>
        <v>0</v>
      </c>
      <c r="R1260" s="21">
        <f>+PROVEEDORES[[#This Row],[SUBTOTAL]]+PROVEEDORES[[#This Row],[IVA 19%]]-PROVEEDORES[[#This Row],[descuento sobre subtotal]]-PROVEEDORES[[#This Row],[Descuento sobre subtotal $2]]-PROVEEDORES[[#This Row],[Rete Fuente $]]</f>
        <v>1335846.3999999999</v>
      </c>
      <c r="S1260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0" s="68">
        <f ca="1">IF(PROVEEDORES[[#This Row],[FECHA DE PAGO]]=0,TODAY()-PROVEEDORES[[#This Row],[FECHA DE FACTURACIÓN]]-PROVEEDORES[[#This Row],[PLAZO Días]],0)</f>
        <v>0</v>
      </c>
      <c r="U1260" s="113">
        <f>+VLOOKUP(PROVEEDORES[[#This Row],[PROVEEDOR]],Terceros!$A:$D,4,FALSE)</f>
        <v>0</v>
      </c>
      <c r="V1260" s="114">
        <f>+YEAR(PROVEEDORES[[#This Row],[FECHA DE FACTURACIÓN]])</f>
        <v>2022</v>
      </c>
      <c r="W1260" s="114">
        <f>+MATCH(PROVEEDORES[[#This Row],[año facturado]],Retenciones!$1:$1,0)</f>
        <v>5</v>
      </c>
      <c r="X1260" s="115">
        <f>+VLOOKUP(PROVEEDORES[[#This Row],[ID RETENCION]],Retenciones!$A$1:$O$25,PROVEEDORES[[#This Row],[indicador de columna]],FALSE)</f>
        <v>0</v>
      </c>
      <c r="Y1260" s="116">
        <f>+VLOOKUP(PROVEEDORES[[#This Row],[ID RETENCION]],Retenciones!$A$1:$O$25,2,FALSE)</f>
        <v>0</v>
      </c>
      <c r="Z1260" s="125" t="b">
        <f>OR(COUNTIF(PROVEEDORES[[#This Row],[PROVEEDOR]],"*"&amp;'Palabra no opera'!$A$2&amp;"*"))</f>
        <v>0</v>
      </c>
      <c r="AA1260" s="24"/>
      <c r="AB1260" s="24"/>
      <c r="AC1260" s="24"/>
      <c r="AD1260" s="24"/>
      <c r="AE1260" s="24"/>
    </row>
    <row r="1261" spans="1:31" ht="22.2" customHeight="1" x14ac:dyDescent="0.3">
      <c r="A1261" s="66" t="str">
        <f>+IF(PROVEEDORES[[#This Row],[FECHA DE PAGO]]=PROVEEDORES[[#This Row],[FECHA DE FACTURACIÓN]],"DE CONTADO","CRÉDITO")</f>
        <v>CRÉDITO</v>
      </c>
      <c r="B1261" s="38" t="str">
        <f>+IF((PROVEEDORES[[#This Row],[FECHA DE PAGO]]-PROVEEDORES[[#This Row],[FECHA DE FACTURACIÓN]])&gt;PROVEEDORES[[#This Row],[PLAZO Días]],"PAGO VENCIDO")</f>
        <v>PAGO VENCIDO</v>
      </c>
      <c r="C1261" s="20">
        <f>+VLOOKUP(PROVEEDORES[[#This Row],[PROVEEDOR]],TERCEROS_INFO[#All],2,FALSE)</f>
        <v>30</v>
      </c>
      <c r="D1261" s="25">
        <f>+SUMIFS(PROVEEDORES[Total],PROVEEDORES[PROVEEDOR],PROVEEDORES[[#This Row],[PROVEEDOR]],PROVEEDORES[FECHA DE PAGO],"")</f>
        <v>2318500</v>
      </c>
      <c r="E1261" s="25"/>
      <c r="F1261" s="58" t="str">
        <f>+VLOOKUP(PROVEEDORES[[#This Row],[PROVEEDOR]],
                       Terceros!$A:$F,
                       5,
                       FALSE)</f>
        <v/>
      </c>
      <c r="G1261" s="161">
        <v>44429</v>
      </c>
      <c r="H1261" s="26" t="s">
        <v>629</v>
      </c>
      <c r="I1261" s="161">
        <v>44387</v>
      </c>
      <c r="J1261" s="35" t="s">
        <v>1267</v>
      </c>
      <c r="K1261" s="21">
        <v>1340300</v>
      </c>
      <c r="L1261" s="21"/>
      <c r="M1261" s="22">
        <f>(PROVEEDORES[[#This Row],[SUBTOTAL]]-PROVEEDORES[[#This Row],[descuento sobre subtotal]])*VLOOKUP(PROVEEDORES[[#This Row],[PROVEEDOR]],TERCEROS_INFO[#All],3,FALSE)</f>
        <v>0</v>
      </c>
      <c r="N1261" s="23"/>
      <c r="O1261" s="22">
        <f>+PROVEEDORES[[#This Row],[Descuento sobre subtotal %]]*(PROVEEDORES[[#This Row],[SUBTOTAL]]-PROVEEDORES[[#This Row],[descuento sobre subtotal]])</f>
        <v>0</v>
      </c>
      <c r="P1261" s="83">
        <f>+IF(PROVEEDORES[[#This Row],[SUBTOTAL]]&lt;PROVEEDORES[[#This Row],[base retencion]],0,PROVEEDORES[[#This Row],[retención aplicada]])</f>
        <v>0</v>
      </c>
      <c r="Q1261" s="22">
        <f>+PROVEEDORES[[#This Row],[Rete Fuente %]]*(PROVEEDORES[[#This Row],[SUBTOTAL]]-PROVEEDORES[[#This Row],[descuento sobre subtotal]])</f>
        <v>0</v>
      </c>
      <c r="R1261" s="21">
        <f>+PROVEEDORES[[#This Row],[SUBTOTAL]]+PROVEEDORES[[#This Row],[IVA 19%]]-PROVEEDORES[[#This Row],[descuento sobre subtotal]]-PROVEEDORES[[#This Row],[Descuento sobre subtotal $2]]-PROVEEDORES[[#This Row],[Rete Fuente $]]</f>
        <v>1340300</v>
      </c>
      <c r="S12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1" s="68">
        <f ca="1">IF(PROVEEDORES[[#This Row],[FECHA DE PAGO]]=0,TODAY()-PROVEEDORES[[#This Row],[FECHA DE FACTURACIÓN]]-PROVEEDORES[[#This Row],[PLAZO Días]],0)</f>
        <v>0</v>
      </c>
      <c r="U1261" s="96">
        <f>+VLOOKUP(PROVEEDORES[[#This Row],[PROVEEDOR]],Terceros!$A:$D,4,FALSE)</f>
        <v>0</v>
      </c>
      <c r="V1261" s="97">
        <f>+YEAR(PROVEEDORES[[#This Row],[FECHA DE FACTURACIÓN]])</f>
        <v>2021</v>
      </c>
      <c r="W1261" s="97">
        <f>+MATCH(PROVEEDORES[[#This Row],[año facturado]],Retenciones!$1:$1,0)</f>
        <v>4</v>
      </c>
      <c r="X1261" s="98">
        <f>+VLOOKUP(PROVEEDORES[[#This Row],[ID RETENCION]],Retenciones!$A$1:$O$25,PROVEEDORES[[#This Row],[indicador de columna]],FALSE)</f>
        <v>0</v>
      </c>
      <c r="Y1261" s="99">
        <f>+VLOOKUP(PROVEEDORES[[#This Row],[ID RETENCION]],Retenciones!$A$1:$O$25,2,FALSE)</f>
        <v>0</v>
      </c>
      <c r="Z1261" s="125" t="b">
        <f>OR(COUNTIF(PROVEEDORES[[#This Row],[PROVEEDOR]],"*"&amp;'Palabra no opera'!$A$2&amp;"*"))</f>
        <v>0</v>
      </c>
      <c r="AA1261" s="24"/>
      <c r="AB1261" s="24"/>
      <c r="AC1261" s="24"/>
      <c r="AD1261" s="24"/>
      <c r="AE1261" s="24"/>
    </row>
    <row r="1262" spans="1:31" ht="22.2" customHeight="1" x14ac:dyDescent="0.3">
      <c r="A1262" s="112" t="str">
        <f>+IF(PROVEEDORES[[#This Row],[FECHA DE PAGO]]=PROVEEDORES[[#This Row],[FECHA DE FACTURACIÓN]],"DE CONTADO","CRÉDITO")</f>
        <v>CRÉDITO</v>
      </c>
      <c r="B1262" s="38" t="str">
        <f>+IF((PROVEEDORES[[#This Row],[FECHA DE PAGO]]-PROVEEDORES[[#This Row],[FECHA DE FACTURACIÓN]])&gt;PROVEEDORES[[#This Row],[PLAZO Días]],"PAGO VENCIDO")</f>
        <v>PAGO VENCIDO</v>
      </c>
      <c r="C1262" s="20">
        <f>+VLOOKUP(PROVEEDORES[[#This Row],[PROVEEDOR]],TERCEROS_INFO[#All],2,FALSE)</f>
        <v>30</v>
      </c>
      <c r="D1262" s="25">
        <f>+SUMIFS(PROVEEDORES[Total],PROVEEDORES[PROVEEDOR],PROVEEDORES[[#This Row],[PROVEEDOR]],PROVEEDORES[FECHA DE PAGO],"")</f>
        <v>1354000</v>
      </c>
      <c r="E1262" s="25"/>
      <c r="F126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62" s="161">
        <v>44700</v>
      </c>
      <c r="H1262" s="26" t="s">
        <v>699</v>
      </c>
      <c r="I1262" s="161">
        <v>44669</v>
      </c>
      <c r="J1262" s="35" t="s">
        <v>1586</v>
      </c>
      <c r="K1262" s="21">
        <v>1341500</v>
      </c>
      <c r="L1262" s="21"/>
      <c r="M1262" s="22">
        <f>(PROVEEDORES[[#This Row],[SUBTOTAL]]-PROVEEDORES[[#This Row],[descuento sobre subtotal]])*VLOOKUP(PROVEEDORES[[#This Row],[PROVEEDOR]],TERCEROS_INFO[#All],3,FALSE)</f>
        <v>0</v>
      </c>
      <c r="N1262" s="23"/>
      <c r="O1262" s="22">
        <f>+PROVEEDORES[[#This Row],[Descuento sobre subtotal %]]*(PROVEEDORES[[#This Row],[SUBTOTAL]]-PROVEEDORES[[#This Row],[descuento sobre subtotal]])</f>
        <v>0</v>
      </c>
      <c r="P1262" s="83">
        <f>+IF(PROVEEDORES[[#This Row],[SUBTOTAL]]&lt;PROVEEDORES[[#This Row],[base retencion]],0,PROVEEDORES[[#This Row],[retención aplicada]])</f>
        <v>0</v>
      </c>
      <c r="Q1262" s="22">
        <f>+PROVEEDORES[[#This Row],[Rete Fuente %]]*(PROVEEDORES[[#This Row],[SUBTOTAL]]-PROVEEDORES[[#This Row],[descuento sobre subtotal]])</f>
        <v>0</v>
      </c>
      <c r="R1262" s="21">
        <f>+PROVEEDORES[[#This Row],[SUBTOTAL]]+PROVEEDORES[[#This Row],[IVA 19%]]-PROVEEDORES[[#This Row],[descuento sobre subtotal]]-PROVEEDORES[[#This Row],[Descuento sobre subtotal $2]]-PROVEEDORES[[#This Row],[Rete Fuente $]]</f>
        <v>1341500</v>
      </c>
      <c r="S1262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2" s="68">
        <f ca="1">IF(PROVEEDORES[[#This Row],[FECHA DE PAGO]]=0,TODAY()-PROVEEDORES[[#This Row],[FECHA DE FACTURACIÓN]]-PROVEEDORES[[#This Row],[PLAZO Días]],0)</f>
        <v>0</v>
      </c>
      <c r="U1262" s="113">
        <f>+VLOOKUP(PROVEEDORES[[#This Row],[PROVEEDOR]],Terceros!$A:$D,4,FALSE)</f>
        <v>0</v>
      </c>
      <c r="V1262" s="114">
        <f>+YEAR(PROVEEDORES[[#This Row],[FECHA DE FACTURACIÓN]])</f>
        <v>2022</v>
      </c>
      <c r="W1262" s="114">
        <f>+MATCH(PROVEEDORES[[#This Row],[año facturado]],Retenciones!$1:$1,0)</f>
        <v>5</v>
      </c>
      <c r="X1262" s="115">
        <f>+VLOOKUP(PROVEEDORES[[#This Row],[ID RETENCION]],Retenciones!$A$1:$O$25,PROVEEDORES[[#This Row],[indicador de columna]],FALSE)</f>
        <v>0</v>
      </c>
      <c r="Y1262" s="116">
        <f>+VLOOKUP(PROVEEDORES[[#This Row],[ID RETENCION]],Retenciones!$A$1:$O$25,2,FALSE)</f>
        <v>0</v>
      </c>
      <c r="Z1262" s="125" t="b">
        <f>OR(COUNTIF(PROVEEDORES[[#This Row],[PROVEEDOR]],"*"&amp;'Palabra no opera'!$A$2&amp;"*"))</f>
        <v>0</v>
      </c>
      <c r="AA1262" s="24"/>
      <c r="AB1262" s="24"/>
      <c r="AC1262" s="24"/>
      <c r="AD1262" s="24"/>
      <c r="AE1262" s="24"/>
    </row>
    <row r="1263" spans="1:31" ht="22.2" customHeight="1" x14ac:dyDescent="0.3">
      <c r="A1263" s="72" t="str">
        <f>+IF(PROVEEDORES[[#This Row],[FECHA DE PAGO]]=PROVEEDORES[[#This Row],[FECHA DE FACTURACIÓN]],"DE CONTADO","CRÉDITO")</f>
        <v>CRÉDITO</v>
      </c>
      <c r="B1263" s="38" t="b">
        <f>+IF((PROVEEDORES[[#This Row],[FECHA DE PAGO]]-PROVEEDORES[[#This Row],[FECHA DE FACTURACIÓN]])&gt;PROVEEDORES[[#This Row],[PLAZO Días]],"PAGO VENCIDO")</f>
        <v>0</v>
      </c>
      <c r="C1263" s="20">
        <f>+VLOOKUP(PROVEEDORES[[#This Row],[PROVEEDOR]],TERCEROS_INFO[#All],2,FALSE)</f>
        <v>30</v>
      </c>
      <c r="D1263" s="25">
        <f>+SUMIFS(PROVEEDORES[Total],PROVEEDORES[PROVEEDOR],PROVEEDORES[[#This Row],[PROVEEDOR]],PROVEEDORES[FECHA DE PAGO],"")</f>
        <v>0</v>
      </c>
      <c r="E1263" s="25"/>
      <c r="F1263" s="58" t="str">
        <f>+VLOOKUP(PROVEEDORES[[#This Row],[PROVEEDOR]],
                       Terceros!$A:$F,
                       5,
                       FALSE)</f>
        <v/>
      </c>
      <c r="G1263" s="161">
        <v>44812</v>
      </c>
      <c r="H1263" s="26" t="s">
        <v>689</v>
      </c>
      <c r="I1263" s="161">
        <v>44809</v>
      </c>
      <c r="J1263" s="35" t="s">
        <v>1667</v>
      </c>
      <c r="K1263" s="21">
        <v>1347110</v>
      </c>
      <c r="L1263" s="21"/>
      <c r="M1263" s="22">
        <f>(PROVEEDORES[[#This Row],[SUBTOTAL]]-PROVEEDORES[[#This Row],[descuento sobre subtotal]])*VLOOKUP(PROVEEDORES[[#This Row],[PROVEEDOR]],TERCEROS_INFO[#All],3,FALSE)</f>
        <v>0</v>
      </c>
      <c r="N1263" s="23"/>
      <c r="O1263" s="22">
        <f>+PROVEEDORES[[#This Row],[Descuento sobre subtotal %]]*(PROVEEDORES[[#This Row],[SUBTOTAL]]-PROVEEDORES[[#This Row],[descuento sobre subtotal]])</f>
        <v>0</v>
      </c>
      <c r="P1263" s="83">
        <f>+IF(PROVEEDORES[[#This Row],[SUBTOTAL]]&lt;PROVEEDORES[[#This Row],[base retencion]],0,PROVEEDORES[[#This Row],[retención aplicada]])</f>
        <v>0</v>
      </c>
      <c r="Q1263" s="22">
        <f>+PROVEEDORES[[#This Row],[Rete Fuente %]]*(PROVEEDORES[[#This Row],[SUBTOTAL]]-PROVEEDORES[[#This Row],[descuento sobre subtotal]])</f>
        <v>0</v>
      </c>
      <c r="R1263" s="21">
        <f>+PROVEEDORES[[#This Row],[SUBTOTAL]]+PROVEEDORES[[#This Row],[IVA 19%]]-PROVEEDORES[[#This Row],[descuento sobre subtotal]]-PROVEEDORES[[#This Row],[Descuento sobre subtotal $2]]-PROVEEDORES[[#This Row],[Rete Fuente $]]</f>
        <v>1347110</v>
      </c>
      <c r="S126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3" s="68">
        <f ca="1">IF(PROVEEDORES[[#This Row],[FECHA DE PAGO]]=0,TODAY()-PROVEEDORES[[#This Row],[FECHA DE FACTURACIÓN]]-PROVEEDORES[[#This Row],[PLAZO Días]],0)</f>
        <v>0</v>
      </c>
      <c r="U1263" s="113">
        <f>+VLOOKUP(PROVEEDORES[[#This Row],[PROVEEDOR]],Terceros!$A:$D,4,FALSE)</f>
        <v>0</v>
      </c>
      <c r="V1263" s="114">
        <f>+YEAR(PROVEEDORES[[#This Row],[FECHA DE FACTURACIÓN]])</f>
        <v>2022</v>
      </c>
      <c r="W1263" s="114">
        <f>+MATCH(PROVEEDORES[[#This Row],[año facturado]],Retenciones!$1:$1,0)</f>
        <v>5</v>
      </c>
      <c r="X1263" s="115">
        <f>+VLOOKUP(PROVEEDORES[[#This Row],[ID RETENCION]],Retenciones!$A$1:$O$25,PROVEEDORES[[#This Row],[indicador de columna]],FALSE)</f>
        <v>0</v>
      </c>
      <c r="Y1263" s="116">
        <f>+VLOOKUP(PROVEEDORES[[#This Row],[ID RETENCION]],Retenciones!$A$1:$O$25,2,FALSE)</f>
        <v>0</v>
      </c>
      <c r="Z1263" s="125" t="b">
        <f>OR(COUNTIF(PROVEEDORES[[#This Row],[PROVEEDOR]],"*"&amp;'Palabra no opera'!$A$2&amp;"*"))</f>
        <v>0</v>
      </c>
      <c r="AA1263" s="24"/>
      <c r="AB1263" s="24"/>
      <c r="AC1263" s="24"/>
      <c r="AD1263" s="24"/>
      <c r="AE1263" s="24"/>
    </row>
    <row r="1264" spans="1:31" ht="22.2" customHeight="1" x14ac:dyDescent="0.3">
      <c r="A1264" s="66" t="str">
        <f>+IF(PROVEEDORES[[#This Row],[FECHA DE PAGO]]=PROVEEDORES[[#This Row],[FECHA DE FACTURACIÓN]],"DE CONTADO","CRÉDITO")</f>
        <v>CRÉDITO</v>
      </c>
      <c r="B1264" s="38" t="str">
        <f>+IF((PROVEEDORES[[#This Row],[FECHA DE PAGO]]-PROVEEDORES[[#This Row],[FECHA DE FACTURACIÓN]])&gt;PROVEEDORES[[#This Row],[PLAZO Días]],"PAGO VENCIDO")</f>
        <v>PAGO VENCIDO</v>
      </c>
      <c r="C1264" s="20">
        <f>+VLOOKUP(PROVEEDORES[[#This Row],[PROVEEDOR]],TERCEROS_INFO[#All],2,FALSE)</f>
        <v>30</v>
      </c>
      <c r="D1264" s="25">
        <f>+SUMIFS(PROVEEDORES[Total],PROVEEDORES[PROVEEDOR],PROVEEDORES[[#This Row],[PROVEEDOR]],PROVEEDORES[FECHA DE PAGO],"")</f>
        <v>3236000</v>
      </c>
      <c r="E1264" s="25"/>
      <c r="F1264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264" s="161">
        <v>44600</v>
      </c>
      <c r="H1264" s="26" t="s">
        <v>677</v>
      </c>
      <c r="I1264" s="161">
        <v>44567</v>
      </c>
      <c r="J1264" s="35" t="s">
        <v>1553</v>
      </c>
      <c r="K1264" s="21">
        <v>1350000</v>
      </c>
      <c r="L1264" s="21"/>
      <c r="M1264" s="22">
        <v>0</v>
      </c>
      <c r="N1264" s="23"/>
      <c r="O1264" s="22">
        <v>0</v>
      </c>
      <c r="P1264" s="83">
        <f>+IF(PROVEEDORES[[#This Row],[SUBTOTAL]]&lt;PROVEEDORES[[#This Row],[base retencion]],0,PROVEEDORES[[#This Row],[retención aplicada]])</f>
        <v>0</v>
      </c>
      <c r="Q1264" s="22">
        <f>+PROVEEDORES[[#This Row],[Rete Fuente %]]*(PROVEEDORES[[#This Row],[SUBTOTAL]]-PROVEEDORES[[#This Row],[descuento sobre subtotal]])</f>
        <v>0</v>
      </c>
      <c r="R1264" s="21">
        <v>1350000</v>
      </c>
      <c r="S12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4" s="68">
        <f ca="1">IF(PROVEEDORES[[#This Row],[FECHA DE PAGO]]=0,TODAY()-PROVEEDORES[[#This Row],[FECHA DE FACTURACIÓN]]-PROVEEDORES[[#This Row],[PLAZO Días]],0)</f>
        <v>0</v>
      </c>
      <c r="U1264" s="96">
        <f>+VLOOKUP(PROVEEDORES[[#This Row],[PROVEEDOR]],Terceros!$A:$D,4,FALSE)</f>
        <v>0</v>
      </c>
      <c r="V1264" s="97">
        <f>+YEAR(PROVEEDORES[[#This Row],[FECHA DE FACTURACIÓN]])</f>
        <v>2022</v>
      </c>
      <c r="W1264" s="97">
        <f>+MATCH(PROVEEDORES[[#This Row],[año facturado]],Retenciones!$1:$1,0)</f>
        <v>5</v>
      </c>
      <c r="X1264" s="98">
        <f>+VLOOKUP(PROVEEDORES[[#This Row],[ID RETENCION]],Retenciones!$A$1:$O$25,PROVEEDORES[[#This Row],[indicador de columna]],FALSE)</f>
        <v>0</v>
      </c>
      <c r="Y1264" s="99">
        <f>+VLOOKUP(PROVEEDORES[[#This Row],[ID RETENCION]],Retenciones!$A$1:$O$25,2,FALSE)</f>
        <v>0</v>
      </c>
      <c r="Z1264" s="125" t="b">
        <f>OR(COUNTIF(PROVEEDORES[[#This Row],[PROVEEDOR]],"*"&amp;'Palabra no opera'!$A$2&amp;"*"))</f>
        <v>0</v>
      </c>
      <c r="AA1264" s="24"/>
      <c r="AB1264" s="24"/>
      <c r="AC1264" s="24"/>
      <c r="AD1264" s="24"/>
      <c r="AE1264" s="24"/>
    </row>
    <row r="1265" spans="1:31" ht="22.2" customHeight="1" x14ac:dyDescent="0.3">
      <c r="A1265" s="66" t="str">
        <f>+IF(PROVEEDORES[[#This Row],[FECHA DE PAGO]]=PROVEEDORES[[#This Row],[FECHA DE FACTURACIÓN]],"DE CONTADO","CRÉDITO")</f>
        <v>CRÉDITO</v>
      </c>
      <c r="B1265" s="38" t="str">
        <f>+IF((PROVEEDORES[[#This Row],[FECHA DE PAGO]]-PROVEEDORES[[#This Row],[FECHA DE FACTURACIÓN]])&gt;PROVEEDORES[[#This Row],[PLAZO Días]],"PAGO VENCIDO")</f>
        <v>PAGO VENCIDO</v>
      </c>
      <c r="C1265" s="20">
        <f>+VLOOKUP(PROVEEDORES[[#This Row],[PROVEEDOR]],TERCEROS_INFO[#All],2,FALSE)</f>
        <v>30</v>
      </c>
      <c r="D1265" s="25">
        <f>+SUMIFS(PROVEEDORES[Total],PROVEEDORES[PROVEEDOR],PROVEEDORES[[#This Row],[PROVEEDOR]],PROVEEDORES[FECHA DE PAGO],"")</f>
        <v>0</v>
      </c>
      <c r="E1265" s="25"/>
      <c r="F126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265" s="161">
        <v>44485</v>
      </c>
      <c r="H1265" s="26" t="s">
        <v>24</v>
      </c>
      <c r="I1265" s="161">
        <v>44420</v>
      </c>
      <c r="J1265" s="35" t="s">
        <v>412</v>
      </c>
      <c r="K1265" s="21">
        <v>1162100</v>
      </c>
      <c r="L1265" s="21"/>
      <c r="M1265" s="22">
        <f>(PROVEEDORES[[#This Row],[SUBTOTAL]]-PROVEEDORES[[#This Row],[descuento sobre subtotal]])*VLOOKUP(PROVEEDORES[[#This Row],[PROVEEDOR]],TERCEROS_INFO[#All],3,FALSE)</f>
        <v>220799</v>
      </c>
      <c r="N1265" s="23"/>
      <c r="O1265" s="22">
        <f>+PROVEEDORES[[#This Row],[Descuento sobre subtotal %]]*(PROVEEDORES[[#This Row],[SUBTOTAL]]-PROVEEDORES[[#This Row],[descuento sobre subtotal]])</f>
        <v>0</v>
      </c>
      <c r="P1265" s="83">
        <f>+IF(PROVEEDORES[[#This Row],[SUBTOTAL]]&lt;PROVEEDORES[[#This Row],[base retencion]],0,PROVEEDORES[[#This Row],[retención aplicada]])</f>
        <v>2.5000000000000001E-2</v>
      </c>
      <c r="Q1265" s="22">
        <f>+PROVEEDORES[[#This Row],[Rete Fuente %]]*(PROVEEDORES[[#This Row],[SUBTOTAL]]-PROVEEDORES[[#This Row],[descuento sobre subtotal]])</f>
        <v>29052.5</v>
      </c>
      <c r="R1265" s="21">
        <f>+PROVEEDORES[[#This Row],[SUBTOTAL]]+PROVEEDORES[[#This Row],[IVA 19%]]-PROVEEDORES[[#This Row],[descuento sobre subtotal]]-PROVEEDORES[[#This Row],[Descuento sobre subtotal $2]]-PROVEEDORES[[#This Row],[Rete Fuente $]]</f>
        <v>1353846.5</v>
      </c>
      <c r="S12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5" s="68">
        <f ca="1">IF(PROVEEDORES[[#This Row],[FECHA DE PAGO]]=0,TODAY()-PROVEEDORES[[#This Row],[FECHA DE FACTURACIÓN]]-PROVEEDORES[[#This Row],[PLAZO Días]],0)</f>
        <v>0</v>
      </c>
      <c r="U1265" s="96" t="str">
        <f>+VLOOKUP(PROVEEDORES[[#This Row],[PROVEEDOR]],Terceros!$A:$D,4,FALSE)</f>
        <v>2,5% con base</v>
      </c>
      <c r="V1265" s="97">
        <f>+YEAR(PROVEEDORES[[#This Row],[FECHA DE FACTURACIÓN]])</f>
        <v>2021</v>
      </c>
      <c r="W1265" s="97">
        <f>+MATCH(PROVEEDORES[[#This Row],[año facturado]],Retenciones!$1:$1,0)</f>
        <v>4</v>
      </c>
      <c r="X1265" s="98">
        <f>+VLOOKUP(PROVEEDORES[[#This Row],[ID RETENCION]],Retenciones!$A$1:$O$25,PROVEEDORES[[#This Row],[indicador de columna]],FALSE)</f>
        <v>980000</v>
      </c>
      <c r="Y1265" s="99">
        <f>+VLOOKUP(PROVEEDORES[[#This Row],[ID RETENCION]],Retenciones!$A$1:$O$25,2,FALSE)</f>
        <v>2.5000000000000001E-2</v>
      </c>
      <c r="Z1265" s="125" t="b">
        <f>OR(COUNTIF(PROVEEDORES[[#This Row],[PROVEEDOR]],"*"&amp;'Palabra no opera'!$A$2&amp;"*"))</f>
        <v>0</v>
      </c>
      <c r="AA1265" s="24"/>
      <c r="AB1265" s="24"/>
      <c r="AC1265" s="24"/>
      <c r="AD1265" s="24"/>
      <c r="AE1265" s="24"/>
    </row>
    <row r="1266" spans="1:31" ht="22.2" customHeight="1" x14ac:dyDescent="0.3">
      <c r="A1266" s="72" t="str">
        <f>+IF(PROVEEDORES[[#This Row],[FECHA DE PAGO]]=PROVEEDORES[[#This Row],[FECHA DE FACTURACIÓN]],"DE CONTADO","CRÉDITO")</f>
        <v>CRÉDITO</v>
      </c>
      <c r="B1266" s="38" t="b">
        <f>+IF((PROVEEDORES[[#This Row],[FECHA DE PAGO]]-PROVEEDORES[[#This Row],[FECHA DE FACTURACIÓN]])&gt;PROVEEDORES[[#This Row],[PLAZO Días]],"PAGO VENCIDO")</f>
        <v>0</v>
      </c>
      <c r="C1266" s="20">
        <f>+VLOOKUP(PROVEEDORES[[#This Row],[PROVEEDOR]],TERCEROS_INFO[#All],2,FALSE)</f>
        <v>30</v>
      </c>
      <c r="D1266" s="25">
        <f>+SUMIFS(PROVEEDORES[Total],PROVEEDORES[PROVEEDOR],PROVEEDORES[[#This Row],[PROVEEDOR]],PROVEEDORES[FECHA DE PAGO],"")</f>
        <v>1354000</v>
      </c>
      <c r="E1266" s="25"/>
      <c r="F126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1266" s="267" t="s">
        <v>699</v>
      </c>
      <c r="I1266" s="161">
        <v>44819</v>
      </c>
      <c r="J1266" s="35" t="s">
        <v>1701</v>
      </c>
      <c r="K1266" s="21">
        <v>1354000</v>
      </c>
      <c r="L1266" s="21"/>
      <c r="M1266" s="22">
        <f>(PROVEEDORES[[#This Row],[SUBTOTAL]]-PROVEEDORES[[#This Row],[descuento sobre subtotal]])*VLOOKUP(PROVEEDORES[[#This Row],[PROVEEDOR]],TERCEROS_INFO[#All],3,FALSE)</f>
        <v>0</v>
      </c>
      <c r="N1266" s="23"/>
      <c r="O1266" s="22">
        <f>+PROVEEDORES[[#This Row],[Descuento sobre subtotal %]]*(PROVEEDORES[[#This Row],[SUBTOTAL]]-PROVEEDORES[[#This Row],[descuento sobre subtotal]])</f>
        <v>0</v>
      </c>
      <c r="P1266" s="83">
        <f>+IF(PROVEEDORES[[#This Row],[SUBTOTAL]]&lt;PROVEEDORES[[#This Row],[base retencion]],0,PROVEEDORES[[#This Row],[retención aplicada]])</f>
        <v>0</v>
      </c>
      <c r="Q1266" s="22">
        <f>+PROVEEDORES[[#This Row],[Rete Fuente %]]*(PROVEEDORES[[#This Row],[SUBTOTAL]]-PROVEEDORES[[#This Row],[descuento sobre subtotal]])</f>
        <v>0</v>
      </c>
      <c r="R1266" s="21">
        <f>+PROVEEDORES[[#This Row],[SUBTOTAL]]+PROVEEDORES[[#This Row],[IVA 19%]]-PROVEEDORES[[#This Row],[descuento sobre subtotal]]-PROVEEDORES[[#This Row],[Descuento sobre subtotal $2]]-PROVEEDORES[[#This Row],[Rete Fuente $]]</f>
        <v>1354000</v>
      </c>
      <c r="S1266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66" s="68">
        <f ca="1">IF(PROVEEDORES[[#This Row],[FECHA DE PAGO]]=0,TODAY()-PROVEEDORES[[#This Row],[FECHA DE FACTURACIÓN]]-PROVEEDORES[[#This Row],[PLAZO Días]],0)</f>
        <v>26</v>
      </c>
      <c r="U1266" s="113">
        <f>+VLOOKUP(PROVEEDORES[[#This Row],[PROVEEDOR]],Terceros!$A:$D,4,FALSE)</f>
        <v>0</v>
      </c>
      <c r="V1266" s="114">
        <f>+YEAR(PROVEEDORES[[#This Row],[FECHA DE FACTURACIÓN]])</f>
        <v>2022</v>
      </c>
      <c r="W1266" s="114">
        <f>+MATCH(PROVEEDORES[[#This Row],[año facturado]],Retenciones!$1:$1,0)</f>
        <v>5</v>
      </c>
      <c r="X1266" s="115">
        <f>+VLOOKUP(PROVEEDORES[[#This Row],[ID RETENCION]],Retenciones!$A$1:$O$25,PROVEEDORES[[#This Row],[indicador de columna]],FALSE)</f>
        <v>0</v>
      </c>
      <c r="Y1266" s="116">
        <f>+VLOOKUP(PROVEEDORES[[#This Row],[ID RETENCION]],Retenciones!$A$1:$O$25,2,FALSE)</f>
        <v>0</v>
      </c>
      <c r="Z1266" s="125" t="b">
        <f>OR(COUNTIF(PROVEEDORES[[#This Row],[PROVEEDOR]],"*"&amp;'Palabra no opera'!$A$2&amp;"*"))</f>
        <v>0</v>
      </c>
      <c r="AA1266" s="24"/>
      <c r="AB1266" s="24"/>
      <c r="AC1266" s="24"/>
      <c r="AD1266" s="24"/>
      <c r="AE1266" s="24"/>
    </row>
    <row r="1267" spans="1:31" ht="22.2" customHeight="1" x14ac:dyDescent="0.3">
      <c r="A1267" s="66" t="str">
        <f>+IF(PROVEEDORES[[#This Row],[FECHA DE PAGO]]=PROVEEDORES[[#This Row],[FECHA DE FACTURACIÓN]],"DE CONTADO","CRÉDITO")</f>
        <v>CRÉDITO</v>
      </c>
      <c r="B1267" s="38" t="str">
        <f>+IF((PROVEEDORES[[#This Row],[FECHA DE PAGO]]-PROVEEDORES[[#This Row],[FECHA DE FACTURACIÓN]])&gt;PROVEEDORES[[#This Row],[PLAZO Días]],"PAGO VENCIDO")</f>
        <v>PAGO VENCIDO</v>
      </c>
      <c r="C1267" s="20">
        <f>+VLOOKUP(PROVEEDORES[[#This Row],[PROVEEDOR]],TERCEROS_INFO[#All],2,FALSE)</f>
        <v>30</v>
      </c>
      <c r="D1267" s="25">
        <f>+SUMIFS(PROVEEDORES[Total],PROVEEDORES[PROVEEDOR],PROVEEDORES[[#This Row],[PROVEEDOR]],PROVEEDORES[FECHA DE PAGO],"")</f>
        <v>2749000</v>
      </c>
      <c r="E1267" s="25"/>
      <c r="F1267" s="58">
        <f>+VLOOKUP(PROVEEDORES[[#This Row],[PROVEEDOR]],
                       Terceros!$A:$F,
                       5,
                       FALSE)</f>
        <v>0</v>
      </c>
      <c r="G1267" s="161">
        <v>44684</v>
      </c>
      <c r="H1267" s="26" t="s">
        <v>649</v>
      </c>
      <c r="I1267" s="161">
        <v>44594</v>
      </c>
      <c r="J1267" s="35" t="s">
        <v>1379</v>
      </c>
      <c r="K1267" s="21">
        <v>1356000</v>
      </c>
      <c r="L1267" s="21"/>
      <c r="M1267" s="22">
        <f>(PROVEEDORES[[#This Row],[SUBTOTAL]]-PROVEEDORES[[#This Row],[descuento sobre subtotal]])*VLOOKUP(PROVEEDORES[[#This Row],[PROVEEDOR]],TERCEROS_INFO[#All],3,FALSE)</f>
        <v>0</v>
      </c>
      <c r="N1267" s="23"/>
      <c r="O1267" s="22">
        <f>+PROVEEDORES[[#This Row],[Descuento sobre subtotal %]]*(PROVEEDORES[[#This Row],[SUBTOTAL]]-PROVEEDORES[[#This Row],[descuento sobre subtotal]])</f>
        <v>0</v>
      </c>
      <c r="P1267" s="83">
        <f>+IF(PROVEEDORES[[#This Row],[SUBTOTAL]]&lt;PROVEEDORES[[#This Row],[base retencion]],0,PROVEEDORES[[#This Row],[retención aplicada]])</f>
        <v>0</v>
      </c>
      <c r="Q1267" s="22">
        <f>+PROVEEDORES[[#This Row],[Rete Fuente %]]*(PROVEEDORES[[#This Row],[SUBTOTAL]]-PROVEEDORES[[#This Row],[descuento sobre subtotal]])</f>
        <v>0</v>
      </c>
      <c r="R1267" s="21">
        <f>+PROVEEDORES[[#This Row],[SUBTOTAL]]+PROVEEDORES[[#This Row],[IVA 19%]]-PROVEEDORES[[#This Row],[descuento sobre subtotal]]-PROVEEDORES[[#This Row],[Descuento sobre subtotal $2]]-PROVEEDORES[[#This Row],[Rete Fuente $]]</f>
        <v>1356000</v>
      </c>
      <c r="S12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68">
        <f ca="1">IF(PROVEEDORES[[#This Row],[FECHA DE PAGO]]=0,TODAY()-PROVEEDORES[[#This Row],[FECHA DE FACTURACIÓN]]-PROVEEDORES[[#This Row],[PLAZO Días]],0)</f>
        <v>0</v>
      </c>
      <c r="U1267" s="96">
        <f>+VLOOKUP(PROVEEDORES[[#This Row],[PROVEEDOR]],Terceros!$A:$D,4,FALSE)</f>
        <v>0</v>
      </c>
      <c r="V1267" s="97">
        <f>+YEAR(PROVEEDORES[[#This Row],[FECHA DE FACTURACIÓN]])</f>
        <v>2022</v>
      </c>
      <c r="W1267" s="97">
        <f>+MATCH(PROVEEDORES[[#This Row],[año facturado]],Retenciones!$1:$1,0)</f>
        <v>5</v>
      </c>
      <c r="X1267" s="98">
        <f>+VLOOKUP(PROVEEDORES[[#This Row],[ID RETENCION]],Retenciones!$A$1:$O$25,PROVEEDORES[[#This Row],[indicador de columna]],FALSE)</f>
        <v>0</v>
      </c>
      <c r="Y1267" s="99">
        <f>+VLOOKUP(PROVEEDORES[[#This Row],[ID RETENCION]],Retenciones!$A$1:$O$25,2,FALSE)</f>
        <v>0</v>
      </c>
      <c r="Z1267" s="125" t="b">
        <f>OR(COUNTIF(PROVEEDORES[[#This Row],[PROVEEDOR]],"*"&amp;'Palabra no opera'!$A$2&amp;"*"))</f>
        <v>0</v>
      </c>
      <c r="AA1267" s="24"/>
      <c r="AB1267" s="24"/>
      <c r="AC1267" s="24"/>
      <c r="AD1267" s="24"/>
      <c r="AE1267" s="24"/>
    </row>
    <row r="1268" spans="1:31" ht="22.2" customHeight="1" x14ac:dyDescent="0.3">
      <c r="A1268" s="66" t="str">
        <f>+IF(PROVEEDORES[[#This Row],[FECHA DE PAGO]]=PROVEEDORES[[#This Row],[FECHA DE FACTURACIÓN]],"DE CONTADO","CRÉDITO")</f>
        <v>CRÉDITO</v>
      </c>
      <c r="B1268" s="38" t="str">
        <f>+IF((PROVEEDORES[[#This Row],[FECHA DE PAGO]]-PROVEEDORES[[#This Row],[FECHA DE FACTURACIÓN]])&gt;PROVEEDORES[[#This Row],[PLAZO Días]],"PAGO VENCIDO")</f>
        <v>PAGO VENCIDO</v>
      </c>
      <c r="C1268" s="20">
        <f>+VLOOKUP(PROVEEDORES[[#This Row],[PROVEEDOR]],TERCEROS_INFO[#All],2,FALSE)</f>
        <v>45</v>
      </c>
      <c r="D1268" s="25">
        <f>+SUMIFS(PROVEEDORES[Total],PROVEEDORES[PROVEEDOR],PROVEEDORES[[#This Row],[PROVEEDOR]],PROVEEDORES[FECHA DE PAGO],"")</f>
        <v>2604910</v>
      </c>
      <c r="E1268" s="25"/>
      <c r="F126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68" s="161">
        <v>44656</v>
      </c>
      <c r="H1268" s="26" t="s">
        <v>10</v>
      </c>
      <c r="I1268" s="161">
        <v>44594</v>
      </c>
      <c r="J1268" s="35" t="s">
        <v>767</v>
      </c>
      <c r="K1268" s="21">
        <v>1140335.8999999999</v>
      </c>
      <c r="L1268" s="21"/>
      <c r="M1268" s="22">
        <f>(PROVEEDORES[[#This Row],[SUBTOTAL]]-PROVEEDORES[[#This Row],[descuento sobre subtotal]])*VLOOKUP(PROVEEDORES[[#This Row],[PROVEEDOR]],TERCEROS_INFO[#All],3,FALSE)</f>
        <v>216663.821</v>
      </c>
      <c r="N1268" s="23"/>
      <c r="O1268" s="22">
        <f>+PROVEEDORES[[#This Row],[Descuento sobre subtotal %]]*(PROVEEDORES[[#This Row],[SUBTOTAL]]-PROVEEDORES[[#This Row],[descuento sobre subtotal]])</f>
        <v>0</v>
      </c>
      <c r="P1268" s="83">
        <f>+IF(PROVEEDORES[[#This Row],[SUBTOTAL]]&lt;PROVEEDORES[[#This Row],[base retencion]],0,PROVEEDORES[[#This Row],[retención aplicada]])</f>
        <v>0</v>
      </c>
      <c r="Q1268" s="22">
        <f>+PROVEEDORES[[#This Row],[Rete Fuente %]]*(PROVEEDORES[[#This Row],[SUBTOTAL]]-PROVEEDORES[[#This Row],[descuento sobre subtotal]])</f>
        <v>0</v>
      </c>
      <c r="R1268" s="21">
        <v>1356999.7209999999</v>
      </c>
      <c r="S12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8" s="68">
        <f ca="1">IF(PROVEEDORES[[#This Row],[FECHA DE PAGO]]=0,TODAY()-PROVEEDORES[[#This Row],[FECHA DE FACTURACIÓN]]-PROVEEDORES[[#This Row],[PLAZO Días]],0)</f>
        <v>0</v>
      </c>
      <c r="U1268" s="96">
        <f>+VLOOKUP(PROVEEDORES[[#This Row],[PROVEEDOR]],Terceros!$A:$D,4,FALSE)</f>
        <v>0</v>
      </c>
      <c r="V1268" s="97">
        <f>+YEAR(PROVEEDORES[[#This Row],[FECHA DE FACTURACIÓN]])</f>
        <v>2022</v>
      </c>
      <c r="W1268" s="97">
        <f>+MATCH(PROVEEDORES[[#This Row],[año facturado]],Retenciones!$1:$1,0)</f>
        <v>5</v>
      </c>
      <c r="X1268" s="98">
        <f>+VLOOKUP(PROVEEDORES[[#This Row],[ID RETENCION]],Retenciones!$A$1:$O$25,PROVEEDORES[[#This Row],[indicador de columna]],FALSE)</f>
        <v>0</v>
      </c>
      <c r="Y1268" s="99">
        <f>+VLOOKUP(PROVEEDORES[[#This Row],[ID RETENCION]],Retenciones!$A$1:$O$25,2,FALSE)</f>
        <v>0</v>
      </c>
      <c r="Z1268" s="125" t="b">
        <f>OR(COUNTIF(PROVEEDORES[[#This Row],[PROVEEDOR]],"*"&amp;'Palabra no opera'!$A$2&amp;"*"))</f>
        <v>0</v>
      </c>
      <c r="AA1268" s="24"/>
      <c r="AB1268" s="24"/>
      <c r="AC1268" s="24"/>
      <c r="AD1268" s="24"/>
      <c r="AE1268" s="24"/>
    </row>
    <row r="1269" spans="1:31" ht="22.2" customHeight="1" x14ac:dyDescent="0.3">
      <c r="A1269" s="66" t="str">
        <f>+IF(PROVEEDORES[[#This Row],[FECHA DE PAGO]]=PROVEEDORES[[#This Row],[FECHA DE FACTURACIÓN]],"DE CONTADO","CRÉDITO")</f>
        <v>CRÉDITO</v>
      </c>
      <c r="B1269" s="38" t="str">
        <f>+IF((PROVEEDORES[[#This Row],[FECHA DE PAGO]]-PROVEEDORES[[#This Row],[FECHA DE FACTURACIÓN]])&gt;PROVEEDORES[[#This Row],[PLAZO Días]],"PAGO VENCIDO")</f>
        <v>PAGO VENCIDO</v>
      </c>
      <c r="C1269" s="20">
        <f>+VLOOKUP(PROVEEDORES[[#This Row],[PROVEEDOR]],TERCEROS_INFO[#All],2,FALSE)</f>
        <v>30</v>
      </c>
      <c r="D1269" s="25">
        <f>+SUMIFS(PROVEEDORES[Total],PROVEEDORES[PROVEEDOR],PROVEEDORES[[#This Row],[PROVEEDOR]],PROVEEDORES[FECHA DE PAGO],"")</f>
        <v>2318500</v>
      </c>
      <c r="E1269" s="25"/>
      <c r="F1269" s="58" t="str">
        <f>+VLOOKUP(PROVEEDORES[[#This Row],[PROVEEDOR]],
                       Terceros!$A:$F,
                       5,
                       FALSE)</f>
        <v/>
      </c>
      <c r="G1269" s="161">
        <v>44312</v>
      </c>
      <c r="H1269" s="26" t="s">
        <v>629</v>
      </c>
      <c r="I1269" s="161">
        <v>44258</v>
      </c>
      <c r="J1269" s="35" t="s">
        <v>1195</v>
      </c>
      <c r="K1269" s="21">
        <v>1360000</v>
      </c>
      <c r="L1269" s="21"/>
      <c r="M1269" s="22">
        <f>(PROVEEDORES[[#This Row],[SUBTOTAL]]-PROVEEDORES[[#This Row],[descuento sobre subtotal]])*VLOOKUP(PROVEEDORES[[#This Row],[PROVEEDOR]],TERCEROS_INFO[#All],3,FALSE)</f>
        <v>0</v>
      </c>
      <c r="N1269" s="23"/>
      <c r="O1269" s="22">
        <f>+PROVEEDORES[[#This Row],[Descuento sobre subtotal %]]*(PROVEEDORES[[#This Row],[SUBTOTAL]]-PROVEEDORES[[#This Row],[descuento sobre subtotal]])</f>
        <v>0</v>
      </c>
      <c r="P1269" s="83">
        <f>+IF(PROVEEDORES[[#This Row],[SUBTOTAL]]&lt;PROVEEDORES[[#This Row],[base retencion]],0,PROVEEDORES[[#This Row],[retención aplicada]])</f>
        <v>0</v>
      </c>
      <c r="Q1269" s="22">
        <f>+PROVEEDORES[[#This Row],[Rete Fuente %]]*(PROVEEDORES[[#This Row],[SUBTOTAL]]-PROVEEDORES[[#This Row],[descuento sobre subtotal]])</f>
        <v>0</v>
      </c>
      <c r="R1269" s="21">
        <f>+PROVEEDORES[[#This Row],[SUBTOTAL]]+PROVEEDORES[[#This Row],[IVA 19%]]-PROVEEDORES[[#This Row],[descuento sobre subtotal]]-PROVEEDORES[[#This Row],[Descuento sobre subtotal $2]]-PROVEEDORES[[#This Row],[Rete Fuente $]]</f>
        <v>1360000</v>
      </c>
      <c r="S12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68">
        <f ca="1">IF(PROVEEDORES[[#This Row],[FECHA DE PAGO]]=0,TODAY()-PROVEEDORES[[#This Row],[FECHA DE FACTURACIÓN]]-PROVEEDORES[[#This Row],[PLAZO Días]],0)</f>
        <v>0</v>
      </c>
      <c r="U1269" s="96">
        <f>+VLOOKUP(PROVEEDORES[[#This Row],[PROVEEDOR]],Terceros!$A:$D,4,FALSE)</f>
        <v>0</v>
      </c>
      <c r="V1269" s="97">
        <f>+YEAR(PROVEEDORES[[#This Row],[FECHA DE FACTURACIÓN]])</f>
        <v>2021</v>
      </c>
      <c r="W1269" s="97">
        <f>+MATCH(PROVEEDORES[[#This Row],[año facturado]],Retenciones!$1:$1,0)</f>
        <v>4</v>
      </c>
      <c r="X1269" s="98">
        <f>+VLOOKUP(PROVEEDORES[[#This Row],[ID RETENCION]],Retenciones!$A$1:$O$25,PROVEEDORES[[#This Row],[indicador de columna]],FALSE)</f>
        <v>0</v>
      </c>
      <c r="Y1269" s="99">
        <f>+VLOOKUP(PROVEEDORES[[#This Row],[ID RETENCION]],Retenciones!$A$1:$O$25,2,FALSE)</f>
        <v>0</v>
      </c>
      <c r="Z1269" s="125" t="b">
        <f>OR(COUNTIF(PROVEEDORES[[#This Row],[PROVEEDOR]],"*"&amp;'Palabra no opera'!$A$2&amp;"*"))</f>
        <v>0</v>
      </c>
      <c r="AA1269" s="24"/>
      <c r="AB1269" s="24"/>
      <c r="AC1269" s="24"/>
      <c r="AD1269" s="24"/>
      <c r="AE1269" s="24"/>
    </row>
    <row r="1270" spans="1:31" ht="22.2" customHeight="1" x14ac:dyDescent="0.3">
      <c r="A1270" s="66" t="str">
        <f>+IF(PROVEEDORES[[#This Row],[FECHA DE PAGO]]=PROVEEDORES[[#This Row],[FECHA DE FACTURACIÓN]],"DE CONTADO","CRÉDITO")</f>
        <v>CRÉDITO</v>
      </c>
      <c r="B1270" s="38" t="b">
        <f>+IF((PROVEEDORES[[#This Row],[FECHA DE PAGO]]-PROVEEDORES[[#This Row],[FECHA DE FACTURACIÓN]])&gt;PROVEEDORES[[#This Row],[PLAZO Días]],"PAGO VENCIDO")</f>
        <v>0</v>
      </c>
      <c r="C1270" s="20">
        <f>+VLOOKUP(PROVEEDORES[[#This Row],[PROVEEDOR]],TERCEROS_INFO[#All],2,FALSE)</f>
        <v>30</v>
      </c>
      <c r="D1270" s="25">
        <f>+SUMIFS(PROVEEDORES[Total],PROVEEDORES[PROVEEDOR],PROVEEDORES[[#This Row],[PROVEEDOR]],PROVEEDORES[FECHA DE PAGO],"")</f>
        <v>4024829</v>
      </c>
      <c r="E1270" s="25"/>
      <c r="F127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70" s="161">
        <v>44355</v>
      </c>
      <c r="H1270" s="26" t="s">
        <v>345</v>
      </c>
      <c r="I1270" s="161">
        <v>44354</v>
      </c>
      <c r="J1270" s="35">
        <v>282538</v>
      </c>
      <c r="K1270" s="21">
        <v>1361000</v>
      </c>
      <c r="L1270" s="21"/>
      <c r="M1270" s="22">
        <f>(PROVEEDORES[[#This Row],[SUBTOTAL]]-PROVEEDORES[[#This Row],[descuento sobre subtotal]])*VLOOKUP(PROVEEDORES[[#This Row],[PROVEEDOR]],TERCEROS_INFO[#All],3,FALSE)</f>
        <v>0</v>
      </c>
      <c r="N1270" s="23"/>
      <c r="O1270" s="22">
        <f>+PROVEEDORES[[#This Row],[Descuento sobre subtotal %]]*(PROVEEDORES[[#This Row],[SUBTOTAL]]-PROVEEDORES[[#This Row],[descuento sobre subtotal]])</f>
        <v>0</v>
      </c>
      <c r="P1270" s="83">
        <f>+IF(PROVEEDORES[[#This Row],[SUBTOTAL]]&lt;PROVEEDORES[[#This Row],[base retencion]],0,PROVEEDORES[[#This Row],[retención aplicada]])</f>
        <v>0</v>
      </c>
      <c r="Q1270" s="22">
        <f>+PROVEEDORES[[#This Row],[Rete Fuente %]]*(PROVEEDORES[[#This Row],[SUBTOTAL]]-PROVEEDORES[[#This Row],[descuento sobre subtotal]])</f>
        <v>0</v>
      </c>
      <c r="R1270" s="21">
        <f>+PROVEEDORES[[#This Row],[SUBTOTAL]]+PROVEEDORES[[#This Row],[IVA 19%]]-PROVEEDORES[[#This Row],[descuento sobre subtotal]]-PROVEEDORES[[#This Row],[Descuento sobre subtotal $2]]-PROVEEDORES[[#This Row],[Rete Fuente $]]</f>
        <v>1361000</v>
      </c>
      <c r="S12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68">
        <f ca="1">IF(PROVEEDORES[[#This Row],[FECHA DE PAGO]]=0,TODAY()-PROVEEDORES[[#This Row],[FECHA DE FACTURACIÓN]]-PROVEEDORES[[#This Row],[PLAZO Días]],0)</f>
        <v>0</v>
      </c>
      <c r="U1270" s="96">
        <f>+VLOOKUP(PROVEEDORES[[#This Row],[PROVEEDOR]],Terceros!$A:$D,4,FALSE)</f>
        <v>0</v>
      </c>
      <c r="V1270" s="97">
        <f>+YEAR(PROVEEDORES[[#This Row],[FECHA DE FACTURACIÓN]])</f>
        <v>2021</v>
      </c>
      <c r="W1270" s="97">
        <f>+MATCH(PROVEEDORES[[#This Row],[año facturado]],Retenciones!$1:$1,0)</f>
        <v>4</v>
      </c>
      <c r="X1270" s="98">
        <f>+VLOOKUP(PROVEEDORES[[#This Row],[ID RETENCION]],Retenciones!$A$1:$O$25,PROVEEDORES[[#This Row],[indicador de columna]],FALSE)</f>
        <v>0</v>
      </c>
      <c r="Y1270" s="99">
        <f>+VLOOKUP(PROVEEDORES[[#This Row],[ID RETENCION]],Retenciones!$A$1:$O$25,2,FALSE)</f>
        <v>0</v>
      </c>
      <c r="Z1270" s="125" t="b">
        <f>OR(COUNTIF(PROVEEDORES[[#This Row],[PROVEEDOR]],"*"&amp;'Palabra no opera'!$A$2&amp;"*"))</f>
        <v>0</v>
      </c>
      <c r="AA1270" s="24"/>
      <c r="AB1270" s="24"/>
      <c r="AC1270" s="24"/>
      <c r="AD1270" s="24"/>
      <c r="AE1270" s="24"/>
    </row>
    <row r="1271" spans="1:31" ht="22.2" customHeight="1" x14ac:dyDescent="0.3">
      <c r="A1271" s="66" t="str">
        <f>+IF(PROVEEDORES[[#This Row],[FECHA DE PAGO]]=PROVEEDORES[[#This Row],[FECHA DE FACTURACIÓN]],"DE CONTADO","CRÉDITO")</f>
        <v>CRÉDITO</v>
      </c>
      <c r="B1271" s="38" t="str">
        <f>+IF((PROVEEDORES[[#This Row],[FECHA DE PAGO]]-PROVEEDORES[[#This Row],[FECHA DE FACTURACIÓN]])&gt;PROVEEDORES[[#This Row],[PLAZO Días]],"PAGO VENCIDO")</f>
        <v>PAGO VENCIDO</v>
      </c>
      <c r="C1271" s="20">
        <f>+VLOOKUP(PROVEEDORES[[#This Row],[PROVEEDOR]],TERCEROS_INFO[#All],2,FALSE)</f>
        <v>45</v>
      </c>
      <c r="D1271" s="25">
        <f>+SUMIFS(PROVEEDORES[Total],PROVEEDORES[PROVEEDOR],PROVEEDORES[[#This Row],[PROVEEDOR]],PROVEEDORES[FECHA DE PAGO],"")</f>
        <v>31891814.359999999</v>
      </c>
      <c r="E1271" s="25"/>
      <c r="F127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71" s="161">
        <v>44312</v>
      </c>
      <c r="H1271" s="26" t="s">
        <v>19</v>
      </c>
      <c r="I1271" s="161">
        <v>44236</v>
      </c>
      <c r="J1271" s="35" t="s">
        <v>220</v>
      </c>
      <c r="K1271" s="21">
        <v>1144089</v>
      </c>
      <c r="L1271" s="21"/>
      <c r="M1271" s="22">
        <f>(PROVEEDORES[[#This Row],[SUBTOTAL]]-PROVEEDORES[[#This Row],[descuento sobre subtotal]])*VLOOKUP(PROVEEDORES[[#This Row],[PROVEEDOR]],TERCEROS_INFO[#All],3,FALSE)</f>
        <v>217376.91</v>
      </c>
      <c r="N1271" s="23"/>
      <c r="O1271" s="22">
        <f>+PROVEEDORES[[#This Row],[Descuento sobre subtotal %]]*(PROVEEDORES[[#This Row],[SUBTOTAL]]-PROVEEDORES[[#This Row],[descuento sobre subtotal]])</f>
        <v>0</v>
      </c>
      <c r="P1271" s="83">
        <f>+IF(PROVEEDORES[[#This Row],[SUBTOTAL]]&lt;PROVEEDORES[[#This Row],[base retencion]],0,PROVEEDORES[[#This Row],[retención aplicada]])</f>
        <v>0</v>
      </c>
      <c r="Q1271" s="22">
        <f>+PROVEEDORES[[#This Row],[Rete Fuente %]]*(PROVEEDORES[[#This Row],[SUBTOTAL]]-PROVEEDORES[[#This Row],[descuento sobre subtotal]])</f>
        <v>0</v>
      </c>
      <c r="R1271" s="21">
        <f>+PROVEEDORES[[#This Row],[SUBTOTAL]]+PROVEEDORES[[#This Row],[IVA 19%]]-PROVEEDORES[[#This Row],[descuento sobre subtotal]]-PROVEEDORES[[#This Row],[Descuento sobre subtotal $2]]-PROVEEDORES[[#This Row],[Rete Fuente $]]</f>
        <v>1361465.91</v>
      </c>
      <c r="S12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68">
        <f ca="1">IF(PROVEEDORES[[#This Row],[FECHA DE PAGO]]=0,TODAY()-PROVEEDORES[[#This Row],[FECHA DE FACTURACIÓN]]-PROVEEDORES[[#This Row],[PLAZO Días]],0)</f>
        <v>0</v>
      </c>
      <c r="U1271" s="96">
        <f>+VLOOKUP(PROVEEDORES[[#This Row],[PROVEEDOR]],Terceros!$A:$D,4,FALSE)</f>
        <v>0</v>
      </c>
      <c r="V1271" s="97">
        <f>+YEAR(PROVEEDORES[[#This Row],[FECHA DE FACTURACIÓN]])</f>
        <v>2021</v>
      </c>
      <c r="W1271" s="97">
        <f>+MATCH(PROVEEDORES[[#This Row],[año facturado]],Retenciones!$1:$1,0)</f>
        <v>4</v>
      </c>
      <c r="X1271" s="98">
        <f>+VLOOKUP(PROVEEDORES[[#This Row],[ID RETENCION]],Retenciones!$A$1:$O$25,PROVEEDORES[[#This Row],[indicador de columna]],FALSE)</f>
        <v>0</v>
      </c>
      <c r="Y1271" s="99">
        <f>+VLOOKUP(PROVEEDORES[[#This Row],[ID RETENCION]],Retenciones!$A$1:$O$25,2,FALSE)</f>
        <v>0</v>
      </c>
      <c r="Z1271" s="125" t="b">
        <f>OR(COUNTIF(PROVEEDORES[[#This Row],[PROVEEDOR]],"*"&amp;'Palabra no opera'!$A$2&amp;"*"))</f>
        <v>0</v>
      </c>
      <c r="AA1271" s="24"/>
      <c r="AB1271" s="24"/>
      <c r="AC1271" s="24"/>
      <c r="AD1271" s="24"/>
      <c r="AE1271" s="24"/>
    </row>
    <row r="1272" spans="1:31" ht="22.2" customHeight="1" x14ac:dyDescent="0.3">
      <c r="A1272" s="66" t="str">
        <f>+IF(PROVEEDORES[[#This Row],[FECHA DE PAGO]]=PROVEEDORES[[#This Row],[FECHA DE FACTURACIÓN]],"DE CONTADO","CRÉDITO")</f>
        <v>CRÉDITO</v>
      </c>
      <c r="B1272" s="38" t="str">
        <f>+IF((PROVEEDORES[[#This Row],[FECHA DE PAGO]]-PROVEEDORES[[#This Row],[FECHA DE FACTURACIÓN]])&gt;PROVEEDORES[[#This Row],[PLAZO Días]],"PAGO VENCIDO")</f>
        <v>PAGO VENCIDO</v>
      </c>
      <c r="C1272" s="20">
        <f>+VLOOKUP(PROVEEDORES[[#This Row],[PROVEEDOR]],TERCEROS_INFO[#All],2,FALSE)</f>
        <v>30</v>
      </c>
      <c r="D1272" s="25">
        <f>+SUMIFS(PROVEEDORES[Total],PROVEEDORES[PROVEEDOR],PROVEEDORES[[#This Row],[PROVEEDOR]],PROVEEDORES[FECHA DE PAGO],"")</f>
        <v>1354000</v>
      </c>
      <c r="E1272" s="25"/>
      <c r="F127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72" s="161">
        <v>44509</v>
      </c>
      <c r="H1272" s="26" t="s">
        <v>699</v>
      </c>
      <c r="I1272" s="161">
        <v>44445</v>
      </c>
      <c r="J1272" s="35" t="s">
        <v>1491</v>
      </c>
      <c r="K1272" s="21">
        <v>1370000</v>
      </c>
      <c r="L1272" s="21"/>
      <c r="M1272" s="22">
        <f>(PROVEEDORES[[#This Row],[SUBTOTAL]]-PROVEEDORES[[#This Row],[descuento sobre subtotal]])*VLOOKUP(PROVEEDORES[[#This Row],[PROVEEDOR]],TERCEROS_INFO[#All],3,FALSE)</f>
        <v>0</v>
      </c>
      <c r="N1272" s="23"/>
      <c r="O1272" s="22">
        <f>+PROVEEDORES[[#This Row],[Descuento sobre subtotal %]]*(PROVEEDORES[[#This Row],[SUBTOTAL]]-PROVEEDORES[[#This Row],[descuento sobre subtotal]])</f>
        <v>0</v>
      </c>
      <c r="P1272" s="83">
        <f>+IF(PROVEEDORES[[#This Row],[SUBTOTAL]]&lt;PROVEEDORES[[#This Row],[base retencion]],0,PROVEEDORES[[#This Row],[retención aplicada]])</f>
        <v>0</v>
      </c>
      <c r="Q1272" s="22">
        <f>+PROVEEDORES[[#This Row],[Rete Fuente %]]*(PROVEEDORES[[#This Row],[SUBTOTAL]]-PROVEEDORES[[#This Row],[descuento sobre subtotal]])</f>
        <v>0</v>
      </c>
      <c r="R1272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12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68">
        <f ca="1">IF(PROVEEDORES[[#This Row],[FECHA DE PAGO]]=0,TODAY()-PROVEEDORES[[#This Row],[FECHA DE FACTURACIÓN]]-PROVEEDORES[[#This Row],[PLAZO Días]],0)</f>
        <v>0</v>
      </c>
      <c r="U1272" s="96">
        <f>+VLOOKUP(PROVEEDORES[[#This Row],[PROVEEDOR]],Terceros!$A:$D,4,FALSE)</f>
        <v>0</v>
      </c>
      <c r="V1272" s="97">
        <f>+YEAR(PROVEEDORES[[#This Row],[FECHA DE FACTURACIÓN]])</f>
        <v>2021</v>
      </c>
      <c r="W1272" s="97">
        <f>+MATCH(PROVEEDORES[[#This Row],[año facturado]],Retenciones!$1:$1,0)</f>
        <v>4</v>
      </c>
      <c r="X1272" s="98">
        <f>+VLOOKUP(PROVEEDORES[[#This Row],[ID RETENCION]],Retenciones!$A$1:$O$25,PROVEEDORES[[#This Row],[indicador de columna]],FALSE)</f>
        <v>0</v>
      </c>
      <c r="Y1272" s="99">
        <f>+VLOOKUP(PROVEEDORES[[#This Row],[ID RETENCION]],Retenciones!$A$1:$O$25,2,FALSE)</f>
        <v>0</v>
      </c>
      <c r="Z1272" s="125" t="b">
        <f>OR(COUNTIF(PROVEEDORES[[#This Row],[PROVEEDOR]],"*"&amp;'Palabra no opera'!$A$2&amp;"*"))</f>
        <v>0</v>
      </c>
      <c r="AA1272" s="24"/>
      <c r="AB1272" s="24"/>
      <c r="AC1272" s="24"/>
      <c r="AD1272" s="24"/>
      <c r="AE1272" s="24"/>
    </row>
    <row r="1273" spans="1:31" ht="22.2" customHeight="1" x14ac:dyDescent="0.3">
      <c r="A1273" s="146" t="str">
        <f>+IF(PROVEEDORES[[#This Row],[FECHA DE PAGO]]=PROVEEDORES[[#This Row],[FECHA DE FACTURACIÓN]],"DE CONTADO","CRÉDITO")</f>
        <v>CRÉDITO</v>
      </c>
      <c r="B1273" s="38" t="str">
        <f>+IF((PROVEEDORES[[#This Row],[FECHA DE PAGO]]-PROVEEDORES[[#This Row],[FECHA DE FACTURACIÓN]])&gt;PROVEEDORES[[#This Row],[PLAZO Días]],"PAGO VENCIDO")</f>
        <v>PAGO VENCIDO</v>
      </c>
      <c r="C1273" s="20">
        <f>+VLOOKUP(PROVEEDORES[[#This Row],[PROVEEDOR]],TERCEROS_INFO[#All],2,FALSE)</f>
        <v>30</v>
      </c>
      <c r="D1273" s="25">
        <f>+SUMIFS(PROVEEDORES[Total],PROVEEDORES[PROVEEDOR],PROVEEDORES[[#This Row],[PROVEEDOR]],PROVEEDORES[FECHA DE PAGO],"")</f>
        <v>2318500</v>
      </c>
      <c r="E1273" s="25"/>
      <c r="F1273" s="58" t="str">
        <f>+VLOOKUP(PROVEEDORES[[#This Row],[PROVEEDOR]],
                       Terceros!$A:$F,
                       5,
                       FALSE)</f>
        <v/>
      </c>
      <c r="G1273" s="161">
        <v>44754</v>
      </c>
      <c r="H1273" s="26" t="s">
        <v>629</v>
      </c>
      <c r="I1273" s="161">
        <v>44714</v>
      </c>
      <c r="J1273" s="35" t="s">
        <v>1113</v>
      </c>
      <c r="K1273" s="21">
        <v>1370000</v>
      </c>
      <c r="L1273" s="21"/>
      <c r="M1273" s="22">
        <f>(PROVEEDORES[[#This Row],[SUBTOTAL]]-PROVEEDORES[[#This Row],[descuento sobre subtotal]])*VLOOKUP(PROVEEDORES[[#This Row],[PROVEEDOR]],TERCEROS_INFO[#All],3,FALSE)</f>
        <v>0</v>
      </c>
      <c r="N1273" s="23"/>
      <c r="O1273" s="22">
        <f>+PROVEEDORES[[#This Row],[Descuento sobre subtotal %]]*(PROVEEDORES[[#This Row],[SUBTOTAL]]-PROVEEDORES[[#This Row],[descuento sobre subtotal]])</f>
        <v>0</v>
      </c>
      <c r="P1273" s="83">
        <f>+IF(PROVEEDORES[[#This Row],[SUBTOTAL]]&lt;PROVEEDORES[[#This Row],[base retencion]],0,PROVEEDORES[[#This Row],[retención aplicada]])</f>
        <v>0</v>
      </c>
      <c r="Q1273" s="22">
        <f>+PROVEEDORES[[#This Row],[Rete Fuente %]]*(PROVEEDORES[[#This Row],[SUBTOTAL]]-PROVEEDORES[[#This Row],[descuento sobre subtotal]])</f>
        <v>0</v>
      </c>
      <c r="R1273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1273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68">
        <f ca="1">IF(PROVEEDORES[[#This Row],[FECHA DE PAGO]]=0,TODAY()-PROVEEDORES[[#This Row],[FECHA DE FACTURACIÓN]]-PROVEEDORES[[#This Row],[PLAZO Días]],0)</f>
        <v>0</v>
      </c>
      <c r="U1273" s="113">
        <f>+VLOOKUP(PROVEEDORES[[#This Row],[PROVEEDOR]],Terceros!$A:$D,4,FALSE)</f>
        <v>0</v>
      </c>
      <c r="V1273" s="114">
        <f>+YEAR(PROVEEDORES[[#This Row],[FECHA DE FACTURACIÓN]])</f>
        <v>2022</v>
      </c>
      <c r="W1273" s="114">
        <f>+MATCH(PROVEEDORES[[#This Row],[año facturado]],Retenciones!$1:$1,0)</f>
        <v>5</v>
      </c>
      <c r="X1273" s="115">
        <f>+VLOOKUP(PROVEEDORES[[#This Row],[ID RETENCION]],Retenciones!$A$1:$O$25,PROVEEDORES[[#This Row],[indicador de columna]],FALSE)</f>
        <v>0</v>
      </c>
      <c r="Y1273" s="116">
        <f>+VLOOKUP(PROVEEDORES[[#This Row],[ID RETENCION]],Retenciones!$A$1:$O$25,2,FALSE)</f>
        <v>0</v>
      </c>
      <c r="Z1273" s="125" t="b">
        <f>OR(COUNTIF(PROVEEDORES[[#This Row],[PROVEEDOR]],"*"&amp;'Palabra no opera'!$A$2&amp;"*"))</f>
        <v>0</v>
      </c>
      <c r="AA1273" s="24"/>
      <c r="AB1273" s="24"/>
      <c r="AC1273" s="24"/>
      <c r="AD1273" s="24"/>
      <c r="AE1273" s="24"/>
    </row>
    <row r="1274" spans="1:31" ht="22.2" customHeight="1" x14ac:dyDescent="0.3">
      <c r="A1274" s="66" t="str">
        <f>+IF(PROVEEDORES[[#This Row],[FECHA DE PAGO]]=PROVEEDORES[[#This Row],[FECHA DE FACTURACIÓN]],"DE CONTADO","CRÉDITO")</f>
        <v>CRÉDITO</v>
      </c>
      <c r="B1274" s="38" t="str">
        <f>+IF((PROVEEDORES[[#This Row],[FECHA DE PAGO]]-PROVEEDORES[[#This Row],[FECHA DE FACTURACIÓN]])&gt;PROVEEDORES[[#This Row],[PLAZO Días]],"PAGO VENCIDO")</f>
        <v>PAGO VENCIDO</v>
      </c>
      <c r="C1274" s="20">
        <f>+VLOOKUP(PROVEEDORES[[#This Row],[PROVEEDOR]],TERCEROS_INFO[#All],2,FALSE)</f>
        <v>30</v>
      </c>
      <c r="D1274" s="25">
        <f>+SUMIFS(PROVEEDORES[Total],PROVEEDORES[PROVEEDOR],PROVEEDORES[[#This Row],[PROVEEDOR]],PROVEEDORES[FECHA DE PAGO],"")</f>
        <v>0</v>
      </c>
      <c r="E1274" s="25"/>
      <c r="F127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74" s="161">
        <v>44530</v>
      </c>
      <c r="H1274" s="26" t="s">
        <v>510</v>
      </c>
      <c r="I1274" s="161">
        <v>44494</v>
      </c>
      <c r="J1274" s="35" t="s">
        <v>511</v>
      </c>
      <c r="K1274" s="21">
        <v>1152264</v>
      </c>
      <c r="L1274" s="21"/>
      <c r="M1274" s="22">
        <f>(PROVEEDORES[[#This Row],[SUBTOTAL]]-PROVEEDORES[[#This Row],[descuento sobre subtotal]])*VLOOKUP(PROVEEDORES[[#This Row],[PROVEEDOR]],TERCEROS_INFO[#All],3,FALSE)</f>
        <v>218930.16</v>
      </c>
      <c r="N1274" s="23"/>
      <c r="O1274" s="22">
        <f>+PROVEEDORES[[#This Row],[Descuento sobre subtotal %]]*(PROVEEDORES[[#This Row],[SUBTOTAL]]-PROVEEDORES[[#This Row],[descuento sobre subtotal]])</f>
        <v>0</v>
      </c>
      <c r="P1274" s="83">
        <f>+IF(PROVEEDORES[[#This Row],[SUBTOTAL]]&lt;PROVEEDORES[[#This Row],[base retencion]],0,PROVEEDORES[[#This Row],[retención aplicada]])</f>
        <v>0</v>
      </c>
      <c r="Q1274" s="22">
        <f>+PROVEEDORES[[#This Row],[Rete Fuente %]]*(PROVEEDORES[[#This Row],[SUBTOTAL]]-PROVEEDORES[[#This Row],[descuento sobre subtotal]])</f>
        <v>0</v>
      </c>
      <c r="R1274" s="21">
        <f>+PROVEEDORES[[#This Row],[SUBTOTAL]]+PROVEEDORES[[#This Row],[IVA 19%]]-PROVEEDORES[[#This Row],[descuento sobre subtotal]]-PROVEEDORES[[#This Row],[Descuento sobre subtotal $2]]-PROVEEDORES[[#This Row],[Rete Fuente $]]</f>
        <v>1371194.16</v>
      </c>
      <c r="S12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68">
        <f ca="1">IF(PROVEEDORES[[#This Row],[FECHA DE PAGO]]=0,TODAY()-PROVEEDORES[[#This Row],[FECHA DE FACTURACIÓN]]-PROVEEDORES[[#This Row],[PLAZO Días]],0)</f>
        <v>0</v>
      </c>
      <c r="U1274" s="96">
        <f>+VLOOKUP(PROVEEDORES[[#This Row],[PROVEEDOR]],Terceros!$A:$D,4,FALSE)</f>
        <v>0</v>
      </c>
      <c r="V1274" s="97">
        <f>+YEAR(PROVEEDORES[[#This Row],[FECHA DE FACTURACIÓN]])</f>
        <v>2021</v>
      </c>
      <c r="W1274" s="97">
        <f>+MATCH(PROVEEDORES[[#This Row],[año facturado]],Retenciones!$1:$1,0)</f>
        <v>4</v>
      </c>
      <c r="X1274" s="98">
        <f>+VLOOKUP(PROVEEDORES[[#This Row],[ID RETENCION]],Retenciones!$A$1:$O$25,PROVEEDORES[[#This Row],[indicador de columna]],FALSE)</f>
        <v>0</v>
      </c>
      <c r="Y1274" s="99">
        <f>+VLOOKUP(PROVEEDORES[[#This Row],[ID RETENCION]],Retenciones!$A$1:$O$25,2,FALSE)</f>
        <v>0</v>
      </c>
      <c r="Z1274" s="125" t="b">
        <f>OR(COUNTIF(PROVEEDORES[[#This Row],[PROVEEDOR]],"*"&amp;'Palabra no opera'!$A$2&amp;"*"))</f>
        <v>0</v>
      </c>
      <c r="AA1274" s="24"/>
      <c r="AB1274" s="24"/>
      <c r="AC1274" s="24"/>
      <c r="AD1274" s="24"/>
      <c r="AE1274" s="24"/>
    </row>
    <row r="1275" spans="1:31" ht="22.2" customHeight="1" x14ac:dyDescent="0.3">
      <c r="A1275" s="66" t="str">
        <f>+IF(PROVEEDORES[[#This Row],[FECHA DE PAGO]]=PROVEEDORES[[#This Row],[FECHA DE FACTURACIÓN]],"DE CONTADO","CRÉDITO")</f>
        <v>CRÉDITO</v>
      </c>
      <c r="B1275" s="38" t="str">
        <f>+IF((PROVEEDORES[[#This Row],[FECHA DE PAGO]]-PROVEEDORES[[#This Row],[FECHA DE FACTURACIÓN]])&gt;PROVEEDORES[[#This Row],[PLAZO Días]],"PAGO VENCIDO")</f>
        <v>PAGO VENCIDO</v>
      </c>
      <c r="C1275" s="20">
        <f>+VLOOKUP(PROVEEDORES[[#This Row],[PROVEEDOR]],TERCEROS_INFO[#All],2,FALSE)</f>
        <v>30</v>
      </c>
      <c r="D1275" s="25">
        <f>+SUMIFS(PROVEEDORES[Total],PROVEEDORES[PROVEEDOR],PROVEEDORES[[#This Row],[PROVEEDOR]],PROVEEDORES[FECHA DE PAGO],"")</f>
        <v>0</v>
      </c>
      <c r="E1275" s="25"/>
      <c r="F1275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275" s="161">
        <v>44248</v>
      </c>
      <c r="H1275" s="26" t="s">
        <v>129</v>
      </c>
      <c r="I1275" s="161">
        <v>44204</v>
      </c>
      <c r="J1275" s="35" t="s">
        <v>1183</v>
      </c>
      <c r="K1275" s="21">
        <v>1372000</v>
      </c>
      <c r="L1275" s="21"/>
      <c r="M1275" s="22">
        <f>(PROVEEDORES[[#This Row],[SUBTOTAL]]-PROVEEDORES[[#This Row],[descuento sobre subtotal]])*VLOOKUP(PROVEEDORES[[#This Row],[PROVEEDOR]],TERCEROS_INFO[#All],3,FALSE)</f>
        <v>0</v>
      </c>
      <c r="N1275" s="23"/>
      <c r="O1275" s="22">
        <f>+PROVEEDORES[[#This Row],[Descuento sobre subtotal %]]*(PROVEEDORES[[#This Row],[SUBTOTAL]]-PROVEEDORES[[#This Row],[descuento sobre subtotal]])</f>
        <v>0</v>
      </c>
      <c r="P1275" s="83">
        <f>+IF(PROVEEDORES[[#This Row],[SUBTOTAL]]&lt;PROVEEDORES[[#This Row],[base retencion]],0,PROVEEDORES[[#This Row],[retención aplicada]])</f>
        <v>0</v>
      </c>
      <c r="Q1275" s="22">
        <f>+PROVEEDORES[[#This Row],[Rete Fuente %]]*(PROVEEDORES[[#This Row],[SUBTOTAL]]-PROVEEDORES[[#This Row],[descuento sobre subtotal]])</f>
        <v>0</v>
      </c>
      <c r="R1275" s="21">
        <f>+PROVEEDORES[[#This Row],[SUBTOTAL]]+PROVEEDORES[[#This Row],[IVA 19%]]-PROVEEDORES[[#This Row],[descuento sobre subtotal]]-PROVEEDORES[[#This Row],[Descuento sobre subtotal $2]]-PROVEEDORES[[#This Row],[Rete Fuente $]]</f>
        <v>1372000</v>
      </c>
      <c r="S12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5" s="68">
        <f ca="1">IF(PROVEEDORES[[#This Row],[FECHA DE PAGO]]=0,TODAY()-PROVEEDORES[[#This Row],[FECHA DE FACTURACIÓN]]-PROVEEDORES[[#This Row],[PLAZO Días]],0)</f>
        <v>0</v>
      </c>
      <c r="U1275" s="96">
        <f>+VLOOKUP(PROVEEDORES[[#This Row],[PROVEEDOR]],Terceros!$A:$D,4,FALSE)</f>
        <v>0</v>
      </c>
      <c r="V1275" s="97">
        <f>+YEAR(PROVEEDORES[[#This Row],[FECHA DE FACTURACIÓN]])</f>
        <v>2021</v>
      </c>
      <c r="W1275" s="97">
        <f>+MATCH(PROVEEDORES[[#This Row],[año facturado]],Retenciones!$1:$1,0)</f>
        <v>4</v>
      </c>
      <c r="X1275" s="98">
        <f>+VLOOKUP(PROVEEDORES[[#This Row],[ID RETENCION]],Retenciones!$A$1:$O$25,PROVEEDORES[[#This Row],[indicador de columna]],FALSE)</f>
        <v>0</v>
      </c>
      <c r="Y1275" s="99">
        <f>+VLOOKUP(PROVEEDORES[[#This Row],[ID RETENCION]],Retenciones!$A$1:$O$25,2,FALSE)</f>
        <v>0</v>
      </c>
      <c r="Z1275" s="125" t="b">
        <f>OR(COUNTIF(PROVEEDORES[[#This Row],[PROVEEDOR]],"*"&amp;'Palabra no opera'!$A$2&amp;"*"))</f>
        <v>0</v>
      </c>
      <c r="AA1275" s="24"/>
      <c r="AB1275" s="24"/>
      <c r="AC1275" s="24"/>
      <c r="AD1275" s="24"/>
      <c r="AE1275" s="24"/>
    </row>
    <row r="1276" spans="1:31" ht="22.2" customHeight="1" x14ac:dyDescent="0.3">
      <c r="A1276" s="66" t="str">
        <f>+IF(PROVEEDORES[[#This Row],[FECHA DE PAGO]]=PROVEEDORES[[#This Row],[FECHA DE FACTURACIÓN]],"DE CONTADO","CRÉDITO")</f>
        <v>CRÉDITO</v>
      </c>
      <c r="B1276" s="38" t="b">
        <f>+IF((PROVEEDORES[[#This Row],[FECHA DE PAGO]]-PROVEEDORES[[#This Row],[FECHA DE FACTURACIÓN]])&gt;PROVEEDORES[[#This Row],[PLAZO Días]],"PAGO VENCIDO")</f>
        <v>0</v>
      </c>
      <c r="C1276" s="20">
        <f>+VLOOKUP(PROVEEDORES[[#This Row],[PROVEEDOR]],TERCEROS_INFO[#All],2,FALSE)</f>
        <v>30</v>
      </c>
      <c r="D1276" s="25">
        <f>+SUMIFS(PROVEEDORES[Total],PROVEEDORES[PROVEEDOR],PROVEEDORES[[#This Row],[PROVEEDOR]],PROVEEDORES[FECHA DE PAGO],"")</f>
        <v>0</v>
      </c>
      <c r="E1276" s="25"/>
      <c r="F1276" s="58" t="str">
        <f>+VLOOKUP(PROVEEDORES[[#This Row],[PROVEEDOR]],
                       Terceros!$A:$F,
                       5,
                       FALSE)</f>
        <v/>
      </c>
      <c r="G1276" s="161">
        <v>44286</v>
      </c>
      <c r="H1276" s="26" t="s">
        <v>115</v>
      </c>
      <c r="I1276" s="161">
        <v>44284</v>
      </c>
      <c r="J1276" s="35" t="s">
        <v>281</v>
      </c>
      <c r="K1276" s="21">
        <v>1374000</v>
      </c>
      <c r="L1276" s="21"/>
      <c r="M1276" s="22">
        <f>(PROVEEDORES[[#This Row],[SUBTOTAL]]-PROVEEDORES[[#This Row],[descuento sobre subtotal]])*VLOOKUP(PROVEEDORES[[#This Row],[PROVEEDOR]],TERCEROS_INFO[#All],3,FALSE)</f>
        <v>0</v>
      </c>
      <c r="N1276" s="23"/>
      <c r="O1276" s="22">
        <f>+PROVEEDORES[[#This Row],[Descuento sobre subtotal %]]*(PROVEEDORES[[#This Row],[SUBTOTAL]]-PROVEEDORES[[#This Row],[descuento sobre subtotal]])</f>
        <v>0</v>
      </c>
      <c r="P1276" s="83">
        <f>+IF(PROVEEDORES[[#This Row],[SUBTOTAL]]&lt;PROVEEDORES[[#This Row],[base retencion]],0,PROVEEDORES[[#This Row],[retención aplicada]])</f>
        <v>0</v>
      </c>
      <c r="Q1276" s="22">
        <f>+PROVEEDORES[[#This Row],[Rete Fuente %]]*(PROVEEDORES[[#This Row],[SUBTOTAL]]-PROVEEDORES[[#This Row],[descuento sobre subtotal]])</f>
        <v>0</v>
      </c>
      <c r="R1276" s="21">
        <f>+PROVEEDORES[[#This Row],[SUBTOTAL]]+PROVEEDORES[[#This Row],[IVA 19%]]-PROVEEDORES[[#This Row],[descuento sobre subtotal]]-PROVEEDORES[[#This Row],[Descuento sobre subtotal $2]]-PROVEEDORES[[#This Row],[Rete Fuente $]]</f>
        <v>1374000</v>
      </c>
      <c r="S12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68">
        <f ca="1">IF(PROVEEDORES[[#This Row],[FECHA DE PAGO]]=0,TODAY()-PROVEEDORES[[#This Row],[FECHA DE FACTURACIÓN]]-PROVEEDORES[[#This Row],[PLAZO Días]],0)</f>
        <v>0</v>
      </c>
      <c r="U1276" s="96">
        <f>+VLOOKUP(PROVEEDORES[[#This Row],[PROVEEDOR]],Terceros!$A:$D,4,FALSE)</f>
        <v>0</v>
      </c>
      <c r="V1276" s="97">
        <f>+YEAR(PROVEEDORES[[#This Row],[FECHA DE FACTURACIÓN]])</f>
        <v>2021</v>
      </c>
      <c r="W1276" s="97">
        <f>+MATCH(PROVEEDORES[[#This Row],[año facturado]],Retenciones!$1:$1,0)</f>
        <v>4</v>
      </c>
      <c r="X1276" s="98">
        <f>+VLOOKUP(PROVEEDORES[[#This Row],[ID RETENCION]],Retenciones!$A$1:$O$25,PROVEEDORES[[#This Row],[indicador de columna]],FALSE)</f>
        <v>0</v>
      </c>
      <c r="Y1276" s="99">
        <f>+VLOOKUP(PROVEEDORES[[#This Row],[ID RETENCION]],Retenciones!$A$1:$O$25,2,FALSE)</f>
        <v>0</v>
      </c>
      <c r="Z1276" s="125" t="b">
        <f>OR(COUNTIF(PROVEEDORES[[#This Row],[PROVEEDOR]],"*"&amp;'Palabra no opera'!$A$2&amp;"*"))</f>
        <v>0</v>
      </c>
      <c r="AA1276" s="24"/>
      <c r="AB1276" s="24"/>
      <c r="AC1276" s="24"/>
      <c r="AD1276" s="24"/>
      <c r="AE1276" s="24"/>
    </row>
    <row r="1277" spans="1:31" ht="22.2" customHeight="1" x14ac:dyDescent="0.3">
      <c r="A1277" s="269" t="str">
        <f>+IF(PROVEEDORES[[#This Row],[FECHA DE PAGO]]=PROVEEDORES[[#This Row],[FECHA DE FACTURACIÓN]],"DE CONTADO","CRÉDITO")</f>
        <v>DE CONTADO</v>
      </c>
      <c r="B1277" s="38" t="b">
        <f>+IF((PROVEEDORES[[#This Row],[FECHA DE PAGO]]-PROVEEDORES[[#This Row],[FECHA DE FACTURACIÓN]])&gt;PROVEEDORES[[#This Row],[PLAZO Días]],"PAGO VENCIDO")</f>
        <v>0</v>
      </c>
      <c r="C1277" s="20">
        <f>+VLOOKUP(PROVEEDORES[[#This Row],[PROVEEDOR]],TERCEROS_INFO[#All],2,FALSE)</f>
        <v>30</v>
      </c>
      <c r="D1277" s="25">
        <f>+SUMIFS(PROVEEDORES[Total],PROVEEDORES[PROVEEDOR],PROVEEDORES[[#This Row],[PROVEEDOR]],PROVEEDORES[FECHA DE PAGO],"")</f>
        <v>0</v>
      </c>
      <c r="E1277" s="25"/>
      <c r="F1277" s="58" t="str">
        <f>+VLOOKUP(PROVEEDORES[[#This Row],[PROVEEDOR]],
                       Terceros!$A:$F,
                       5,
                       FALSE)</f>
        <v/>
      </c>
      <c r="G1277" s="161">
        <v>44865</v>
      </c>
      <c r="H1277" s="26" t="s">
        <v>644</v>
      </c>
      <c r="I1277" s="161">
        <v>44865</v>
      </c>
      <c r="J1277" s="35" t="s">
        <v>1753</v>
      </c>
      <c r="K1277" s="21">
        <v>1377000</v>
      </c>
      <c r="L1277" s="21"/>
      <c r="M1277" s="22">
        <f>(PROVEEDORES[[#This Row],[SUBTOTAL]]-PROVEEDORES[[#This Row],[descuento sobre subtotal]])*VLOOKUP(PROVEEDORES[[#This Row],[PROVEEDOR]],TERCEROS_INFO[#All],3,FALSE)</f>
        <v>0</v>
      </c>
      <c r="N1277" s="23"/>
      <c r="O1277" s="22">
        <f>+PROVEEDORES[[#This Row],[Descuento sobre subtotal %]]*(PROVEEDORES[[#This Row],[SUBTOTAL]]-PROVEEDORES[[#This Row],[descuento sobre subtotal]])</f>
        <v>0</v>
      </c>
      <c r="P1277" s="83">
        <f>+IF(PROVEEDORES[[#This Row],[SUBTOTAL]]&lt;PROVEEDORES[[#This Row],[base retencion]],0,PROVEEDORES[[#This Row],[retención aplicada]])</f>
        <v>0</v>
      </c>
      <c r="Q1277" s="22">
        <f>+PROVEEDORES[[#This Row],[Rete Fuente %]]*(PROVEEDORES[[#This Row],[SUBTOTAL]]-PROVEEDORES[[#This Row],[descuento sobre subtotal]])</f>
        <v>0</v>
      </c>
      <c r="R1277" s="21">
        <f>+PROVEEDORES[[#This Row],[SUBTOTAL]]+PROVEEDORES[[#This Row],[IVA 19%]]-PROVEEDORES[[#This Row],[descuento sobre subtotal]]-PROVEEDORES[[#This Row],[Descuento sobre subtotal $2]]-PROVEEDORES[[#This Row],[Rete Fuente $]]</f>
        <v>1377000</v>
      </c>
      <c r="S1277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68">
        <f ca="1">IF(PROVEEDORES[[#This Row],[FECHA DE PAGO]]=0,TODAY()-PROVEEDORES[[#This Row],[FECHA DE FACTURACIÓN]]-PROVEEDORES[[#This Row],[PLAZO Días]],0)</f>
        <v>0</v>
      </c>
      <c r="U1277" s="113">
        <f>+VLOOKUP(PROVEEDORES[[#This Row],[PROVEEDOR]],Terceros!$A:$D,4,FALSE)</f>
        <v>0</v>
      </c>
      <c r="V1277" s="114">
        <f>+YEAR(PROVEEDORES[[#This Row],[FECHA DE FACTURACIÓN]])</f>
        <v>2022</v>
      </c>
      <c r="W1277" s="114">
        <f>+MATCH(PROVEEDORES[[#This Row],[año facturado]],Retenciones!$1:$1,0)</f>
        <v>5</v>
      </c>
      <c r="X1277" s="115">
        <f>+VLOOKUP(PROVEEDORES[[#This Row],[ID RETENCION]],Retenciones!$A$1:$O$25,PROVEEDORES[[#This Row],[indicador de columna]],FALSE)</f>
        <v>0</v>
      </c>
      <c r="Y1277" s="116">
        <f>+VLOOKUP(PROVEEDORES[[#This Row],[ID RETENCION]],Retenciones!$A$1:$O$25,2,FALSE)</f>
        <v>0</v>
      </c>
      <c r="Z1277" s="125" t="b">
        <f>OR(COUNTIF(PROVEEDORES[[#This Row],[PROVEEDOR]],"*"&amp;'Palabra no opera'!$A$2&amp;"*"))</f>
        <v>0</v>
      </c>
      <c r="AA1277" s="24"/>
      <c r="AB1277" s="24"/>
      <c r="AC1277" s="24"/>
      <c r="AD1277" s="24"/>
      <c r="AE1277" s="24"/>
    </row>
    <row r="1278" spans="1:31" ht="22.2" customHeight="1" x14ac:dyDescent="0.3">
      <c r="A1278" s="195" t="str">
        <f>+IF(PROVEEDORES[[#This Row],[FECHA DE PAGO]]=PROVEEDORES[[#This Row],[FECHA DE FACTURACIÓN]],"DE CONTADO","CRÉDITO")</f>
        <v>CRÉDITO</v>
      </c>
      <c r="B1278" s="38" t="b">
        <f>+IF((PROVEEDORES[[#This Row],[FECHA DE PAGO]]-PROVEEDORES[[#This Row],[FECHA DE FACTURACIÓN]])&gt;PROVEEDORES[[#This Row],[PLAZO Días]],"PAGO VENCIDO")</f>
        <v>0</v>
      </c>
      <c r="C1278" s="20">
        <f>+VLOOKUP(PROVEEDORES[[#This Row],[PROVEEDOR]],TERCEROS_INFO[#All],2,FALSE)</f>
        <v>30</v>
      </c>
      <c r="D1278" s="25">
        <f>+SUMIFS(PROVEEDORES[Total],PROVEEDORES[PROVEEDOR],PROVEEDORES[[#This Row],[PROVEEDOR]],PROVEEDORES[FECHA DE PAGO],"")</f>
        <v>0</v>
      </c>
      <c r="E1278" s="25"/>
      <c r="F127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78" s="161">
        <v>44789</v>
      </c>
      <c r="H1278" s="26" t="s">
        <v>918</v>
      </c>
      <c r="I1278" s="161">
        <v>44774</v>
      </c>
      <c r="J1278" s="35">
        <v>11167</v>
      </c>
      <c r="K1278" s="21">
        <v>1649859</v>
      </c>
      <c r="L1278" s="21"/>
      <c r="M1278" s="22">
        <f>(PROVEEDORES[[#This Row],[SUBTOTAL]]-PROVEEDORES[[#This Row],[descuento sobre subtotal]])*VLOOKUP(PROVEEDORES[[#This Row],[PROVEEDOR]],TERCEROS_INFO[#All],3,FALSE)</f>
        <v>0</v>
      </c>
      <c r="N1278" s="23"/>
      <c r="O1278" s="22">
        <v>272331</v>
      </c>
      <c r="P1278" s="83">
        <f>+IF(PROVEEDORES[[#This Row],[SUBTOTAL]]&lt;PROVEEDORES[[#This Row],[base retencion]],0,PROVEEDORES[[#This Row],[retención aplicada]])</f>
        <v>0</v>
      </c>
      <c r="Q1278" s="22">
        <f>+PROVEEDORES[[#This Row],[Rete Fuente %]]*(PROVEEDORES[[#This Row],[SUBTOTAL]]-PROVEEDORES[[#This Row],[descuento sobre subtotal]])</f>
        <v>0</v>
      </c>
      <c r="R1278" s="21">
        <f>+PROVEEDORES[[#This Row],[SUBTOTAL]]+PROVEEDORES[[#This Row],[IVA 19%]]-PROVEEDORES[[#This Row],[descuento sobre subtotal]]-PROVEEDORES[[#This Row],[Descuento sobre subtotal $2]]-PROVEEDORES[[#This Row],[Rete Fuente $]]</f>
        <v>1377528</v>
      </c>
      <c r="S1278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68">
        <f ca="1">IF(PROVEEDORES[[#This Row],[FECHA DE PAGO]]=0,TODAY()-PROVEEDORES[[#This Row],[FECHA DE FACTURACIÓN]]-PROVEEDORES[[#This Row],[PLAZO Días]],0)</f>
        <v>0</v>
      </c>
      <c r="U1278" s="113">
        <f>+VLOOKUP(PROVEEDORES[[#This Row],[PROVEEDOR]],Terceros!$A:$D,4,FALSE)</f>
        <v>0</v>
      </c>
      <c r="V1278" s="114">
        <f>+YEAR(PROVEEDORES[[#This Row],[FECHA DE FACTURACIÓN]])</f>
        <v>2022</v>
      </c>
      <c r="W1278" s="114">
        <f>+MATCH(PROVEEDORES[[#This Row],[año facturado]],Retenciones!$1:$1,0)</f>
        <v>5</v>
      </c>
      <c r="X1278" s="115">
        <f>+VLOOKUP(PROVEEDORES[[#This Row],[ID RETENCION]],Retenciones!$A$1:$O$25,PROVEEDORES[[#This Row],[indicador de columna]],FALSE)</f>
        <v>0</v>
      </c>
      <c r="Y1278" s="116">
        <f>+VLOOKUP(PROVEEDORES[[#This Row],[ID RETENCION]],Retenciones!$A$1:$O$25,2,FALSE)</f>
        <v>0</v>
      </c>
      <c r="Z1278" s="125" t="b">
        <f>OR(COUNTIF(PROVEEDORES[[#This Row],[PROVEEDOR]],"*"&amp;'Palabra no opera'!$A$2&amp;"*"))</f>
        <v>1</v>
      </c>
      <c r="AA1278" s="24"/>
      <c r="AB1278" s="24"/>
      <c r="AC1278" s="24"/>
      <c r="AD1278" s="24"/>
      <c r="AE1278" s="24"/>
    </row>
    <row r="1279" spans="1:31" ht="22.2" customHeight="1" x14ac:dyDescent="0.3">
      <c r="A1279" s="66" t="str">
        <f>+IF(PROVEEDORES[[#This Row],[FECHA DE PAGO]]=PROVEEDORES[[#This Row],[FECHA DE FACTURACIÓN]],"DE CONTADO","CRÉDITO")</f>
        <v>CRÉDITO</v>
      </c>
      <c r="B1279" s="38" t="str">
        <f>+IF((PROVEEDORES[[#This Row],[FECHA DE PAGO]]-PROVEEDORES[[#This Row],[FECHA DE FACTURACIÓN]])&gt;PROVEEDORES[[#This Row],[PLAZO Días]],"PAGO VENCIDO")</f>
        <v>PAGO VENCIDO</v>
      </c>
      <c r="C1279" s="20">
        <f>+VLOOKUP(PROVEEDORES[[#This Row],[PROVEEDOR]],TERCEROS_INFO[#All],2,FALSE)</f>
        <v>45</v>
      </c>
      <c r="D1279" s="25">
        <f>+SUMIFS(PROVEEDORES[Total],PROVEEDORES[PROVEEDOR],PROVEEDORES[[#This Row],[PROVEEDOR]],PROVEEDORES[FECHA DE PAGO],"")</f>
        <v>31891814.359999999</v>
      </c>
      <c r="E1279" s="25"/>
      <c r="F127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79" s="161">
        <v>44656</v>
      </c>
      <c r="H1279" s="26" t="s">
        <v>19</v>
      </c>
      <c r="I1279" s="161">
        <v>44596</v>
      </c>
      <c r="J1279" s="35" t="s">
        <v>753</v>
      </c>
      <c r="K1279" s="21">
        <v>1164160</v>
      </c>
      <c r="L1279" s="21"/>
      <c r="M1279" s="22">
        <f>(PROVEEDORES[[#This Row],[SUBTOTAL]]-PROVEEDORES[[#This Row],[descuento sobre subtotal]])*VLOOKUP(PROVEEDORES[[#This Row],[PROVEEDOR]],TERCEROS_INFO[#All],3,FALSE)</f>
        <v>221190.39999999999</v>
      </c>
      <c r="N1279" s="23"/>
      <c r="O1279" s="22">
        <f>+PROVEEDORES[[#This Row],[Descuento sobre subtotal %]]*(PROVEEDORES[[#This Row],[SUBTOTAL]]-PROVEEDORES[[#This Row],[descuento sobre subtotal]])</f>
        <v>0</v>
      </c>
      <c r="P1279" s="83">
        <f>+IF(PROVEEDORES[[#This Row],[SUBTOTAL]]&lt;PROVEEDORES[[#This Row],[base retencion]],0,PROVEEDORES[[#This Row],[retención aplicada]])</f>
        <v>0</v>
      </c>
      <c r="Q1279" s="22">
        <f>+PROVEEDORES[[#This Row],[Rete Fuente %]]*(PROVEEDORES[[#This Row],[SUBTOTAL]]-PROVEEDORES[[#This Row],[descuento sobre subtotal]])</f>
        <v>0</v>
      </c>
      <c r="R1279" s="21">
        <v>1385350.4</v>
      </c>
      <c r="S12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68">
        <f ca="1">IF(PROVEEDORES[[#This Row],[FECHA DE PAGO]]=0,TODAY()-PROVEEDORES[[#This Row],[FECHA DE FACTURACIÓN]]-PROVEEDORES[[#This Row],[PLAZO Días]],0)</f>
        <v>0</v>
      </c>
      <c r="U1279" s="96">
        <f>+VLOOKUP(PROVEEDORES[[#This Row],[PROVEEDOR]],Terceros!$A:$D,4,FALSE)</f>
        <v>0</v>
      </c>
      <c r="V1279" s="97">
        <f>+YEAR(PROVEEDORES[[#This Row],[FECHA DE FACTURACIÓN]])</f>
        <v>2022</v>
      </c>
      <c r="W1279" s="97">
        <f>+MATCH(PROVEEDORES[[#This Row],[año facturado]],Retenciones!$1:$1,0)</f>
        <v>5</v>
      </c>
      <c r="X1279" s="98">
        <f>+VLOOKUP(PROVEEDORES[[#This Row],[ID RETENCION]],Retenciones!$A$1:$O$25,PROVEEDORES[[#This Row],[indicador de columna]],FALSE)</f>
        <v>0</v>
      </c>
      <c r="Y1279" s="99">
        <f>+VLOOKUP(PROVEEDORES[[#This Row],[ID RETENCION]],Retenciones!$A$1:$O$25,2,FALSE)</f>
        <v>0</v>
      </c>
      <c r="Z1279" s="125" t="b">
        <f>OR(COUNTIF(PROVEEDORES[[#This Row],[PROVEEDOR]],"*"&amp;'Palabra no opera'!$A$2&amp;"*"))</f>
        <v>0</v>
      </c>
      <c r="AA1279" s="24"/>
      <c r="AB1279" s="24"/>
      <c r="AC1279" s="24"/>
      <c r="AD1279" s="24"/>
      <c r="AE1279" s="24"/>
    </row>
    <row r="1280" spans="1:31" ht="22.2" customHeight="1" x14ac:dyDescent="0.3">
      <c r="A1280" s="72" t="str">
        <f>+IF(PROVEEDORES[[#This Row],[FECHA DE PAGO]]=PROVEEDORES[[#This Row],[FECHA DE FACTURACIÓN]],"DE CONTADO","CRÉDITO")</f>
        <v>CRÉDITO</v>
      </c>
      <c r="B1280" s="38" t="str">
        <f>+IF((PROVEEDORES[[#This Row],[FECHA DE PAGO]]-PROVEEDORES[[#This Row],[FECHA DE FACTURACIÓN]])&gt;PROVEEDORES[[#This Row],[PLAZO Días]],"PAGO VENCIDO")</f>
        <v>PAGO VENCIDO</v>
      </c>
      <c r="C1280" s="20">
        <f>+VLOOKUP(PROVEEDORES[[#This Row],[PROVEEDOR]],TERCEROS_INFO[#All],2,FALSE)</f>
        <v>30</v>
      </c>
      <c r="D1280" s="25">
        <f>+SUMIFS(PROVEEDORES[Total],PROVEEDORES[PROVEEDOR],PROVEEDORES[[#This Row],[PROVEEDOR]],PROVEEDORES[FECHA DE PAGO],"")</f>
        <v>0</v>
      </c>
      <c r="E1280" s="25"/>
      <c r="F128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80" s="161">
        <v>44799</v>
      </c>
      <c r="H1280" s="26" t="s">
        <v>20</v>
      </c>
      <c r="I1280" s="161">
        <v>44763</v>
      </c>
      <c r="J1280" s="35">
        <v>7441</v>
      </c>
      <c r="K1280" s="21">
        <v>1194240</v>
      </c>
      <c r="L1280" s="21"/>
      <c r="M1280" s="22">
        <f>(PROVEEDORES[[#This Row],[SUBTOTAL]]-PROVEEDORES[[#This Row],[descuento sobre subtotal]])*VLOOKUP(PROVEEDORES[[#This Row],[PROVEEDOR]],TERCEROS_INFO[#All],3,FALSE)</f>
        <v>226905.60000000001</v>
      </c>
      <c r="N1280" s="23"/>
      <c r="O1280" s="22">
        <f>+PROVEEDORES[[#This Row],[Descuento sobre subtotal %]]*(PROVEEDORES[[#This Row],[SUBTOTAL]]-PROVEEDORES[[#This Row],[descuento sobre subtotal]])</f>
        <v>0</v>
      </c>
      <c r="P1280" s="83">
        <f>+IF(PROVEEDORES[[#This Row],[SUBTOTAL]]&lt;PROVEEDORES[[#This Row],[base retencion]],0,PROVEEDORES[[#This Row],[retención aplicada]])</f>
        <v>2.5000000000000001E-2</v>
      </c>
      <c r="Q1280" s="22">
        <f>+PROVEEDORES[[#This Row],[Rete Fuente %]]*(PROVEEDORES[[#This Row],[SUBTOTAL]]-PROVEEDORES[[#This Row],[descuento sobre subtotal]])</f>
        <v>29856</v>
      </c>
      <c r="R1280" s="21">
        <f>+PROVEEDORES[[#This Row],[SUBTOTAL]]+PROVEEDORES[[#This Row],[IVA 19%]]-PROVEEDORES[[#This Row],[descuento sobre subtotal]]-PROVEEDORES[[#This Row],[Descuento sobre subtotal $2]]-PROVEEDORES[[#This Row],[Rete Fuente $]]</f>
        <v>1391289.6</v>
      </c>
      <c r="S128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0" s="68">
        <f ca="1">IF(PROVEEDORES[[#This Row],[FECHA DE PAGO]]=0,TODAY()-PROVEEDORES[[#This Row],[FECHA DE FACTURACIÓN]]-PROVEEDORES[[#This Row],[PLAZO Días]],0)</f>
        <v>0</v>
      </c>
      <c r="U1280" s="113" t="str">
        <f>+VLOOKUP(PROVEEDORES[[#This Row],[PROVEEDOR]],Terceros!$A:$D,4,FALSE)</f>
        <v>2,5% con base</v>
      </c>
      <c r="V1280" s="114">
        <f>+YEAR(PROVEEDORES[[#This Row],[FECHA DE FACTURACIÓN]])</f>
        <v>2022</v>
      </c>
      <c r="W1280" s="114">
        <f>+MATCH(PROVEEDORES[[#This Row],[año facturado]],Retenciones!$1:$1,0)</f>
        <v>5</v>
      </c>
      <c r="X1280" s="115">
        <f>+VLOOKUP(PROVEEDORES[[#This Row],[ID RETENCION]],Retenciones!$A$1:$O$25,PROVEEDORES[[#This Row],[indicador de columna]],FALSE)</f>
        <v>1026000</v>
      </c>
      <c r="Y1280" s="116">
        <f>+VLOOKUP(PROVEEDORES[[#This Row],[ID RETENCION]],Retenciones!$A$1:$O$25,2,FALSE)</f>
        <v>2.5000000000000001E-2</v>
      </c>
      <c r="Z1280" s="125" t="b">
        <f>OR(COUNTIF(PROVEEDORES[[#This Row],[PROVEEDOR]],"*"&amp;'Palabra no opera'!$A$2&amp;"*"))</f>
        <v>0</v>
      </c>
      <c r="AA1280" s="24"/>
      <c r="AB1280" s="24"/>
      <c r="AC1280" s="24"/>
      <c r="AD1280" s="24"/>
      <c r="AE1280" s="24"/>
    </row>
    <row r="1281" spans="1:31" ht="22.2" customHeight="1" x14ac:dyDescent="0.3">
      <c r="A1281" s="159" t="str">
        <f>+IF(PROVEEDORES[[#This Row],[FECHA DE PAGO]]=PROVEEDORES[[#This Row],[FECHA DE FACTURACIÓN]],"DE CONTADO","CRÉDITO")</f>
        <v>CRÉDITO</v>
      </c>
      <c r="B1281" s="38" t="str">
        <f>+IF((PROVEEDORES[[#This Row],[FECHA DE PAGO]]-PROVEEDORES[[#This Row],[FECHA DE FACTURACIÓN]])&gt;PROVEEDORES[[#This Row],[PLAZO Días]],"PAGO VENCIDO")</f>
        <v>PAGO VENCIDO</v>
      </c>
      <c r="C1281" s="20">
        <f>+VLOOKUP(PROVEEDORES[[#This Row],[PROVEEDOR]],TERCEROS_INFO[#All],2,FALSE)</f>
        <v>30</v>
      </c>
      <c r="D1281" s="25">
        <f>+SUMIFS(PROVEEDORES[Total],PROVEEDORES[PROVEEDOR],PROVEEDORES[[#This Row],[PROVEEDOR]],PROVEEDORES[FECHA DE PAGO],"")</f>
        <v>0</v>
      </c>
      <c r="E1281" s="25"/>
      <c r="F128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81" s="161">
        <v>44799</v>
      </c>
      <c r="H1281" s="26" t="s">
        <v>746</v>
      </c>
      <c r="I1281" s="161">
        <v>44744</v>
      </c>
      <c r="J1281" s="35">
        <v>2467</v>
      </c>
      <c r="K1281" s="21">
        <v>1194537.81</v>
      </c>
      <c r="L1281" s="21"/>
      <c r="M1281" s="22">
        <f>(PROVEEDORES[[#This Row],[SUBTOTAL]]-PROVEEDORES[[#This Row],[descuento sobre subtotal]])*VLOOKUP(PROVEEDORES[[#This Row],[PROVEEDOR]],TERCEROS_INFO[#All],3,FALSE)</f>
        <v>226962.1839</v>
      </c>
      <c r="N1281" s="23"/>
      <c r="O1281" s="22">
        <f>+PROVEEDORES[[#This Row],[Descuento sobre subtotal %]]*(PROVEEDORES[[#This Row],[SUBTOTAL]]-PROVEEDORES[[#This Row],[descuento sobre subtotal]])</f>
        <v>0</v>
      </c>
      <c r="P1281" s="83">
        <f>+IF(PROVEEDORES[[#This Row],[SUBTOTAL]]&lt;PROVEEDORES[[#This Row],[base retencion]],0,PROVEEDORES[[#This Row],[retención aplicada]])</f>
        <v>2.5000000000000001E-2</v>
      </c>
      <c r="Q1281" s="22">
        <f>+PROVEEDORES[[#This Row],[Rete Fuente %]]*(PROVEEDORES[[#This Row],[SUBTOTAL]]-PROVEEDORES[[#This Row],[descuento sobre subtotal]])</f>
        <v>29863.445250000004</v>
      </c>
      <c r="R1281" s="21">
        <f>+PROVEEDORES[[#This Row],[SUBTOTAL]]+PROVEEDORES[[#This Row],[IVA 19%]]-PROVEEDORES[[#This Row],[descuento sobre subtotal]]-PROVEEDORES[[#This Row],[Descuento sobre subtotal $2]]-PROVEEDORES[[#This Row],[Rete Fuente $]]</f>
        <v>1391636.54865</v>
      </c>
      <c r="S128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68">
        <f ca="1">IF(PROVEEDORES[[#This Row],[FECHA DE PAGO]]=0,TODAY()-PROVEEDORES[[#This Row],[FECHA DE FACTURACIÓN]]-PROVEEDORES[[#This Row],[PLAZO Días]],0)</f>
        <v>0</v>
      </c>
      <c r="U1281" s="113" t="str">
        <f>+VLOOKUP(PROVEEDORES[[#This Row],[PROVEEDOR]],Terceros!$A:$D,4,FALSE)</f>
        <v>2,5% con base</v>
      </c>
      <c r="V1281" s="114">
        <f>+YEAR(PROVEEDORES[[#This Row],[FECHA DE FACTURACIÓN]])</f>
        <v>2022</v>
      </c>
      <c r="W1281" s="114">
        <f>+MATCH(PROVEEDORES[[#This Row],[año facturado]],Retenciones!$1:$1,0)</f>
        <v>5</v>
      </c>
      <c r="X1281" s="115">
        <f>+VLOOKUP(PROVEEDORES[[#This Row],[ID RETENCION]],Retenciones!$A$1:$O$25,PROVEEDORES[[#This Row],[indicador de columna]],FALSE)</f>
        <v>1026000</v>
      </c>
      <c r="Y1281" s="116">
        <f>+VLOOKUP(PROVEEDORES[[#This Row],[ID RETENCION]],Retenciones!$A$1:$O$25,2,FALSE)</f>
        <v>2.5000000000000001E-2</v>
      </c>
      <c r="Z1281" s="125" t="b">
        <f>OR(COUNTIF(PROVEEDORES[[#This Row],[PROVEEDOR]],"*"&amp;'Palabra no opera'!$A$2&amp;"*"))</f>
        <v>0</v>
      </c>
      <c r="AA1281" s="24"/>
      <c r="AB1281" s="24"/>
      <c r="AC1281" s="24"/>
      <c r="AD1281" s="24"/>
      <c r="AE1281" s="24"/>
    </row>
    <row r="1282" spans="1:31" ht="22.2" customHeight="1" x14ac:dyDescent="0.3">
      <c r="A1282" s="66" t="str">
        <f>+IF(PROVEEDORES[[#This Row],[FECHA DE PAGO]]=PROVEEDORES[[#This Row],[FECHA DE FACTURACIÓN]],"DE CONTADO","CRÉDITO")</f>
        <v>CRÉDITO</v>
      </c>
      <c r="B1282" s="38" t="str">
        <f>+IF((PROVEEDORES[[#This Row],[FECHA DE PAGO]]-PROVEEDORES[[#This Row],[FECHA DE FACTURACIÓN]])&gt;PROVEEDORES[[#This Row],[PLAZO Días]],"PAGO VENCIDO")</f>
        <v>PAGO VENCIDO</v>
      </c>
      <c r="C1282" s="20">
        <f>+VLOOKUP(PROVEEDORES[[#This Row],[PROVEEDOR]],TERCEROS_INFO[#All],2,FALSE)</f>
        <v>30</v>
      </c>
      <c r="D1282" s="25">
        <f>+SUMIFS(PROVEEDORES[Total],PROVEEDORES[PROVEEDOR],PROVEEDORES[[#This Row],[PROVEEDOR]],PROVEEDORES[FECHA DE PAGO],"")</f>
        <v>0</v>
      </c>
      <c r="E1282" s="25"/>
      <c r="F1282" s="58">
        <f>+VLOOKUP(PROVEEDORES[[#This Row],[PROVEEDOR]],
                       Terceros!$A:$F,
                       5,
                       FALSE)</f>
        <v>0</v>
      </c>
      <c r="G1282" s="161">
        <v>44358</v>
      </c>
      <c r="H1282" s="26" t="s">
        <v>932</v>
      </c>
      <c r="I1282" s="161">
        <v>44317</v>
      </c>
      <c r="J1282" s="35" t="s">
        <v>306</v>
      </c>
      <c r="K1282" s="21">
        <v>1392986</v>
      </c>
      <c r="L1282" s="21"/>
      <c r="M1282" s="22">
        <f>(PROVEEDORES[[#This Row],[SUBTOTAL]]-PROVEEDORES[[#This Row],[descuento sobre subtotal]])*VLOOKUP(PROVEEDORES[[#This Row],[PROVEEDOR]],TERCEROS_INFO[#All],3,FALSE)</f>
        <v>0</v>
      </c>
      <c r="N1282" s="23"/>
      <c r="O1282" s="22">
        <f>+PROVEEDORES[[#This Row],[Descuento sobre subtotal %]]*(PROVEEDORES[[#This Row],[SUBTOTAL]]-PROVEEDORES[[#This Row],[descuento sobre subtotal]])</f>
        <v>0</v>
      </c>
      <c r="P1282" s="83">
        <f>+IF(PROVEEDORES[[#This Row],[SUBTOTAL]]&lt;PROVEEDORES[[#This Row],[base retencion]],0,PROVEEDORES[[#This Row],[retención aplicada]])</f>
        <v>0</v>
      </c>
      <c r="Q1282" s="22">
        <f>+PROVEEDORES[[#This Row],[Rete Fuente %]]*(PROVEEDORES[[#This Row],[SUBTOTAL]]-PROVEEDORES[[#This Row],[descuento sobre subtotal]])</f>
        <v>0</v>
      </c>
      <c r="R1282" s="21">
        <f>+PROVEEDORES[[#This Row],[SUBTOTAL]]+PROVEEDORES[[#This Row],[IVA 19%]]-PROVEEDORES[[#This Row],[descuento sobre subtotal]]-PROVEEDORES[[#This Row],[Descuento sobre subtotal $2]]-PROVEEDORES[[#This Row],[Rete Fuente $]]</f>
        <v>1392986</v>
      </c>
      <c r="S12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2" s="68">
        <f ca="1">IF(PROVEEDORES[[#This Row],[FECHA DE PAGO]]=0,TODAY()-PROVEEDORES[[#This Row],[FECHA DE FACTURACIÓN]]-PROVEEDORES[[#This Row],[PLAZO Días]],0)</f>
        <v>0</v>
      </c>
      <c r="U1282" s="96">
        <f>+VLOOKUP(PROVEEDORES[[#This Row],[PROVEEDOR]],Terceros!$A:$D,4,FALSE)</f>
        <v>0</v>
      </c>
      <c r="V1282" s="97">
        <f>+YEAR(PROVEEDORES[[#This Row],[FECHA DE FACTURACIÓN]])</f>
        <v>2021</v>
      </c>
      <c r="W1282" s="97">
        <f>+MATCH(PROVEEDORES[[#This Row],[año facturado]],Retenciones!$1:$1,0)</f>
        <v>4</v>
      </c>
      <c r="X1282" s="98">
        <f>+VLOOKUP(PROVEEDORES[[#This Row],[ID RETENCION]],Retenciones!$A$1:$O$25,PROVEEDORES[[#This Row],[indicador de columna]],FALSE)</f>
        <v>0</v>
      </c>
      <c r="Y1282" s="99">
        <f>+VLOOKUP(PROVEEDORES[[#This Row],[ID RETENCION]],Retenciones!$A$1:$O$25,2,FALSE)</f>
        <v>0</v>
      </c>
      <c r="Z1282" s="125" t="b">
        <f>OR(COUNTIF(PROVEEDORES[[#This Row],[PROVEEDOR]],"*"&amp;'Palabra no opera'!$A$2&amp;"*"))</f>
        <v>1</v>
      </c>
      <c r="AA1282" s="24"/>
      <c r="AB1282" s="24"/>
      <c r="AC1282" s="24"/>
      <c r="AD1282" s="24"/>
      <c r="AE1282" s="24"/>
    </row>
    <row r="1283" spans="1:31" ht="22.2" customHeight="1" x14ac:dyDescent="0.3">
      <c r="A1283" s="66" t="str">
        <f>+IF(PROVEEDORES[[#This Row],[FECHA DE PAGO]]=PROVEEDORES[[#This Row],[FECHA DE FACTURACIÓN]],"DE CONTADO","CRÉDITO")</f>
        <v>CRÉDITO</v>
      </c>
      <c r="B1283" s="38" t="str">
        <f>+IF((PROVEEDORES[[#This Row],[FECHA DE PAGO]]-PROVEEDORES[[#This Row],[FECHA DE FACTURACIÓN]])&gt;PROVEEDORES[[#This Row],[PLAZO Días]],"PAGO VENCIDO")</f>
        <v>PAGO VENCIDO</v>
      </c>
      <c r="C1283" s="20">
        <f>+VLOOKUP(PROVEEDORES[[#This Row],[PROVEEDOR]],TERCEROS_INFO[#All],2,FALSE)</f>
        <v>30</v>
      </c>
      <c r="D1283" s="25">
        <f>+SUMIFS(PROVEEDORES[Total],PROVEEDORES[PROVEEDOR],PROVEEDORES[[#This Row],[PROVEEDOR]],PROVEEDORES[FECHA DE PAGO],"")</f>
        <v>0</v>
      </c>
      <c r="E1283" s="25"/>
      <c r="F128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83" s="161">
        <v>44418</v>
      </c>
      <c r="H1283" s="26" t="s">
        <v>746</v>
      </c>
      <c r="I1283" s="161">
        <v>44357</v>
      </c>
      <c r="J1283" s="35">
        <v>1265</v>
      </c>
      <c r="K1283" s="21">
        <v>1199159.68</v>
      </c>
      <c r="L1283" s="21"/>
      <c r="M1283" s="22">
        <f>(PROVEEDORES[[#This Row],[SUBTOTAL]]-PROVEEDORES[[#This Row],[descuento sobre subtotal]])*VLOOKUP(PROVEEDORES[[#This Row],[PROVEEDOR]],TERCEROS_INFO[#All],3,FALSE)</f>
        <v>227840.33919999999</v>
      </c>
      <c r="N1283" s="23"/>
      <c r="O1283" s="22">
        <f>+PROVEEDORES[[#This Row],[Descuento sobre subtotal %]]*(PROVEEDORES[[#This Row],[SUBTOTAL]]-PROVEEDORES[[#This Row],[descuento sobre subtotal]])</f>
        <v>0</v>
      </c>
      <c r="P1283" s="83">
        <f>+IF(PROVEEDORES[[#This Row],[SUBTOTAL]]&lt;PROVEEDORES[[#This Row],[base retencion]],0,PROVEEDORES[[#This Row],[retención aplicada]])</f>
        <v>2.5000000000000001E-2</v>
      </c>
      <c r="Q1283" s="22">
        <f>+PROVEEDORES[[#This Row],[Rete Fuente %]]*(PROVEEDORES[[#This Row],[SUBTOTAL]]-PROVEEDORES[[#This Row],[descuento sobre subtotal]])</f>
        <v>29978.991999999998</v>
      </c>
      <c r="R1283" s="21">
        <f>+PROVEEDORES[[#This Row],[SUBTOTAL]]+PROVEEDORES[[#This Row],[IVA 19%]]-PROVEEDORES[[#This Row],[descuento sobre subtotal]]-PROVEEDORES[[#This Row],[Descuento sobre subtotal $2]]-PROVEEDORES[[#This Row],[Rete Fuente $]]</f>
        <v>1397021.0271999999</v>
      </c>
      <c r="S12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3" s="68">
        <f ca="1">IF(PROVEEDORES[[#This Row],[FECHA DE PAGO]]=0,TODAY()-PROVEEDORES[[#This Row],[FECHA DE FACTURACIÓN]]-PROVEEDORES[[#This Row],[PLAZO Días]],0)</f>
        <v>0</v>
      </c>
      <c r="U1283" s="96" t="str">
        <f>+VLOOKUP(PROVEEDORES[[#This Row],[PROVEEDOR]],Terceros!$A:$D,4,FALSE)</f>
        <v>2,5% con base</v>
      </c>
      <c r="V1283" s="97">
        <f>+YEAR(PROVEEDORES[[#This Row],[FECHA DE FACTURACIÓN]])</f>
        <v>2021</v>
      </c>
      <c r="W1283" s="97">
        <f>+MATCH(PROVEEDORES[[#This Row],[año facturado]],Retenciones!$1:$1,0)</f>
        <v>4</v>
      </c>
      <c r="X1283" s="98">
        <f>+VLOOKUP(PROVEEDORES[[#This Row],[ID RETENCION]],Retenciones!$A$1:$O$25,PROVEEDORES[[#This Row],[indicador de columna]],FALSE)</f>
        <v>980000</v>
      </c>
      <c r="Y1283" s="99">
        <f>+VLOOKUP(PROVEEDORES[[#This Row],[ID RETENCION]],Retenciones!$A$1:$O$25,2,FALSE)</f>
        <v>2.5000000000000001E-2</v>
      </c>
      <c r="Z1283" s="125" t="b">
        <f>OR(COUNTIF(PROVEEDORES[[#This Row],[PROVEEDOR]],"*"&amp;'Palabra no opera'!$A$2&amp;"*"))</f>
        <v>0</v>
      </c>
      <c r="AA1283" s="24"/>
      <c r="AB1283" s="24"/>
      <c r="AC1283" s="24"/>
      <c r="AD1283" s="24"/>
      <c r="AE1283" s="24"/>
    </row>
    <row r="1284" spans="1:31" ht="22.2" customHeight="1" x14ac:dyDescent="0.3">
      <c r="A1284" s="66" t="str">
        <f>+IF(PROVEEDORES[[#This Row],[FECHA DE PAGO]]=PROVEEDORES[[#This Row],[FECHA DE FACTURACIÓN]],"DE CONTADO","CRÉDITO")</f>
        <v>DE CONTADO</v>
      </c>
      <c r="B1284" s="38" t="b">
        <f>+IF((PROVEEDORES[[#This Row],[FECHA DE PAGO]]-PROVEEDORES[[#This Row],[FECHA DE FACTURACIÓN]])&gt;PROVEEDORES[[#This Row],[PLAZO Días]],"PAGO VENCIDO")</f>
        <v>0</v>
      </c>
      <c r="C1284" s="20">
        <f>+VLOOKUP(PROVEEDORES[[#This Row],[PROVEEDOR]],TERCEROS_INFO[#All],2,FALSE)</f>
        <v>30</v>
      </c>
      <c r="D1284" s="25">
        <f>+SUMIFS(PROVEEDORES[Total],PROVEEDORES[PROVEEDOR],PROVEEDORES[[#This Row],[PROVEEDOR]],PROVEEDORES[FECHA DE PAGO],"")</f>
        <v>0</v>
      </c>
      <c r="E1284" s="25"/>
      <c r="F1284" s="58" t="str">
        <f>+VLOOKUP(PROVEEDORES[[#This Row],[PROVEEDOR]],
                       Terceros!$A:$F,
                       5,
                       FALSE)</f>
        <v/>
      </c>
      <c r="G1284" s="161">
        <v>44221</v>
      </c>
      <c r="H1284" s="26" t="s">
        <v>681</v>
      </c>
      <c r="I1284" s="161">
        <v>44221</v>
      </c>
      <c r="J1284" s="35"/>
      <c r="K1284" s="21">
        <v>1400000</v>
      </c>
      <c r="L1284" s="21"/>
      <c r="M1284" s="22">
        <f>(PROVEEDORES[[#This Row],[SUBTOTAL]]-PROVEEDORES[[#This Row],[descuento sobre subtotal]])*VLOOKUP(PROVEEDORES[[#This Row],[PROVEEDOR]],TERCEROS_INFO[#All],3,FALSE)</f>
        <v>0</v>
      </c>
      <c r="N1284" s="23"/>
      <c r="O1284" s="22">
        <f>+PROVEEDORES[[#This Row],[Descuento sobre subtotal %]]*(PROVEEDORES[[#This Row],[SUBTOTAL]]-PROVEEDORES[[#This Row],[descuento sobre subtotal]])</f>
        <v>0</v>
      </c>
      <c r="P1284" s="83">
        <f>+IF(PROVEEDORES[[#This Row],[SUBTOTAL]]&lt;PROVEEDORES[[#This Row],[base retencion]],0,PROVEEDORES[[#This Row],[retención aplicada]])</f>
        <v>0</v>
      </c>
      <c r="Q1284" s="22">
        <f>+PROVEEDORES[[#This Row],[Rete Fuente %]]*(PROVEEDORES[[#This Row],[SUBTOTAL]]-PROVEEDORES[[#This Row],[descuento sobre subtotal]])</f>
        <v>0</v>
      </c>
      <c r="R1284" s="21">
        <f>+PROVEEDORES[[#This Row],[SUBTOTAL]]+PROVEEDORES[[#This Row],[IVA 19%]]-PROVEEDORES[[#This Row],[descuento sobre subtotal]]-PROVEEDORES[[#This Row],[Descuento sobre subtotal $2]]-PROVEEDORES[[#This Row],[Rete Fuente $]]</f>
        <v>1400000</v>
      </c>
      <c r="S12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4" s="68">
        <f ca="1">IF(PROVEEDORES[[#This Row],[FECHA DE PAGO]]=0,TODAY()-PROVEEDORES[[#This Row],[FECHA DE FACTURACIÓN]]-PROVEEDORES[[#This Row],[PLAZO Días]],0)</f>
        <v>0</v>
      </c>
      <c r="U1284" s="96">
        <f>+VLOOKUP(PROVEEDORES[[#This Row],[PROVEEDOR]],Terceros!$A:$D,4,FALSE)</f>
        <v>0</v>
      </c>
      <c r="V1284" s="97">
        <f>+YEAR(PROVEEDORES[[#This Row],[FECHA DE FACTURACIÓN]])</f>
        <v>2021</v>
      </c>
      <c r="W1284" s="97">
        <f>+MATCH(PROVEEDORES[[#This Row],[año facturado]],Retenciones!$1:$1,0)</f>
        <v>4</v>
      </c>
      <c r="X1284" s="98">
        <f>+VLOOKUP(PROVEEDORES[[#This Row],[ID RETENCION]],Retenciones!$A$1:$O$25,PROVEEDORES[[#This Row],[indicador de columna]],FALSE)</f>
        <v>0</v>
      </c>
      <c r="Y1284" s="99">
        <f>+VLOOKUP(PROVEEDORES[[#This Row],[ID RETENCION]],Retenciones!$A$1:$O$25,2,FALSE)</f>
        <v>0</v>
      </c>
      <c r="Z1284" s="125" t="b">
        <f>OR(COUNTIF(PROVEEDORES[[#This Row],[PROVEEDOR]],"*"&amp;'Palabra no opera'!$A$2&amp;"*"))</f>
        <v>0</v>
      </c>
      <c r="AA1284" s="24"/>
      <c r="AB1284" s="24"/>
      <c r="AC1284" s="24"/>
      <c r="AD1284" s="24"/>
      <c r="AE1284" s="24"/>
    </row>
    <row r="1285" spans="1:31" ht="22.2" customHeight="1" x14ac:dyDescent="0.3">
      <c r="A1285" s="66" t="str">
        <f>+IF(PROVEEDORES[[#This Row],[FECHA DE PAGO]]=PROVEEDORES[[#This Row],[FECHA DE FACTURACIÓN]],"DE CONTADO","CRÉDITO")</f>
        <v>CRÉDITO</v>
      </c>
      <c r="B1285" s="38" t="str">
        <f>+IF((PROVEEDORES[[#This Row],[FECHA DE PAGO]]-PROVEEDORES[[#This Row],[FECHA DE FACTURACIÓN]])&gt;PROVEEDORES[[#This Row],[PLAZO Días]],"PAGO VENCIDO")</f>
        <v>PAGO VENCIDO</v>
      </c>
      <c r="C1285" s="20">
        <f>+VLOOKUP(PROVEEDORES[[#This Row],[PROVEEDOR]],TERCEROS_INFO[#All],2,FALSE)</f>
        <v>30</v>
      </c>
      <c r="D1285" s="25">
        <f>+SUMIFS(PROVEEDORES[Total],PROVEEDORES[PROVEEDOR],PROVEEDORES[[#This Row],[PROVEEDOR]],PROVEEDORES[FECHA DE PAGO],"")</f>
        <v>3236000</v>
      </c>
      <c r="E1285" s="25"/>
      <c r="F128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285" s="161">
        <v>44593</v>
      </c>
      <c r="H1285" s="26" t="s">
        <v>677</v>
      </c>
      <c r="I1285" s="161">
        <v>44562</v>
      </c>
      <c r="J1285" s="35" t="s">
        <v>1368</v>
      </c>
      <c r="K1285" s="21">
        <v>1400000</v>
      </c>
      <c r="L1285" s="21"/>
      <c r="M1285" s="22">
        <v>0</v>
      </c>
      <c r="N1285" s="23"/>
      <c r="O1285" s="22">
        <v>0</v>
      </c>
      <c r="P1285" s="83">
        <f>+IF(PROVEEDORES[[#This Row],[SUBTOTAL]]&lt;PROVEEDORES[[#This Row],[base retencion]],0,PROVEEDORES[[#This Row],[retención aplicada]])</f>
        <v>0</v>
      </c>
      <c r="Q1285" s="22">
        <f>+PROVEEDORES[[#This Row],[Rete Fuente %]]*(PROVEEDORES[[#This Row],[SUBTOTAL]]-PROVEEDORES[[#This Row],[descuento sobre subtotal]])</f>
        <v>0</v>
      </c>
      <c r="R1285" s="21">
        <v>1400000</v>
      </c>
      <c r="S12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5" s="68">
        <f ca="1">IF(PROVEEDORES[[#This Row],[FECHA DE PAGO]]=0,TODAY()-PROVEEDORES[[#This Row],[FECHA DE FACTURACIÓN]]-PROVEEDORES[[#This Row],[PLAZO Días]],0)</f>
        <v>0</v>
      </c>
      <c r="U1285" s="96">
        <f>+VLOOKUP(PROVEEDORES[[#This Row],[PROVEEDOR]],Terceros!$A:$D,4,FALSE)</f>
        <v>0</v>
      </c>
      <c r="V1285" s="97">
        <f>+YEAR(PROVEEDORES[[#This Row],[FECHA DE FACTURACIÓN]])</f>
        <v>2022</v>
      </c>
      <c r="W1285" s="97">
        <f>+MATCH(PROVEEDORES[[#This Row],[año facturado]],Retenciones!$1:$1,0)</f>
        <v>5</v>
      </c>
      <c r="X1285" s="98">
        <f>+VLOOKUP(PROVEEDORES[[#This Row],[ID RETENCION]],Retenciones!$A$1:$O$25,PROVEEDORES[[#This Row],[indicador de columna]],FALSE)</f>
        <v>0</v>
      </c>
      <c r="Y1285" s="99">
        <f>+VLOOKUP(PROVEEDORES[[#This Row],[ID RETENCION]],Retenciones!$A$1:$O$25,2,FALSE)</f>
        <v>0</v>
      </c>
      <c r="Z1285" s="125" t="b">
        <f>OR(COUNTIF(PROVEEDORES[[#This Row],[PROVEEDOR]],"*"&amp;'Palabra no opera'!$A$2&amp;"*"))</f>
        <v>0</v>
      </c>
      <c r="AA1285" s="24"/>
      <c r="AB1285" s="24"/>
      <c r="AC1285" s="24"/>
      <c r="AD1285" s="24"/>
      <c r="AE1285" s="24"/>
    </row>
    <row r="1286" spans="1:31" ht="22.2" customHeight="1" x14ac:dyDescent="0.3">
      <c r="A1286" s="66" t="str">
        <f>+IF(PROVEEDORES[[#This Row],[FECHA DE PAGO]]=PROVEEDORES[[#This Row],[FECHA DE FACTURACIÓN]],"DE CONTADO","CRÉDITO")</f>
        <v>CRÉDITO</v>
      </c>
      <c r="B1286" s="38" t="str">
        <f>+IF((PROVEEDORES[[#This Row],[FECHA DE PAGO]]-PROVEEDORES[[#This Row],[FECHA DE FACTURACIÓN]])&gt;PROVEEDORES[[#This Row],[PLAZO Días]],"PAGO VENCIDO")</f>
        <v>PAGO VENCIDO</v>
      </c>
      <c r="C1286" s="20">
        <f>+VLOOKUP(PROVEEDORES[[#This Row],[PROVEEDOR]],TERCEROS_INFO[#All],2,FALSE)</f>
        <v>30</v>
      </c>
      <c r="D1286" s="25">
        <f>+SUMIFS(PROVEEDORES[Total],PROVEEDORES[PROVEEDOR],PROVEEDORES[[#This Row],[PROVEEDOR]],PROVEEDORES[FECHA DE PAGO],"")</f>
        <v>0</v>
      </c>
      <c r="E1286" s="25"/>
      <c r="F128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86" s="161">
        <v>44376</v>
      </c>
      <c r="H1286" s="26" t="s">
        <v>20</v>
      </c>
      <c r="I1286" s="161">
        <v>44336</v>
      </c>
      <c r="J1286" s="35">
        <v>4103</v>
      </c>
      <c r="K1286" s="21">
        <v>1203216</v>
      </c>
      <c r="L1286" s="21"/>
      <c r="M1286" s="22">
        <f>(PROVEEDORES[[#This Row],[SUBTOTAL]]-PROVEEDORES[[#This Row],[descuento sobre subtotal]])*VLOOKUP(PROVEEDORES[[#This Row],[PROVEEDOR]],TERCEROS_INFO[#All],3,FALSE)</f>
        <v>228611.04</v>
      </c>
      <c r="N1286" s="23"/>
      <c r="O1286" s="22">
        <f>+PROVEEDORES[[#This Row],[Descuento sobre subtotal %]]*(PROVEEDORES[[#This Row],[SUBTOTAL]]-PROVEEDORES[[#This Row],[descuento sobre subtotal]])</f>
        <v>0</v>
      </c>
      <c r="P1286" s="83">
        <f>+IF(PROVEEDORES[[#This Row],[SUBTOTAL]]&lt;PROVEEDORES[[#This Row],[base retencion]],0,PROVEEDORES[[#This Row],[retención aplicada]])</f>
        <v>2.5000000000000001E-2</v>
      </c>
      <c r="Q1286" s="22">
        <f>+PROVEEDORES[[#This Row],[Rete Fuente %]]*(PROVEEDORES[[#This Row],[SUBTOTAL]]-PROVEEDORES[[#This Row],[descuento sobre subtotal]])</f>
        <v>30080.400000000001</v>
      </c>
      <c r="R1286" s="21">
        <f>+PROVEEDORES[[#This Row],[SUBTOTAL]]+PROVEEDORES[[#This Row],[IVA 19%]]-PROVEEDORES[[#This Row],[descuento sobre subtotal]]-PROVEEDORES[[#This Row],[Descuento sobre subtotal $2]]-PROVEEDORES[[#This Row],[Rete Fuente $]]</f>
        <v>1401746.6400000001</v>
      </c>
      <c r="S12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6" s="68">
        <f ca="1">IF(PROVEEDORES[[#This Row],[FECHA DE PAGO]]=0,TODAY()-PROVEEDORES[[#This Row],[FECHA DE FACTURACIÓN]]-PROVEEDORES[[#This Row],[PLAZO Días]],0)</f>
        <v>0</v>
      </c>
      <c r="U1286" s="96" t="str">
        <f>+VLOOKUP(PROVEEDORES[[#This Row],[PROVEEDOR]],Terceros!$A:$D,4,FALSE)</f>
        <v>2,5% con base</v>
      </c>
      <c r="V1286" s="97">
        <f>+YEAR(PROVEEDORES[[#This Row],[FECHA DE FACTURACIÓN]])</f>
        <v>2021</v>
      </c>
      <c r="W1286" s="97">
        <f>+MATCH(PROVEEDORES[[#This Row],[año facturado]],Retenciones!$1:$1,0)</f>
        <v>4</v>
      </c>
      <c r="X1286" s="98">
        <f>+VLOOKUP(PROVEEDORES[[#This Row],[ID RETENCION]],Retenciones!$A$1:$O$25,PROVEEDORES[[#This Row],[indicador de columna]],FALSE)</f>
        <v>980000</v>
      </c>
      <c r="Y1286" s="99">
        <f>+VLOOKUP(PROVEEDORES[[#This Row],[ID RETENCION]],Retenciones!$A$1:$O$25,2,FALSE)</f>
        <v>2.5000000000000001E-2</v>
      </c>
      <c r="Z1286" s="125" t="b">
        <f>OR(COUNTIF(PROVEEDORES[[#This Row],[PROVEEDOR]],"*"&amp;'Palabra no opera'!$A$2&amp;"*"))</f>
        <v>0</v>
      </c>
      <c r="AA1286" s="24"/>
      <c r="AB1286" s="24"/>
      <c r="AC1286" s="24"/>
      <c r="AD1286" s="24"/>
      <c r="AE1286" s="24"/>
    </row>
    <row r="1287" spans="1:31" ht="22.2" customHeight="1" x14ac:dyDescent="0.3">
      <c r="A1287" s="66" t="str">
        <f>+IF(PROVEEDORES[[#This Row],[FECHA DE PAGO]]=PROVEEDORES[[#This Row],[FECHA DE FACTURACIÓN]],"DE CONTADO","CRÉDITO")</f>
        <v>CRÉDITO</v>
      </c>
      <c r="B1287" s="38" t="str">
        <f>+IF((PROVEEDORES[[#This Row],[FECHA DE PAGO]]-PROVEEDORES[[#This Row],[FECHA DE FACTURACIÓN]])&gt;PROVEEDORES[[#This Row],[PLAZO Días]],"PAGO VENCIDO")</f>
        <v>PAGO VENCIDO</v>
      </c>
      <c r="C1287" s="20">
        <f>+VLOOKUP(PROVEEDORES[[#This Row],[PROVEEDOR]],TERCEROS_INFO[#All],2,FALSE)</f>
        <v>30</v>
      </c>
      <c r="D1287" s="25">
        <f>+SUMIFS(PROVEEDORES[Total],PROVEEDORES[PROVEEDOR],PROVEEDORES[[#This Row],[PROVEEDOR]],PROVEEDORES[FECHA DE PAGO],"")</f>
        <v>0</v>
      </c>
      <c r="E1287" s="25"/>
      <c r="F1287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287" s="161">
        <v>44285</v>
      </c>
      <c r="H1287" s="26" t="s">
        <v>131</v>
      </c>
      <c r="I1287" s="161">
        <v>44246</v>
      </c>
      <c r="J1287" s="35" t="s">
        <v>222</v>
      </c>
      <c r="K1287" s="21">
        <v>1335643</v>
      </c>
      <c r="L1287" s="21">
        <v>128222</v>
      </c>
      <c r="M1287" s="22">
        <f>(PROVEEDORES[[#This Row],[SUBTOTAL]]-PROVEEDORES[[#This Row],[descuento sobre subtotal]])*VLOOKUP(PROVEEDORES[[#This Row],[PROVEEDOR]],TERCEROS_INFO[#All],3,FALSE)</f>
        <v>229409.99</v>
      </c>
      <c r="N1287" s="23"/>
      <c r="O1287" s="22">
        <f>+PROVEEDORES[[#This Row],[Descuento sobre subtotal %]]*(PROVEEDORES[[#This Row],[SUBTOTAL]]-PROVEEDORES[[#This Row],[descuento sobre subtotal]])</f>
        <v>0</v>
      </c>
      <c r="P1287" s="83">
        <f>+IF(PROVEEDORES[[#This Row],[SUBTOTAL]]&lt;PROVEEDORES[[#This Row],[base retencion]],0,PROVEEDORES[[#This Row],[retención aplicada]])</f>
        <v>2.5000000000000001E-2</v>
      </c>
      <c r="Q1287" s="22">
        <f>+PROVEEDORES[[#This Row],[Rete Fuente %]]*(PROVEEDORES[[#This Row],[SUBTOTAL]]-PROVEEDORES[[#This Row],[descuento sobre subtotal]])</f>
        <v>30185.525000000001</v>
      </c>
      <c r="R1287" s="21">
        <f>+PROVEEDORES[[#This Row],[SUBTOTAL]]+PROVEEDORES[[#This Row],[IVA 19%]]-PROVEEDORES[[#This Row],[descuento sobre subtotal]]-PROVEEDORES[[#This Row],[Descuento sobre subtotal $2]]-PROVEEDORES[[#This Row],[Rete Fuente $]]</f>
        <v>1406645.4650000001</v>
      </c>
      <c r="S12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7" s="68">
        <f ca="1">IF(PROVEEDORES[[#This Row],[FECHA DE PAGO]]=0,TODAY()-PROVEEDORES[[#This Row],[FECHA DE FACTURACIÓN]]-PROVEEDORES[[#This Row],[PLAZO Días]],0)</f>
        <v>0</v>
      </c>
      <c r="U1287" s="96" t="str">
        <f>+VLOOKUP(PROVEEDORES[[#This Row],[PROVEEDOR]],Terceros!$A:$D,4,FALSE)</f>
        <v>2,5% con base</v>
      </c>
      <c r="V1287" s="97">
        <f>+YEAR(PROVEEDORES[[#This Row],[FECHA DE FACTURACIÓN]])</f>
        <v>2021</v>
      </c>
      <c r="W1287" s="97">
        <f>+MATCH(PROVEEDORES[[#This Row],[año facturado]],Retenciones!$1:$1,0)</f>
        <v>4</v>
      </c>
      <c r="X1287" s="98">
        <f>+VLOOKUP(PROVEEDORES[[#This Row],[ID RETENCION]],Retenciones!$A$1:$O$25,PROVEEDORES[[#This Row],[indicador de columna]],FALSE)</f>
        <v>980000</v>
      </c>
      <c r="Y1287" s="99">
        <f>+VLOOKUP(PROVEEDORES[[#This Row],[ID RETENCION]],Retenciones!$A$1:$O$25,2,FALSE)</f>
        <v>2.5000000000000001E-2</v>
      </c>
      <c r="Z1287" s="125" t="b">
        <f>OR(COUNTIF(PROVEEDORES[[#This Row],[PROVEEDOR]],"*"&amp;'Palabra no opera'!$A$2&amp;"*"))</f>
        <v>0</v>
      </c>
      <c r="AA1287" s="24"/>
      <c r="AB1287" s="24"/>
      <c r="AC1287" s="24"/>
      <c r="AD1287" s="24"/>
      <c r="AE1287" s="24"/>
    </row>
    <row r="1288" spans="1:31" ht="22.2" customHeight="1" x14ac:dyDescent="0.3">
      <c r="A1288" s="72" t="str">
        <f>+IF(PROVEEDORES[[#This Row],[FECHA DE PAGO]]=PROVEEDORES[[#This Row],[FECHA DE FACTURACIÓN]],"DE CONTADO","CRÉDITO")</f>
        <v>CRÉDITO</v>
      </c>
      <c r="B1288" s="38" t="str">
        <f>+IF((PROVEEDORES[[#This Row],[FECHA DE PAGO]]-PROVEEDORES[[#This Row],[FECHA DE FACTURACIÓN]])&gt;PROVEEDORES[[#This Row],[PLAZO Días]],"PAGO VENCIDO")</f>
        <v>PAGO VENCIDO</v>
      </c>
      <c r="C1288" s="20">
        <f>+VLOOKUP(PROVEEDORES[[#This Row],[PROVEEDOR]],TERCEROS_INFO[#All],2,FALSE)</f>
        <v>45</v>
      </c>
      <c r="D1288" s="25">
        <f>+SUMIFS(PROVEEDORES[Total],PROVEEDORES[PROVEEDOR],PROVEEDORES[[#This Row],[PROVEEDOR]],PROVEEDORES[FECHA DE PAGO],"")</f>
        <v>2604910</v>
      </c>
      <c r="E1288" s="25"/>
      <c r="F128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88" s="161">
        <v>44845</v>
      </c>
      <c r="H1288" s="26" t="s">
        <v>10</v>
      </c>
      <c r="I1288" s="161">
        <v>44774</v>
      </c>
      <c r="J1288" s="35" t="s">
        <v>1742</v>
      </c>
      <c r="K1288" s="21">
        <v>1185000</v>
      </c>
      <c r="L1288" s="21"/>
      <c r="M1288" s="22">
        <f>(PROVEEDORES[[#This Row],[SUBTOTAL]]-PROVEEDORES[[#This Row],[descuento sobre subtotal]])*VLOOKUP(PROVEEDORES[[#This Row],[PROVEEDOR]],TERCEROS_INFO[#All],3,FALSE)</f>
        <v>225150</v>
      </c>
      <c r="N1288" s="23"/>
      <c r="O1288" s="22">
        <f>+PROVEEDORES[[#This Row],[Descuento sobre subtotal %]]*(PROVEEDORES[[#This Row],[SUBTOTAL]]-PROVEEDORES[[#This Row],[descuento sobre subtotal]])</f>
        <v>0</v>
      </c>
      <c r="P1288" s="83">
        <f>+IF(PROVEEDORES[[#This Row],[SUBTOTAL]]&lt;PROVEEDORES[[#This Row],[base retencion]],0,PROVEEDORES[[#This Row],[retención aplicada]])</f>
        <v>0</v>
      </c>
      <c r="Q1288" s="22">
        <f>+PROVEEDORES[[#This Row],[Rete Fuente %]]*(PROVEEDORES[[#This Row],[SUBTOTAL]]-PROVEEDORES[[#This Row],[descuento sobre subtotal]])</f>
        <v>0</v>
      </c>
      <c r="R1288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128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8" s="68">
        <f ca="1">IF(PROVEEDORES[[#This Row],[FECHA DE PAGO]]=0,TODAY()-PROVEEDORES[[#This Row],[FECHA DE FACTURACIÓN]]-PROVEEDORES[[#This Row],[PLAZO Días]],0)</f>
        <v>0</v>
      </c>
      <c r="U1288" s="113">
        <f>+VLOOKUP(PROVEEDORES[[#This Row],[PROVEEDOR]],Terceros!$A:$D,4,FALSE)</f>
        <v>0</v>
      </c>
      <c r="V1288" s="114">
        <f>+YEAR(PROVEEDORES[[#This Row],[FECHA DE FACTURACIÓN]])</f>
        <v>2022</v>
      </c>
      <c r="W1288" s="114">
        <f>+MATCH(PROVEEDORES[[#This Row],[año facturado]],Retenciones!$1:$1,0)</f>
        <v>5</v>
      </c>
      <c r="X1288" s="115">
        <f>+VLOOKUP(PROVEEDORES[[#This Row],[ID RETENCION]],Retenciones!$A$1:$O$25,PROVEEDORES[[#This Row],[indicador de columna]],FALSE)</f>
        <v>0</v>
      </c>
      <c r="Y1288" s="116">
        <f>+VLOOKUP(PROVEEDORES[[#This Row],[ID RETENCION]],Retenciones!$A$1:$O$25,2,FALSE)</f>
        <v>0</v>
      </c>
      <c r="Z1288" s="125" t="b">
        <f>OR(COUNTIF(PROVEEDORES[[#This Row],[PROVEEDOR]],"*"&amp;'Palabra no opera'!$A$2&amp;"*"))</f>
        <v>0</v>
      </c>
      <c r="AA1288" s="24"/>
      <c r="AB1288" s="24"/>
      <c r="AC1288" s="24"/>
      <c r="AD1288" s="24"/>
      <c r="AE1288" s="24"/>
    </row>
    <row r="1289" spans="1:31" ht="22.2" customHeight="1" x14ac:dyDescent="0.3">
      <c r="A1289" s="257" t="str">
        <f>+IF(PROVEEDORES[[#This Row],[FECHA DE PAGO]]=PROVEEDORES[[#This Row],[FECHA DE FACTURACIÓN]],"DE CONTADO","CRÉDITO")</f>
        <v>CRÉDITO</v>
      </c>
      <c r="B1289" s="38" t="str">
        <f>+IF((PROVEEDORES[[#This Row],[FECHA DE PAGO]]-PROVEEDORES[[#This Row],[FECHA DE FACTURACIÓN]])&gt;PROVEEDORES[[#This Row],[PLAZO Días]],"PAGO VENCIDO")</f>
        <v>PAGO VENCIDO</v>
      </c>
      <c r="C1289" s="20">
        <f>+VLOOKUP(PROVEEDORES[[#This Row],[PROVEEDOR]],TERCEROS_INFO[#All],2,FALSE)</f>
        <v>45</v>
      </c>
      <c r="D1289" s="25">
        <f>+SUMIFS(PROVEEDORES[Total],PROVEEDORES[PROVEEDOR],PROVEEDORES[[#This Row],[PROVEEDOR]],PROVEEDORES[FECHA DE PAGO],"")</f>
        <v>2604910</v>
      </c>
      <c r="E1289" s="25"/>
      <c r="F128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89" s="161">
        <v>44867</v>
      </c>
      <c r="H1289" s="26" t="s">
        <v>10</v>
      </c>
      <c r="I1289" s="161">
        <v>44811</v>
      </c>
      <c r="J1289" s="35" t="s">
        <v>1743</v>
      </c>
      <c r="K1289" s="21">
        <v>1185000</v>
      </c>
      <c r="L1289" s="21"/>
      <c r="M1289" s="22">
        <f>(PROVEEDORES[[#This Row],[SUBTOTAL]]-PROVEEDORES[[#This Row],[descuento sobre subtotal]])*VLOOKUP(PROVEEDORES[[#This Row],[PROVEEDOR]],TERCEROS_INFO[#All],3,FALSE)</f>
        <v>225150</v>
      </c>
      <c r="N1289" s="23"/>
      <c r="O1289" s="22">
        <f>+PROVEEDORES[[#This Row],[Descuento sobre subtotal %]]*(PROVEEDORES[[#This Row],[SUBTOTAL]]-PROVEEDORES[[#This Row],[descuento sobre subtotal]])</f>
        <v>0</v>
      </c>
      <c r="P1289" s="83">
        <f>+IF(PROVEEDORES[[#This Row],[SUBTOTAL]]&lt;PROVEEDORES[[#This Row],[base retencion]],0,PROVEEDORES[[#This Row],[retención aplicada]])</f>
        <v>0</v>
      </c>
      <c r="Q1289" s="22">
        <f>+PROVEEDORES[[#This Row],[Rete Fuente %]]*(PROVEEDORES[[#This Row],[SUBTOTAL]]-PROVEEDORES[[#This Row],[descuento sobre subtotal]])</f>
        <v>0</v>
      </c>
      <c r="R1289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1289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9" s="68">
        <f ca="1">IF(PROVEEDORES[[#This Row],[FECHA DE PAGO]]=0,TODAY()-PROVEEDORES[[#This Row],[FECHA DE FACTURACIÓN]]-PROVEEDORES[[#This Row],[PLAZO Días]],0)</f>
        <v>0</v>
      </c>
      <c r="U1289" s="113">
        <f>+VLOOKUP(PROVEEDORES[[#This Row],[PROVEEDOR]],Terceros!$A:$D,4,FALSE)</f>
        <v>0</v>
      </c>
      <c r="V1289" s="114">
        <f>+YEAR(PROVEEDORES[[#This Row],[FECHA DE FACTURACIÓN]])</f>
        <v>2022</v>
      </c>
      <c r="W1289" s="114">
        <f>+MATCH(PROVEEDORES[[#This Row],[año facturado]],Retenciones!$1:$1,0)</f>
        <v>5</v>
      </c>
      <c r="X1289" s="115">
        <f>+VLOOKUP(PROVEEDORES[[#This Row],[ID RETENCION]],Retenciones!$A$1:$O$25,PROVEEDORES[[#This Row],[indicador de columna]],FALSE)</f>
        <v>0</v>
      </c>
      <c r="Y1289" s="116">
        <f>+VLOOKUP(PROVEEDORES[[#This Row],[ID RETENCION]],Retenciones!$A$1:$O$25,2,FALSE)</f>
        <v>0</v>
      </c>
      <c r="Z1289" s="125" t="b">
        <f>OR(COUNTIF(PROVEEDORES[[#This Row],[PROVEEDOR]],"*"&amp;'Palabra no opera'!$A$2&amp;"*"))</f>
        <v>0</v>
      </c>
      <c r="AA1289" s="24"/>
      <c r="AB1289" s="24"/>
      <c r="AC1289" s="24"/>
      <c r="AD1289" s="24"/>
      <c r="AE1289" s="24"/>
    </row>
    <row r="1290" spans="1:31" ht="22.2" customHeight="1" x14ac:dyDescent="0.3">
      <c r="A1290" s="66" t="str">
        <f>+IF(PROVEEDORES[[#This Row],[FECHA DE PAGO]]=PROVEEDORES[[#This Row],[FECHA DE FACTURACIÓN]],"DE CONTADO","CRÉDITO")</f>
        <v>CRÉDITO</v>
      </c>
      <c r="B1290" s="38" t="b">
        <f>+IF((PROVEEDORES[[#This Row],[FECHA DE PAGO]]-PROVEEDORES[[#This Row],[FECHA DE FACTURACIÓN]])&gt;PROVEEDORES[[#This Row],[PLAZO Días]],"PAGO VENCIDO")</f>
        <v>0</v>
      </c>
      <c r="C1290" s="20">
        <f>+VLOOKUP(PROVEEDORES[[#This Row],[PROVEEDOR]],TERCEROS_INFO[#All],2,FALSE)</f>
        <v>30</v>
      </c>
      <c r="D1290" s="25">
        <f>+SUMIFS(PROVEEDORES[Total],PROVEEDORES[PROVEEDOR],PROVEEDORES[[#This Row],[PROVEEDOR]],PROVEEDORES[FECHA DE PAGO],"")</f>
        <v>0</v>
      </c>
      <c r="E1290" s="25"/>
      <c r="F1290" s="58" t="str">
        <f>+VLOOKUP(PROVEEDORES[[#This Row],[PROVEEDOR]],
                       Terceros!$A:$F,
                       5,
                       FALSE)</f>
        <v/>
      </c>
      <c r="G1290" s="161">
        <v>44568</v>
      </c>
      <c r="H1290" s="26" t="s">
        <v>680</v>
      </c>
      <c r="I1290" s="161">
        <v>44566</v>
      </c>
      <c r="J1290" s="35"/>
      <c r="K1290" s="21">
        <v>1411500</v>
      </c>
      <c r="L1290" s="21"/>
      <c r="M1290" s="22">
        <v>0</v>
      </c>
      <c r="N1290" s="23"/>
      <c r="O1290" s="22">
        <v>0</v>
      </c>
      <c r="P1290" s="83">
        <f>+IF(PROVEEDORES[[#This Row],[SUBTOTAL]]&lt;PROVEEDORES[[#This Row],[base retencion]],0,PROVEEDORES[[#This Row],[retención aplicada]])</f>
        <v>0</v>
      </c>
      <c r="Q1290" s="22">
        <f>+PROVEEDORES[[#This Row],[Rete Fuente %]]*(PROVEEDORES[[#This Row],[SUBTOTAL]]-PROVEEDORES[[#This Row],[descuento sobre subtotal]])</f>
        <v>0</v>
      </c>
      <c r="R1290" s="21">
        <v>1411500</v>
      </c>
      <c r="S12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0" s="68">
        <f ca="1">IF(PROVEEDORES[[#This Row],[FECHA DE PAGO]]=0,TODAY()-PROVEEDORES[[#This Row],[FECHA DE FACTURACIÓN]]-PROVEEDORES[[#This Row],[PLAZO Días]],0)</f>
        <v>0</v>
      </c>
      <c r="U1290" s="96">
        <f>+VLOOKUP(PROVEEDORES[[#This Row],[PROVEEDOR]],Terceros!$A:$D,4,FALSE)</f>
        <v>0</v>
      </c>
      <c r="V1290" s="97">
        <f>+YEAR(PROVEEDORES[[#This Row],[FECHA DE FACTURACIÓN]])</f>
        <v>2022</v>
      </c>
      <c r="W1290" s="97">
        <f>+MATCH(PROVEEDORES[[#This Row],[año facturado]],Retenciones!$1:$1,0)</f>
        <v>5</v>
      </c>
      <c r="X1290" s="98">
        <f>+VLOOKUP(PROVEEDORES[[#This Row],[ID RETENCION]],Retenciones!$A$1:$O$25,PROVEEDORES[[#This Row],[indicador de columna]],FALSE)</f>
        <v>0</v>
      </c>
      <c r="Y1290" s="99">
        <f>+VLOOKUP(PROVEEDORES[[#This Row],[ID RETENCION]],Retenciones!$A$1:$O$25,2,FALSE)</f>
        <v>0</v>
      </c>
      <c r="Z1290" s="125" t="b">
        <f>OR(COUNTIF(PROVEEDORES[[#This Row],[PROVEEDOR]],"*"&amp;'Palabra no opera'!$A$2&amp;"*"))</f>
        <v>0</v>
      </c>
      <c r="AA1290" s="24"/>
      <c r="AB1290" s="24"/>
      <c r="AC1290" s="24"/>
      <c r="AD1290" s="24"/>
      <c r="AE1290" s="24"/>
    </row>
    <row r="1291" spans="1:31" ht="22.2" customHeight="1" x14ac:dyDescent="0.3">
      <c r="A1291" s="66" t="str">
        <f>+IF(PROVEEDORES[[#This Row],[FECHA DE PAGO]]=PROVEEDORES[[#This Row],[FECHA DE FACTURACIÓN]],"DE CONTADO","CRÉDITO")</f>
        <v>CRÉDITO</v>
      </c>
      <c r="B1291" s="38" t="str">
        <f>+IF((PROVEEDORES[[#This Row],[FECHA DE PAGO]]-PROVEEDORES[[#This Row],[FECHA DE FACTURACIÓN]])&gt;PROVEEDORES[[#This Row],[PLAZO Días]],"PAGO VENCIDO")</f>
        <v>PAGO VENCIDO</v>
      </c>
      <c r="C1291" s="20">
        <f>+VLOOKUP(PROVEEDORES[[#This Row],[PROVEEDOR]],TERCEROS_INFO[#All],2,FALSE)</f>
        <v>30</v>
      </c>
      <c r="D1291" s="25">
        <f>+SUMIFS(PROVEEDORES[Total],PROVEEDORES[PROVEEDOR],PROVEEDORES[[#This Row],[PROVEEDOR]],PROVEEDORES[FECHA DE PAGO],"")</f>
        <v>0</v>
      </c>
      <c r="E1291" s="25"/>
      <c r="F1291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291" s="161">
        <v>44620</v>
      </c>
      <c r="H1291" s="26" t="s">
        <v>633</v>
      </c>
      <c r="I1291" s="161">
        <v>44587</v>
      </c>
      <c r="J1291" s="35" t="s">
        <v>1564</v>
      </c>
      <c r="K1291" s="21">
        <v>1412800</v>
      </c>
      <c r="L1291" s="21"/>
      <c r="M1291" s="22">
        <f>(PROVEEDORES[[#This Row],[SUBTOTAL]]-PROVEEDORES[[#This Row],[descuento sobre subtotal]])*VLOOKUP(PROVEEDORES[[#This Row],[PROVEEDOR]],TERCEROS_INFO[#All],3,FALSE)</f>
        <v>0</v>
      </c>
      <c r="N1291" s="23"/>
      <c r="O1291" s="22">
        <f>+PROVEEDORES[[#This Row],[Descuento sobre subtotal %]]*(PROVEEDORES[[#This Row],[SUBTOTAL]]-PROVEEDORES[[#This Row],[descuento sobre subtotal]])</f>
        <v>0</v>
      </c>
      <c r="P1291" s="83">
        <f>+IF(PROVEEDORES[[#This Row],[SUBTOTAL]]&lt;PROVEEDORES[[#This Row],[base retencion]],0,PROVEEDORES[[#This Row],[retención aplicada]])</f>
        <v>0</v>
      </c>
      <c r="Q1291" s="22">
        <f>+PROVEEDORES[[#This Row],[Rete Fuente %]]*(PROVEEDORES[[#This Row],[SUBTOTAL]]-PROVEEDORES[[#This Row],[descuento sobre subtotal]])</f>
        <v>0</v>
      </c>
      <c r="R1291" s="21">
        <v>1412800</v>
      </c>
      <c r="S12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1" s="68">
        <f ca="1">IF(PROVEEDORES[[#This Row],[FECHA DE PAGO]]=0,TODAY()-PROVEEDORES[[#This Row],[FECHA DE FACTURACIÓN]]-PROVEEDORES[[#This Row],[PLAZO Días]],0)</f>
        <v>0</v>
      </c>
      <c r="U1291" s="96">
        <f>+VLOOKUP(PROVEEDORES[[#This Row],[PROVEEDOR]],Terceros!$A:$D,4,FALSE)</f>
        <v>0</v>
      </c>
      <c r="V1291" s="97">
        <f>+YEAR(PROVEEDORES[[#This Row],[FECHA DE FACTURACIÓN]])</f>
        <v>2022</v>
      </c>
      <c r="W1291" s="97">
        <f>+MATCH(PROVEEDORES[[#This Row],[año facturado]],Retenciones!$1:$1,0)</f>
        <v>5</v>
      </c>
      <c r="X1291" s="98">
        <f>+VLOOKUP(PROVEEDORES[[#This Row],[ID RETENCION]],Retenciones!$A$1:$O$25,PROVEEDORES[[#This Row],[indicador de columna]],FALSE)</f>
        <v>0</v>
      </c>
      <c r="Y1291" s="99">
        <f>+VLOOKUP(PROVEEDORES[[#This Row],[ID RETENCION]],Retenciones!$A$1:$O$25,2,FALSE)</f>
        <v>0</v>
      </c>
      <c r="Z1291" s="125" t="b">
        <f>OR(COUNTIF(PROVEEDORES[[#This Row],[PROVEEDOR]],"*"&amp;'Palabra no opera'!$A$2&amp;"*"))</f>
        <v>0</v>
      </c>
      <c r="AA1291" s="24"/>
      <c r="AB1291" s="24"/>
      <c r="AC1291" s="24"/>
      <c r="AD1291" s="24"/>
      <c r="AE1291" s="24"/>
    </row>
    <row r="1292" spans="1:31" ht="22.2" customHeight="1" x14ac:dyDescent="0.3">
      <c r="A1292" s="159" t="str">
        <f>+IF(PROVEEDORES[[#This Row],[FECHA DE PAGO]]=PROVEEDORES[[#This Row],[FECHA DE FACTURACIÓN]],"DE CONTADO","CRÉDITO")</f>
        <v>CRÉDITO</v>
      </c>
      <c r="B1292" s="38" t="str">
        <f>+IF((PROVEEDORES[[#This Row],[FECHA DE PAGO]]-PROVEEDORES[[#This Row],[FECHA DE FACTURACIÓN]])&gt;PROVEEDORES[[#This Row],[PLAZO Días]],"PAGO VENCIDO")</f>
        <v>PAGO VENCIDO</v>
      </c>
      <c r="C1292" s="20">
        <f>+VLOOKUP(PROVEEDORES[[#This Row],[PROVEEDOR]],TERCEROS_INFO[#All],2,FALSE)</f>
        <v>30</v>
      </c>
      <c r="D1292" s="25">
        <f>+SUMIFS(PROVEEDORES[Total],PROVEEDORES[PROVEEDOR],PROVEEDORES[[#This Row],[PROVEEDOR]],PROVEEDORES[FECHA DE PAGO],"")</f>
        <v>23124164.219999999</v>
      </c>
      <c r="E1292" s="25"/>
      <c r="F129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92" s="161">
        <v>44776</v>
      </c>
      <c r="H1292" s="26" t="s">
        <v>18</v>
      </c>
      <c r="I1292" s="161">
        <v>44740</v>
      </c>
      <c r="J1292" s="35">
        <v>1055541</v>
      </c>
      <c r="K1292" s="21">
        <v>1213324</v>
      </c>
      <c r="L1292" s="21"/>
      <c r="M1292" s="22">
        <f>(PROVEEDORES[[#This Row],[SUBTOTAL]]-PROVEEDORES[[#This Row],[descuento sobre subtotal]])*VLOOKUP(PROVEEDORES[[#This Row],[PROVEEDOR]],TERCEROS_INFO[#All],3,FALSE)</f>
        <v>230531.56</v>
      </c>
      <c r="N1292" s="23"/>
      <c r="O1292" s="22">
        <f>+PROVEEDORES[[#This Row],[Descuento sobre subtotal %]]*(PROVEEDORES[[#This Row],[SUBTOTAL]]-PROVEEDORES[[#This Row],[descuento sobre subtotal]])</f>
        <v>0</v>
      </c>
      <c r="P1292" s="83">
        <f>+IF(PROVEEDORES[[#This Row],[SUBTOTAL]]&lt;PROVEEDORES[[#This Row],[base retencion]],0,PROVEEDORES[[#This Row],[retención aplicada]])</f>
        <v>2.5000000000000001E-2</v>
      </c>
      <c r="Q1292" s="22">
        <f>+PROVEEDORES[[#This Row],[Rete Fuente %]]*(PROVEEDORES[[#This Row],[SUBTOTAL]]-PROVEEDORES[[#This Row],[descuento sobre subtotal]])</f>
        <v>30333.100000000002</v>
      </c>
      <c r="R1292" s="21">
        <f>+PROVEEDORES[[#This Row],[SUBTOTAL]]+PROVEEDORES[[#This Row],[IVA 19%]]-PROVEEDORES[[#This Row],[descuento sobre subtotal]]-PROVEEDORES[[#This Row],[Descuento sobre subtotal $2]]-PROVEEDORES[[#This Row],[Rete Fuente $]]</f>
        <v>1413522.46</v>
      </c>
      <c r="S1292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2" s="68">
        <f ca="1">IF(PROVEEDORES[[#This Row],[FECHA DE PAGO]]=0,TODAY()-PROVEEDORES[[#This Row],[FECHA DE FACTURACIÓN]]-PROVEEDORES[[#This Row],[PLAZO Días]],0)</f>
        <v>0</v>
      </c>
      <c r="U1292" s="113" t="str">
        <f>+VLOOKUP(PROVEEDORES[[#This Row],[PROVEEDOR]],Terceros!$A:$D,4,FALSE)</f>
        <v>2,5% con base</v>
      </c>
      <c r="V1292" s="114">
        <f>+YEAR(PROVEEDORES[[#This Row],[FECHA DE FACTURACIÓN]])</f>
        <v>2022</v>
      </c>
      <c r="W1292" s="114">
        <f>+MATCH(PROVEEDORES[[#This Row],[año facturado]],Retenciones!$1:$1,0)</f>
        <v>5</v>
      </c>
      <c r="X1292" s="115">
        <f>+VLOOKUP(PROVEEDORES[[#This Row],[ID RETENCION]],Retenciones!$A$1:$O$25,PROVEEDORES[[#This Row],[indicador de columna]],FALSE)</f>
        <v>1026000</v>
      </c>
      <c r="Y1292" s="116">
        <f>+VLOOKUP(PROVEEDORES[[#This Row],[ID RETENCION]],Retenciones!$A$1:$O$25,2,FALSE)</f>
        <v>2.5000000000000001E-2</v>
      </c>
      <c r="Z1292" s="125" t="b">
        <f>OR(COUNTIF(PROVEEDORES[[#This Row],[PROVEEDOR]],"*"&amp;'Palabra no opera'!$A$2&amp;"*"))</f>
        <v>0</v>
      </c>
      <c r="AA1292" s="24"/>
      <c r="AB1292" s="24"/>
      <c r="AC1292" s="24"/>
      <c r="AD1292" s="24"/>
      <c r="AE1292" s="24"/>
    </row>
    <row r="1293" spans="1:31" ht="22.2" customHeight="1" x14ac:dyDescent="0.3">
      <c r="A1293" s="66" t="str">
        <f>+IF(PROVEEDORES[[#This Row],[FECHA DE PAGO]]=PROVEEDORES[[#This Row],[FECHA DE FACTURACIÓN]],"DE CONTADO","CRÉDITO")</f>
        <v>CRÉDITO</v>
      </c>
      <c r="B1293" s="38" t="str">
        <f>+IF((PROVEEDORES[[#This Row],[FECHA DE PAGO]]-PROVEEDORES[[#This Row],[FECHA DE FACTURACIÓN]])&gt;PROVEEDORES[[#This Row],[PLAZO Días]],"PAGO VENCIDO")</f>
        <v>PAGO VENCIDO</v>
      </c>
      <c r="C1293" s="20">
        <f>+VLOOKUP(PROVEEDORES[[#This Row],[PROVEEDOR]],TERCEROS_INFO[#All],2,FALSE)</f>
        <v>30</v>
      </c>
      <c r="D1293" s="25">
        <f>+SUMIFS(PROVEEDORES[Total],PROVEEDORES[PROVEEDOR],PROVEEDORES[[#This Row],[PROVEEDOR]],PROVEEDORES[FECHA DE PAGO],"")</f>
        <v>4712021.58</v>
      </c>
      <c r="E1293" s="25"/>
      <c r="F129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93" s="161">
        <v>44642</v>
      </c>
      <c r="H1293" s="26" t="s">
        <v>17</v>
      </c>
      <c r="I1293" s="161">
        <v>44610</v>
      </c>
      <c r="J1293" s="35">
        <v>1878591</v>
      </c>
      <c r="K1293" s="21">
        <v>1415605.8</v>
      </c>
      <c r="L1293" s="21"/>
      <c r="M1293" s="22">
        <f>(PROVEEDORES[[#This Row],[SUBTOTAL]]-PROVEEDORES[[#This Row],[descuento sobre subtotal]])*VLOOKUP(PROVEEDORES[[#This Row],[PROVEEDOR]],TERCEROS_INFO[#All],3,FALSE)</f>
        <v>268965.10200000001</v>
      </c>
      <c r="N1293" s="23"/>
      <c r="O1293" s="22">
        <f>+PROVEEDORES[[#This Row],[Descuento sobre subtotal %]]*(PROVEEDORES[[#This Row],[SUBTOTAL]]-PROVEEDORES[[#This Row],[descuento sobre subtotal]])</f>
        <v>0</v>
      </c>
      <c r="P1293" s="83">
        <f>+IF(PROVEEDORES[[#This Row],[SUBTOTAL]]&lt;PROVEEDORES[[#This Row],[base retencion]],0,PROVEEDORES[[#This Row],[retención aplicada]])</f>
        <v>0</v>
      </c>
      <c r="Q1293" s="22">
        <f>+PROVEEDORES[[#This Row],[Rete Fuente %]]*(PROVEEDORES[[#This Row],[SUBTOTAL]]-PROVEEDORES[[#This Row],[descuento sobre subtotal]])</f>
        <v>0</v>
      </c>
      <c r="R1293" s="21">
        <v>1415605.8</v>
      </c>
      <c r="S12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3" s="68">
        <f ca="1">IF(PROVEEDORES[[#This Row],[FECHA DE PAGO]]=0,TODAY()-PROVEEDORES[[#This Row],[FECHA DE FACTURACIÓN]]-PROVEEDORES[[#This Row],[PLAZO Días]],0)</f>
        <v>0</v>
      </c>
      <c r="U1293" s="96">
        <f>+VLOOKUP(PROVEEDORES[[#This Row],[PROVEEDOR]],Terceros!$A:$D,4,FALSE)</f>
        <v>0</v>
      </c>
      <c r="V1293" s="97">
        <f>+YEAR(PROVEEDORES[[#This Row],[FECHA DE FACTURACIÓN]])</f>
        <v>2022</v>
      </c>
      <c r="W1293" s="97">
        <f>+MATCH(PROVEEDORES[[#This Row],[año facturado]],Retenciones!$1:$1,0)</f>
        <v>5</v>
      </c>
      <c r="X1293" s="98">
        <f>+VLOOKUP(PROVEEDORES[[#This Row],[ID RETENCION]],Retenciones!$A$1:$O$25,PROVEEDORES[[#This Row],[indicador de columna]],FALSE)</f>
        <v>0</v>
      </c>
      <c r="Y1293" s="99">
        <f>+VLOOKUP(PROVEEDORES[[#This Row],[ID RETENCION]],Retenciones!$A$1:$O$25,2,FALSE)</f>
        <v>0</v>
      </c>
      <c r="Z1293" s="125" t="b">
        <f>OR(COUNTIF(PROVEEDORES[[#This Row],[PROVEEDOR]],"*"&amp;'Palabra no opera'!$A$2&amp;"*"))</f>
        <v>0</v>
      </c>
      <c r="AA1293" s="24"/>
      <c r="AB1293" s="24"/>
      <c r="AC1293" s="24"/>
      <c r="AD1293" s="24"/>
      <c r="AE1293" s="24"/>
    </row>
    <row r="1294" spans="1:31" ht="22.2" customHeight="1" x14ac:dyDescent="0.3">
      <c r="A1294" s="159" t="str">
        <f>+IF(PROVEEDORES[[#This Row],[FECHA DE PAGO]]=PROVEEDORES[[#This Row],[FECHA DE FACTURACIÓN]],"DE CONTADO","CRÉDITO")</f>
        <v>CRÉDITO</v>
      </c>
      <c r="B1294" s="38" t="str">
        <f>+IF((PROVEEDORES[[#This Row],[FECHA DE PAGO]]-PROVEEDORES[[#This Row],[FECHA DE FACTURACIÓN]])&gt;PROVEEDORES[[#This Row],[PLAZO Días]],"PAGO VENCIDO")</f>
        <v>PAGO VENCIDO</v>
      </c>
      <c r="C1294" s="20">
        <f>+VLOOKUP(PROVEEDORES[[#This Row],[PROVEEDOR]],TERCEROS_INFO[#All],2,FALSE)</f>
        <v>30</v>
      </c>
      <c r="D1294" s="25">
        <f>+SUMIFS(PROVEEDORES[Total],PROVEEDORES[PROVEEDOR],PROVEEDORES[[#This Row],[PROVEEDOR]],PROVEEDORES[FECHA DE PAGO],"")</f>
        <v>4712021.58</v>
      </c>
      <c r="E1294" s="25"/>
      <c r="F129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94" s="161">
        <v>44754</v>
      </c>
      <c r="H1294" s="26" t="s">
        <v>17</v>
      </c>
      <c r="I1294" s="161">
        <v>44720</v>
      </c>
      <c r="J1294" s="35">
        <v>1923991</v>
      </c>
      <c r="K1294" s="21">
        <v>1190000</v>
      </c>
      <c r="L1294" s="21"/>
      <c r="M1294" s="22">
        <f>(PROVEEDORES[[#This Row],[SUBTOTAL]]-PROVEEDORES[[#This Row],[descuento sobre subtotal]])*VLOOKUP(PROVEEDORES[[#This Row],[PROVEEDOR]],TERCEROS_INFO[#All],3,FALSE)</f>
        <v>226100</v>
      </c>
      <c r="N1294" s="23"/>
      <c r="O1294" s="22">
        <f>+PROVEEDORES[[#This Row],[Descuento sobre subtotal %]]*(PROVEEDORES[[#This Row],[SUBTOTAL]]-PROVEEDORES[[#This Row],[descuento sobre subtotal]])</f>
        <v>0</v>
      </c>
      <c r="P1294" s="83">
        <f>+IF(PROVEEDORES[[#This Row],[SUBTOTAL]]&lt;PROVEEDORES[[#This Row],[base retencion]],0,PROVEEDORES[[#This Row],[retención aplicada]])</f>
        <v>0</v>
      </c>
      <c r="Q1294" s="22">
        <f>+PROVEEDORES[[#This Row],[Rete Fuente %]]*(PROVEEDORES[[#This Row],[SUBTOTAL]]-PROVEEDORES[[#This Row],[descuento sobre subtotal]])</f>
        <v>0</v>
      </c>
      <c r="R1294" s="21">
        <f>+PROVEEDORES[[#This Row],[SUBTOTAL]]+PROVEEDORES[[#This Row],[IVA 19%]]-PROVEEDORES[[#This Row],[descuento sobre subtotal]]-PROVEEDORES[[#This Row],[Descuento sobre subtotal $2]]-PROVEEDORES[[#This Row],[Rete Fuente $]]</f>
        <v>1416100</v>
      </c>
      <c r="S129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4" s="68">
        <f ca="1">IF(PROVEEDORES[[#This Row],[FECHA DE PAGO]]=0,TODAY()-PROVEEDORES[[#This Row],[FECHA DE FACTURACIÓN]]-PROVEEDORES[[#This Row],[PLAZO Días]],0)</f>
        <v>0</v>
      </c>
      <c r="U1294" s="113">
        <f>+VLOOKUP(PROVEEDORES[[#This Row],[PROVEEDOR]],Terceros!$A:$D,4,FALSE)</f>
        <v>0</v>
      </c>
      <c r="V1294" s="114">
        <f>+YEAR(PROVEEDORES[[#This Row],[FECHA DE FACTURACIÓN]])</f>
        <v>2022</v>
      </c>
      <c r="W1294" s="114">
        <f>+MATCH(PROVEEDORES[[#This Row],[año facturado]],Retenciones!$1:$1,0)</f>
        <v>5</v>
      </c>
      <c r="X1294" s="115">
        <f>+VLOOKUP(PROVEEDORES[[#This Row],[ID RETENCION]],Retenciones!$A$1:$O$25,PROVEEDORES[[#This Row],[indicador de columna]],FALSE)</f>
        <v>0</v>
      </c>
      <c r="Y1294" s="116">
        <f>+VLOOKUP(PROVEEDORES[[#This Row],[ID RETENCION]],Retenciones!$A$1:$O$25,2,FALSE)</f>
        <v>0</v>
      </c>
      <c r="Z1294" s="125" t="b">
        <f>OR(COUNTIF(PROVEEDORES[[#This Row],[PROVEEDOR]],"*"&amp;'Palabra no opera'!$A$2&amp;"*"))</f>
        <v>0</v>
      </c>
      <c r="AA1294" s="24"/>
      <c r="AB1294" s="24"/>
      <c r="AC1294" s="24"/>
      <c r="AD1294" s="24"/>
      <c r="AE1294" s="24"/>
    </row>
    <row r="1295" spans="1:31" ht="22.2" customHeight="1" x14ac:dyDescent="0.3">
      <c r="A1295" s="66" t="str">
        <f>+IF(PROVEEDORES[[#This Row],[FECHA DE PAGO]]=PROVEEDORES[[#This Row],[FECHA DE FACTURACIÓN]],"DE CONTADO","CRÉDITO")</f>
        <v>CRÉDITO</v>
      </c>
      <c r="B1295" s="38" t="str">
        <f>+IF((PROVEEDORES[[#This Row],[FECHA DE PAGO]]-PROVEEDORES[[#This Row],[FECHA DE FACTURACIÓN]])&gt;PROVEEDORES[[#This Row],[PLAZO Días]],"PAGO VENCIDO")</f>
        <v>PAGO VENCIDO</v>
      </c>
      <c r="C1295" s="20">
        <f>+VLOOKUP(PROVEEDORES[[#This Row],[PROVEEDOR]],TERCEROS_INFO[#All],2,FALSE)</f>
        <v>30</v>
      </c>
      <c r="D1295" s="25">
        <f>+SUMIFS(PROVEEDORES[Total],PROVEEDORES[PROVEEDOR],PROVEEDORES[[#This Row],[PROVEEDOR]],PROVEEDORES[FECHA DE PAGO],"")</f>
        <v>1354000</v>
      </c>
      <c r="E1295" s="25"/>
      <c r="F129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95" s="161">
        <v>44411</v>
      </c>
      <c r="H1295" s="26" t="s">
        <v>699</v>
      </c>
      <c r="I1295" s="161">
        <v>44362</v>
      </c>
      <c r="J1295" s="35" t="s">
        <v>1459</v>
      </c>
      <c r="K1295" s="21">
        <v>1418000</v>
      </c>
      <c r="L1295" s="21"/>
      <c r="M1295" s="22">
        <f>(PROVEEDORES[[#This Row],[SUBTOTAL]]-PROVEEDORES[[#This Row],[descuento sobre subtotal]])*VLOOKUP(PROVEEDORES[[#This Row],[PROVEEDOR]],TERCEROS_INFO[#All],3,FALSE)</f>
        <v>0</v>
      </c>
      <c r="N1295" s="23"/>
      <c r="O1295" s="22">
        <f>+PROVEEDORES[[#This Row],[Descuento sobre subtotal %]]*(PROVEEDORES[[#This Row],[SUBTOTAL]]-PROVEEDORES[[#This Row],[descuento sobre subtotal]])</f>
        <v>0</v>
      </c>
      <c r="P1295" s="83">
        <f>+IF(PROVEEDORES[[#This Row],[SUBTOTAL]]&lt;PROVEEDORES[[#This Row],[base retencion]],0,PROVEEDORES[[#This Row],[retención aplicada]])</f>
        <v>0</v>
      </c>
      <c r="Q1295" s="22">
        <f>+PROVEEDORES[[#This Row],[Rete Fuente %]]*(PROVEEDORES[[#This Row],[SUBTOTAL]]-PROVEEDORES[[#This Row],[descuento sobre subtotal]])</f>
        <v>0</v>
      </c>
      <c r="R1295" s="21">
        <f>+PROVEEDORES[[#This Row],[SUBTOTAL]]+PROVEEDORES[[#This Row],[IVA 19%]]-PROVEEDORES[[#This Row],[descuento sobre subtotal]]-PROVEEDORES[[#This Row],[Descuento sobre subtotal $2]]-PROVEEDORES[[#This Row],[Rete Fuente $]]</f>
        <v>1418000</v>
      </c>
      <c r="S12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5" s="68">
        <f ca="1">IF(PROVEEDORES[[#This Row],[FECHA DE PAGO]]=0,TODAY()-PROVEEDORES[[#This Row],[FECHA DE FACTURACIÓN]]-PROVEEDORES[[#This Row],[PLAZO Días]],0)</f>
        <v>0</v>
      </c>
      <c r="U1295" s="96">
        <f>+VLOOKUP(PROVEEDORES[[#This Row],[PROVEEDOR]],Terceros!$A:$D,4,FALSE)</f>
        <v>0</v>
      </c>
      <c r="V1295" s="97">
        <f>+YEAR(PROVEEDORES[[#This Row],[FECHA DE FACTURACIÓN]])</f>
        <v>2021</v>
      </c>
      <c r="W1295" s="97">
        <f>+MATCH(PROVEEDORES[[#This Row],[año facturado]],Retenciones!$1:$1,0)</f>
        <v>4</v>
      </c>
      <c r="X1295" s="98">
        <f>+VLOOKUP(PROVEEDORES[[#This Row],[ID RETENCION]],Retenciones!$A$1:$O$25,PROVEEDORES[[#This Row],[indicador de columna]],FALSE)</f>
        <v>0</v>
      </c>
      <c r="Y1295" s="99">
        <f>+VLOOKUP(PROVEEDORES[[#This Row],[ID RETENCION]],Retenciones!$A$1:$O$25,2,FALSE)</f>
        <v>0</v>
      </c>
      <c r="Z1295" s="125" t="b">
        <f>OR(COUNTIF(PROVEEDORES[[#This Row],[PROVEEDOR]],"*"&amp;'Palabra no opera'!$A$2&amp;"*"))</f>
        <v>0</v>
      </c>
      <c r="AA1295" s="24"/>
      <c r="AB1295" s="24"/>
      <c r="AC1295" s="24"/>
      <c r="AD1295" s="24"/>
      <c r="AE1295" s="24"/>
    </row>
    <row r="1296" spans="1:31" ht="22.2" customHeight="1" x14ac:dyDescent="0.3">
      <c r="A1296" s="66" t="str">
        <f>+IF(PROVEEDORES[[#This Row],[FECHA DE PAGO]]=PROVEEDORES[[#This Row],[FECHA DE FACTURACIÓN]],"DE CONTADO","CRÉDITO")</f>
        <v>CRÉDITO</v>
      </c>
      <c r="B1296" s="38" t="str">
        <f>+IF((PROVEEDORES[[#This Row],[FECHA DE PAGO]]-PROVEEDORES[[#This Row],[FECHA DE FACTURACIÓN]])&gt;PROVEEDORES[[#This Row],[PLAZO Días]],"PAGO VENCIDO")</f>
        <v>PAGO VENCIDO</v>
      </c>
      <c r="C1296" s="20">
        <f>+VLOOKUP(PROVEEDORES[[#This Row],[PROVEEDOR]],TERCEROS_INFO[#All],2,FALSE)</f>
        <v>45</v>
      </c>
      <c r="D1296" s="25">
        <f>+SUMIFS(PROVEEDORES[Total],PROVEEDORES[PROVEEDOR],PROVEEDORES[[#This Row],[PROVEEDOR]],PROVEEDORES[FECHA DE PAGO],"")</f>
        <v>2604910</v>
      </c>
      <c r="E1296" s="25"/>
      <c r="F129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96" s="161">
        <v>44342</v>
      </c>
      <c r="H1296" s="26" t="s">
        <v>10</v>
      </c>
      <c r="I1296" s="161">
        <v>44261</v>
      </c>
      <c r="J1296" s="35" t="s">
        <v>229</v>
      </c>
      <c r="K1296" s="21">
        <v>1200000</v>
      </c>
      <c r="L1296" s="21"/>
      <c r="M1296" s="22">
        <f>(PROVEEDORES[[#This Row],[SUBTOTAL]]-PROVEEDORES[[#This Row],[descuento sobre subtotal]])*VLOOKUP(PROVEEDORES[[#This Row],[PROVEEDOR]],TERCEROS_INFO[#All],3,FALSE)</f>
        <v>228000</v>
      </c>
      <c r="N1296" s="23"/>
      <c r="O1296" s="22">
        <f>+PROVEEDORES[[#This Row],[Descuento sobre subtotal %]]*(PROVEEDORES[[#This Row],[SUBTOTAL]]-PROVEEDORES[[#This Row],[descuento sobre subtotal]])</f>
        <v>0</v>
      </c>
      <c r="P1296" s="83">
        <f>+IF(PROVEEDORES[[#This Row],[SUBTOTAL]]&lt;PROVEEDORES[[#This Row],[base retencion]],0,PROVEEDORES[[#This Row],[retención aplicada]])</f>
        <v>0</v>
      </c>
      <c r="Q1296" s="22">
        <f>+PROVEEDORES[[#This Row],[Rete Fuente %]]*(PROVEEDORES[[#This Row],[SUBTOTAL]]-PROVEEDORES[[#This Row],[descuento sobre subtotal]])</f>
        <v>0</v>
      </c>
      <c r="R1296" s="21">
        <f>+PROVEEDORES[[#This Row],[SUBTOTAL]]+PROVEEDORES[[#This Row],[IVA 19%]]-PROVEEDORES[[#This Row],[descuento sobre subtotal]]-PROVEEDORES[[#This Row],[Descuento sobre subtotal $2]]-PROVEEDORES[[#This Row],[Rete Fuente $]]</f>
        <v>1428000</v>
      </c>
      <c r="S12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6" s="68">
        <f ca="1">IF(PROVEEDORES[[#This Row],[FECHA DE PAGO]]=0,TODAY()-PROVEEDORES[[#This Row],[FECHA DE FACTURACIÓN]]-PROVEEDORES[[#This Row],[PLAZO Días]],0)</f>
        <v>0</v>
      </c>
      <c r="U1296" s="96">
        <f>+VLOOKUP(PROVEEDORES[[#This Row],[PROVEEDOR]],Terceros!$A:$D,4,FALSE)</f>
        <v>0</v>
      </c>
      <c r="V1296" s="97">
        <f>+YEAR(PROVEEDORES[[#This Row],[FECHA DE FACTURACIÓN]])</f>
        <v>2021</v>
      </c>
      <c r="W1296" s="97">
        <f>+MATCH(PROVEEDORES[[#This Row],[año facturado]],Retenciones!$1:$1,0)</f>
        <v>4</v>
      </c>
      <c r="X1296" s="98">
        <f>+VLOOKUP(PROVEEDORES[[#This Row],[ID RETENCION]],Retenciones!$A$1:$O$25,PROVEEDORES[[#This Row],[indicador de columna]],FALSE)</f>
        <v>0</v>
      </c>
      <c r="Y1296" s="99">
        <f>+VLOOKUP(PROVEEDORES[[#This Row],[ID RETENCION]],Retenciones!$A$1:$O$25,2,FALSE)</f>
        <v>0</v>
      </c>
      <c r="Z1296" s="125" t="b">
        <f>OR(COUNTIF(PROVEEDORES[[#This Row],[PROVEEDOR]],"*"&amp;'Palabra no opera'!$A$2&amp;"*"))</f>
        <v>0</v>
      </c>
      <c r="AA1296" s="24"/>
      <c r="AB1296" s="24"/>
      <c r="AC1296" s="24"/>
      <c r="AD1296" s="24"/>
      <c r="AE1296" s="24"/>
    </row>
    <row r="1297" spans="1:31" ht="22.2" customHeight="1" x14ac:dyDescent="0.3">
      <c r="A1297" s="66" t="str">
        <f>+IF(PROVEEDORES[[#This Row],[FECHA DE PAGO]]=PROVEEDORES[[#This Row],[FECHA DE FACTURACIÓN]],"DE CONTADO","CRÉDITO")</f>
        <v>CRÉDITO</v>
      </c>
      <c r="B1297" s="38" t="str">
        <f>+IF((PROVEEDORES[[#This Row],[FECHA DE PAGO]]-PROVEEDORES[[#This Row],[FECHA DE FACTURACIÓN]])&gt;PROVEEDORES[[#This Row],[PLAZO Días]],"PAGO VENCIDO")</f>
        <v>PAGO VENCIDO</v>
      </c>
      <c r="C1297" s="20">
        <f>+VLOOKUP(PROVEEDORES[[#This Row],[PROVEEDOR]],TERCEROS_INFO[#All],2,FALSE)</f>
        <v>45</v>
      </c>
      <c r="D1297" s="25">
        <f>+SUMIFS(PROVEEDORES[Total],PROVEEDORES[PROVEEDOR],PROVEEDORES[[#This Row],[PROVEEDOR]],PROVEEDORES[FECHA DE PAGO],"")</f>
        <v>2604910</v>
      </c>
      <c r="E1297" s="25"/>
      <c r="F129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97" s="161">
        <v>44414</v>
      </c>
      <c r="H1297" s="26" t="s">
        <v>10</v>
      </c>
      <c r="I1297" s="161">
        <v>44350</v>
      </c>
      <c r="J1297" s="35" t="s">
        <v>340</v>
      </c>
      <c r="K1297" s="21">
        <v>1200000</v>
      </c>
      <c r="L1297" s="21"/>
      <c r="M1297" s="22">
        <f>(PROVEEDORES[[#This Row],[SUBTOTAL]]-PROVEEDORES[[#This Row],[descuento sobre subtotal]])*VLOOKUP(PROVEEDORES[[#This Row],[PROVEEDOR]],TERCEROS_INFO[#All],3,FALSE)</f>
        <v>228000</v>
      </c>
      <c r="N1297" s="23"/>
      <c r="O1297" s="22">
        <f>+PROVEEDORES[[#This Row],[Descuento sobre subtotal %]]*(PROVEEDORES[[#This Row],[SUBTOTAL]]-PROVEEDORES[[#This Row],[descuento sobre subtotal]])</f>
        <v>0</v>
      </c>
      <c r="P1297" s="83">
        <f>+IF(PROVEEDORES[[#This Row],[SUBTOTAL]]&lt;PROVEEDORES[[#This Row],[base retencion]],0,PROVEEDORES[[#This Row],[retención aplicada]])</f>
        <v>0</v>
      </c>
      <c r="Q1297" s="22">
        <f>+PROVEEDORES[[#This Row],[Rete Fuente %]]*(PROVEEDORES[[#This Row],[SUBTOTAL]]-PROVEEDORES[[#This Row],[descuento sobre subtotal]])</f>
        <v>0</v>
      </c>
      <c r="R1297" s="21">
        <f>+PROVEEDORES[[#This Row],[SUBTOTAL]]+PROVEEDORES[[#This Row],[IVA 19%]]-PROVEEDORES[[#This Row],[descuento sobre subtotal]]-PROVEEDORES[[#This Row],[Descuento sobre subtotal $2]]-PROVEEDORES[[#This Row],[Rete Fuente $]]</f>
        <v>1428000</v>
      </c>
      <c r="S12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7" s="68">
        <f ca="1">IF(PROVEEDORES[[#This Row],[FECHA DE PAGO]]=0,TODAY()-PROVEEDORES[[#This Row],[FECHA DE FACTURACIÓN]]-PROVEEDORES[[#This Row],[PLAZO Días]],0)</f>
        <v>0</v>
      </c>
      <c r="U1297" s="96">
        <f>+VLOOKUP(PROVEEDORES[[#This Row],[PROVEEDOR]],Terceros!$A:$D,4,FALSE)</f>
        <v>0</v>
      </c>
      <c r="V1297" s="97">
        <f>+YEAR(PROVEEDORES[[#This Row],[FECHA DE FACTURACIÓN]])</f>
        <v>2021</v>
      </c>
      <c r="W1297" s="97">
        <f>+MATCH(PROVEEDORES[[#This Row],[año facturado]],Retenciones!$1:$1,0)</f>
        <v>4</v>
      </c>
      <c r="X1297" s="98">
        <f>+VLOOKUP(PROVEEDORES[[#This Row],[ID RETENCION]],Retenciones!$A$1:$O$25,PROVEEDORES[[#This Row],[indicador de columna]],FALSE)</f>
        <v>0</v>
      </c>
      <c r="Y1297" s="99">
        <f>+VLOOKUP(PROVEEDORES[[#This Row],[ID RETENCION]],Retenciones!$A$1:$O$25,2,FALSE)</f>
        <v>0</v>
      </c>
      <c r="Z1297" s="125" t="b">
        <f>OR(COUNTIF(PROVEEDORES[[#This Row],[PROVEEDOR]],"*"&amp;'Palabra no opera'!$A$2&amp;"*"))</f>
        <v>0</v>
      </c>
      <c r="AA1297" s="24"/>
      <c r="AB1297" s="24"/>
      <c r="AC1297" s="24"/>
      <c r="AD1297" s="24"/>
      <c r="AE1297" s="24"/>
    </row>
    <row r="1298" spans="1:31" ht="22.2" customHeight="1" x14ac:dyDescent="0.3">
      <c r="A1298" s="66" t="str">
        <f>+IF(PROVEEDORES[[#This Row],[FECHA DE PAGO]]=PROVEEDORES[[#This Row],[FECHA DE FACTURACIÓN]],"DE CONTADO","CRÉDITO")</f>
        <v>CRÉDITO</v>
      </c>
      <c r="B1298" s="38" t="str">
        <f>+IF((PROVEEDORES[[#This Row],[FECHA DE PAGO]]-PROVEEDORES[[#This Row],[FECHA DE FACTURACIÓN]])&gt;PROVEEDORES[[#This Row],[PLAZO Días]],"PAGO VENCIDO")</f>
        <v>PAGO VENCIDO</v>
      </c>
      <c r="C1298" s="20">
        <f>+VLOOKUP(PROVEEDORES[[#This Row],[PROVEEDOR]],TERCEROS_INFO[#All],2,FALSE)</f>
        <v>45</v>
      </c>
      <c r="D1298" s="25">
        <f>+SUMIFS(PROVEEDORES[Total],PROVEEDORES[PROVEEDOR],PROVEEDORES[[#This Row],[PROVEEDOR]],PROVEEDORES[FECHA DE PAGO],"")</f>
        <v>2604910</v>
      </c>
      <c r="E1298" s="25"/>
      <c r="F12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98" s="161">
        <v>44656</v>
      </c>
      <c r="H1298" s="26" t="s">
        <v>10</v>
      </c>
      <c r="I1298" s="161">
        <v>44587</v>
      </c>
      <c r="J1298" s="35" t="s">
        <v>765</v>
      </c>
      <c r="K1298" s="21">
        <v>1200000</v>
      </c>
      <c r="L1298" s="21"/>
      <c r="M1298" s="22">
        <f>(PROVEEDORES[[#This Row],[SUBTOTAL]]-PROVEEDORES[[#This Row],[descuento sobre subtotal]])*VLOOKUP(PROVEEDORES[[#This Row],[PROVEEDOR]],TERCEROS_INFO[#All],3,FALSE)</f>
        <v>228000</v>
      </c>
      <c r="N1298" s="23"/>
      <c r="O1298" s="22">
        <f>+PROVEEDORES[[#This Row],[Descuento sobre subtotal %]]*(PROVEEDORES[[#This Row],[SUBTOTAL]]-PROVEEDORES[[#This Row],[descuento sobre subtotal]])</f>
        <v>0</v>
      </c>
      <c r="P1298" s="83">
        <f>+IF(PROVEEDORES[[#This Row],[SUBTOTAL]]&lt;PROVEEDORES[[#This Row],[base retencion]],0,PROVEEDORES[[#This Row],[retención aplicada]])</f>
        <v>0</v>
      </c>
      <c r="Q1298" s="22">
        <f>+PROVEEDORES[[#This Row],[Rete Fuente %]]*(PROVEEDORES[[#This Row],[SUBTOTAL]]-PROVEEDORES[[#This Row],[descuento sobre subtotal]])</f>
        <v>0</v>
      </c>
      <c r="R1298" s="21">
        <v>1428000</v>
      </c>
      <c r="S12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8" s="68">
        <f ca="1">IF(PROVEEDORES[[#This Row],[FECHA DE PAGO]]=0,TODAY()-PROVEEDORES[[#This Row],[FECHA DE FACTURACIÓN]]-PROVEEDORES[[#This Row],[PLAZO Días]],0)</f>
        <v>0</v>
      </c>
      <c r="U1298" s="96">
        <f>+VLOOKUP(PROVEEDORES[[#This Row],[PROVEEDOR]],Terceros!$A:$D,4,FALSE)</f>
        <v>0</v>
      </c>
      <c r="V1298" s="97">
        <f>+YEAR(PROVEEDORES[[#This Row],[FECHA DE FACTURACIÓN]])</f>
        <v>2022</v>
      </c>
      <c r="W1298" s="97">
        <f>+MATCH(PROVEEDORES[[#This Row],[año facturado]],Retenciones!$1:$1,0)</f>
        <v>5</v>
      </c>
      <c r="X1298" s="98">
        <f>+VLOOKUP(PROVEEDORES[[#This Row],[ID RETENCION]],Retenciones!$A$1:$O$25,PROVEEDORES[[#This Row],[indicador de columna]],FALSE)</f>
        <v>0</v>
      </c>
      <c r="Y1298" s="99">
        <f>+VLOOKUP(PROVEEDORES[[#This Row],[ID RETENCION]],Retenciones!$A$1:$O$25,2,FALSE)</f>
        <v>0</v>
      </c>
      <c r="Z1298" s="125" t="b">
        <f>OR(COUNTIF(PROVEEDORES[[#This Row],[PROVEEDOR]],"*"&amp;'Palabra no opera'!$A$2&amp;"*"))</f>
        <v>0</v>
      </c>
      <c r="AA1298" s="24"/>
      <c r="AB1298" s="24"/>
      <c r="AC1298" s="24"/>
      <c r="AD1298" s="24"/>
      <c r="AE1298" s="24"/>
    </row>
    <row r="1299" spans="1:31" ht="22.2" customHeight="1" x14ac:dyDescent="0.3">
      <c r="A1299" s="72" t="str">
        <f>+IF(PROVEEDORES[[#This Row],[FECHA DE PAGO]]=PROVEEDORES[[#This Row],[FECHA DE FACTURACIÓN]],"DE CONTADO","CRÉDITO")</f>
        <v>CRÉDITO</v>
      </c>
      <c r="B1299" s="38" t="str">
        <f>+IF((PROVEEDORES[[#This Row],[FECHA DE PAGO]]-PROVEEDORES[[#This Row],[FECHA DE FACTURACIÓN]])&gt;PROVEEDORES[[#This Row],[PLAZO Días]],"PAGO VENCIDO")</f>
        <v>PAGO VENCIDO</v>
      </c>
      <c r="C1299" s="20">
        <f>+VLOOKUP(PROVEEDORES[[#This Row],[PROVEEDOR]],TERCEROS_INFO[#All],2,FALSE)</f>
        <v>30</v>
      </c>
      <c r="D1299" s="25">
        <f>+SUMIFS(PROVEEDORES[Total],PROVEEDORES[PROVEEDOR],PROVEEDORES[[#This Row],[PROVEEDOR]],PROVEEDORES[FECHA DE PAGO],"")</f>
        <v>3430770</v>
      </c>
      <c r="E1299" s="25"/>
      <c r="F129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99" s="161">
        <v>44806</v>
      </c>
      <c r="H1299" s="26" t="s">
        <v>1448</v>
      </c>
      <c r="I1299" s="161">
        <v>44765</v>
      </c>
      <c r="J1299" s="35">
        <v>33651</v>
      </c>
      <c r="K1299" s="21">
        <v>1227600</v>
      </c>
      <c r="L1299" s="21"/>
      <c r="M1299" s="22">
        <f>(PROVEEDORES[[#This Row],[SUBTOTAL]]-PROVEEDORES[[#This Row],[descuento sobre subtotal]])*VLOOKUP(PROVEEDORES[[#This Row],[PROVEEDOR]],TERCEROS_INFO[#All],3,FALSE)</f>
        <v>233244</v>
      </c>
      <c r="N1299" s="23"/>
      <c r="O1299" s="22">
        <f>+PROVEEDORES[[#This Row],[Descuento sobre subtotal %]]*(PROVEEDORES[[#This Row],[SUBTOTAL]]-PROVEEDORES[[#This Row],[descuento sobre subtotal]])</f>
        <v>0</v>
      </c>
      <c r="P1299" s="83">
        <v>2.5000000000000001E-2</v>
      </c>
      <c r="Q1299" s="22">
        <f>+PROVEEDORES[[#This Row],[Rete Fuente %]]*(PROVEEDORES[[#This Row],[SUBTOTAL]]-PROVEEDORES[[#This Row],[descuento sobre subtotal]])</f>
        <v>30690</v>
      </c>
      <c r="R1299" s="21">
        <f>+PROVEEDORES[[#This Row],[SUBTOTAL]]+PROVEEDORES[[#This Row],[IVA 19%]]-PROVEEDORES[[#This Row],[descuento sobre subtotal]]-PROVEEDORES[[#This Row],[Descuento sobre subtotal $2]]-PROVEEDORES[[#This Row],[Rete Fuente $]]</f>
        <v>1430154</v>
      </c>
      <c r="S129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9" s="68">
        <f ca="1">IF(PROVEEDORES[[#This Row],[FECHA DE PAGO]]=0,TODAY()-PROVEEDORES[[#This Row],[FECHA DE FACTURACIÓN]]-PROVEEDORES[[#This Row],[PLAZO Días]],0)</f>
        <v>0</v>
      </c>
      <c r="U1299" s="113">
        <f>+VLOOKUP(PROVEEDORES[[#This Row],[PROVEEDOR]],Terceros!$A:$D,4,FALSE)</f>
        <v>0</v>
      </c>
      <c r="V1299" s="114">
        <f>+YEAR(PROVEEDORES[[#This Row],[FECHA DE FACTURACIÓN]])</f>
        <v>2022</v>
      </c>
      <c r="W1299" s="114">
        <f>+MATCH(PROVEEDORES[[#This Row],[año facturado]],Retenciones!$1:$1,0)</f>
        <v>5</v>
      </c>
      <c r="X1299" s="115">
        <f>+VLOOKUP(PROVEEDORES[[#This Row],[ID RETENCION]],Retenciones!$A$1:$O$25,PROVEEDORES[[#This Row],[indicador de columna]],FALSE)</f>
        <v>0</v>
      </c>
      <c r="Y1299" s="116">
        <f>+VLOOKUP(PROVEEDORES[[#This Row],[ID RETENCION]],Retenciones!$A$1:$O$25,2,FALSE)</f>
        <v>0</v>
      </c>
      <c r="Z1299" s="125" t="b">
        <f>OR(COUNTIF(PROVEEDORES[[#This Row],[PROVEEDOR]],"*"&amp;'Palabra no opera'!$A$2&amp;"*"))</f>
        <v>0</v>
      </c>
      <c r="AA1299" s="24"/>
      <c r="AB1299" s="24"/>
      <c r="AC1299" s="24"/>
      <c r="AD1299" s="24"/>
      <c r="AE1299" s="24"/>
    </row>
    <row r="1300" spans="1:31" ht="22.2" customHeight="1" x14ac:dyDescent="0.3">
      <c r="A1300" s="135" t="str">
        <f>+IF(PROVEEDORES[[#This Row],[FECHA DE PAGO]]=PROVEEDORES[[#This Row],[FECHA DE FACTURACIÓN]],"DE CONTADO","CRÉDITO")</f>
        <v>CRÉDITO</v>
      </c>
      <c r="B1300" s="38" t="str">
        <f>+IF((PROVEEDORES[[#This Row],[FECHA DE PAGO]]-PROVEEDORES[[#This Row],[FECHA DE FACTURACIÓN]])&gt;PROVEEDORES[[#This Row],[PLAZO Días]],"PAGO VENCIDO")</f>
        <v>PAGO VENCIDO</v>
      </c>
      <c r="C1300" s="20">
        <f>+VLOOKUP(PROVEEDORES[[#This Row],[PROVEEDOR]],TERCEROS_INFO[#All],2,FALSE)</f>
        <v>30</v>
      </c>
      <c r="D1300" s="25">
        <f>+SUMIFS(PROVEEDORES[Total],PROVEEDORES[PROVEEDOR],PROVEEDORES[[#This Row],[PROVEEDOR]],PROVEEDORES[FECHA DE PAGO],"")</f>
        <v>23124164.219999999</v>
      </c>
      <c r="E1300" s="25"/>
      <c r="F130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00" s="161">
        <v>44725</v>
      </c>
      <c r="H1300" s="26" t="s">
        <v>18</v>
      </c>
      <c r="I1300" s="161">
        <v>44691</v>
      </c>
      <c r="J1300" s="35">
        <v>1053351</v>
      </c>
      <c r="K1300" s="21">
        <v>1234232.6399999999</v>
      </c>
      <c r="L1300" s="21"/>
      <c r="M1300" s="22">
        <f>(PROVEEDORES[[#This Row],[SUBTOTAL]]-PROVEEDORES[[#This Row],[descuento sobre subtotal]])*VLOOKUP(PROVEEDORES[[#This Row],[PROVEEDOR]],TERCEROS_INFO[#All],3,FALSE)</f>
        <v>234504.20159999997</v>
      </c>
      <c r="N1300" s="23"/>
      <c r="O1300" s="22">
        <f>+PROVEEDORES[[#This Row],[Descuento sobre subtotal %]]*(PROVEEDORES[[#This Row],[SUBTOTAL]]-PROVEEDORES[[#This Row],[descuento sobre subtotal]])</f>
        <v>0</v>
      </c>
      <c r="P1300" s="83">
        <f>+IF(PROVEEDORES[[#This Row],[SUBTOTAL]]&lt;PROVEEDORES[[#This Row],[base retencion]],0,PROVEEDORES[[#This Row],[retención aplicada]])</f>
        <v>2.5000000000000001E-2</v>
      </c>
      <c r="Q1300" s="22">
        <f>+PROVEEDORES[[#This Row],[Rete Fuente %]]*(PROVEEDORES[[#This Row],[SUBTOTAL]]-PROVEEDORES[[#This Row],[descuento sobre subtotal]])</f>
        <v>30855.815999999999</v>
      </c>
      <c r="R1300" s="21">
        <f>+PROVEEDORES[[#This Row],[SUBTOTAL]]+PROVEEDORES[[#This Row],[IVA 19%]]-PROVEEDORES[[#This Row],[descuento sobre subtotal]]-PROVEEDORES[[#This Row],[Descuento sobre subtotal $2]]-PROVEEDORES[[#This Row],[Rete Fuente $]]</f>
        <v>1437881.0255999998</v>
      </c>
      <c r="S1300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0" s="68">
        <f ca="1">IF(PROVEEDORES[[#This Row],[FECHA DE PAGO]]=0,TODAY()-PROVEEDORES[[#This Row],[FECHA DE FACTURACIÓN]]-PROVEEDORES[[#This Row],[PLAZO Días]],0)</f>
        <v>0</v>
      </c>
      <c r="U1300" s="113" t="str">
        <f>+VLOOKUP(PROVEEDORES[[#This Row],[PROVEEDOR]],Terceros!$A:$D,4,FALSE)</f>
        <v>2,5% con base</v>
      </c>
      <c r="V1300" s="114">
        <f>+YEAR(PROVEEDORES[[#This Row],[FECHA DE FACTURACIÓN]])</f>
        <v>2022</v>
      </c>
      <c r="W1300" s="114">
        <f>+MATCH(PROVEEDORES[[#This Row],[año facturado]],Retenciones!$1:$1,0)</f>
        <v>5</v>
      </c>
      <c r="X1300" s="115">
        <f>+VLOOKUP(PROVEEDORES[[#This Row],[ID RETENCION]],Retenciones!$A$1:$O$25,PROVEEDORES[[#This Row],[indicador de columna]],FALSE)</f>
        <v>1026000</v>
      </c>
      <c r="Y1300" s="116">
        <f>+VLOOKUP(PROVEEDORES[[#This Row],[ID RETENCION]],Retenciones!$A$1:$O$25,2,FALSE)</f>
        <v>2.5000000000000001E-2</v>
      </c>
      <c r="Z1300" s="125" t="b">
        <f>OR(COUNTIF(PROVEEDORES[[#This Row],[PROVEEDOR]],"*"&amp;'Palabra no opera'!$A$2&amp;"*"))</f>
        <v>0</v>
      </c>
      <c r="AA1300" s="24"/>
      <c r="AB1300" s="24"/>
      <c r="AC1300" s="24"/>
      <c r="AD1300" s="24"/>
      <c r="AE1300" s="24"/>
    </row>
    <row r="1301" spans="1:31" ht="22.2" customHeight="1" x14ac:dyDescent="0.3">
      <c r="A1301" s="146" t="str">
        <f>+IF(PROVEEDORES[[#This Row],[FECHA DE PAGO]]=PROVEEDORES[[#This Row],[FECHA DE FACTURACIÓN]],"DE CONTADO","CRÉDITO")</f>
        <v>CRÉDITO</v>
      </c>
      <c r="B1301" s="38" t="str">
        <f>+IF((PROVEEDORES[[#This Row],[FECHA DE PAGO]]-PROVEEDORES[[#This Row],[FECHA DE FACTURACIÓN]])&gt;PROVEEDORES[[#This Row],[PLAZO Días]],"PAGO VENCIDO")</f>
        <v>PAGO VENCIDO</v>
      </c>
      <c r="C1301" s="20">
        <f>+VLOOKUP(PROVEEDORES[[#This Row],[PROVEEDOR]],TERCEROS_INFO[#All],2,FALSE)</f>
        <v>30</v>
      </c>
      <c r="D1301" s="25">
        <f>+SUMIFS(PROVEEDORES[Total],PROVEEDORES[PROVEEDOR],PROVEEDORES[[#This Row],[PROVEEDOR]],PROVEEDORES[FECHA DE PAGO],"")</f>
        <v>0</v>
      </c>
      <c r="E1301" s="25"/>
      <c r="F1301" s="58" t="str">
        <f>+VLOOKUP(PROVEEDORES[[#This Row],[PROVEEDOR]],
                       Terceros!$A:$F,
                       5,
                       FALSE)</f>
        <v/>
      </c>
      <c r="G1301" s="161">
        <v>44733</v>
      </c>
      <c r="H1301" s="26" t="s">
        <v>686</v>
      </c>
      <c r="I1301" s="161">
        <v>44698</v>
      </c>
      <c r="J1301" s="35" t="s">
        <v>1010</v>
      </c>
      <c r="K1301" s="21">
        <v>1440000</v>
      </c>
      <c r="L1301" s="21"/>
      <c r="M1301" s="22">
        <f>(PROVEEDORES[[#This Row],[SUBTOTAL]]-PROVEEDORES[[#This Row],[descuento sobre subtotal]])*VLOOKUP(PROVEEDORES[[#This Row],[PROVEEDOR]],TERCEROS_INFO[#All],3,FALSE)</f>
        <v>0</v>
      </c>
      <c r="N1301" s="23"/>
      <c r="O1301" s="22">
        <f>+PROVEEDORES[[#This Row],[Descuento sobre subtotal %]]*(PROVEEDORES[[#This Row],[SUBTOTAL]]-PROVEEDORES[[#This Row],[descuento sobre subtotal]])</f>
        <v>0</v>
      </c>
      <c r="P1301" s="83">
        <f>+IF(PROVEEDORES[[#This Row],[SUBTOTAL]]&lt;PROVEEDORES[[#This Row],[base retencion]],0,PROVEEDORES[[#This Row],[retención aplicada]])</f>
        <v>0</v>
      </c>
      <c r="Q1301" s="22">
        <f>+PROVEEDORES[[#This Row],[Rete Fuente %]]*(PROVEEDORES[[#This Row],[SUBTOTAL]]-PROVEEDORES[[#This Row],[descuento sobre subtotal]])</f>
        <v>0</v>
      </c>
      <c r="R1301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1301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1" s="68">
        <f ca="1">IF(PROVEEDORES[[#This Row],[FECHA DE PAGO]]=0,TODAY()-PROVEEDORES[[#This Row],[FECHA DE FACTURACIÓN]]-PROVEEDORES[[#This Row],[PLAZO Días]],0)</f>
        <v>0</v>
      </c>
      <c r="U1301" s="113">
        <f>+VLOOKUP(PROVEEDORES[[#This Row],[PROVEEDOR]],Terceros!$A:$D,4,FALSE)</f>
        <v>0</v>
      </c>
      <c r="V1301" s="114">
        <f>+YEAR(PROVEEDORES[[#This Row],[FECHA DE FACTURACIÓN]])</f>
        <v>2022</v>
      </c>
      <c r="W1301" s="114">
        <f>+MATCH(PROVEEDORES[[#This Row],[año facturado]],Retenciones!$1:$1,0)</f>
        <v>5</v>
      </c>
      <c r="X1301" s="115">
        <f>+VLOOKUP(PROVEEDORES[[#This Row],[ID RETENCION]],Retenciones!$A$1:$O$25,PROVEEDORES[[#This Row],[indicador de columna]],FALSE)</f>
        <v>0</v>
      </c>
      <c r="Y1301" s="116">
        <f>+VLOOKUP(PROVEEDORES[[#This Row],[ID RETENCION]],Retenciones!$A$1:$O$25,2,FALSE)</f>
        <v>0</v>
      </c>
      <c r="Z1301" s="125" t="b">
        <f>OR(COUNTIF(PROVEEDORES[[#This Row],[PROVEEDOR]],"*"&amp;'Palabra no opera'!$A$2&amp;"*"))</f>
        <v>0</v>
      </c>
      <c r="AA1301" s="24"/>
      <c r="AB1301" s="24"/>
      <c r="AC1301" s="24"/>
      <c r="AD1301" s="24"/>
      <c r="AE1301" s="24"/>
    </row>
    <row r="1302" spans="1:31" ht="22.2" customHeight="1" x14ac:dyDescent="0.3">
      <c r="A1302" s="159" t="str">
        <f>+IF(PROVEEDORES[[#This Row],[FECHA DE PAGO]]=PROVEEDORES[[#This Row],[FECHA DE FACTURACIÓN]],"DE CONTADO","CRÉDITO")</f>
        <v>DE CONTADO</v>
      </c>
      <c r="B1302" s="38" t="b">
        <f>+IF((PROVEEDORES[[#This Row],[FECHA DE PAGO]]-PROVEEDORES[[#This Row],[FECHA DE FACTURACIÓN]])&gt;PROVEEDORES[[#This Row],[PLAZO Días]],"PAGO VENCIDO")</f>
        <v>0</v>
      </c>
      <c r="C1302" s="20">
        <f>+VLOOKUP(PROVEEDORES[[#This Row],[PROVEEDOR]],TERCEROS_INFO[#All],2,FALSE)</f>
        <v>30</v>
      </c>
      <c r="D1302" s="25">
        <f>+SUMIFS(PROVEEDORES[Total],PROVEEDORES[PROVEEDOR],PROVEEDORES[[#This Row],[PROVEEDOR]],PROVEEDORES[FECHA DE PAGO],"")</f>
        <v>0</v>
      </c>
      <c r="E1302" s="25"/>
      <c r="F1302" s="58" t="str">
        <f>+VLOOKUP(PROVEEDORES[[#This Row],[PROVEEDOR]],
                       Terceros!$A:$F,
                       5,
                       FALSE)</f>
        <v/>
      </c>
      <c r="G1302" s="161">
        <v>44736</v>
      </c>
      <c r="H1302" s="26" t="s">
        <v>661</v>
      </c>
      <c r="I1302" s="161">
        <v>44736</v>
      </c>
      <c r="J1302" s="35" t="s">
        <v>1070</v>
      </c>
      <c r="K1302" s="21">
        <v>1440000</v>
      </c>
      <c r="L1302" s="21"/>
      <c r="M1302" s="22">
        <f>(PROVEEDORES[[#This Row],[SUBTOTAL]]-PROVEEDORES[[#This Row],[descuento sobre subtotal]])*VLOOKUP(PROVEEDORES[[#This Row],[PROVEEDOR]],TERCEROS_INFO[#All],3,FALSE)</f>
        <v>0</v>
      </c>
      <c r="N1302" s="23"/>
      <c r="O1302" s="22">
        <f>+PROVEEDORES[[#This Row],[Descuento sobre subtotal %]]*(PROVEEDORES[[#This Row],[SUBTOTAL]]-PROVEEDORES[[#This Row],[descuento sobre subtotal]])</f>
        <v>0</v>
      </c>
      <c r="P1302" s="83">
        <f>+IF(PROVEEDORES[[#This Row],[SUBTOTAL]]&lt;PROVEEDORES[[#This Row],[base retencion]],0,PROVEEDORES[[#This Row],[retención aplicada]])</f>
        <v>0</v>
      </c>
      <c r="Q1302" s="22">
        <f>+PROVEEDORES[[#This Row],[Rete Fuente %]]*(PROVEEDORES[[#This Row],[SUBTOTAL]]-PROVEEDORES[[#This Row],[descuento sobre subtotal]])</f>
        <v>0</v>
      </c>
      <c r="R1302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1302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2" s="68">
        <f ca="1">IF(PROVEEDORES[[#This Row],[FECHA DE PAGO]]=0,TODAY()-PROVEEDORES[[#This Row],[FECHA DE FACTURACIÓN]]-PROVEEDORES[[#This Row],[PLAZO Días]],0)</f>
        <v>0</v>
      </c>
      <c r="U1302" s="113">
        <f>+VLOOKUP(PROVEEDORES[[#This Row],[PROVEEDOR]],Terceros!$A:$D,4,FALSE)</f>
        <v>0</v>
      </c>
      <c r="V1302" s="114">
        <f>+YEAR(PROVEEDORES[[#This Row],[FECHA DE FACTURACIÓN]])</f>
        <v>2022</v>
      </c>
      <c r="W1302" s="114">
        <f>+MATCH(PROVEEDORES[[#This Row],[año facturado]],Retenciones!$1:$1,0)</f>
        <v>5</v>
      </c>
      <c r="X1302" s="115">
        <f>+VLOOKUP(PROVEEDORES[[#This Row],[ID RETENCION]],Retenciones!$A$1:$O$25,PROVEEDORES[[#This Row],[indicador de columna]],FALSE)</f>
        <v>0</v>
      </c>
      <c r="Y1302" s="116">
        <f>+VLOOKUP(PROVEEDORES[[#This Row],[ID RETENCION]],Retenciones!$A$1:$O$25,2,FALSE)</f>
        <v>0</v>
      </c>
      <c r="Z1302" s="125" t="b">
        <f>OR(COUNTIF(PROVEEDORES[[#This Row],[PROVEEDOR]],"*"&amp;'Palabra no opera'!$A$2&amp;"*"))</f>
        <v>0</v>
      </c>
      <c r="AA1302" s="24"/>
      <c r="AB1302" s="24"/>
      <c r="AC1302" s="24"/>
      <c r="AD1302" s="24"/>
      <c r="AE1302" s="24"/>
    </row>
    <row r="1303" spans="1:31" ht="22.2" customHeight="1" x14ac:dyDescent="0.3">
      <c r="A1303" s="66" t="str">
        <f>+IF(PROVEEDORES[[#This Row],[FECHA DE PAGO]]=PROVEEDORES[[#This Row],[FECHA DE FACTURACIÓN]],"DE CONTADO","CRÉDITO")</f>
        <v>CRÉDITO</v>
      </c>
      <c r="B1303" s="38" t="b">
        <f>+IF((PROVEEDORES[[#This Row],[FECHA DE PAGO]]-PROVEEDORES[[#This Row],[FECHA DE FACTURACIÓN]])&gt;PROVEEDORES[[#This Row],[PLAZO Días]],"PAGO VENCIDO")</f>
        <v>0</v>
      </c>
      <c r="C1303" s="20">
        <f>+VLOOKUP(PROVEEDORES[[#This Row],[PROVEEDOR]],TERCEROS_INFO[#All],2,FALSE)</f>
        <v>30</v>
      </c>
      <c r="D1303" s="25">
        <f>+SUMIFS(PROVEEDORES[Total],PROVEEDORES[PROVEEDOR],PROVEEDORES[[#This Row],[PROVEEDOR]],PROVEEDORES[FECHA DE PAGO],"")</f>
        <v>-101001.25</v>
      </c>
      <c r="E1303" s="25"/>
      <c r="F1303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1303" s="161">
        <v>44389</v>
      </c>
      <c r="H1303" s="26" t="s">
        <v>14</v>
      </c>
      <c r="I1303" s="161">
        <v>44370</v>
      </c>
      <c r="J1303" s="35" t="s">
        <v>357</v>
      </c>
      <c r="K1303" s="21">
        <v>1237353</v>
      </c>
      <c r="L1303" s="21"/>
      <c r="M1303" s="22">
        <f>(PROVEEDORES[[#This Row],[SUBTOTAL]]-PROVEEDORES[[#This Row],[descuento sobre subtotal]])*VLOOKUP(PROVEEDORES[[#This Row],[PROVEEDOR]],TERCEROS_INFO[#All],3,FALSE)</f>
        <v>235097.07</v>
      </c>
      <c r="N1303" s="23"/>
      <c r="O1303" s="22">
        <f>+PROVEEDORES[[#This Row],[Descuento sobre subtotal %]]*(PROVEEDORES[[#This Row],[SUBTOTAL]]-PROVEEDORES[[#This Row],[descuento sobre subtotal]])</f>
        <v>0</v>
      </c>
      <c r="P1303" s="83">
        <f>+IF(PROVEEDORES[[#This Row],[SUBTOTAL]]&lt;PROVEEDORES[[#This Row],[base retencion]],0,PROVEEDORES[[#This Row],[retención aplicada]])</f>
        <v>2.5000000000000001E-2</v>
      </c>
      <c r="Q1303" s="22">
        <f>+PROVEEDORES[[#This Row],[Rete Fuente %]]*(PROVEEDORES[[#This Row],[SUBTOTAL]]-PROVEEDORES[[#This Row],[descuento sobre subtotal]])</f>
        <v>30933.825000000001</v>
      </c>
      <c r="R1303" s="21">
        <f>+PROVEEDORES[[#This Row],[SUBTOTAL]]+PROVEEDORES[[#This Row],[IVA 19%]]-PROVEEDORES[[#This Row],[descuento sobre subtotal]]-PROVEEDORES[[#This Row],[Descuento sobre subtotal $2]]-PROVEEDORES[[#This Row],[Rete Fuente $]]</f>
        <v>1441516.2450000001</v>
      </c>
      <c r="S13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3" s="68">
        <f ca="1">IF(PROVEEDORES[[#This Row],[FECHA DE PAGO]]=0,TODAY()-PROVEEDORES[[#This Row],[FECHA DE FACTURACIÓN]]-PROVEEDORES[[#This Row],[PLAZO Días]],0)</f>
        <v>0</v>
      </c>
      <c r="U1303" s="96" t="str">
        <f>+VLOOKUP(PROVEEDORES[[#This Row],[PROVEEDOR]],Terceros!$A:$D,4,FALSE)</f>
        <v>2,5% con base</v>
      </c>
      <c r="V1303" s="97">
        <f>+YEAR(PROVEEDORES[[#This Row],[FECHA DE FACTURACIÓN]])</f>
        <v>2021</v>
      </c>
      <c r="W1303" s="97">
        <f>+MATCH(PROVEEDORES[[#This Row],[año facturado]],Retenciones!$1:$1,0)</f>
        <v>4</v>
      </c>
      <c r="X1303" s="98">
        <f>+VLOOKUP(PROVEEDORES[[#This Row],[ID RETENCION]],Retenciones!$A$1:$O$25,PROVEEDORES[[#This Row],[indicador de columna]],FALSE)</f>
        <v>980000</v>
      </c>
      <c r="Y1303" s="99">
        <f>+VLOOKUP(PROVEEDORES[[#This Row],[ID RETENCION]],Retenciones!$A$1:$O$25,2,FALSE)</f>
        <v>2.5000000000000001E-2</v>
      </c>
      <c r="Z1303" s="125" t="b">
        <f>OR(COUNTIF(PROVEEDORES[[#This Row],[PROVEEDOR]],"*"&amp;'Palabra no opera'!$A$2&amp;"*"))</f>
        <v>0</v>
      </c>
      <c r="AA1303" s="24"/>
      <c r="AB1303" s="24"/>
      <c r="AC1303" s="24"/>
      <c r="AD1303" s="24"/>
      <c r="AE1303" s="24"/>
    </row>
    <row r="1304" spans="1:31" ht="22.2" customHeight="1" x14ac:dyDescent="0.3">
      <c r="A1304" s="66" t="str">
        <f>+IF(PROVEEDORES[[#This Row],[FECHA DE PAGO]]=PROVEEDORES[[#This Row],[FECHA DE FACTURACIÓN]],"DE CONTADO","CRÉDITO")</f>
        <v>CRÉDITO</v>
      </c>
      <c r="B1304" s="38" t="str">
        <f>+IF((PROVEEDORES[[#This Row],[FECHA DE PAGO]]-PROVEEDORES[[#This Row],[FECHA DE FACTURACIÓN]])&gt;PROVEEDORES[[#This Row],[PLAZO Días]],"PAGO VENCIDO")</f>
        <v>PAGO VENCIDO</v>
      </c>
      <c r="C1304" s="20">
        <f>+VLOOKUP(PROVEEDORES[[#This Row],[PROVEEDOR]],TERCEROS_INFO[#All],2,FALSE)</f>
        <v>30</v>
      </c>
      <c r="D1304" s="25">
        <f>+SUMIFS(PROVEEDORES[Total],PROVEEDORES[PROVEEDOR],PROVEEDORES[[#This Row],[PROVEEDOR]],PROVEEDORES[FECHA DE PAGO],"")</f>
        <v>0</v>
      </c>
      <c r="E1304" s="25"/>
      <c r="F1304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304" s="161">
        <v>44321</v>
      </c>
      <c r="H1304" s="26" t="s">
        <v>46</v>
      </c>
      <c r="I1304" s="161">
        <v>44280</v>
      </c>
      <c r="J1304" s="35">
        <v>160216698</v>
      </c>
      <c r="K1304" s="21">
        <v>1213400</v>
      </c>
      <c r="L1304" s="21"/>
      <c r="M1304" s="22">
        <f>(PROVEEDORES[[#This Row],[SUBTOTAL]]-PROVEEDORES[[#This Row],[descuento sobre subtotal]])*VLOOKUP(PROVEEDORES[[#This Row],[PROVEEDOR]],TERCEROS_INFO[#All],3,FALSE)</f>
        <v>230546</v>
      </c>
      <c r="N1304" s="23"/>
      <c r="O1304" s="22">
        <f>+PROVEEDORES[[#This Row],[Descuento sobre subtotal %]]*(PROVEEDORES[[#This Row],[SUBTOTAL]]-PROVEEDORES[[#This Row],[descuento sobre subtotal]])</f>
        <v>0</v>
      </c>
      <c r="P1304" s="83">
        <f>+IF(PROVEEDORES[[#This Row],[SUBTOTAL]]&lt;PROVEEDORES[[#This Row],[base retencion]],0,PROVEEDORES[[#This Row],[retención aplicada]])</f>
        <v>0</v>
      </c>
      <c r="Q1304" s="22">
        <f>+PROVEEDORES[[#This Row],[Rete Fuente %]]*(PROVEEDORES[[#This Row],[SUBTOTAL]]-PROVEEDORES[[#This Row],[descuento sobre subtotal]])</f>
        <v>0</v>
      </c>
      <c r="R1304" s="21">
        <f>+PROVEEDORES[[#This Row],[SUBTOTAL]]+PROVEEDORES[[#This Row],[IVA 19%]]-PROVEEDORES[[#This Row],[descuento sobre subtotal]]-PROVEEDORES[[#This Row],[Descuento sobre subtotal $2]]-PROVEEDORES[[#This Row],[Rete Fuente $]]</f>
        <v>1443946</v>
      </c>
      <c r="S13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4" s="68">
        <f ca="1">IF(PROVEEDORES[[#This Row],[FECHA DE PAGO]]=0,TODAY()-PROVEEDORES[[#This Row],[FECHA DE FACTURACIÓN]]-PROVEEDORES[[#This Row],[PLAZO Días]],0)</f>
        <v>0</v>
      </c>
      <c r="U1304" s="96">
        <f>+VLOOKUP(PROVEEDORES[[#This Row],[PROVEEDOR]],Terceros!$A:$D,4,FALSE)</f>
        <v>0</v>
      </c>
      <c r="V1304" s="97">
        <f>+YEAR(PROVEEDORES[[#This Row],[FECHA DE FACTURACIÓN]])</f>
        <v>2021</v>
      </c>
      <c r="W1304" s="97">
        <f>+MATCH(PROVEEDORES[[#This Row],[año facturado]],Retenciones!$1:$1,0)</f>
        <v>4</v>
      </c>
      <c r="X1304" s="98">
        <f>+VLOOKUP(PROVEEDORES[[#This Row],[ID RETENCION]],Retenciones!$A$1:$O$25,PROVEEDORES[[#This Row],[indicador de columna]],FALSE)</f>
        <v>0</v>
      </c>
      <c r="Y1304" s="99">
        <f>+VLOOKUP(PROVEEDORES[[#This Row],[ID RETENCION]],Retenciones!$A$1:$O$25,2,FALSE)</f>
        <v>0</v>
      </c>
      <c r="Z1304" s="125" t="b">
        <f>OR(COUNTIF(PROVEEDORES[[#This Row],[PROVEEDOR]],"*"&amp;'Palabra no opera'!$A$2&amp;"*"))</f>
        <v>0</v>
      </c>
      <c r="AA1304" s="24"/>
      <c r="AB1304" s="24"/>
      <c r="AC1304" s="24"/>
      <c r="AD1304" s="24"/>
      <c r="AE1304" s="24"/>
    </row>
    <row r="1305" spans="1:31" ht="22.2" customHeight="1" x14ac:dyDescent="0.3">
      <c r="A1305" s="66" t="str">
        <f>+IF(PROVEEDORES[[#This Row],[FECHA DE PAGO]]=PROVEEDORES[[#This Row],[FECHA DE FACTURACIÓN]],"DE CONTADO","CRÉDITO")</f>
        <v>CRÉDITO</v>
      </c>
      <c r="B1305" s="38" t="b">
        <f>+IF((PROVEEDORES[[#This Row],[FECHA DE PAGO]]-PROVEEDORES[[#This Row],[FECHA DE FACTURACIÓN]])&gt;PROVEEDORES[[#This Row],[PLAZO Días]],"PAGO VENCIDO")</f>
        <v>0</v>
      </c>
      <c r="C1305" s="20">
        <f>+VLOOKUP(PROVEEDORES[[#This Row],[PROVEEDOR]],TERCEROS_INFO[#All],2,FALSE)</f>
        <v>30</v>
      </c>
      <c r="D1305" s="25">
        <f>+SUMIFS(PROVEEDORES[Total],PROVEEDORES[PROVEEDOR],PROVEEDORES[[#This Row],[PROVEEDOR]],PROVEEDORES[FECHA DE PAGO],"")</f>
        <v>0</v>
      </c>
      <c r="E1305" s="25"/>
      <c r="F1305" s="58" t="str">
        <f>+VLOOKUP(PROVEEDORES[[#This Row],[PROVEEDOR]],
                       Terceros!$A:$F,
                       5,
                       FALSE)</f>
        <v/>
      </c>
      <c r="G1305" s="161">
        <v>44557</v>
      </c>
      <c r="H1305" s="26" t="s">
        <v>638</v>
      </c>
      <c r="I1305" s="161">
        <v>44540</v>
      </c>
      <c r="J1305" s="35" t="s">
        <v>1359</v>
      </c>
      <c r="K1305" s="21">
        <v>1444000</v>
      </c>
      <c r="L1305" s="21"/>
      <c r="M1305" s="22">
        <f>(PROVEEDORES[[#This Row],[SUBTOTAL]]-PROVEEDORES[[#This Row],[descuento sobre subtotal]])*VLOOKUP(PROVEEDORES[[#This Row],[PROVEEDOR]],TERCEROS_INFO[#All],3,FALSE)</f>
        <v>0</v>
      </c>
      <c r="N1305" s="23"/>
      <c r="O1305" s="22">
        <f>+PROVEEDORES[[#This Row],[Descuento sobre subtotal %]]*(PROVEEDORES[[#This Row],[SUBTOTAL]]-PROVEEDORES[[#This Row],[descuento sobre subtotal]])</f>
        <v>0</v>
      </c>
      <c r="P1305" s="83">
        <f>+IF(PROVEEDORES[[#This Row],[SUBTOTAL]]&lt;PROVEEDORES[[#This Row],[base retencion]],0,PROVEEDORES[[#This Row],[retención aplicada]])</f>
        <v>0</v>
      </c>
      <c r="Q1305" s="22">
        <f>+PROVEEDORES[[#This Row],[Rete Fuente %]]*(PROVEEDORES[[#This Row],[SUBTOTAL]]-PROVEEDORES[[#This Row],[descuento sobre subtotal]])</f>
        <v>0</v>
      </c>
      <c r="R1305" s="21">
        <f>+PROVEEDORES[[#This Row],[SUBTOTAL]]+PROVEEDORES[[#This Row],[IVA 19%]]-PROVEEDORES[[#This Row],[descuento sobre subtotal]]-PROVEEDORES[[#This Row],[Descuento sobre subtotal $2]]-PROVEEDORES[[#This Row],[Rete Fuente $]]</f>
        <v>1444000</v>
      </c>
      <c r="S13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5" s="68">
        <f ca="1">IF(PROVEEDORES[[#This Row],[FECHA DE PAGO]]=0,TODAY()-PROVEEDORES[[#This Row],[FECHA DE FACTURACIÓN]]-PROVEEDORES[[#This Row],[PLAZO Días]],0)</f>
        <v>0</v>
      </c>
      <c r="U1305" s="96">
        <f>+VLOOKUP(PROVEEDORES[[#This Row],[PROVEEDOR]],Terceros!$A:$D,4,FALSE)</f>
        <v>0</v>
      </c>
      <c r="V1305" s="97">
        <f>+YEAR(PROVEEDORES[[#This Row],[FECHA DE FACTURACIÓN]])</f>
        <v>2021</v>
      </c>
      <c r="W1305" s="97">
        <f>+MATCH(PROVEEDORES[[#This Row],[año facturado]],Retenciones!$1:$1,0)</f>
        <v>4</v>
      </c>
      <c r="X1305" s="98">
        <f>+VLOOKUP(PROVEEDORES[[#This Row],[ID RETENCION]],Retenciones!$A$1:$O$25,PROVEEDORES[[#This Row],[indicador de columna]],FALSE)</f>
        <v>0</v>
      </c>
      <c r="Y1305" s="99">
        <f>+VLOOKUP(PROVEEDORES[[#This Row],[ID RETENCION]],Retenciones!$A$1:$O$25,2,FALSE)</f>
        <v>0</v>
      </c>
      <c r="Z1305" s="125" t="b">
        <f>OR(COUNTIF(PROVEEDORES[[#This Row],[PROVEEDOR]],"*"&amp;'Palabra no opera'!$A$2&amp;"*"))</f>
        <v>0</v>
      </c>
      <c r="AA1305" s="24"/>
      <c r="AB1305" s="24"/>
      <c r="AC1305" s="24"/>
      <c r="AD1305" s="24"/>
      <c r="AE1305" s="24"/>
    </row>
    <row r="1306" spans="1:31" ht="22.2" customHeight="1" x14ac:dyDescent="0.3">
      <c r="A1306" s="66" t="str">
        <f>+IF(PROVEEDORES[[#This Row],[FECHA DE PAGO]]=PROVEEDORES[[#This Row],[FECHA DE FACTURACIÓN]],"DE CONTADO","CRÉDITO")</f>
        <v>CRÉDITO</v>
      </c>
      <c r="B1306" s="38" t="str">
        <f>+IF((PROVEEDORES[[#This Row],[FECHA DE PAGO]]-PROVEEDORES[[#This Row],[FECHA DE FACTURACIÓN]])&gt;PROVEEDORES[[#This Row],[PLAZO Días]],"PAGO VENCIDO")</f>
        <v>PAGO VENCIDO</v>
      </c>
      <c r="C1306" s="20">
        <f>+VLOOKUP(PROVEEDORES[[#This Row],[PROVEEDOR]],TERCEROS_INFO[#All],2,FALSE)</f>
        <v>30</v>
      </c>
      <c r="D1306" s="25">
        <f>+SUMIFS(PROVEEDORES[Total],PROVEEDORES[PROVEEDOR],PROVEEDORES[[#This Row],[PROVEEDOR]],PROVEEDORES[FECHA DE PAGO],"")</f>
        <v>3430770</v>
      </c>
      <c r="E1306" s="25"/>
      <c r="F130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06" s="161">
        <v>44684</v>
      </c>
      <c r="H1306" s="26" t="s">
        <v>1448</v>
      </c>
      <c r="I1306" s="161">
        <v>44632</v>
      </c>
      <c r="J1306" s="35">
        <v>28365</v>
      </c>
      <c r="K1306" s="21">
        <v>1246200</v>
      </c>
      <c r="L1306" s="21"/>
      <c r="M1306" s="22">
        <f>(PROVEEDORES[[#This Row],[SUBTOTAL]]-PROVEEDORES[[#This Row],[descuento sobre subtotal]])*VLOOKUP(PROVEEDORES[[#This Row],[PROVEEDOR]],TERCEROS_INFO[#All],3,FALSE)</f>
        <v>236778</v>
      </c>
      <c r="N1306" s="23"/>
      <c r="O1306" s="22">
        <f>+PROVEEDORES[[#This Row],[Descuento sobre subtotal %]]*(PROVEEDORES[[#This Row],[SUBTOTAL]]-PROVEEDORES[[#This Row],[descuento sobre subtotal]])</f>
        <v>0</v>
      </c>
      <c r="P1306" s="83">
        <v>2.5000000000000001E-2</v>
      </c>
      <c r="Q1306" s="22">
        <f>+PROVEEDORES[[#This Row],[Rete Fuente %]]*(PROVEEDORES[[#This Row],[SUBTOTAL]]-PROVEEDORES[[#This Row],[descuento sobre subtotal]])</f>
        <v>31155</v>
      </c>
      <c r="R1306" s="21">
        <f>+PROVEEDORES[[#This Row],[SUBTOTAL]]+PROVEEDORES[[#This Row],[IVA 19%]]-PROVEEDORES[[#This Row],[descuento sobre subtotal]]-PROVEEDORES[[#This Row],[Descuento sobre subtotal $2]]-PROVEEDORES[[#This Row],[Rete Fuente $]]</f>
        <v>1451823</v>
      </c>
      <c r="S13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6" s="68">
        <f ca="1">IF(PROVEEDORES[[#This Row],[FECHA DE PAGO]]=0,TODAY()-PROVEEDORES[[#This Row],[FECHA DE FACTURACIÓN]]-PROVEEDORES[[#This Row],[PLAZO Días]],0)</f>
        <v>0</v>
      </c>
      <c r="U1306" s="96">
        <f>+VLOOKUP(PROVEEDORES[[#This Row],[PROVEEDOR]],Terceros!$A:$D,4,FALSE)</f>
        <v>0</v>
      </c>
      <c r="V1306" s="97">
        <f>+YEAR(PROVEEDORES[[#This Row],[FECHA DE FACTURACIÓN]])</f>
        <v>2022</v>
      </c>
      <c r="W1306" s="97">
        <f>+MATCH(PROVEEDORES[[#This Row],[año facturado]],Retenciones!$1:$1,0)</f>
        <v>5</v>
      </c>
      <c r="X1306" s="98">
        <f>+VLOOKUP(PROVEEDORES[[#This Row],[ID RETENCION]],Retenciones!$A$1:$O$25,PROVEEDORES[[#This Row],[indicador de columna]],FALSE)</f>
        <v>0</v>
      </c>
      <c r="Y1306" s="99">
        <f>+VLOOKUP(PROVEEDORES[[#This Row],[ID RETENCION]],Retenciones!$A$1:$O$25,2,FALSE)</f>
        <v>0</v>
      </c>
      <c r="Z1306" s="125" t="b">
        <f>OR(COUNTIF(PROVEEDORES[[#This Row],[PROVEEDOR]],"*"&amp;'Palabra no opera'!$A$2&amp;"*"))</f>
        <v>0</v>
      </c>
      <c r="AA1306" s="24"/>
      <c r="AB1306" s="24"/>
      <c r="AC1306" s="24"/>
      <c r="AD1306" s="24"/>
      <c r="AE1306" s="24"/>
    </row>
    <row r="1307" spans="1:31" ht="22.2" customHeight="1" x14ac:dyDescent="0.3">
      <c r="A1307" s="66" t="str">
        <f>+IF(PROVEEDORES[[#This Row],[FECHA DE PAGO]]=PROVEEDORES[[#This Row],[FECHA DE FACTURACIÓN]],"DE CONTADO","CRÉDITO")</f>
        <v>CRÉDITO</v>
      </c>
      <c r="B1307" s="38" t="b">
        <f>+IF((PROVEEDORES[[#This Row],[FECHA DE PAGO]]-PROVEEDORES[[#This Row],[FECHA DE FACTURACIÓN]])&gt;PROVEEDORES[[#This Row],[PLAZO Días]],"PAGO VENCIDO")</f>
        <v>0</v>
      </c>
      <c r="C1307" s="20">
        <f>+VLOOKUP(PROVEEDORES[[#This Row],[PROVEEDOR]],TERCEROS_INFO[#All],2,FALSE)</f>
        <v>30</v>
      </c>
      <c r="D1307" s="25">
        <f>+SUMIFS(PROVEEDORES[Total],PROVEEDORES[PROVEEDOR],PROVEEDORES[[#This Row],[PROVEEDOR]],PROVEEDORES[FECHA DE PAGO],"")</f>
        <v>0</v>
      </c>
      <c r="E1307" s="25"/>
      <c r="F130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07" s="161">
        <v>44341</v>
      </c>
      <c r="H1307" s="26" t="s">
        <v>918</v>
      </c>
      <c r="I1307" s="161">
        <v>44317</v>
      </c>
      <c r="J1307" s="35">
        <v>8123</v>
      </c>
      <c r="K1307" s="21">
        <v>1454122</v>
      </c>
      <c r="L1307" s="21"/>
      <c r="M1307" s="22">
        <f>(PROVEEDORES[[#This Row],[SUBTOTAL]]-PROVEEDORES[[#This Row],[descuento sobre subtotal]])*VLOOKUP(PROVEEDORES[[#This Row],[PROVEEDOR]],TERCEROS_INFO[#All],3,FALSE)</f>
        <v>0</v>
      </c>
      <c r="N1307" s="23"/>
      <c r="O1307" s="22">
        <f>+PROVEEDORES[[#This Row],[Descuento sobre subtotal %]]*(PROVEEDORES[[#This Row],[SUBTOTAL]]-PROVEEDORES[[#This Row],[descuento sobre subtotal]])</f>
        <v>0</v>
      </c>
      <c r="P1307" s="83">
        <f>+IF(PROVEEDORES[[#This Row],[SUBTOTAL]]&lt;PROVEEDORES[[#This Row],[base retencion]],0,PROVEEDORES[[#This Row],[retención aplicada]])</f>
        <v>0</v>
      </c>
      <c r="Q1307" s="22">
        <f>+PROVEEDORES[[#This Row],[Rete Fuente %]]*(PROVEEDORES[[#This Row],[SUBTOTAL]]-PROVEEDORES[[#This Row],[descuento sobre subtotal]])</f>
        <v>0</v>
      </c>
      <c r="R1307" s="21">
        <f>+PROVEEDORES[[#This Row],[SUBTOTAL]]+PROVEEDORES[[#This Row],[IVA 19%]]-PROVEEDORES[[#This Row],[descuento sobre subtotal]]-PROVEEDORES[[#This Row],[Descuento sobre subtotal $2]]-PROVEEDORES[[#This Row],[Rete Fuente $]]</f>
        <v>1454122</v>
      </c>
      <c r="S13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7" s="68">
        <f ca="1">IF(PROVEEDORES[[#This Row],[FECHA DE PAGO]]=0,TODAY()-PROVEEDORES[[#This Row],[FECHA DE FACTURACIÓN]]-PROVEEDORES[[#This Row],[PLAZO Días]],0)</f>
        <v>0</v>
      </c>
      <c r="U1307" s="96">
        <f>+VLOOKUP(PROVEEDORES[[#This Row],[PROVEEDOR]],Terceros!$A:$D,4,FALSE)</f>
        <v>0</v>
      </c>
      <c r="V1307" s="97">
        <f>+YEAR(PROVEEDORES[[#This Row],[FECHA DE FACTURACIÓN]])</f>
        <v>2021</v>
      </c>
      <c r="W1307" s="97">
        <f>+MATCH(PROVEEDORES[[#This Row],[año facturado]],Retenciones!$1:$1,0)</f>
        <v>4</v>
      </c>
      <c r="X1307" s="98">
        <f>+VLOOKUP(PROVEEDORES[[#This Row],[ID RETENCION]],Retenciones!$A$1:$O$25,PROVEEDORES[[#This Row],[indicador de columna]],FALSE)</f>
        <v>0</v>
      </c>
      <c r="Y1307" s="99">
        <f>+VLOOKUP(PROVEEDORES[[#This Row],[ID RETENCION]],Retenciones!$A$1:$O$25,2,FALSE)</f>
        <v>0</v>
      </c>
      <c r="Z1307" s="125" t="b">
        <f>OR(COUNTIF(PROVEEDORES[[#This Row],[PROVEEDOR]],"*"&amp;'Palabra no opera'!$A$2&amp;"*"))</f>
        <v>1</v>
      </c>
      <c r="AA1307" s="24"/>
      <c r="AB1307" s="24"/>
      <c r="AC1307" s="24"/>
      <c r="AD1307" s="24"/>
      <c r="AE1307" s="24"/>
    </row>
    <row r="1308" spans="1:31" ht="22.2" customHeight="1" x14ac:dyDescent="0.3">
      <c r="A1308" s="211" t="str">
        <f>+IF(PROVEEDORES[[#This Row],[FECHA DE PAGO]]=PROVEEDORES[[#This Row],[FECHA DE FACTURACIÓN]],"DE CONTADO","CRÉDITO")</f>
        <v>CRÉDITO</v>
      </c>
      <c r="B1308" s="38" t="b">
        <f>+IF((PROVEEDORES[[#This Row],[FECHA DE PAGO]]-PROVEEDORES[[#This Row],[FECHA DE FACTURACIÓN]])&gt;PROVEEDORES[[#This Row],[PLAZO Días]],"PAGO VENCIDO")</f>
        <v>0</v>
      </c>
      <c r="C1308" s="20">
        <f>+VLOOKUP(PROVEEDORES[[#This Row],[PROVEEDOR]],TERCEROS_INFO[#All],2,FALSE)</f>
        <v>30</v>
      </c>
      <c r="D1308" s="25">
        <f>+SUMIFS(PROVEEDORES[Total],PROVEEDORES[PROVEEDOR],PROVEEDORES[[#This Row],[PROVEEDOR]],PROVEEDORES[FECHA DE PAGO],"")</f>
        <v>0</v>
      </c>
      <c r="E1308" s="25"/>
      <c r="F1308" s="58" t="str">
        <f>+VLOOKUP(PROVEEDORES[[#This Row],[PROVEEDOR]],
                       Terceros!$A:$F,
                       5,
                       FALSE)</f>
        <v/>
      </c>
      <c r="G1308" s="161">
        <v>44806</v>
      </c>
      <c r="H1308" s="26" t="s">
        <v>53</v>
      </c>
      <c r="I1308" s="161">
        <v>44805</v>
      </c>
      <c r="J1308" s="35">
        <v>293703</v>
      </c>
      <c r="K1308" s="21">
        <v>1458000</v>
      </c>
      <c r="L1308" s="21"/>
      <c r="M1308" s="22">
        <f>(PROVEEDORES[[#This Row],[SUBTOTAL]]-PROVEEDORES[[#This Row],[descuento sobre subtotal]])*VLOOKUP(PROVEEDORES[[#This Row],[PROVEEDOR]],TERCEROS_INFO[#All],3,FALSE)</f>
        <v>0</v>
      </c>
      <c r="N1308" s="23"/>
      <c r="O1308" s="22">
        <f>+PROVEEDORES[[#This Row],[Descuento sobre subtotal %]]*(PROVEEDORES[[#This Row],[SUBTOTAL]]-PROVEEDORES[[#This Row],[descuento sobre subtotal]])</f>
        <v>0</v>
      </c>
      <c r="P1308" s="83">
        <f>+IF(PROVEEDORES[[#This Row],[SUBTOTAL]]&lt;PROVEEDORES[[#This Row],[base retencion]],0,PROVEEDORES[[#This Row],[retención aplicada]])</f>
        <v>0</v>
      </c>
      <c r="Q1308" s="22">
        <f>+PROVEEDORES[[#This Row],[Rete Fuente %]]*(PROVEEDORES[[#This Row],[SUBTOTAL]]-PROVEEDORES[[#This Row],[descuento sobre subtotal]])</f>
        <v>0</v>
      </c>
      <c r="R1308" s="21">
        <f>+PROVEEDORES[[#This Row],[SUBTOTAL]]+PROVEEDORES[[#This Row],[IVA 19%]]-PROVEEDORES[[#This Row],[descuento sobre subtotal]]-PROVEEDORES[[#This Row],[Descuento sobre subtotal $2]]-PROVEEDORES[[#This Row],[Rete Fuente $]]</f>
        <v>1458000</v>
      </c>
      <c r="S1308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8" s="68">
        <f ca="1">IF(PROVEEDORES[[#This Row],[FECHA DE PAGO]]=0,TODAY()-PROVEEDORES[[#This Row],[FECHA DE FACTURACIÓN]]-PROVEEDORES[[#This Row],[PLAZO Días]],0)</f>
        <v>0</v>
      </c>
      <c r="U1308" s="113">
        <f>+VLOOKUP(PROVEEDORES[[#This Row],[PROVEEDOR]],Terceros!$A:$D,4,FALSE)</f>
        <v>0</v>
      </c>
      <c r="V1308" s="114">
        <f>+YEAR(PROVEEDORES[[#This Row],[FECHA DE FACTURACIÓN]])</f>
        <v>2022</v>
      </c>
      <c r="W1308" s="114">
        <f>+MATCH(PROVEEDORES[[#This Row],[año facturado]],Retenciones!$1:$1,0)</f>
        <v>5</v>
      </c>
      <c r="X1308" s="115">
        <f>+VLOOKUP(PROVEEDORES[[#This Row],[ID RETENCION]],Retenciones!$A$1:$O$25,PROVEEDORES[[#This Row],[indicador de columna]],FALSE)</f>
        <v>0</v>
      </c>
      <c r="Y1308" s="116">
        <f>+VLOOKUP(PROVEEDORES[[#This Row],[ID RETENCION]],Retenciones!$A$1:$O$25,2,FALSE)</f>
        <v>0</v>
      </c>
      <c r="Z1308" s="125" t="b">
        <f>OR(COUNTIF(PROVEEDORES[[#This Row],[PROVEEDOR]],"*"&amp;'Palabra no opera'!$A$2&amp;"*"))</f>
        <v>0</v>
      </c>
      <c r="AA1308" s="24"/>
      <c r="AB1308" s="24"/>
      <c r="AC1308" s="24"/>
      <c r="AD1308" s="24"/>
      <c r="AE1308" s="24"/>
    </row>
    <row r="1309" spans="1:31" ht="22.2" customHeight="1" x14ac:dyDescent="0.3">
      <c r="A1309" s="66" t="str">
        <f>+IF(PROVEEDORES[[#This Row],[FECHA DE PAGO]]=PROVEEDORES[[#This Row],[FECHA DE FACTURACIÓN]],"DE CONTADO","CRÉDITO")</f>
        <v>CRÉDITO</v>
      </c>
      <c r="B1309" s="38" t="str">
        <f>+IF((PROVEEDORES[[#This Row],[FECHA DE PAGO]]-PROVEEDORES[[#This Row],[FECHA DE FACTURACIÓN]])&gt;PROVEEDORES[[#This Row],[PLAZO Días]],"PAGO VENCIDO")</f>
        <v>PAGO VENCIDO</v>
      </c>
      <c r="C1309" s="20">
        <f>+VLOOKUP(PROVEEDORES[[#This Row],[PROVEEDOR]],TERCEROS_INFO[#All],2,FALSE)</f>
        <v>30</v>
      </c>
      <c r="D1309" s="25">
        <f>+SUMIFS(PROVEEDORES[Total],PROVEEDORES[PROVEEDOR],PROVEEDORES[[#This Row],[PROVEEDOR]],PROVEEDORES[FECHA DE PAGO],"")</f>
        <v>3236000</v>
      </c>
      <c r="E1309" s="25"/>
      <c r="F1309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309" s="161">
        <v>44229</v>
      </c>
      <c r="H1309" s="26" t="s">
        <v>677</v>
      </c>
      <c r="I1309" s="161">
        <v>44191</v>
      </c>
      <c r="J1309" s="35">
        <v>906</v>
      </c>
      <c r="K1309" s="21">
        <v>1460000</v>
      </c>
      <c r="L1309" s="21"/>
      <c r="M1309" s="22">
        <f>(PROVEEDORES[[#This Row],[SUBTOTAL]]-PROVEEDORES[[#This Row],[descuento sobre subtotal]])*VLOOKUP(PROVEEDORES[[#This Row],[PROVEEDOR]],TERCEROS_INFO[#All],3,FALSE)</f>
        <v>0</v>
      </c>
      <c r="N1309" s="23"/>
      <c r="O1309" s="22">
        <f>+PROVEEDORES[[#This Row],[Descuento sobre subtotal %]]*(PROVEEDORES[[#This Row],[SUBTOTAL]]-PROVEEDORES[[#This Row],[descuento sobre subtotal]])</f>
        <v>0</v>
      </c>
      <c r="P1309" s="83">
        <f>+IF(PROVEEDORES[[#This Row],[SUBTOTAL]]&lt;PROVEEDORES[[#This Row],[base retencion]],0,PROVEEDORES[[#This Row],[retención aplicada]])</f>
        <v>0</v>
      </c>
      <c r="Q1309" s="22">
        <f>+PROVEEDORES[[#This Row],[Rete Fuente %]]*(PROVEEDORES[[#This Row],[SUBTOTAL]]-PROVEEDORES[[#This Row],[descuento sobre subtotal]])</f>
        <v>0</v>
      </c>
      <c r="R1309" s="21">
        <f>+PROVEEDORES[[#This Row],[SUBTOTAL]]+PROVEEDORES[[#This Row],[IVA 19%]]-PROVEEDORES[[#This Row],[descuento sobre subtotal]]-PROVEEDORES[[#This Row],[Descuento sobre subtotal $2]]-PROVEEDORES[[#This Row],[Rete Fuente $]]</f>
        <v>1460000</v>
      </c>
      <c r="S13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9" s="68">
        <f ca="1">IF(PROVEEDORES[[#This Row],[FECHA DE PAGO]]=0,TODAY()-PROVEEDORES[[#This Row],[FECHA DE FACTURACIÓN]]-PROVEEDORES[[#This Row],[PLAZO Días]],0)</f>
        <v>0</v>
      </c>
      <c r="U1309" s="96">
        <f>+VLOOKUP(PROVEEDORES[[#This Row],[PROVEEDOR]],Terceros!$A:$D,4,FALSE)</f>
        <v>0</v>
      </c>
      <c r="V1309" s="97">
        <f>+YEAR(PROVEEDORES[[#This Row],[FECHA DE FACTURACIÓN]])</f>
        <v>2020</v>
      </c>
      <c r="W1309" s="97">
        <f>+MATCH(PROVEEDORES[[#This Row],[año facturado]],Retenciones!$1:$1,0)</f>
        <v>3</v>
      </c>
      <c r="X1309" s="98">
        <f>+VLOOKUP(PROVEEDORES[[#This Row],[ID RETENCION]],Retenciones!$A$1:$O$25,PROVEEDORES[[#This Row],[indicador de columna]],FALSE)</f>
        <v>0</v>
      </c>
      <c r="Y1309" s="99">
        <f>+VLOOKUP(PROVEEDORES[[#This Row],[ID RETENCION]],Retenciones!$A$1:$O$25,2,FALSE)</f>
        <v>0</v>
      </c>
      <c r="Z1309" s="125" t="b">
        <f>OR(COUNTIF(PROVEEDORES[[#This Row],[PROVEEDOR]],"*"&amp;'Palabra no opera'!$A$2&amp;"*"))</f>
        <v>0</v>
      </c>
      <c r="AA1309" s="24"/>
      <c r="AB1309" s="24"/>
      <c r="AC1309" s="24"/>
      <c r="AD1309" s="24"/>
      <c r="AE1309" s="24"/>
    </row>
    <row r="1310" spans="1:31" ht="22.2" customHeight="1" x14ac:dyDescent="0.3">
      <c r="A1310" s="269" t="str">
        <f>+IF(PROVEEDORES[[#This Row],[FECHA DE PAGO]]=PROVEEDORES[[#This Row],[FECHA DE FACTURACIÓN]],"DE CONTADO","CRÉDITO")</f>
        <v>CRÉDITO</v>
      </c>
      <c r="B1310" s="38" t="b">
        <f>+IF((PROVEEDORES[[#This Row],[FECHA DE PAGO]]-PROVEEDORES[[#This Row],[FECHA DE FACTURACIÓN]])&gt;PROVEEDORES[[#This Row],[PLAZO Días]],"PAGO VENCIDO")</f>
        <v>0</v>
      </c>
      <c r="C1310" s="20">
        <f>+VLOOKUP(PROVEEDORES[[#This Row],[PROVEEDOR]],TERCEROS_INFO[#All],2,FALSE)</f>
        <v>30</v>
      </c>
      <c r="D1310" s="25">
        <f>+SUMIFS(PROVEEDORES[Total],PROVEEDORES[PROVEEDOR],PROVEEDORES[[#This Row],[PROVEEDOR]],PROVEEDORES[FECHA DE PAGO],"")</f>
        <v>1468491.82</v>
      </c>
      <c r="E1310" s="25"/>
      <c r="F131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H1310" s="26" t="s">
        <v>1638</v>
      </c>
      <c r="I1310" s="161">
        <v>44858</v>
      </c>
      <c r="J1310" s="35" t="s">
        <v>1794</v>
      </c>
      <c r="K1310" s="21">
        <v>1260508</v>
      </c>
      <c r="L1310" s="21"/>
      <c r="M1310" s="22">
        <f>(PROVEEDORES[[#This Row],[SUBTOTAL]]-PROVEEDORES[[#This Row],[descuento sobre subtotal]])*VLOOKUP(PROVEEDORES[[#This Row],[PROVEEDOR]],TERCEROS_INFO[#All],3,FALSE)</f>
        <v>239496.52</v>
      </c>
      <c r="N1310" s="23"/>
      <c r="O1310" s="22">
        <f>+PROVEEDORES[[#This Row],[Descuento sobre subtotal %]]*(PROVEEDORES[[#This Row],[SUBTOTAL]]-PROVEEDORES[[#This Row],[descuento sobre subtotal]])</f>
        <v>0</v>
      </c>
      <c r="P1310" s="83">
        <f>+IF(PROVEEDORES[[#This Row],[SUBTOTAL]]&lt;PROVEEDORES[[#This Row],[base retencion]],0,PROVEEDORES[[#This Row],[retención aplicada]])</f>
        <v>2.5000000000000001E-2</v>
      </c>
      <c r="Q1310" s="22">
        <f>+PROVEEDORES[[#This Row],[Rete Fuente %]]*(PROVEEDORES[[#This Row],[SUBTOTAL]]-PROVEEDORES[[#This Row],[descuento sobre subtotal]])</f>
        <v>31512.7</v>
      </c>
      <c r="R1310" s="21">
        <f>+PROVEEDORES[[#This Row],[SUBTOTAL]]+PROVEEDORES[[#This Row],[IVA 19%]]-PROVEEDORES[[#This Row],[descuento sobre subtotal]]-PROVEEDORES[[#This Row],[Descuento sobre subtotal $2]]-PROVEEDORES[[#This Row],[Rete Fuente $]]</f>
        <v>1468491.82</v>
      </c>
      <c r="S1310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310" s="68">
        <f ca="1">IF(PROVEEDORES[[#This Row],[FECHA DE PAGO]]=0,TODAY()-PROVEEDORES[[#This Row],[FECHA DE FACTURACIÓN]]-PROVEEDORES[[#This Row],[PLAZO Días]],0)</f>
        <v>-13</v>
      </c>
      <c r="U1310" s="113" t="str">
        <f>+VLOOKUP(PROVEEDORES[[#This Row],[PROVEEDOR]],Terceros!$A:$D,4,FALSE)</f>
        <v>2,5% con base</v>
      </c>
      <c r="V1310" s="114">
        <f>+YEAR(PROVEEDORES[[#This Row],[FECHA DE FACTURACIÓN]])</f>
        <v>2022</v>
      </c>
      <c r="W1310" s="114">
        <f>+MATCH(PROVEEDORES[[#This Row],[año facturado]],Retenciones!$1:$1,0)</f>
        <v>5</v>
      </c>
      <c r="X1310" s="115">
        <f>+VLOOKUP(PROVEEDORES[[#This Row],[ID RETENCION]],Retenciones!$A$1:$O$25,PROVEEDORES[[#This Row],[indicador de columna]],FALSE)</f>
        <v>1026000</v>
      </c>
      <c r="Y1310" s="116">
        <f>+VLOOKUP(PROVEEDORES[[#This Row],[ID RETENCION]],Retenciones!$A$1:$O$25,2,FALSE)</f>
        <v>2.5000000000000001E-2</v>
      </c>
      <c r="Z1310" s="125" t="b">
        <f>OR(COUNTIF(PROVEEDORES[[#This Row],[PROVEEDOR]],"*"&amp;'Palabra no opera'!$A$2&amp;"*"))</f>
        <v>0</v>
      </c>
      <c r="AA1310" s="24"/>
      <c r="AB1310" s="24"/>
      <c r="AC1310" s="24"/>
      <c r="AD1310" s="24"/>
      <c r="AE1310" s="24"/>
    </row>
    <row r="1311" spans="1:31" ht="22.2" customHeight="1" x14ac:dyDescent="0.3">
      <c r="A1311" s="66" t="str">
        <f>+IF(PROVEEDORES[[#This Row],[FECHA DE PAGO]]=PROVEEDORES[[#This Row],[FECHA DE FACTURACIÓN]],"DE CONTADO","CRÉDITO")</f>
        <v>CRÉDITO</v>
      </c>
      <c r="B1311" s="38" t="str">
        <f>+IF((PROVEEDORES[[#This Row],[FECHA DE PAGO]]-PROVEEDORES[[#This Row],[FECHA DE FACTURACIÓN]])&gt;PROVEEDORES[[#This Row],[PLAZO Días]],"PAGO VENCIDO")</f>
        <v>PAGO VENCIDO</v>
      </c>
      <c r="C1311" s="20">
        <f>+VLOOKUP(PROVEEDORES[[#This Row],[PROVEEDOR]],TERCEROS_INFO[#All],2,FALSE)</f>
        <v>30</v>
      </c>
      <c r="D1311" s="25">
        <f>+SUMIFS(PROVEEDORES[Total],PROVEEDORES[PROVEEDOR],PROVEEDORES[[#This Row],[PROVEEDOR]],PROVEEDORES[FECHA DE PAGO],"")</f>
        <v>1354000</v>
      </c>
      <c r="E1311" s="25"/>
      <c r="F131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11" s="161">
        <v>44442</v>
      </c>
      <c r="H1311" s="26" t="s">
        <v>699</v>
      </c>
      <c r="I1311" s="161">
        <v>44390</v>
      </c>
      <c r="J1311" s="35" t="s">
        <v>1470</v>
      </c>
      <c r="K1311" s="21">
        <v>1470000</v>
      </c>
      <c r="L1311" s="21"/>
      <c r="M1311" s="22">
        <f>(PROVEEDORES[[#This Row],[SUBTOTAL]]-PROVEEDORES[[#This Row],[descuento sobre subtotal]])*VLOOKUP(PROVEEDORES[[#This Row],[PROVEEDOR]],TERCEROS_INFO[#All],3,FALSE)</f>
        <v>0</v>
      </c>
      <c r="N1311" s="23"/>
      <c r="O1311" s="22">
        <f>+PROVEEDORES[[#This Row],[Descuento sobre subtotal %]]*(PROVEEDORES[[#This Row],[SUBTOTAL]]-PROVEEDORES[[#This Row],[descuento sobre subtotal]])</f>
        <v>0</v>
      </c>
      <c r="P1311" s="83">
        <f>+IF(PROVEEDORES[[#This Row],[SUBTOTAL]]&lt;PROVEEDORES[[#This Row],[base retencion]],0,PROVEEDORES[[#This Row],[retención aplicada]])</f>
        <v>0</v>
      </c>
      <c r="Q1311" s="22">
        <f>+PROVEEDORES[[#This Row],[Rete Fuente %]]*(PROVEEDORES[[#This Row],[SUBTOTAL]]-PROVEEDORES[[#This Row],[descuento sobre subtotal]])</f>
        <v>0</v>
      </c>
      <c r="R1311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13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1" s="68">
        <f ca="1">IF(PROVEEDORES[[#This Row],[FECHA DE PAGO]]=0,TODAY()-PROVEEDORES[[#This Row],[FECHA DE FACTURACIÓN]]-PROVEEDORES[[#This Row],[PLAZO Días]],0)</f>
        <v>0</v>
      </c>
      <c r="U1311" s="96">
        <f>+VLOOKUP(PROVEEDORES[[#This Row],[PROVEEDOR]],Terceros!$A:$D,4,FALSE)</f>
        <v>0</v>
      </c>
      <c r="V1311" s="97">
        <f>+YEAR(PROVEEDORES[[#This Row],[FECHA DE FACTURACIÓN]])</f>
        <v>2021</v>
      </c>
      <c r="W1311" s="97">
        <f>+MATCH(PROVEEDORES[[#This Row],[año facturado]],Retenciones!$1:$1,0)</f>
        <v>4</v>
      </c>
      <c r="X1311" s="98">
        <f>+VLOOKUP(PROVEEDORES[[#This Row],[ID RETENCION]],Retenciones!$A$1:$O$25,PROVEEDORES[[#This Row],[indicador de columna]],FALSE)</f>
        <v>0</v>
      </c>
      <c r="Y1311" s="99">
        <f>+VLOOKUP(PROVEEDORES[[#This Row],[ID RETENCION]],Retenciones!$A$1:$O$25,2,FALSE)</f>
        <v>0</v>
      </c>
      <c r="Z1311" s="125" t="b">
        <f>OR(COUNTIF(PROVEEDORES[[#This Row],[PROVEEDOR]],"*"&amp;'Palabra no opera'!$A$2&amp;"*"))</f>
        <v>0</v>
      </c>
      <c r="AA1311" s="24"/>
      <c r="AB1311" s="24"/>
      <c r="AC1311" s="24"/>
      <c r="AD1311" s="24"/>
      <c r="AE1311" s="24"/>
    </row>
    <row r="1312" spans="1:31" ht="22.2" customHeight="1" x14ac:dyDescent="0.3">
      <c r="A1312" s="66" t="str">
        <f>+IF(PROVEEDORES[[#This Row],[FECHA DE PAGO]]=PROVEEDORES[[#This Row],[FECHA DE FACTURACIÓN]],"DE CONTADO","CRÉDITO")</f>
        <v>CRÉDITO</v>
      </c>
      <c r="B1312" s="38" t="str">
        <f>+IF((PROVEEDORES[[#This Row],[FECHA DE PAGO]]-PROVEEDORES[[#This Row],[FECHA DE FACTURACIÓN]])&gt;PROVEEDORES[[#This Row],[PLAZO Días]],"PAGO VENCIDO")</f>
        <v>PAGO VENCIDO</v>
      </c>
      <c r="C1312" s="20">
        <f>+VLOOKUP(PROVEEDORES[[#This Row],[PROVEEDOR]],TERCEROS_INFO[#All],2,FALSE)</f>
        <v>30</v>
      </c>
      <c r="D1312" s="25">
        <f>+SUMIFS(PROVEEDORES[Total],PROVEEDORES[PROVEEDOR],PROVEEDORES[[#This Row],[PROVEEDOR]],PROVEEDORES[FECHA DE PAGO],"")</f>
        <v>0</v>
      </c>
      <c r="E1312" s="25"/>
      <c r="F131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312" s="161">
        <v>44543</v>
      </c>
      <c r="H1312" s="26" t="s">
        <v>688</v>
      </c>
      <c r="I1312" s="161">
        <v>44509</v>
      </c>
      <c r="J1312" s="35" t="s">
        <v>1518</v>
      </c>
      <c r="K1312" s="21">
        <v>1470000</v>
      </c>
      <c r="L1312" s="21"/>
      <c r="M1312" s="22">
        <f>(PROVEEDORES[[#This Row],[SUBTOTAL]]-PROVEEDORES[[#This Row],[descuento sobre subtotal]])*VLOOKUP(PROVEEDORES[[#This Row],[PROVEEDOR]],TERCEROS_INFO[#All],3,FALSE)</f>
        <v>0</v>
      </c>
      <c r="N1312" s="23"/>
      <c r="O1312" s="22">
        <f>+PROVEEDORES[[#This Row],[Descuento sobre subtotal %]]*(PROVEEDORES[[#This Row],[SUBTOTAL]]-PROVEEDORES[[#This Row],[descuento sobre subtotal]])</f>
        <v>0</v>
      </c>
      <c r="P1312" s="83">
        <f>+IF(PROVEEDORES[[#This Row],[SUBTOTAL]]&lt;PROVEEDORES[[#This Row],[base retencion]],0,PROVEEDORES[[#This Row],[retención aplicada]])</f>
        <v>0</v>
      </c>
      <c r="Q1312" s="22">
        <f>+PROVEEDORES[[#This Row],[Rete Fuente %]]*(PROVEEDORES[[#This Row],[SUBTOTAL]]-PROVEEDORES[[#This Row],[descuento sobre subtotal]])</f>
        <v>0</v>
      </c>
      <c r="R1312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13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2" s="68">
        <f ca="1">IF(PROVEEDORES[[#This Row],[FECHA DE PAGO]]=0,TODAY()-PROVEEDORES[[#This Row],[FECHA DE FACTURACIÓN]]-PROVEEDORES[[#This Row],[PLAZO Días]],0)</f>
        <v>0</v>
      </c>
      <c r="U1312" s="96">
        <f>+VLOOKUP(PROVEEDORES[[#This Row],[PROVEEDOR]],Terceros!$A:$D,4,FALSE)</f>
        <v>0</v>
      </c>
      <c r="V1312" s="97">
        <f>+YEAR(PROVEEDORES[[#This Row],[FECHA DE FACTURACIÓN]])</f>
        <v>2021</v>
      </c>
      <c r="W1312" s="97">
        <f>+MATCH(PROVEEDORES[[#This Row],[año facturado]],Retenciones!$1:$1,0)</f>
        <v>4</v>
      </c>
      <c r="X1312" s="98">
        <f>+VLOOKUP(PROVEEDORES[[#This Row],[ID RETENCION]],Retenciones!$A$1:$O$25,PROVEEDORES[[#This Row],[indicador de columna]],FALSE)</f>
        <v>0</v>
      </c>
      <c r="Y1312" s="99">
        <f>+VLOOKUP(PROVEEDORES[[#This Row],[ID RETENCION]],Retenciones!$A$1:$O$25,2,FALSE)</f>
        <v>0</v>
      </c>
      <c r="Z1312" s="125" t="b">
        <f>OR(COUNTIF(PROVEEDORES[[#This Row],[PROVEEDOR]],"*"&amp;'Palabra no opera'!$A$2&amp;"*"))</f>
        <v>0</v>
      </c>
      <c r="AA1312" s="24"/>
      <c r="AB1312" s="24"/>
      <c r="AC1312" s="24"/>
      <c r="AD1312" s="24"/>
      <c r="AE1312" s="24"/>
    </row>
    <row r="1313" spans="1:31" ht="22.2" customHeight="1" x14ac:dyDescent="0.3">
      <c r="A1313" s="157" t="str">
        <f>+IF(PROVEEDORES[[#This Row],[FECHA DE PAGO]]=PROVEEDORES[[#This Row],[FECHA DE FACTURACIÓN]],"DE CONTADO","CRÉDITO")</f>
        <v>CRÉDITO</v>
      </c>
      <c r="B1313" s="38" t="str">
        <f>+IF((PROVEEDORES[[#This Row],[FECHA DE PAGO]]-PROVEEDORES[[#This Row],[FECHA DE FACTURACIÓN]])&gt;PROVEEDORES[[#This Row],[PLAZO Días]],"PAGO VENCIDO")</f>
        <v>PAGO VENCIDO</v>
      </c>
      <c r="C1313" s="20">
        <f>+VLOOKUP(PROVEEDORES[[#This Row],[PROVEEDOR]],TERCEROS_INFO[#All],2,FALSE)</f>
        <v>30</v>
      </c>
      <c r="D1313" s="25">
        <f>+SUMIFS(PROVEEDORES[Total],PROVEEDORES[PROVEEDOR],PROVEEDORES[[#This Row],[PROVEEDOR]],PROVEEDORES[FECHA DE PAGO],"")</f>
        <v>0</v>
      </c>
      <c r="E1313" s="25"/>
      <c r="F131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13" s="161">
        <v>44747</v>
      </c>
      <c r="H1313" s="26" t="s">
        <v>670</v>
      </c>
      <c r="I1313" s="161">
        <v>44713</v>
      </c>
      <c r="J1313" s="35" t="s">
        <v>1028</v>
      </c>
      <c r="K1313" s="21">
        <v>1476500</v>
      </c>
      <c r="L1313" s="21"/>
      <c r="M1313" s="22">
        <f>(PROVEEDORES[[#This Row],[SUBTOTAL]]-PROVEEDORES[[#This Row],[descuento sobre subtotal]])*VLOOKUP(PROVEEDORES[[#This Row],[PROVEEDOR]],TERCEROS_INFO[#All],3,FALSE)</f>
        <v>0</v>
      </c>
      <c r="N1313" s="23"/>
      <c r="O1313" s="22">
        <f>+PROVEEDORES[[#This Row],[Descuento sobre subtotal %]]*(PROVEEDORES[[#This Row],[SUBTOTAL]]-PROVEEDORES[[#This Row],[descuento sobre subtotal]])</f>
        <v>0</v>
      </c>
      <c r="P1313" s="83">
        <f>+IF(PROVEEDORES[[#This Row],[SUBTOTAL]]&lt;PROVEEDORES[[#This Row],[base retencion]],0,PROVEEDORES[[#This Row],[retención aplicada]])</f>
        <v>0</v>
      </c>
      <c r="Q1313" s="22">
        <f>+PROVEEDORES[[#This Row],[Rete Fuente %]]*(PROVEEDORES[[#This Row],[SUBTOTAL]]-PROVEEDORES[[#This Row],[descuento sobre subtotal]])</f>
        <v>0</v>
      </c>
      <c r="R1313" s="21">
        <f>+PROVEEDORES[[#This Row],[SUBTOTAL]]+PROVEEDORES[[#This Row],[IVA 19%]]-PROVEEDORES[[#This Row],[descuento sobre subtotal]]-PROVEEDORES[[#This Row],[Descuento sobre subtotal $2]]-PROVEEDORES[[#This Row],[Rete Fuente $]]</f>
        <v>1476500</v>
      </c>
      <c r="S1313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3" s="68">
        <f ca="1">IF(PROVEEDORES[[#This Row],[FECHA DE PAGO]]=0,TODAY()-PROVEEDORES[[#This Row],[FECHA DE FACTURACIÓN]]-PROVEEDORES[[#This Row],[PLAZO Días]],0)</f>
        <v>0</v>
      </c>
      <c r="U1313" s="113">
        <f>+VLOOKUP(PROVEEDORES[[#This Row],[PROVEEDOR]],Terceros!$A:$D,4,FALSE)</f>
        <v>0</v>
      </c>
      <c r="V1313" s="114">
        <f>+YEAR(PROVEEDORES[[#This Row],[FECHA DE FACTURACIÓN]])</f>
        <v>2022</v>
      </c>
      <c r="W1313" s="114">
        <f>+MATCH(PROVEEDORES[[#This Row],[año facturado]],Retenciones!$1:$1,0)</f>
        <v>5</v>
      </c>
      <c r="X1313" s="115">
        <f>+VLOOKUP(PROVEEDORES[[#This Row],[ID RETENCION]],Retenciones!$A$1:$O$25,PROVEEDORES[[#This Row],[indicador de columna]],FALSE)</f>
        <v>0</v>
      </c>
      <c r="Y1313" s="116">
        <f>+VLOOKUP(PROVEEDORES[[#This Row],[ID RETENCION]],Retenciones!$A$1:$O$25,2,FALSE)</f>
        <v>0</v>
      </c>
      <c r="Z1313" s="125" t="b">
        <f>OR(COUNTIF(PROVEEDORES[[#This Row],[PROVEEDOR]],"*"&amp;'Palabra no opera'!$A$2&amp;"*"))</f>
        <v>0</v>
      </c>
      <c r="AA1313" s="24"/>
      <c r="AB1313" s="24"/>
      <c r="AC1313" s="24"/>
      <c r="AD1313" s="24"/>
      <c r="AE1313" s="24"/>
    </row>
    <row r="1314" spans="1:31" ht="22.2" customHeight="1" x14ac:dyDescent="0.3">
      <c r="A1314" s="66" t="str">
        <f>+IF(PROVEEDORES[[#This Row],[FECHA DE PAGO]]=PROVEEDORES[[#This Row],[FECHA DE FACTURACIÓN]],"DE CONTADO","CRÉDITO")</f>
        <v>CRÉDITO</v>
      </c>
      <c r="B1314" s="38" t="b">
        <f>+IF((PROVEEDORES[[#This Row],[FECHA DE PAGO]]-PROVEEDORES[[#This Row],[FECHA DE FACTURACIÓN]])&gt;PROVEEDORES[[#This Row],[PLAZO Días]],"PAGO VENCIDO")</f>
        <v>0</v>
      </c>
      <c r="C1314" s="20">
        <f>+VLOOKUP(PROVEEDORES[[#This Row],[PROVEEDOR]],TERCEROS_INFO[#All],2,FALSE)</f>
        <v>30</v>
      </c>
      <c r="D1314" s="25">
        <f>+SUMIFS(PROVEEDORES[Total],PROVEEDORES[PROVEEDOR],PROVEEDORES[[#This Row],[PROVEEDOR]],PROVEEDORES[FECHA DE PAGO],"")</f>
        <v>0</v>
      </c>
      <c r="E1314" s="25"/>
      <c r="F131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14" s="161">
        <v>44502</v>
      </c>
      <c r="H1314" s="26" t="s">
        <v>118</v>
      </c>
      <c r="I1314" s="161">
        <v>44501</v>
      </c>
      <c r="J1314" s="35" t="s">
        <v>1342</v>
      </c>
      <c r="K1314" s="21">
        <v>1481000</v>
      </c>
      <c r="L1314" s="21"/>
      <c r="M1314" s="22">
        <f>(PROVEEDORES[[#This Row],[SUBTOTAL]]-PROVEEDORES[[#This Row],[descuento sobre subtotal]])*VLOOKUP(PROVEEDORES[[#This Row],[PROVEEDOR]],TERCEROS_INFO[#All],3,FALSE)</f>
        <v>0</v>
      </c>
      <c r="N1314" s="23"/>
      <c r="O1314" s="22">
        <f>+PROVEEDORES[[#This Row],[Descuento sobre subtotal %]]*(PROVEEDORES[[#This Row],[SUBTOTAL]]-PROVEEDORES[[#This Row],[descuento sobre subtotal]])</f>
        <v>0</v>
      </c>
      <c r="P1314" s="83">
        <f>+IF(PROVEEDORES[[#This Row],[SUBTOTAL]]&lt;PROVEEDORES[[#This Row],[base retencion]],0,PROVEEDORES[[#This Row],[retención aplicada]])</f>
        <v>0</v>
      </c>
      <c r="Q1314" s="22">
        <f>+PROVEEDORES[[#This Row],[Rete Fuente %]]*(PROVEEDORES[[#This Row],[SUBTOTAL]]-PROVEEDORES[[#This Row],[descuento sobre subtotal]])</f>
        <v>0</v>
      </c>
      <c r="R1314" s="21">
        <f>+PROVEEDORES[[#This Row],[SUBTOTAL]]+PROVEEDORES[[#This Row],[IVA 19%]]-PROVEEDORES[[#This Row],[descuento sobre subtotal]]-PROVEEDORES[[#This Row],[Descuento sobre subtotal $2]]-PROVEEDORES[[#This Row],[Rete Fuente $]]</f>
        <v>1481000</v>
      </c>
      <c r="S13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4" s="68">
        <f ca="1">IF(PROVEEDORES[[#This Row],[FECHA DE PAGO]]=0,TODAY()-PROVEEDORES[[#This Row],[FECHA DE FACTURACIÓN]]-PROVEEDORES[[#This Row],[PLAZO Días]],0)</f>
        <v>0</v>
      </c>
      <c r="U1314" s="96">
        <f>+VLOOKUP(PROVEEDORES[[#This Row],[PROVEEDOR]],Terceros!$A:$D,4,FALSE)</f>
        <v>0</v>
      </c>
      <c r="V1314" s="97">
        <f>+YEAR(PROVEEDORES[[#This Row],[FECHA DE FACTURACIÓN]])</f>
        <v>2021</v>
      </c>
      <c r="W1314" s="97">
        <f>+MATCH(PROVEEDORES[[#This Row],[año facturado]],Retenciones!$1:$1,0)</f>
        <v>4</v>
      </c>
      <c r="X1314" s="98">
        <f>+VLOOKUP(PROVEEDORES[[#This Row],[ID RETENCION]],Retenciones!$A$1:$O$25,PROVEEDORES[[#This Row],[indicador de columna]],FALSE)</f>
        <v>0</v>
      </c>
      <c r="Y1314" s="99">
        <f>+VLOOKUP(PROVEEDORES[[#This Row],[ID RETENCION]],Retenciones!$A$1:$O$25,2,FALSE)</f>
        <v>0</v>
      </c>
      <c r="Z1314" s="125" t="b">
        <f>OR(COUNTIF(PROVEEDORES[[#This Row],[PROVEEDOR]],"*"&amp;'Palabra no opera'!$A$2&amp;"*"))</f>
        <v>0</v>
      </c>
      <c r="AA1314" s="24"/>
      <c r="AB1314" s="24"/>
      <c r="AC1314" s="24"/>
      <c r="AD1314" s="24"/>
      <c r="AE1314" s="24"/>
    </row>
    <row r="1315" spans="1:31" ht="22.2" customHeight="1" x14ac:dyDescent="0.3">
      <c r="A1315" s="66" t="str">
        <f>+IF(PROVEEDORES[[#This Row],[FECHA DE PAGO]]=PROVEEDORES[[#This Row],[FECHA DE FACTURACIÓN]],"DE CONTADO","CRÉDITO")</f>
        <v>CRÉDITO</v>
      </c>
      <c r="B1315" s="38" t="b">
        <f>+IF((PROVEEDORES[[#This Row],[FECHA DE PAGO]]-PROVEEDORES[[#This Row],[FECHA DE FACTURACIÓN]])&gt;PROVEEDORES[[#This Row],[PLAZO Días]],"PAGO VENCIDO")</f>
        <v>0</v>
      </c>
      <c r="C1315" s="20">
        <f>+VLOOKUP(PROVEEDORES[[#This Row],[PROVEEDOR]],TERCEROS_INFO[#All],2,FALSE)</f>
        <v>30</v>
      </c>
      <c r="D1315" s="25">
        <f>+SUMIFS(PROVEEDORES[Total],PROVEEDORES[PROVEEDOR],PROVEEDORES[[#This Row],[PROVEEDOR]],PROVEEDORES[FECHA DE PAGO],"")</f>
        <v>0</v>
      </c>
      <c r="E1315" s="25"/>
      <c r="F1315" s="58">
        <f>+VLOOKUP(PROVEEDORES[[#This Row],[PROVEEDOR]],
                       Terceros!$A:$F,
                       5,
                       FALSE)</f>
        <v>0</v>
      </c>
      <c r="G1315" s="161">
        <v>44419</v>
      </c>
      <c r="H1315" s="26" t="s">
        <v>403</v>
      </c>
      <c r="I1315" s="161">
        <v>44410</v>
      </c>
      <c r="J1315" s="35" t="s">
        <v>405</v>
      </c>
      <c r="K1315" s="21">
        <v>1490000</v>
      </c>
      <c r="L1315" s="21"/>
      <c r="M1315" s="22">
        <f>(PROVEEDORES[[#This Row],[SUBTOTAL]]-PROVEEDORES[[#This Row],[descuento sobre subtotal]])*VLOOKUP(PROVEEDORES[[#This Row],[PROVEEDOR]],TERCEROS_INFO[#All],3,FALSE)</f>
        <v>0</v>
      </c>
      <c r="N1315" s="23"/>
      <c r="O1315" s="22">
        <f>+PROVEEDORES[[#This Row],[Descuento sobre subtotal %]]*(PROVEEDORES[[#This Row],[SUBTOTAL]]-PROVEEDORES[[#This Row],[descuento sobre subtotal]])</f>
        <v>0</v>
      </c>
      <c r="P1315" s="83">
        <f>+IF(PROVEEDORES[[#This Row],[SUBTOTAL]]&lt;PROVEEDORES[[#This Row],[base retencion]],0,PROVEEDORES[[#This Row],[retención aplicada]])</f>
        <v>0</v>
      </c>
      <c r="Q1315" s="22">
        <f>+PROVEEDORES[[#This Row],[Rete Fuente %]]*(PROVEEDORES[[#This Row],[SUBTOTAL]]-PROVEEDORES[[#This Row],[descuento sobre subtotal]])</f>
        <v>0</v>
      </c>
      <c r="R1315" s="21">
        <f>+PROVEEDORES[[#This Row],[SUBTOTAL]]+PROVEEDORES[[#This Row],[IVA 19%]]-PROVEEDORES[[#This Row],[descuento sobre subtotal]]-PROVEEDORES[[#This Row],[Descuento sobre subtotal $2]]-PROVEEDORES[[#This Row],[Rete Fuente $]]</f>
        <v>1490000</v>
      </c>
      <c r="S13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5" s="68">
        <f ca="1">IF(PROVEEDORES[[#This Row],[FECHA DE PAGO]]=0,TODAY()-PROVEEDORES[[#This Row],[FECHA DE FACTURACIÓN]]-PROVEEDORES[[#This Row],[PLAZO Días]],0)</f>
        <v>0</v>
      </c>
      <c r="U1315" s="96">
        <f>+VLOOKUP(PROVEEDORES[[#This Row],[PROVEEDOR]],Terceros!$A:$D,4,FALSE)</f>
        <v>0</v>
      </c>
      <c r="V1315" s="97">
        <f>+YEAR(PROVEEDORES[[#This Row],[FECHA DE FACTURACIÓN]])</f>
        <v>2021</v>
      </c>
      <c r="W1315" s="97">
        <f>+MATCH(PROVEEDORES[[#This Row],[año facturado]],Retenciones!$1:$1,0)</f>
        <v>4</v>
      </c>
      <c r="X1315" s="98">
        <f>+VLOOKUP(PROVEEDORES[[#This Row],[ID RETENCION]],Retenciones!$A$1:$O$25,PROVEEDORES[[#This Row],[indicador de columna]],FALSE)</f>
        <v>0</v>
      </c>
      <c r="Y1315" s="99">
        <f>+VLOOKUP(PROVEEDORES[[#This Row],[ID RETENCION]],Retenciones!$A$1:$O$25,2,FALSE)</f>
        <v>0</v>
      </c>
      <c r="Z1315" s="125" t="b">
        <f>OR(COUNTIF(PROVEEDORES[[#This Row],[PROVEEDOR]],"*"&amp;'Palabra no opera'!$A$2&amp;"*"))</f>
        <v>0</v>
      </c>
      <c r="AA1315" s="24"/>
      <c r="AB1315" s="24"/>
      <c r="AC1315" s="24"/>
      <c r="AD1315" s="24"/>
      <c r="AE1315" s="24"/>
    </row>
    <row r="1316" spans="1:31" ht="22.2" customHeight="1" x14ac:dyDescent="0.3">
      <c r="A1316" s="185" t="str">
        <f>+IF(PROVEEDORES[[#This Row],[FECHA DE PAGO]]=PROVEEDORES[[#This Row],[FECHA DE FACTURACIÓN]],"DE CONTADO","CRÉDITO")</f>
        <v>CRÉDITO</v>
      </c>
      <c r="B1316" s="38" t="str">
        <f>+IF((PROVEEDORES[[#This Row],[FECHA DE PAGO]]-PROVEEDORES[[#This Row],[FECHA DE FACTURACIÓN]])&gt;PROVEEDORES[[#This Row],[PLAZO Días]],"PAGO VENCIDO")</f>
        <v>PAGO VENCIDO</v>
      </c>
      <c r="C1316" s="20">
        <f>+VLOOKUP(PROVEEDORES[[#This Row],[PROVEEDOR]],TERCEROS_INFO[#All],2,FALSE)</f>
        <v>30</v>
      </c>
      <c r="D1316" s="25">
        <f>+SUMIFS(PROVEEDORES[Total],PROVEEDORES[PROVEEDOR],PROVEEDORES[[#This Row],[PROVEEDOR]],PROVEEDORES[FECHA DE PAGO],"")</f>
        <v>0</v>
      </c>
      <c r="E1316" s="25"/>
      <c r="F1316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316" s="161">
        <v>44786</v>
      </c>
      <c r="H1316" s="26" t="s">
        <v>633</v>
      </c>
      <c r="I1316" s="161">
        <v>44751</v>
      </c>
      <c r="J1316" s="35" t="s">
        <v>1615</v>
      </c>
      <c r="K1316" s="21">
        <v>1492400</v>
      </c>
      <c r="L1316" s="21"/>
      <c r="M1316" s="22">
        <f>(PROVEEDORES[[#This Row],[SUBTOTAL]]-PROVEEDORES[[#This Row],[descuento sobre subtotal]])*VLOOKUP(PROVEEDORES[[#This Row],[PROVEEDOR]],TERCEROS_INFO[#All],3,FALSE)</f>
        <v>0</v>
      </c>
      <c r="N1316" s="23"/>
      <c r="O1316" s="22">
        <f>+PROVEEDORES[[#This Row],[Descuento sobre subtotal %]]*(PROVEEDORES[[#This Row],[SUBTOTAL]]-PROVEEDORES[[#This Row],[descuento sobre subtotal]])</f>
        <v>0</v>
      </c>
      <c r="P1316" s="83">
        <f>+IF(PROVEEDORES[[#This Row],[SUBTOTAL]]&lt;PROVEEDORES[[#This Row],[base retencion]],0,PROVEEDORES[[#This Row],[retención aplicada]])</f>
        <v>0</v>
      </c>
      <c r="Q1316" s="22">
        <f>+PROVEEDORES[[#This Row],[Rete Fuente %]]*(PROVEEDORES[[#This Row],[SUBTOTAL]]-PROVEEDORES[[#This Row],[descuento sobre subtotal]])</f>
        <v>0</v>
      </c>
      <c r="R1316" s="21">
        <f>+PROVEEDORES[[#This Row],[SUBTOTAL]]+PROVEEDORES[[#This Row],[IVA 19%]]-PROVEEDORES[[#This Row],[descuento sobre subtotal]]-PROVEEDORES[[#This Row],[Descuento sobre subtotal $2]]-PROVEEDORES[[#This Row],[Rete Fuente $]]</f>
        <v>1492400</v>
      </c>
      <c r="S1316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6" s="68">
        <f ca="1">IF(PROVEEDORES[[#This Row],[FECHA DE PAGO]]=0,TODAY()-PROVEEDORES[[#This Row],[FECHA DE FACTURACIÓN]]-PROVEEDORES[[#This Row],[PLAZO Días]],0)</f>
        <v>0</v>
      </c>
      <c r="U1316" s="113">
        <f>+VLOOKUP(PROVEEDORES[[#This Row],[PROVEEDOR]],Terceros!$A:$D,4,FALSE)</f>
        <v>0</v>
      </c>
      <c r="V1316" s="114">
        <f>+YEAR(PROVEEDORES[[#This Row],[FECHA DE FACTURACIÓN]])</f>
        <v>2022</v>
      </c>
      <c r="W1316" s="114">
        <f>+MATCH(PROVEEDORES[[#This Row],[año facturado]],Retenciones!$1:$1,0)</f>
        <v>5</v>
      </c>
      <c r="X1316" s="115">
        <f>+VLOOKUP(PROVEEDORES[[#This Row],[ID RETENCION]],Retenciones!$A$1:$O$25,PROVEEDORES[[#This Row],[indicador de columna]],FALSE)</f>
        <v>0</v>
      </c>
      <c r="Y1316" s="116">
        <f>+VLOOKUP(PROVEEDORES[[#This Row],[ID RETENCION]],Retenciones!$A$1:$O$25,2,FALSE)</f>
        <v>0</v>
      </c>
      <c r="Z1316" s="125" t="b">
        <f>OR(COUNTIF(PROVEEDORES[[#This Row],[PROVEEDOR]],"*"&amp;'Palabra no opera'!$A$2&amp;"*"))</f>
        <v>0</v>
      </c>
      <c r="AA1316" s="24"/>
      <c r="AB1316" s="24"/>
      <c r="AC1316" s="24"/>
      <c r="AD1316" s="24"/>
      <c r="AE1316" s="24"/>
    </row>
    <row r="1317" spans="1:31" ht="22.2" customHeight="1" x14ac:dyDescent="0.3">
      <c r="A1317" s="66" t="str">
        <f>+IF(PROVEEDORES[[#This Row],[FECHA DE PAGO]]=PROVEEDORES[[#This Row],[FECHA DE FACTURACIÓN]],"DE CONTADO","CRÉDITO")</f>
        <v>CRÉDITO</v>
      </c>
      <c r="B1317" s="38" t="str">
        <f>+IF((PROVEEDORES[[#This Row],[FECHA DE PAGO]]-PROVEEDORES[[#This Row],[FECHA DE FACTURACIÓN]])&gt;PROVEEDORES[[#This Row],[PLAZO Días]],"PAGO VENCIDO")</f>
        <v>PAGO VENCIDO</v>
      </c>
      <c r="C1317" s="20">
        <f>+VLOOKUP(PROVEEDORES[[#This Row],[PROVEEDOR]],TERCEROS_INFO[#All],2,FALSE)</f>
        <v>30</v>
      </c>
      <c r="D1317" s="25">
        <f>+SUMIFS(PROVEEDORES[Total],PROVEEDORES[PROVEEDOR],PROVEEDORES[[#This Row],[PROVEEDOR]],PROVEEDORES[FECHA DE PAGO],"")</f>
        <v>2223034.2400000002</v>
      </c>
      <c r="E1317" s="25"/>
      <c r="F131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17" s="161">
        <v>44636</v>
      </c>
      <c r="H1317" s="26" t="s">
        <v>216</v>
      </c>
      <c r="I1317" s="161">
        <v>44551</v>
      </c>
      <c r="J1317" s="35">
        <v>458</v>
      </c>
      <c r="K1317" s="21">
        <v>1281933</v>
      </c>
      <c r="L1317" s="21"/>
      <c r="M1317" s="22">
        <f>(PROVEEDORES[[#This Row],[SUBTOTAL]]-PROVEEDORES[[#This Row],[descuento sobre subtotal]])*VLOOKUP(PROVEEDORES[[#This Row],[PROVEEDOR]],TERCEROS_INFO[#All],3,FALSE)</f>
        <v>243567.27</v>
      </c>
      <c r="N1317" s="23"/>
      <c r="O1317" s="22">
        <f>+PROVEEDORES[[#This Row],[Descuento sobre subtotal %]]*(PROVEEDORES[[#This Row],[SUBTOTAL]]-PROVEEDORES[[#This Row],[descuento sobre subtotal]])</f>
        <v>0</v>
      </c>
      <c r="P1317" s="83">
        <f>+IF(PROVEEDORES[[#This Row],[SUBTOTAL]]&lt;PROVEEDORES[[#This Row],[base retencion]],0,PROVEEDORES[[#This Row],[retención aplicada]])</f>
        <v>2.5000000000000001E-2</v>
      </c>
      <c r="Q1317" s="22">
        <f>+PROVEEDORES[[#This Row],[Rete Fuente %]]*(PROVEEDORES[[#This Row],[SUBTOTAL]]-PROVEEDORES[[#This Row],[descuento sobre subtotal]])</f>
        <v>32048.325000000001</v>
      </c>
      <c r="R1317" s="21">
        <v>1493451.9450000001</v>
      </c>
      <c r="S13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7" s="68">
        <f ca="1">IF(PROVEEDORES[[#This Row],[FECHA DE PAGO]]=0,TODAY()-PROVEEDORES[[#This Row],[FECHA DE FACTURACIÓN]]-PROVEEDORES[[#This Row],[PLAZO Días]],0)</f>
        <v>0</v>
      </c>
      <c r="U1317" s="96" t="str">
        <f>+VLOOKUP(PROVEEDORES[[#This Row],[PROVEEDOR]],Terceros!$A:$D,4,FALSE)</f>
        <v>2,5% con base</v>
      </c>
      <c r="V1317" s="97">
        <f>+YEAR(PROVEEDORES[[#This Row],[FECHA DE FACTURACIÓN]])</f>
        <v>2021</v>
      </c>
      <c r="W1317" s="97">
        <f>+MATCH(PROVEEDORES[[#This Row],[año facturado]],Retenciones!$1:$1,0)</f>
        <v>4</v>
      </c>
      <c r="X1317" s="98">
        <f>+VLOOKUP(PROVEEDORES[[#This Row],[ID RETENCION]],Retenciones!$A$1:$O$25,PROVEEDORES[[#This Row],[indicador de columna]],FALSE)</f>
        <v>980000</v>
      </c>
      <c r="Y1317" s="99">
        <f>+VLOOKUP(PROVEEDORES[[#This Row],[ID RETENCION]],Retenciones!$A$1:$O$25,2,FALSE)</f>
        <v>2.5000000000000001E-2</v>
      </c>
      <c r="Z1317" s="125" t="b">
        <f>OR(COUNTIF(PROVEEDORES[[#This Row],[PROVEEDOR]],"*"&amp;'Palabra no opera'!$A$2&amp;"*"))</f>
        <v>0</v>
      </c>
      <c r="AA1317" s="24"/>
      <c r="AB1317" s="24"/>
      <c r="AC1317" s="24"/>
      <c r="AD1317" s="24"/>
      <c r="AE1317" s="24"/>
    </row>
    <row r="1318" spans="1:31" ht="22.2" customHeight="1" x14ac:dyDescent="0.3">
      <c r="A1318" s="66" t="str">
        <f>+IF(PROVEEDORES[[#This Row],[FECHA DE PAGO]]=PROVEEDORES[[#This Row],[FECHA DE FACTURACIÓN]],"DE CONTADO","CRÉDITO")</f>
        <v>CRÉDITO</v>
      </c>
      <c r="B1318" s="38" t="b">
        <f>+IF((PROVEEDORES[[#This Row],[FECHA DE PAGO]]-PROVEEDORES[[#This Row],[FECHA DE FACTURACIÓN]])&gt;PROVEEDORES[[#This Row],[PLAZO Días]],"PAGO VENCIDO")</f>
        <v>0</v>
      </c>
      <c r="C1318" s="20">
        <f>+VLOOKUP(PROVEEDORES[[#This Row],[PROVEEDOR]],TERCEROS_INFO[#All],2,FALSE)</f>
        <v>30</v>
      </c>
      <c r="D1318" s="25">
        <f>+SUMIFS(PROVEEDORES[Total],PROVEEDORES[PROVEEDOR],PROVEEDORES[[#This Row],[PROVEEDOR]],PROVEEDORES[FECHA DE PAGO],"")</f>
        <v>2121000</v>
      </c>
      <c r="E1318" s="25"/>
      <c r="F131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18" s="161">
        <v>44445</v>
      </c>
      <c r="H1318" s="26" t="s">
        <v>685</v>
      </c>
      <c r="I1318" s="161">
        <v>44435</v>
      </c>
      <c r="J1318" s="35" t="s">
        <v>1293</v>
      </c>
      <c r="K1318" s="21">
        <v>1500000</v>
      </c>
      <c r="L1318" s="21"/>
      <c r="M1318" s="22">
        <f>(PROVEEDORES[[#This Row],[SUBTOTAL]]-PROVEEDORES[[#This Row],[descuento sobre subtotal]])*VLOOKUP(PROVEEDORES[[#This Row],[PROVEEDOR]],TERCEROS_INFO[#All],3,FALSE)</f>
        <v>0</v>
      </c>
      <c r="N1318" s="23"/>
      <c r="O1318" s="22">
        <f>+PROVEEDORES[[#This Row],[Descuento sobre subtotal %]]*(PROVEEDORES[[#This Row],[SUBTOTAL]]-PROVEEDORES[[#This Row],[descuento sobre subtotal]])</f>
        <v>0</v>
      </c>
      <c r="P1318" s="83">
        <f>+IF(PROVEEDORES[[#This Row],[SUBTOTAL]]&lt;PROVEEDORES[[#This Row],[base retencion]],0,PROVEEDORES[[#This Row],[retención aplicada]])</f>
        <v>0</v>
      </c>
      <c r="Q1318" s="22">
        <f>+PROVEEDORES[[#This Row],[Rete Fuente %]]*(PROVEEDORES[[#This Row],[SUBTOTAL]]-PROVEEDORES[[#This Row],[descuento sobre subtotal]])</f>
        <v>0</v>
      </c>
      <c r="R1318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13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8" s="68">
        <f ca="1">IF(PROVEEDORES[[#This Row],[FECHA DE PAGO]]=0,TODAY()-PROVEEDORES[[#This Row],[FECHA DE FACTURACIÓN]]-PROVEEDORES[[#This Row],[PLAZO Días]],0)</f>
        <v>0</v>
      </c>
      <c r="U1318" s="96">
        <f>+VLOOKUP(PROVEEDORES[[#This Row],[PROVEEDOR]],Terceros!$A:$D,4,FALSE)</f>
        <v>0</v>
      </c>
      <c r="V1318" s="97">
        <f>+YEAR(PROVEEDORES[[#This Row],[FECHA DE FACTURACIÓN]])</f>
        <v>2021</v>
      </c>
      <c r="W1318" s="97">
        <f>+MATCH(PROVEEDORES[[#This Row],[año facturado]],Retenciones!$1:$1,0)</f>
        <v>4</v>
      </c>
      <c r="X1318" s="98">
        <f>+VLOOKUP(PROVEEDORES[[#This Row],[ID RETENCION]],Retenciones!$A$1:$O$25,PROVEEDORES[[#This Row],[indicador de columna]],FALSE)</f>
        <v>0</v>
      </c>
      <c r="Y1318" s="99">
        <f>+VLOOKUP(PROVEEDORES[[#This Row],[ID RETENCION]],Retenciones!$A$1:$O$25,2,FALSE)</f>
        <v>0</v>
      </c>
      <c r="Z1318" s="125" t="b">
        <f>OR(COUNTIF(PROVEEDORES[[#This Row],[PROVEEDOR]],"*"&amp;'Palabra no opera'!$A$2&amp;"*"))</f>
        <v>0</v>
      </c>
      <c r="AA1318" s="24"/>
      <c r="AB1318" s="24"/>
      <c r="AC1318" s="24"/>
      <c r="AD1318" s="24"/>
      <c r="AE1318" s="24"/>
    </row>
    <row r="1319" spans="1:31" ht="22.2" customHeight="1" x14ac:dyDescent="0.3">
      <c r="A1319" s="66" t="str">
        <f>+IF(PROVEEDORES[[#This Row],[FECHA DE PAGO]]=PROVEEDORES[[#This Row],[FECHA DE FACTURACIÓN]],"DE CONTADO","CRÉDITO")</f>
        <v>CRÉDITO</v>
      </c>
      <c r="B1319" s="38" t="str">
        <f>+IF((PROVEEDORES[[#This Row],[FECHA DE PAGO]]-PROVEEDORES[[#This Row],[FECHA DE FACTURACIÓN]])&gt;PROVEEDORES[[#This Row],[PLAZO Días]],"PAGO VENCIDO")</f>
        <v>PAGO VENCIDO</v>
      </c>
      <c r="C1319" s="20">
        <f>+VLOOKUP(PROVEEDORES[[#This Row],[PROVEEDOR]],TERCEROS_INFO[#All],2,FALSE)</f>
        <v>30</v>
      </c>
      <c r="D1319" s="25">
        <f>+SUMIFS(PROVEEDORES[Total],PROVEEDORES[PROVEEDOR],PROVEEDORES[[#This Row],[PROVEEDOR]],PROVEEDORES[FECHA DE PAGO],"")</f>
        <v>0</v>
      </c>
      <c r="E1319" s="25"/>
      <c r="F1319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319" s="161">
        <v>44490</v>
      </c>
      <c r="H1319" s="26" t="s">
        <v>667</v>
      </c>
      <c r="I1319" s="161">
        <v>44459</v>
      </c>
      <c r="J1319" s="35" t="s">
        <v>1499</v>
      </c>
      <c r="K1319" s="21">
        <v>1500000</v>
      </c>
      <c r="L1319" s="21"/>
      <c r="M1319" s="22">
        <f>(PROVEEDORES[[#This Row],[SUBTOTAL]]-PROVEEDORES[[#This Row],[descuento sobre subtotal]])*VLOOKUP(PROVEEDORES[[#This Row],[PROVEEDOR]],TERCEROS_INFO[#All],3,FALSE)</f>
        <v>0</v>
      </c>
      <c r="N1319" s="23"/>
      <c r="O1319" s="22">
        <f>+PROVEEDORES[[#This Row],[Descuento sobre subtotal %]]*(PROVEEDORES[[#This Row],[SUBTOTAL]]-PROVEEDORES[[#This Row],[descuento sobre subtotal]])</f>
        <v>0</v>
      </c>
      <c r="P1319" s="83">
        <f>+IF(PROVEEDORES[[#This Row],[SUBTOTAL]]&lt;PROVEEDORES[[#This Row],[base retencion]],0,PROVEEDORES[[#This Row],[retención aplicada]])</f>
        <v>0</v>
      </c>
      <c r="Q1319" s="22">
        <f>+PROVEEDORES[[#This Row],[Rete Fuente %]]*(PROVEEDORES[[#This Row],[SUBTOTAL]]-PROVEEDORES[[#This Row],[descuento sobre subtotal]])</f>
        <v>0</v>
      </c>
      <c r="R1319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13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9" s="68">
        <f ca="1">IF(PROVEEDORES[[#This Row],[FECHA DE PAGO]]=0,TODAY()-PROVEEDORES[[#This Row],[FECHA DE FACTURACIÓN]]-PROVEEDORES[[#This Row],[PLAZO Días]],0)</f>
        <v>0</v>
      </c>
      <c r="U1319" s="96">
        <f>+VLOOKUP(PROVEEDORES[[#This Row],[PROVEEDOR]],Terceros!$A:$D,4,FALSE)</f>
        <v>0</v>
      </c>
      <c r="V1319" s="97">
        <f>+YEAR(PROVEEDORES[[#This Row],[FECHA DE FACTURACIÓN]])</f>
        <v>2021</v>
      </c>
      <c r="W1319" s="97">
        <f>+MATCH(PROVEEDORES[[#This Row],[año facturado]],Retenciones!$1:$1,0)</f>
        <v>4</v>
      </c>
      <c r="X1319" s="98">
        <f>+VLOOKUP(PROVEEDORES[[#This Row],[ID RETENCION]],Retenciones!$A$1:$O$25,PROVEEDORES[[#This Row],[indicador de columna]],FALSE)</f>
        <v>0</v>
      </c>
      <c r="Y1319" s="99">
        <f>+VLOOKUP(PROVEEDORES[[#This Row],[ID RETENCION]],Retenciones!$A$1:$O$25,2,FALSE)</f>
        <v>0</v>
      </c>
      <c r="Z1319" s="125" t="b">
        <f>OR(COUNTIF(PROVEEDORES[[#This Row],[PROVEEDOR]],"*"&amp;'Palabra no opera'!$A$2&amp;"*"))</f>
        <v>0</v>
      </c>
      <c r="AA1319" s="24"/>
      <c r="AB1319" s="24"/>
      <c r="AC1319" s="24"/>
      <c r="AD1319" s="24"/>
      <c r="AE1319" s="24"/>
    </row>
    <row r="1320" spans="1:31" ht="22.2" customHeight="1" x14ac:dyDescent="0.3">
      <c r="A1320" s="185" t="str">
        <f>+IF(PROVEEDORES[[#This Row],[FECHA DE PAGO]]=PROVEEDORES[[#This Row],[FECHA DE FACTURACIÓN]],"DE CONTADO","CRÉDITO")</f>
        <v>CRÉDITO</v>
      </c>
      <c r="B1320" s="38" t="str">
        <f>+IF((PROVEEDORES[[#This Row],[FECHA DE PAGO]]-PROVEEDORES[[#This Row],[FECHA DE FACTURACIÓN]])&gt;PROVEEDORES[[#This Row],[PLAZO Días]],"PAGO VENCIDO")</f>
        <v>PAGO VENCIDO</v>
      </c>
      <c r="C1320" s="20">
        <f>+VLOOKUP(PROVEEDORES[[#This Row],[PROVEEDOR]],TERCEROS_INFO[#All],2,FALSE)</f>
        <v>0</v>
      </c>
      <c r="D1320" s="25">
        <f>+SUMIFS(PROVEEDORES[Total],PROVEEDORES[PROVEEDOR],PROVEEDORES[[#This Row],[PROVEEDOR]],PROVEEDORES[FECHA DE PAGO],"")</f>
        <v>0</v>
      </c>
      <c r="E1320" s="25"/>
      <c r="F1320" s="58">
        <f>+VLOOKUP(PROVEEDORES[[#This Row],[PROVEEDOR]],
                       Terceros!$A:$F,
                       5,
                       FALSE)</f>
        <v>0</v>
      </c>
      <c r="G1320" s="161">
        <v>44730</v>
      </c>
      <c r="H1320" s="26" t="s">
        <v>1050</v>
      </c>
      <c r="I1320" s="161">
        <v>44713</v>
      </c>
      <c r="J1320" s="35" t="s">
        <v>1385</v>
      </c>
      <c r="K1320" s="21">
        <v>1500000</v>
      </c>
      <c r="L1320" s="21"/>
      <c r="M1320" s="22">
        <f>(PROVEEDORES[[#This Row],[SUBTOTAL]]-PROVEEDORES[[#This Row],[descuento sobre subtotal]])*VLOOKUP(PROVEEDORES[[#This Row],[PROVEEDOR]],TERCEROS_INFO[#All],3,FALSE)</f>
        <v>0</v>
      </c>
      <c r="N1320" s="23"/>
      <c r="O1320" s="22">
        <f>+PROVEEDORES[[#This Row],[Descuento sobre subtotal %]]*(PROVEEDORES[[#This Row],[SUBTOTAL]]-PROVEEDORES[[#This Row],[descuento sobre subtotal]])</f>
        <v>0</v>
      </c>
      <c r="P1320" s="83">
        <f>+IF(PROVEEDORES[[#This Row],[SUBTOTAL]]&lt;PROVEEDORES[[#This Row],[base retencion]],0,PROVEEDORES[[#This Row],[retención aplicada]])</f>
        <v>0</v>
      </c>
      <c r="Q1320" s="22">
        <f>+PROVEEDORES[[#This Row],[Rete Fuente %]]*(PROVEEDORES[[#This Row],[SUBTOTAL]]-PROVEEDORES[[#This Row],[descuento sobre subtotal]])</f>
        <v>0</v>
      </c>
      <c r="R1320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1320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0" s="68">
        <f ca="1">IF(PROVEEDORES[[#This Row],[FECHA DE PAGO]]=0,TODAY()-PROVEEDORES[[#This Row],[FECHA DE FACTURACIÓN]]-PROVEEDORES[[#This Row],[PLAZO Días]],0)</f>
        <v>0</v>
      </c>
      <c r="U1320" s="113">
        <f>+VLOOKUP(PROVEEDORES[[#This Row],[PROVEEDOR]],Terceros!$A:$D,4,FALSE)</f>
        <v>0</v>
      </c>
      <c r="V1320" s="114">
        <f>+YEAR(PROVEEDORES[[#This Row],[FECHA DE FACTURACIÓN]])</f>
        <v>2022</v>
      </c>
      <c r="W1320" s="114">
        <f>+MATCH(PROVEEDORES[[#This Row],[año facturado]],Retenciones!$1:$1,0)</f>
        <v>5</v>
      </c>
      <c r="X1320" s="115">
        <f>+VLOOKUP(PROVEEDORES[[#This Row],[ID RETENCION]],Retenciones!$A$1:$O$25,PROVEEDORES[[#This Row],[indicador de columna]],FALSE)</f>
        <v>0</v>
      </c>
      <c r="Y1320" s="116">
        <f>+VLOOKUP(PROVEEDORES[[#This Row],[ID RETENCION]],Retenciones!$A$1:$O$25,2,FALSE)</f>
        <v>0</v>
      </c>
      <c r="Z1320" s="125" t="b">
        <f>OR(COUNTIF(PROVEEDORES[[#This Row],[PROVEEDOR]],"*"&amp;'Palabra no opera'!$A$2&amp;"*"))</f>
        <v>1</v>
      </c>
      <c r="AA1320" s="24"/>
      <c r="AB1320" s="24"/>
      <c r="AC1320" s="24"/>
      <c r="AD1320" s="24"/>
      <c r="AE1320" s="24"/>
    </row>
    <row r="1321" spans="1:31" ht="22.2" customHeight="1" x14ac:dyDescent="0.3">
      <c r="A1321" s="66" t="str">
        <f>+IF(PROVEEDORES[[#This Row],[FECHA DE PAGO]]=PROVEEDORES[[#This Row],[FECHA DE FACTURACIÓN]],"DE CONTADO","CRÉDITO")</f>
        <v>CRÉDITO</v>
      </c>
      <c r="B1321" s="38" t="str">
        <f>+IF((PROVEEDORES[[#This Row],[FECHA DE PAGO]]-PROVEEDORES[[#This Row],[FECHA DE FACTURACIÓN]])&gt;PROVEEDORES[[#This Row],[PLAZO Días]],"PAGO VENCIDO")</f>
        <v>PAGO VENCIDO</v>
      </c>
      <c r="C1321" s="20">
        <f>+VLOOKUP(PROVEEDORES[[#This Row],[PROVEEDOR]],TERCEROS_INFO[#All],2,FALSE)</f>
        <v>30</v>
      </c>
      <c r="D1321" s="25">
        <f>+SUMIFS(PROVEEDORES[Total],PROVEEDORES[PROVEEDOR],PROVEEDORES[[#This Row],[PROVEEDOR]],PROVEEDORES[FECHA DE PAGO],"")</f>
        <v>3430770</v>
      </c>
      <c r="E1321" s="25"/>
      <c r="F132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21" s="161">
        <v>44550</v>
      </c>
      <c r="H1321" s="26" t="s">
        <v>1448</v>
      </c>
      <c r="I1321" s="161">
        <v>44513</v>
      </c>
      <c r="J1321" s="35">
        <v>24746</v>
      </c>
      <c r="K1321" s="21">
        <v>1294560</v>
      </c>
      <c r="L1321" s="21"/>
      <c r="M1321" s="22">
        <f>(PROVEEDORES[[#This Row],[SUBTOTAL]]-PROVEEDORES[[#This Row],[descuento sobre subtotal]])*VLOOKUP(PROVEEDORES[[#This Row],[PROVEEDOR]],TERCEROS_INFO[#All],3,FALSE)</f>
        <v>245966.4</v>
      </c>
      <c r="N1321" s="23"/>
      <c r="O1321" s="22">
        <f>+PROVEEDORES[[#This Row],[Descuento sobre subtotal %]]*(PROVEEDORES[[#This Row],[SUBTOTAL]]-PROVEEDORES[[#This Row],[descuento sobre subtotal]])</f>
        <v>0</v>
      </c>
      <c r="P1321" s="83">
        <v>2.5000000000000001E-2</v>
      </c>
      <c r="Q1321" s="22">
        <f>+PROVEEDORES[[#This Row],[Rete Fuente %]]*(PROVEEDORES[[#This Row],[SUBTOTAL]]-PROVEEDORES[[#This Row],[descuento sobre subtotal]])</f>
        <v>32364</v>
      </c>
      <c r="R1321" s="21">
        <f>+PROVEEDORES[[#This Row],[SUBTOTAL]]+PROVEEDORES[[#This Row],[IVA 19%]]-PROVEEDORES[[#This Row],[descuento sobre subtotal]]-PROVEEDORES[[#This Row],[Descuento sobre subtotal $2]]-PROVEEDORES[[#This Row],[Rete Fuente $]]</f>
        <v>1508162.4</v>
      </c>
      <c r="S13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1" s="68">
        <f ca="1">IF(PROVEEDORES[[#This Row],[FECHA DE PAGO]]=0,TODAY()-PROVEEDORES[[#This Row],[FECHA DE FACTURACIÓN]]-PROVEEDORES[[#This Row],[PLAZO Días]],0)</f>
        <v>0</v>
      </c>
      <c r="U1321" s="96">
        <f>+VLOOKUP(PROVEEDORES[[#This Row],[PROVEEDOR]],Terceros!$A:$D,4,FALSE)</f>
        <v>0</v>
      </c>
      <c r="V1321" s="97">
        <f>+YEAR(PROVEEDORES[[#This Row],[FECHA DE FACTURACIÓN]])</f>
        <v>2021</v>
      </c>
      <c r="W1321" s="97">
        <f>+MATCH(PROVEEDORES[[#This Row],[año facturado]],Retenciones!$1:$1,0)</f>
        <v>4</v>
      </c>
      <c r="X1321" s="98">
        <f>+VLOOKUP(PROVEEDORES[[#This Row],[ID RETENCION]],Retenciones!$A$1:$O$25,PROVEEDORES[[#This Row],[indicador de columna]],FALSE)</f>
        <v>0</v>
      </c>
      <c r="Y1321" s="99">
        <f>+VLOOKUP(PROVEEDORES[[#This Row],[ID RETENCION]],Retenciones!$A$1:$O$25,2,FALSE)</f>
        <v>0</v>
      </c>
      <c r="Z1321" s="125" t="b">
        <f>OR(COUNTIF(PROVEEDORES[[#This Row],[PROVEEDOR]],"*"&amp;'Palabra no opera'!$A$2&amp;"*"))</f>
        <v>0</v>
      </c>
      <c r="AA1321" s="24"/>
      <c r="AB1321" s="24"/>
      <c r="AC1321" s="24"/>
      <c r="AD1321" s="24"/>
      <c r="AE1321" s="24"/>
    </row>
    <row r="1322" spans="1:31" ht="22.2" customHeight="1" x14ac:dyDescent="0.3">
      <c r="A1322" s="66" t="str">
        <f>+IF(PROVEEDORES[[#This Row],[FECHA DE PAGO]]=PROVEEDORES[[#This Row],[FECHA DE FACTURACIÓN]],"DE CONTADO","CRÉDITO")</f>
        <v>CRÉDITO</v>
      </c>
      <c r="B1322" s="38" t="str">
        <f>+IF((PROVEEDORES[[#This Row],[FECHA DE PAGO]]-PROVEEDORES[[#This Row],[FECHA DE FACTURACIÓN]])&gt;PROVEEDORES[[#This Row],[PLAZO Días]],"PAGO VENCIDO")</f>
        <v>PAGO VENCIDO</v>
      </c>
      <c r="C1322" s="20">
        <f>+VLOOKUP(PROVEEDORES[[#This Row],[PROVEEDOR]],TERCEROS_INFO[#All],2,FALSE)</f>
        <v>30</v>
      </c>
      <c r="D1322" s="25">
        <f>+SUMIFS(PROVEEDORES[Total],PROVEEDORES[PROVEEDOR],PROVEEDORES[[#This Row],[PROVEEDOR]],PROVEEDORES[FECHA DE PAGO],"")</f>
        <v>0</v>
      </c>
      <c r="E1322" s="25"/>
      <c r="F132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322" s="161">
        <v>44656</v>
      </c>
      <c r="H1322" s="26" t="s">
        <v>688</v>
      </c>
      <c r="I1322" s="161">
        <v>44597</v>
      </c>
      <c r="J1322" s="35" t="s">
        <v>1569</v>
      </c>
      <c r="K1322" s="21">
        <v>1510000</v>
      </c>
      <c r="L1322" s="21"/>
      <c r="M1322" s="22">
        <v>0</v>
      </c>
      <c r="N1322" s="23"/>
      <c r="O1322" s="22">
        <v>0</v>
      </c>
      <c r="P1322" s="83">
        <f>+IF(PROVEEDORES[[#This Row],[SUBTOTAL]]&lt;PROVEEDORES[[#This Row],[base retencion]],0,PROVEEDORES[[#This Row],[retención aplicada]])</f>
        <v>0</v>
      </c>
      <c r="Q1322" s="22">
        <f>+PROVEEDORES[[#This Row],[Rete Fuente %]]*(PROVEEDORES[[#This Row],[SUBTOTAL]]-PROVEEDORES[[#This Row],[descuento sobre subtotal]])</f>
        <v>0</v>
      </c>
      <c r="R1322" s="21">
        <v>1510000</v>
      </c>
      <c r="S13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2" s="68">
        <f ca="1">IF(PROVEEDORES[[#This Row],[FECHA DE PAGO]]=0,TODAY()-PROVEEDORES[[#This Row],[FECHA DE FACTURACIÓN]]-PROVEEDORES[[#This Row],[PLAZO Días]],0)</f>
        <v>0</v>
      </c>
      <c r="U1322" s="96">
        <f>+VLOOKUP(PROVEEDORES[[#This Row],[PROVEEDOR]],Terceros!$A:$D,4,FALSE)</f>
        <v>0</v>
      </c>
      <c r="V1322" s="97">
        <f>+YEAR(PROVEEDORES[[#This Row],[FECHA DE FACTURACIÓN]])</f>
        <v>2022</v>
      </c>
      <c r="W1322" s="97">
        <f>+MATCH(PROVEEDORES[[#This Row],[año facturado]],Retenciones!$1:$1,0)</f>
        <v>5</v>
      </c>
      <c r="X1322" s="98">
        <f>+VLOOKUP(PROVEEDORES[[#This Row],[ID RETENCION]],Retenciones!$A$1:$O$25,PROVEEDORES[[#This Row],[indicador de columna]],FALSE)</f>
        <v>0</v>
      </c>
      <c r="Y1322" s="99">
        <f>+VLOOKUP(PROVEEDORES[[#This Row],[ID RETENCION]],Retenciones!$A$1:$O$25,2,FALSE)</f>
        <v>0</v>
      </c>
      <c r="Z1322" s="125" t="b">
        <f>OR(COUNTIF(PROVEEDORES[[#This Row],[PROVEEDOR]],"*"&amp;'Palabra no opera'!$A$2&amp;"*"))</f>
        <v>0</v>
      </c>
      <c r="AA1322" s="24"/>
      <c r="AB1322" s="24"/>
      <c r="AC1322" s="24"/>
      <c r="AD1322" s="24"/>
      <c r="AE1322" s="24"/>
    </row>
    <row r="1323" spans="1:31" ht="22.2" customHeight="1" x14ac:dyDescent="0.3">
      <c r="A1323" s="66" t="str">
        <f>+IF(PROVEEDORES[[#This Row],[FECHA DE PAGO]]=PROVEEDORES[[#This Row],[FECHA DE FACTURACIÓN]],"DE CONTADO","CRÉDITO")</f>
        <v>CRÉDITO</v>
      </c>
      <c r="B1323" s="38" t="str">
        <f>+IF((PROVEEDORES[[#This Row],[FECHA DE PAGO]]-PROVEEDORES[[#This Row],[FECHA DE FACTURACIÓN]])&gt;PROVEEDORES[[#This Row],[PLAZO Días]],"PAGO VENCIDO")</f>
        <v>PAGO VENCIDO</v>
      </c>
      <c r="C1323" s="20">
        <f>+VLOOKUP(PROVEEDORES[[#This Row],[PROVEEDOR]],TERCEROS_INFO[#All],2,FALSE)</f>
        <v>30</v>
      </c>
      <c r="D1323" s="25">
        <f>+SUMIFS(PROVEEDORES[Total],PROVEEDORES[PROVEEDOR],PROVEEDORES[[#This Row],[PROVEEDOR]],PROVEEDORES[FECHA DE PAGO],"")</f>
        <v>2121000</v>
      </c>
      <c r="E1323" s="25"/>
      <c r="F132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23" s="161">
        <v>44377</v>
      </c>
      <c r="H1323" s="26" t="s">
        <v>685</v>
      </c>
      <c r="I1323" s="161">
        <v>44315</v>
      </c>
      <c r="J1323" s="35" t="s">
        <v>1214</v>
      </c>
      <c r="K1323" s="21">
        <v>1512990</v>
      </c>
      <c r="L1323" s="21"/>
      <c r="M1323" s="22">
        <f>(PROVEEDORES[[#This Row],[SUBTOTAL]]-PROVEEDORES[[#This Row],[descuento sobre subtotal]])*VLOOKUP(PROVEEDORES[[#This Row],[PROVEEDOR]],TERCEROS_INFO[#All],3,FALSE)</f>
        <v>0</v>
      </c>
      <c r="N1323" s="23"/>
      <c r="O1323" s="22">
        <f>+PROVEEDORES[[#This Row],[Descuento sobre subtotal %]]*(PROVEEDORES[[#This Row],[SUBTOTAL]]-PROVEEDORES[[#This Row],[descuento sobre subtotal]])</f>
        <v>0</v>
      </c>
      <c r="P1323" s="83">
        <f>+IF(PROVEEDORES[[#This Row],[SUBTOTAL]]&lt;PROVEEDORES[[#This Row],[base retencion]],0,PROVEEDORES[[#This Row],[retención aplicada]])</f>
        <v>0</v>
      </c>
      <c r="Q1323" s="22">
        <f>+PROVEEDORES[[#This Row],[Rete Fuente %]]*(PROVEEDORES[[#This Row],[SUBTOTAL]]-PROVEEDORES[[#This Row],[descuento sobre subtotal]])</f>
        <v>0</v>
      </c>
      <c r="R1323" s="21">
        <f>+PROVEEDORES[[#This Row],[SUBTOTAL]]+PROVEEDORES[[#This Row],[IVA 19%]]-PROVEEDORES[[#This Row],[descuento sobre subtotal]]-PROVEEDORES[[#This Row],[Descuento sobre subtotal $2]]-PROVEEDORES[[#This Row],[Rete Fuente $]]</f>
        <v>1512990</v>
      </c>
      <c r="S13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3" s="68">
        <f ca="1">IF(PROVEEDORES[[#This Row],[FECHA DE PAGO]]=0,TODAY()-PROVEEDORES[[#This Row],[FECHA DE FACTURACIÓN]]-PROVEEDORES[[#This Row],[PLAZO Días]],0)</f>
        <v>0</v>
      </c>
      <c r="U1323" s="96">
        <f>+VLOOKUP(PROVEEDORES[[#This Row],[PROVEEDOR]],Terceros!$A:$D,4,FALSE)</f>
        <v>0</v>
      </c>
      <c r="V1323" s="97">
        <f>+YEAR(PROVEEDORES[[#This Row],[FECHA DE FACTURACIÓN]])</f>
        <v>2021</v>
      </c>
      <c r="W1323" s="97">
        <f>+MATCH(PROVEEDORES[[#This Row],[año facturado]],Retenciones!$1:$1,0)</f>
        <v>4</v>
      </c>
      <c r="X1323" s="98">
        <f>+VLOOKUP(PROVEEDORES[[#This Row],[ID RETENCION]],Retenciones!$A$1:$O$25,PROVEEDORES[[#This Row],[indicador de columna]],FALSE)</f>
        <v>0</v>
      </c>
      <c r="Y1323" s="99">
        <f>+VLOOKUP(PROVEEDORES[[#This Row],[ID RETENCION]],Retenciones!$A$1:$O$25,2,FALSE)</f>
        <v>0</v>
      </c>
      <c r="Z1323" s="125" t="b">
        <f>OR(COUNTIF(PROVEEDORES[[#This Row],[PROVEEDOR]],"*"&amp;'Palabra no opera'!$A$2&amp;"*"))</f>
        <v>0</v>
      </c>
      <c r="AA1323" s="24"/>
      <c r="AB1323" s="24"/>
      <c r="AC1323" s="24"/>
      <c r="AD1323" s="24"/>
      <c r="AE1323" s="24"/>
    </row>
    <row r="1324" spans="1:31" ht="22.2" customHeight="1" x14ac:dyDescent="0.3">
      <c r="A1324" s="199" t="str">
        <f>+IF(PROVEEDORES[[#This Row],[FECHA DE PAGO]]=PROVEEDORES[[#This Row],[FECHA DE FACTURACIÓN]],"DE CONTADO","CRÉDITO")</f>
        <v>CRÉDITO</v>
      </c>
      <c r="B1324" s="38" t="str">
        <f>+IF((PROVEEDORES[[#This Row],[FECHA DE PAGO]]-PROVEEDORES[[#This Row],[FECHA DE FACTURACIÓN]])&gt;PROVEEDORES[[#This Row],[PLAZO Días]],"PAGO VENCIDO")</f>
        <v>PAGO VENCIDO</v>
      </c>
      <c r="C1324" s="20">
        <f>+VLOOKUP(PROVEEDORES[[#This Row],[PROVEEDOR]],TERCEROS_INFO[#All],2,FALSE)</f>
        <v>30</v>
      </c>
      <c r="D1324" s="25">
        <f>+SUMIFS(PROVEEDORES[Total],PROVEEDORES[PROVEEDOR],PROVEEDORES[[#This Row],[PROVEEDOR]],PROVEEDORES[FECHA DE PAGO],"")</f>
        <v>0</v>
      </c>
      <c r="E1324" s="25"/>
      <c r="F1324" s="5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324" s="161">
        <v>44863</v>
      </c>
      <c r="H1324" s="26" t="s">
        <v>16</v>
      </c>
      <c r="I1324" s="161">
        <v>44782</v>
      </c>
      <c r="J1324" s="35">
        <v>5121</v>
      </c>
      <c r="K1324" s="21">
        <v>1298739.5</v>
      </c>
      <c r="L1324" s="21"/>
      <c r="M1324" s="22">
        <f>(PROVEEDORES[[#This Row],[SUBTOTAL]]-PROVEEDORES[[#This Row],[descuento sobre subtotal]])*VLOOKUP(PROVEEDORES[[#This Row],[PROVEEDOR]],TERCEROS_INFO[#All],3,FALSE)</f>
        <v>246760.505</v>
      </c>
      <c r="N1324" s="23"/>
      <c r="O1324" s="22">
        <f>+PROVEEDORES[[#This Row],[Descuento sobre subtotal %]]*(PROVEEDORES[[#This Row],[SUBTOTAL]]-PROVEEDORES[[#This Row],[descuento sobre subtotal]])</f>
        <v>0</v>
      </c>
      <c r="P1324" s="83">
        <f>+IF(PROVEEDORES[[#This Row],[SUBTOTAL]]&lt;PROVEEDORES[[#This Row],[base retencion]],0,PROVEEDORES[[#This Row],[retención aplicada]])</f>
        <v>2.5000000000000001E-2</v>
      </c>
      <c r="Q1324" s="22">
        <f>+PROVEEDORES[[#This Row],[Rete Fuente %]]*(PROVEEDORES[[#This Row],[SUBTOTAL]]-PROVEEDORES[[#This Row],[descuento sobre subtotal]])</f>
        <v>32468.487500000003</v>
      </c>
      <c r="R1324" s="21">
        <f>+PROVEEDORES[[#This Row],[SUBTOTAL]]+PROVEEDORES[[#This Row],[IVA 19%]]-PROVEEDORES[[#This Row],[descuento sobre subtotal]]-PROVEEDORES[[#This Row],[Descuento sobre subtotal $2]]-PROVEEDORES[[#This Row],[Rete Fuente $]]</f>
        <v>1513031.5174999998</v>
      </c>
      <c r="S1324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4" s="68">
        <f ca="1">IF(PROVEEDORES[[#This Row],[FECHA DE PAGO]]=0,TODAY()-PROVEEDORES[[#This Row],[FECHA DE FACTURACIÓN]]-PROVEEDORES[[#This Row],[PLAZO Días]],0)</f>
        <v>0</v>
      </c>
      <c r="U1324" s="113" t="str">
        <f>+VLOOKUP(PROVEEDORES[[#This Row],[PROVEEDOR]],Terceros!$A:$D,4,FALSE)</f>
        <v>2,5% con base</v>
      </c>
      <c r="V1324" s="114">
        <f>+YEAR(PROVEEDORES[[#This Row],[FECHA DE FACTURACIÓN]])</f>
        <v>2022</v>
      </c>
      <c r="W1324" s="114">
        <f>+MATCH(PROVEEDORES[[#This Row],[año facturado]],Retenciones!$1:$1,0)</f>
        <v>5</v>
      </c>
      <c r="X1324" s="115">
        <f>+VLOOKUP(PROVEEDORES[[#This Row],[ID RETENCION]],Retenciones!$A$1:$O$25,PROVEEDORES[[#This Row],[indicador de columna]],FALSE)</f>
        <v>1026000</v>
      </c>
      <c r="Y1324" s="116">
        <f>+VLOOKUP(PROVEEDORES[[#This Row],[ID RETENCION]],Retenciones!$A$1:$O$25,2,FALSE)</f>
        <v>2.5000000000000001E-2</v>
      </c>
      <c r="Z1324" s="125" t="b">
        <f>OR(COUNTIF(PROVEEDORES[[#This Row],[PROVEEDOR]],"*"&amp;'Palabra no opera'!$A$2&amp;"*"))</f>
        <v>0</v>
      </c>
      <c r="AA1324" s="24"/>
      <c r="AB1324" s="24"/>
      <c r="AC1324" s="24"/>
      <c r="AD1324" s="24"/>
      <c r="AE1324" s="24"/>
    </row>
    <row r="1325" spans="1:31" ht="22.2" customHeight="1" x14ac:dyDescent="0.3">
      <c r="A1325" s="185" t="str">
        <f>+IF(PROVEEDORES[[#This Row],[FECHA DE PAGO]]=PROVEEDORES[[#This Row],[FECHA DE FACTURACIÓN]],"DE CONTADO","CRÉDITO")</f>
        <v>CRÉDITO</v>
      </c>
      <c r="B1325" s="38" t="str">
        <f>+IF((PROVEEDORES[[#This Row],[FECHA DE PAGO]]-PROVEEDORES[[#This Row],[FECHA DE FACTURACIÓN]])&gt;PROVEEDORES[[#This Row],[PLAZO Días]],"PAGO VENCIDO")</f>
        <v>PAGO VENCIDO</v>
      </c>
      <c r="C1325" s="20">
        <f>+VLOOKUP(PROVEEDORES[[#This Row],[PROVEEDOR]],TERCEROS_INFO[#All],2,FALSE)</f>
        <v>45</v>
      </c>
      <c r="D1325" s="25">
        <f>+SUMIFS(PROVEEDORES[Total],PROVEEDORES[PROVEEDOR],PROVEEDORES[[#This Row],[PROVEEDOR]],PROVEEDORES[FECHA DE PAGO],"")</f>
        <v>0</v>
      </c>
      <c r="E1325" s="25"/>
      <c r="F132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325" s="161">
        <v>44761</v>
      </c>
      <c r="H1325" s="26" t="s">
        <v>530</v>
      </c>
      <c r="I1325" s="161">
        <v>44656</v>
      </c>
      <c r="J1325" s="35" t="s">
        <v>632</v>
      </c>
      <c r="K1325" s="21">
        <v>1515606.75</v>
      </c>
      <c r="L1325" s="21"/>
      <c r="M1325" s="22">
        <f>(PROVEEDORES[[#This Row],[SUBTOTAL]]-PROVEEDORES[[#This Row],[descuento sobre subtotal]])*VLOOKUP(PROVEEDORES[[#This Row],[PROVEEDOR]],TERCEROS_INFO[#All],3,FALSE)</f>
        <v>0</v>
      </c>
      <c r="N1325" s="23"/>
      <c r="O1325" s="22">
        <f>+PROVEEDORES[[#This Row],[Descuento sobre subtotal %]]*(PROVEEDORES[[#This Row],[SUBTOTAL]]-PROVEEDORES[[#This Row],[descuento sobre subtotal]])</f>
        <v>0</v>
      </c>
      <c r="P1325" s="83">
        <f>+IF(PROVEEDORES[[#This Row],[SUBTOTAL]]&lt;PROVEEDORES[[#This Row],[base retencion]],0,PROVEEDORES[[#This Row],[retención aplicada]])</f>
        <v>0</v>
      </c>
      <c r="Q1325" s="22">
        <f>+PROVEEDORES[[#This Row],[Rete Fuente %]]*(PROVEEDORES[[#This Row],[SUBTOTAL]]-PROVEEDORES[[#This Row],[descuento sobre subtotal]])</f>
        <v>0</v>
      </c>
      <c r="R1325" s="21">
        <f>+PROVEEDORES[[#This Row],[SUBTOTAL]]+PROVEEDORES[[#This Row],[IVA 19%]]-PROVEEDORES[[#This Row],[descuento sobre subtotal]]-PROVEEDORES[[#This Row],[Descuento sobre subtotal $2]]-PROVEEDORES[[#This Row],[Rete Fuente $]]</f>
        <v>1515606.75</v>
      </c>
      <c r="S1325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5" s="68">
        <f ca="1">IF(PROVEEDORES[[#This Row],[FECHA DE PAGO]]=0,TODAY()-PROVEEDORES[[#This Row],[FECHA DE FACTURACIÓN]]-PROVEEDORES[[#This Row],[PLAZO Días]],0)</f>
        <v>0</v>
      </c>
      <c r="U1325" s="113">
        <f>+VLOOKUP(PROVEEDORES[[#This Row],[PROVEEDOR]],Terceros!$A:$D,4,FALSE)</f>
        <v>0</v>
      </c>
      <c r="V1325" s="114">
        <f>+YEAR(PROVEEDORES[[#This Row],[FECHA DE FACTURACIÓN]])</f>
        <v>2022</v>
      </c>
      <c r="W1325" s="114">
        <f>+MATCH(PROVEEDORES[[#This Row],[año facturado]],Retenciones!$1:$1,0)</f>
        <v>5</v>
      </c>
      <c r="X1325" s="115">
        <f>+VLOOKUP(PROVEEDORES[[#This Row],[ID RETENCION]],Retenciones!$A$1:$O$25,PROVEEDORES[[#This Row],[indicador de columna]],FALSE)</f>
        <v>0</v>
      </c>
      <c r="Y1325" s="116">
        <f>+VLOOKUP(PROVEEDORES[[#This Row],[ID RETENCION]],Retenciones!$A$1:$O$25,2,FALSE)</f>
        <v>0</v>
      </c>
      <c r="Z1325" s="125" t="b">
        <f>OR(COUNTIF(PROVEEDORES[[#This Row],[PROVEEDOR]],"*"&amp;'Palabra no opera'!$A$2&amp;"*"))</f>
        <v>0</v>
      </c>
      <c r="AA1325" s="24"/>
      <c r="AB1325" s="24"/>
      <c r="AC1325" s="24"/>
      <c r="AD1325" s="24"/>
      <c r="AE1325" s="24"/>
    </row>
    <row r="1326" spans="1:31" ht="22.2" customHeight="1" x14ac:dyDescent="0.3">
      <c r="A1326" s="66" t="str">
        <f>+IF(PROVEEDORES[[#This Row],[FECHA DE PAGO]]=PROVEEDORES[[#This Row],[FECHA DE FACTURACIÓN]],"DE CONTADO","CRÉDITO")</f>
        <v>CRÉDITO</v>
      </c>
      <c r="B1326" s="38" t="b">
        <f>+IF((PROVEEDORES[[#This Row],[FECHA DE PAGO]]-PROVEEDORES[[#This Row],[FECHA DE FACTURACIÓN]])&gt;PROVEEDORES[[#This Row],[PLAZO Días]],"PAGO VENCIDO")</f>
        <v>0</v>
      </c>
      <c r="C1326" s="20">
        <f>+VLOOKUP(PROVEEDORES[[#This Row],[PROVEEDOR]],TERCEROS_INFO[#All],2,FALSE)</f>
        <v>30</v>
      </c>
      <c r="D1326" s="25">
        <f>+SUMIFS(PROVEEDORES[Total],PROVEEDORES[PROVEEDOR],PROVEEDORES[[#This Row],[PROVEEDOR]],PROVEEDORES[FECHA DE PAGO],"")</f>
        <v>0</v>
      </c>
      <c r="E1326" s="25"/>
      <c r="F132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26" s="161">
        <v>44370</v>
      </c>
      <c r="H1326" s="26" t="s">
        <v>918</v>
      </c>
      <c r="I1326" s="161">
        <v>44348</v>
      </c>
      <c r="J1326" s="35">
        <v>8322</v>
      </c>
      <c r="K1326" s="21">
        <v>1516048</v>
      </c>
      <c r="L1326" s="21"/>
      <c r="M1326" s="22">
        <f>(PROVEEDORES[[#This Row],[SUBTOTAL]]-PROVEEDORES[[#This Row],[descuento sobre subtotal]])*VLOOKUP(PROVEEDORES[[#This Row],[PROVEEDOR]],TERCEROS_INFO[#All],3,FALSE)</f>
        <v>0</v>
      </c>
      <c r="N1326" s="23"/>
      <c r="O1326" s="22">
        <f>+PROVEEDORES[[#This Row],[Descuento sobre subtotal %]]*(PROVEEDORES[[#This Row],[SUBTOTAL]]-PROVEEDORES[[#This Row],[descuento sobre subtotal]])</f>
        <v>0</v>
      </c>
      <c r="P1326" s="83">
        <f>+IF(PROVEEDORES[[#This Row],[SUBTOTAL]]&lt;PROVEEDORES[[#This Row],[base retencion]],0,PROVEEDORES[[#This Row],[retención aplicada]])</f>
        <v>0</v>
      </c>
      <c r="Q1326" s="22">
        <f>+PROVEEDORES[[#This Row],[Rete Fuente %]]*(PROVEEDORES[[#This Row],[SUBTOTAL]]-PROVEEDORES[[#This Row],[descuento sobre subtotal]])</f>
        <v>0</v>
      </c>
      <c r="R1326" s="21">
        <f>+PROVEEDORES[[#This Row],[SUBTOTAL]]+PROVEEDORES[[#This Row],[IVA 19%]]-PROVEEDORES[[#This Row],[descuento sobre subtotal]]-PROVEEDORES[[#This Row],[Descuento sobre subtotal $2]]-PROVEEDORES[[#This Row],[Rete Fuente $]]</f>
        <v>1516048</v>
      </c>
      <c r="S13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6" s="68">
        <f ca="1">IF(PROVEEDORES[[#This Row],[FECHA DE PAGO]]=0,TODAY()-PROVEEDORES[[#This Row],[FECHA DE FACTURACIÓN]]-PROVEEDORES[[#This Row],[PLAZO Días]],0)</f>
        <v>0</v>
      </c>
      <c r="U1326" s="96">
        <f>+VLOOKUP(PROVEEDORES[[#This Row],[PROVEEDOR]],Terceros!$A:$D,4,FALSE)</f>
        <v>0</v>
      </c>
      <c r="V1326" s="97">
        <f>+YEAR(PROVEEDORES[[#This Row],[FECHA DE FACTURACIÓN]])</f>
        <v>2021</v>
      </c>
      <c r="W1326" s="97">
        <f>+MATCH(PROVEEDORES[[#This Row],[año facturado]],Retenciones!$1:$1,0)</f>
        <v>4</v>
      </c>
      <c r="X1326" s="98">
        <f>+VLOOKUP(PROVEEDORES[[#This Row],[ID RETENCION]],Retenciones!$A$1:$O$25,PROVEEDORES[[#This Row],[indicador de columna]],FALSE)</f>
        <v>0</v>
      </c>
      <c r="Y1326" s="99">
        <f>+VLOOKUP(PROVEEDORES[[#This Row],[ID RETENCION]],Retenciones!$A$1:$O$25,2,FALSE)</f>
        <v>0</v>
      </c>
      <c r="Z1326" s="125" t="b">
        <f>OR(COUNTIF(PROVEEDORES[[#This Row],[PROVEEDOR]],"*"&amp;'Palabra no opera'!$A$2&amp;"*"))</f>
        <v>1</v>
      </c>
      <c r="AA1326" s="24"/>
      <c r="AB1326" s="24"/>
      <c r="AC1326" s="24"/>
      <c r="AD1326" s="24"/>
      <c r="AE1326" s="24"/>
    </row>
    <row r="1327" spans="1:31" ht="22.2" customHeight="1" x14ac:dyDescent="0.3">
      <c r="A1327" s="66" t="str">
        <f>+IF(PROVEEDORES[[#This Row],[FECHA DE PAGO]]=PROVEEDORES[[#This Row],[FECHA DE FACTURACIÓN]],"DE CONTADO","CRÉDITO")</f>
        <v>CRÉDITO</v>
      </c>
      <c r="B1327" s="38" t="b">
        <f>+IF((PROVEEDORES[[#This Row],[FECHA DE PAGO]]-PROVEEDORES[[#This Row],[FECHA DE FACTURACIÓN]])&gt;PROVEEDORES[[#This Row],[PLAZO Días]],"PAGO VENCIDO")</f>
        <v>0</v>
      </c>
      <c r="C1327" s="20">
        <f>+VLOOKUP(PROVEEDORES[[#This Row],[PROVEEDOR]],TERCEROS_INFO[#All],2,FALSE)</f>
        <v>30</v>
      </c>
      <c r="D1327" s="25">
        <f>+SUMIFS(PROVEEDORES[Total],PROVEEDORES[PROVEEDOR],PROVEEDORES[[#This Row],[PROVEEDOR]],PROVEEDORES[FECHA DE PAGO],"")</f>
        <v>0</v>
      </c>
      <c r="E1327" s="25"/>
      <c r="F132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27" s="161">
        <v>44314</v>
      </c>
      <c r="H1327" s="26" t="s">
        <v>918</v>
      </c>
      <c r="I1327" s="161">
        <v>44287</v>
      </c>
      <c r="J1327" s="35">
        <v>7921</v>
      </c>
      <c r="K1327" s="21">
        <v>1517363</v>
      </c>
      <c r="L1327" s="21"/>
      <c r="M1327" s="22">
        <f>(PROVEEDORES[[#This Row],[SUBTOTAL]]-PROVEEDORES[[#This Row],[descuento sobre subtotal]])*VLOOKUP(PROVEEDORES[[#This Row],[PROVEEDOR]],TERCEROS_INFO[#All],3,FALSE)</f>
        <v>0</v>
      </c>
      <c r="N1327" s="23"/>
      <c r="O1327" s="22">
        <f>+PROVEEDORES[[#This Row],[Descuento sobre subtotal %]]*(PROVEEDORES[[#This Row],[SUBTOTAL]]-PROVEEDORES[[#This Row],[descuento sobre subtotal]])</f>
        <v>0</v>
      </c>
      <c r="P1327" s="83">
        <f>+IF(PROVEEDORES[[#This Row],[SUBTOTAL]]&lt;PROVEEDORES[[#This Row],[base retencion]],0,PROVEEDORES[[#This Row],[retención aplicada]])</f>
        <v>0</v>
      </c>
      <c r="Q1327" s="22">
        <f>+PROVEEDORES[[#This Row],[Rete Fuente %]]*(PROVEEDORES[[#This Row],[SUBTOTAL]]-PROVEEDORES[[#This Row],[descuento sobre subtotal]])</f>
        <v>0</v>
      </c>
      <c r="R1327" s="21">
        <f>+PROVEEDORES[[#This Row],[SUBTOTAL]]+PROVEEDORES[[#This Row],[IVA 19%]]-PROVEEDORES[[#This Row],[descuento sobre subtotal]]-PROVEEDORES[[#This Row],[Descuento sobre subtotal $2]]-PROVEEDORES[[#This Row],[Rete Fuente $]]</f>
        <v>1517363</v>
      </c>
      <c r="S13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7" s="68">
        <f ca="1">IF(PROVEEDORES[[#This Row],[FECHA DE PAGO]]=0,TODAY()-PROVEEDORES[[#This Row],[FECHA DE FACTURACIÓN]]-PROVEEDORES[[#This Row],[PLAZO Días]],0)</f>
        <v>0</v>
      </c>
      <c r="U1327" s="96">
        <f>+VLOOKUP(PROVEEDORES[[#This Row],[PROVEEDOR]],Terceros!$A:$D,4,FALSE)</f>
        <v>0</v>
      </c>
      <c r="V1327" s="97">
        <f>+YEAR(PROVEEDORES[[#This Row],[FECHA DE FACTURACIÓN]])</f>
        <v>2021</v>
      </c>
      <c r="W1327" s="97">
        <f>+MATCH(PROVEEDORES[[#This Row],[año facturado]],Retenciones!$1:$1,0)</f>
        <v>4</v>
      </c>
      <c r="X1327" s="98">
        <f>+VLOOKUP(PROVEEDORES[[#This Row],[ID RETENCION]],Retenciones!$A$1:$O$25,PROVEEDORES[[#This Row],[indicador de columna]],FALSE)</f>
        <v>0</v>
      </c>
      <c r="Y1327" s="99">
        <f>+VLOOKUP(PROVEEDORES[[#This Row],[ID RETENCION]],Retenciones!$A$1:$O$25,2,FALSE)</f>
        <v>0</v>
      </c>
      <c r="Z1327" s="125" t="b">
        <f>OR(COUNTIF(PROVEEDORES[[#This Row],[PROVEEDOR]],"*"&amp;'Palabra no opera'!$A$2&amp;"*"))</f>
        <v>1</v>
      </c>
      <c r="AA1327" s="24"/>
      <c r="AB1327" s="24"/>
      <c r="AC1327" s="24"/>
      <c r="AD1327" s="24"/>
      <c r="AE1327" s="24"/>
    </row>
    <row r="1328" spans="1:31" ht="22.2" customHeight="1" x14ac:dyDescent="0.3">
      <c r="A1328" s="66" t="str">
        <f>+IF(PROVEEDORES[[#This Row],[FECHA DE PAGO]]=PROVEEDORES[[#This Row],[FECHA DE FACTURACIÓN]],"DE CONTADO","CRÉDITO")</f>
        <v>DE CONTADO</v>
      </c>
      <c r="B1328" s="38" t="b">
        <f>+IF((PROVEEDORES[[#This Row],[FECHA DE PAGO]]-PROVEEDORES[[#This Row],[FECHA DE FACTURACIÓN]])&gt;PROVEEDORES[[#This Row],[PLAZO Días]],"PAGO VENCIDO")</f>
        <v>0</v>
      </c>
      <c r="C1328" s="20">
        <f>+VLOOKUP(PROVEEDORES[[#This Row],[PROVEEDOR]],TERCEROS_INFO[#All],2,FALSE)</f>
        <v>30</v>
      </c>
      <c r="D1328" s="25">
        <f>+SUMIFS(PROVEEDORES[Total],PROVEEDORES[PROVEEDOR],PROVEEDORES[[#This Row],[PROVEEDOR]],PROVEEDORES[FECHA DE PAGO],"")</f>
        <v>0</v>
      </c>
      <c r="E1328" s="25"/>
      <c r="F1328" s="58" t="str">
        <f>+VLOOKUP(PROVEEDORES[[#This Row],[PROVEEDOR]],
                       Terceros!$A:$F,
                       5,
                       FALSE)</f>
        <v/>
      </c>
      <c r="G1328" s="161">
        <v>44316</v>
      </c>
      <c r="H1328" s="26" t="s">
        <v>644</v>
      </c>
      <c r="I1328" s="161">
        <v>44316</v>
      </c>
      <c r="J1328" s="35" t="s">
        <v>595</v>
      </c>
      <c r="K1328" s="21">
        <v>1519700</v>
      </c>
      <c r="L1328" s="21"/>
      <c r="M1328" s="22">
        <f>(PROVEEDORES[[#This Row],[SUBTOTAL]]-PROVEEDORES[[#This Row],[descuento sobre subtotal]])*VLOOKUP(PROVEEDORES[[#This Row],[PROVEEDOR]],TERCEROS_INFO[#All],3,FALSE)</f>
        <v>0</v>
      </c>
      <c r="N1328" s="23"/>
      <c r="O1328" s="22">
        <f>+PROVEEDORES[[#This Row],[Descuento sobre subtotal %]]*(PROVEEDORES[[#This Row],[SUBTOTAL]]-PROVEEDORES[[#This Row],[descuento sobre subtotal]])</f>
        <v>0</v>
      </c>
      <c r="P1328" s="83">
        <f>+IF(PROVEEDORES[[#This Row],[SUBTOTAL]]&lt;PROVEEDORES[[#This Row],[base retencion]],0,PROVEEDORES[[#This Row],[retención aplicada]])</f>
        <v>0</v>
      </c>
      <c r="Q1328" s="22">
        <f>+PROVEEDORES[[#This Row],[Rete Fuente %]]*(PROVEEDORES[[#This Row],[SUBTOTAL]]-PROVEEDORES[[#This Row],[descuento sobre subtotal]])</f>
        <v>0</v>
      </c>
      <c r="R1328" s="21">
        <f>+PROVEEDORES[[#This Row],[SUBTOTAL]]+PROVEEDORES[[#This Row],[IVA 19%]]-PROVEEDORES[[#This Row],[descuento sobre subtotal]]-PROVEEDORES[[#This Row],[Descuento sobre subtotal $2]]-PROVEEDORES[[#This Row],[Rete Fuente $]]</f>
        <v>1519700</v>
      </c>
      <c r="S13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8" s="68">
        <f ca="1">IF(PROVEEDORES[[#This Row],[FECHA DE PAGO]]=0,TODAY()-PROVEEDORES[[#This Row],[FECHA DE FACTURACIÓN]]-PROVEEDORES[[#This Row],[PLAZO Días]],0)</f>
        <v>0</v>
      </c>
      <c r="U1328" s="96">
        <f>+VLOOKUP(PROVEEDORES[[#This Row],[PROVEEDOR]],Terceros!$A:$D,4,FALSE)</f>
        <v>0</v>
      </c>
      <c r="V1328" s="97">
        <f>+YEAR(PROVEEDORES[[#This Row],[FECHA DE FACTURACIÓN]])</f>
        <v>2021</v>
      </c>
      <c r="W1328" s="97">
        <f>+MATCH(PROVEEDORES[[#This Row],[año facturado]],Retenciones!$1:$1,0)</f>
        <v>4</v>
      </c>
      <c r="X1328" s="98">
        <f>+VLOOKUP(PROVEEDORES[[#This Row],[ID RETENCION]],Retenciones!$A$1:$O$25,PROVEEDORES[[#This Row],[indicador de columna]],FALSE)</f>
        <v>0</v>
      </c>
      <c r="Y1328" s="99">
        <f>+VLOOKUP(PROVEEDORES[[#This Row],[ID RETENCION]],Retenciones!$A$1:$O$25,2,FALSE)</f>
        <v>0</v>
      </c>
      <c r="Z1328" s="125" t="b">
        <f>OR(COUNTIF(PROVEEDORES[[#This Row],[PROVEEDOR]],"*"&amp;'Palabra no opera'!$A$2&amp;"*"))</f>
        <v>0</v>
      </c>
      <c r="AA1328" s="24"/>
      <c r="AB1328" s="24"/>
      <c r="AC1328" s="24"/>
      <c r="AD1328" s="24"/>
      <c r="AE1328" s="24"/>
    </row>
    <row r="1329" spans="1:31" ht="22.2" customHeight="1" x14ac:dyDescent="0.3">
      <c r="A1329" s="66" t="str">
        <f>+IF(PROVEEDORES[[#This Row],[FECHA DE PAGO]]=PROVEEDORES[[#This Row],[FECHA DE FACTURACIÓN]],"DE CONTADO","CRÉDITO")</f>
        <v>CRÉDITO</v>
      </c>
      <c r="B1329" s="38" t="str">
        <f>+IF((PROVEEDORES[[#This Row],[FECHA DE PAGO]]-PROVEEDORES[[#This Row],[FECHA DE FACTURACIÓN]])&gt;PROVEEDORES[[#This Row],[PLAZO Días]],"PAGO VENCIDO")</f>
        <v>PAGO VENCIDO</v>
      </c>
      <c r="C1329" s="20">
        <f>+VLOOKUP(PROVEEDORES[[#This Row],[PROVEEDOR]],TERCEROS_INFO[#All],2,FALSE)</f>
        <v>30</v>
      </c>
      <c r="D1329" s="25">
        <f>+SUMIFS(PROVEEDORES[Total],PROVEEDORES[PROVEEDOR],PROVEEDORES[[#This Row],[PROVEEDOR]],PROVEEDORES[FECHA DE PAGO],"")</f>
        <v>0</v>
      </c>
      <c r="E1329" s="25"/>
      <c r="F132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29" s="161">
        <v>44305</v>
      </c>
      <c r="H1329" s="26" t="s">
        <v>20</v>
      </c>
      <c r="I1329" s="161">
        <v>44236</v>
      </c>
      <c r="J1329" s="35">
        <v>3284</v>
      </c>
      <c r="K1329" s="21">
        <v>1310490</v>
      </c>
      <c r="L1329" s="21"/>
      <c r="M1329" s="22">
        <f>(PROVEEDORES[[#This Row],[SUBTOTAL]]-PROVEEDORES[[#This Row],[descuento sobre subtotal]])*VLOOKUP(PROVEEDORES[[#This Row],[PROVEEDOR]],TERCEROS_INFO[#All],3,FALSE)</f>
        <v>248993.1</v>
      </c>
      <c r="N1329" s="23"/>
      <c r="O1329" s="22">
        <f>+PROVEEDORES[[#This Row],[Descuento sobre subtotal %]]*(PROVEEDORES[[#This Row],[SUBTOTAL]]-PROVEEDORES[[#This Row],[descuento sobre subtotal]])</f>
        <v>0</v>
      </c>
      <c r="P1329" s="83">
        <f>+IF(PROVEEDORES[[#This Row],[SUBTOTAL]]&lt;PROVEEDORES[[#This Row],[base retencion]],0,PROVEEDORES[[#This Row],[retención aplicada]])</f>
        <v>2.5000000000000001E-2</v>
      </c>
      <c r="Q1329" s="22">
        <f>+PROVEEDORES[[#This Row],[Rete Fuente %]]*(PROVEEDORES[[#This Row],[SUBTOTAL]]-PROVEEDORES[[#This Row],[descuento sobre subtotal]])</f>
        <v>32762.25</v>
      </c>
      <c r="R1329" s="21">
        <f>+PROVEEDORES[[#This Row],[SUBTOTAL]]+PROVEEDORES[[#This Row],[IVA 19%]]-PROVEEDORES[[#This Row],[descuento sobre subtotal]]-PROVEEDORES[[#This Row],[Descuento sobre subtotal $2]]-PROVEEDORES[[#This Row],[Rete Fuente $]]</f>
        <v>1526720.85</v>
      </c>
      <c r="S13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9" s="68">
        <f ca="1">IF(PROVEEDORES[[#This Row],[FECHA DE PAGO]]=0,TODAY()-PROVEEDORES[[#This Row],[FECHA DE FACTURACIÓN]]-PROVEEDORES[[#This Row],[PLAZO Días]],0)</f>
        <v>0</v>
      </c>
      <c r="U1329" s="96" t="str">
        <f>+VLOOKUP(PROVEEDORES[[#This Row],[PROVEEDOR]],Terceros!$A:$D,4,FALSE)</f>
        <v>2,5% con base</v>
      </c>
      <c r="V1329" s="97">
        <f>+YEAR(PROVEEDORES[[#This Row],[FECHA DE FACTURACIÓN]])</f>
        <v>2021</v>
      </c>
      <c r="W1329" s="97">
        <f>+MATCH(PROVEEDORES[[#This Row],[año facturado]],Retenciones!$1:$1,0)</f>
        <v>4</v>
      </c>
      <c r="X1329" s="98">
        <f>+VLOOKUP(PROVEEDORES[[#This Row],[ID RETENCION]],Retenciones!$A$1:$O$25,PROVEEDORES[[#This Row],[indicador de columna]],FALSE)</f>
        <v>980000</v>
      </c>
      <c r="Y1329" s="99">
        <f>+VLOOKUP(PROVEEDORES[[#This Row],[ID RETENCION]],Retenciones!$A$1:$O$25,2,FALSE)</f>
        <v>2.5000000000000001E-2</v>
      </c>
      <c r="Z1329" s="125" t="b">
        <f>OR(COUNTIF(PROVEEDORES[[#This Row],[PROVEEDOR]],"*"&amp;'Palabra no opera'!$A$2&amp;"*"))</f>
        <v>0</v>
      </c>
      <c r="AA1329" s="24"/>
      <c r="AB1329" s="24"/>
      <c r="AC1329" s="24"/>
      <c r="AD1329" s="24"/>
      <c r="AE1329" s="24"/>
    </row>
    <row r="1330" spans="1:31" ht="22.2" customHeight="1" x14ac:dyDescent="0.3">
      <c r="A1330" s="120" t="str">
        <f>+IF(PROVEEDORES[[#This Row],[FECHA DE PAGO]]=PROVEEDORES[[#This Row],[FECHA DE FACTURACIÓN]],"DE CONTADO","CRÉDITO")</f>
        <v>CRÉDITO</v>
      </c>
      <c r="B1330" s="38" t="b">
        <f>+IF((PROVEEDORES[[#This Row],[FECHA DE PAGO]]-PROVEEDORES[[#This Row],[FECHA DE FACTURACIÓN]])&gt;PROVEEDORES[[#This Row],[PLAZO Días]],"PAGO VENCIDO")</f>
        <v>0</v>
      </c>
      <c r="C1330" s="20">
        <v>90</v>
      </c>
      <c r="D1330" s="25">
        <f>+SUMIFS(PROVEEDORES[Total],PROVEEDORES[PROVEEDOR],PROVEEDORES[[#This Row],[PROVEEDOR]],PROVEEDORES[FECHA DE PAGO],"")</f>
        <v>0</v>
      </c>
      <c r="E1330" s="25"/>
      <c r="F1330" s="58">
        <f>+VLOOKUP(PROVEEDORES[[#This Row],[PROVEEDOR]],
                       Terceros!$A:$F,
                       5,
                       FALSE)</f>
        <v>0</v>
      </c>
      <c r="G1330" s="161">
        <v>44725</v>
      </c>
      <c r="H1330" s="26" t="s">
        <v>932</v>
      </c>
      <c r="I1330" s="161">
        <v>44671</v>
      </c>
      <c r="J1330" s="35" t="s">
        <v>885</v>
      </c>
      <c r="K1330" s="21">
        <v>1527459</v>
      </c>
      <c r="L1330" s="21"/>
      <c r="M1330" s="22">
        <f>(PROVEEDORES[[#This Row],[SUBTOTAL]]-PROVEEDORES[[#This Row],[descuento sobre subtotal]])*VLOOKUP(PROVEEDORES[[#This Row],[PROVEEDOR]],TERCEROS_INFO[#All],3,FALSE)</f>
        <v>0</v>
      </c>
      <c r="N1330" s="23"/>
      <c r="O1330" s="22">
        <f>+PROVEEDORES[[#This Row],[Descuento sobre subtotal %]]*(PROVEEDORES[[#This Row],[SUBTOTAL]]-PROVEEDORES[[#This Row],[descuento sobre subtotal]])</f>
        <v>0</v>
      </c>
      <c r="P1330" s="83">
        <f>+IF(PROVEEDORES[[#This Row],[SUBTOTAL]]&lt;PROVEEDORES[[#This Row],[base retencion]],0,PROVEEDORES[[#This Row],[retención aplicada]])</f>
        <v>0</v>
      </c>
      <c r="Q1330" s="22">
        <f>+PROVEEDORES[[#This Row],[Rete Fuente %]]*(PROVEEDORES[[#This Row],[SUBTOTAL]]-PROVEEDORES[[#This Row],[descuento sobre subtotal]])</f>
        <v>0</v>
      </c>
      <c r="R1330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13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0" s="68">
        <f ca="1">IF(PROVEEDORES[[#This Row],[FECHA DE PAGO]]=0,TODAY()-PROVEEDORES[[#This Row],[FECHA DE FACTURACIÓN]]-PROVEEDORES[[#This Row],[PLAZO Días]],0)</f>
        <v>0</v>
      </c>
      <c r="U1330" s="113">
        <f>+VLOOKUP(PROVEEDORES[[#This Row],[PROVEEDOR]],Terceros!$A:$D,4,FALSE)</f>
        <v>0</v>
      </c>
      <c r="V1330" s="114">
        <f>+YEAR(PROVEEDORES[[#This Row],[FECHA DE FACTURACIÓN]])</f>
        <v>2022</v>
      </c>
      <c r="W1330" s="114">
        <f>+MATCH(PROVEEDORES[[#This Row],[año facturado]],Retenciones!$1:$1,0)</f>
        <v>5</v>
      </c>
      <c r="X1330" s="115">
        <f>+VLOOKUP(PROVEEDORES[[#This Row],[ID RETENCION]],Retenciones!$A$1:$O$25,PROVEEDORES[[#This Row],[indicador de columna]],FALSE)</f>
        <v>0</v>
      </c>
      <c r="Y1330" s="116">
        <f>+VLOOKUP(PROVEEDORES[[#This Row],[ID RETENCION]],Retenciones!$A$1:$O$25,2,FALSE)</f>
        <v>0</v>
      </c>
      <c r="Z1330" s="125" t="b">
        <f>OR(COUNTIF(PROVEEDORES[[#This Row],[PROVEEDOR]],"*"&amp;'Palabra no opera'!$A$2&amp;"*"))</f>
        <v>1</v>
      </c>
      <c r="AA1330" s="24"/>
      <c r="AB1330" s="24"/>
      <c r="AC1330" s="24"/>
      <c r="AD1330" s="24"/>
      <c r="AE1330" s="24"/>
    </row>
    <row r="1331" spans="1:31" ht="22.2" customHeight="1" x14ac:dyDescent="0.3">
      <c r="A1331" s="159" t="str">
        <f>+IF(PROVEEDORES[[#This Row],[FECHA DE PAGO]]=PROVEEDORES[[#This Row],[FECHA DE FACTURACIÓN]],"DE CONTADO","CRÉDITO")</f>
        <v>CRÉDITO</v>
      </c>
      <c r="B1331" s="38" t="b">
        <f>+IF((PROVEEDORES[[#This Row],[FECHA DE PAGO]]-PROVEEDORES[[#This Row],[FECHA DE FACTURACIÓN]])&gt;PROVEEDORES[[#This Row],[PLAZO Días]],"PAGO VENCIDO")</f>
        <v>0</v>
      </c>
      <c r="C1331" s="20">
        <f>+VLOOKUP(PROVEEDORES[[#This Row],[PROVEEDOR]],TERCEROS_INFO[#All],2,FALSE)</f>
        <v>30</v>
      </c>
      <c r="D1331" s="25">
        <f>+SUMIFS(PROVEEDORES[Total],PROVEEDORES[PROVEEDOR],PROVEEDORES[[#This Row],[PROVEEDOR]],PROVEEDORES[FECHA DE PAGO],"")</f>
        <v>0</v>
      </c>
      <c r="E1331" s="25"/>
      <c r="F1331" s="58">
        <f>+VLOOKUP(PROVEEDORES[[#This Row],[PROVEEDOR]],
                       Terceros!$A:$F,
                       5,
                       FALSE)</f>
        <v>0</v>
      </c>
      <c r="G1331" s="161">
        <v>44729</v>
      </c>
      <c r="H1331" s="26" t="s">
        <v>932</v>
      </c>
      <c r="I1331" s="161">
        <v>44713</v>
      </c>
      <c r="J1331" s="35" t="s">
        <v>306</v>
      </c>
      <c r="K1331" s="21">
        <v>1527459</v>
      </c>
      <c r="L1331" s="21"/>
      <c r="M1331" s="22">
        <f>(PROVEEDORES[[#This Row],[SUBTOTAL]]-PROVEEDORES[[#This Row],[descuento sobre subtotal]])*VLOOKUP(PROVEEDORES[[#This Row],[PROVEEDOR]],TERCEROS_INFO[#All],3,FALSE)</f>
        <v>0</v>
      </c>
      <c r="N1331" s="23"/>
      <c r="O1331" s="22">
        <f>+PROVEEDORES[[#This Row],[Descuento sobre subtotal %]]*(PROVEEDORES[[#This Row],[SUBTOTAL]]-PROVEEDORES[[#This Row],[descuento sobre subtotal]])</f>
        <v>0</v>
      </c>
      <c r="P1331" s="83">
        <f>+IF(PROVEEDORES[[#This Row],[SUBTOTAL]]&lt;PROVEEDORES[[#This Row],[base retencion]],0,PROVEEDORES[[#This Row],[retención aplicada]])</f>
        <v>0</v>
      </c>
      <c r="Q1331" s="22">
        <f>+PROVEEDORES[[#This Row],[Rete Fuente %]]*(PROVEEDORES[[#This Row],[SUBTOTAL]]-PROVEEDORES[[#This Row],[descuento sobre subtotal]])</f>
        <v>0</v>
      </c>
      <c r="R1331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133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1" s="68">
        <f ca="1">IF(PROVEEDORES[[#This Row],[FECHA DE PAGO]]=0,TODAY()-PROVEEDORES[[#This Row],[FECHA DE FACTURACIÓN]]-PROVEEDORES[[#This Row],[PLAZO Días]],0)</f>
        <v>0</v>
      </c>
      <c r="U1331" s="113">
        <f>+VLOOKUP(PROVEEDORES[[#This Row],[PROVEEDOR]],Terceros!$A:$D,4,FALSE)</f>
        <v>0</v>
      </c>
      <c r="V1331" s="114">
        <f>+YEAR(PROVEEDORES[[#This Row],[FECHA DE FACTURACIÓN]])</f>
        <v>2022</v>
      </c>
      <c r="W1331" s="114">
        <f>+MATCH(PROVEEDORES[[#This Row],[año facturado]],Retenciones!$1:$1,0)</f>
        <v>5</v>
      </c>
      <c r="X1331" s="115">
        <f>+VLOOKUP(PROVEEDORES[[#This Row],[ID RETENCION]],Retenciones!$A$1:$O$25,PROVEEDORES[[#This Row],[indicador de columna]],FALSE)</f>
        <v>0</v>
      </c>
      <c r="Y1331" s="116">
        <f>+VLOOKUP(PROVEEDORES[[#This Row],[ID RETENCION]],Retenciones!$A$1:$O$25,2,FALSE)</f>
        <v>0</v>
      </c>
      <c r="Z1331" s="125" t="b">
        <f>OR(COUNTIF(PROVEEDORES[[#This Row],[PROVEEDOR]],"*"&amp;'Palabra no opera'!$A$2&amp;"*"))</f>
        <v>1</v>
      </c>
      <c r="AA1331" s="24"/>
      <c r="AB1331" s="24"/>
      <c r="AC1331" s="24"/>
      <c r="AD1331" s="24"/>
      <c r="AE1331" s="24"/>
    </row>
    <row r="1332" spans="1:31" ht="22.2" customHeight="1" x14ac:dyDescent="0.3">
      <c r="A1332" s="66" t="str">
        <f>+IF(PROVEEDORES[[#This Row],[FECHA DE PAGO]]=PROVEEDORES[[#This Row],[FECHA DE FACTURACIÓN]],"DE CONTADO","CRÉDITO")</f>
        <v>CRÉDITO</v>
      </c>
      <c r="B1332" s="38" t="b">
        <f>+IF((PROVEEDORES[[#This Row],[FECHA DE PAGO]]-PROVEEDORES[[#This Row],[FECHA DE FACTURACIÓN]])&gt;PROVEEDORES[[#This Row],[PLAZO Días]],"PAGO VENCIDO")</f>
        <v>0</v>
      </c>
      <c r="C1332" s="20">
        <f>+VLOOKUP(PROVEEDORES[[#This Row],[PROVEEDOR]],TERCEROS_INFO[#All],2,FALSE)</f>
        <v>30</v>
      </c>
      <c r="D1332" s="25">
        <f>+SUMIFS(PROVEEDORES[Total],PROVEEDORES[PROVEEDOR],PROVEEDORES[[#This Row],[PROVEEDOR]],PROVEEDORES[FECHA DE PAGO],"")</f>
        <v>0</v>
      </c>
      <c r="E1332" s="25"/>
      <c r="F133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32" s="161">
        <v>44393</v>
      </c>
      <c r="H1332" s="26" t="s">
        <v>118</v>
      </c>
      <c r="I1332" s="161">
        <v>44391</v>
      </c>
      <c r="J1332" s="35" t="s">
        <v>1269</v>
      </c>
      <c r="K1332" s="21">
        <v>1531000</v>
      </c>
      <c r="L1332" s="21"/>
      <c r="M1332" s="22">
        <f>(PROVEEDORES[[#This Row],[SUBTOTAL]]-PROVEEDORES[[#This Row],[descuento sobre subtotal]])*VLOOKUP(PROVEEDORES[[#This Row],[PROVEEDOR]],TERCEROS_INFO[#All],3,FALSE)</f>
        <v>0</v>
      </c>
      <c r="N1332" s="23"/>
      <c r="O1332" s="22">
        <f>+PROVEEDORES[[#This Row],[Descuento sobre subtotal %]]*(PROVEEDORES[[#This Row],[SUBTOTAL]]-PROVEEDORES[[#This Row],[descuento sobre subtotal]])</f>
        <v>0</v>
      </c>
      <c r="P1332" s="83">
        <f>+IF(PROVEEDORES[[#This Row],[SUBTOTAL]]&lt;PROVEEDORES[[#This Row],[base retencion]],0,PROVEEDORES[[#This Row],[retención aplicada]])</f>
        <v>0</v>
      </c>
      <c r="Q1332" s="22">
        <f>+PROVEEDORES[[#This Row],[Rete Fuente %]]*(PROVEEDORES[[#This Row],[SUBTOTAL]]-PROVEEDORES[[#This Row],[descuento sobre subtotal]])</f>
        <v>0</v>
      </c>
      <c r="R1332" s="21">
        <f>+PROVEEDORES[[#This Row],[SUBTOTAL]]+PROVEEDORES[[#This Row],[IVA 19%]]-PROVEEDORES[[#This Row],[descuento sobre subtotal]]-PROVEEDORES[[#This Row],[Descuento sobre subtotal $2]]-PROVEEDORES[[#This Row],[Rete Fuente $]]</f>
        <v>1531000</v>
      </c>
      <c r="S13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2" s="68">
        <f ca="1">IF(PROVEEDORES[[#This Row],[FECHA DE PAGO]]=0,TODAY()-PROVEEDORES[[#This Row],[FECHA DE FACTURACIÓN]]-PROVEEDORES[[#This Row],[PLAZO Días]],0)</f>
        <v>0</v>
      </c>
      <c r="U1332" s="96">
        <f>+VLOOKUP(PROVEEDORES[[#This Row],[PROVEEDOR]],Terceros!$A:$D,4,FALSE)</f>
        <v>0</v>
      </c>
      <c r="V1332" s="97">
        <f>+YEAR(PROVEEDORES[[#This Row],[FECHA DE FACTURACIÓN]])</f>
        <v>2021</v>
      </c>
      <c r="W1332" s="97">
        <f>+MATCH(PROVEEDORES[[#This Row],[año facturado]],Retenciones!$1:$1,0)</f>
        <v>4</v>
      </c>
      <c r="X1332" s="98">
        <f>+VLOOKUP(PROVEEDORES[[#This Row],[ID RETENCION]],Retenciones!$A$1:$O$25,PROVEEDORES[[#This Row],[indicador de columna]],FALSE)</f>
        <v>0</v>
      </c>
      <c r="Y1332" s="99">
        <f>+VLOOKUP(PROVEEDORES[[#This Row],[ID RETENCION]],Retenciones!$A$1:$O$25,2,FALSE)</f>
        <v>0</v>
      </c>
      <c r="Z1332" s="125" t="b">
        <f>OR(COUNTIF(PROVEEDORES[[#This Row],[PROVEEDOR]],"*"&amp;'Palabra no opera'!$A$2&amp;"*"))</f>
        <v>0</v>
      </c>
      <c r="AA1332" s="24"/>
      <c r="AB1332" s="24"/>
      <c r="AC1332" s="24"/>
      <c r="AD1332" s="24"/>
      <c r="AE1332" s="24"/>
    </row>
    <row r="1333" spans="1:31" ht="22.2" customHeight="1" x14ac:dyDescent="0.3">
      <c r="A1333" s="66" t="str">
        <f>+IF(PROVEEDORES[[#This Row],[FECHA DE PAGO]]=PROVEEDORES[[#This Row],[FECHA DE FACTURACIÓN]],"DE CONTADO","CRÉDITO")</f>
        <v>CRÉDITO</v>
      </c>
      <c r="B1333" s="38" t="b">
        <f>+IF((PROVEEDORES[[#This Row],[FECHA DE PAGO]]-PROVEEDORES[[#This Row],[FECHA DE FACTURACIÓN]])&gt;PROVEEDORES[[#This Row],[PLAZO Días]],"PAGO VENCIDO")</f>
        <v>0</v>
      </c>
      <c r="C1333" s="20">
        <f>+VLOOKUP(PROVEEDORES[[#This Row],[PROVEEDOR]],TERCEROS_INFO[#All],2,FALSE)</f>
        <v>30</v>
      </c>
      <c r="D1333" s="25">
        <f>+SUMIFS(PROVEEDORES[Total],PROVEEDORES[PROVEEDOR],PROVEEDORES[[#This Row],[PROVEEDOR]],PROVEEDORES[FECHA DE PAGO],"")</f>
        <v>0</v>
      </c>
      <c r="E1333" s="25"/>
      <c r="F1333" s="58" t="str">
        <f>+VLOOKUP(PROVEEDORES[[#This Row],[PROVEEDOR]],
                       Terceros!$A:$F,
                       5,
                       FALSE)</f>
        <v/>
      </c>
      <c r="G1333" s="161">
        <v>44489</v>
      </c>
      <c r="H1333" s="26" t="s">
        <v>53</v>
      </c>
      <c r="I1333" s="161">
        <v>44488</v>
      </c>
      <c r="J1333" s="35">
        <v>285851</v>
      </c>
      <c r="K1333" s="21">
        <v>1531000</v>
      </c>
      <c r="L1333" s="21"/>
      <c r="M1333" s="22">
        <f>(PROVEEDORES[[#This Row],[SUBTOTAL]]-PROVEEDORES[[#This Row],[descuento sobre subtotal]])*VLOOKUP(PROVEEDORES[[#This Row],[PROVEEDOR]],TERCEROS_INFO[#All],3,FALSE)</f>
        <v>0</v>
      </c>
      <c r="N1333" s="23"/>
      <c r="O1333" s="22">
        <f>+PROVEEDORES[[#This Row],[Descuento sobre subtotal %]]*(PROVEEDORES[[#This Row],[SUBTOTAL]]-PROVEEDORES[[#This Row],[descuento sobre subtotal]])</f>
        <v>0</v>
      </c>
      <c r="P1333" s="83">
        <f>+IF(PROVEEDORES[[#This Row],[SUBTOTAL]]&lt;PROVEEDORES[[#This Row],[base retencion]],0,PROVEEDORES[[#This Row],[retención aplicada]])</f>
        <v>0</v>
      </c>
      <c r="Q1333" s="22">
        <f>+PROVEEDORES[[#This Row],[Rete Fuente %]]*(PROVEEDORES[[#This Row],[SUBTOTAL]]-PROVEEDORES[[#This Row],[descuento sobre subtotal]])</f>
        <v>0</v>
      </c>
      <c r="R1333" s="21">
        <f>+PROVEEDORES[[#This Row],[SUBTOTAL]]+PROVEEDORES[[#This Row],[IVA 19%]]-PROVEEDORES[[#This Row],[descuento sobre subtotal]]-PROVEEDORES[[#This Row],[Descuento sobre subtotal $2]]-PROVEEDORES[[#This Row],[Rete Fuente $]]</f>
        <v>1531000</v>
      </c>
      <c r="S13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3" s="68">
        <f ca="1">IF(PROVEEDORES[[#This Row],[FECHA DE PAGO]]=0,TODAY()-PROVEEDORES[[#This Row],[FECHA DE FACTURACIÓN]]-PROVEEDORES[[#This Row],[PLAZO Días]],0)</f>
        <v>0</v>
      </c>
      <c r="U1333" s="96">
        <f>+VLOOKUP(PROVEEDORES[[#This Row],[PROVEEDOR]],Terceros!$A:$D,4,FALSE)</f>
        <v>0</v>
      </c>
      <c r="V1333" s="97">
        <f>+YEAR(PROVEEDORES[[#This Row],[FECHA DE FACTURACIÓN]])</f>
        <v>2021</v>
      </c>
      <c r="W1333" s="97">
        <f>+MATCH(PROVEEDORES[[#This Row],[año facturado]],Retenciones!$1:$1,0)</f>
        <v>4</v>
      </c>
      <c r="X1333" s="98">
        <f>+VLOOKUP(PROVEEDORES[[#This Row],[ID RETENCION]],Retenciones!$A$1:$O$25,PROVEEDORES[[#This Row],[indicador de columna]],FALSE)</f>
        <v>0</v>
      </c>
      <c r="Y1333" s="99">
        <f>+VLOOKUP(PROVEEDORES[[#This Row],[ID RETENCION]],Retenciones!$A$1:$O$25,2,FALSE)</f>
        <v>0</v>
      </c>
      <c r="Z1333" s="125" t="b">
        <f>OR(COUNTIF(PROVEEDORES[[#This Row],[PROVEEDOR]],"*"&amp;'Palabra no opera'!$A$2&amp;"*"))</f>
        <v>0</v>
      </c>
      <c r="AA1333" s="24"/>
      <c r="AB1333" s="24"/>
      <c r="AC1333" s="24"/>
      <c r="AD1333" s="24"/>
      <c r="AE1333" s="24"/>
    </row>
    <row r="1334" spans="1:31" ht="22.2" customHeight="1" x14ac:dyDescent="0.3">
      <c r="A1334" s="66" t="str">
        <f>+IF(PROVEEDORES[[#This Row],[FECHA DE PAGO]]=PROVEEDORES[[#This Row],[FECHA DE FACTURACIÓN]],"DE CONTADO","CRÉDITO")</f>
        <v>CRÉDITO</v>
      </c>
      <c r="B1334" s="38" t="str">
        <f>+IF((PROVEEDORES[[#This Row],[FECHA DE PAGO]]-PROVEEDORES[[#This Row],[FECHA DE FACTURACIÓN]])&gt;PROVEEDORES[[#This Row],[PLAZO Días]],"PAGO VENCIDO")</f>
        <v>PAGO VENCIDO</v>
      </c>
      <c r="C1334" s="20">
        <f>+VLOOKUP(PROVEEDORES[[#This Row],[PROVEEDOR]],TERCEROS_INFO[#All],2,FALSE)</f>
        <v>30</v>
      </c>
      <c r="D1334" s="25">
        <f>+SUMIFS(PROVEEDORES[Total],PROVEEDORES[PROVEEDOR],PROVEEDORES[[#This Row],[PROVEEDOR]],PROVEEDORES[FECHA DE PAGO],"")</f>
        <v>3430770</v>
      </c>
      <c r="E1334" s="25"/>
      <c r="F133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34" s="161">
        <v>44483</v>
      </c>
      <c r="H1334" s="26" t="s">
        <v>1448</v>
      </c>
      <c r="I1334" s="161">
        <v>44446</v>
      </c>
      <c r="J1334" s="35">
        <v>21793</v>
      </c>
      <c r="K1334" s="21">
        <v>1314400</v>
      </c>
      <c r="L1334" s="21"/>
      <c r="M1334" s="22">
        <f>(PROVEEDORES[[#This Row],[SUBTOTAL]]-PROVEEDORES[[#This Row],[descuento sobre subtotal]])*VLOOKUP(PROVEEDORES[[#This Row],[PROVEEDOR]],TERCEROS_INFO[#All],3,FALSE)</f>
        <v>249736</v>
      </c>
      <c r="N1334" s="23"/>
      <c r="O1334" s="22">
        <f>+PROVEEDORES[[#This Row],[Descuento sobre subtotal %]]*(PROVEEDORES[[#This Row],[SUBTOTAL]]-PROVEEDORES[[#This Row],[descuento sobre subtotal]])</f>
        <v>0</v>
      </c>
      <c r="P1334" s="83">
        <v>2.5000000000000001E-2</v>
      </c>
      <c r="Q1334" s="22">
        <f>+PROVEEDORES[[#This Row],[Rete Fuente %]]*(PROVEEDORES[[#This Row],[SUBTOTAL]]-PROVEEDORES[[#This Row],[descuento sobre subtotal]])</f>
        <v>32860</v>
      </c>
      <c r="R1334" s="21">
        <f>+PROVEEDORES[[#This Row],[SUBTOTAL]]+PROVEEDORES[[#This Row],[IVA 19%]]-PROVEEDORES[[#This Row],[descuento sobre subtotal]]-PROVEEDORES[[#This Row],[Descuento sobre subtotal $2]]-PROVEEDORES[[#This Row],[Rete Fuente $]]</f>
        <v>1531276</v>
      </c>
      <c r="S13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4" s="68">
        <f ca="1">IF(PROVEEDORES[[#This Row],[FECHA DE PAGO]]=0,TODAY()-PROVEEDORES[[#This Row],[FECHA DE FACTURACIÓN]]-PROVEEDORES[[#This Row],[PLAZO Días]],0)</f>
        <v>0</v>
      </c>
      <c r="U1334" s="96">
        <f>+VLOOKUP(PROVEEDORES[[#This Row],[PROVEEDOR]],Terceros!$A:$D,4,FALSE)</f>
        <v>0</v>
      </c>
      <c r="V1334" s="97">
        <f>+YEAR(PROVEEDORES[[#This Row],[FECHA DE FACTURACIÓN]])</f>
        <v>2021</v>
      </c>
      <c r="W1334" s="97">
        <f>+MATCH(PROVEEDORES[[#This Row],[año facturado]],Retenciones!$1:$1,0)</f>
        <v>4</v>
      </c>
      <c r="X1334" s="98">
        <f>+VLOOKUP(PROVEEDORES[[#This Row],[ID RETENCION]],Retenciones!$A$1:$O$25,PROVEEDORES[[#This Row],[indicador de columna]],FALSE)</f>
        <v>0</v>
      </c>
      <c r="Y1334" s="99">
        <f>+VLOOKUP(PROVEEDORES[[#This Row],[ID RETENCION]],Retenciones!$A$1:$O$25,2,FALSE)</f>
        <v>0</v>
      </c>
      <c r="Z1334" s="125" t="b">
        <f>OR(COUNTIF(PROVEEDORES[[#This Row],[PROVEEDOR]],"*"&amp;'Palabra no opera'!$A$2&amp;"*"))</f>
        <v>0</v>
      </c>
      <c r="AA1334" s="24"/>
      <c r="AB1334" s="24"/>
      <c r="AC1334" s="24"/>
      <c r="AD1334" s="24"/>
      <c r="AE1334" s="24"/>
    </row>
    <row r="1335" spans="1:31" ht="22.2" customHeight="1" x14ac:dyDescent="0.3">
      <c r="A1335" s="66" t="str">
        <f>+IF(PROVEEDORES[[#This Row],[FECHA DE PAGO]]=PROVEEDORES[[#This Row],[FECHA DE FACTURACIÓN]],"DE CONTADO","CRÉDITO")</f>
        <v>CRÉDITO</v>
      </c>
      <c r="B1335" s="38" t="str">
        <f>+IF((PROVEEDORES[[#This Row],[FECHA DE PAGO]]-PROVEEDORES[[#This Row],[FECHA DE FACTURACIÓN]])&gt;PROVEEDORES[[#This Row],[PLAZO Días]],"PAGO VENCIDO")</f>
        <v>PAGO VENCIDO</v>
      </c>
      <c r="C1335" s="20">
        <f>+VLOOKUP(PROVEEDORES[[#This Row],[PROVEEDOR]],TERCEROS_INFO[#All],2,FALSE)</f>
        <v>30</v>
      </c>
      <c r="D1335" s="25">
        <f>+SUMIFS(PROVEEDORES[Total],PROVEEDORES[PROVEEDOR],PROVEEDORES[[#This Row],[PROVEEDOR]],PROVEEDORES[FECHA DE PAGO],"")</f>
        <v>5272763.2050000001</v>
      </c>
      <c r="E1335" s="25"/>
      <c r="F133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35" s="161">
        <v>44426</v>
      </c>
      <c r="H1335" s="26" t="s">
        <v>11</v>
      </c>
      <c r="I1335" s="161">
        <v>44385</v>
      </c>
      <c r="J1335" s="35" t="s">
        <v>377</v>
      </c>
      <c r="K1335" s="21">
        <v>1320000</v>
      </c>
      <c r="L1335" s="21"/>
      <c r="M1335" s="22">
        <f>(PROVEEDORES[[#This Row],[SUBTOTAL]]-PROVEEDORES[[#This Row],[descuento sobre subtotal]])*VLOOKUP(PROVEEDORES[[#This Row],[PROVEEDOR]],TERCEROS_INFO[#All],3,FALSE)</f>
        <v>250800</v>
      </c>
      <c r="N1335" s="23"/>
      <c r="O1335" s="22">
        <f>+PROVEEDORES[[#This Row],[Descuento sobre subtotal %]]*(PROVEEDORES[[#This Row],[SUBTOTAL]]-PROVEEDORES[[#This Row],[descuento sobre subtotal]])</f>
        <v>0</v>
      </c>
      <c r="P1335" s="83">
        <f>+IF(PROVEEDORES[[#This Row],[SUBTOTAL]]&lt;PROVEEDORES[[#This Row],[base retencion]],0,PROVEEDORES[[#This Row],[retención aplicada]])</f>
        <v>2.5000000000000001E-2</v>
      </c>
      <c r="Q1335" s="22">
        <f>+PROVEEDORES[[#This Row],[Rete Fuente %]]*(PROVEEDORES[[#This Row],[SUBTOTAL]]-PROVEEDORES[[#This Row],[descuento sobre subtotal]])</f>
        <v>33000</v>
      </c>
      <c r="R1335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13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5" s="68">
        <f ca="1">IF(PROVEEDORES[[#This Row],[FECHA DE PAGO]]=0,TODAY()-PROVEEDORES[[#This Row],[FECHA DE FACTURACIÓN]]-PROVEEDORES[[#This Row],[PLAZO Días]],0)</f>
        <v>0</v>
      </c>
      <c r="U1335" s="96" t="str">
        <f>+VLOOKUP(PROVEEDORES[[#This Row],[PROVEEDOR]],Terceros!$A:$D,4,FALSE)</f>
        <v>2,5% con base</v>
      </c>
      <c r="V1335" s="97">
        <f>+YEAR(PROVEEDORES[[#This Row],[FECHA DE FACTURACIÓN]])</f>
        <v>2021</v>
      </c>
      <c r="W1335" s="97">
        <f>+MATCH(PROVEEDORES[[#This Row],[año facturado]],Retenciones!$1:$1,0)</f>
        <v>4</v>
      </c>
      <c r="X1335" s="98">
        <f>+VLOOKUP(PROVEEDORES[[#This Row],[ID RETENCION]],Retenciones!$A$1:$O$25,PROVEEDORES[[#This Row],[indicador de columna]],FALSE)</f>
        <v>980000</v>
      </c>
      <c r="Y1335" s="99">
        <f>+VLOOKUP(PROVEEDORES[[#This Row],[ID RETENCION]],Retenciones!$A$1:$O$25,2,FALSE)</f>
        <v>2.5000000000000001E-2</v>
      </c>
      <c r="Z1335" s="127" t="b">
        <f>OR(COUNTIF(PROVEEDORES[[#This Row],[PROVEEDOR]],"*"&amp;'Palabra no opera'!$A$2&amp;"*"))</f>
        <v>0</v>
      </c>
      <c r="AA1335" s="24"/>
      <c r="AB1335" s="24"/>
      <c r="AC1335" s="24"/>
      <c r="AD1335" s="24"/>
      <c r="AE1335" s="24"/>
    </row>
    <row r="1336" spans="1:31" ht="22.2" customHeight="1" x14ac:dyDescent="0.3">
      <c r="A1336" s="133" t="str">
        <f>+IF(PROVEEDORES[[#This Row],[FECHA DE PAGO]]=PROVEEDORES[[#This Row],[FECHA DE FACTURACIÓN]],"DE CONTADO","CRÉDITO")</f>
        <v>CRÉDITO</v>
      </c>
      <c r="B1336" s="38" t="str">
        <f>+IF((PROVEEDORES[[#This Row],[FECHA DE PAGO]]-PROVEEDORES[[#This Row],[FECHA DE FACTURACIÓN]])&gt;PROVEEDORES[[#This Row],[PLAZO Días]],"PAGO VENCIDO")</f>
        <v>PAGO VENCIDO</v>
      </c>
      <c r="C1336" s="20">
        <f>+VLOOKUP(PROVEEDORES[[#This Row],[PROVEEDOR]],TERCEROS_INFO[#All],2,FALSE)</f>
        <v>30</v>
      </c>
      <c r="D1336" s="25">
        <f>+SUMIFS(PROVEEDORES[Total],PROVEEDORES[PROVEEDOR],PROVEEDORES[[#This Row],[PROVEEDOR]],PROVEEDORES[FECHA DE PAGO],"")</f>
        <v>5272763.2050000001</v>
      </c>
      <c r="E1336" s="25"/>
      <c r="F133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36" s="161">
        <v>44718</v>
      </c>
      <c r="H1336" s="26" t="s">
        <v>11</v>
      </c>
      <c r="I1336" s="161">
        <v>44683</v>
      </c>
      <c r="J1336" s="35" t="s">
        <v>946</v>
      </c>
      <c r="K1336" s="21">
        <v>1320000</v>
      </c>
      <c r="L1336" s="21"/>
      <c r="M1336" s="22">
        <f>(PROVEEDORES[[#This Row],[SUBTOTAL]]-PROVEEDORES[[#This Row],[descuento sobre subtotal]])*VLOOKUP(PROVEEDORES[[#This Row],[PROVEEDOR]],TERCEROS_INFO[#All],3,FALSE)</f>
        <v>250800</v>
      </c>
      <c r="N1336" s="23"/>
      <c r="O1336" s="22">
        <f>+PROVEEDORES[[#This Row],[Descuento sobre subtotal %]]*(PROVEEDORES[[#This Row],[SUBTOTAL]]-PROVEEDORES[[#This Row],[descuento sobre subtotal]])</f>
        <v>0</v>
      </c>
      <c r="P1336" s="83">
        <f>+IF(PROVEEDORES[[#This Row],[SUBTOTAL]]&lt;PROVEEDORES[[#This Row],[base retencion]],0,PROVEEDORES[[#This Row],[retención aplicada]])</f>
        <v>2.5000000000000001E-2</v>
      </c>
      <c r="Q1336" s="22">
        <f>+PROVEEDORES[[#This Row],[Rete Fuente %]]*(PROVEEDORES[[#This Row],[SUBTOTAL]]-PROVEEDORES[[#This Row],[descuento sobre subtotal]])</f>
        <v>33000</v>
      </c>
      <c r="R1336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1336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6" s="68">
        <f ca="1">IF(PROVEEDORES[[#This Row],[FECHA DE PAGO]]=0,TODAY()-PROVEEDORES[[#This Row],[FECHA DE FACTURACIÓN]]-PROVEEDORES[[#This Row],[PLAZO Días]],0)</f>
        <v>0</v>
      </c>
      <c r="U1336" s="113" t="str">
        <f>+VLOOKUP(PROVEEDORES[[#This Row],[PROVEEDOR]],Terceros!$A:$D,4,FALSE)</f>
        <v>2,5% con base</v>
      </c>
      <c r="V1336" s="114">
        <f>+YEAR(PROVEEDORES[[#This Row],[FECHA DE FACTURACIÓN]])</f>
        <v>2022</v>
      </c>
      <c r="W1336" s="114">
        <f>+MATCH(PROVEEDORES[[#This Row],[año facturado]],Retenciones!$1:$1,0)</f>
        <v>5</v>
      </c>
      <c r="X1336" s="115">
        <f>+VLOOKUP(PROVEEDORES[[#This Row],[ID RETENCION]],Retenciones!$A$1:$O$25,PROVEEDORES[[#This Row],[indicador de columna]],FALSE)</f>
        <v>1026000</v>
      </c>
      <c r="Y1336" s="116">
        <f>+VLOOKUP(PROVEEDORES[[#This Row],[ID RETENCION]],Retenciones!$A$1:$O$25,2,FALSE)</f>
        <v>2.5000000000000001E-2</v>
      </c>
      <c r="Z1336" s="125" t="b">
        <f>OR(COUNTIF(PROVEEDORES[[#This Row],[PROVEEDOR]],"*"&amp;'Palabra no opera'!$A$2&amp;"*"))</f>
        <v>0</v>
      </c>
      <c r="AA1336" s="24"/>
      <c r="AB1336" s="24"/>
      <c r="AC1336" s="24"/>
      <c r="AD1336" s="24"/>
      <c r="AE1336" s="24"/>
    </row>
    <row r="1337" spans="1:31" ht="22.2" customHeight="1" x14ac:dyDescent="0.3">
      <c r="A1337" s="66" t="str">
        <f>+IF(PROVEEDORES[[#This Row],[FECHA DE PAGO]]=PROVEEDORES[[#This Row],[FECHA DE FACTURACIÓN]],"DE CONTADO","CRÉDITO")</f>
        <v>CRÉDITO</v>
      </c>
      <c r="B1337" s="38" t="str">
        <f>+IF((PROVEEDORES[[#This Row],[FECHA DE PAGO]]-PROVEEDORES[[#This Row],[FECHA DE FACTURACIÓN]])&gt;PROVEEDORES[[#This Row],[PLAZO Días]],"PAGO VENCIDO")</f>
        <v>PAGO VENCIDO</v>
      </c>
      <c r="C1337" s="20">
        <f>+VLOOKUP(PROVEEDORES[[#This Row],[PROVEEDOR]],TERCEROS_INFO[#All],2,FALSE)</f>
        <v>30</v>
      </c>
      <c r="D1337" s="25">
        <f>+SUMIFS(PROVEEDORES[Total],PROVEEDORES[PROVEEDOR],PROVEEDORES[[#This Row],[PROVEEDOR]],PROVEEDORES[FECHA DE PAGO],"")</f>
        <v>0</v>
      </c>
      <c r="E1337" s="25"/>
      <c r="F1337" s="58">
        <f>+VLOOKUP(PROVEEDORES[[#This Row],[PROVEEDOR]],
                       Terceros!$A:$F,
                       5,
                       FALSE)</f>
        <v>0</v>
      </c>
      <c r="G1337" s="161">
        <v>44340</v>
      </c>
      <c r="H1337" s="26" t="s">
        <v>923</v>
      </c>
      <c r="I1337" s="161">
        <v>44293</v>
      </c>
      <c r="J1337" s="35" t="s">
        <v>1205</v>
      </c>
      <c r="K1337" s="21">
        <v>1545030</v>
      </c>
      <c r="L1337" s="21"/>
      <c r="M1337" s="22">
        <f>(PROVEEDORES[[#This Row],[SUBTOTAL]]-PROVEEDORES[[#This Row],[descuento sobre subtotal]])*VLOOKUP(PROVEEDORES[[#This Row],[PROVEEDOR]],TERCEROS_INFO[#All],3,FALSE)</f>
        <v>0</v>
      </c>
      <c r="N1337" s="23"/>
      <c r="O1337" s="22">
        <f>+PROVEEDORES[[#This Row],[Descuento sobre subtotal %]]*(PROVEEDORES[[#This Row],[SUBTOTAL]]-PROVEEDORES[[#This Row],[descuento sobre subtotal]])</f>
        <v>0</v>
      </c>
      <c r="P1337" s="83">
        <f>+IF(PROVEEDORES[[#This Row],[SUBTOTAL]]&lt;PROVEEDORES[[#This Row],[base retencion]],0,PROVEEDORES[[#This Row],[retención aplicada]])</f>
        <v>0</v>
      </c>
      <c r="Q1337" s="22">
        <f>+PROVEEDORES[[#This Row],[Rete Fuente %]]*(PROVEEDORES[[#This Row],[SUBTOTAL]]-PROVEEDORES[[#This Row],[descuento sobre subtotal]])</f>
        <v>0</v>
      </c>
      <c r="R1337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3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7" s="68">
        <f ca="1">IF(PROVEEDORES[[#This Row],[FECHA DE PAGO]]=0,TODAY()-PROVEEDORES[[#This Row],[FECHA DE FACTURACIÓN]]-PROVEEDORES[[#This Row],[PLAZO Días]],0)</f>
        <v>0</v>
      </c>
      <c r="U1337" s="96">
        <f>+VLOOKUP(PROVEEDORES[[#This Row],[PROVEEDOR]],Terceros!$A:$D,4,FALSE)</f>
        <v>0</v>
      </c>
      <c r="V1337" s="97">
        <f>+YEAR(PROVEEDORES[[#This Row],[FECHA DE FACTURACIÓN]])</f>
        <v>2021</v>
      </c>
      <c r="W1337" s="97">
        <f>+MATCH(PROVEEDORES[[#This Row],[año facturado]],Retenciones!$1:$1,0)</f>
        <v>4</v>
      </c>
      <c r="X1337" s="98">
        <f>+VLOOKUP(PROVEEDORES[[#This Row],[ID RETENCION]],Retenciones!$A$1:$O$25,PROVEEDORES[[#This Row],[indicador de columna]],FALSE)</f>
        <v>0</v>
      </c>
      <c r="Y1337" s="99">
        <f>+VLOOKUP(PROVEEDORES[[#This Row],[ID RETENCION]],Retenciones!$A$1:$O$25,2,FALSE)</f>
        <v>0</v>
      </c>
      <c r="Z1337" s="125" t="b">
        <f>OR(COUNTIF(PROVEEDORES[[#This Row],[PROVEEDOR]],"*"&amp;'Palabra no opera'!$A$2&amp;"*"))</f>
        <v>1</v>
      </c>
      <c r="AA1337" s="24"/>
      <c r="AB1337" s="24"/>
      <c r="AC1337" s="24"/>
      <c r="AD1337" s="24"/>
      <c r="AE1337" s="24"/>
    </row>
    <row r="1338" spans="1:31" ht="22.2" customHeight="1" x14ac:dyDescent="0.3">
      <c r="A1338" s="66" t="str">
        <f>+IF(PROVEEDORES[[#This Row],[FECHA DE PAGO]]=PROVEEDORES[[#This Row],[FECHA DE FACTURACIÓN]],"DE CONTADO","CRÉDITO")</f>
        <v>CRÉDITO</v>
      </c>
      <c r="B1338" s="38" t="str">
        <f>+IF((PROVEEDORES[[#This Row],[FECHA DE PAGO]]-PROVEEDORES[[#This Row],[FECHA DE FACTURACIÓN]])&gt;PROVEEDORES[[#This Row],[PLAZO Días]],"PAGO VENCIDO")</f>
        <v>PAGO VENCIDO</v>
      </c>
      <c r="C1338" s="20">
        <f>+VLOOKUP(PROVEEDORES[[#This Row],[PROVEEDOR]],TERCEROS_INFO[#All],2,FALSE)</f>
        <v>30</v>
      </c>
      <c r="D1338" s="25">
        <f>+SUMIFS(PROVEEDORES[Total],PROVEEDORES[PROVEEDOR],PROVEEDORES[[#This Row],[PROVEEDOR]],PROVEEDORES[FECHA DE PAGO],"")</f>
        <v>0</v>
      </c>
      <c r="E1338" s="25"/>
      <c r="F1338" s="58">
        <f>+VLOOKUP(PROVEEDORES[[#This Row],[PROVEEDOR]],
                       Terceros!$A:$F,
                       5,
                       FALSE)</f>
        <v>0</v>
      </c>
      <c r="G1338" s="161">
        <v>44448</v>
      </c>
      <c r="H1338" s="26" t="s">
        <v>923</v>
      </c>
      <c r="I1338" s="161">
        <v>44378</v>
      </c>
      <c r="J1338" s="35" t="s">
        <v>1205</v>
      </c>
      <c r="K1338" s="21">
        <v>1545030</v>
      </c>
      <c r="L1338" s="21"/>
      <c r="M1338" s="22">
        <f>(PROVEEDORES[[#This Row],[SUBTOTAL]]-PROVEEDORES[[#This Row],[descuento sobre subtotal]])*VLOOKUP(PROVEEDORES[[#This Row],[PROVEEDOR]],TERCEROS_INFO[#All],3,FALSE)</f>
        <v>0</v>
      </c>
      <c r="N1338" s="23"/>
      <c r="O1338" s="22">
        <f>+PROVEEDORES[[#This Row],[Descuento sobre subtotal %]]*(PROVEEDORES[[#This Row],[SUBTOTAL]]-PROVEEDORES[[#This Row],[descuento sobre subtotal]])</f>
        <v>0</v>
      </c>
      <c r="P1338" s="83">
        <f>+IF(PROVEEDORES[[#This Row],[SUBTOTAL]]&lt;PROVEEDORES[[#This Row],[base retencion]],0,PROVEEDORES[[#This Row],[retención aplicada]])</f>
        <v>0</v>
      </c>
      <c r="Q1338" s="22">
        <f>+PROVEEDORES[[#This Row],[Rete Fuente %]]*(PROVEEDORES[[#This Row],[SUBTOTAL]]-PROVEEDORES[[#This Row],[descuento sobre subtotal]])</f>
        <v>0</v>
      </c>
      <c r="R1338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3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8" s="68">
        <f ca="1">IF(PROVEEDORES[[#This Row],[FECHA DE PAGO]]=0,TODAY()-PROVEEDORES[[#This Row],[FECHA DE FACTURACIÓN]]-PROVEEDORES[[#This Row],[PLAZO Días]],0)</f>
        <v>0</v>
      </c>
      <c r="U1338" s="96">
        <f>+VLOOKUP(PROVEEDORES[[#This Row],[PROVEEDOR]],Terceros!$A:$D,4,FALSE)</f>
        <v>0</v>
      </c>
      <c r="V1338" s="97">
        <f>+YEAR(PROVEEDORES[[#This Row],[FECHA DE FACTURACIÓN]])</f>
        <v>2021</v>
      </c>
      <c r="W1338" s="97">
        <f>+MATCH(PROVEEDORES[[#This Row],[año facturado]],Retenciones!$1:$1,0)</f>
        <v>4</v>
      </c>
      <c r="X1338" s="98">
        <f>+VLOOKUP(PROVEEDORES[[#This Row],[ID RETENCION]],Retenciones!$A$1:$O$25,PROVEEDORES[[#This Row],[indicador de columna]],FALSE)</f>
        <v>0</v>
      </c>
      <c r="Y1338" s="99">
        <f>+VLOOKUP(PROVEEDORES[[#This Row],[ID RETENCION]],Retenciones!$A$1:$O$25,2,FALSE)</f>
        <v>0</v>
      </c>
      <c r="Z1338" s="125" t="b">
        <f>OR(COUNTIF(PROVEEDORES[[#This Row],[PROVEEDOR]],"*"&amp;'Palabra no opera'!$A$2&amp;"*"))</f>
        <v>1</v>
      </c>
      <c r="AA1338" s="24"/>
      <c r="AB1338" s="24"/>
      <c r="AC1338" s="24"/>
      <c r="AD1338" s="24"/>
      <c r="AE1338" s="24"/>
    </row>
    <row r="1339" spans="1:31" ht="22.2" customHeight="1" x14ac:dyDescent="0.3">
      <c r="A1339" s="66" t="str">
        <f>+IF(PROVEEDORES[[#This Row],[FECHA DE PAGO]]=PROVEEDORES[[#This Row],[FECHA DE FACTURACIÓN]],"DE CONTADO","CRÉDITO")</f>
        <v>CRÉDITO</v>
      </c>
      <c r="B1339" s="38" t="str">
        <f>+IF((PROVEEDORES[[#This Row],[FECHA DE PAGO]]-PROVEEDORES[[#This Row],[FECHA DE FACTURACIÓN]])&gt;PROVEEDORES[[#This Row],[PLAZO Días]],"PAGO VENCIDO")</f>
        <v>PAGO VENCIDO</v>
      </c>
      <c r="C1339" s="20">
        <f>+VLOOKUP(PROVEEDORES[[#This Row],[PROVEEDOR]],TERCEROS_INFO[#All],2,FALSE)</f>
        <v>30</v>
      </c>
      <c r="D1339" s="25">
        <f>+SUMIFS(PROVEEDORES[Total],PROVEEDORES[PROVEEDOR],PROVEEDORES[[#This Row],[PROVEEDOR]],PROVEEDORES[FECHA DE PAGO],"")</f>
        <v>0</v>
      </c>
      <c r="E1339" s="25"/>
      <c r="F1339" s="58">
        <f>+VLOOKUP(PROVEEDORES[[#This Row],[PROVEEDOR]],
                       Terceros!$A:$F,
                       5,
                       FALSE)</f>
        <v>0</v>
      </c>
      <c r="G1339" s="161">
        <v>44554</v>
      </c>
      <c r="H1339" s="26" t="s">
        <v>923</v>
      </c>
      <c r="I1339" s="161">
        <v>44470</v>
      </c>
      <c r="J1339" s="35" t="s">
        <v>1205</v>
      </c>
      <c r="K1339" s="21">
        <v>1545030</v>
      </c>
      <c r="L1339" s="21"/>
      <c r="M1339" s="22">
        <f>(PROVEEDORES[[#This Row],[SUBTOTAL]]-PROVEEDORES[[#This Row],[descuento sobre subtotal]])*VLOOKUP(PROVEEDORES[[#This Row],[PROVEEDOR]],TERCEROS_INFO[#All],3,FALSE)</f>
        <v>0</v>
      </c>
      <c r="N1339" s="23"/>
      <c r="O1339" s="22">
        <f>+PROVEEDORES[[#This Row],[Descuento sobre subtotal %]]*(PROVEEDORES[[#This Row],[SUBTOTAL]]-PROVEEDORES[[#This Row],[descuento sobre subtotal]])</f>
        <v>0</v>
      </c>
      <c r="P1339" s="83">
        <f>+IF(PROVEEDORES[[#This Row],[SUBTOTAL]]&lt;PROVEEDORES[[#This Row],[base retencion]],0,PROVEEDORES[[#This Row],[retención aplicada]])</f>
        <v>0</v>
      </c>
      <c r="Q1339" s="22">
        <f>+PROVEEDORES[[#This Row],[Rete Fuente %]]*(PROVEEDORES[[#This Row],[SUBTOTAL]]-PROVEEDORES[[#This Row],[descuento sobre subtotal]])</f>
        <v>0</v>
      </c>
      <c r="R1339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3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9" s="68">
        <f ca="1">IF(PROVEEDORES[[#This Row],[FECHA DE PAGO]]=0,TODAY()-PROVEEDORES[[#This Row],[FECHA DE FACTURACIÓN]]-PROVEEDORES[[#This Row],[PLAZO Días]],0)</f>
        <v>0</v>
      </c>
      <c r="U1339" s="96">
        <f>+VLOOKUP(PROVEEDORES[[#This Row],[PROVEEDOR]],Terceros!$A:$D,4,FALSE)</f>
        <v>0</v>
      </c>
      <c r="V1339" s="97">
        <f>+YEAR(PROVEEDORES[[#This Row],[FECHA DE FACTURACIÓN]])</f>
        <v>2021</v>
      </c>
      <c r="W1339" s="97">
        <f>+MATCH(PROVEEDORES[[#This Row],[año facturado]],Retenciones!$1:$1,0)</f>
        <v>4</v>
      </c>
      <c r="X1339" s="98">
        <f>+VLOOKUP(PROVEEDORES[[#This Row],[ID RETENCION]],Retenciones!$A$1:$O$25,PROVEEDORES[[#This Row],[indicador de columna]],FALSE)</f>
        <v>0</v>
      </c>
      <c r="Y1339" s="99">
        <f>+VLOOKUP(PROVEEDORES[[#This Row],[ID RETENCION]],Retenciones!$A$1:$O$25,2,FALSE)</f>
        <v>0</v>
      </c>
      <c r="Z1339" s="125" t="b">
        <f>OR(COUNTIF(PROVEEDORES[[#This Row],[PROVEEDOR]],"*"&amp;'Palabra no opera'!$A$2&amp;"*"))</f>
        <v>1</v>
      </c>
      <c r="AA1339" s="24"/>
      <c r="AB1339" s="24"/>
      <c r="AC1339" s="24"/>
      <c r="AD1339" s="24"/>
      <c r="AE1339" s="24"/>
    </row>
    <row r="1340" spans="1:31" ht="22.2" customHeight="1" x14ac:dyDescent="0.3">
      <c r="A1340" s="66" t="str">
        <f>+IF(PROVEEDORES[[#This Row],[FECHA DE PAGO]]=PROVEEDORES[[#This Row],[FECHA DE FACTURACIÓN]],"DE CONTADO","CRÉDITO")</f>
        <v>CRÉDITO</v>
      </c>
      <c r="B1340" s="38" t="b">
        <f>+IF((PROVEEDORES[[#This Row],[FECHA DE PAGO]]-PROVEEDORES[[#This Row],[FECHA DE FACTURACIÓN]])&gt;PROVEEDORES[[#This Row],[PLAZO Días]],"PAGO VENCIDO")</f>
        <v>0</v>
      </c>
      <c r="C1340" s="20">
        <f>+VLOOKUP(PROVEEDORES[[#This Row],[PROVEEDOR]],TERCEROS_INFO[#All],2,FALSE)</f>
        <v>30</v>
      </c>
      <c r="D1340" s="25">
        <f>+SUMIFS(PROVEEDORES[Total],PROVEEDORES[PROVEEDOR],PROVEEDORES[[#This Row],[PROVEEDOR]],PROVEEDORES[FECHA DE PAGO],"")</f>
        <v>0</v>
      </c>
      <c r="E1340" s="25"/>
      <c r="F1340" s="58" t="str">
        <f>+VLOOKUP(PROVEEDORES[[#This Row],[PROVEEDOR]],
                       Terceros!$A:$F,
                       5,
                       FALSE)</f>
        <v>??;girlesa.ruiz@servipilas.com;joriescobar64@gmail.com</v>
      </c>
      <c r="G1340" s="161">
        <v>44432</v>
      </c>
      <c r="H1340" s="26" t="s">
        <v>428</v>
      </c>
      <c r="I1340" s="161">
        <v>44427</v>
      </c>
      <c r="J1340" s="35">
        <v>10186</v>
      </c>
      <c r="K1340" s="21">
        <v>1326772</v>
      </c>
      <c r="L1340" s="21"/>
      <c r="M1340" s="22">
        <f>(PROVEEDORES[[#This Row],[SUBTOTAL]]-PROVEEDORES[[#This Row],[descuento sobre subtotal]])*VLOOKUP(PROVEEDORES[[#This Row],[PROVEEDOR]],TERCEROS_INFO[#All],3,FALSE)</f>
        <v>252086.68</v>
      </c>
      <c r="N1340" s="23"/>
      <c r="O1340" s="22">
        <f>+PROVEEDORES[[#This Row],[Descuento sobre subtotal %]]*(PROVEEDORES[[#This Row],[SUBTOTAL]]-PROVEEDORES[[#This Row],[descuento sobre subtotal]])</f>
        <v>0</v>
      </c>
      <c r="P1340" s="83">
        <f>+IF(PROVEEDORES[[#This Row],[SUBTOTAL]]&lt;PROVEEDORES[[#This Row],[base retencion]],0,PROVEEDORES[[#This Row],[retención aplicada]])</f>
        <v>2.5000000000000001E-2</v>
      </c>
      <c r="Q1340" s="22">
        <f>+PROVEEDORES[[#This Row],[Rete Fuente %]]*(PROVEEDORES[[#This Row],[SUBTOTAL]]-PROVEEDORES[[#This Row],[descuento sobre subtotal]])</f>
        <v>33169.300000000003</v>
      </c>
      <c r="R1340" s="21">
        <f>+PROVEEDORES[[#This Row],[SUBTOTAL]]+PROVEEDORES[[#This Row],[IVA 19%]]-PROVEEDORES[[#This Row],[descuento sobre subtotal]]-PROVEEDORES[[#This Row],[Descuento sobre subtotal $2]]-PROVEEDORES[[#This Row],[Rete Fuente $]]</f>
        <v>1545689.38</v>
      </c>
      <c r="S13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0" s="68">
        <f ca="1">IF(PROVEEDORES[[#This Row],[FECHA DE PAGO]]=0,TODAY()-PROVEEDORES[[#This Row],[FECHA DE FACTURACIÓN]]-PROVEEDORES[[#This Row],[PLAZO Días]],0)</f>
        <v>0</v>
      </c>
      <c r="U1340" s="96" t="str">
        <f>+VLOOKUP(PROVEEDORES[[#This Row],[PROVEEDOR]],Terceros!$A:$D,4,FALSE)</f>
        <v>2,5% con base</v>
      </c>
      <c r="V1340" s="97">
        <f>+YEAR(PROVEEDORES[[#This Row],[FECHA DE FACTURACIÓN]])</f>
        <v>2021</v>
      </c>
      <c r="W1340" s="97">
        <f>+MATCH(PROVEEDORES[[#This Row],[año facturado]],Retenciones!$1:$1,0)</f>
        <v>4</v>
      </c>
      <c r="X1340" s="98">
        <f>+VLOOKUP(PROVEEDORES[[#This Row],[ID RETENCION]],Retenciones!$A$1:$O$25,PROVEEDORES[[#This Row],[indicador de columna]],FALSE)</f>
        <v>980000</v>
      </c>
      <c r="Y1340" s="99">
        <f>+VLOOKUP(PROVEEDORES[[#This Row],[ID RETENCION]],Retenciones!$A$1:$O$25,2,FALSE)</f>
        <v>2.5000000000000001E-2</v>
      </c>
      <c r="Z1340" s="125" t="b">
        <f>OR(COUNTIF(PROVEEDORES[[#This Row],[PROVEEDOR]],"*"&amp;'Palabra no opera'!$A$2&amp;"*"))</f>
        <v>0</v>
      </c>
      <c r="AA1340" s="24"/>
      <c r="AB1340" s="24"/>
      <c r="AC1340" s="24"/>
      <c r="AD1340" s="24"/>
      <c r="AE1340" s="24"/>
    </row>
    <row r="1341" spans="1:31" ht="22.2" customHeight="1" x14ac:dyDescent="0.3">
      <c r="A1341" s="66" t="str">
        <f>+IF(PROVEEDORES[[#This Row],[FECHA DE PAGO]]=PROVEEDORES[[#This Row],[FECHA DE FACTURACIÓN]],"DE CONTADO","CRÉDITO")</f>
        <v>CRÉDITO</v>
      </c>
      <c r="B1341" s="38" t="b">
        <f>+IF((PROVEEDORES[[#This Row],[FECHA DE PAGO]]-PROVEEDORES[[#This Row],[FECHA DE FACTURACIÓN]])&gt;PROVEEDORES[[#This Row],[PLAZO Días]],"PAGO VENCIDO")</f>
        <v>0</v>
      </c>
      <c r="C1341" s="20">
        <f>+VLOOKUP(PROVEEDORES[[#This Row],[PROVEEDOR]],TERCEROS_INFO[#All],2,FALSE)</f>
        <v>30</v>
      </c>
      <c r="D1341" s="25">
        <f>+SUMIFS(PROVEEDORES[Total],PROVEEDORES[PROVEEDOR],PROVEEDORES[[#This Row],[PROVEEDOR]],PROVEEDORES[FECHA DE PAGO],"")</f>
        <v>0</v>
      </c>
      <c r="E1341" s="25"/>
      <c r="F134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1" s="161">
        <v>44396</v>
      </c>
      <c r="H1341" s="26" t="s">
        <v>918</v>
      </c>
      <c r="I1341" s="161">
        <v>44378</v>
      </c>
      <c r="J1341" s="35">
        <v>8521</v>
      </c>
      <c r="K1341" s="21">
        <v>1547710</v>
      </c>
      <c r="L1341" s="21"/>
      <c r="M1341" s="22">
        <f>(PROVEEDORES[[#This Row],[SUBTOTAL]]-PROVEEDORES[[#This Row],[descuento sobre subtotal]])*VLOOKUP(PROVEEDORES[[#This Row],[PROVEEDOR]],TERCEROS_INFO[#All],3,FALSE)</f>
        <v>0</v>
      </c>
      <c r="N1341" s="23"/>
      <c r="O1341" s="22">
        <f>+PROVEEDORES[[#This Row],[Descuento sobre subtotal %]]*(PROVEEDORES[[#This Row],[SUBTOTAL]]-PROVEEDORES[[#This Row],[descuento sobre subtotal]])</f>
        <v>0</v>
      </c>
      <c r="P1341" s="83">
        <f>+IF(PROVEEDORES[[#This Row],[SUBTOTAL]]&lt;PROVEEDORES[[#This Row],[base retencion]],0,PROVEEDORES[[#This Row],[retención aplicada]])</f>
        <v>0</v>
      </c>
      <c r="Q1341" s="22">
        <f>+PROVEEDORES[[#This Row],[Rete Fuente %]]*(PROVEEDORES[[#This Row],[SUBTOTAL]]-PROVEEDORES[[#This Row],[descuento sobre subtotal]])</f>
        <v>0</v>
      </c>
      <c r="R1341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1" s="68">
        <f ca="1">IF(PROVEEDORES[[#This Row],[FECHA DE PAGO]]=0,TODAY()-PROVEEDORES[[#This Row],[FECHA DE FACTURACIÓN]]-PROVEEDORES[[#This Row],[PLAZO Días]],0)</f>
        <v>0</v>
      </c>
      <c r="U1341" s="96">
        <f>+VLOOKUP(PROVEEDORES[[#This Row],[PROVEEDOR]],Terceros!$A:$D,4,FALSE)</f>
        <v>0</v>
      </c>
      <c r="V1341" s="97">
        <f>+YEAR(PROVEEDORES[[#This Row],[FECHA DE FACTURACIÓN]])</f>
        <v>2021</v>
      </c>
      <c r="W1341" s="97">
        <f>+MATCH(PROVEEDORES[[#This Row],[año facturado]],Retenciones!$1:$1,0)</f>
        <v>4</v>
      </c>
      <c r="X1341" s="98">
        <f>+VLOOKUP(PROVEEDORES[[#This Row],[ID RETENCION]],Retenciones!$A$1:$O$25,PROVEEDORES[[#This Row],[indicador de columna]],FALSE)</f>
        <v>0</v>
      </c>
      <c r="Y1341" s="99">
        <f>+VLOOKUP(PROVEEDORES[[#This Row],[ID RETENCION]],Retenciones!$A$1:$O$25,2,FALSE)</f>
        <v>0</v>
      </c>
      <c r="Z1341" s="125" t="b">
        <f>OR(COUNTIF(PROVEEDORES[[#This Row],[PROVEEDOR]],"*"&amp;'Palabra no opera'!$A$2&amp;"*"))</f>
        <v>1</v>
      </c>
      <c r="AA1341" s="24"/>
      <c r="AB1341" s="24"/>
      <c r="AC1341" s="24"/>
      <c r="AD1341" s="24"/>
      <c r="AE1341" s="24"/>
    </row>
    <row r="1342" spans="1:31" ht="22.2" customHeight="1" x14ac:dyDescent="0.3">
      <c r="A1342" s="66" t="str">
        <f>+IF(PROVEEDORES[[#This Row],[FECHA DE PAGO]]=PROVEEDORES[[#This Row],[FECHA DE FACTURACIÓN]],"DE CONTADO","CRÉDITO")</f>
        <v>CRÉDITO</v>
      </c>
      <c r="B1342" s="38" t="b">
        <f>+IF((PROVEEDORES[[#This Row],[FECHA DE PAGO]]-PROVEEDORES[[#This Row],[FECHA DE FACTURACIÓN]])&gt;PROVEEDORES[[#This Row],[PLAZO Días]],"PAGO VENCIDO")</f>
        <v>0</v>
      </c>
      <c r="C1342" s="20">
        <f>+VLOOKUP(PROVEEDORES[[#This Row],[PROVEEDOR]],TERCEROS_INFO[#All],2,FALSE)</f>
        <v>30</v>
      </c>
      <c r="D1342" s="25">
        <f>+SUMIFS(PROVEEDORES[Total],PROVEEDORES[PROVEEDOR],PROVEEDORES[[#This Row],[PROVEEDOR]],PROVEEDORES[FECHA DE PAGO],"")</f>
        <v>0</v>
      </c>
      <c r="E1342" s="25"/>
      <c r="F134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2" s="161">
        <v>44432</v>
      </c>
      <c r="H1342" s="26" t="s">
        <v>918</v>
      </c>
      <c r="I1342" s="161">
        <v>44409</v>
      </c>
      <c r="J1342" s="35">
        <v>8720</v>
      </c>
      <c r="K1342" s="21">
        <v>1547710</v>
      </c>
      <c r="L1342" s="21"/>
      <c r="M1342" s="22">
        <f>(PROVEEDORES[[#This Row],[SUBTOTAL]]-PROVEEDORES[[#This Row],[descuento sobre subtotal]])*VLOOKUP(PROVEEDORES[[#This Row],[PROVEEDOR]],TERCEROS_INFO[#All],3,FALSE)</f>
        <v>0</v>
      </c>
      <c r="N1342" s="23"/>
      <c r="O1342" s="22">
        <f>+PROVEEDORES[[#This Row],[Descuento sobre subtotal %]]*(PROVEEDORES[[#This Row],[SUBTOTAL]]-PROVEEDORES[[#This Row],[descuento sobre subtotal]])</f>
        <v>0</v>
      </c>
      <c r="P1342" s="83">
        <f>+IF(PROVEEDORES[[#This Row],[SUBTOTAL]]&lt;PROVEEDORES[[#This Row],[base retencion]],0,PROVEEDORES[[#This Row],[retención aplicada]])</f>
        <v>0</v>
      </c>
      <c r="Q1342" s="22">
        <f>+PROVEEDORES[[#This Row],[Rete Fuente %]]*(PROVEEDORES[[#This Row],[SUBTOTAL]]-PROVEEDORES[[#This Row],[descuento sobre subtotal]])</f>
        <v>0</v>
      </c>
      <c r="R1342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2" s="68">
        <f ca="1">IF(PROVEEDORES[[#This Row],[FECHA DE PAGO]]=0,TODAY()-PROVEEDORES[[#This Row],[FECHA DE FACTURACIÓN]]-PROVEEDORES[[#This Row],[PLAZO Días]],0)</f>
        <v>0</v>
      </c>
      <c r="U1342" s="96">
        <f>+VLOOKUP(PROVEEDORES[[#This Row],[PROVEEDOR]],Terceros!$A:$D,4,FALSE)</f>
        <v>0</v>
      </c>
      <c r="V1342" s="97">
        <f>+YEAR(PROVEEDORES[[#This Row],[FECHA DE FACTURACIÓN]])</f>
        <v>2021</v>
      </c>
      <c r="W1342" s="97">
        <f>+MATCH(PROVEEDORES[[#This Row],[año facturado]],Retenciones!$1:$1,0)</f>
        <v>4</v>
      </c>
      <c r="X1342" s="98">
        <f>+VLOOKUP(PROVEEDORES[[#This Row],[ID RETENCION]],Retenciones!$A$1:$O$25,PROVEEDORES[[#This Row],[indicador de columna]],FALSE)</f>
        <v>0</v>
      </c>
      <c r="Y1342" s="99">
        <f>+VLOOKUP(PROVEEDORES[[#This Row],[ID RETENCION]],Retenciones!$A$1:$O$25,2,FALSE)</f>
        <v>0</v>
      </c>
      <c r="Z1342" s="125" t="b">
        <f>OR(COUNTIF(PROVEEDORES[[#This Row],[PROVEEDOR]],"*"&amp;'Palabra no opera'!$A$2&amp;"*"))</f>
        <v>1</v>
      </c>
      <c r="AA1342" s="24"/>
      <c r="AB1342" s="24"/>
      <c r="AC1342" s="24"/>
      <c r="AD1342" s="24"/>
      <c r="AE1342" s="24"/>
    </row>
    <row r="1343" spans="1:31" ht="22.2" customHeight="1" x14ac:dyDescent="0.3">
      <c r="A1343" s="66" t="str">
        <f>+IF(PROVEEDORES[[#This Row],[FECHA DE PAGO]]=PROVEEDORES[[#This Row],[FECHA DE FACTURACIÓN]],"DE CONTADO","CRÉDITO")</f>
        <v>CRÉDITO</v>
      </c>
      <c r="B1343" s="38" t="b">
        <f>+IF((PROVEEDORES[[#This Row],[FECHA DE PAGO]]-PROVEEDORES[[#This Row],[FECHA DE FACTURACIÓN]])&gt;PROVEEDORES[[#This Row],[PLAZO Días]],"PAGO VENCIDO")</f>
        <v>0</v>
      </c>
      <c r="C1343" s="20">
        <f>+VLOOKUP(PROVEEDORES[[#This Row],[PROVEEDOR]],TERCEROS_INFO[#All],2,FALSE)</f>
        <v>30</v>
      </c>
      <c r="D1343" s="25">
        <f>+SUMIFS(PROVEEDORES[Total],PROVEEDORES[PROVEEDOR],PROVEEDORES[[#This Row],[PROVEEDOR]],PROVEEDORES[FECHA DE PAGO],"")</f>
        <v>0</v>
      </c>
      <c r="E1343" s="25"/>
      <c r="F1343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3" s="161">
        <v>44461</v>
      </c>
      <c r="H1343" s="26" t="s">
        <v>918</v>
      </c>
      <c r="I1343" s="161">
        <v>44440</v>
      </c>
      <c r="J1343" s="35">
        <v>8919</v>
      </c>
      <c r="K1343" s="21">
        <v>1547710</v>
      </c>
      <c r="L1343" s="21"/>
      <c r="M1343" s="22">
        <f>(PROVEEDORES[[#This Row],[SUBTOTAL]]-PROVEEDORES[[#This Row],[descuento sobre subtotal]])*VLOOKUP(PROVEEDORES[[#This Row],[PROVEEDOR]],TERCEROS_INFO[#All],3,FALSE)</f>
        <v>0</v>
      </c>
      <c r="N1343" s="23"/>
      <c r="O1343" s="22">
        <f>+PROVEEDORES[[#This Row],[Descuento sobre subtotal %]]*(PROVEEDORES[[#This Row],[SUBTOTAL]]-PROVEEDORES[[#This Row],[descuento sobre subtotal]])</f>
        <v>0</v>
      </c>
      <c r="P1343" s="83">
        <f>+IF(PROVEEDORES[[#This Row],[SUBTOTAL]]&lt;PROVEEDORES[[#This Row],[base retencion]],0,PROVEEDORES[[#This Row],[retención aplicada]])</f>
        <v>0</v>
      </c>
      <c r="Q1343" s="22">
        <f>+PROVEEDORES[[#This Row],[Rete Fuente %]]*(PROVEEDORES[[#This Row],[SUBTOTAL]]-PROVEEDORES[[#This Row],[descuento sobre subtotal]])</f>
        <v>0</v>
      </c>
      <c r="R1343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3" s="68">
        <f ca="1">IF(PROVEEDORES[[#This Row],[FECHA DE PAGO]]=0,TODAY()-PROVEEDORES[[#This Row],[FECHA DE FACTURACIÓN]]-PROVEEDORES[[#This Row],[PLAZO Días]],0)</f>
        <v>0</v>
      </c>
      <c r="U1343" s="96">
        <f>+VLOOKUP(PROVEEDORES[[#This Row],[PROVEEDOR]],Terceros!$A:$D,4,FALSE)</f>
        <v>0</v>
      </c>
      <c r="V1343" s="97">
        <f>+YEAR(PROVEEDORES[[#This Row],[FECHA DE FACTURACIÓN]])</f>
        <v>2021</v>
      </c>
      <c r="W1343" s="97">
        <f>+MATCH(PROVEEDORES[[#This Row],[año facturado]],Retenciones!$1:$1,0)</f>
        <v>4</v>
      </c>
      <c r="X1343" s="98">
        <f>+VLOOKUP(PROVEEDORES[[#This Row],[ID RETENCION]],Retenciones!$A$1:$O$25,PROVEEDORES[[#This Row],[indicador de columna]],FALSE)</f>
        <v>0</v>
      </c>
      <c r="Y1343" s="99">
        <f>+VLOOKUP(PROVEEDORES[[#This Row],[ID RETENCION]],Retenciones!$A$1:$O$25,2,FALSE)</f>
        <v>0</v>
      </c>
      <c r="Z1343" s="125" t="b">
        <f>OR(COUNTIF(PROVEEDORES[[#This Row],[PROVEEDOR]],"*"&amp;'Palabra no opera'!$A$2&amp;"*"))</f>
        <v>1</v>
      </c>
      <c r="AA1343" s="24"/>
      <c r="AB1343" s="24"/>
      <c r="AC1343" s="24"/>
      <c r="AD1343" s="24"/>
      <c r="AE1343" s="24"/>
    </row>
    <row r="1344" spans="1:31" ht="22.2" customHeight="1" x14ac:dyDescent="0.3">
      <c r="A1344" s="66" t="str">
        <f>+IF(PROVEEDORES[[#This Row],[FECHA DE PAGO]]=PROVEEDORES[[#This Row],[FECHA DE FACTURACIÓN]],"DE CONTADO","CRÉDITO")</f>
        <v>CRÉDITO</v>
      </c>
      <c r="B1344" s="38" t="b">
        <f>+IF((PROVEEDORES[[#This Row],[FECHA DE PAGO]]-PROVEEDORES[[#This Row],[FECHA DE FACTURACIÓN]])&gt;PROVEEDORES[[#This Row],[PLAZO Días]],"PAGO VENCIDO")</f>
        <v>0</v>
      </c>
      <c r="C1344" s="20">
        <f>+VLOOKUP(PROVEEDORES[[#This Row],[PROVEEDOR]],TERCEROS_INFO[#All],2,FALSE)</f>
        <v>30</v>
      </c>
      <c r="D1344" s="25">
        <f>+SUMIFS(PROVEEDORES[Total],PROVEEDORES[PROVEEDOR],PROVEEDORES[[#This Row],[PROVEEDOR]],PROVEEDORES[FECHA DE PAGO],"")</f>
        <v>0</v>
      </c>
      <c r="E1344" s="25"/>
      <c r="F134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4" s="161">
        <v>44496</v>
      </c>
      <c r="H1344" s="26" t="s">
        <v>918</v>
      </c>
      <c r="I1344" s="161">
        <v>44470</v>
      </c>
      <c r="J1344" s="35">
        <v>9120</v>
      </c>
      <c r="K1344" s="21">
        <v>1547710</v>
      </c>
      <c r="L1344" s="21"/>
      <c r="M1344" s="22">
        <f>(PROVEEDORES[[#This Row],[SUBTOTAL]]-PROVEEDORES[[#This Row],[descuento sobre subtotal]])*VLOOKUP(PROVEEDORES[[#This Row],[PROVEEDOR]],TERCEROS_INFO[#All],3,FALSE)</f>
        <v>0</v>
      </c>
      <c r="N1344" s="23"/>
      <c r="O1344" s="22">
        <f>+PROVEEDORES[[#This Row],[Descuento sobre subtotal %]]*(PROVEEDORES[[#This Row],[SUBTOTAL]]-PROVEEDORES[[#This Row],[descuento sobre subtotal]])</f>
        <v>0</v>
      </c>
      <c r="P1344" s="83">
        <f>+IF(PROVEEDORES[[#This Row],[SUBTOTAL]]&lt;PROVEEDORES[[#This Row],[base retencion]],0,PROVEEDORES[[#This Row],[retención aplicada]])</f>
        <v>0</v>
      </c>
      <c r="Q1344" s="22">
        <f>+PROVEEDORES[[#This Row],[Rete Fuente %]]*(PROVEEDORES[[#This Row],[SUBTOTAL]]-PROVEEDORES[[#This Row],[descuento sobre subtotal]])</f>
        <v>0</v>
      </c>
      <c r="R1344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4" s="68">
        <f ca="1">IF(PROVEEDORES[[#This Row],[FECHA DE PAGO]]=0,TODAY()-PROVEEDORES[[#This Row],[FECHA DE FACTURACIÓN]]-PROVEEDORES[[#This Row],[PLAZO Días]],0)</f>
        <v>0</v>
      </c>
      <c r="U1344" s="96">
        <f>+VLOOKUP(PROVEEDORES[[#This Row],[PROVEEDOR]],Terceros!$A:$D,4,FALSE)</f>
        <v>0</v>
      </c>
      <c r="V1344" s="97">
        <f>+YEAR(PROVEEDORES[[#This Row],[FECHA DE FACTURACIÓN]])</f>
        <v>2021</v>
      </c>
      <c r="W1344" s="97">
        <f>+MATCH(PROVEEDORES[[#This Row],[año facturado]],Retenciones!$1:$1,0)</f>
        <v>4</v>
      </c>
      <c r="X1344" s="98">
        <f>+VLOOKUP(PROVEEDORES[[#This Row],[ID RETENCION]],Retenciones!$A$1:$O$25,PROVEEDORES[[#This Row],[indicador de columna]],FALSE)</f>
        <v>0</v>
      </c>
      <c r="Y1344" s="99">
        <f>+VLOOKUP(PROVEEDORES[[#This Row],[ID RETENCION]],Retenciones!$A$1:$O$25,2,FALSE)</f>
        <v>0</v>
      </c>
      <c r="Z1344" s="125" t="b">
        <f>OR(COUNTIF(PROVEEDORES[[#This Row],[PROVEEDOR]],"*"&amp;'Palabra no opera'!$A$2&amp;"*"))</f>
        <v>1</v>
      </c>
      <c r="AA1344" s="24"/>
      <c r="AB1344" s="24"/>
      <c r="AC1344" s="24"/>
      <c r="AD1344" s="24"/>
      <c r="AE1344" s="24"/>
    </row>
    <row r="1345" spans="1:31" ht="22.2" customHeight="1" x14ac:dyDescent="0.3">
      <c r="A1345" s="66" t="str">
        <f>+IF(PROVEEDORES[[#This Row],[FECHA DE PAGO]]=PROVEEDORES[[#This Row],[FECHA DE FACTURACIÓN]],"DE CONTADO","CRÉDITO")</f>
        <v>CRÉDITO</v>
      </c>
      <c r="B1345" s="38" t="b">
        <f>+IF((PROVEEDORES[[#This Row],[FECHA DE PAGO]]-PROVEEDORES[[#This Row],[FECHA DE FACTURACIÓN]])&gt;PROVEEDORES[[#This Row],[PLAZO Días]],"PAGO VENCIDO")</f>
        <v>0</v>
      </c>
      <c r="C1345" s="20">
        <f>+VLOOKUP(PROVEEDORES[[#This Row],[PROVEEDOR]],TERCEROS_INFO[#All],2,FALSE)</f>
        <v>30</v>
      </c>
      <c r="D1345" s="25">
        <f>+SUMIFS(PROVEEDORES[Total],PROVEEDORES[PROVEEDOR],PROVEEDORES[[#This Row],[PROVEEDOR]],PROVEEDORES[FECHA DE PAGO],"")</f>
        <v>0</v>
      </c>
      <c r="E1345" s="25"/>
      <c r="F134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5" s="161">
        <v>44527</v>
      </c>
      <c r="H1345" s="26" t="s">
        <v>918</v>
      </c>
      <c r="I1345" s="161">
        <v>44501</v>
      </c>
      <c r="J1345" s="35">
        <v>9319</v>
      </c>
      <c r="K1345" s="21">
        <v>1547710</v>
      </c>
      <c r="L1345" s="21"/>
      <c r="M1345" s="22">
        <f>(PROVEEDORES[[#This Row],[SUBTOTAL]]-PROVEEDORES[[#This Row],[descuento sobre subtotal]])*VLOOKUP(PROVEEDORES[[#This Row],[PROVEEDOR]],TERCEROS_INFO[#All],3,FALSE)</f>
        <v>0</v>
      </c>
      <c r="N1345" s="23"/>
      <c r="O1345" s="22">
        <f>+PROVEEDORES[[#This Row],[Descuento sobre subtotal %]]*(PROVEEDORES[[#This Row],[SUBTOTAL]]-PROVEEDORES[[#This Row],[descuento sobre subtotal]])</f>
        <v>0</v>
      </c>
      <c r="P1345" s="83">
        <f>+IF(PROVEEDORES[[#This Row],[SUBTOTAL]]&lt;PROVEEDORES[[#This Row],[base retencion]],0,PROVEEDORES[[#This Row],[retención aplicada]])</f>
        <v>0</v>
      </c>
      <c r="Q1345" s="22">
        <f>+PROVEEDORES[[#This Row],[Rete Fuente %]]*(PROVEEDORES[[#This Row],[SUBTOTAL]]-PROVEEDORES[[#This Row],[descuento sobre subtotal]])</f>
        <v>0</v>
      </c>
      <c r="R1345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5" s="68">
        <f ca="1">IF(PROVEEDORES[[#This Row],[FECHA DE PAGO]]=0,TODAY()-PROVEEDORES[[#This Row],[FECHA DE FACTURACIÓN]]-PROVEEDORES[[#This Row],[PLAZO Días]],0)</f>
        <v>0</v>
      </c>
      <c r="U1345" s="96">
        <f>+VLOOKUP(PROVEEDORES[[#This Row],[PROVEEDOR]],Terceros!$A:$D,4,FALSE)</f>
        <v>0</v>
      </c>
      <c r="V1345" s="97">
        <f>+YEAR(PROVEEDORES[[#This Row],[FECHA DE FACTURACIÓN]])</f>
        <v>2021</v>
      </c>
      <c r="W1345" s="97">
        <f>+MATCH(PROVEEDORES[[#This Row],[año facturado]],Retenciones!$1:$1,0)</f>
        <v>4</v>
      </c>
      <c r="X1345" s="98">
        <f>+VLOOKUP(PROVEEDORES[[#This Row],[ID RETENCION]],Retenciones!$A$1:$O$25,PROVEEDORES[[#This Row],[indicador de columna]],FALSE)</f>
        <v>0</v>
      </c>
      <c r="Y1345" s="99">
        <f>+VLOOKUP(PROVEEDORES[[#This Row],[ID RETENCION]],Retenciones!$A$1:$O$25,2,FALSE)</f>
        <v>0</v>
      </c>
      <c r="Z1345" s="125" t="b">
        <f>OR(COUNTIF(PROVEEDORES[[#This Row],[PROVEEDOR]],"*"&amp;'Palabra no opera'!$A$2&amp;"*"))</f>
        <v>1</v>
      </c>
      <c r="AA1345" s="24"/>
      <c r="AB1345" s="24"/>
      <c r="AC1345" s="24"/>
      <c r="AD1345" s="24"/>
      <c r="AE1345" s="24"/>
    </row>
    <row r="1346" spans="1:31" ht="22.2" customHeight="1" x14ac:dyDescent="0.3">
      <c r="A1346" s="66" t="str">
        <f>+IF(PROVEEDORES[[#This Row],[FECHA DE PAGO]]=PROVEEDORES[[#This Row],[FECHA DE FACTURACIÓN]],"DE CONTADO","CRÉDITO")</f>
        <v>CRÉDITO</v>
      </c>
      <c r="B1346" s="38" t="str">
        <f>+IF((PROVEEDORES[[#This Row],[FECHA DE PAGO]]-PROVEEDORES[[#This Row],[FECHA DE FACTURACIÓN]])&gt;PROVEEDORES[[#This Row],[PLAZO Días]],"PAGO VENCIDO")</f>
        <v>PAGO VENCIDO</v>
      </c>
      <c r="C1346" s="20">
        <f>+VLOOKUP(PROVEEDORES[[#This Row],[PROVEEDOR]],TERCEROS_INFO[#All],2,FALSE)</f>
        <v>30</v>
      </c>
      <c r="D1346" s="25">
        <f>+SUMIFS(PROVEEDORES[Total],PROVEEDORES[PROVEEDOR],PROVEEDORES[[#This Row],[PROVEEDOR]],PROVEEDORES[FECHA DE PAGO],"")</f>
        <v>0</v>
      </c>
      <c r="E1346" s="25"/>
      <c r="F134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46" s="161">
        <v>44257</v>
      </c>
      <c r="H1346" s="26" t="s">
        <v>1637</v>
      </c>
      <c r="I1346" s="161">
        <v>44183</v>
      </c>
      <c r="J1346" s="35">
        <v>19328</v>
      </c>
      <c r="K1346" s="21">
        <v>1465068</v>
      </c>
      <c r="L1346" s="21">
        <v>133188</v>
      </c>
      <c r="M1346" s="22">
        <f>(PROVEEDORES[[#This Row],[SUBTOTAL]]-PROVEEDORES[[#This Row],[descuento sobre subtotal]])*VLOOKUP(PROVEEDORES[[#This Row],[PROVEEDOR]],TERCEROS_INFO[#All],3,FALSE)</f>
        <v>253057.2</v>
      </c>
      <c r="N1346" s="23"/>
      <c r="O1346" s="22">
        <f>+PROVEEDORES[[#This Row],[Descuento sobre subtotal %]]*(PROVEEDORES[[#This Row],[SUBTOTAL]]-PROVEEDORES[[#This Row],[descuento sobre subtotal]])</f>
        <v>0</v>
      </c>
      <c r="P1346" s="83">
        <f>+IF(PROVEEDORES[[#This Row],[SUBTOTAL]]&lt;PROVEEDORES[[#This Row],[base retencion]],0,PROVEEDORES[[#This Row],[retención aplicada]])</f>
        <v>2.5000000000000001E-2</v>
      </c>
      <c r="Q1346" s="22">
        <f>+PROVEEDORES[[#This Row],[Rete Fuente %]]*(PROVEEDORES[[#This Row],[SUBTOTAL]]-PROVEEDORES[[#This Row],[descuento sobre subtotal]])</f>
        <v>33297</v>
      </c>
      <c r="R1346" s="21">
        <f>+PROVEEDORES[[#This Row],[SUBTOTAL]]+PROVEEDORES[[#This Row],[IVA 19%]]-PROVEEDORES[[#This Row],[descuento sobre subtotal]]-PROVEEDORES[[#This Row],[Descuento sobre subtotal $2]]-PROVEEDORES[[#This Row],[Rete Fuente $]]</f>
        <v>1551640.2</v>
      </c>
      <c r="S13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6" s="68">
        <f ca="1">IF(PROVEEDORES[[#This Row],[FECHA DE PAGO]]=0,TODAY()-PROVEEDORES[[#This Row],[FECHA DE FACTURACIÓN]]-PROVEEDORES[[#This Row],[PLAZO Días]],0)</f>
        <v>0</v>
      </c>
      <c r="U1346" s="96" t="str">
        <f>+VLOOKUP(PROVEEDORES[[#This Row],[PROVEEDOR]],Terceros!$A:$D,4,FALSE)</f>
        <v>2,5% con base</v>
      </c>
      <c r="V1346" s="97">
        <f>+YEAR(PROVEEDORES[[#This Row],[FECHA DE FACTURACIÓN]])</f>
        <v>2020</v>
      </c>
      <c r="W1346" s="97">
        <f>+MATCH(PROVEEDORES[[#This Row],[año facturado]],Retenciones!$1:$1,0)</f>
        <v>3</v>
      </c>
      <c r="X1346" s="98">
        <f>+VLOOKUP(PROVEEDORES[[#This Row],[ID RETENCION]],Retenciones!$A$1:$O$25,PROVEEDORES[[#This Row],[indicador de columna]],FALSE)</f>
        <v>961000</v>
      </c>
      <c r="Y1346" s="99">
        <f>+VLOOKUP(PROVEEDORES[[#This Row],[ID RETENCION]],Retenciones!$A$1:$O$25,2,FALSE)</f>
        <v>2.5000000000000001E-2</v>
      </c>
      <c r="Z1346" s="125" t="b">
        <f>OR(COUNTIF(PROVEEDORES[[#This Row],[PROVEEDOR]],"*"&amp;'Palabra no opera'!$A$2&amp;"*"))</f>
        <v>0</v>
      </c>
      <c r="AA1346" s="24"/>
      <c r="AB1346" s="24"/>
      <c r="AC1346" s="24"/>
      <c r="AD1346" s="24"/>
      <c r="AE1346" s="24"/>
    </row>
    <row r="1347" spans="1:31" ht="22.2" customHeight="1" x14ac:dyDescent="0.3">
      <c r="A1347" s="66" t="str">
        <f>+IF(PROVEEDORES[[#This Row],[FECHA DE PAGO]]=PROVEEDORES[[#This Row],[FECHA DE FACTURACIÓN]],"DE CONTADO","CRÉDITO")</f>
        <v>CRÉDITO</v>
      </c>
      <c r="B1347" s="38" t="str">
        <f>+IF((PROVEEDORES[[#This Row],[FECHA DE PAGO]]-PROVEEDORES[[#This Row],[FECHA DE FACTURACIÓN]])&gt;PROVEEDORES[[#This Row],[PLAZO Días]],"PAGO VENCIDO")</f>
        <v>PAGO VENCIDO</v>
      </c>
      <c r="C1347" s="20">
        <f>+VLOOKUP(PROVEEDORES[[#This Row],[PROVEEDOR]],TERCEROS_INFO[#All],2,FALSE)</f>
        <v>30</v>
      </c>
      <c r="D1347" s="25">
        <f>+SUMIFS(PROVEEDORES[Total],PROVEEDORES[PROVEEDOR],PROVEEDORES[[#This Row],[PROVEEDOR]],PROVEEDORES[FECHA DE PAGO],"")</f>
        <v>0</v>
      </c>
      <c r="E1347" s="25"/>
      <c r="F134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47" s="161">
        <v>44418</v>
      </c>
      <c r="H1347" s="26" t="s">
        <v>1637</v>
      </c>
      <c r="I1347" s="161">
        <v>44350</v>
      </c>
      <c r="J1347" s="35">
        <v>21170</v>
      </c>
      <c r="K1347" s="21">
        <v>1354078</v>
      </c>
      <c r="L1347" s="21">
        <v>22198</v>
      </c>
      <c r="M1347" s="22">
        <f>(PROVEEDORES[[#This Row],[SUBTOTAL]]-PROVEEDORES[[#This Row],[descuento sobre subtotal]])*VLOOKUP(PROVEEDORES[[#This Row],[PROVEEDOR]],TERCEROS_INFO[#All],3,FALSE)</f>
        <v>253057.2</v>
      </c>
      <c r="N1347" s="23"/>
      <c r="O1347" s="22">
        <f>+PROVEEDORES[[#This Row],[Descuento sobre subtotal %]]*(PROVEEDORES[[#This Row],[SUBTOTAL]]-PROVEEDORES[[#This Row],[descuento sobre subtotal]])</f>
        <v>0</v>
      </c>
      <c r="P1347" s="83">
        <f>+IF(PROVEEDORES[[#This Row],[SUBTOTAL]]&lt;PROVEEDORES[[#This Row],[base retencion]],0,PROVEEDORES[[#This Row],[retención aplicada]])</f>
        <v>2.5000000000000001E-2</v>
      </c>
      <c r="Q1347" s="22">
        <f>+PROVEEDORES[[#This Row],[Rete Fuente %]]*(PROVEEDORES[[#This Row],[SUBTOTAL]]-PROVEEDORES[[#This Row],[descuento sobre subtotal]])</f>
        <v>33297</v>
      </c>
      <c r="R1347" s="21">
        <f>+PROVEEDORES[[#This Row],[SUBTOTAL]]+PROVEEDORES[[#This Row],[IVA 19%]]-PROVEEDORES[[#This Row],[descuento sobre subtotal]]-PROVEEDORES[[#This Row],[Descuento sobre subtotal $2]]-PROVEEDORES[[#This Row],[Rete Fuente $]]</f>
        <v>1551640.2</v>
      </c>
      <c r="S13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7" s="68">
        <f ca="1">IF(PROVEEDORES[[#This Row],[FECHA DE PAGO]]=0,TODAY()-PROVEEDORES[[#This Row],[FECHA DE FACTURACIÓN]]-PROVEEDORES[[#This Row],[PLAZO Días]],0)</f>
        <v>0</v>
      </c>
      <c r="U1347" s="96" t="str">
        <f>+VLOOKUP(PROVEEDORES[[#This Row],[PROVEEDOR]],Terceros!$A:$D,4,FALSE)</f>
        <v>2,5% con base</v>
      </c>
      <c r="V1347" s="97">
        <f>+YEAR(PROVEEDORES[[#This Row],[FECHA DE FACTURACIÓN]])</f>
        <v>2021</v>
      </c>
      <c r="W1347" s="97">
        <f>+MATCH(PROVEEDORES[[#This Row],[año facturado]],Retenciones!$1:$1,0)</f>
        <v>4</v>
      </c>
      <c r="X1347" s="98">
        <f>+VLOOKUP(PROVEEDORES[[#This Row],[ID RETENCION]],Retenciones!$A$1:$O$25,PROVEEDORES[[#This Row],[indicador de columna]],FALSE)</f>
        <v>980000</v>
      </c>
      <c r="Y1347" s="99">
        <f>+VLOOKUP(PROVEEDORES[[#This Row],[ID RETENCION]],Retenciones!$A$1:$O$25,2,FALSE)</f>
        <v>2.5000000000000001E-2</v>
      </c>
      <c r="Z1347" s="125" t="b">
        <f>OR(COUNTIF(PROVEEDORES[[#This Row],[PROVEEDOR]],"*"&amp;'Palabra no opera'!$A$2&amp;"*"))</f>
        <v>0</v>
      </c>
      <c r="AA1347" s="24"/>
      <c r="AB1347" s="24"/>
      <c r="AC1347" s="24"/>
      <c r="AD1347" s="24"/>
      <c r="AE1347" s="24"/>
    </row>
    <row r="1348" spans="1:31" ht="22.2" customHeight="1" x14ac:dyDescent="0.3">
      <c r="A1348" s="66" t="str">
        <f>+IF(PROVEEDORES[[#This Row],[FECHA DE PAGO]]=PROVEEDORES[[#This Row],[FECHA DE FACTURACIÓN]],"DE CONTADO","CRÉDITO")</f>
        <v>CRÉDITO</v>
      </c>
      <c r="B1348" s="38" t="str">
        <f>+IF((PROVEEDORES[[#This Row],[FECHA DE PAGO]]-PROVEEDORES[[#This Row],[FECHA DE FACTURACIÓN]])&gt;PROVEEDORES[[#This Row],[PLAZO Días]],"PAGO VENCIDO")</f>
        <v>PAGO VENCIDO</v>
      </c>
      <c r="C1348" s="20">
        <f>+VLOOKUP(PROVEEDORES[[#This Row],[PROVEEDOR]],TERCEROS_INFO[#All],2,FALSE)</f>
        <v>30</v>
      </c>
      <c r="D1348" s="25">
        <f>+SUMIFS(PROVEEDORES[Total],PROVEEDORES[PROVEEDOR],PROVEEDORES[[#This Row],[PROVEEDOR]],PROVEEDORES[FECHA DE PAGO],"")</f>
        <v>23124164.219999999</v>
      </c>
      <c r="E1348" s="25"/>
      <c r="F134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48" s="161">
        <v>44307</v>
      </c>
      <c r="H1348" s="26" t="s">
        <v>18</v>
      </c>
      <c r="I1348" s="161">
        <v>44258</v>
      </c>
      <c r="J1348" s="35">
        <v>1035231</v>
      </c>
      <c r="K1348" s="21">
        <v>1334863.2</v>
      </c>
      <c r="L1348" s="21"/>
      <c r="M1348" s="22">
        <f>(PROVEEDORES[[#This Row],[SUBTOTAL]]-PROVEEDORES[[#This Row],[descuento sobre subtotal]])*VLOOKUP(PROVEEDORES[[#This Row],[PROVEEDOR]],TERCEROS_INFO[#All],3,FALSE)</f>
        <v>253624.008</v>
      </c>
      <c r="N1348" s="23"/>
      <c r="O1348" s="22">
        <f>+PROVEEDORES[[#This Row],[Descuento sobre subtotal %]]*(PROVEEDORES[[#This Row],[SUBTOTAL]]-PROVEEDORES[[#This Row],[descuento sobre subtotal]])</f>
        <v>0</v>
      </c>
      <c r="P1348" s="83">
        <f>+IF(PROVEEDORES[[#This Row],[SUBTOTAL]]&lt;PROVEEDORES[[#This Row],[base retencion]],0,PROVEEDORES[[#This Row],[retención aplicada]])</f>
        <v>2.5000000000000001E-2</v>
      </c>
      <c r="Q1348" s="22">
        <f>+PROVEEDORES[[#This Row],[Rete Fuente %]]*(PROVEEDORES[[#This Row],[SUBTOTAL]]-PROVEEDORES[[#This Row],[descuento sobre subtotal]])</f>
        <v>33371.58</v>
      </c>
      <c r="R1348" s="21">
        <f>+PROVEEDORES[[#This Row],[SUBTOTAL]]+PROVEEDORES[[#This Row],[IVA 19%]]-PROVEEDORES[[#This Row],[descuento sobre subtotal]]-PROVEEDORES[[#This Row],[Descuento sobre subtotal $2]]-PROVEEDORES[[#This Row],[Rete Fuente $]]</f>
        <v>1555115.6279999998</v>
      </c>
      <c r="S13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8" s="68">
        <f ca="1">IF(PROVEEDORES[[#This Row],[FECHA DE PAGO]]=0,TODAY()-PROVEEDORES[[#This Row],[FECHA DE FACTURACIÓN]]-PROVEEDORES[[#This Row],[PLAZO Días]],0)</f>
        <v>0</v>
      </c>
      <c r="U1348" s="96" t="str">
        <f>+VLOOKUP(PROVEEDORES[[#This Row],[PROVEEDOR]],Terceros!$A:$D,4,FALSE)</f>
        <v>2,5% con base</v>
      </c>
      <c r="V1348" s="97">
        <f>+YEAR(PROVEEDORES[[#This Row],[FECHA DE FACTURACIÓN]])</f>
        <v>2021</v>
      </c>
      <c r="W1348" s="97">
        <f>+MATCH(PROVEEDORES[[#This Row],[año facturado]],Retenciones!$1:$1,0)</f>
        <v>4</v>
      </c>
      <c r="X1348" s="98">
        <f>+VLOOKUP(PROVEEDORES[[#This Row],[ID RETENCION]],Retenciones!$A$1:$O$25,PROVEEDORES[[#This Row],[indicador de columna]],FALSE)</f>
        <v>980000</v>
      </c>
      <c r="Y1348" s="99">
        <f>+VLOOKUP(PROVEEDORES[[#This Row],[ID RETENCION]],Retenciones!$A$1:$O$25,2,FALSE)</f>
        <v>2.5000000000000001E-2</v>
      </c>
      <c r="Z1348" s="125" t="b">
        <f>OR(COUNTIF(PROVEEDORES[[#This Row],[PROVEEDOR]],"*"&amp;'Palabra no opera'!$A$2&amp;"*"))</f>
        <v>0</v>
      </c>
      <c r="AA1348" s="24"/>
      <c r="AB1348" s="24"/>
      <c r="AC1348" s="24"/>
      <c r="AD1348" s="24"/>
      <c r="AE1348" s="24"/>
    </row>
    <row r="1349" spans="1:31" ht="22.2" customHeight="1" x14ac:dyDescent="0.3">
      <c r="A1349" s="66" t="str">
        <f>+IF(PROVEEDORES[[#This Row],[FECHA DE PAGO]]=PROVEEDORES[[#This Row],[FECHA DE FACTURACIÓN]],"DE CONTADO","CRÉDITO")</f>
        <v>CRÉDITO</v>
      </c>
      <c r="B1349" s="38" t="str">
        <f>+IF((PROVEEDORES[[#This Row],[FECHA DE PAGO]]-PROVEEDORES[[#This Row],[FECHA DE FACTURACIÓN]])&gt;PROVEEDORES[[#This Row],[PLAZO Días]],"PAGO VENCIDO")</f>
        <v>PAGO VENCIDO</v>
      </c>
      <c r="C1349" s="20">
        <f>+VLOOKUP(PROVEEDORES[[#This Row],[PROVEEDOR]],TERCEROS_INFO[#All],2,FALSE)</f>
        <v>30</v>
      </c>
      <c r="D1349" s="25">
        <f>+SUMIFS(PROVEEDORES[Total],PROVEEDORES[PROVEEDOR],PROVEEDORES[[#This Row],[PROVEEDOR]],PROVEEDORES[FECHA DE PAGO],"")</f>
        <v>1266521.4319</v>
      </c>
      <c r="E1349" s="25"/>
      <c r="F134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349" s="161">
        <v>44543</v>
      </c>
      <c r="H1349" s="26" t="s">
        <v>512</v>
      </c>
      <c r="I1349" s="161">
        <v>44495</v>
      </c>
      <c r="J1349" s="35">
        <v>144</v>
      </c>
      <c r="K1349" s="21">
        <v>1340840.3400000001</v>
      </c>
      <c r="L1349" s="21"/>
      <c r="M1349" s="22">
        <f>(PROVEEDORES[[#This Row],[SUBTOTAL]]-PROVEEDORES[[#This Row],[descuento sobre subtotal]])*VLOOKUP(PROVEEDORES[[#This Row],[PROVEEDOR]],TERCEROS_INFO[#All],3,FALSE)</f>
        <v>254759.66460000002</v>
      </c>
      <c r="N1349" s="23"/>
      <c r="O1349" s="22">
        <f>+PROVEEDORES[[#This Row],[Descuento sobre subtotal %]]*(PROVEEDORES[[#This Row],[SUBTOTAL]]-PROVEEDORES[[#This Row],[descuento sobre subtotal]])</f>
        <v>0</v>
      </c>
      <c r="P1349" s="83">
        <f>+IF(PROVEEDORES[[#This Row],[SUBTOTAL]]&lt;PROVEEDORES[[#This Row],[base retencion]],0,PROVEEDORES[[#This Row],[retención aplicada]])</f>
        <v>2.5000000000000001E-2</v>
      </c>
      <c r="Q1349" s="22">
        <f>+PROVEEDORES[[#This Row],[Rete Fuente %]]*(PROVEEDORES[[#This Row],[SUBTOTAL]]-PROVEEDORES[[#This Row],[descuento sobre subtotal]])</f>
        <v>33521.008500000004</v>
      </c>
      <c r="R1349" s="21">
        <f>+PROVEEDORES[[#This Row],[SUBTOTAL]]+PROVEEDORES[[#This Row],[IVA 19%]]-PROVEEDORES[[#This Row],[descuento sobre subtotal]]-PROVEEDORES[[#This Row],[Descuento sobre subtotal $2]]-PROVEEDORES[[#This Row],[Rete Fuente $]]</f>
        <v>1562078.9961000001</v>
      </c>
      <c r="S13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9" s="68">
        <f ca="1">IF(PROVEEDORES[[#This Row],[FECHA DE PAGO]]=0,TODAY()-PROVEEDORES[[#This Row],[FECHA DE FACTURACIÓN]]-PROVEEDORES[[#This Row],[PLAZO Días]],0)</f>
        <v>0</v>
      </c>
      <c r="U1349" s="96" t="str">
        <f>+VLOOKUP(PROVEEDORES[[#This Row],[PROVEEDOR]],Terceros!$A:$D,4,FALSE)</f>
        <v>2,5% con base</v>
      </c>
      <c r="V1349" s="97">
        <f>+YEAR(PROVEEDORES[[#This Row],[FECHA DE FACTURACIÓN]])</f>
        <v>2021</v>
      </c>
      <c r="W1349" s="97">
        <f>+MATCH(PROVEEDORES[[#This Row],[año facturado]],Retenciones!$1:$1,0)</f>
        <v>4</v>
      </c>
      <c r="X1349" s="98">
        <f>+VLOOKUP(PROVEEDORES[[#This Row],[ID RETENCION]],Retenciones!$A$1:$O$25,PROVEEDORES[[#This Row],[indicador de columna]],FALSE)</f>
        <v>980000</v>
      </c>
      <c r="Y1349" s="99">
        <f>+VLOOKUP(PROVEEDORES[[#This Row],[ID RETENCION]],Retenciones!$A$1:$O$25,2,FALSE)</f>
        <v>2.5000000000000001E-2</v>
      </c>
      <c r="Z1349" s="125" t="b">
        <f>OR(COUNTIF(PROVEEDORES[[#This Row],[PROVEEDOR]],"*"&amp;'Palabra no opera'!$A$2&amp;"*"))</f>
        <v>0</v>
      </c>
      <c r="AA1349" s="24"/>
      <c r="AB1349" s="24"/>
      <c r="AC1349" s="24"/>
      <c r="AD1349" s="24"/>
      <c r="AE1349" s="24"/>
    </row>
    <row r="1350" spans="1:31" ht="22.2" customHeight="1" x14ac:dyDescent="0.3">
      <c r="A1350" s="66" t="str">
        <f>+IF(PROVEEDORES[[#This Row],[FECHA DE PAGO]]=PROVEEDORES[[#This Row],[FECHA DE FACTURACIÓN]],"DE CONTADO","CRÉDITO")</f>
        <v>CRÉDITO</v>
      </c>
      <c r="B1350" s="38" t="str">
        <f>+IF((PROVEEDORES[[#This Row],[FECHA DE PAGO]]-PROVEEDORES[[#This Row],[FECHA DE FACTURACIÓN]])&gt;PROVEEDORES[[#This Row],[PLAZO Días]],"PAGO VENCIDO")</f>
        <v>PAGO VENCIDO</v>
      </c>
      <c r="C1350" s="20">
        <f>+VLOOKUP(PROVEEDORES[[#This Row],[PROVEEDOR]],TERCEROS_INFO[#All],2,FALSE)</f>
        <v>30</v>
      </c>
      <c r="D1350" s="25">
        <f>+SUMIFS(PROVEEDORES[Total],PROVEEDORES[PROVEEDOR],PROVEEDORES[[#This Row],[PROVEEDOR]],PROVEEDORES[FECHA DE PAGO],"")</f>
        <v>0</v>
      </c>
      <c r="E1350" s="25"/>
      <c r="F1350" s="58" t="str">
        <f>+VLOOKUP(PROVEEDORES[[#This Row],[PROVEEDOR]],
                       Terceros!$A:$F,
                       5,
                       FALSE)</f>
        <v/>
      </c>
      <c r="G1350" s="161">
        <v>44433</v>
      </c>
      <c r="H1350" s="26" t="s">
        <v>624</v>
      </c>
      <c r="I1350" s="161">
        <v>44369</v>
      </c>
      <c r="J1350" s="35" t="s">
        <v>1463</v>
      </c>
      <c r="K1350" s="21">
        <v>1563400</v>
      </c>
      <c r="L1350" s="21"/>
      <c r="M1350" s="22">
        <f>(PROVEEDORES[[#This Row],[SUBTOTAL]]-PROVEEDORES[[#This Row],[descuento sobre subtotal]])*VLOOKUP(PROVEEDORES[[#This Row],[PROVEEDOR]],TERCEROS_INFO[#All],3,FALSE)</f>
        <v>0</v>
      </c>
      <c r="N1350" s="23"/>
      <c r="O1350" s="22">
        <f>+PROVEEDORES[[#This Row],[Descuento sobre subtotal %]]*(PROVEEDORES[[#This Row],[SUBTOTAL]]-PROVEEDORES[[#This Row],[descuento sobre subtotal]])</f>
        <v>0</v>
      </c>
      <c r="P1350" s="83">
        <f>+IF(PROVEEDORES[[#This Row],[SUBTOTAL]]&lt;PROVEEDORES[[#This Row],[base retencion]],0,PROVEEDORES[[#This Row],[retención aplicada]])</f>
        <v>0</v>
      </c>
      <c r="Q1350" s="22">
        <f>+PROVEEDORES[[#This Row],[Rete Fuente %]]*(PROVEEDORES[[#This Row],[SUBTOTAL]]-PROVEEDORES[[#This Row],[descuento sobre subtotal]])</f>
        <v>0</v>
      </c>
      <c r="R1350" s="21">
        <f>+PROVEEDORES[[#This Row],[SUBTOTAL]]+PROVEEDORES[[#This Row],[IVA 19%]]-PROVEEDORES[[#This Row],[descuento sobre subtotal]]-PROVEEDORES[[#This Row],[Descuento sobre subtotal $2]]-PROVEEDORES[[#This Row],[Rete Fuente $]]</f>
        <v>1563400</v>
      </c>
      <c r="S13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0" s="68">
        <f ca="1">IF(PROVEEDORES[[#This Row],[FECHA DE PAGO]]=0,TODAY()-PROVEEDORES[[#This Row],[FECHA DE FACTURACIÓN]]-PROVEEDORES[[#This Row],[PLAZO Días]],0)</f>
        <v>0</v>
      </c>
      <c r="U1350" s="96">
        <f>+VLOOKUP(PROVEEDORES[[#This Row],[PROVEEDOR]],Terceros!$A:$D,4,FALSE)</f>
        <v>0</v>
      </c>
      <c r="V1350" s="97">
        <f>+YEAR(PROVEEDORES[[#This Row],[FECHA DE FACTURACIÓN]])</f>
        <v>2021</v>
      </c>
      <c r="W1350" s="97">
        <f>+MATCH(PROVEEDORES[[#This Row],[año facturado]],Retenciones!$1:$1,0)</f>
        <v>4</v>
      </c>
      <c r="X1350" s="98">
        <f>+VLOOKUP(PROVEEDORES[[#This Row],[ID RETENCION]],Retenciones!$A$1:$O$25,PROVEEDORES[[#This Row],[indicador de columna]],FALSE)</f>
        <v>0</v>
      </c>
      <c r="Y1350" s="99">
        <f>+VLOOKUP(PROVEEDORES[[#This Row],[ID RETENCION]],Retenciones!$A$1:$O$25,2,FALSE)</f>
        <v>0</v>
      </c>
      <c r="Z1350" s="125" t="b">
        <f>OR(COUNTIF(PROVEEDORES[[#This Row],[PROVEEDOR]],"*"&amp;'Palabra no opera'!$A$2&amp;"*"))</f>
        <v>0</v>
      </c>
      <c r="AA1350" s="24"/>
      <c r="AB1350" s="24"/>
      <c r="AC1350" s="24"/>
      <c r="AD1350" s="24"/>
      <c r="AE1350" s="24"/>
    </row>
    <row r="1351" spans="1:31" ht="22.2" customHeight="1" x14ac:dyDescent="0.3">
      <c r="A1351" s="217" t="str">
        <f>+IF(PROVEEDORES[[#This Row],[FECHA DE PAGO]]=PROVEEDORES[[#This Row],[FECHA DE FACTURACIÓN]],"DE CONTADO","CRÉDITO")</f>
        <v>CRÉDITO</v>
      </c>
      <c r="B1351" s="38" t="b">
        <f>+IF((PROVEEDORES[[#This Row],[FECHA DE PAGO]]-PROVEEDORES[[#This Row],[FECHA DE FACTURACIÓN]])&gt;PROVEEDORES[[#This Row],[PLAZO Días]],"PAGO VENCIDO")</f>
        <v>0</v>
      </c>
      <c r="C1351" s="20">
        <f>+VLOOKUP(PROVEEDORES[[#This Row],[PROVEEDOR]],TERCEROS_INFO[#All],2,FALSE)</f>
        <v>30</v>
      </c>
      <c r="D1351" s="25">
        <f>+SUMIFS(PROVEEDORES[Total],PROVEEDORES[PROVEEDOR],PROVEEDORES[[#This Row],[PROVEEDOR]],PROVEEDORES[FECHA DE PAGO],"")</f>
        <v>0</v>
      </c>
      <c r="E1351" s="25"/>
      <c r="F135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51" s="161">
        <v>44819</v>
      </c>
      <c r="H1351" s="26" t="s">
        <v>918</v>
      </c>
      <c r="I1351" s="161">
        <v>44805</v>
      </c>
      <c r="J1351" s="35">
        <v>11379</v>
      </c>
      <c r="K1351" s="21">
        <v>1649859</v>
      </c>
      <c r="L1351" s="21"/>
      <c r="M1351" s="22">
        <f>(PROVEEDORES[[#This Row],[SUBTOTAL]]-PROVEEDORES[[#This Row],[descuento sobre subtotal]])*VLOOKUP(PROVEEDORES[[#This Row],[PROVEEDOR]],TERCEROS_INFO[#All],3,FALSE)</f>
        <v>0</v>
      </c>
      <c r="N1351" s="23"/>
      <c r="O1351" s="22">
        <v>80632</v>
      </c>
      <c r="P1351" s="83">
        <f>+IF(PROVEEDORES[[#This Row],[SUBTOTAL]]&lt;PROVEEDORES[[#This Row],[base retencion]],0,PROVEEDORES[[#This Row],[retención aplicada]])</f>
        <v>0</v>
      </c>
      <c r="Q1351" s="22">
        <f>+PROVEEDORES[[#This Row],[Rete Fuente %]]*(PROVEEDORES[[#This Row],[SUBTOTAL]]-PROVEEDORES[[#This Row],[descuento sobre subtotal]])</f>
        <v>0</v>
      </c>
      <c r="R1351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351" s="2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1" s="68">
        <f ca="1">IF(PROVEEDORES[[#This Row],[FECHA DE PAGO]]=0,TODAY()-PROVEEDORES[[#This Row],[FECHA DE FACTURACIÓN]]-PROVEEDORES[[#This Row],[PLAZO Días]],0)</f>
        <v>0</v>
      </c>
      <c r="U1351" s="113">
        <f>+VLOOKUP(PROVEEDORES[[#This Row],[PROVEEDOR]],Terceros!$A:$D,4,FALSE)</f>
        <v>0</v>
      </c>
      <c r="V1351" s="114">
        <f>+YEAR(PROVEEDORES[[#This Row],[FECHA DE FACTURACIÓN]])</f>
        <v>2022</v>
      </c>
      <c r="W1351" s="114">
        <f>+MATCH(PROVEEDORES[[#This Row],[año facturado]],Retenciones!$1:$1,0)</f>
        <v>5</v>
      </c>
      <c r="X1351" s="115">
        <f>+VLOOKUP(PROVEEDORES[[#This Row],[ID RETENCION]],Retenciones!$A$1:$O$25,PROVEEDORES[[#This Row],[indicador de columna]],FALSE)</f>
        <v>0</v>
      </c>
      <c r="Y1351" s="116">
        <f>+VLOOKUP(PROVEEDORES[[#This Row],[ID RETENCION]],Retenciones!$A$1:$O$25,2,FALSE)</f>
        <v>0</v>
      </c>
      <c r="Z1351" s="125" t="b">
        <f>OR(COUNTIF(PROVEEDORES[[#This Row],[PROVEEDOR]],"*"&amp;'Palabra no opera'!$A$2&amp;"*"))</f>
        <v>1</v>
      </c>
      <c r="AA1351" s="24"/>
      <c r="AB1351" s="24"/>
      <c r="AC1351" s="24"/>
      <c r="AD1351" s="24"/>
      <c r="AE1351" s="24"/>
    </row>
    <row r="1352" spans="1:31" ht="22.2" customHeight="1" x14ac:dyDescent="0.3">
      <c r="A1352" s="72" t="str">
        <f>+IF(PROVEEDORES[[#This Row],[FECHA DE PAGO]]=PROVEEDORES[[#This Row],[FECHA DE FACTURACIÓN]],"DE CONTADO","CRÉDITO")</f>
        <v>CRÉDITO</v>
      </c>
      <c r="B1352" s="38" t="b">
        <f>+IF((PROVEEDORES[[#This Row],[FECHA DE PAGO]]-PROVEEDORES[[#This Row],[FECHA DE FACTURACIÓN]])&gt;PROVEEDORES[[#This Row],[PLAZO Días]],"PAGO VENCIDO")</f>
        <v>0</v>
      </c>
      <c r="C1352" s="20">
        <f>+VLOOKUP(PROVEEDORES[[#This Row],[PROVEEDOR]],TERCEROS_INFO[#All],2,FALSE)</f>
        <v>30</v>
      </c>
      <c r="D1352" s="25">
        <f>+SUMIFS(PROVEEDORES[Total],PROVEEDORES[PROVEEDOR],PROVEEDORES[[#This Row],[PROVEEDOR]],PROVEEDORES[FECHA DE PAGO],"")</f>
        <v>0</v>
      </c>
      <c r="E1352" s="25"/>
      <c r="F135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52" s="161">
        <v>44819</v>
      </c>
      <c r="H1352" s="26" t="s">
        <v>918</v>
      </c>
      <c r="I1352" s="161">
        <v>44805</v>
      </c>
      <c r="J1352" s="35">
        <v>11379</v>
      </c>
      <c r="K1352" s="21">
        <v>1649859</v>
      </c>
      <c r="L1352" s="21"/>
      <c r="M1352" s="22">
        <f>(PROVEEDORES[[#This Row],[SUBTOTAL]]-PROVEEDORES[[#This Row],[descuento sobre subtotal]])*VLOOKUP(PROVEEDORES[[#This Row],[PROVEEDOR]],TERCEROS_INFO[#All],3,FALSE)</f>
        <v>0</v>
      </c>
      <c r="N1352" s="23"/>
      <c r="O1352" s="22">
        <v>80632</v>
      </c>
      <c r="P1352" s="83">
        <f>+IF(PROVEEDORES[[#This Row],[SUBTOTAL]]&lt;PROVEEDORES[[#This Row],[base retencion]],0,PROVEEDORES[[#This Row],[retención aplicada]])</f>
        <v>0</v>
      </c>
      <c r="Q1352" s="22">
        <f>+PROVEEDORES[[#This Row],[Rete Fuente %]]*(PROVEEDORES[[#This Row],[SUBTOTAL]]-PROVEEDORES[[#This Row],[descuento sobre subtotal]])</f>
        <v>0</v>
      </c>
      <c r="R1352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35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2" s="68">
        <f ca="1">IF(PROVEEDORES[[#This Row],[FECHA DE PAGO]]=0,TODAY()-PROVEEDORES[[#This Row],[FECHA DE FACTURACIÓN]]-PROVEEDORES[[#This Row],[PLAZO Días]],0)</f>
        <v>0</v>
      </c>
      <c r="U1352" s="113">
        <f>+VLOOKUP(PROVEEDORES[[#This Row],[PROVEEDOR]],Terceros!$A:$D,4,FALSE)</f>
        <v>0</v>
      </c>
      <c r="V1352" s="114">
        <f>+YEAR(PROVEEDORES[[#This Row],[FECHA DE FACTURACIÓN]])</f>
        <v>2022</v>
      </c>
      <c r="W1352" s="114">
        <f>+MATCH(PROVEEDORES[[#This Row],[año facturado]],Retenciones!$1:$1,0)</f>
        <v>5</v>
      </c>
      <c r="X1352" s="115">
        <f>+VLOOKUP(PROVEEDORES[[#This Row],[ID RETENCION]],Retenciones!$A$1:$O$25,PROVEEDORES[[#This Row],[indicador de columna]],FALSE)</f>
        <v>0</v>
      </c>
      <c r="Y1352" s="116">
        <f>+VLOOKUP(PROVEEDORES[[#This Row],[ID RETENCION]],Retenciones!$A$1:$O$25,2,FALSE)</f>
        <v>0</v>
      </c>
      <c r="Z1352" s="125" t="b">
        <f>OR(COUNTIF(PROVEEDORES[[#This Row],[PROVEEDOR]],"*"&amp;'Palabra no opera'!$A$2&amp;"*"))</f>
        <v>1</v>
      </c>
      <c r="AA1352" s="24"/>
      <c r="AB1352" s="24"/>
      <c r="AC1352" s="24"/>
      <c r="AD1352" s="24"/>
      <c r="AE1352" s="24"/>
    </row>
    <row r="1353" spans="1:31" ht="22.2" customHeight="1" x14ac:dyDescent="0.3">
      <c r="A1353" s="66" t="str">
        <f>+IF(PROVEEDORES[[#This Row],[FECHA DE PAGO]]=PROVEEDORES[[#This Row],[FECHA DE FACTURACIÓN]],"DE CONTADO","CRÉDITO")</f>
        <v>CRÉDITO</v>
      </c>
      <c r="B1353" s="38" t="b">
        <f>+IF((PROVEEDORES[[#This Row],[FECHA DE PAGO]]-PROVEEDORES[[#This Row],[FECHA DE FACTURACIÓN]])&gt;PROVEEDORES[[#This Row],[PLAZO Días]],"PAGO VENCIDO")</f>
        <v>0</v>
      </c>
      <c r="C1353" s="20">
        <f>+VLOOKUP(PROVEEDORES[[#This Row],[PROVEEDOR]],TERCEROS_INFO[#All],2,FALSE)</f>
        <v>30</v>
      </c>
      <c r="D1353" s="25">
        <f>+SUMIFS(PROVEEDORES[Total],PROVEEDORES[PROVEEDOR],PROVEEDORES[[#This Row],[PROVEEDOR]],PROVEEDORES[FECHA DE PAGO],"")</f>
        <v>0</v>
      </c>
      <c r="E1353" s="25"/>
      <c r="F135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353" s="161">
        <v>44385</v>
      </c>
      <c r="H1353" s="26" t="s">
        <v>691</v>
      </c>
      <c r="I1353" s="161">
        <v>44356</v>
      </c>
      <c r="J1353" s="35">
        <v>2811</v>
      </c>
      <c r="K1353" s="21">
        <v>1574200</v>
      </c>
      <c r="L1353" s="21"/>
      <c r="M1353" s="22">
        <f>(PROVEEDORES[[#This Row],[SUBTOTAL]]-PROVEEDORES[[#This Row],[descuento sobre subtotal]])*VLOOKUP(PROVEEDORES[[#This Row],[PROVEEDOR]],TERCEROS_INFO[#All],3,FALSE)</f>
        <v>0</v>
      </c>
      <c r="N1353" s="23"/>
      <c r="O1353" s="22">
        <f>+PROVEEDORES[[#This Row],[Descuento sobre subtotal %]]*(PROVEEDORES[[#This Row],[SUBTOTAL]]-PROVEEDORES[[#This Row],[descuento sobre subtotal]])</f>
        <v>0</v>
      </c>
      <c r="P1353" s="83">
        <f>+IF(PROVEEDORES[[#This Row],[SUBTOTAL]]&lt;PROVEEDORES[[#This Row],[base retencion]],0,PROVEEDORES[[#This Row],[retención aplicada]])</f>
        <v>0</v>
      </c>
      <c r="Q1353" s="22">
        <f>+PROVEEDORES[[#This Row],[Rete Fuente %]]*(PROVEEDORES[[#This Row],[SUBTOTAL]]-PROVEEDORES[[#This Row],[descuento sobre subtotal]])</f>
        <v>0</v>
      </c>
      <c r="R1353" s="21">
        <f>+PROVEEDORES[[#This Row],[SUBTOTAL]]+PROVEEDORES[[#This Row],[IVA 19%]]-PROVEEDORES[[#This Row],[descuento sobre subtotal]]-PROVEEDORES[[#This Row],[Descuento sobre subtotal $2]]-PROVEEDORES[[#This Row],[Rete Fuente $]]</f>
        <v>1574200</v>
      </c>
      <c r="S13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3" s="68">
        <f ca="1">IF(PROVEEDORES[[#This Row],[FECHA DE PAGO]]=0,TODAY()-PROVEEDORES[[#This Row],[FECHA DE FACTURACIÓN]]-PROVEEDORES[[#This Row],[PLAZO Días]],0)</f>
        <v>0</v>
      </c>
      <c r="U1353" s="96">
        <f>+VLOOKUP(PROVEEDORES[[#This Row],[PROVEEDOR]],Terceros!$A:$D,4,FALSE)</f>
        <v>0</v>
      </c>
      <c r="V1353" s="97">
        <f>+YEAR(PROVEEDORES[[#This Row],[FECHA DE FACTURACIÓN]])</f>
        <v>2021</v>
      </c>
      <c r="W1353" s="97">
        <f>+MATCH(PROVEEDORES[[#This Row],[año facturado]],Retenciones!$1:$1,0)</f>
        <v>4</v>
      </c>
      <c r="X1353" s="98">
        <f>+VLOOKUP(PROVEEDORES[[#This Row],[ID RETENCION]],Retenciones!$A$1:$O$25,PROVEEDORES[[#This Row],[indicador de columna]],FALSE)</f>
        <v>0</v>
      </c>
      <c r="Y1353" s="99">
        <f>+VLOOKUP(PROVEEDORES[[#This Row],[ID RETENCION]],Retenciones!$A$1:$O$25,2,FALSE)</f>
        <v>0</v>
      </c>
      <c r="Z1353" s="125" t="b">
        <f>OR(COUNTIF(PROVEEDORES[[#This Row],[PROVEEDOR]],"*"&amp;'Palabra no opera'!$A$2&amp;"*"))</f>
        <v>0</v>
      </c>
      <c r="AA1353" s="24"/>
      <c r="AB1353" s="24"/>
      <c r="AC1353" s="24"/>
      <c r="AD1353" s="24"/>
      <c r="AE1353" s="24"/>
    </row>
    <row r="1354" spans="1:31" ht="22.2" customHeight="1" x14ac:dyDescent="0.3">
      <c r="A1354" s="66" t="str">
        <f>+IF(PROVEEDORES[[#This Row],[FECHA DE PAGO]]=PROVEEDORES[[#This Row],[FECHA DE FACTURACIÓN]],"DE CONTADO","CRÉDITO")</f>
        <v>DE CONTADO</v>
      </c>
      <c r="B1354" s="38" t="b">
        <f>+IF((PROVEEDORES[[#This Row],[FECHA DE PAGO]]-PROVEEDORES[[#This Row],[FECHA DE FACTURACIÓN]])&gt;PROVEEDORES[[#This Row],[PLAZO Días]],"PAGO VENCIDO")</f>
        <v>0</v>
      </c>
      <c r="C1354" s="20">
        <f>+VLOOKUP(PROVEEDORES[[#This Row],[PROVEEDOR]],TERCEROS_INFO[#All],2,FALSE)</f>
        <v>30</v>
      </c>
      <c r="D1354" s="25">
        <f>+SUMIFS(PROVEEDORES[Total],PROVEEDORES[PROVEEDOR],PROVEEDORES[[#This Row],[PROVEEDOR]],PROVEEDORES[FECHA DE PAGO],"")</f>
        <v>0</v>
      </c>
      <c r="E1354" s="25"/>
      <c r="F1354" s="58" t="str">
        <f>+VLOOKUP(PROVEEDORES[[#This Row],[PROVEEDOR]],
                       Terceros!$A:$F,
                       5,
                       FALSE)</f>
        <v/>
      </c>
      <c r="G1354" s="161">
        <v>44478</v>
      </c>
      <c r="H1354" s="26" t="s">
        <v>661</v>
      </c>
      <c r="I1354" s="161">
        <v>44478</v>
      </c>
      <c r="J1354" s="35" t="s">
        <v>1327</v>
      </c>
      <c r="K1354" s="21">
        <v>1576000</v>
      </c>
      <c r="L1354" s="21"/>
      <c r="M1354" s="22">
        <f>(PROVEEDORES[[#This Row],[SUBTOTAL]]-PROVEEDORES[[#This Row],[descuento sobre subtotal]])*VLOOKUP(PROVEEDORES[[#This Row],[PROVEEDOR]],TERCEROS_INFO[#All],3,FALSE)</f>
        <v>0</v>
      </c>
      <c r="N1354" s="23"/>
      <c r="O1354" s="22">
        <f>+PROVEEDORES[[#This Row],[Descuento sobre subtotal %]]*(PROVEEDORES[[#This Row],[SUBTOTAL]]-PROVEEDORES[[#This Row],[descuento sobre subtotal]])</f>
        <v>0</v>
      </c>
      <c r="P1354" s="83">
        <f>+IF(PROVEEDORES[[#This Row],[SUBTOTAL]]&lt;PROVEEDORES[[#This Row],[base retencion]],0,PROVEEDORES[[#This Row],[retención aplicada]])</f>
        <v>0</v>
      </c>
      <c r="Q1354" s="22">
        <f>+PROVEEDORES[[#This Row],[Rete Fuente %]]*(PROVEEDORES[[#This Row],[SUBTOTAL]]-PROVEEDORES[[#This Row],[descuento sobre subtotal]])</f>
        <v>0</v>
      </c>
      <c r="R1354" s="21">
        <f>+PROVEEDORES[[#This Row],[SUBTOTAL]]+PROVEEDORES[[#This Row],[IVA 19%]]-PROVEEDORES[[#This Row],[descuento sobre subtotal]]-PROVEEDORES[[#This Row],[Descuento sobre subtotal $2]]-PROVEEDORES[[#This Row],[Rete Fuente $]]</f>
        <v>1576000</v>
      </c>
      <c r="S13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4" s="68">
        <f ca="1">IF(PROVEEDORES[[#This Row],[FECHA DE PAGO]]=0,TODAY()-PROVEEDORES[[#This Row],[FECHA DE FACTURACIÓN]]-PROVEEDORES[[#This Row],[PLAZO Días]],0)</f>
        <v>0</v>
      </c>
      <c r="U1354" s="96">
        <f>+VLOOKUP(PROVEEDORES[[#This Row],[PROVEEDOR]],Terceros!$A:$D,4,FALSE)</f>
        <v>0</v>
      </c>
      <c r="V1354" s="97">
        <f>+YEAR(PROVEEDORES[[#This Row],[FECHA DE FACTURACIÓN]])</f>
        <v>2021</v>
      </c>
      <c r="W1354" s="97">
        <f>+MATCH(PROVEEDORES[[#This Row],[año facturado]],Retenciones!$1:$1,0)</f>
        <v>4</v>
      </c>
      <c r="X1354" s="98">
        <f>+VLOOKUP(PROVEEDORES[[#This Row],[ID RETENCION]],Retenciones!$A$1:$O$25,PROVEEDORES[[#This Row],[indicador de columna]],FALSE)</f>
        <v>0</v>
      </c>
      <c r="Y1354" s="99">
        <f>+VLOOKUP(PROVEEDORES[[#This Row],[ID RETENCION]],Retenciones!$A$1:$O$25,2,FALSE)</f>
        <v>0</v>
      </c>
      <c r="Z1354" s="125" t="b">
        <f>OR(COUNTIF(PROVEEDORES[[#This Row],[PROVEEDOR]],"*"&amp;'Palabra no opera'!$A$2&amp;"*"))</f>
        <v>0</v>
      </c>
      <c r="AA1354" s="24"/>
      <c r="AB1354" s="24"/>
      <c r="AC1354" s="24"/>
      <c r="AD1354" s="24"/>
      <c r="AE1354" s="24"/>
    </row>
    <row r="1355" spans="1:31" ht="22.2" customHeight="1" x14ac:dyDescent="0.3">
      <c r="A1355" s="72" t="str">
        <f>+IF(PROVEEDORES[[#This Row],[FECHA DE PAGO]]=PROVEEDORES[[#This Row],[FECHA DE FACTURACIÓN]],"DE CONTADO","CRÉDITO")</f>
        <v>CRÉDITO</v>
      </c>
      <c r="B1355" s="38" t="str">
        <f>+IF((PROVEEDORES[[#This Row],[FECHA DE PAGO]]-PROVEEDORES[[#This Row],[FECHA DE FACTURACIÓN]])&gt;PROVEEDORES[[#This Row],[PLAZO Días]],"PAGO VENCIDO")</f>
        <v>PAGO VENCIDO</v>
      </c>
      <c r="C1355" s="20">
        <f>+VLOOKUP(PROVEEDORES[[#This Row],[PROVEEDOR]],TERCEROS_INFO[#All],2,FALSE)</f>
        <v>30</v>
      </c>
      <c r="D1355" s="25">
        <f>+SUMIFS(PROVEEDORES[Total],PROVEEDORES[PROVEEDOR],PROVEEDORES[[#This Row],[PROVEEDOR]],PROVEEDORES[FECHA DE PAGO],"")</f>
        <v>0</v>
      </c>
      <c r="E1355" s="25"/>
      <c r="F1355" s="58" t="str">
        <f>+VLOOKUP(PROVEEDORES[[#This Row],[PROVEEDOR]],
                       Terceros!$A:$F,
                       5,
                       FALSE)</f>
        <v/>
      </c>
      <c r="G1355" s="161">
        <v>44867</v>
      </c>
      <c r="H1355" s="267" t="s">
        <v>686</v>
      </c>
      <c r="I1355" s="161">
        <v>44828</v>
      </c>
      <c r="J1355" s="35" t="s">
        <v>1699</v>
      </c>
      <c r="K1355" s="21">
        <v>1580500</v>
      </c>
      <c r="L1355" s="21"/>
      <c r="M1355" s="22">
        <f>(PROVEEDORES[[#This Row],[SUBTOTAL]]-PROVEEDORES[[#This Row],[descuento sobre subtotal]])*VLOOKUP(PROVEEDORES[[#This Row],[PROVEEDOR]],TERCEROS_INFO[#All],3,FALSE)</f>
        <v>0</v>
      </c>
      <c r="N1355" s="23"/>
      <c r="O1355" s="22">
        <f>+PROVEEDORES[[#This Row],[Descuento sobre subtotal %]]*(PROVEEDORES[[#This Row],[SUBTOTAL]]-PROVEEDORES[[#This Row],[descuento sobre subtotal]])</f>
        <v>0</v>
      </c>
      <c r="P1355" s="83">
        <f>+IF(PROVEEDORES[[#This Row],[SUBTOTAL]]&lt;PROVEEDORES[[#This Row],[base retencion]],0,PROVEEDORES[[#This Row],[retención aplicada]])</f>
        <v>0</v>
      </c>
      <c r="Q1355" s="22">
        <f>+PROVEEDORES[[#This Row],[Rete Fuente %]]*(PROVEEDORES[[#This Row],[SUBTOTAL]]-PROVEEDORES[[#This Row],[descuento sobre subtotal]])</f>
        <v>0</v>
      </c>
      <c r="R1355" s="21">
        <f>+PROVEEDORES[[#This Row],[SUBTOTAL]]+PROVEEDORES[[#This Row],[IVA 19%]]-PROVEEDORES[[#This Row],[descuento sobre subtotal]]-PROVEEDORES[[#This Row],[Descuento sobre subtotal $2]]-PROVEEDORES[[#This Row],[Rete Fuente $]]</f>
        <v>1580500</v>
      </c>
      <c r="S135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5" s="68">
        <f ca="1">IF(PROVEEDORES[[#This Row],[FECHA DE PAGO]]=0,TODAY()-PROVEEDORES[[#This Row],[FECHA DE FACTURACIÓN]]-PROVEEDORES[[#This Row],[PLAZO Días]],0)</f>
        <v>0</v>
      </c>
      <c r="U1355" s="113">
        <f>+VLOOKUP(PROVEEDORES[[#This Row],[PROVEEDOR]],Terceros!$A:$D,4,FALSE)</f>
        <v>0</v>
      </c>
      <c r="V1355" s="114">
        <f>+YEAR(PROVEEDORES[[#This Row],[FECHA DE FACTURACIÓN]])</f>
        <v>2022</v>
      </c>
      <c r="W1355" s="114">
        <f>+MATCH(PROVEEDORES[[#This Row],[año facturado]],Retenciones!$1:$1,0)</f>
        <v>5</v>
      </c>
      <c r="X1355" s="115">
        <f>+VLOOKUP(PROVEEDORES[[#This Row],[ID RETENCION]],Retenciones!$A$1:$O$25,PROVEEDORES[[#This Row],[indicador de columna]],FALSE)</f>
        <v>0</v>
      </c>
      <c r="Y1355" s="116">
        <f>+VLOOKUP(PROVEEDORES[[#This Row],[ID RETENCION]],Retenciones!$A$1:$O$25,2,FALSE)</f>
        <v>0</v>
      </c>
      <c r="Z1355" s="125" t="b">
        <f>OR(COUNTIF(PROVEEDORES[[#This Row],[PROVEEDOR]],"*"&amp;'Palabra no opera'!$A$2&amp;"*"))</f>
        <v>0</v>
      </c>
      <c r="AA1355" s="24"/>
      <c r="AB1355" s="24"/>
      <c r="AC1355" s="24"/>
      <c r="AD1355" s="24"/>
      <c r="AE1355" s="24"/>
    </row>
    <row r="1356" spans="1:31" ht="22.2" customHeight="1" x14ac:dyDescent="0.3">
      <c r="A1356" s="66" t="str">
        <f>+IF(PROVEEDORES[[#This Row],[FECHA DE PAGO]]=PROVEEDORES[[#This Row],[FECHA DE FACTURACIÓN]],"DE CONTADO","CRÉDITO")</f>
        <v>CRÉDITO</v>
      </c>
      <c r="B1356" s="38" t="str">
        <f>+IF((PROVEEDORES[[#This Row],[FECHA DE PAGO]]-PROVEEDORES[[#This Row],[FECHA DE FACTURACIÓN]])&gt;PROVEEDORES[[#This Row],[PLAZO Días]],"PAGO VENCIDO")</f>
        <v>PAGO VENCIDO</v>
      </c>
      <c r="C1356" s="20">
        <f>+VLOOKUP(PROVEEDORES[[#This Row],[PROVEEDOR]],TERCEROS_INFO[#All],2,FALSE)</f>
        <v>30</v>
      </c>
      <c r="D1356" s="25">
        <f>+SUMIFS(PROVEEDORES[Total],PROVEEDORES[PROVEEDOR],PROVEEDORES[[#This Row],[PROVEEDOR]],PROVEEDORES[FECHA DE PAGO],"")</f>
        <v>2456000</v>
      </c>
      <c r="E1356" s="25"/>
      <c r="F135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356" s="161">
        <v>44382</v>
      </c>
      <c r="H1356" s="26" t="s">
        <v>623</v>
      </c>
      <c r="I1356" s="161">
        <v>44299</v>
      </c>
      <c r="J1356" s="35" t="s">
        <v>1207</v>
      </c>
      <c r="K1356" s="21">
        <v>1584000</v>
      </c>
      <c r="L1356" s="21"/>
      <c r="M1356" s="22">
        <f>(PROVEEDORES[[#This Row],[SUBTOTAL]]-PROVEEDORES[[#This Row],[descuento sobre subtotal]])*VLOOKUP(PROVEEDORES[[#This Row],[PROVEEDOR]],TERCEROS_INFO[#All],3,FALSE)</f>
        <v>0</v>
      </c>
      <c r="N1356" s="23"/>
      <c r="O1356" s="22">
        <f>+PROVEEDORES[[#This Row],[Descuento sobre subtotal %]]*(PROVEEDORES[[#This Row],[SUBTOTAL]]-PROVEEDORES[[#This Row],[descuento sobre subtotal]])</f>
        <v>0</v>
      </c>
      <c r="P1356" s="83">
        <f>+IF(PROVEEDORES[[#This Row],[SUBTOTAL]]&lt;PROVEEDORES[[#This Row],[base retencion]],0,PROVEEDORES[[#This Row],[retención aplicada]])</f>
        <v>0</v>
      </c>
      <c r="Q1356" s="22">
        <f>+PROVEEDORES[[#This Row],[Rete Fuente %]]*(PROVEEDORES[[#This Row],[SUBTOTAL]]-PROVEEDORES[[#This Row],[descuento sobre subtotal]])</f>
        <v>0</v>
      </c>
      <c r="R1356" s="21">
        <f>+PROVEEDORES[[#This Row],[SUBTOTAL]]+PROVEEDORES[[#This Row],[IVA 19%]]-PROVEEDORES[[#This Row],[descuento sobre subtotal]]-PROVEEDORES[[#This Row],[Descuento sobre subtotal $2]]-PROVEEDORES[[#This Row],[Rete Fuente $]]</f>
        <v>1584000</v>
      </c>
      <c r="S13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6" s="68">
        <f ca="1">IF(PROVEEDORES[[#This Row],[FECHA DE PAGO]]=0,TODAY()-PROVEEDORES[[#This Row],[FECHA DE FACTURACIÓN]]-PROVEEDORES[[#This Row],[PLAZO Días]],0)</f>
        <v>0</v>
      </c>
      <c r="U1356" s="96">
        <f>+VLOOKUP(PROVEEDORES[[#This Row],[PROVEEDOR]],Terceros!$A:$D,4,FALSE)</f>
        <v>0</v>
      </c>
      <c r="V1356" s="97">
        <f>+YEAR(PROVEEDORES[[#This Row],[FECHA DE FACTURACIÓN]])</f>
        <v>2021</v>
      </c>
      <c r="W1356" s="97">
        <f>+MATCH(PROVEEDORES[[#This Row],[año facturado]],Retenciones!$1:$1,0)</f>
        <v>4</v>
      </c>
      <c r="X1356" s="98">
        <f>+VLOOKUP(PROVEEDORES[[#This Row],[ID RETENCION]],Retenciones!$A$1:$O$25,PROVEEDORES[[#This Row],[indicador de columna]],FALSE)</f>
        <v>0</v>
      </c>
      <c r="Y1356" s="99">
        <f>+VLOOKUP(PROVEEDORES[[#This Row],[ID RETENCION]],Retenciones!$A$1:$O$25,2,FALSE)</f>
        <v>0</v>
      </c>
      <c r="Z1356" s="125" t="b">
        <f>OR(COUNTIF(PROVEEDORES[[#This Row],[PROVEEDOR]],"*"&amp;'Palabra no opera'!$A$2&amp;"*"))</f>
        <v>0</v>
      </c>
      <c r="AA1356" s="24"/>
      <c r="AB1356" s="24"/>
      <c r="AC1356" s="24"/>
      <c r="AD1356" s="24"/>
      <c r="AE1356" s="24"/>
    </row>
    <row r="1357" spans="1:31" ht="22.2" customHeight="1" x14ac:dyDescent="0.3">
      <c r="A1357" s="66" t="str">
        <f>+IF(PROVEEDORES[[#This Row],[FECHA DE PAGO]]=PROVEEDORES[[#This Row],[FECHA DE FACTURACIÓN]],"DE CONTADO","CRÉDITO")</f>
        <v>CRÉDITO</v>
      </c>
      <c r="B1357" s="38" t="str">
        <f>+IF((PROVEEDORES[[#This Row],[FECHA DE PAGO]]-PROVEEDORES[[#This Row],[FECHA DE FACTURACIÓN]])&gt;PROVEEDORES[[#This Row],[PLAZO Días]],"PAGO VENCIDO")</f>
        <v>PAGO VENCIDO</v>
      </c>
      <c r="C1357" s="20">
        <f>+VLOOKUP(PROVEEDORES[[#This Row],[PROVEEDOR]],TERCEROS_INFO[#All],2,FALSE)</f>
        <v>30</v>
      </c>
      <c r="D1357" s="25">
        <f>+SUMIFS(PROVEEDORES[Total],PROVEEDORES[PROVEEDOR],PROVEEDORES[[#This Row],[PROVEEDOR]],PROVEEDORES[FECHA DE PAGO],"")</f>
        <v>4712021.58</v>
      </c>
      <c r="E1357" s="25"/>
      <c r="F135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57" s="161">
        <v>44510</v>
      </c>
      <c r="H1357" s="26" t="s">
        <v>17</v>
      </c>
      <c r="I1357" s="161">
        <v>44475</v>
      </c>
      <c r="J1357" s="35" t="s">
        <v>1325</v>
      </c>
      <c r="K1357" s="21">
        <v>1336624</v>
      </c>
      <c r="L1357" s="21"/>
      <c r="M1357" s="22">
        <f>(PROVEEDORES[[#This Row],[SUBTOTAL]]-PROVEEDORES[[#This Row],[descuento sobre subtotal]])*VLOOKUP(PROVEEDORES[[#This Row],[PROVEEDOR]],TERCEROS_INFO[#All],3,FALSE)</f>
        <v>253958.56</v>
      </c>
      <c r="N1357" s="23"/>
      <c r="O1357" s="22">
        <f>+PROVEEDORES[[#This Row],[Descuento sobre subtotal %]]*(PROVEEDORES[[#This Row],[SUBTOTAL]]-PROVEEDORES[[#This Row],[descuento sobre subtotal]])</f>
        <v>0</v>
      </c>
      <c r="P1357" s="83">
        <f>+IF(PROVEEDORES[[#This Row],[SUBTOTAL]]&lt;PROVEEDORES[[#This Row],[base retencion]],0,PROVEEDORES[[#This Row],[retención aplicada]])</f>
        <v>0</v>
      </c>
      <c r="Q1357" s="22">
        <f>+PROVEEDORES[[#This Row],[Rete Fuente %]]*(PROVEEDORES[[#This Row],[SUBTOTAL]]-PROVEEDORES[[#This Row],[descuento sobre subtotal]])</f>
        <v>0</v>
      </c>
      <c r="R1357" s="21">
        <f>+PROVEEDORES[[#This Row],[SUBTOTAL]]+PROVEEDORES[[#This Row],[IVA 19%]]-PROVEEDORES[[#This Row],[descuento sobre subtotal]]-PROVEEDORES[[#This Row],[Descuento sobre subtotal $2]]-PROVEEDORES[[#This Row],[Rete Fuente $]]</f>
        <v>1590582.56</v>
      </c>
      <c r="S13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7" s="68">
        <f ca="1">IF(PROVEEDORES[[#This Row],[FECHA DE PAGO]]=0,TODAY()-PROVEEDORES[[#This Row],[FECHA DE FACTURACIÓN]]-PROVEEDORES[[#This Row],[PLAZO Días]],0)</f>
        <v>0</v>
      </c>
      <c r="U1357" s="96">
        <f>+VLOOKUP(PROVEEDORES[[#This Row],[PROVEEDOR]],Terceros!$A:$D,4,FALSE)</f>
        <v>0</v>
      </c>
      <c r="V1357" s="97">
        <f>+YEAR(PROVEEDORES[[#This Row],[FECHA DE FACTURACIÓN]])</f>
        <v>2021</v>
      </c>
      <c r="W1357" s="97">
        <f>+MATCH(PROVEEDORES[[#This Row],[año facturado]],Retenciones!$1:$1,0)</f>
        <v>4</v>
      </c>
      <c r="X1357" s="98">
        <f>+VLOOKUP(PROVEEDORES[[#This Row],[ID RETENCION]],Retenciones!$A$1:$O$25,PROVEEDORES[[#This Row],[indicador de columna]],FALSE)</f>
        <v>0</v>
      </c>
      <c r="Y1357" s="99">
        <f>+VLOOKUP(PROVEEDORES[[#This Row],[ID RETENCION]],Retenciones!$A$1:$O$25,2,FALSE)</f>
        <v>0</v>
      </c>
      <c r="Z1357" s="125" t="b">
        <f>OR(COUNTIF(PROVEEDORES[[#This Row],[PROVEEDOR]],"*"&amp;'Palabra no opera'!$A$2&amp;"*"))</f>
        <v>0</v>
      </c>
      <c r="AA1357" s="24"/>
      <c r="AB1357" s="24"/>
      <c r="AC1357" s="24"/>
      <c r="AD1357" s="24"/>
      <c r="AE1357" s="24"/>
    </row>
    <row r="1358" spans="1:31" ht="22.2" customHeight="1" x14ac:dyDescent="0.3">
      <c r="A1358" s="66" t="str">
        <f>+IF(PROVEEDORES[[#This Row],[FECHA DE PAGO]]=PROVEEDORES[[#This Row],[FECHA DE FACTURACIÓN]],"DE CONTADO","CRÉDITO")</f>
        <v>CRÉDITO</v>
      </c>
      <c r="B1358" s="38" t="str">
        <f>+IF((PROVEEDORES[[#This Row],[FECHA DE PAGO]]-PROVEEDORES[[#This Row],[FECHA DE FACTURACIÓN]])&gt;PROVEEDORES[[#This Row],[PLAZO Días]],"PAGO VENCIDO")</f>
        <v>PAGO VENCIDO</v>
      </c>
      <c r="C1358" s="20">
        <f>+VLOOKUP(PROVEEDORES[[#This Row],[PROVEEDOR]],TERCEROS_INFO[#All],2,FALSE)</f>
        <v>30</v>
      </c>
      <c r="D1358" s="25">
        <f>+SUMIFS(PROVEEDORES[Total],PROVEEDORES[PROVEEDOR],PROVEEDORES[[#This Row],[PROVEEDOR]],PROVEEDORES[FECHA DE PAGO],"")</f>
        <v>0</v>
      </c>
      <c r="E1358" s="25"/>
      <c r="F1358" s="58">
        <f>+VLOOKUP(PROVEEDORES[[#This Row],[PROVEEDOR]],
                       Terceros!$A:$F,
                       5,
                       FALSE)</f>
        <v>0</v>
      </c>
      <c r="G1358" s="161">
        <v>44630</v>
      </c>
      <c r="H1358" s="26" t="s">
        <v>923</v>
      </c>
      <c r="I1358" s="161">
        <v>44562</v>
      </c>
      <c r="J1358" s="35" t="s">
        <v>1205</v>
      </c>
      <c r="K1358" s="21">
        <v>1591380</v>
      </c>
      <c r="L1358" s="21"/>
      <c r="M1358" s="22">
        <f>(PROVEEDORES[[#This Row],[SUBTOTAL]]-PROVEEDORES[[#This Row],[descuento sobre subtotal]])*VLOOKUP(PROVEEDORES[[#This Row],[PROVEEDOR]],TERCEROS_INFO[#All],3,FALSE)</f>
        <v>0</v>
      </c>
      <c r="N1358" s="23"/>
      <c r="O1358" s="22">
        <f>+PROVEEDORES[[#This Row],[Descuento sobre subtotal %]]*(PROVEEDORES[[#This Row],[SUBTOTAL]]-PROVEEDORES[[#This Row],[descuento sobre subtotal]])</f>
        <v>0</v>
      </c>
      <c r="P1358" s="83">
        <f>+IF(PROVEEDORES[[#This Row],[SUBTOTAL]]&lt;PROVEEDORES[[#This Row],[base retencion]],0,PROVEEDORES[[#This Row],[retención aplicada]])</f>
        <v>0</v>
      </c>
      <c r="Q1358" s="22">
        <f>+PROVEEDORES[[#This Row],[Rete Fuente %]]*(PROVEEDORES[[#This Row],[SUBTOTAL]]-PROVEEDORES[[#This Row],[descuento sobre subtotal]])</f>
        <v>0</v>
      </c>
      <c r="R1358" s="21">
        <v>1591380</v>
      </c>
      <c r="S13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8" s="68">
        <f ca="1">IF(PROVEEDORES[[#This Row],[FECHA DE PAGO]]=0,TODAY()-PROVEEDORES[[#This Row],[FECHA DE FACTURACIÓN]]-PROVEEDORES[[#This Row],[PLAZO Días]],0)</f>
        <v>0</v>
      </c>
      <c r="U1358" s="96">
        <f>+VLOOKUP(PROVEEDORES[[#This Row],[PROVEEDOR]],Terceros!$A:$D,4,FALSE)</f>
        <v>0</v>
      </c>
      <c r="V1358" s="97">
        <f>+YEAR(PROVEEDORES[[#This Row],[FECHA DE FACTURACIÓN]])</f>
        <v>2022</v>
      </c>
      <c r="W1358" s="97">
        <f>+MATCH(PROVEEDORES[[#This Row],[año facturado]],Retenciones!$1:$1,0)</f>
        <v>5</v>
      </c>
      <c r="X1358" s="98">
        <f>+VLOOKUP(PROVEEDORES[[#This Row],[ID RETENCION]],Retenciones!$A$1:$O$25,PROVEEDORES[[#This Row],[indicador de columna]],FALSE)</f>
        <v>0</v>
      </c>
      <c r="Y1358" s="99">
        <f>+VLOOKUP(PROVEEDORES[[#This Row],[ID RETENCION]],Retenciones!$A$1:$O$25,2,FALSE)</f>
        <v>0</v>
      </c>
      <c r="Z1358" s="125" t="b">
        <f>OR(COUNTIF(PROVEEDORES[[#This Row],[PROVEEDOR]],"*"&amp;'Palabra no opera'!$A$2&amp;"*"))</f>
        <v>1</v>
      </c>
      <c r="AA1358" s="24"/>
      <c r="AB1358" s="24"/>
      <c r="AC1358" s="24"/>
      <c r="AD1358" s="24"/>
      <c r="AE1358" s="24"/>
    </row>
    <row r="1359" spans="1:31" ht="22.2" customHeight="1" x14ac:dyDescent="0.3">
      <c r="A1359" s="72" t="str">
        <f>+IF(PROVEEDORES[[#This Row],[FECHA DE PAGO]]=PROVEEDORES[[#This Row],[FECHA DE FACTURACIÓN]],"DE CONTADO","CRÉDITO")</f>
        <v>CRÉDITO</v>
      </c>
      <c r="B1359" s="38" t="b">
        <f>+IF((PROVEEDORES[[#This Row],[FECHA DE PAGO]]-PROVEEDORES[[#This Row],[FECHA DE FACTURACIÓN]])&gt;PROVEEDORES[[#This Row],[PLAZO Días]],"PAGO VENCIDO")</f>
        <v>0</v>
      </c>
      <c r="C1359" s="20">
        <v>60</v>
      </c>
      <c r="D1359" s="25">
        <f>+SUMIFS(PROVEEDORES[Total],PROVEEDORES[PROVEEDOR],PROVEEDORES[[#This Row],[PROVEEDOR]],PROVEEDORES[FECHA DE PAGO],"")</f>
        <v>0</v>
      </c>
      <c r="E1359" s="25"/>
      <c r="F1359" s="58">
        <f>+VLOOKUP(PROVEEDORES[[#This Row],[PROVEEDOR]],
                       Terceros!$A:$F,
                       5,
                       FALSE)</f>
        <v>0</v>
      </c>
      <c r="G1359" s="161">
        <v>44802</v>
      </c>
      <c r="H1359" s="26" t="s">
        <v>923</v>
      </c>
      <c r="I1359" s="161">
        <v>44743</v>
      </c>
      <c r="J1359" s="35" t="s">
        <v>1205</v>
      </c>
      <c r="K1359" s="21">
        <v>1591380</v>
      </c>
      <c r="L1359" s="21"/>
      <c r="M1359" s="22">
        <f>(PROVEEDORES[[#This Row],[SUBTOTAL]]-PROVEEDORES[[#This Row],[descuento sobre subtotal]])*VLOOKUP(PROVEEDORES[[#This Row],[PROVEEDOR]],TERCEROS_INFO[#All],3,FALSE)</f>
        <v>0</v>
      </c>
      <c r="N1359" s="23"/>
      <c r="O1359" s="22">
        <f>+PROVEEDORES[[#This Row],[Descuento sobre subtotal %]]*(PROVEEDORES[[#This Row],[SUBTOTAL]]-PROVEEDORES[[#This Row],[descuento sobre subtotal]])</f>
        <v>0</v>
      </c>
      <c r="P1359" s="83">
        <f>+IF(PROVEEDORES[[#This Row],[SUBTOTAL]]&lt;PROVEEDORES[[#This Row],[base retencion]],0,PROVEEDORES[[#This Row],[retención aplicada]])</f>
        <v>0</v>
      </c>
      <c r="Q1359" s="22">
        <f>+PROVEEDORES[[#This Row],[Rete Fuente %]]*(PROVEEDORES[[#This Row],[SUBTOTAL]]-PROVEEDORES[[#This Row],[descuento sobre subtotal]])</f>
        <v>0</v>
      </c>
      <c r="R1359" s="21">
        <f>+PROVEEDORES[[#This Row],[SUBTOTAL]]+PROVEEDORES[[#This Row],[IVA 19%]]-PROVEEDORES[[#This Row],[descuento sobre subtotal]]-PROVEEDORES[[#This Row],[Descuento sobre subtotal $2]]-PROVEEDORES[[#This Row],[Rete Fuente $]]</f>
        <v>1591380</v>
      </c>
      <c r="S135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9" s="68">
        <f ca="1">IF(PROVEEDORES[[#This Row],[FECHA DE PAGO]]=0,TODAY()-PROVEEDORES[[#This Row],[FECHA DE FACTURACIÓN]]-PROVEEDORES[[#This Row],[PLAZO Días]],0)</f>
        <v>0</v>
      </c>
      <c r="U1359" s="113">
        <f>+VLOOKUP(PROVEEDORES[[#This Row],[PROVEEDOR]],Terceros!$A:$D,4,FALSE)</f>
        <v>0</v>
      </c>
      <c r="V1359" s="114">
        <f>+YEAR(PROVEEDORES[[#This Row],[FECHA DE FACTURACIÓN]])</f>
        <v>2022</v>
      </c>
      <c r="W1359" s="114">
        <f>+MATCH(PROVEEDORES[[#This Row],[año facturado]],Retenciones!$1:$1,0)</f>
        <v>5</v>
      </c>
      <c r="X1359" s="115">
        <f>+VLOOKUP(PROVEEDORES[[#This Row],[ID RETENCION]],Retenciones!$A$1:$O$25,PROVEEDORES[[#This Row],[indicador de columna]],FALSE)</f>
        <v>0</v>
      </c>
      <c r="Y1359" s="116">
        <f>+VLOOKUP(PROVEEDORES[[#This Row],[ID RETENCION]],Retenciones!$A$1:$O$25,2,FALSE)</f>
        <v>0</v>
      </c>
      <c r="Z1359" s="125" t="b">
        <f>OR(COUNTIF(PROVEEDORES[[#This Row],[PROVEEDOR]],"*"&amp;'Palabra no opera'!$A$2&amp;"*"))</f>
        <v>1</v>
      </c>
      <c r="AA1359" s="24"/>
      <c r="AB1359" s="24"/>
      <c r="AC1359" s="24"/>
      <c r="AD1359" s="24"/>
      <c r="AE1359" s="24"/>
    </row>
    <row r="1360" spans="1:31" ht="22.2" customHeight="1" x14ac:dyDescent="0.3">
      <c r="A1360" s="66" t="str">
        <f>+IF(PROVEEDORES[[#This Row],[FECHA DE PAGO]]=PROVEEDORES[[#This Row],[FECHA DE FACTURACIÓN]],"DE CONTADO","CRÉDITO")</f>
        <v>CRÉDITO</v>
      </c>
      <c r="B1360" s="38" t="str">
        <f>+IF((PROVEEDORES[[#This Row],[FECHA DE PAGO]]-PROVEEDORES[[#This Row],[FECHA DE FACTURACIÓN]])&gt;PROVEEDORES[[#This Row],[PLAZO Días]],"PAGO VENCIDO")</f>
        <v>PAGO VENCIDO</v>
      </c>
      <c r="C1360" s="20">
        <f>+VLOOKUP(PROVEEDORES[[#This Row],[PROVEEDOR]],TERCEROS_INFO[#All],2,FALSE)</f>
        <v>30</v>
      </c>
      <c r="D1360" s="25">
        <f>+SUMIFS(PROVEEDORES[Total],PROVEEDORES[PROVEEDOR],PROVEEDORES[[#This Row],[PROVEEDOR]],PROVEEDORES[FECHA DE PAGO],"")</f>
        <v>0</v>
      </c>
      <c r="E1360" s="25"/>
      <c r="F1360" s="58">
        <f>+VLOOKUP(PROVEEDORES[[#This Row],[PROVEEDOR]],
                       Terceros!$A:$F,
                       5,
                       FALSE)</f>
        <v>0</v>
      </c>
      <c r="G1360" s="161">
        <v>44691</v>
      </c>
      <c r="H1360" s="26" t="s">
        <v>923</v>
      </c>
      <c r="I1360" s="161">
        <v>44655</v>
      </c>
      <c r="J1360" s="35" t="s">
        <v>1205</v>
      </c>
      <c r="K1360" s="21">
        <v>1592378</v>
      </c>
      <c r="L1360" s="21"/>
      <c r="M1360" s="22">
        <f>(PROVEEDORES[[#This Row],[SUBTOTAL]]-PROVEEDORES[[#This Row],[descuento sobre subtotal]])*VLOOKUP(PROVEEDORES[[#This Row],[PROVEEDOR]],TERCEROS_INFO[#All],3,FALSE)</f>
        <v>0</v>
      </c>
      <c r="N1360" s="23"/>
      <c r="O1360" s="22">
        <f>+PROVEEDORES[[#This Row],[Descuento sobre subtotal %]]*(PROVEEDORES[[#This Row],[SUBTOTAL]]-PROVEEDORES[[#This Row],[descuento sobre subtotal]])</f>
        <v>0</v>
      </c>
      <c r="P1360" s="83">
        <f>+IF(PROVEEDORES[[#This Row],[SUBTOTAL]]&lt;PROVEEDORES[[#This Row],[base retencion]],0,PROVEEDORES[[#This Row],[retención aplicada]])</f>
        <v>0</v>
      </c>
      <c r="Q1360" s="22">
        <f>+PROVEEDORES[[#This Row],[Rete Fuente %]]*(PROVEEDORES[[#This Row],[SUBTOTAL]]-PROVEEDORES[[#This Row],[descuento sobre subtotal]])</f>
        <v>0</v>
      </c>
      <c r="R1360" s="21">
        <f>+PROVEEDORES[[#This Row],[SUBTOTAL]]+PROVEEDORES[[#This Row],[IVA 19%]]-PROVEEDORES[[#This Row],[descuento sobre subtotal]]-PROVEEDORES[[#This Row],[Descuento sobre subtotal $2]]-PROVEEDORES[[#This Row],[Rete Fuente $]]</f>
        <v>1592378</v>
      </c>
      <c r="S13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0" s="68">
        <f ca="1">IF(PROVEEDORES[[#This Row],[FECHA DE PAGO]]=0,TODAY()-PROVEEDORES[[#This Row],[FECHA DE FACTURACIÓN]]-PROVEEDORES[[#This Row],[PLAZO Días]],0)</f>
        <v>0</v>
      </c>
      <c r="U1360" s="96">
        <f>+VLOOKUP(PROVEEDORES[[#This Row],[PROVEEDOR]],Terceros!$A:$D,4,FALSE)</f>
        <v>0</v>
      </c>
      <c r="V1360" s="97">
        <f>+YEAR(PROVEEDORES[[#This Row],[FECHA DE FACTURACIÓN]])</f>
        <v>2022</v>
      </c>
      <c r="W1360" s="97">
        <f>+MATCH(PROVEEDORES[[#This Row],[año facturado]],Retenciones!$1:$1,0)</f>
        <v>5</v>
      </c>
      <c r="X1360" s="98">
        <f>+VLOOKUP(PROVEEDORES[[#This Row],[ID RETENCION]],Retenciones!$A$1:$O$25,PROVEEDORES[[#This Row],[indicador de columna]],FALSE)</f>
        <v>0</v>
      </c>
      <c r="Y1360" s="99">
        <f>+VLOOKUP(PROVEEDORES[[#This Row],[ID RETENCION]],Retenciones!$A$1:$O$25,2,FALSE)</f>
        <v>0</v>
      </c>
      <c r="Z1360" s="125" t="b">
        <f>OR(COUNTIF(PROVEEDORES[[#This Row],[PROVEEDOR]],"*"&amp;'Palabra no opera'!$A$2&amp;"*"))</f>
        <v>1</v>
      </c>
      <c r="AA1360" s="24"/>
      <c r="AB1360" s="24"/>
      <c r="AC1360" s="24"/>
      <c r="AD1360" s="24"/>
      <c r="AE1360" s="24"/>
    </row>
    <row r="1361" spans="1:31" ht="22.2" customHeight="1" x14ac:dyDescent="0.3">
      <c r="A1361" s="66" t="str">
        <f>+IF(PROVEEDORES[[#This Row],[FECHA DE PAGO]]=PROVEEDORES[[#This Row],[FECHA DE FACTURACIÓN]],"DE CONTADO","CRÉDITO")</f>
        <v>CRÉDITO</v>
      </c>
      <c r="B1361" s="38" t="str">
        <f>+IF((PROVEEDORES[[#This Row],[FECHA DE PAGO]]-PROVEEDORES[[#This Row],[FECHA DE FACTURACIÓN]])&gt;PROVEEDORES[[#This Row],[PLAZO Días]],"PAGO VENCIDO")</f>
        <v>PAGO VENCIDO</v>
      </c>
      <c r="C1361" s="20">
        <f>+VLOOKUP(PROVEEDORES[[#This Row],[PROVEEDOR]],TERCEROS_INFO[#All],2,FALSE)</f>
        <v>30</v>
      </c>
      <c r="D1361" s="25">
        <f>+SUMIFS(PROVEEDORES[Total],PROVEEDORES[PROVEEDOR],PROVEEDORES[[#This Row],[PROVEEDOR]],PROVEEDORES[FECHA DE PAGO],"")</f>
        <v>4712021.58</v>
      </c>
      <c r="E1361" s="25"/>
      <c r="F136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61" s="161">
        <v>44396</v>
      </c>
      <c r="H1361" s="26" t="s">
        <v>17</v>
      </c>
      <c r="I1361" s="161">
        <v>44362</v>
      </c>
      <c r="J1361" s="35">
        <v>1774672</v>
      </c>
      <c r="K1361" s="21">
        <v>1339666</v>
      </c>
      <c r="L1361" s="21"/>
      <c r="M1361" s="22">
        <f>(PROVEEDORES[[#This Row],[SUBTOTAL]]-PROVEEDORES[[#This Row],[descuento sobre subtotal]])*VLOOKUP(PROVEEDORES[[#This Row],[PROVEEDOR]],TERCEROS_INFO[#All],3,FALSE)</f>
        <v>254536.54</v>
      </c>
      <c r="N1361" s="23"/>
      <c r="O1361" s="22">
        <f>+PROVEEDORES[[#This Row],[Descuento sobre subtotal %]]*(PROVEEDORES[[#This Row],[SUBTOTAL]]-PROVEEDORES[[#This Row],[descuento sobre subtotal]])</f>
        <v>0</v>
      </c>
      <c r="P1361" s="83">
        <f>+IF(PROVEEDORES[[#This Row],[SUBTOTAL]]&lt;PROVEEDORES[[#This Row],[base retencion]],0,PROVEEDORES[[#This Row],[retención aplicada]])</f>
        <v>0</v>
      </c>
      <c r="Q1361" s="22">
        <f>+PROVEEDORES[[#This Row],[Rete Fuente %]]*(PROVEEDORES[[#This Row],[SUBTOTAL]]-PROVEEDORES[[#This Row],[descuento sobre subtotal]])</f>
        <v>0</v>
      </c>
      <c r="R1361" s="21">
        <f>+PROVEEDORES[[#This Row],[SUBTOTAL]]+PROVEEDORES[[#This Row],[IVA 19%]]-PROVEEDORES[[#This Row],[descuento sobre subtotal]]-PROVEEDORES[[#This Row],[Descuento sobre subtotal $2]]-PROVEEDORES[[#This Row],[Rete Fuente $]]</f>
        <v>1594202.54</v>
      </c>
      <c r="S13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1" s="68">
        <f ca="1">IF(PROVEEDORES[[#This Row],[FECHA DE PAGO]]=0,TODAY()-PROVEEDORES[[#This Row],[FECHA DE FACTURACIÓN]]-PROVEEDORES[[#This Row],[PLAZO Días]],0)</f>
        <v>0</v>
      </c>
      <c r="U1361" s="96">
        <f>+VLOOKUP(PROVEEDORES[[#This Row],[PROVEEDOR]],Terceros!$A:$D,4,FALSE)</f>
        <v>0</v>
      </c>
      <c r="V1361" s="97">
        <f>+YEAR(PROVEEDORES[[#This Row],[FECHA DE FACTURACIÓN]])</f>
        <v>2021</v>
      </c>
      <c r="W1361" s="97">
        <f>+MATCH(PROVEEDORES[[#This Row],[año facturado]],Retenciones!$1:$1,0)</f>
        <v>4</v>
      </c>
      <c r="X1361" s="98">
        <f>+VLOOKUP(PROVEEDORES[[#This Row],[ID RETENCION]],Retenciones!$A$1:$O$25,PROVEEDORES[[#This Row],[indicador de columna]],FALSE)</f>
        <v>0</v>
      </c>
      <c r="Y1361" s="99">
        <f>+VLOOKUP(PROVEEDORES[[#This Row],[ID RETENCION]],Retenciones!$A$1:$O$25,2,FALSE)</f>
        <v>0</v>
      </c>
      <c r="Z1361" s="125" t="b">
        <f>OR(COUNTIF(PROVEEDORES[[#This Row],[PROVEEDOR]],"*"&amp;'Palabra no opera'!$A$2&amp;"*"))</f>
        <v>0</v>
      </c>
      <c r="AA1361" s="24"/>
      <c r="AB1361" s="24"/>
      <c r="AC1361" s="24"/>
      <c r="AD1361" s="24"/>
      <c r="AE1361" s="24"/>
    </row>
    <row r="1362" spans="1:31" ht="22.2" customHeight="1" x14ac:dyDescent="0.3">
      <c r="A1362" s="66" t="str">
        <f>+IF(PROVEEDORES[[#This Row],[FECHA DE PAGO]]=PROVEEDORES[[#This Row],[FECHA DE FACTURACIÓN]],"DE CONTADO","CRÉDITO")</f>
        <v>CRÉDITO</v>
      </c>
      <c r="B1362" s="38" t="str">
        <f>+IF((PROVEEDORES[[#This Row],[FECHA DE PAGO]]-PROVEEDORES[[#This Row],[FECHA DE FACTURACIÓN]])&gt;PROVEEDORES[[#This Row],[PLAZO Días]],"PAGO VENCIDO")</f>
        <v>PAGO VENCIDO</v>
      </c>
      <c r="C1362" s="20">
        <f>+VLOOKUP(PROVEEDORES[[#This Row],[PROVEEDOR]],TERCEROS_INFO[#All],2,FALSE)</f>
        <v>30</v>
      </c>
      <c r="D1362" s="25">
        <f>+SUMIFS(PROVEEDORES[Total],PROVEEDORES[PROVEEDOR],PROVEEDORES[[#This Row],[PROVEEDOR]],PROVEEDORES[FECHA DE PAGO],"")</f>
        <v>4712021.58</v>
      </c>
      <c r="E1362" s="25"/>
      <c r="F136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62" s="161">
        <v>44442</v>
      </c>
      <c r="H1362" s="26" t="s">
        <v>17</v>
      </c>
      <c r="I1362" s="161">
        <v>44411</v>
      </c>
      <c r="J1362" s="35">
        <v>1795600</v>
      </c>
      <c r="K1362" s="21">
        <v>1339866</v>
      </c>
      <c r="L1362" s="21"/>
      <c r="M1362" s="22">
        <f>(PROVEEDORES[[#This Row],[SUBTOTAL]]-PROVEEDORES[[#This Row],[descuento sobre subtotal]])*VLOOKUP(PROVEEDORES[[#This Row],[PROVEEDOR]],TERCEROS_INFO[#All],3,FALSE)</f>
        <v>254574.54</v>
      </c>
      <c r="N1362" s="23"/>
      <c r="O1362" s="22">
        <f>+PROVEEDORES[[#This Row],[Descuento sobre subtotal %]]*(PROVEEDORES[[#This Row],[SUBTOTAL]]-PROVEEDORES[[#This Row],[descuento sobre subtotal]])</f>
        <v>0</v>
      </c>
      <c r="P1362" s="83">
        <f>+IF(PROVEEDORES[[#This Row],[SUBTOTAL]]&lt;PROVEEDORES[[#This Row],[base retencion]],0,PROVEEDORES[[#This Row],[retención aplicada]])</f>
        <v>0</v>
      </c>
      <c r="Q1362" s="22">
        <f>+PROVEEDORES[[#This Row],[Rete Fuente %]]*(PROVEEDORES[[#This Row],[SUBTOTAL]]-PROVEEDORES[[#This Row],[descuento sobre subtotal]])</f>
        <v>0</v>
      </c>
      <c r="R1362" s="21">
        <f>+PROVEEDORES[[#This Row],[SUBTOTAL]]+PROVEEDORES[[#This Row],[IVA 19%]]-PROVEEDORES[[#This Row],[descuento sobre subtotal]]-PROVEEDORES[[#This Row],[Descuento sobre subtotal $2]]-PROVEEDORES[[#This Row],[Rete Fuente $]]</f>
        <v>1594440.54</v>
      </c>
      <c r="S13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2" s="68">
        <f ca="1">IF(PROVEEDORES[[#This Row],[FECHA DE PAGO]]=0,TODAY()-PROVEEDORES[[#This Row],[FECHA DE FACTURACIÓN]]-PROVEEDORES[[#This Row],[PLAZO Días]],0)</f>
        <v>0</v>
      </c>
      <c r="U1362" s="96">
        <f>+VLOOKUP(PROVEEDORES[[#This Row],[PROVEEDOR]],Terceros!$A:$D,4,FALSE)</f>
        <v>0</v>
      </c>
      <c r="V1362" s="97">
        <f>+YEAR(PROVEEDORES[[#This Row],[FECHA DE FACTURACIÓN]])</f>
        <v>2021</v>
      </c>
      <c r="W1362" s="97">
        <f>+MATCH(PROVEEDORES[[#This Row],[año facturado]],Retenciones!$1:$1,0)</f>
        <v>4</v>
      </c>
      <c r="X1362" s="98">
        <f>+VLOOKUP(PROVEEDORES[[#This Row],[ID RETENCION]],Retenciones!$A$1:$O$25,PROVEEDORES[[#This Row],[indicador de columna]],FALSE)</f>
        <v>0</v>
      </c>
      <c r="Y1362" s="99">
        <f>+VLOOKUP(PROVEEDORES[[#This Row],[ID RETENCION]],Retenciones!$A$1:$O$25,2,FALSE)</f>
        <v>0</v>
      </c>
      <c r="Z1362" s="125" t="b">
        <f>OR(COUNTIF(PROVEEDORES[[#This Row],[PROVEEDOR]],"*"&amp;'Palabra no opera'!$A$2&amp;"*"))</f>
        <v>0</v>
      </c>
      <c r="AA1362" s="24"/>
      <c r="AB1362" s="24"/>
      <c r="AC1362" s="24"/>
      <c r="AD1362" s="24"/>
      <c r="AE1362" s="24"/>
    </row>
    <row r="1363" spans="1:31" ht="22.2" customHeight="1" x14ac:dyDescent="0.3">
      <c r="A1363" s="66" t="str">
        <f>+IF(PROVEEDORES[[#This Row],[FECHA DE PAGO]]=PROVEEDORES[[#This Row],[FECHA DE FACTURACIÓN]],"DE CONTADO","CRÉDITO")</f>
        <v>CRÉDITO</v>
      </c>
      <c r="B1363" s="38" t="str">
        <f>+IF((PROVEEDORES[[#This Row],[FECHA DE PAGO]]-PROVEEDORES[[#This Row],[FECHA DE FACTURACIÓN]])&gt;PROVEEDORES[[#This Row],[PLAZO Días]],"PAGO VENCIDO")</f>
        <v>PAGO VENCIDO</v>
      </c>
      <c r="C1363" s="20">
        <f>+VLOOKUP(PROVEEDORES[[#This Row],[PROVEEDOR]],TERCEROS_INFO[#All],2,FALSE)</f>
        <v>30</v>
      </c>
      <c r="D1363" s="25">
        <f>+SUMIFS(PROVEEDORES[Total],PROVEEDORES[PROVEEDOR],PROVEEDORES[[#This Row],[PROVEEDOR]],PROVEEDORES[FECHA DE PAGO],"")</f>
        <v>0</v>
      </c>
      <c r="E1363" s="25"/>
      <c r="F1363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1363" s="161">
        <v>44537</v>
      </c>
      <c r="H1363" s="26" t="s">
        <v>422</v>
      </c>
      <c r="I1363" s="161">
        <v>44497</v>
      </c>
      <c r="J1363" s="35">
        <v>10615</v>
      </c>
      <c r="K1363" s="21">
        <v>1380000</v>
      </c>
      <c r="L1363" s="21"/>
      <c r="M1363" s="22">
        <f>(PROVEEDORES[[#This Row],[SUBTOTAL]]-PROVEEDORES[[#This Row],[descuento sobre subtotal]])*VLOOKUP(PROVEEDORES[[#This Row],[PROVEEDOR]],TERCEROS_INFO[#All],3,FALSE)</f>
        <v>262200</v>
      </c>
      <c r="N1363" s="23"/>
      <c r="O1363" s="22">
        <f>+PROVEEDORES[[#This Row],[Descuento sobre subtotal %]]*(PROVEEDORES[[#This Row],[SUBTOTAL]]-PROVEEDORES[[#This Row],[descuento sobre subtotal]])</f>
        <v>0</v>
      </c>
      <c r="P1363" s="83">
        <f>+IF(PROVEEDORES[[#This Row],[SUBTOTAL]]&lt;PROVEEDORES[[#This Row],[base retencion]],0,PROVEEDORES[[#This Row],[retención aplicada]])</f>
        <v>2.5000000000000001E-2</v>
      </c>
      <c r="Q1363" s="22">
        <f>+PROVEEDORES[[#This Row],[Rete Fuente %]]*(PROVEEDORES[[#This Row],[SUBTOTAL]]-PROVEEDORES[[#This Row],[descuento sobre subtotal]])</f>
        <v>34500</v>
      </c>
      <c r="R1363" s="21">
        <f>+PROVEEDORES[[#This Row],[SUBTOTAL]]+PROVEEDORES[[#This Row],[IVA 19%]]-PROVEEDORES[[#This Row],[descuento sobre subtotal]]-PROVEEDORES[[#This Row],[Descuento sobre subtotal $2]]-PROVEEDORES[[#This Row],[Rete Fuente $]]</f>
        <v>1607700</v>
      </c>
      <c r="S13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3" s="68">
        <f ca="1">IF(PROVEEDORES[[#This Row],[FECHA DE PAGO]]=0,TODAY()-PROVEEDORES[[#This Row],[FECHA DE FACTURACIÓN]]-PROVEEDORES[[#This Row],[PLAZO Días]],0)</f>
        <v>0</v>
      </c>
      <c r="U1363" s="96" t="str">
        <f>+VLOOKUP(PROVEEDORES[[#This Row],[PROVEEDOR]],Terceros!$A:$D,4,FALSE)</f>
        <v>2,5% con base</v>
      </c>
      <c r="V1363" s="97">
        <f>+YEAR(PROVEEDORES[[#This Row],[FECHA DE FACTURACIÓN]])</f>
        <v>2021</v>
      </c>
      <c r="W1363" s="97">
        <f>+MATCH(PROVEEDORES[[#This Row],[año facturado]],Retenciones!$1:$1,0)</f>
        <v>4</v>
      </c>
      <c r="X1363" s="98">
        <f>+VLOOKUP(PROVEEDORES[[#This Row],[ID RETENCION]],Retenciones!$A$1:$O$25,PROVEEDORES[[#This Row],[indicador de columna]],FALSE)</f>
        <v>980000</v>
      </c>
      <c r="Y1363" s="99">
        <f>+VLOOKUP(PROVEEDORES[[#This Row],[ID RETENCION]],Retenciones!$A$1:$O$25,2,FALSE)</f>
        <v>2.5000000000000001E-2</v>
      </c>
      <c r="Z1363" s="125" t="b">
        <f>OR(COUNTIF(PROVEEDORES[[#This Row],[PROVEEDOR]],"*"&amp;'Palabra no opera'!$A$2&amp;"*"))</f>
        <v>0</v>
      </c>
      <c r="AA1363" s="24"/>
      <c r="AB1363" s="24"/>
      <c r="AC1363" s="24"/>
      <c r="AD1363" s="24"/>
      <c r="AE1363" s="24"/>
    </row>
    <row r="1364" spans="1:31" ht="22.2" customHeight="1" x14ac:dyDescent="0.3">
      <c r="A1364" s="66" t="str">
        <f>+IF(PROVEEDORES[[#This Row],[FECHA DE PAGO]]=PROVEEDORES[[#This Row],[FECHA DE FACTURACIÓN]],"DE CONTADO","CRÉDITO")</f>
        <v>CRÉDITO</v>
      </c>
      <c r="B1364" s="38" t="str">
        <f>+IF((PROVEEDORES[[#This Row],[FECHA DE PAGO]]-PROVEEDORES[[#This Row],[FECHA DE FACTURACIÓN]])&gt;PROVEEDORES[[#This Row],[PLAZO Días]],"PAGO VENCIDO")</f>
        <v>PAGO VENCIDO</v>
      </c>
      <c r="C1364" s="20">
        <f>+VLOOKUP(PROVEEDORES[[#This Row],[PROVEEDOR]],TERCEROS_INFO[#All],2,FALSE)</f>
        <v>30</v>
      </c>
      <c r="D1364" s="25">
        <f>+SUMIFS(PROVEEDORES[Total],PROVEEDORES[PROVEEDOR],PROVEEDORES[[#This Row],[PROVEEDOR]],PROVEEDORES[FECHA DE PAGO],"")</f>
        <v>2121000</v>
      </c>
      <c r="E1364" s="25"/>
      <c r="F136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64" s="161">
        <v>44652</v>
      </c>
      <c r="H1364" s="26" t="s">
        <v>685</v>
      </c>
      <c r="I1364" s="161">
        <v>44602</v>
      </c>
      <c r="J1364" s="35" t="s">
        <v>1571</v>
      </c>
      <c r="K1364" s="21">
        <v>1608000</v>
      </c>
      <c r="L1364" s="21"/>
      <c r="M1364" s="22">
        <v>0</v>
      </c>
      <c r="N1364" s="23"/>
      <c r="O1364" s="22">
        <v>0</v>
      </c>
      <c r="P1364" s="83">
        <f>+IF(PROVEEDORES[[#This Row],[SUBTOTAL]]&lt;PROVEEDORES[[#This Row],[base retencion]],0,PROVEEDORES[[#This Row],[retención aplicada]])</f>
        <v>0</v>
      </c>
      <c r="Q1364" s="22">
        <f>+PROVEEDORES[[#This Row],[Rete Fuente %]]*(PROVEEDORES[[#This Row],[SUBTOTAL]]-PROVEEDORES[[#This Row],[descuento sobre subtotal]])</f>
        <v>0</v>
      </c>
      <c r="R1364" s="21">
        <v>1608000</v>
      </c>
      <c r="S13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4" s="68">
        <f ca="1">IF(PROVEEDORES[[#This Row],[FECHA DE PAGO]]=0,TODAY()-PROVEEDORES[[#This Row],[FECHA DE FACTURACIÓN]]-PROVEEDORES[[#This Row],[PLAZO Días]],0)</f>
        <v>0</v>
      </c>
      <c r="U1364" s="96">
        <f>+VLOOKUP(PROVEEDORES[[#This Row],[PROVEEDOR]],Terceros!$A:$D,4,FALSE)</f>
        <v>0</v>
      </c>
      <c r="V1364" s="97">
        <f>+YEAR(PROVEEDORES[[#This Row],[FECHA DE FACTURACIÓN]])</f>
        <v>2022</v>
      </c>
      <c r="W1364" s="97">
        <f>+MATCH(PROVEEDORES[[#This Row],[año facturado]],Retenciones!$1:$1,0)</f>
        <v>5</v>
      </c>
      <c r="X1364" s="98">
        <f>+VLOOKUP(PROVEEDORES[[#This Row],[ID RETENCION]],Retenciones!$A$1:$O$25,PROVEEDORES[[#This Row],[indicador de columna]],FALSE)</f>
        <v>0</v>
      </c>
      <c r="Y1364" s="99">
        <f>+VLOOKUP(PROVEEDORES[[#This Row],[ID RETENCION]],Retenciones!$A$1:$O$25,2,FALSE)</f>
        <v>0</v>
      </c>
      <c r="Z1364" s="125" t="b">
        <f>OR(COUNTIF(PROVEEDORES[[#This Row],[PROVEEDOR]],"*"&amp;'Palabra no opera'!$A$2&amp;"*"))</f>
        <v>0</v>
      </c>
      <c r="AA1364" s="24"/>
      <c r="AB1364" s="24"/>
      <c r="AC1364" s="24"/>
      <c r="AD1364" s="24"/>
      <c r="AE1364" s="24"/>
    </row>
    <row r="1365" spans="1:31" ht="22.2" customHeight="1" x14ac:dyDescent="0.3">
      <c r="A1365" s="66" t="str">
        <f>+IF(PROVEEDORES[[#This Row],[FECHA DE PAGO]]=PROVEEDORES[[#This Row],[FECHA DE FACTURACIÓN]],"DE CONTADO","CRÉDITO")</f>
        <v>CRÉDITO</v>
      </c>
      <c r="B1365" s="38" t="b">
        <f>+IF((PROVEEDORES[[#This Row],[FECHA DE PAGO]]-PROVEEDORES[[#This Row],[FECHA DE FACTURACIÓN]])&gt;PROVEEDORES[[#This Row],[PLAZO Días]],"PAGO VENCIDO")</f>
        <v>0</v>
      </c>
      <c r="C1365" s="20">
        <f>+VLOOKUP(PROVEEDORES[[#This Row],[PROVEEDOR]],TERCEROS_INFO[#All],2,FALSE)</f>
        <v>30</v>
      </c>
      <c r="D1365" s="25">
        <f>+SUMIFS(PROVEEDORES[Total],PROVEEDORES[PROVEEDOR],PROVEEDORES[[#This Row],[PROVEEDOR]],PROVEEDORES[FECHA DE PAGO],"")</f>
        <v>0</v>
      </c>
      <c r="E1365" s="25"/>
      <c r="F1365" s="5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365" s="161">
        <v>44348</v>
      </c>
      <c r="H1365" s="26" t="s">
        <v>926</v>
      </c>
      <c r="I1365" s="161">
        <v>44336</v>
      </c>
      <c r="J1365" s="35" t="s">
        <v>1232</v>
      </c>
      <c r="K1365" s="21">
        <v>1500000</v>
      </c>
      <c r="L1365" s="21"/>
      <c r="M1365" s="22">
        <f>(PROVEEDORES[[#This Row],[SUBTOTAL]]-PROVEEDORES[[#This Row],[descuento sobre subtotal]])*VLOOKUP(PROVEEDORES[[#This Row],[PROVEEDOR]],TERCEROS_INFO[#All],3,FALSE)</f>
        <v>285000</v>
      </c>
      <c r="N1365" s="23"/>
      <c r="O1365" s="22">
        <f>+PROVEEDORES[[#This Row],[Descuento sobre subtotal %]]*(PROVEEDORES[[#This Row],[SUBTOTAL]]-PROVEEDORES[[#This Row],[descuento sobre subtotal]])</f>
        <v>0</v>
      </c>
      <c r="P1365" s="83">
        <f>+IF(PROVEEDORES[[#This Row],[SUBTOTAL]]&lt;PROVEEDORES[[#This Row],[base retencion]],0,PROVEEDORES[[#This Row],[retención aplicada]])</f>
        <v>0.11</v>
      </c>
      <c r="Q1365" s="22">
        <f>+PROVEEDORES[[#This Row],[Rete Fuente %]]*(PROVEEDORES[[#This Row],[SUBTOTAL]]-PROVEEDORES[[#This Row],[descuento sobre subtotal]])</f>
        <v>165000</v>
      </c>
      <c r="R1365" s="21">
        <f>+PROVEEDORES[[#This Row],[SUBTOTAL]]+PROVEEDORES[[#This Row],[IVA 19%]]-PROVEEDORES[[#This Row],[descuento sobre subtotal]]-PROVEEDORES[[#This Row],[Descuento sobre subtotal $2]]-PROVEEDORES[[#This Row],[Rete Fuente $]]</f>
        <v>1620000</v>
      </c>
      <c r="S13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5" s="68">
        <f ca="1">IF(PROVEEDORES[[#This Row],[FECHA DE PAGO]]=0,TODAY()-PROVEEDORES[[#This Row],[FECHA DE FACTURACIÓN]]-PROVEEDORES[[#This Row],[PLAZO Días]],0)</f>
        <v>0</v>
      </c>
      <c r="U1365" s="96" t="str">
        <f>+VLOOKUP(PROVEEDORES[[#This Row],[PROVEEDOR]],Terceros!$A:$D,4,FALSE)</f>
        <v>11% sin base</v>
      </c>
      <c r="V1365" s="97">
        <f>+YEAR(PROVEEDORES[[#This Row],[FECHA DE FACTURACIÓN]])</f>
        <v>2021</v>
      </c>
      <c r="W1365" s="97">
        <f>+MATCH(PROVEEDORES[[#This Row],[año facturado]],Retenciones!$1:$1,0)</f>
        <v>4</v>
      </c>
      <c r="X1365" s="98">
        <f>+VLOOKUP(PROVEEDORES[[#This Row],[ID RETENCION]],Retenciones!$A$1:$O$25,PROVEEDORES[[#This Row],[indicador de columna]],FALSE)</f>
        <v>0</v>
      </c>
      <c r="Y1365" s="99">
        <f>+VLOOKUP(PROVEEDORES[[#This Row],[ID RETENCION]],Retenciones!$A$1:$O$25,2,FALSE)</f>
        <v>0.11</v>
      </c>
      <c r="Z1365" s="125" t="b">
        <f>OR(COUNTIF(PROVEEDORES[[#This Row],[PROVEEDOR]],"*"&amp;'Palabra no opera'!$A$2&amp;"*"))</f>
        <v>1</v>
      </c>
      <c r="AA1365" s="24"/>
      <c r="AB1365" s="24"/>
      <c r="AC1365" s="24"/>
      <c r="AD1365" s="24"/>
      <c r="AE1365" s="24"/>
    </row>
    <row r="1366" spans="1:31" ht="22.2" customHeight="1" x14ac:dyDescent="0.3">
      <c r="A1366" s="66" t="str">
        <f>+IF(PROVEEDORES[[#This Row],[FECHA DE PAGO]]=PROVEEDORES[[#This Row],[FECHA DE FACTURACIÓN]],"DE CONTADO","CRÉDITO")</f>
        <v>CRÉDITO</v>
      </c>
      <c r="B1366" s="38" t="b">
        <f>+IF((PROVEEDORES[[#This Row],[FECHA DE PAGO]]-PROVEEDORES[[#This Row],[FECHA DE FACTURACIÓN]])&gt;PROVEEDORES[[#This Row],[PLAZO Días]],"PAGO VENCIDO")</f>
        <v>0</v>
      </c>
      <c r="C1366" s="20">
        <f>+VLOOKUP(PROVEEDORES[[#This Row],[PROVEEDOR]],TERCEROS_INFO[#All],2,FALSE)</f>
        <v>30</v>
      </c>
      <c r="D1366" s="25">
        <f>+SUMIFS(PROVEEDORES[Total],PROVEEDORES[PROVEEDOR],PROVEEDORES[[#This Row],[PROVEEDOR]],PROVEEDORES[FECHA DE PAGO],"")</f>
        <v>0</v>
      </c>
      <c r="E1366" s="25"/>
      <c r="F136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66" s="161">
        <v>44617</v>
      </c>
      <c r="H1366" s="26" t="s">
        <v>918</v>
      </c>
      <c r="I1366" s="161">
        <v>44593</v>
      </c>
      <c r="J1366" s="35">
        <v>9918</v>
      </c>
      <c r="K1366" s="21">
        <v>1634691</v>
      </c>
      <c r="L1366" s="21"/>
      <c r="M1366" s="22">
        <f>(PROVEEDORES[[#This Row],[SUBTOTAL]]-PROVEEDORES[[#This Row],[descuento sobre subtotal]])*VLOOKUP(PROVEEDORES[[#This Row],[PROVEEDOR]],TERCEROS_INFO[#All],3,FALSE)</f>
        <v>0</v>
      </c>
      <c r="N1366" s="23"/>
      <c r="O1366" s="22">
        <f>+PROVEEDORES[[#This Row],[Descuento sobre subtotal %]]*(PROVEEDORES[[#This Row],[SUBTOTAL]]-PROVEEDORES[[#This Row],[descuento sobre subtotal]])</f>
        <v>0</v>
      </c>
      <c r="P1366" s="83">
        <f>+IF(PROVEEDORES[[#This Row],[SUBTOTAL]]&lt;PROVEEDORES[[#This Row],[base retencion]],0,PROVEEDORES[[#This Row],[retención aplicada]])</f>
        <v>0</v>
      </c>
      <c r="Q1366" s="22">
        <f>+PROVEEDORES[[#This Row],[Rete Fuente %]]*(PROVEEDORES[[#This Row],[SUBTOTAL]]-PROVEEDORES[[#This Row],[descuento sobre subtotal]])</f>
        <v>0</v>
      </c>
      <c r="R1366" s="21">
        <f>+PROVEEDORES[[#This Row],[SUBTOTAL]]+PROVEEDORES[[#This Row],[IVA 19%]]-PROVEEDORES[[#This Row],[descuento sobre subtotal]]-PROVEEDORES[[#This Row],[Descuento sobre subtotal $2]]-PROVEEDORES[[#This Row],[Rete Fuente $]]</f>
        <v>1634691</v>
      </c>
      <c r="S13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6" s="68">
        <f ca="1">IF(PROVEEDORES[[#This Row],[FECHA DE PAGO]]=0,TODAY()-PROVEEDORES[[#This Row],[FECHA DE FACTURACIÓN]]-PROVEEDORES[[#This Row],[PLAZO Días]],0)</f>
        <v>0</v>
      </c>
      <c r="U1366" s="96">
        <f>+VLOOKUP(PROVEEDORES[[#This Row],[PROVEEDOR]],Terceros!$A:$D,4,FALSE)</f>
        <v>0</v>
      </c>
      <c r="V1366" s="97">
        <f>+YEAR(PROVEEDORES[[#This Row],[FECHA DE FACTURACIÓN]])</f>
        <v>2022</v>
      </c>
      <c r="W1366" s="97">
        <f>+MATCH(PROVEEDORES[[#This Row],[año facturado]],Retenciones!$1:$1,0)</f>
        <v>5</v>
      </c>
      <c r="X1366" s="98">
        <f>+VLOOKUP(PROVEEDORES[[#This Row],[ID RETENCION]],Retenciones!$A$1:$O$25,PROVEEDORES[[#This Row],[indicador de columna]],FALSE)</f>
        <v>0</v>
      </c>
      <c r="Y1366" s="99">
        <f>+VLOOKUP(PROVEEDORES[[#This Row],[ID RETENCION]],Retenciones!$A$1:$O$25,2,FALSE)</f>
        <v>0</v>
      </c>
      <c r="Z1366" s="125" t="b">
        <f>OR(COUNTIF(PROVEEDORES[[#This Row],[PROVEEDOR]],"*"&amp;'Palabra no opera'!$A$2&amp;"*"))</f>
        <v>1</v>
      </c>
      <c r="AA1366" s="24"/>
      <c r="AB1366" s="24"/>
      <c r="AC1366" s="24"/>
      <c r="AD1366" s="24"/>
      <c r="AE1366" s="24"/>
    </row>
    <row r="1367" spans="1:31" ht="22.2" customHeight="1" x14ac:dyDescent="0.3">
      <c r="A1367" s="66" t="str">
        <f>+IF(PROVEEDORES[[#This Row],[FECHA DE PAGO]]=PROVEEDORES[[#This Row],[FECHA DE FACTURACIÓN]],"DE CONTADO","CRÉDITO")</f>
        <v>CRÉDITO</v>
      </c>
      <c r="B1367" s="38" t="b">
        <f>+IF((PROVEEDORES[[#This Row],[FECHA DE PAGO]]-PROVEEDORES[[#This Row],[FECHA DE FACTURACIÓN]])&gt;PROVEEDORES[[#This Row],[PLAZO Días]],"PAGO VENCIDO")</f>
        <v>0</v>
      </c>
      <c r="C1367" s="20">
        <f>+VLOOKUP(PROVEEDORES[[#This Row],[PROVEEDOR]],TERCEROS_INFO[#All],2,FALSE)</f>
        <v>45</v>
      </c>
      <c r="D1367" s="25">
        <f>+SUMIFS(PROVEEDORES[Total],PROVEEDORES[PROVEEDOR],PROVEEDORES[[#This Row],[PROVEEDOR]],PROVEEDORES[FECHA DE PAGO],"")</f>
        <v>0</v>
      </c>
      <c r="E1367" s="25"/>
      <c r="F1367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367" s="161">
        <v>44503</v>
      </c>
      <c r="H1367" s="26" t="s">
        <v>530</v>
      </c>
      <c r="I1367" s="161">
        <v>44490</v>
      </c>
      <c r="J1367" s="35" t="s">
        <v>502</v>
      </c>
      <c r="K1367" s="21">
        <v>1636363.8599999999</v>
      </c>
      <c r="L1367" s="21"/>
      <c r="M1367" s="22">
        <f>(PROVEEDORES[[#This Row],[SUBTOTAL]]-PROVEEDORES[[#This Row],[descuento sobre subtotal]])*VLOOKUP(PROVEEDORES[[#This Row],[PROVEEDOR]],TERCEROS_INFO[#All],3,FALSE)</f>
        <v>0</v>
      </c>
      <c r="N1367" s="23"/>
      <c r="O1367" s="22">
        <f>+PROVEEDORES[[#This Row],[Descuento sobre subtotal %]]*(PROVEEDORES[[#This Row],[SUBTOTAL]]-PROVEEDORES[[#This Row],[descuento sobre subtotal]])</f>
        <v>0</v>
      </c>
      <c r="P1367" s="83">
        <f>+IF(PROVEEDORES[[#This Row],[SUBTOTAL]]&lt;PROVEEDORES[[#This Row],[base retencion]],0,PROVEEDORES[[#This Row],[retención aplicada]])</f>
        <v>0</v>
      </c>
      <c r="Q1367" s="22">
        <f>+PROVEEDORES[[#This Row],[Rete Fuente %]]*(PROVEEDORES[[#This Row],[SUBTOTAL]]-PROVEEDORES[[#This Row],[descuento sobre subtotal]])</f>
        <v>0</v>
      </c>
      <c r="R1367" s="21">
        <f>+PROVEEDORES[[#This Row],[SUBTOTAL]]+PROVEEDORES[[#This Row],[IVA 19%]]-PROVEEDORES[[#This Row],[descuento sobre subtotal]]-PROVEEDORES[[#This Row],[Descuento sobre subtotal $2]]-PROVEEDORES[[#This Row],[Rete Fuente $]]</f>
        <v>1636363.8599999999</v>
      </c>
      <c r="S13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7" s="68">
        <f ca="1">IF(PROVEEDORES[[#This Row],[FECHA DE PAGO]]=0,TODAY()-PROVEEDORES[[#This Row],[FECHA DE FACTURACIÓN]]-PROVEEDORES[[#This Row],[PLAZO Días]],0)</f>
        <v>0</v>
      </c>
      <c r="U1367" s="96">
        <f>+VLOOKUP(PROVEEDORES[[#This Row],[PROVEEDOR]],Terceros!$A:$D,4,FALSE)</f>
        <v>0</v>
      </c>
      <c r="V1367" s="97">
        <f>+YEAR(PROVEEDORES[[#This Row],[FECHA DE FACTURACIÓN]])</f>
        <v>2021</v>
      </c>
      <c r="W1367" s="97">
        <f>+MATCH(PROVEEDORES[[#This Row],[año facturado]],Retenciones!$1:$1,0)</f>
        <v>4</v>
      </c>
      <c r="X1367" s="98">
        <f>+VLOOKUP(PROVEEDORES[[#This Row],[ID RETENCION]],Retenciones!$A$1:$O$25,PROVEEDORES[[#This Row],[indicador de columna]],FALSE)</f>
        <v>0</v>
      </c>
      <c r="Y1367" s="99">
        <f>+VLOOKUP(PROVEEDORES[[#This Row],[ID RETENCION]],Retenciones!$A$1:$O$25,2,FALSE)</f>
        <v>0</v>
      </c>
      <c r="Z1367" s="125" t="b">
        <f>OR(COUNTIF(PROVEEDORES[[#This Row],[PROVEEDOR]],"*"&amp;'Palabra no opera'!$A$2&amp;"*"))</f>
        <v>0</v>
      </c>
      <c r="AA1367" s="24"/>
      <c r="AB1367" s="24"/>
      <c r="AC1367" s="24"/>
      <c r="AD1367" s="24"/>
      <c r="AE1367" s="24"/>
    </row>
    <row r="1368" spans="1:31" ht="22.2" customHeight="1" x14ac:dyDescent="0.3">
      <c r="A1368" s="120" t="str">
        <f>+IF(PROVEEDORES[[#This Row],[FECHA DE PAGO]]=PROVEEDORES[[#This Row],[FECHA DE FACTURACIÓN]],"DE CONTADO","CRÉDITO")</f>
        <v>CRÉDITO</v>
      </c>
      <c r="B1368" s="38" t="str">
        <f>+IF((PROVEEDORES[[#This Row],[FECHA DE PAGO]]-PROVEEDORES[[#This Row],[FECHA DE FACTURACIÓN]])&gt;PROVEEDORES[[#This Row],[PLAZO Días]],"PAGO VENCIDO")</f>
        <v>PAGO VENCIDO</v>
      </c>
      <c r="C1368" s="20">
        <f>+VLOOKUP(PROVEEDORES[[#This Row],[PROVEEDOR]],TERCEROS_INFO[#All],2,FALSE)</f>
        <v>45</v>
      </c>
      <c r="D1368" s="25">
        <f>+SUMIFS(PROVEEDORES[Total],PROVEEDORES[PROVEEDOR],PROVEEDORES[[#This Row],[PROVEEDOR]],PROVEEDORES[FECHA DE PAGO],"")</f>
        <v>2604910</v>
      </c>
      <c r="E1368" s="25"/>
      <c r="F136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68" s="161">
        <v>44754</v>
      </c>
      <c r="H1368" s="26" t="s">
        <v>10</v>
      </c>
      <c r="I1368" s="161">
        <v>44672</v>
      </c>
      <c r="J1368" s="35" t="s">
        <v>887</v>
      </c>
      <c r="K1368" s="21">
        <v>1376000</v>
      </c>
      <c r="L1368" s="21"/>
      <c r="M1368" s="22">
        <f>(PROVEEDORES[[#This Row],[SUBTOTAL]]-PROVEEDORES[[#This Row],[descuento sobre subtotal]])*VLOOKUP(PROVEEDORES[[#This Row],[PROVEEDOR]],TERCEROS_INFO[#All],3,FALSE)</f>
        <v>261440</v>
      </c>
      <c r="N1368" s="23"/>
      <c r="O1368" s="22">
        <f>+PROVEEDORES[[#This Row],[Descuento sobre subtotal %]]*(PROVEEDORES[[#This Row],[SUBTOTAL]]-PROVEEDORES[[#This Row],[descuento sobre subtotal]])</f>
        <v>0</v>
      </c>
      <c r="P1368" s="83">
        <f>+IF(PROVEEDORES[[#This Row],[SUBTOTAL]]&lt;PROVEEDORES[[#This Row],[base retencion]],0,PROVEEDORES[[#This Row],[retención aplicada]])</f>
        <v>0</v>
      </c>
      <c r="Q1368" s="22">
        <f>+PROVEEDORES[[#This Row],[Rete Fuente %]]*(PROVEEDORES[[#This Row],[SUBTOTAL]]-PROVEEDORES[[#This Row],[descuento sobre subtotal]])</f>
        <v>0</v>
      </c>
      <c r="R1368" s="21">
        <f>+PROVEEDORES[[#This Row],[SUBTOTAL]]+PROVEEDORES[[#This Row],[IVA 19%]]-PROVEEDORES[[#This Row],[descuento sobre subtotal]]-PROVEEDORES[[#This Row],[Descuento sobre subtotal $2]]-PROVEEDORES[[#This Row],[Rete Fuente $]]</f>
        <v>1637440</v>
      </c>
      <c r="S13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8" s="68">
        <f ca="1">IF(PROVEEDORES[[#This Row],[FECHA DE PAGO]]=0,TODAY()-PROVEEDORES[[#This Row],[FECHA DE FACTURACIÓN]]-PROVEEDORES[[#This Row],[PLAZO Días]],0)</f>
        <v>0</v>
      </c>
      <c r="U1368" s="113">
        <f>+VLOOKUP(PROVEEDORES[[#This Row],[PROVEEDOR]],Terceros!$A:$D,4,FALSE)</f>
        <v>0</v>
      </c>
      <c r="V1368" s="114">
        <f>+YEAR(PROVEEDORES[[#This Row],[FECHA DE FACTURACIÓN]])</f>
        <v>2022</v>
      </c>
      <c r="W1368" s="114">
        <f>+MATCH(PROVEEDORES[[#This Row],[año facturado]],Retenciones!$1:$1,0)</f>
        <v>5</v>
      </c>
      <c r="X1368" s="115">
        <f>+VLOOKUP(PROVEEDORES[[#This Row],[ID RETENCION]],Retenciones!$A$1:$O$25,PROVEEDORES[[#This Row],[indicador de columna]],FALSE)</f>
        <v>0</v>
      </c>
      <c r="Y1368" s="116">
        <f>+VLOOKUP(PROVEEDORES[[#This Row],[ID RETENCION]],Retenciones!$A$1:$O$25,2,FALSE)</f>
        <v>0</v>
      </c>
      <c r="Z1368" s="125" t="b">
        <f>OR(COUNTIF(PROVEEDORES[[#This Row],[PROVEEDOR]],"*"&amp;'Palabra no opera'!$A$2&amp;"*"))</f>
        <v>0</v>
      </c>
      <c r="AA1368" s="24"/>
      <c r="AB1368" s="24"/>
      <c r="AC1368" s="24"/>
      <c r="AD1368" s="24"/>
      <c r="AE1368" s="24"/>
    </row>
    <row r="1369" spans="1:31" ht="22.2" customHeight="1" x14ac:dyDescent="0.3">
      <c r="A1369" s="66" t="str">
        <f>+IF(PROVEEDORES[[#This Row],[FECHA DE PAGO]]=PROVEEDORES[[#This Row],[FECHA DE FACTURACIÓN]],"DE CONTADO","CRÉDITO")</f>
        <v>CRÉDITO</v>
      </c>
      <c r="B1369" s="38" t="str">
        <f>+IF((PROVEEDORES[[#This Row],[FECHA DE PAGO]]-PROVEEDORES[[#This Row],[FECHA DE FACTURACIÓN]])&gt;PROVEEDORES[[#This Row],[PLAZO Días]],"PAGO VENCIDO")</f>
        <v>PAGO VENCIDO</v>
      </c>
      <c r="C1369" s="20">
        <f>+VLOOKUP(PROVEEDORES[[#This Row],[PROVEEDOR]],TERCEROS_INFO[#All],2,FALSE)</f>
        <v>30</v>
      </c>
      <c r="D1369" s="25">
        <f>+SUMIFS(PROVEEDORES[Total],PROVEEDORES[PROVEEDOR],PROVEEDORES[[#This Row],[PROVEEDOR]],PROVEEDORES[FECHA DE PAGO],"")</f>
        <v>0</v>
      </c>
      <c r="E1369" s="25"/>
      <c r="F136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69" s="161">
        <v>44476</v>
      </c>
      <c r="H1369" s="26" t="s">
        <v>20</v>
      </c>
      <c r="I1369" s="161">
        <v>44445</v>
      </c>
      <c r="J1369" s="35">
        <v>5004</v>
      </c>
      <c r="K1369" s="21">
        <v>1407490</v>
      </c>
      <c r="L1369" s="21"/>
      <c r="M1369" s="22">
        <f>(PROVEEDORES[[#This Row],[SUBTOTAL]]-PROVEEDORES[[#This Row],[descuento sobre subtotal]])*VLOOKUP(PROVEEDORES[[#This Row],[PROVEEDOR]],TERCEROS_INFO[#All],3,FALSE)</f>
        <v>267423.09999999998</v>
      </c>
      <c r="N1369" s="23"/>
      <c r="O1369" s="22">
        <f>+PROVEEDORES[[#This Row],[Descuento sobre subtotal %]]*(PROVEEDORES[[#This Row],[SUBTOTAL]]-PROVEEDORES[[#This Row],[descuento sobre subtotal]])</f>
        <v>0</v>
      </c>
      <c r="P1369" s="83">
        <f>+IF(PROVEEDORES[[#This Row],[SUBTOTAL]]&lt;PROVEEDORES[[#This Row],[base retencion]],0,PROVEEDORES[[#This Row],[retención aplicada]])</f>
        <v>2.5000000000000001E-2</v>
      </c>
      <c r="Q1369" s="22">
        <f>+PROVEEDORES[[#This Row],[Rete Fuente %]]*(PROVEEDORES[[#This Row],[SUBTOTAL]]-PROVEEDORES[[#This Row],[descuento sobre subtotal]])</f>
        <v>35187.25</v>
      </c>
      <c r="R1369" s="21">
        <f>+PROVEEDORES[[#This Row],[SUBTOTAL]]+PROVEEDORES[[#This Row],[IVA 19%]]-PROVEEDORES[[#This Row],[descuento sobre subtotal]]-PROVEEDORES[[#This Row],[Descuento sobre subtotal $2]]-PROVEEDORES[[#This Row],[Rete Fuente $]]</f>
        <v>1639725.85</v>
      </c>
      <c r="S13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9" s="68">
        <f ca="1">IF(PROVEEDORES[[#This Row],[FECHA DE PAGO]]=0,TODAY()-PROVEEDORES[[#This Row],[FECHA DE FACTURACIÓN]]-PROVEEDORES[[#This Row],[PLAZO Días]],0)</f>
        <v>0</v>
      </c>
      <c r="U1369" s="96" t="str">
        <f>+VLOOKUP(PROVEEDORES[[#This Row],[PROVEEDOR]],Terceros!$A:$D,4,FALSE)</f>
        <v>2,5% con base</v>
      </c>
      <c r="V1369" s="97">
        <f>+YEAR(PROVEEDORES[[#This Row],[FECHA DE FACTURACIÓN]])</f>
        <v>2021</v>
      </c>
      <c r="W1369" s="97">
        <f>+MATCH(PROVEEDORES[[#This Row],[año facturado]],Retenciones!$1:$1,0)</f>
        <v>4</v>
      </c>
      <c r="X1369" s="98">
        <f>+VLOOKUP(PROVEEDORES[[#This Row],[ID RETENCION]],Retenciones!$A$1:$O$25,PROVEEDORES[[#This Row],[indicador de columna]],FALSE)</f>
        <v>980000</v>
      </c>
      <c r="Y1369" s="99">
        <f>+VLOOKUP(PROVEEDORES[[#This Row],[ID RETENCION]],Retenciones!$A$1:$O$25,2,FALSE)</f>
        <v>2.5000000000000001E-2</v>
      </c>
      <c r="Z1369" s="125" t="b">
        <f>OR(COUNTIF(PROVEEDORES[[#This Row],[PROVEEDOR]],"*"&amp;'Palabra no opera'!$A$2&amp;"*"))</f>
        <v>0</v>
      </c>
      <c r="AA1369" s="24"/>
      <c r="AB1369" s="24"/>
      <c r="AC1369" s="24"/>
      <c r="AD1369" s="24"/>
      <c r="AE1369" s="24"/>
    </row>
    <row r="1370" spans="1:31" ht="22.2" customHeight="1" x14ac:dyDescent="0.3">
      <c r="A1370" s="66" t="str">
        <f>+IF(PROVEEDORES[[#This Row],[FECHA DE PAGO]]=PROVEEDORES[[#This Row],[FECHA DE FACTURACIÓN]],"DE CONTADO","CRÉDITO")</f>
        <v>CRÉDITO</v>
      </c>
      <c r="B1370" s="38" t="str">
        <f>+IF((PROVEEDORES[[#This Row],[FECHA DE PAGO]]-PROVEEDORES[[#This Row],[FECHA DE FACTURACIÓN]])&gt;PROVEEDORES[[#This Row],[PLAZO Días]],"PAGO VENCIDO")</f>
        <v>PAGO VENCIDO</v>
      </c>
      <c r="C1370" s="20">
        <f>+VLOOKUP(PROVEEDORES[[#This Row],[PROVEEDOR]],TERCEROS_INFO[#All],2,FALSE)</f>
        <v>45</v>
      </c>
      <c r="D1370" s="25">
        <f>+SUMIFS(PROVEEDORES[Total],PROVEEDORES[PROVEEDOR],PROVEEDORES[[#This Row],[PROVEEDOR]],PROVEEDORES[FECHA DE PAGO],"")</f>
        <v>2604910</v>
      </c>
      <c r="E1370" s="25"/>
      <c r="F137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70" s="161">
        <v>44411</v>
      </c>
      <c r="H1370" s="26" t="s">
        <v>10</v>
      </c>
      <c r="I1370" s="161">
        <v>44348</v>
      </c>
      <c r="J1370" s="35" t="s">
        <v>339</v>
      </c>
      <c r="K1370" s="21">
        <v>1381000</v>
      </c>
      <c r="L1370" s="21"/>
      <c r="M1370" s="22">
        <f>(PROVEEDORES[[#This Row],[SUBTOTAL]]-PROVEEDORES[[#This Row],[descuento sobre subtotal]])*VLOOKUP(PROVEEDORES[[#This Row],[PROVEEDOR]],TERCEROS_INFO[#All],3,FALSE)</f>
        <v>262390</v>
      </c>
      <c r="N1370" s="23"/>
      <c r="O1370" s="22">
        <f>+PROVEEDORES[[#This Row],[Descuento sobre subtotal %]]*(PROVEEDORES[[#This Row],[SUBTOTAL]]-PROVEEDORES[[#This Row],[descuento sobre subtotal]])</f>
        <v>0</v>
      </c>
      <c r="P1370" s="83">
        <f>+IF(PROVEEDORES[[#This Row],[SUBTOTAL]]&lt;PROVEEDORES[[#This Row],[base retencion]],0,PROVEEDORES[[#This Row],[retención aplicada]])</f>
        <v>0</v>
      </c>
      <c r="Q1370" s="22">
        <f>+PROVEEDORES[[#This Row],[Rete Fuente %]]*(PROVEEDORES[[#This Row],[SUBTOTAL]]-PROVEEDORES[[#This Row],[descuento sobre subtotal]])</f>
        <v>0</v>
      </c>
      <c r="R1370" s="21">
        <f>+PROVEEDORES[[#This Row],[SUBTOTAL]]+PROVEEDORES[[#This Row],[IVA 19%]]-PROVEEDORES[[#This Row],[descuento sobre subtotal]]-PROVEEDORES[[#This Row],[Descuento sobre subtotal $2]]-PROVEEDORES[[#This Row],[Rete Fuente $]]</f>
        <v>1643390</v>
      </c>
      <c r="S13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0" s="68">
        <f ca="1">IF(PROVEEDORES[[#This Row],[FECHA DE PAGO]]=0,TODAY()-PROVEEDORES[[#This Row],[FECHA DE FACTURACIÓN]]-PROVEEDORES[[#This Row],[PLAZO Días]],0)</f>
        <v>0</v>
      </c>
      <c r="U1370" s="96">
        <f>+VLOOKUP(PROVEEDORES[[#This Row],[PROVEEDOR]],Terceros!$A:$D,4,FALSE)</f>
        <v>0</v>
      </c>
      <c r="V1370" s="97">
        <f>+YEAR(PROVEEDORES[[#This Row],[FECHA DE FACTURACIÓN]])</f>
        <v>2021</v>
      </c>
      <c r="W1370" s="97">
        <f>+MATCH(PROVEEDORES[[#This Row],[año facturado]],Retenciones!$1:$1,0)</f>
        <v>4</v>
      </c>
      <c r="X1370" s="98">
        <f>+VLOOKUP(PROVEEDORES[[#This Row],[ID RETENCION]],Retenciones!$A$1:$O$25,PROVEEDORES[[#This Row],[indicador de columna]],FALSE)</f>
        <v>0</v>
      </c>
      <c r="Y1370" s="99">
        <f>+VLOOKUP(PROVEEDORES[[#This Row],[ID RETENCION]],Retenciones!$A$1:$O$25,2,FALSE)</f>
        <v>0</v>
      </c>
      <c r="Z1370" s="125" t="b">
        <f>OR(COUNTIF(PROVEEDORES[[#This Row],[PROVEEDOR]],"*"&amp;'Palabra no opera'!$A$2&amp;"*"))</f>
        <v>0</v>
      </c>
      <c r="AA1370" s="24"/>
      <c r="AB1370" s="24"/>
      <c r="AC1370" s="24"/>
      <c r="AD1370" s="24"/>
      <c r="AE1370" s="24"/>
    </row>
    <row r="1371" spans="1:31" ht="22.2" customHeight="1" x14ac:dyDescent="0.3">
      <c r="A1371" s="66" t="str">
        <f>+IF(PROVEEDORES[[#This Row],[FECHA DE PAGO]]=PROVEEDORES[[#This Row],[FECHA DE FACTURACIÓN]],"DE CONTADO","CRÉDITO")</f>
        <v>CRÉDITO</v>
      </c>
      <c r="B1371" s="38" t="str">
        <f>+IF((PROVEEDORES[[#This Row],[FECHA DE PAGO]]-PROVEEDORES[[#This Row],[FECHA DE FACTURACIÓN]])&gt;PROVEEDORES[[#This Row],[PLAZO Días]],"PAGO VENCIDO")</f>
        <v>PAGO VENCIDO</v>
      </c>
      <c r="C1371" s="20">
        <f>+VLOOKUP(PROVEEDORES[[#This Row],[PROVEEDOR]],TERCEROS_INFO[#All],2,FALSE)</f>
        <v>30</v>
      </c>
      <c r="D1371" s="25">
        <f>+SUMIFS(PROVEEDORES[Total],PROVEEDORES[PROVEEDOR],PROVEEDORES[[#This Row],[PROVEEDOR]],PROVEEDORES[FECHA DE PAGO],"")</f>
        <v>0</v>
      </c>
      <c r="E1371" s="25"/>
      <c r="F1371" s="58" t="str">
        <f>+VLOOKUP(PROVEEDORES[[#This Row],[PROVEEDOR]],
                       Terceros!$A:$F,
                       5,
                       FALSE)</f>
        <v/>
      </c>
      <c r="G1371" s="161">
        <v>44687</v>
      </c>
      <c r="H1371" s="26" t="s">
        <v>686</v>
      </c>
      <c r="I1371" s="161">
        <v>44644</v>
      </c>
      <c r="J1371" s="35" t="s">
        <v>726</v>
      </c>
      <c r="K1371" s="21">
        <v>1645000</v>
      </c>
      <c r="L1371" s="21"/>
      <c r="M1371" s="22">
        <f>(PROVEEDORES[[#This Row],[SUBTOTAL]]-PROVEEDORES[[#This Row],[descuento sobre subtotal]])*VLOOKUP(PROVEEDORES[[#This Row],[PROVEEDOR]],TERCEROS_INFO[#All],3,FALSE)</f>
        <v>0</v>
      </c>
      <c r="N1371" s="23"/>
      <c r="O1371" s="22">
        <f>+PROVEEDORES[[#This Row],[Descuento sobre subtotal %]]*(PROVEEDORES[[#This Row],[SUBTOTAL]]-PROVEEDORES[[#This Row],[descuento sobre subtotal]])</f>
        <v>0</v>
      </c>
      <c r="P1371" s="83">
        <f>+IF(PROVEEDORES[[#This Row],[SUBTOTAL]]&lt;PROVEEDORES[[#This Row],[base retencion]],0,PROVEEDORES[[#This Row],[retención aplicada]])</f>
        <v>0</v>
      </c>
      <c r="Q1371" s="22">
        <f>+PROVEEDORES[[#This Row],[Rete Fuente %]]*(PROVEEDORES[[#This Row],[SUBTOTAL]]-PROVEEDORES[[#This Row],[descuento sobre subtotal]])</f>
        <v>0</v>
      </c>
      <c r="R1371" s="21">
        <f>+PROVEEDORES[[#This Row],[SUBTOTAL]]+PROVEEDORES[[#This Row],[IVA 19%]]-PROVEEDORES[[#This Row],[descuento sobre subtotal]]-PROVEEDORES[[#This Row],[Descuento sobre subtotal $2]]-PROVEEDORES[[#This Row],[Rete Fuente $]]</f>
        <v>1645000</v>
      </c>
      <c r="S13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1" s="68">
        <f ca="1">IF(PROVEEDORES[[#This Row],[FECHA DE PAGO]]=0,TODAY()-PROVEEDORES[[#This Row],[FECHA DE FACTURACIÓN]]-PROVEEDORES[[#This Row],[PLAZO Días]],0)</f>
        <v>0</v>
      </c>
      <c r="U1371" s="96">
        <f>+VLOOKUP(PROVEEDORES[[#This Row],[PROVEEDOR]],Terceros!$A:$D,4,FALSE)</f>
        <v>0</v>
      </c>
      <c r="V1371" s="97">
        <f>+YEAR(PROVEEDORES[[#This Row],[FECHA DE FACTURACIÓN]])</f>
        <v>2022</v>
      </c>
      <c r="W1371" s="97">
        <f>+MATCH(PROVEEDORES[[#This Row],[año facturado]],Retenciones!$1:$1,0)</f>
        <v>5</v>
      </c>
      <c r="X1371" s="98">
        <f>+VLOOKUP(PROVEEDORES[[#This Row],[ID RETENCION]],Retenciones!$A$1:$O$25,PROVEEDORES[[#This Row],[indicador de columna]],FALSE)</f>
        <v>0</v>
      </c>
      <c r="Y1371" s="99">
        <f>+VLOOKUP(PROVEEDORES[[#This Row],[ID RETENCION]],Retenciones!$A$1:$O$25,2,FALSE)</f>
        <v>0</v>
      </c>
      <c r="Z1371" s="125" t="b">
        <f>OR(COUNTIF(PROVEEDORES[[#This Row],[PROVEEDOR]],"*"&amp;'Palabra no opera'!$A$2&amp;"*"))</f>
        <v>0</v>
      </c>
      <c r="AA1371" s="24"/>
      <c r="AB1371" s="24"/>
      <c r="AC1371" s="24"/>
      <c r="AD1371" s="24"/>
      <c r="AE1371" s="24"/>
    </row>
    <row r="1372" spans="1:31" ht="22.2" customHeight="1" x14ac:dyDescent="0.3">
      <c r="A1372" s="66" t="str">
        <f>+IF(PROVEEDORES[[#This Row],[FECHA DE PAGO]]=PROVEEDORES[[#This Row],[FECHA DE FACTURACIÓN]],"DE CONTADO","CRÉDITO")</f>
        <v>DE CONTADO</v>
      </c>
      <c r="B1372" s="38" t="b">
        <f>+IF((PROVEEDORES[[#This Row],[FECHA DE PAGO]]-PROVEEDORES[[#This Row],[FECHA DE FACTURACIÓN]])&gt;PROVEEDORES[[#This Row],[PLAZO Días]],"PAGO VENCIDO")</f>
        <v>0</v>
      </c>
      <c r="C1372" s="20">
        <f>+VLOOKUP(PROVEEDORES[[#This Row],[PROVEEDOR]],TERCEROS_INFO[#All],2,FALSE)</f>
        <v>30</v>
      </c>
      <c r="D1372" s="25">
        <f>+SUMIFS(PROVEEDORES[Total],PROVEEDORES[PROVEEDOR],PROVEEDORES[[#This Row],[PROVEEDOR]],PROVEEDORES[FECHA DE PAGO],"")</f>
        <v>0</v>
      </c>
      <c r="E1372" s="25"/>
      <c r="F1372" s="58" t="str">
        <f>+VLOOKUP(PROVEEDORES[[#This Row],[PROVEEDOR]],
                       Terceros!$A:$F,
                       5,
                       FALSE)</f>
        <v/>
      </c>
      <c r="G1372" s="161">
        <v>44393</v>
      </c>
      <c r="H1372" s="26" t="s">
        <v>661</v>
      </c>
      <c r="I1372" s="161">
        <v>44393</v>
      </c>
      <c r="J1372" s="35" t="s">
        <v>1271</v>
      </c>
      <c r="K1372" s="21">
        <v>1648000</v>
      </c>
      <c r="L1372" s="21"/>
      <c r="M1372" s="22">
        <f>(PROVEEDORES[[#This Row],[SUBTOTAL]]-PROVEEDORES[[#This Row],[descuento sobre subtotal]])*VLOOKUP(PROVEEDORES[[#This Row],[PROVEEDOR]],TERCEROS_INFO[#All],3,FALSE)</f>
        <v>0</v>
      </c>
      <c r="N1372" s="23"/>
      <c r="O1372" s="22">
        <f>+PROVEEDORES[[#This Row],[Descuento sobre subtotal %]]*(PROVEEDORES[[#This Row],[SUBTOTAL]]-PROVEEDORES[[#This Row],[descuento sobre subtotal]])</f>
        <v>0</v>
      </c>
      <c r="P1372" s="83">
        <f>+IF(PROVEEDORES[[#This Row],[SUBTOTAL]]&lt;PROVEEDORES[[#This Row],[base retencion]],0,PROVEEDORES[[#This Row],[retención aplicada]])</f>
        <v>0</v>
      </c>
      <c r="Q1372" s="22">
        <f>+PROVEEDORES[[#This Row],[Rete Fuente %]]*(PROVEEDORES[[#This Row],[SUBTOTAL]]-PROVEEDORES[[#This Row],[descuento sobre subtotal]])</f>
        <v>0</v>
      </c>
      <c r="R1372" s="21">
        <f>+PROVEEDORES[[#This Row],[SUBTOTAL]]+PROVEEDORES[[#This Row],[IVA 19%]]-PROVEEDORES[[#This Row],[descuento sobre subtotal]]-PROVEEDORES[[#This Row],[Descuento sobre subtotal $2]]-PROVEEDORES[[#This Row],[Rete Fuente $]]</f>
        <v>1648000</v>
      </c>
      <c r="S13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2" s="68">
        <f ca="1">IF(PROVEEDORES[[#This Row],[FECHA DE PAGO]]=0,TODAY()-PROVEEDORES[[#This Row],[FECHA DE FACTURACIÓN]]-PROVEEDORES[[#This Row],[PLAZO Días]],0)</f>
        <v>0</v>
      </c>
      <c r="U1372" s="96">
        <f>+VLOOKUP(PROVEEDORES[[#This Row],[PROVEEDOR]],Terceros!$A:$D,4,FALSE)</f>
        <v>0</v>
      </c>
      <c r="V1372" s="97">
        <f>+YEAR(PROVEEDORES[[#This Row],[FECHA DE FACTURACIÓN]])</f>
        <v>2021</v>
      </c>
      <c r="W1372" s="97">
        <f>+MATCH(PROVEEDORES[[#This Row],[año facturado]],Retenciones!$1:$1,0)</f>
        <v>4</v>
      </c>
      <c r="X1372" s="98">
        <f>+VLOOKUP(PROVEEDORES[[#This Row],[ID RETENCION]],Retenciones!$A$1:$O$25,PROVEEDORES[[#This Row],[indicador de columna]],FALSE)</f>
        <v>0</v>
      </c>
      <c r="Y1372" s="99">
        <f>+VLOOKUP(PROVEEDORES[[#This Row],[ID RETENCION]],Retenciones!$A$1:$O$25,2,FALSE)</f>
        <v>0</v>
      </c>
      <c r="Z1372" s="125" t="b">
        <f>OR(COUNTIF(PROVEEDORES[[#This Row],[PROVEEDOR]],"*"&amp;'Palabra no opera'!$A$2&amp;"*"))</f>
        <v>0</v>
      </c>
      <c r="AA1372" s="24"/>
      <c r="AB1372" s="24"/>
      <c r="AC1372" s="24"/>
      <c r="AD1372" s="24"/>
      <c r="AE1372" s="24"/>
    </row>
    <row r="1373" spans="1:31" ht="22.2" customHeight="1" x14ac:dyDescent="0.3">
      <c r="A1373" s="66" t="str">
        <f>+IF(PROVEEDORES[[#This Row],[FECHA DE PAGO]]=PROVEEDORES[[#This Row],[FECHA DE FACTURACIÓN]],"DE CONTADO","CRÉDITO")</f>
        <v>CRÉDITO</v>
      </c>
      <c r="B1373" s="38" t="b">
        <f>+IF((PROVEEDORES[[#This Row],[FECHA DE PAGO]]-PROVEEDORES[[#This Row],[FECHA DE FACTURACIÓN]])&gt;PROVEEDORES[[#This Row],[PLAZO Días]],"PAGO VENCIDO")</f>
        <v>0</v>
      </c>
      <c r="C1373" s="20">
        <f>+VLOOKUP(PROVEEDORES[[#This Row],[PROVEEDOR]],TERCEROS_INFO[#All],2,FALSE)</f>
        <v>30</v>
      </c>
      <c r="D1373" s="25">
        <f>+SUMIFS(PROVEEDORES[Total],PROVEEDORES[PROVEEDOR],PROVEEDORES[[#This Row],[PROVEEDOR]],PROVEEDORES[FECHA DE PAGO],"")</f>
        <v>0</v>
      </c>
      <c r="E1373" s="25"/>
      <c r="F1373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373" s="161">
        <v>44279</v>
      </c>
      <c r="H1373" s="26" t="s">
        <v>114</v>
      </c>
      <c r="I1373" s="161">
        <v>44277</v>
      </c>
      <c r="J1373" s="35" t="s">
        <v>248</v>
      </c>
      <c r="K1373" s="21">
        <v>1649000</v>
      </c>
      <c r="L1373" s="21"/>
      <c r="M1373" s="22">
        <f>(PROVEEDORES[[#This Row],[SUBTOTAL]]-PROVEEDORES[[#This Row],[descuento sobre subtotal]])*VLOOKUP(PROVEEDORES[[#This Row],[PROVEEDOR]],TERCEROS_INFO[#All],3,FALSE)</f>
        <v>0</v>
      </c>
      <c r="N1373" s="23"/>
      <c r="O1373" s="22">
        <f>+PROVEEDORES[[#This Row],[Descuento sobre subtotal %]]*(PROVEEDORES[[#This Row],[SUBTOTAL]]-PROVEEDORES[[#This Row],[descuento sobre subtotal]])</f>
        <v>0</v>
      </c>
      <c r="P1373" s="83">
        <f>+IF(PROVEEDORES[[#This Row],[SUBTOTAL]]&lt;PROVEEDORES[[#This Row],[base retencion]],0,PROVEEDORES[[#This Row],[retención aplicada]])</f>
        <v>0</v>
      </c>
      <c r="Q1373" s="22">
        <f>+PROVEEDORES[[#This Row],[Rete Fuente %]]*(PROVEEDORES[[#This Row],[SUBTOTAL]]-PROVEEDORES[[#This Row],[descuento sobre subtotal]])</f>
        <v>0</v>
      </c>
      <c r="R1373" s="21">
        <f>+PROVEEDORES[[#This Row],[SUBTOTAL]]+PROVEEDORES[[#This Row],[IVA 19%]]-PROVEEDORES[[#This Row],[descuento sobre subtotal]]-PROVEEDORES[[#This Row],[Descuento sobre subtotal $2]]-PROVEEDORES[[#This Row],[Rete Fuente $]]</f>
        <v>1649000</v>
      </c>
      <c r="S13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3" s="68">
        <f ca="1">IF(PROVEEDORES[[#This Row],[FECHA DE PAGO]]=0,TODAY()-PROVEEDORES[[#This Row],[FECHA DE FACTURACIÓN]]-PROVEEDORES[[#This Row],[PLAZO Días]],0)</f>
        <v>0</v>
      </c>
      <c r="U1373" s="96">
        <f>+VLOOKUP(PROVEEDORES[[#This Row],[PROVEEDOR]],Terceros!$A:$D,4,FALSE)</f>
        <v>0</v>
      </c>
      <c r="V1373" s="97">
        <f>+YEAR(PROVEEDORES[[#This Row],[FECHA DE FACTURACIÓN]])</f>
        <v>2021</v>
      </c>
      <c r="W1373" s="97">
        <f>+MATCH(PROVEEDORES[[#This Row],[año facturado]],Retenciones!$1:$1,0)</f>
        <v>4</v>
      </c>
      <c r="X1373" s="98">
        <f>+VLOOKUP(PROVEEDORES[[#This Row],[ID RETENCION]],Retenciones!$A$1:$O$25,PROVEEDORES[[#This Row],[indicador de columna]],FALSE)</f>
        <v>0</v>
      </c>
      <c r="Y1373" s="99">
        <f>+VLOOKUP(PROVEEDORES[[#This Row],[ID RETENCION]],Retenciones!$A$1:$O$25,2,FALSE)</f>
        <v>0</v>
      </c>
      <c r="Z1373" s="125" t="b">
        <f>OR(COUNTIF(PROVEEDORES[[#This Row],[PROVEEDOR]],"*"&amp;'Palabra no opera'!$A$2&amp;"*"))</f>
        <v>0</v>
      </c>
      <c r="AA1373" s="24"/>
      <c r="AB1373" s="24"/>
      <c r="AC1373" s="24"/>
      <c r="AD1373" s="24"/>
      <c r="AE1373" s="24"/>
    </row>
    <row r="1374" spans="1:31" ht="22.2" customHeight="1" x14ac:dyDescent="0.3">
      <c r="A1374" s="66" t="str">
        <f>+IF(PROVEEDORES[[#This Row],[FECHA DE PAGO]]=PROVEEDORES[[#This Row],[FECHA DE FACTURACIÓN]],"DE CONTADO","CRÉDITO")</f>
        <v>CRÉDITO</v>
      </c>
      <c r="B1374" s="38" t="str">
        <f>+IF((PROVEEDORES[[#This Row],[FECHA DE PAGO]]-PROVEEDORES[[#This Row],[FECHA DE FACTURACIÓN]])&gt;PROVEEDORES[[#This Row],[PLAZO Días]],"PAGO VENCIDO")</f>
        <v>PAGO VENCIDO</v>
      </c>
      <c r="C1374" s="20">
        <f>+VLOOKUP(PROVEEDORES[[#This Row],[PROVEEDOR]],TERCEROS_INFO[#All],2,FALSE)</f>
        <v>45</v>
      </c>
      <c r="D1374" s="25">
        <f>+SUMIFS(PROVEEDORES[Total],PROVEEDORES[PROVEEDOR],PROVEEDORES[[#This Row],[PROVEEDOR]],PROVEEDORES[FECHA DE PAGO],"")</f>
        <v>2604910</v>
      </c>
      <c r="E1374" s="25"/>
      <c r="F137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74" s="161">
        <v>44257</v>
      </c>
      <c r="H1374" s="26" t="s">
        <v>10</v>
      </c>
      <c r="I1374" s="161">
        <v>44187</v>
      </c>
      <c r="J1374" s="35" t="s">
        <v>91</v>
      </c>
      <c r="K1374" s="21">
        <v>1386000</v>
      </c>
      <c r="L1374" s="21"/>
      <c r="M1374" s="22">
        <f>(PROVEEDORES[[#This Row],[SUBTOTAL]]-PROVEEDORES[[#This Row],[descuento sobre subtotal]])*VLOOKUP(PROVEEDORES[[#This Row],[PROVEEDOR]],TERCEROS_INFO[#All],3,FALSE)</f>
        <v>263340</v>
      </c>
      <c r="N1374" s="23"/>
      <c r="O1374" s="22">
        <f>+PROVEEDORES[[#This Row],[Descuento sobre subtotal %]]*(PROVEEDORES[[#This Row],[SUBTOTAL]]-PROVEEDORES[[#This Row],[descuento sobre subtotal]])</f>
        <v>0</v>
      </c>
      <c r="P1374" s="83">
        <f>+IF(PROVEEDORES[[#This Row],[SUBTOTAL]]&lt;PROVEEDORES[[#This Row],[base retencion]],0,PROVEEDORES[[#This Row],[retención aplicada]])</f>
        <v>0</v>
      </c>
      <c r="Q1374" s="22">
        <f>+PROVEEDORES[[#This Row],[Rete Fuente %]]*(PROVEEDORES[[#This Row],[SUBTOTAL]]-PROVEEDORES[[#This Row],[descuento sobre subtotal]])</f>
        <v>0</v>
      </c>
      <c r="R1374" s="21">
        <f>+PROVEEDORES[[#This Row],[SUBTOTAL]]+PROVEEDORES[[#This Row],[IVA 19%]]-PROVEEDORES[[#This Row],[descuento sobre subtotal]]-PROVEEDORES[[#This Row],[Descuento sobre subtotal $2]]-PROVEEDORES[[#This Row],[Rete Fuente $]]</f>
        <v>1649340</v>
      </c>
      <c r="S13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4" s="68">
        <f ca="1">IF(PROVEEDORES[[#This Row],[FECHA DE PAGO]]=0,TODAY()-PROVEEDORES[[#This Row],[FECHA DE FACTURACIÓN]]-PROVEEDORES[[#This Row],[PLAZO Días]],0)</f>
        <v>0</v>
      </c>
      <c r="U1374" s="96">
        <f>+VLOOKUP(PROVEEDORES[[#This Row],[PROVEEDOR]],Terceros!$A:$D,4,FALSE)</f>
        <v>0</v>
      </c>
      <c r="V1374" s="97">
        <f>+YEAR(PROVEEDORES[[#This Row],[FECHA DE FACTURACIÓN]])</f>
        <v>2020</v>
      </c>
      <c r="W1374" s="97">
        <f>+MATCH(PROVEEDORES[[#This Row],[año facturado]],Retenciones!$1:$1,0)</f>
        <v>3</v>
      </c>
      <c r="X1374" s="98">
        <f>+VLOOKUP(PROVEEDORES[[#This Row],[ID RETENCION]],Retenciones!$A$1:$O$25,PROVEEDORES[[#This Row],[indicador de columna]],FALSE)</f>
        <v>0</v>
      </c>
      <c r="Y1374" s="99">
        <f>+VLOOKUP(PROVEEDORES[[#This Row],[ID RETENCION]],Retenciones!$A$1:$O$25,2,FALSE)</f>
        <v>0</v>
      </c>
      <c r="Z1374" s="125" t="b">
        <f>OR(COUNTIF(PROVEEDORES[[#This Row],[PROVEEDOR]],"*"&amp;'Palabra no opera'!$A$2&amp;"*"))</f>
        <v>0</v>
      </c>
      <c r="AA1374" s="24"/>
      <c r="AB1374" s="24"/>
      <c r="AC1374" s="24"/>
      <c r="AD1374" s="24"/>
      <c r="AE1374" s="24"/>
    </row>
    <row r="1375" spans="1:31" ht="22.2" customHeight="1" x14ac:dyDescent="0.3">
      <c r="A1375" s="66" t="str">
        <f>+IF(PROVEEDORES[[#This Row],[FECHA DE PAGO]]=PROVEEDORES[[#This Row],[FECHA DE FACTURACIÓN]],"DE CONTADO","CRÉDITO")</f>
        <v>CRÉDITO</v>
      </c>
      <c r="B1375" s="38" t="str">
        <f>+IF((PROVEEDORES[[#This Row],[FECHA DE PAGO]]-PROVEEDORES[[#This Row],[FECHA DE FACTURACIÓN]])&gt;PROVEEDORES[[#This Row],[PLAZO Días]],"PAGO VENCIDO")</f>
        <v>PAGO VENCIDO</v>
      </c>
      <c r="C1375" s="20">
        <f>+VLOOKUP(PROVEEDORES[[#This Row],[PROVEEDOR]],TERCEROS_INFO[#All],2,FALSE)</f>
        <v>45</v>
      </c>
      <c r="D1375" s="25">
        <f>+SUMIFS(PROVEEDORES[Total],PROVEEDORES[PROVEEDOR],PROVEEDORES[[#This Row],[PROVEEDOR]],PROVEEDORES[FECHA DE PAGO],"")</f>
        <v>2604910</v>
      </c>
      <c r="E1375" s="25"/>
      <c r="F137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75" s="161">
        <v>44342</v>
      </c>
      <c r="H1375" s="26" t="s">
        <v>10</v>
      </c>
      <c r="I1375" s="161">
        <v>44270</v>
      </c>
      <c r="J1375" s="35" t="s">
        <v>242</v>
      </c>
      <c r="K1375" s="21">
        <v>1386000</v>
      </c>
      <c r="L1375" s="21"/>
      <c r="M1375" s="22">
        <f>(PROVEEDORES[[#This Row],[SUBTOTAL]]-PROVEEDORES[[#This Row],[descuento sobre subtotal]])*VLOOKUP(PROVEEDORES[[#This Row],[PROVEEDOR]],TERCEROS_INFO[#All],3,FALSE)</f>
        <v>263340</v>
      </c>
      <c r="N1375" s="23"/>
      <c r="O1375" s="22">
        <f>+PROVEEDORES[[#This Row],[Descuento sobre subtotal %]]*(PROVEEDORES[[#This Row],[SUBTOTAL]]-PROVEEDORES[[#This Row],[descuento sobre subtotal]])</f>
        <v>0</v>
      </c>
      <c r="P1375" s="83">
        <f>+IF(PROVEEDORES[[#This Row],[SUBTOTAL]]&lt;PROVEEDORES[[#This Row],[base retencion]],0,PROVEEDORES[[#This Row],[retención aplicada]])</f>
        <v>0</v>
      </c>
      <c r="Q1375" s="22">
        <f>+PROVEEDORES[[#This Row],[Rete Fuente %]]*(PROVEEDORES[[#This Row],[SUBTOTAL]]-PROVEEDORES[[#This Row],[descuento sobre subtotal]])</f>
        <v>0</v>
      </c>
      <c r="R1375" s="21">
        <f>+PROVEEDORES[[#This Row],[SUBTOTAL]]+PROVEEDORES[[#This Row],[IVA 19%]]-PROVEEDORES[[#This Row],[descuento sobre subtotal]]-PROVEEDORES[[#This Row],[Descuento sobre subtotal $2]]-PROVEEDORES[[#This Row],[Rete Fuente $]]</f>
        <v>1649340</v>
      </c>
      <c r="S13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5" s="68">
        <f ca="1">IF(PROVEEDORES[[#This Row],[FECHA DE PAGO]]=0,TODAY()-PROVEEDORES[[#This Row],[FECHA DE FACTURACIÓN]]-PROVEEDORES[[#This Row],[PLAZO Días]],0)</f>
        <v>0</v>
      </c>
      <c r="U1375" s="96">
        <f>+VLOOKUP(PROVEEDORES[[#This Row],[PROVEEDOR]],Terceros!$A:$D,4,FALSE)</f>
        <v>0</v>
      </c>
      <c r="V1375" s="97">
        <f>+YEAR(PROVEEDORES[[#This Row],[FECHA DE FACTURACIÓN]])</f>
        <v>2021</v>
      </c>
      <c r="W1375" s="97">
        <f>+MATCH(PROVEEDORES[[#This Row],[año facturado]],Retenciones!$1:$1,0)</f>
        <v>4</v>
      </c>
      <c r="X1375" s="98">
        <f>+VLOOKUP(PROVEEDORES[[#This Row],[ID RETENCION]],Retenciones!$A$1:$O$25,PROVEEDORES[[#This Row],[indicador de columna]],FALSE)</f>
        <v>0</v>
      </c>
      <c r="Y1375" s="99">
        <f>+VLOOKUP(PROVEEDORES[[#This Row],[ID RETENCION]],Retenciones!$A$1:$O$25,2,FALSE)</f>
        <v>0</v>
      </c>
      <c r="Z1375" s="125" t="b">
        <f>OR(COUNTIF(PROVEEDORES[[#This Row],[PROVEEDOR]],"*"&amp;'Palabra no opera'!$A$2&amp;"*"))</f>
        <v>0</v>
      </c>
      <c r="AA1375" s="24"/>
      <c r="AB1375" s="24"/>
      <c r="AC1375" s="24"/>
      <c r="AD1375" s="24"/>
      <c r="AE1375" s="24"/>
    </row>
    <row r="1376" spans="1:31" ht="22.2" customHeight="1" x14ac:dyDescent="0.3">
      <c r="A1376" s="133" t="str">
        <f>+IF(PROVEEDORES[[#This Row],[FECHA DE PAGO]]=PROVEEDORES[[#This Row],[FECHA DE FACTURACIÓN]],"DE CONTADO","CRÉDITO")</f>
        <v>CRÉDITO</v>
      </c>
      <c r="B1376" s="38" t="b">
        <f>+IF((PROVEEDORES[[#This Row],[FECHA DE PAGO]]-PROVEEDORES[[#This Row],[FECHA DE FACTURACIÓN]])&gt;PROVEEDORES[[#This Row],[PLAZO Días]],"PAGO VENCIDO")</f>
        <v>0</v>
      </c>
      <c r="C1376" s="20">
        <f>+VLOOKUP(PROVEEDORES[[#This Row],[PROVEEDOR]],TERCEROS_INFO[#All],2,FALSE)</f>
        <v>30</v>
      </c>
      <c r="D1376" s="25">
        <f>+SUMIFS(PROVEEDORES[Total],PROVEEDORES[PROVEEDOR],PROVEEDORES[[#This Row],[PROVEEDOR]],PROVEEDORES[FECHA DE PAGO],"")</f>
        <v>0</v>
      </c>
      <c r="E1376" s="25"/>
      <c r="F137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76" s="161">
        <v>44707</v>
      </c>
      <c r="H1376" s="26" t="s">
        <v>918</v>
      </c>
      <c r="I1376" s="161">
        <v>44682</v>
      </c>
      <c r="J1376" s="35">
        <v>10533</v>
      </c>
      <c r="K1376" s="21">
        <v>1649859</v>
      </c>
      <c r="L1376" s="21"/>
      <c r="M1376" s="22">
        <f>(PROVEEDORES[[#This Row],[SUBTOTAL]]-PROVEEDORES[[#This Row],[descuento sobre subtotal]])*VLOOKUP(PROVEEDORES[[#This Row],[PROVEEDOR]],TERCEROS_INFO[#All],3,FALSE)</f>
        <v>0</v>
      </c>
      <c r="N1376" s="23"/>
      <c r="O1376" s="22">
        <f>+PROVEEDORES[[#This Row],[Descuento sobre subtotal %]]*(PROVEEDORES[[#This Row],[SUBTOTAL]]-PROVEEDORES[[#This Row],[descuento sobre subtotal]])</f>
        <v>0</v>
      </c>
      <c r="P1376" s="83">
        <f>+IF(PROVEEDORES[[#This Row],[SUBTOTAL]]&lt;PROVEEDORES[[#This Row],[base retencion]],0,PROVEEDORES[[#This Row],[retención aplicada]])</f>
        <v>0</v>
      </c>
      <c r="Q1376" s="22">
        <f>+PROVEEDORES[[#This Row],[Rete Fuente %]]*(PROVEEDORES[[#This Row],[SUBTOTAL]]-PROVEEDORES[[#This Row],[descuento sobre subtotal]])</f>
        <v>0</v>
      </c>
      <c r="R1376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76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6" s="68">
        <f ca="1">IF(PROVEEDORES[[#This Row],[FECHA DE PAGO]]=0,TODAY()-PROVEEDORES[[#This Row],[FECHA DE FACTURACIÓN]]-PROVEEDORES[[#This Row],[PLAZO Días]],0)</f>
        <v>0</v>
      </c>
      <c r="U1376" s="113">
        <f>+VLOOKUP(PROVEEDORES[[#This Row],[PROVEEDOR]],Terceros!$A:$D,4,FALSE)</f>
        <v>0</v>
      </c>
      <c r="V1376" s="114">
        <f>+YEAR(PROVEEDORES[[#This Row],[FECHA DE FACTURACIÓN]])</f>
        <v>2022</v>
      </c>
      <c r="W1376" s="114">
        <f>+MATCH(PROVEEDORES[[#This Row],[año facturado]],Retenciones!$1:$1,0)</f>
        <v>5</v>
      </c>
      <c r="X1376" s="115">
        <f>+VLOOKUP(PROVEEDORES[[#This Row],[ID RETENCION]],Retenciones!$A$1:$O$25,PROVEEDORES[[#This Row],[indicador de columna]],FALSE)</f>
        <v>0</v>
      </c>
      <c r="Y1376" s="116">
        <f>+VLOOKUP(PROVEEDORES[[#This Row],[ID RETENCION]],Retenciones!$A$1:$O$25,2,FALSE)</f>
        <v>0</v>
      </c>
      <c r="Z1376" s="125" t="b">
        <f>OR(COUNTIF(PROVEEDORES[[#This Row],[PROVEEDOR]],"*"&amp;'Palabra no opera'!$A$2&amp;"*"))</f>
        <v>1</v>
      </c>
      <c r="AA1376" s="24"/>
      <c r="AB1376" s="24"/>
      <c r="AC1376" s="24"/>
      <c r="AD1376" s="24"/>
      <c r="AE1376" s="24"/>
    </row>
    <row r="1377" spans="1:31" ht="22.2" customHeight="1" x14ac:dyDescent="0.3">
      <c r="A1377" s="159" t="str">
        <f>+IF(PROVEEDORES[[#This Row],[FECHA DE PAGO]]=PROVEEDORES[[#This Row],[FECHA DE FACTURACIÓN]],"DE CONTADO","CRÉDITO")</f>
        <v>CRÉDITO</v>
      </c>
      <c r="B1377" s="38" t="b">
        <f>+IF((PROVEEDORES[[#This Row],[FECHA DE PAGO]]-PROVEEDORES[[#This Row],[FECHA DE FACTURACIÓN]])&gt;PROVEEDORES[[#This Row],[PLAZO Días]],"PAGO VENCIDO")</f>
        <v>0</v>
      </c>
      <c r="C1377" s="20">
        <f>+VLOOKUP(PROVEEDORES[[#This Row],[PROVEEDOR]],TERCEROS_INFO[#All],2,FALSE)</f>
        <v>30</v>
      </c>
      <c r="D1377" s="25">
        <f>+SUMIFS(PROVEEDORES[Total],PROVEEDORES[PROVEEDOR],PROVEEDORES[[#This Row],[PROVEEDOR]],PROVEEDORES[FECHA DE PAGO],"")</f>
        <v>0</v>
      </c>
      <c r="E1377" s="25"/>
      <c r="F137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77" s="161">
        <v>44741</v>
      </c>
      <c r="H1377" s="26" t="s">
        <v>918</v>
      </c>
      <c r="I1377" s="161">
        <v>44713</v>
      </c>
      <c r="J1377" s="35">
        <v>10747</v>
      </c>
      <c r="K1377" s="21">
        <v>1649859</v>
      </c>
      <c r="L1377" s="21"/>
      <c r="M1377" s="22">
        <f>(PROVEEDORES[[#This Row],[SUBTOTAL]]-PROVEEDORES[[#This Row],[descuento sobre subtotal]])*VLOOKUP(PROVEEDORES[[#This Row],[PROVEEDOR]],TERCEROS_INFO[#All],3,FALSE)</f>
        <v>0</v>
      </c>
      <c r="N1377" s="23"/>
      <c r="O1377" s="22">
        <f>+PROVEEDORES[[#This Row],[Descuento sobre subtotal %]]*(PROVEEDORES[[#This Row],[SUBTOTAL]]-PROVEEDORES[[#This Row],[descuento sobre subtotal]])</f>
        <v>0</v>
      </c>
      <c r="P1377" s="83">
        <f>+IF(PROVEEDORES[[#This Row],[SUBTOTAL]]&lt;PROVEEDORES[[#This Row],[base retencion]],0,PROVEEDORES[[#This Row],[retención aplicada]])</f>
        <v>0</v>
      </c>
      <c r="Q1377" s="22">
        <f>+PROVEEDORES[[#This Row],[Rete Fuente %]]*(PROVEEDORES[[#This Row],[SUBTOTAL]]-PROVEEDORES[[#This Row],[descuento sobre subtotal]])</f>
        <v>0</v>
      </c>
      <c r="R1377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7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7" s="68">
        <f ca="1">IF(PROVEEDORES[[#This Row],[FECHA DE PAGO]]=0,TODAY()-PROVEEDORES[[#This Row],[FECHA DE FACTURACIÓN]]-PROVEEDORES[[#This Row],[PLAZO Días]],0)</f>
        <v>0</v>
      </c>
      <c r="U1377" s="113">
        <f>+VLOOKUP(PROVEEDORES[[#This Row],[PROVEEDOR]],Terceros!$A:$D,4,FALSE)</f>
        <v>0</v>
      </c>
      <c r="V1377" s="114">
        <f>+YEAR(PROVEEDORES[[#This Row],[FECHA DE FACTURACIÓN]])</f>
        <v>2022</v>
      </c>
      <c r="W1377" s="114">
        <f>+MATCH(PROVEEDORES[[#This Row],[año facturado]],Retenciones!$1:$1,0)</f>
        <v>5</v>
      </c>
      <c r="X1377" s="115">
        <f>+VLOOKUP(PROVEEDORES[[#This Row],[ID RETENCION]],Retenciones!$A$1:$O$25,PROVEEDORES[[#This Row],[indicador de columna]],FALSE)</f>
        <v>0</v>
      </c>
      <c r="Y1377" s="116">
        <f>+VLOOKUP(PROVEEDORES[[#This Row],[ID RETENCION]],Retenciones!$A$1:$O$25,2,FALSE)</f>
        <v>0</v>
      </c>
      <c r="Z1377" s="125" t="b">
        <f>OR(COUNTIF(PROVEEDORES[[#This Row],[PROVEEDOR]],"*"&amp;'Palabra no opera'!$A$2&amp;"*"))</f>
        <v>1</v>
      </c>
      <c r="AA1377" s="24"/>
      <c r="AB1377" s="24"/>
      <c r="AC1377" s="24"/>
      <c r="AD1377" s="24"/>
      <c r="AE1377" s="24"/>
    </row>
    <row r="1378" spans="1:31" ht="22.2" customHeight="1" x14ac:dyDescent="0.3">
      <c r="A1378" s="159" t="str">
        <f>+IF(PROVEEDORES[[#This Row],[FECHA DE PAGO]]=PROVEEDORES[[#This Row],[FECHA DE FACTURACIÓN]],"DE CONTADO","CRÉDITO")</f>
        <v>CRÉDITO</v>
      </c>
      <c r="B1378" s="38" t="b">
        <f>+IF((PROVEEDORES[[#This Row],[FECHA DE PAGO]]-PROVEEDORES[[#This Row],[FECHA DE FACTURACIÓN]])&gt;PROVEEDORES[[#This Row],[PLAZO Días]],"PAGO VENCIDO")</f>
        <v>0</v>
      </c>
      <c r="C1378" s="20">
        <f>+VLOOKUP(PROVEEDORES[[#This Row],[PROVEEDOR]],TERCEROS_INFO[#All],2,FALSE)</f>
        <v>30</v>
      </c>
      <c r="D1378" s="25">
        <f>+SUMIFS(PROVEEDORES[Total],PROVEEDORES[PROVEEDOR],PROVEEDORES[[#This Row],[PROVEEDOR]],PROVEEDORES[FECHA DE PAGO],"")</f>
        <v>0</v>
      </c>
      <c r="E1378" s="25"/>
      <c r="F137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78" s="161">
        <v>44750</v>
      </c>
      <c r="H1378" s="26" t="s">
        <v>918</v>
      </c>
      <c r="I1378" s="161">
        <v>44743</v>
      </c>
      <c r="J1378" s="35">
        <v>10958</v>
      </c>
      <c r="K1378" s="21">
        <v>1649859</v>
      </c>
      <c r="L1378" s="21"/>
      <c r="M1378" s="22">
        <f>(PROVEEDORES[[#This Row],[SUBTOTAL]]-PROVEEDORES[[#This Row],[descuento sobre subtotal]])*VLOOKUP(PROVEEDORES[[#This Row],[PROVEEDOR]],TERCEROS_INFO[#All],3,FALSE)</f>
        <v>0</v>
      </c>
      <c r="N1378" s="23"/>
      <c r="O1378" s="22">
        <f>+PROVEEDORES[[#This Row],[Descuento sobre subtotal %]]*(PROVEEDORES[[#This Row],[SUBTOTAL]]-PROVEEDORES[[#This Row],[descuento sobre subtotal]])</f>
        <v>0</v>
      </c>
      <c r="P1378" s="83">
        <f>+IF(PROVEEDORES[[#This Row],[SUBTOTAL]]&lt;PROVEEDORES[[#This Row],[base retencion]],0,PROVEEDORES[[#This Row],[retención aplicada]])</f>
        <v>0</v>
      </c>
      <c r="Q1378" s="22">
        <f>+PROVEEDORES[[#This Row],[Rete Fuente %]]*(PROVEEDORES[[#This Row],[SUBTOTAL]]-PROVEEDORES[[#This Row],[descuento sobre subtotal]])</f>
        <v>0</v>
      </c>
      <c r="R1378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78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8" s="68">
        <f ca="1">IF(PROVEEDORES[[#This Row],[FECHA DE PAGO]]=0,TODAY()-PROVEEDORES[[#This Row],[FECHA DE FACTURACIÓN]]-PROVEEDORES[[#This Row],[PLAZO Días]],0)</f>
        <v>0</v>
      </c>
      <c r="U1378" s="113">
        <f>+VLOOKUP(PROVEEDORES[[#This Row],[PROVEEDOR]],Terceros!$A:$D,4,FALSE)</f>
        <v>0</v>
      </c>
      <c r="V1378" s="114">
        <f>+YEAR(PROVEEDORES[[#This Row],[FECHA DE FACTURACIÓN]])</f>
        <v>2022</v>
      </c>
      <c r="W1378" s="114">
        <f>+MATCH(PROVEEDORES[[#This Row],[año facturado]],Retenciones!$1:$1,0)</f>
        <v>5</v>
      </c>
      <c r="X1378" s="115">
        <f>+VLOOKUP(PROVEEDORES[[#This Row],[ID RETENCION]],Retenciones!$A$1:$O$25,PROVEEDORES[[#This Row],[indicador de columna]],FALSE)</f>
        <v>0</v>
      </c>
      <c r="Y1378" s="116">
        <f>+VLOOKUP(PROVEEDORES[[#This Row],[ID RETENCION]],Retenciones!$A$1:$O$25,2,FALSE)</f>
        <v>0</v>
      </c>
      <c r="Z1378" s="125" t="b">
        <f>OR(COUNTIF(PROVEEDORES[[#This Row],[PROVEEDOR]],"*"&amp;'Palabra no opera'!$A$2&amp;"*"))</f>
        <v>1</v>
      </c>
      <c r="AA1378" s="24"/>
      <c r="AB1378" s="24"/>
      <c r="AC1378" s="24"/>
      <c r="AD1378" s="24"/>
      <c r="AE1378" s="24"/>
    </row>
    <row r="1379" spans="1:31" ht="22.2" customHeight="1" x14ac:dyDescent="0.3">
      <c r="A1379" s="72" t="str">
        <f>+IF(PROVEEDORES[[#This Row],[FECHA DE PAGO]]=PROVEEDORES[[#This Row],[FECHA DE FACTURACIÓN]],"DE CONTADO","CRÉDITO")</f>
        <v>CRÉDITO</v>
      </c>
      <c r="B1379" s="38" t="b">
        <f>+IF((PROVEEDORES[[#This Row],[FECHA DE PAGO]]-PROVEEDORES[[#This Row],[FECHA DE FACTURACIÓN]])&gt;PROVEEDORES[[#This Row],[PLAZO Días]],"PAGO VENCIDO")</f>
        <v>0</v>
      </c>
      <c r="C1379" s="20">
        <f>+VLOOKUP(PROVEEDORES[[#This Row],[PROVEEDOR]],TERCEROS_INFO[#All],2,FALSE)</f>
        <v>30</v>
      </c>
      <c r="D1379" s="25">
        <f>+SUMIFS(PROVEEDORES[Total],PROVEEDORES[PROVEEDOR],PROVEEDORES[[#This Row],[PROVEEDOR]],PROVEEDORES[FECHA DE PAGO],"")</f>
        <v>0</v>
      </c>
      <c r="E1379" s="25"/>
      <c r="F1379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79" s="161">
        <v>44858</v>
      </c>
      <c r="H1379" s="26" t="s">
        <v>918</v>
      </c>
      <c r="I1379" s="161">
        <v>44835</v>
      </c>
      <c r="J1379" s="35">
        <v>11586</v>
      </c>
      <c r="K1379" s="21">
        <v>1649859</v>
      </c>
      <c r="L1379" s="21"/>
      <c r="M1379" s="22">
        <f>(PROVEEDORES[[#This Row],[SUBTOTAL]]-PROVEEDORES[[#This Row],[descuento sobre subtotal]])*VLOOKUP(PROVEEDORES[[#This Row],[PROVEEDOR]],TERCEROS_INFO[#All],3,FALSE)</f>
        <v>0</v>
      </c>
      <c r="N1379" s="23"/>
      <c r="O1379" s="22">
        <f>+PROVEEDORES[[#This Row],[Descuento sobre subtotal %]]*(PROVEEDORES[[#This Row],[SUBTOTAL]]-PROVEEDORES[[#This Row],[descuento sobre subtotal]])</f>
        <v>0</v>
      </c>
      <c r="P1379" s="83">
        <f>+IF(PROVEEDORES[[#This Row],[SUBTOTAL]]&lt;PROVEEDORES[[#This Row],[base retencion]],0,PROVEEDORES[[#This Row],[retención aplicada]])</f>
        <v>0</v>
      </c>
      <c r="Q1379" s="22">
        <f>+PROVEEDORES[[#This Row],[Rete Fuente %]]*(PROVEEDORES[[#This Row],[SUBTOTAL]]-PROVEEDORES[[#This Row],[descuento sobre subtotal]])</f>
        <v>0</v>
      </c>
      <c r="R1379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7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9" s="68">
        <f ca="1">IF(PROVEEDORES[[#This Row],[FECHA DE PAGO]]=0,TODAY()-PROVEEDORES[[#This Row],[FECHA DE FACTURACIÓN]]-PROVEEDORES[[#This Row],[PLAZO Días]],0)</f>
        <v>0</v>
      </c>
      <c r="U1379" s="113">
        <f>+VLOOKUP(PROVEEDORES[[#This Row],[PROVEEDOR]],Terceros!$A:$D,4,FALSE)</f>
        <v>0</v>
      </c>
      <c r="V1379" s="114">
        <f>+YEAR(PROVEEDORES[[#This Row],[FECHA DE FACTURACIÓN]])</f>
        <v>2022</v>
      </c>
      <c r="W1379" s="114">
        <f>+MATCH(PROVEEDORES[[#This Row],[año facturado]],Retenciones!$1:$1,0)</f>
        <v>5</v>
      </c>
      <c r="X1379" s="115">
        <f>+VLOOKUP(PROVEEDORES[[#This Row],[ID RETENCION]],Retenciones!$A$1:$O$25,PROVEEDORES[[#This Row],[indicador de columna]],FALSE)</f>
        <v>0</v>
      </c>
      <c r="Y1379" s="116">
        <f>+VLOOKUP(PROVEEDORES[[#This Row],[ID RETENCION]],Retenciones!$A$1:$O$25,2,FALSE)</f>
        <v>0</v>
      </c>
      <c r="Z1379" s="125" t="b">
        <f>OR(COUNTIF(PROVEEDORES[[#This Row],[PROVEEDOR]],"*"&amp;'Palabra no opera'!$A$2&amp;"*"))</f>
        <v>1</v>
      </c>
      <c r="AA1379" s="24"/>
      <c r="AB1379" s="24"/>
      <c r="AC1379" s="24"/>
      <c r="AD1379" s="24"/>
      <c r="AE1379" s="24"/>
    </row>
    <row r="1380" spans="1:31" ht="22.2" customHeight="1" x14ac:dyDescent="0.3">
      <c r="A1380" s="66" t="str">
        <f>+IF(PROVEEDORES[[#This Row],[FECHA DE PAGO]]=PROVEEDORES[[#This Row],[FECHA DE FACTURACIÓN]],"DE CONTADO","CRÉDITO")</f>
        <v>CRÉDITO</v>
      </c>
      <c r="B1380" s="38" t="str">
        <f>+IF((PROVEEDORES[[#This Row],[FECHA DE PAGO]]-PROVEEDORES[[#This Row],[FECHA DE FACTURACIÓN]])&gt;PROVEEDORES[[#This Row],[PLAZO Días]],"PAGO VENCIDO")</f>
        <v>PAGO VENCIDO</v>
      </c>
      <c r="C1380" s="20">
        <f>+VLOOKUP(PROVEEDORES[[#This Row],[PROVEEDOR]],TERCEROS_INFO[#All],2,FALSE)</f>
        <v>30</v>
      </c>
      <c r="D1380" s="25">
        <f>+SUMIFS(PROVEEDORES[Total],PROVEEDORES[PROVEEDOR],PROVEEDORES[[#This Row],[PROVEEDOR]],PROVEEDORES[FECHA DE PAGO],"")</f>
        <v>0</v>
      </c>
      <c r="E1380" s="25"/>
      <c r="F138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80" s="161">
        <v>44348</v>
      </c>
      <c r="H1380" s="26" t="s">
        <v>1637</v>
      </c>
      <c r="I1380" s="161">
        <v>44279</v>
      </c>
      <c r="J1380" s="35">
        <v>20403</v>
      </c>
      <c r="K1380" s="21">
        <v>1417944</v>
      </c>
      <c r="L1380" s="21"/>
      <c r="M1380" s="22">
        <f>(PROVEEDORES[[#This Row],[SUBTOTAL]]-PROVEEDORES[[#This Row],[descuento sobre subtotal]])*VLOOKUP(PROVEEDORES[[#This Row],[PROVEEDOR]],TERCEROS_INFO[#All],3,FALSE)</f>
        <v>269409.36</v>
      </c>
      <c r="N1380" s="23"/>
      <c r="O1380" s="22">
        <f>+PROVEEDORES[[#This Row],[Descuento sobre subtotal %]]*(PROVEEDORES[[#This Row],[SUBTOTAL]]-PROVEEDORES[[#This Row],[descuento sobre subtotal]])</f>
        <v>0</v>
      </c>
      <c r="P1380" s="83">
        <f>+IF(PROVEEDORES[[#This Row],[SUBTOTAL]]&lt;PROVEEDORES[[#This Row],[base retencion]],0,PROVEEDORES[[#This Row],[retención aplicada]])</f>
        <v>2.5000000000000001E-2</v>
      </c>
      <c r="Q1380" s="22">
        <f>+PROVEEDORES[[#This Row],[Rete Fuente %]]*(PROVEEDORES[[#This Row],[SUBTOTAL]]-PROVEEDORES[[#This Row],[descuento sobre subtotal]])</f>
        <v>35448.6</v>
      </c>
      <c r="R1380" s="21">
        <f>+PROVEEDORES[[#This Row],[SUBTOTAL]]+PROVEEDORES[[#This Row],[IVA 19%]]-PROVEEDORES[[#This Row],[descuento sobre subtotal]]-PROVEEDORES[[#This Row],[Descuento sobre subtotal $2]]-PROVEEDORES[[#This Row],[Rete Fuente $]]</f>
        <v>1651904.7599999998</v>
      </c>
      <c r="S13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0" s="68">
        <f ca="1">IF(PROVEEDORES[[#This Row],[FECHA DE PAGO]]=0,TODAY()-PROVEEDORES[[#This Row],[FECHA DE FACTURACIÓN]]-PROVEEDORES[[#This Row],[PLAZO Días]],0)</f>
        <v>0</v>
      </c>
      <c r="U1380" s="96" t="str">
        <f>+VLOOKUP(PROVEEDORES[[#This Row],[PROVEEDOR]],Terceros!$A:$D,4,FALSE)</f>
        <v>2,5% con base</v>
      </c>
      <c r="V1380" s="97">
        <f>+YEAR(PROVEEDORES[[#This Row],[FECHA DE FACTURACIÓN]])</f>
        <v>2021</v>
      </c>
      <c r="W1380" s="97">
        <f>+MATCH(PROVEEDORES[[#This Row],[año facturado]],Retenciones!$1:$1,0)</f>
        <v>4</v>
      </c>
      <c r="X1380" s="98">
        <f>+VLOOKUP(PROVEEDORES[[#This Row],[ID RETENCION]],Retenciones!$A$1:$O$25,PROVEEDORES[[#This Row],[indicador de columna]],FALSE)</f>
        <v>980000</v>
      </c>
      <c r="Y1380" s="99">
        <f>+VLOOKUP(PROVEEDORES[[#This Row],[ID RETENCION]],Retenciones!$A$1:$O$25,2,FALSE)</f>
        <v>2.5000000000000001E-2</v>
      </c>
      <c r="Z1380" s="125" t="b">
        <f>OR(COUNTIF(PROVEEDORES[[#This Row],[PROVEEDOR]],"*"&amp;'Palabra no opera'!$A$2&amp;"*"))</f>
        <v>0</v>
      </c>
      <c r="AA1380" s="24"/>
      <c r="AB1380" s="24"/>
      <c r="AC1380" s="24"/>
      <c r="AD1380" s="24"/>
      <c r="AE1380" s="24"/>
    </row>
    <row r="1381" spans="1:31" ht="22.2" customHeight="1" x14ac:dyDescent="0.3">
      <c r="A1381" s="66" t="str">
        <f>+IF(PROVEEDORES[[#This Row],[FECHA DE PAGO]]=PROVEEDORES[[#This Row],[FECHA DE FACTURACIÓN]],"DE CONTADO","CRÉDITO")</f>
        <v>CRÉDITO</v>
      </c>
      <c r="B1381" s="38" t="str">
        <f>+IF((PROVEEDORES[[#This Row],[FECHA DE PAGO]]-PROVEEDORES[[#This Row],[FECHA DE FACTURACIÓN]])&gt;PROVEEDORES[[#This Row],[PLAZO Días]],"PAGO VENCIDO")</f>
        <v>PAGO VENCIDO</v>
      </c>
      <c r="C1381" s="20">
        <f>+VLOOKUP(PROVEEDORES[[#This Row],[PROVEEDOR]],TERCEROS_INFO[#All],2,FALSE)</f>
        <v>30</v>
      </c>
      <c r="D1381" s="25">
        <f>+SUMIFS(PROVEEDORES[Total],PROVEEDORES[PROVEEDOR],PROVEEDORES[[#This Row],[PROVEEDOR]],PROVEEDORES[FECHA DE PAGO],"")</f>
        <v>0</v>
      </c>
      <c r="E1381" s="25"/>
      <c r="F138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381" s="161">
        <v>44442</v>
      </c>
      <c r="H1381" s="26" t="s">
        <v>430</v>
      </c>
      <c r="I1381" s="161">
        <v>44407</v>
      </c>
      <c r="J1381" s="35">
        <v>8</v>
      </c>
      <c r="K1381" s="21">
        <v>1420000</v>
      </c>
      <c r="L1381" s="21"/>
      <c r="M1381" s="22">
        <f>(PROVEEDORES[[#This Row],[SUBTOTAL]]-PROVEEDORES[[#This Row],[descuento sobre subtotal]])*VLOOKUP(PROVEEDORES[[#This Row],[PROVEEDOR]],TERCEROS_INFO[#All],3,FALSE)</f>
        <v>269800</v>
      </c>
      <c r="N1381" s="23"/>
      <c r="O1381" s="22">
        <f>+PROVEEDORES[[#This Row],[Descuento sobre subtotal %]]*(PROVEEDORES[[#This Row],[SUBTOTAL]]-PROVEEDORES[[#This Row],[descuento sobre subtotal]])</f>
        <v>0</v>
      </c>
      <c r="P1381" s="83">
        <f>+IF(PROVEEDORES[[#This Row],[SUBTOTAL]]&lt;PROVEEDORES[[#This Row],[base retencion]],0,PROVEEDORES[[#This Row],[retención aplicada]])</f>
        <v>2.5000000000000001E-2</v>
      </c>
      <c r="Q1381" s="22">
        <f>+PROVEEDORES[[#This Row],[Rete Fuente %]]*(PROVEEDORES[[#This Row],[SUBTOTAL]]-PROVEEDORES[[#This Row],[descuento sobre subtotal]])</f>
        <v>35500</v>
      </c>
      <c r="R1381" s="21">
        <f>+PROVEEDORES[[#This Row],[SUBTOTAL]]+PROVEEDORES[[#This Row],[IVA 19%]]-PROVEEDORES[[#This Row],[descuento sobre subtotal]]-PROVEEDORES[[#This Row],[Descuento sobre subtotal $2]]-PROVEEDORES[[#This Row],[Rete Fuente $]]</f>
        <v>1654300</v>
      </c>
      <c r="S13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1" s="68">
        <f ca="1">IF(PROVEEDORES[[#This Row],[FECHA DE PAGO]]=0,TODAY()-PROVEEDORES[[#This Row],[FECHA DE FACTURACIÓN]]-PROVEEDORES[[#This Row],[PLAZO Días]],0)</f>
        <v>0</v>
      </c>
      <c r="U1381" s="96" t="str">
        <f>+VLOOKUP(PROVEEDORES[[#This Row],[PROVEEDOR]],Terceros!$A:$D,4,FALSE)</f>
        <v>2,5% con base</v>
      </c>
      <c r="V1381" s="97">
        <f>+YEAR(PROVEEDORES[[#This Row],[FECHA DE FACTURACIÓN]])</f>
        <v>2021</v>
      </c>
      <c r="W1381" s="97">
        <f>+MATCH(PROVEEDORES[[#This Row],[año facturado]],Retenciones!$1:$1,0)</f>
        <v>4</v>
      </c>
      <c r="X1381" s="98">
        <f>+VLOOKUP(PROVEEDORES[[#This Row],[ID RETENCION]],Retenciones!$A$1:$O$25,PROVEEDORES[[#This Row],[indicador de columna]],FALSE)</f>
        <v>980000</v>
      </c>
      <c r="Y1381" s="99">
        <f>+VLOOKUP(PROVEEDORES[[#This Row],[ID RETENCION]],Retenciones!$A$1:$O$25,2,FALSE)</f>
        <v>2.5000000000000001E-2</v>
      </c>
      <c r="Z1381" s="125" t="b">
        <f>OR(COUNTIF(PROVEEDORES[[#This Row],[PROVEEDOR]],"*"&amp;'Palabra no opera'!$A$2&amp;"*"))</f>
        <v>0</v>
      </c>
      <c r="AA1381" s="24"/>
      <c r="AB1381" s="24"/>
      <c r="AC1381" s="24"/>
      <c r="AD1381" s="24"/>
      <c r="AE1381" s="24"/>
    </row>
    <row r="1382" spans="1:31" ht="22.2" customHeight="1" x14ac:dyDescent="0.3">
      <c r="A1382" s="66" t="str">
        <f>+IF(PROVEEDORES[[#This Row],[FECHA DE PAGO]]=PROVEEDORES[[#This Row],[FECHA DE FACTURACIÓN]],"DE CONTADO","CRÉDITO")</f>
        <v>CRÉDITO</v>
      </c>
      <c r="B1382" s="38" t="str">
        <f>+IF((PROVEEDORES[[#This Row],[FECHA DE PAGO]]-PROVEEDORES[[#This Row],[FECHA DE FACTURACIÓN]])&gt;PROVEEDORES[[#This Row],[PLAZO Días]],"PAGO VENCIDO")</f>
        <v>PAGO VENCIDO</v>
      </c>
      <c r="C1382" s="20">
        <f>+VLOOKUP(PROVEEDORES[[#This Row],[PROVEEDOR]],TERCEROS_INFO[#All],2,FALSE)</f>
        <v>30</v>
      </c>
      <c r="D1382" s="25">
        <f>+SUMIFS(PROVEEDORES[Total],PROVEEDORES[PROVEEDOR],PROVEEDORES[[#This Row],[PROVEEDOR]],PROVEEDORES[FECHA DE PAGO],"")</f>
        <v>401799.93</v>
      </c>
      <c r="E1382" s="25"/>
      <c r="F1382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82" s="161">
        <v>44617</v>
      </c>
      <c r="H1382" s="26" t="s">
        <v>508</v>
      </c>
      <c r="I1382" s="161">
        <v>44574</v>
      </c>
      <c r="J1382" s="35" t="s">
        <v>618</v>
      </c>
      <c r="K1382" s="21">
        <v>1420170</v>
      </c>
      <c r="L1382" s="21"/>
      <c r="M1382" s="22">
        <f>(PROVEEDORES[[#This Row],[SUBTOTAL]]-PROVEEDORES[[#This Row],[descuento sobre subtotal]])*VLOOKUP(PROVEEDORES[[#This Row],[PROVEEDOR]],TERCEROS_INFO[#All],3,FALSE)</f>
        <v>269832.3</v>
      </c>
      <c r="N1382" s="23"/>
      <c r="O1382" s="22">
        <f>+PROVEEDORES[[#This Row],[Descuento sobre subtotal %]]*(PROVEEDORES[[#This Row],[SUBTOTAL]]-PROVEEDORES[[#This Row],[descuento sobre subtotal]])</f>
        <v>0</v>
      </c>
      <c r="P1382" s="83">
        <f>+IF(PROVEEDORES[[#This Row],[SUBTOTAL]]&lt;PROVEEDORES[[#This Row],[base retencion]],0,PROVEEDORES[[#This Row],[retención aplicada]])</f>
        <v>2.5000000000000001E-2</v>
      </c>
      <c r="Q1382" s="22">
        <f>+PROVEEDORES[[#This Row],[Rete Fuente %]]*(PROVEEDORES[[#This Row],[SUBTOTAL]]-PROVEEDORES[[#This Row],[descuento sobre subtotal]])</f>
        <v>35504.25</v>
      </c>
      <c r="R1382" s="21">
        <v>1654498.05</v>
      </c>
      <c r="S13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2" s="68">
        <f ca="1">IF(PROVEEDORES[[#This Row],[FECHA DE PAGO]]=0,TODAY()-PROVEEDORES[[#This Row],[FECHA DE FACTURACIÓN]]-PROVEEDORES[[#This Row],[PLAZO Días]],0)</f>
        <v>0</v>
      </c>
      <c r="U1382" s="96" t="str">
        <f>+VLOOKUP(PROVEEDORES[[#This Row],[PROVEEDOR]],Terceros!$A:$D,4,FALSE)</f>
        <v>2,5% con base</v>
      </c>
      <c r="V1382" s="97">
        <f>+YEAR(PROVEEDORES[[#This Row],[FECHA DE FACTURACIÓN]])</f>
        <v>2022</v>
      </c>
      <c r="W1382" s="97">
        <f>+MATCH(PROVEEDORES[[#This Row],[año facturado]],Retenciones!$1:$1,0)</f>
        <v>5</v>
      </c>
      <c r="X1382" s="98">
        <f>+VLOOKUP(PROVEEDORES[[#This Row],[ID RETENCION]],Retenciones!$A$1:$O$25,PROVEEDORES[[#This Row],[indicador de columna]],FALSE)</f>
        <v>1026000</v>
      </c>
      <c r="Y1382" s="99">
        <f>+VLOOKUP(PROVEEDORES[[#This Row],[ID RETENCION]],Retenciones!$A$1:$O$25,2,FALSE)</f>
        <v>2.5000000000000001E-2</v>
      </c>
      <c r="Z1382" s="125" t="b">
        <f>OR(COUNTIF(PROVEEDORES[[#This Row],[PROVEEDOR]],"*"&amp;'Palabra no opera'!$A$2&amp;"*"))</f>
        <v>0</v>
      </c>
      <c r="AA1382" s="24"/>
      <c r="AB1382" s="24"/>
      <c r="AC1382" s="24"/>
      <c r="AD1382" s="24"/>
      <c r="AE1382" s="24"/>
    </row>
    <row r="1383" spans="1:31" ht="22.2" customHeight="1" x14ac:dyDescent="0.3">
      <c r="A1383" s="66" t="str">
        <f>+IF(PROVEEDORES[[#This Row],[FECHA DE PAGO]]=PROVEEDORES[[#This Row],[FECHA DE FACTURACIÓN]],"DE CONTADO","CRÉDITO")</f>
        <v>CRÉDITO</v>
      </c>
      <c r="B1383" s="38" t="b">
        <f>+IF((PROVEEDORES[[#This Row],[FECHA DE PAGO]]-PROVEEDORES[[#This Row],[FECHA DE FACTURACIÓN]])&gt;PROVEEDORES[[#This Row],[PLAZO Días]],"PAGO VENCIDO")</f>
        <v>0</v>
      </c>
      <c r="C1383" s="20">
        <f>+VLOOKUP(PROVEEDORES[[#This Row],[PROVEEDOR]],TERCEROS_INFO[#All],2,FALSE)</f>
        <v>30</v>
      </c>
      <c r="D1383" s="25">
        <f>+SUMIFS(PROVEEDORES[Total],PROVEEDORES[PROVEEDOR],PROVEEDORES[[#This Row],[PROVEEDOR]],PROVEEDORES[FECHA DE PAGO],"")</f>
        <v>0</v>
      </c>
      <c r="E1383" s="25"/>
      <c r="F1383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383" s="161">
        <v>44250</v>
      </c>
      <c r="H1383" s="26" t="s">
        <v>130</v>
      </c>
      <c r="I1383" s="161">
        <v>44246</v>
      </c>
      <c r="J1383" s="35" t="s">
        <v>219</v>
      </c>
      <c r="K1383" s="21">
        <v>1667000</v>
      </c>
      <c r="L1383" s="21"/>
      <c r="M1383" s="22">
        <f>(PROVEEDORES[[#This Row],[SUBTOTAL]]-PROVEEDORES[[#This Row],[descuento sobre subtotal]])*VLOOKUP(PROVEEDORES[[#This Row],[PROVEEDOR]],TERCEROS_INFO[#All],3,FALSE)</f>
        <v>0</v>
      </c>
      <c r="N1383" s="23"/>
      <c r="O1383" s="22">
        <f>+PROVEEDORES[[#This Row],[Descuento sobre subtotal %]]*(PROVEEDORES[[#This Row],[SUBTOTAL]]-PROVEEDORES[[#This Row],[descuento sobre subtotal]])</f>
        <v>0</v>
      </c>
      <c r="P1383" s="83">
        <f>+IF(PROVEEDORES[[#This Row],[SUBTOTAL]]&lt;PROVEEDORES[[#This Row],[base retencion]],0,PROVEEDORES[[#This Row],[retención aplicada]])</f>
        <v>0</v>
      </c>
      <c r="Q1383" s="22">
        <f>+PROVEEDORES[[#This Row],[Rete Fuente %]]*(PROVEEDORES[[#This Row],[SUBTOTAL]]-PROVEEDORES[[#This Row],[descuento sobre subtotal]])</f>
        <v>0</v>
      </c>
      <c r="R1383" s="21">
        <f>+PROVEEDORES[[#This Row],[SUBTOTAL]]+PROVEEDORES[[#This Row],[IVA 19%]]-PROVEEDORES[[#This Row],[descuento sobre subtotal]]-PROVEEDORES[[#This Row],[Descuento sobre subtotal $2]]-PROVEEDORES[[#This Row],[Rete Fuente $]]</f>
        <v>1667000</v>
      </c>
      <c r="S13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3" s="68">
        <f ca="1">IF(PROVEEDORES[[#This Row],[FECHA DE PAGO]]=0,TODAY()-PROVEEDORES[[#This Row],[FECHA DE FACTURACIÓN]]-PROVEEDORES[[#This Row],[PLAZO Días]],0)</f>
        <v>0</v>
      </c>
      <c r="U1383" s="96">
        <f>+VLOOKUP(PROVEEDORES[[#This Row],[PROVEEDOR]],Terceros!$A:$D,4,FALSE)</f>
        <v>0</v>
      </c>
      <c r="V1383" s="97">
        <f>+YEAR(PROVEEDORES[[#This Row],[FECHA DE FACTURACIÓN]])</f>
        <v>2021</v>
      </c>
      <c r="W1383" s="97">
        <f>+MATCH(PROVEEDORES[[#This Row],[año facturado]],Retenciones!$1:$1,0)</f>
        <v>4</v>
      </c>
      <c r="X1383" s="98">
        <f>+VLOOKUP(PROVEEDORES[[#This Row],[ID RETENCION]],Retenciones!$A$1:$O$25,PROVEEDORES[[#This Row],[indicador de columna]],FALSE)</f>
        <v>0</v>
      </c>
      <c r="Y1383" s="99">
        <f>+VLOOKUP(PROVEEDORES[[#This Row],[ID RETENCION]],Retenciones!$A$1:$O$25,2,FALSE)</f>
        <v>0</v>
      </c>
      <c r="Z1383" s="125" t="b">
        <f>OR(COUNTIF(PROVEEDORES[[#This Row],[PROVEEDOR]],"*"&amp;'Palabra no opera'!$A$2&amp;"*"))</f>
        <v>0</v>
      </c>
      <c r="AA1383" s="24"/>
      <c r="AB1383" s="24"/>
      <c r="AC1383" s="24"/>
      <c r="AD1383" s="24"/>
      <c r="AE1383" s="24"/>
    </row>
    <row r="1384" spans="1:31" ht="22.2" customHeight="1" x14ac:dyDescent="0.3">
      <c r="A1384" s="185" t="str">
        <f>+IF(PROVEEDORES[[#This Row],[FECHA DE PAGO]]=PROVEEDORES[[#This Row],[FECHA DE FACTURACIÓN]],"DE CONTADO","CRÉDITO")</f>
        <v>CRÉDITO</v>
      </c>
      <c r="B1384" s="38" t="b">
        <f>+IF((PROVEEDORES[[#This Row],[FECHA DE PAGO]]-PROVEEDORES[[#This Row],[FECHA DE FACTURACIÓN]])&gt;PROVEEDORES[[#This Row],[PLAZO Días]],"PAGO VENCIDO")</f>
        <v>0</v>
      </c>
      <c r="C1384" s="20">
        <f>+VLOOKUP(PROVEEDORES[[#This Row],[PROVEEDOR]],TERCEROS_INFO[#All],2,FALSE)</f>
        <v>45</v>
      </c>
      <c r="D1384" s="25">
        <f>+SUMIFS(PROVEEDORES[Total],PROVEEDORES[PROVEEDOR],PROVEEDORES[[#This Row],[PROVEEDOR]],PROVEEDORES[FECHA DE PAGO],"")</f>
        <v>0</v>
      </c>
      <c r="E1384" s="25"/>
      <c r="F138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384" s="161">
        <v>44761</v>
      </c>
      <c r="H1384" s="26" t="s">
        <v>530</v>
      </c>
      <c r="I1384" s="161">
        <v>44726</v>
      </c>
      <c r="J1384" s="35" t="s">
        <v>1031</v>
      </c>
      <c r="K1384" s="21">
        <v>1669986.1500000001</v>
      </c>
      <c r="L1384" s="21"/>
      <c r="M1384" s="22">
        <f>(PROVEEDORES[[#This Row],[SUBTOTAL]]-PROVEEDORES[[#This Row],[descuento sobre subtotal]])*VLOOKUP(PROVEEDORES[[#This Row],[PROVEEDOR]],TERCEROS_INFO[#All],3,FALSE)</f>
        <v>0</v>
      </c>
      <c r="N1384" s="23"/>
      <c r="O1384" s="22">
        <f>+PROVEEDORES[[#This Row],[Descuento sobre subtotal %]]*(PROVEEDORES[[#This Row],[SUBTOTAL]]-PROVEEDORES[[#This Row],[descuento sobre subtotal]])</f>
        <v>0</v>
      </c>
      <c r="P1384" s="83">
        <f>+IF(PROVEEDORES[[#This Row],[SUBTOTAL]]&lt;PROVEEDORES[[#This Row],[base retencion]],0,PROVEEDORES[[#This Row],[retención aplicada]])</f>
        <v>0</v>
      </c>
      <c r="Q1384" s="22">
        <f>+PROVEEDORES[[#This Row],[Rete Fuente %]]*(PROVEEDORES[[#This Row],[SUBTOTAL]]-PROVEEDORES[[#This Row],[descuento sobre subtotal]])</f>
        <v>0</v>
      </c>
      <c r="R1384" s="21">
        <f>+PROVEEDORES[[#This Row],[SUBTOTAL]]+PROVEEDORES[[#This Row],[IVA 19%]]-PROVEEDORES[[#This Row],[descuento sobre subtotal]]-PROVEEDORES[[#This Row],[Descuento sobre subtotal $2]]-PROVEEDORES[[#This Row],[Rete Fuente $]]</f>
        <v>1669986.1500000001</v>
      </c>
      <c r="S1384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4" s="68">
        <f ca="1">IF(PROVEEDORES[[#This Row],[FECHA DE PAGO]]=0,TODAY()-PROVEEDORES[[#This Row],[FECHA DE FACTURACIÓN]]-PROVEEDORES[[#This Row],[PLAZO Días]],0)</f>
        <v>0</v>
      </c>
      <c r="U1384" s="113">
        <f>+VLOOKUP(PROVEEDORES[[#This Row],[PROVEEDOR]],Terceros!$A:$D,4,FALSE)</f>
        <v>0</v>
      </c>
      <c r="V1384" s="114">
        <f>+YEAR(PROVEEDORES[[#This Row],[FECHA DE FACTURACIÓN]])</f>
        <v>2022</v>
      </c>
      <c r="W1384" s="114">
        <f>+MATCH(PROVEEDORES[[#This Row],[año facturado]],Retenciones!$1:$1,0)</f>
        <v>5</v>
      </c>
      <c r="X1384" s="115">
        <f>+VLOOKUP(PROVEEDORES[[#This Row],[ID RETENCION]],Retenciones!$A$1:$O$25,PROVEEDORES[[#This Row],[indicador de columna]],FALSE)</f>
        <v>0</v>
      </c>
      <c r="Y1384" s="116">
        <f>+VLOOKUP(PROVEEDORES[[#This Row],[ID RETENCION]],Retenciones!$A$1:$O$25,2,FALSE)</f>
        <v>0</v>
      </c>
      <c r="Z1384" s="125" t="b">
        <f>OR(COUNTIF(PROVEEDORES[[#This Row],[PROVEEDOR]],"*"&amp;'Palabra no opera'!$A$2&amp;"*"))</f>
        <v>0</v>
      </c>
      <c r="AA1384" s="24"/>
      <c r="AB1384" s="24"/>
      <c r="AC1384" s="24"/>
      <c r="AD1384" s="24"/>
      <c r="AE1384" s="24"/>
    </row>
    <row r="1385" spans="1:31" ht="22.2" customHeight="1" x14ac:dyDescent="0.3">
      <c r="A1385" s="66" t="str">
        <f>+IF(PROVEEDORES[[#This Row],[FECHA DE PAGO]]=PROVEEDORES[[#This Row],[FECHA DE FACTURACIÓN]],"DE CONTADO","CRÉDITO")</f>
        <v>CRÉDITO</v>
      </c>
      <c r="B1385" s="38" t="str">
        <f>+IF((PROVEEDORES[[#This Row],[FECHA DE PAGO]]-PROVEEDORES[[#This Row],[FECHA DE FACTURACIÓN]])&gt;PROVEEDORES[[#This Row],[PLAZO Días]],"PAGO VENCIDO")</f>
        <v>PAGO VENCIDO</v>
      </c>
      <c r="C1385" s="20">
        <f>+VLOOKUP(PROVEEDORES[[#This Row],[PROVEEDOR]],TERCEROS_INFO[#All],2,FALSE)</f>
        <v>45</v>
      </c>
      <c r="D1385" s="25">
        <f>+SUMIFS(PROVEEDORES[Total],PROVEEDORES[PROVEEDOR],PROVEEDORES[[#This Row],[PROVEEDOR]],PROVEEDORES[FECHA DE PAGO],"")</f>
        <v>2604910</v>
      </c>
      <c r="E1385" s="25"/>
      <c r="F138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85" s="161">
        <v>44656</v>
      </c>
      <c r="H1385" s="26" t="s">
        <v>10</v>
      </c>
      <c r="I1385" s="161">
        <v>44594</v>
      </c>
      <c r="J1385" s="35" t="s">
        <v>766</v>
      </c>
      <c r="K1385" s="21">
        <v>1404200</v>
      </c>
      <c r="L1385" s="21"/>
      <c r="M1385" s="22">
        <f>(PROVEEDORES[[#This Row],[SUBTOTAL]]-PROVEEDORES[[#This Row],[descuento sobre subtotal]])*VLOOKUP(PROVEEDORES[[#This Row],[PROVEEDOR]],TERCEROS_INFO[#All],3,FALSE)</f>
        <v>266798</v>
      </c>
      <c r="N1385" s="23"/>
      <c r="O1385" s="22">
        <f>+PROVEEDORES[[#This Row],[Descuento sobre subtotal %]]*(PROVEEDORES[[#This Row],[SUBTOTAL]]-PROVEEDORES[[#This Row],[descuento sobre subtotal]])</f>
        <v>0</v>
      </c>
      <c r="P1385" s="83">
        <f>+IF(PROVEEDORES[[#This Row],[SUBTOTAL]]&lt;PROVEEDORES[[#This Row],[base retencion]],0,PROVEEDORES[[#This Row],[retención aplicada]])</f>
        <v>0</v>
      </c>
      <c r="Q1385" s="22">
        <f>+PROVEEDORES[[#This Row],[Rete Fuente %]]*(PROVEEDORES[[#This Row],[SUBTOTAL]]-PROVEEDORES[[#This Row],[descuento sobre subtotal]])</f>
        <v>0</v>
      </c>
      <c r="R1385" s="21">
        <v>1670998</v>
      </c>
      <c r="S13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5" s="68">
        <f ca="1">IF(PROVEEDORES[[#This Row],[FECHA DE PAGO]]=0,TODAY()-PROVEEDORES[[#This Row],[FECHA DE FACTURACIÓN]]-PROVEEDORES[[#This Row],[PLAZO Días]],0)</f>
        <v>0</v>
      </c>
      <c r="U1385" s="96">
        <f>+VLOOKUP(PROVEEDORES[[#This Row],[PROVEEDOR]],Terceros!$A:$D,4,FALSE)</f>
        <v>0</v>
      </c>
      <c r="V1385" s="97">
        <f>+YEAR(PROVEEDORES[[#This Row],[FECHA DE FACTURACIÓN]])</f>
        <v>2022</v>
      </c>
      <c r="W1385" s="97">
        <f>+MATCH(PROVEEDORES[[#This Row],[año facturado]],Retenciones!$1:$1,0)</f>
        <v>5</v>
      </c>
      <c r="X1385" s="98">
        <f>+VLOOKUP(PROVEEDORES[[#This Row],[ID RETENCION]],Retenciones!$A$1:$O$25,PROVEEDORES[[#This Row],[indicador de columna]],FALSE)</f>
        <v>0</v>
      </c>
      <c r="Y1385" s="99">
        <f>+VLOOKUP(PROVEEDORES[[#This Row],[ID RETENCION]],Retenciones!$A$1:$O$25,2,FALSE)</f>
        <v>0</v>
      </c>
      <c r="Z1385" s="125" t="b">
        <f>OR(COUNTIF(PROVEEDORES[[#This Row],[PROVEEDOR]],"*"&amp;'Palabra no opera'!$A$2&amp;"*"))</f>
        <v>0</v>
      </c>
      <c r="AA1385" s="24"/>
      <c r="AB1385" s="24"/>
      <c r="AC1385" s="24"/>
      <c r="AD1385" s="24"/>
      <c r="AE1385" s="24"/>
    </row>
    <row r="1386" spans="1:31" ht="22.2" customHeight="1" x14ac:dyDescent="0.3">
      <c r="A1386" s="269" t="str">
        <f>+IF(PROVEEDORES[[#This Row],[FECHA DE PAGO]]=PROVEEDORES[[#This Row],[FECHA DE FACTURACIÓN]],"DE CONTADO","CRÉDITO")</f>
        <v>CRÉDITO</v>
      </c>
      <c r="B1386" s="38" t="b">
        <f>+IF((PROVEEDORES[[#This Row],[FECHA DE PAGO]]-PROVEEDORES[[#This Row],[FECHA DE FACTURACIÓN]])&gt;PROVEEDORES[[#This Row],[PLAZO Días]],"PAGO VENCIDO")</f>
        <v>0</v>
      </c>
      <c r="C1386" s="20">
        <f>+VLOOKUP(PROVEEDORES[[#This Row],[PROVEEDOR]],TERCEROS_INFO[#All],2,FALSE)</f>
        <v>30</v>
      </c>
      <c r="D1386" s="25">
        <f>+SUMIFS(PROVEEDORES[Total],PROVEEDORES[PROVEEDOR],PROVEEDORES[[#This Row],[PROVEEDOR]],PROVEEDORES[FECHA DE PAGO],"")</f>
        <v>2121000</v>
      </c>
      <c r="E1386" s="25"/>
      <c r="F1386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H1386" s="26" t="s">
        <v>685</v>
      </c>
      <c r="I1386" s="161">
        <v>44855</v>
      </c>
      <c r="J1386" s="35">
        <v>485</v>
      </c>
      <c r="K1386" s="21">
        <v>1671000</v>
      </c>
      <c r="L1386" s="21"/>
      <c r="M1386" s="22">
        <f>(PROVEEDORES[[#This Row],[SUBTOTAL]]-PROVEEDORES[[#This Row],[descuento sobre subtotal]])*VLOOKUP(PROVEEDORES[[#This Row],[PROVEEDOR]],TERCEROS_INFO[#All],3,FALSE)</f>
        <v>0</v>
      </c>
      <c r="N1386" s="23"/>
      <c r="O1386" s="22">
        <f>+PROVEEDORES[[#This Row],[Descuento sobre subtotal %]]*(PROVEEDORES[[#This Row],[SUBTOTAL]]-PROVEEDORES[[#This Row],[descuento sobre subtotal]])</f>
        <v>0</v>
      </c>
      <c r="P1386" s="83">
        <f>+IF(PROVEEDORES[[#This Row],[SUBTOTAL]]&lt;PROVEEDORES[[#This Row],[base retencion]],0,PROVEEDORES[[#This Row],[retención aplicada]])</f>
        <v>0</v>
      </c>
      <c r="Q1386" s="22">
        <f>+PROVEEDORES[[#This Row],[Rete Fuente %]]*(PROVEEDORES[[#This Row],[SUBTOTAL]]-PROVEEDORES[[#This Row],[descuento sobre subtotal]])</f>
        <v>0</v>
      </c>
      <c r="R1386" s="21">
        <f>+PROVEEDORES[[#This Row],[SUBTOTAL]]+PROVEEDORES[[#This Row],[IVA 19%]]-PROVEEDORES[[#This Row],[descuento sobre subtotal]]-PROVEEDORES[[#This Row],[Descuento sobre subtotal $2]]-PROVEEDORES[[#This Row],[Rete Fuente $]]</f>
        <v>1671000</v>
      </c>
      <c r="S1386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386" s="68">
        <f ca="1">IF(PROVEEDORES[[#This Row],[FECHA DE PAGO]]=0,TODAY()-PROVEEDORES[[#This Row],[FECHA DE FACTURACIÓN]]-PROVEEDORES[[#This Row],[PLAZO Días]],0)</f>
        <v>-10</v>
      </c>
      <c r="U1386" s="113">
        <f>+VLOOKUP(PROVEEDORES[[#This Row],[PROVEEDOR]],Terceros!$A:$D,4,FALSE)</f>
        <v>0</v>
      </c>
      <c r="V1386" s="114">
        <f>+YEAR(PROVEEDORES[[#This Row],[FECHA DE FACTURACIÓN]])</f>
        <v>2022</v>
      </c>
      <c r="W1386" s="114">
        <f>+MATCH(PROVEEDORES[[#This Row],[año facturado]],Retenciones!$1:$1,0)</f>
        <v>5</v>
      </c>
      <c r="X1386" s="115">
        <f>+VLOOKUP(PROVEEDORES[[#This Row],[ID RETENCION]],Retenciones!$A$1:$O$25,PROVEEDORES[[#This Row],[indicador de columna]],FALSE)</f>
        <v>0</v>
      </c>
      <c r="Y1386" s="116">
        <f>+VLOOKUP(PROVEEDORES[[#This Row],[ID RETENCION]],Retenciones!$A$1:$O$25,2,FALSE)</f>
        <v>0</v>
      </c>
      <c r="Z1386" s="125" t="b">
        <f>OR(COUNTIF(PROVEEDORES[[#This Row],[PROVEEDOR]],"*"&amp;'Palabra no opera'!$A$2&amp;"*"))</f>
        <v>0</v>
      </c>
      <c r="AA1386" s="24"/>
      <c r="AB1386" s="24"/>
      <c r="AC1386" s="24"/>
      <c r="AD1386" s="24"/>
      <c r="AE1386" s="24"/>
    </row>
    <row r="1387" spans="1:31" ht="22.2" customHeight="1" x14ac:dyDescent="0.3">
      <c r="A1387" s="66" t="str">
        <f>+IF(PROVEEDORES[[#This Row],[FECHA DE PAGO]]=PROVEEDORES[[#This Row],[FECHA DE FACTURACIÓN]],"DE CONTADO","CRÉDITO")</f>
        <v>CRÉDITO</v>
      </c>
      <c r="B1387" s="38" t="str">
        <f>+IF((PROVEEDORES[[#This Row],[FECHA DE PAGO]]-PROVEEDORES[[#This Row],[FECHA DE FACTURACIÓN]])&gt;PROVEEDORES[[#This Row],[PLAZO Días]],"PAGO VENCIDO")</f>
        <v>PAGO VENCIDO</v>
      </c>
      <c r="C1387" s="20">
        <f>+VLOOKUP(PROVEEDORES[[#This Row],[PROVEEDOR]],TERCEROS_INFO[#All],2,FALSE)</f>
        <v>30</v>
      </c>
      <c r="D1387" s="25">
        <f>+SUMIFS(PROVEEDORES[Total],PROVEEDORES[PROVEEDOR],PROVEEDORES[[#This Row],[PROVEEDOR]],PROVEEDORES[FECHA DE PAGO],"")</f>
        <v>2121000</v>
      </c>
      <c r="E1387" s="25"/>
      <c r="F138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87" s="161">
        <v>44568</v>
      </c>
      <c r="H1387" s="26" t="s">
        <v>685</v>
      </c>
      <c r="I1387" s="161">
        <v>44529</v>
      </c>
      <c r="J1387" s="35" t="s">
        <v>1349</v>
      </c>
      <c r="K1387" s="21">
        <v>1678000</v>
      </c>
      <c r="L1387" s="21"/>
      <c r="M1387" s="22">
        <v>0</v>
      </c>
      <c r="N1387" s="23"/>
      <c r="O1387" s="22">
        <v>0</v>
      </c>
      <c r="P1387" s="83">
        <f>+IF(PROVEEDORES[[#This Row],[SUBTOTAL]]&lt;PROVEEDORES[[#This Row],[base retencion]],0,PROVEEDORES[[#This Row],[retención aplicada]])</f>
        <v>0</v>
      </c>
      <c r="Q1387" s="22">
        <f>+PROVEEDORES[[#This Row],[Rete Fuente %]]*(PROVEEDORES[[#This Row],[SUBTOTAL]]-PROVEEDORES[[#This Row],[descuento sobre subtotal]])</f>
        <v>0</v>
      </c>
      <c r="R1387" s="21">
        <v>1678000</v>
      </c>
      <c r="S13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7" s="68">
        <f ca="1">IF(PROVEEDORES[[#This Row],[FECHA DE PAGO]]=0,TODAY()-PROVEEDORES[[#This Row],[FECHA DE FACTURACIÓN]]-PROVEEDORES[[#This Row],[PLAZO Días]],0)</f>
        <v>0</v>
      </c>
      <c r="U1387" s="96">
        <f>+VLOOKUP(PROVEEDORES[[#This Row],[PROVEEDOR]],Terceros!$A:$D,4,FALSE)</f>
        <v>0</v>
      </c>
      <c r="V1387" s="97">
        <f>+YEAR(PROVEEDORES[[#This Row],[FECHA DE FACTURACIÓN]])</f>
        <v>2021</v>
      </c>
      <c r="W1387" s="97">
        <f>+MATCH(PROVEEDORES[[#This Row],[año facturado]],Retenciones!$1:$1,0)</f>
        <v>4</v>
      </c>
      <c r="X1387" s="98">
        <f>+VLOOKUP(PROVEEDORES[[#This Row],[ID RETENCION]],Retenciones!$A$1:$O$25,PROVEEDORES[[#This Row],[indicador de columna]],FALSE)</f>
        <v>0</v>
      </c>
      <c r="Y1387" s="99">
        <f>+VLOOKUP(PROVEEDORES[[#This Row],[ID RETENCION]],Retenciones!$A$1:$O$25,2,FALSE)</f>
        <v>0</v>
      </c>
      <c r="Z1387" s="125" t="b">
        <f>OR(COUNTIF(PROVEEDORES[[#This Row],[PROVEEDOR]],"*"&amp;'Palabra no opera'!$A$2&amp;"*"))</f>
        <v>0</v>
      </c>
      <c r="AA1387" s="24"/>
      <c r="AB1387" s="24"/>
      <c r="AC1387" s="24"/>
      <c r="AD1387" s="24"/>
      <c r="AE1387" s="24"/>
    </row>
    <row r="1388" spans="1:31" ht="22.2" customHeight="1" x14ac:dyDescent="0.3">
      <c r="A1388" s="159" t="str">
        <f>+IF(PROVEEDORES[[#This Row],[FECHA DE PAGO]]=PROVEEDORES[[#This Row],[FECHA DE FACTURACIÓN]],"DE CONTADO","CRÉDITO")</f>
        <v>CRÉDITO</v>
      </c>
      <c r="B1388" s="38" t="str">
        <f>+IF((PROVEEDORES[[#This Row],[FECHA DE PAGO]]-PROVEEDORES[[#This Row],[FECHA DE FACTURACIÓN]])&gt;PROVEEDORES[[#This Row],[PLAZO Días]],"PAGO VENCIDO")</f>
        <v>PAGO VENCIDO</v>
      </c>
      <c r="C1388" s="20">
        <f>+VLOOKUP(PROVEEDORES[[#This Row],[PROVEEDOR]],TERCEROS_INFO[#All],2,FALSE)</f>
        <v>30</v>
      </c>
      <c r="D1388" s="25">
        <f>+SUMIFS(PROVEEDORES[Total],PROVEEDORES[PROVEEDOR],PROVEEDORES[[#This Row],[PROVEEDOR]],PROVEEDORES[FECHA DE PAGO],"")</f>
        <v>845001.15</v>
      </c>
      <c r="E1388" s="25"/>
      <c r="F1388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388" s="161">
        <v>44776</v>
      </c>
      <c r="H1388" s="26" t="s">
        <v>1155</v>
      </c>
      <c r="I1388" s="161">
        <v>44729</v>
      </c>
      <c r="J1388" s="35" t="s">
        <v>1076</v>
      </c>
      <c r="K1388" s="21">
        <v>1447478</v>
      </c>
      <c r="L1388" s="21"/>
      <c r="M1388" s="22">
        <f>(PROVEEDORES[[#This Row],[SUBTOTAL]]-PROVEEDORES[[#This Row],[descuento sobre subtotal]])*VLOOKUP(PROVEEDORES[[#This Row],[PROVEEDOR]],TERCEROS_INFO[#All],3,FALSE)</f>
        <v>275020.82</v>
      </c>
      <c r="N1388" s="23"/>
      <c r="O1388" s="22">
        <f>+PROVEEDORES[[#This Row],[Descuento sobre subtotal %]]*(PROVEEDORES[[#This Row],[SUBTOTAL]]-PROVEEDORES[[#This Row],[descuento sobre subtotal]])</f>
        <v>0</v>
      </c>
      <c r="P1388" s="83">
        <f>+IF(PROVEEDORES[[#This Row],[SUBTOTAL]]&lt;PROVEEDORES[[#This Row],[base retencion]],0,PROVEEDORES[[#This Row],[retención aplicada]])</f>
        <v>2.5000000000000001E-2</v>
      </c>
      <c r="Q1388" s="22">
        <f>+PROVEEDORES[[#This Row],[Rete Fuente %]]*(PROVEEDORES[[#This Row],[SUBTOTAL]]-PROVEEDORES[[#This Row],[descuento sobre subtotal]])</f>
        <v>36186.950000000004</v>
      </c>
      <c r="R1388" s="21">
        <f>+PROVEEDORES[[#This Row],[SUBTOTAL]]+PROVEEDORES[[#This Row],[IVA 19%]]-PROVEEDORES[[#This Row],[descuento sobre subtotal]]-PROVEEDORES[[#This Row],[Descuento sobre subtotal $2]]-PROVEEDORES[[#This Row],[Rete Fuente $]]</f>
        <v>1686311.87</v>
      </c>
      <c r="S1388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8" s="68">
        <f ca="1">IF(PROVEEDORES[[#This Row],[FECHA DE PAGO]]=0,TODAY()-PROVEEDORES[[#This Row],[FECHA DE FACTURACIÓN]]-PROVEEDORES[[#This Row],[PLAZO Días]],0)</f>
        <v>0</v>
      </c>
      <c r="U1388" s="113" t="str">
        <f>+VLOOKUP(PROVEEDORES[[#This Row],[PROVEEDOR]],Terceros!$A:$D,4,FALSE)</f>
        <v>2,5% con base</v>
      </c>
      <c r="V1388" s="114">
        <f>+YEAR(PROVEEDORES[[#This Row],[FECHA DE FACTURACIÓN]])</f>
        <v>2022</v>
      </c>
      <c r="W1388" s="114">
        <f>+MATCH(PROVEEDORES[[#This Row],[año facturado]],Retenciones!$1:$1,0)</f>
        <v>5</v>
      </c>
      <c r="X1388" s="115">
        <f>+VLOOKUP(PROVEEDORES[[#This Row],[ID RETENCION]],Retenciones!$A$1:$O$25,PROVEEDORES[[#This Row],[indicador de columna]],FALSE)</f>
        <v>1026000</v>
      </c>
      <c r="Y1388" s="116">
        <f>+VLOOKUP(PROVEEDORES[[#This Row],[ID RETENCION]],Retenciones!$A$1:$O$25,2,FALSE)</f>
        <v>2.5000000000000001E-2</v>
      </c>
      <c r="Z1388" s="125" t="b">
        <f>OR(COUNTIF(PROVEEDORES[[#This Row],[PROVEEDOR]],"*"&amp;'Palabra no opera'!$A$2&amp;"*"))</f>
        <v>0</v>
      </c>
      <c r="AA1388" s="24"/>
      <c r="AB1388" s="24"/>
      <c r="AC1388" s="24"/>
      <c r="AD1388" s="24"/>
      <c r="AE1388" s="24"/>
    </row>
    <row r="1389" spans="1:31" ht="22.2" customHeight="1" x14ac:dyDescent="0.3">
      <c r="A1389" s="207" t="str">
        <f>+IF(PROVEEDORES[[#This Row],[FECHA DE PAGO]]=PROVEEDORES[[#This Row],[FECHA DE FACTURACIÓN]],"DE CONTADO","CRÉDITO")</f>
        <v>CRÉDITO</v>
      </c>
      <c r="B1389" s="38" t="str">
        <f>+IF((PROVEEDORES[[#This Row],[FECHA DE PAGO]]-PROVEEDORES[[#This Row],[FECHA DE FACTURACIÓN]])&gt;PROVEEDORES[[#This Row],[PLAZO Días]],"PAGO VENCIDO")</f>
        <v>PAGO VENCIDO</v>
      </c>
      <c r="C1389" s="20">
        <f>+VLOOKUP(PROVEEDORES[[#This Row],[PROVEEDOR]],TERCEROS_INFO[#All],2,FALSE)</f>
        <v>30</v>
      </c>
      <c r="D1389" s="25">
        <f>+SUMIFS(PROVEEDORES[Total],PROVEEDORES[PROVEEDOR],PROVEEDORES[[#This Row],[PROVEEDOR]],PROVEEDORES[FECHA DE PAGO],"")</f>
        <v>0</v>
      </c>
      <c r="E1389" s="25"/>
      <c r="F138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89" s="161">
        <v>44855</v>
      </c>
      <c r="H1389" s="26" t="s">
        <v>20</v>
      </c>
      <c r="I1389" s="161">
        <v>44792</v>
      </c>
      <c r="J1389" s="35">
        <v>7659</v>
      </c>
      <c r="K1389" s="21">
        <v>1450000</v>
      </c>
      <c r="L1389" s="21"/>
      <c r="M1389" s="22">
        <f>(PROVEEDORES[[#This Row],[SUBTOTAL]]-PROVEEDORES[[#This Row],[descuento sobre subtotal]])*VLOOKUP(PROVEEDORES[[#This Row],[PROVEEDOR]],TERCEROS_INFO[#All],3,FALSE)</f>
        <v>275500</v>
      </c>
      <c r="N1389" s="23"/>
      <c r="O1389" s="22">
        <f>+PROVEEDORES[[#This Row],[Descuento sobre subtotal %]]*(PROVEEDORES[[#This Row],[SUBTOTAL]]-PROVEEDORES[[#This Row],[descuento sobre subtotal]])</f>
        <v>0</v>
      </c>
      <c r="P1389" s="83">
        <f>+IF(PROVEEDORES[[#This Row],[SUBTOTAL]]&lt;PROVEEDORES[[#This Row],[base retencion]],0,PROVEEDORES[[#This Row],[retención aplicada]])</f>
        <v>2.5000000000000001E-2</v>
      </c>
      <c r="Q1389" s="22">
        <f>+PROVEEDORES[[#This Row],[Rete Fuente %]]*(PROVEEDORES[[#This Row],[SUBTOTAL]]-PROVEEDORES[[#This Row],[descuento sobre subtotal]])</f>
        <v>36250</v>
      </c>
      <c r="R1389" s="21">
        <f>+PROVEEDORES[[#This Row],[SUBTOTAL]]+PROVEEDORES[[#This Row],[IVA 19%]]-PROVEEDORES[[#This Row],[descuento sobre subtotal]]-PROVEEDORES[[#This Row],[Descuento sobre subtotal $2]]-PROVEEDORES[[#This Row],[Rete Fuente $]]</f>
        <v>1689250</v>
      </c>
      <c r="S1389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9" s="68">
        <f ca="1">IF(PROVEEDORES[[#This Row],[FECHA DE PAGO]]=0,TODAY()-PROVEEDORES[[#This Row],[FECHA DE FACTURACIÓN]]-PROVEEDORES[[#This Row],[PLAZO Días]],0)</f>
        <v>0</v>
      </c>
      <c r="U1389" s="113" t="str">
        <f>+VLOOKUP(PROVEEDORES[[#This Row],[PROVEEDOR]],Terceros!$A:$D,4,FALSE)</f>
        <v>2,5% con base</v>
      </c>
      <c r="V1389" s="114">
        <f>+YEAR(PROVEEDORES[[#This Row],[FECHA DE FACTURACIÓN]])</f>
        <v>2022</v>
      </c>
      <c r="W1389" s="114">
        <f>+MATCH(PROVEEDORES[[#This Row],[año facturado]],Retenciones!$1:$1,0)</f>
        <v>5</v>
      </c>
      <c r="X1389" s="115">
        <f>+VLOOKUP(PROVEEDORES[[#This Row],[ID RETENCION]],Retenciones!$A$1:$O$25,PROVEEDORES[[#This Row],[indicador de columna]],FALSE)</f>
        <v>1026000</v>
      </c>
      <c r="Y1389" s="116">
        <f>+VLOOKUP(PROVEEDORES[[#This Row],[ID RETENCION]],Retenciones!$A$1:$O$25,2,FALSE)</f>
        <v>2.5000000000000001E-2</v>
      </c>
      <c r="Z1389" s="125" t="b">
        <f>OR(COUNTIF(PROVEEDORES[[#This Row],[PROVEEDOR]],"*"&amp;'Palabra no opera'!$A$2&amp;"*"))</f>
        <v>0</v>
      </c>
      <c r="AA1389" s="24"/>
      <c r="AB1389" s="24"/>
      <c r="AC1389" s="24"/>
      <c r="AD1389" s="24"/>
      <c r="AE1389" s="24"/>
    </row>
    <row r="1390" spans="1:31" ht="22.2" customHeight="1" x14ac:dyDescent="0.3">
      <c r="A1390" s="66" t="str">
        <f>+IF(PROVEEDORES[[#This Row],[FECHA DE PAGO]]=PROVEEDORES[[#This Row],[FECHA DE FACTURACIÓN]],"DE CONTADO","CRÉDITO")</f>
        <v>CRÉDITO</v>
      </c>
      <c r="B1390" s="38" t="b">
        <f>+IF((PROVEEDORES[[#This Row],[FECHA DE PAGO]]-PROVEEDORES[[#This Row],[FECHA DE FACTURACIÓN]])&gt;PROVEEDORES[[#This Row],[PLAZO Días]],"PAGO VENCIDO")</f>
        <v>0</v>
      </c>
      <c r="C1390" s="20">
        <f>+VLOOKUP(PROVEEDORES[[#This Row],[PROVEEDOR]],TERCEROS_INFO[#All],2,FALSE)</f>
        <v>30</v>
      </c>
      <c r="D1390" s="25">
        <f>+SUMIFS(PROVEEDORES[Total],PROVEEDORES[PROVEEDOR],PROVEEDORES[[#This Row],[PROVEEDOR]],PROVEEDORES[FECHA DE PAGO],"")</f>
        <v>2223034.2400000002</v>
      </c>
      <c r="E1390" s="25"/>
      <c r="F139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90" s="161">
        <v>44552</v>
      </c>
      <c r="H1390" s="26" t="s">
        <v>216</v>
      </c>
      <c r="I1390" s="161">
        <v>44530</v>
      </c>
      <c r="J1390" s="35">
        <v>437</v>
      </c>
      <c r="K1390" s="21">
        <v>1452941</v>
      </c>
      <c r="L1390" s="21"/>
      <c r="M1390" s="22">
        <f>(PROVEEDORES[[#This Row],[SUBTOTAL]]-PROVEEDORES[[#This Row],[descuento sobre subtotal]])*VLOOKUP(PROVEEDORES[[#This Row],[PROVEEDOR]],TERCEROS_INFO[#All],3,FALSE)</f>
        <v>276058.78999999998</v>
      </c>
      <c r="N1390" s="23"/>
      <c r="O1390" s="22">
        <f>+PROVEEDORES[[#This Row],[Descuento sobre subtotal %]]*(PROVEEDORES[[#This Row],[SUBTOTAL]]-PROVEEDORES[[#This Row],[descuento sobre subtotal]])</f>
        <v>0</v>
      </c>
      <c r="P1390" s="83">
        <f>+IF(PROVEEDORES[[#This Row],[SUBTOTAL]]&lt;PROVEEDORES[[#This Row],[base retencion]],0,PROVEEDORES[[#This Row],[retención aplicada]])</f>
        <v>2.5000000000000001E-2</v>
      </c>
      <c r="Q1390" s="22">
        <f>+PROVEEDORES[[#This Row],[Rete Fuente %]]*(PROVEEDORES[[#This Row],[SUBTOTAL]]-PROVEEDORES[[#This Row],[descuento sobre subtotal]])</f>
        <v>36323.525000000001</v>
      </c>
      <c r="R1390" s="21">
        <f>+PROVEEDORES[[#This Row],[SUBTOTAL]]+PROVEEDORES[[#This Row],[IVA 19%]]-PROVEEDORES[[#This Row],[descuento sobre subtotal]]-PROVEEDORES[[#This Row],[Descuento sobre subtotal $2]]-PROVEEDORES[[#This Row],[Rete Fuente $]]</f>
        <v>1692676.2650000001</v>
      </c>
      <c r="S13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0" s="68">
        <f ca="1">IF(PROVEEDORES[[#This Row],[FECHA DE PAGO]]=0,TODAY()-PROVEEDORES[[#This Row],[FECHA DE FACTURACIÓN]]-PROVEEDORES[[#This Row],[PLAZO Días]],0)</f>
        <v>0</v>
      </c>
      <c r="U1390" s="96" t="str">
        <f>+VLOOKUP(PROVEEDORES[[#This Row],[PROVEEDOR]],Terceros!$A:$D,4,FALSE)</f>
        <v>2,5% con base</v>
      </c>
      <c r="V1390" s="97">
        <f>+YEAR(PROVEEDORES[[#This Row],[FECHA DE FACTURACIÓN]])</f>
        <v>2021</v>
      </c>
      <c r="W1390" s="97">
        <f>+MATCH(PROVEEDORES[[#This Row],[año facturado]],Retenciones!$1:$1,0)</f>
        <v>4</v>
      </c>
      <c r="X1390" s="98">
        <f>+VLOOKUP(PROVEEDORES[[#This Row],[ID RETENCION]],Retenciones!$A$1:$O$25,PROVEEDORES[[#This Row],[indicador de columna]],FALSE)</f>
        <v>980000</v>
      </c>
      <c r="Y1390" s="99">
        <f>+VLOOKUP(PROVEEDORES[[#This Row],[ID RETENCION]],Retenciones!$A$1:$O$25,2,FALSE)</f>
        <v>2.5000000000000001E-2</v>
      </c>
      <c r="Z1390" s="125" t="b">
        <f>OR(COUNTIF(PROVEEDORES[[#This Row],[PROVEEDOR]],"*"&amp;'Palabra no opera'!$A$2&amp;"*"))</f>
        <v>0</v>
      </c>
      <c r="AA1390" s="24"/>
      <c r="AB1390" s="24"/>
      <c r="AC1390" s="24"/>
      <c r="AD1390" s="24"/>
      <c r="AE1390" s="24"/>
    </row>
    <row r="1391" spans="1:31" ht="22.2" customHeight="1" x14ac:dyDescent="0.3">
      <c r="A1391" s="199" t="str">
        <f>+IF(PROVEEDORES[[#This Row],[FECHA DE PAGO]]=PROVEEDORES[[#This Row],[FECHA DE FACTURACIÓN]],"DE CONTADO","CRÉDITO")</f>
        <v>CRÉDITO</v>
      </c>
      <c r="B1391" s="38" t="str">
        <f>+IF((PROVEEDORES[[#This Row],[FECHA DE PAGO]]-PROVEEDORES[[#This Row],[FECHA DE FACTURACIÓN]])&gt;PROVEEDORES[[#This Row],[PLAZO Días]],"PAGO VENCIDO")</f>
        <v>PAGO VENCIDO</v>
      </c>
      <c r="C1391" s="20">
        <f>+VLOOKUP(PROVEEDORES[[#This Row],[PROVEEDOR]],TERCEROS_INFO[#All],2,FALSE)</f>
        <v>30</v>
      </c>
      <c r="D1391" s="25">
        <f>+SUMIFS(PROVEEDORES[Total],PROVEEDORES[PROVEEDOR],PROVEEDORES[[#This Row],[PROVEEDOR]],PROVEEDORES[FECHA DE PAGO],"")</f>
        <v>23124164.219999999</v>
      </c>
      <c r="E1391" s="25"/>
      <c r="F139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91" s="161">
        <v>44833</v>
      </c>
      <c r="H1391" s="26" t="s">
        <v>18</v>
      </c>
      <c r="I1391" s="161">
        <v>44783</v>
      </c>
      <c r="J1391" s="35">
        <v>1057583</v>
      </c>
      <c r="K1391" s="21">
        <v>1453740.24</v>
      </c>
      <c r="L1391" s="21"/>
      <c r="M1391" s="22">
        <f>(PROVEEDORES[[#This Row],[SUBTOTAL]]-PROVEEDORES[[#This Row],[descuento sobre subtotal]])*VLOOKUP(PROVEEDORES[[#This Row],[PROVEEDOR]],TERCEROS_INFO[#All],3,FALSE)</f>
        <v>276210.64559999999</v>
      </c>
      <c r="N1391" s="23"/>
      <c r="O1391" s="22">
        <f>+PROVEEDORES[[#This Row],[Descuento sobre subtotal %]]*(PROVEEDORES[[#This Row],[SUBTOTAL]]-PROVEEDORES[[#This Row],[descuento sobre subtotal]])</f>
        <v>0</v>
      </c>
      <c r="P1391" s="83">
        <f>+IF(PROVEEDORES[[#This Row],[SUBTOTAL]]&lt;PROVEEDORES[[#This Row],[base retencion]],0,PROVEEDORES[[#This Row],[retención aplicada]])</f>
        <v>2.5000000000000001E-2</v>
      </c>
      <c r="Q1391" s="22">
        <f>+PROVEEDORES[[#This Row],[Rete Fuente %]]*(PROVEEDORES[[#This Row],[SUBTOTAL]]-PROVEEDORES[[#This Row],[descuento sobre subtotal]])</f>
        <v>36343.506000000001</v>
      </c>
      <c r="R1391" s="21">
        <f>+PROVEEDORES[[#This Row],[SUBTOTAL]]+PROVEEDORES[[#This Row],[IVA 19%]]-PROVEEDORES[[#This Row],[descuento sobre subtotal]]-PROVEEDORES[[#This Row],[Descuento sobre subtotal $2]]-PROVEEDORES[[#This Row],[Rete Fuente $]]</f>
        <v>1693607.3795999999</v>
      </c>
      <c r="S1391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1" s="68">
        <f ca="1">IF(PROVEEDORES[[#This Row],[FECHA DE PAGO]]=0,TODAY()-PROVEEDORES[[#This Row],[FECHA DE FACTURACIÓN]]-PROVEEDORES[[#This Row],[PLAZO Días]],0)</f>
        <v>0</v>
      </c>
      <c r="U1391" s="113" t="str">
        <f>+VLOOKUP(PROVEEDORES[[#This Row],[PROVEEDOR]],Terceros!$A:$D,4,FALSE)</f>
        <v>2,5% con base</v>
      </c>
      <c r="V1391" s="114">
        <f>+YEAR(PROVEEDORES[[#This Row],[FECHA DE FACTURACIÓN]])</f>
        <v>2022</v>
      </c>
      <c r="W1391" s="114">
        <f>+MATCH(PROVEEDORES[[#This Row],[año facturado]],Retenciones!$1:$1,0)</f>
        <v>5</v>
      </c>
      <c r="X1391" s="115">
        <f>+VLOOKUP(PROVEEDORES[[#This Row],[ID RETENCION]],Retenciones!$A$1:$O$25,PROVEEDORES[[#This Row],[indicador de columna]],FALSE)</f>
        <v>1026000</v>
      </c>
      <c r="Y1391" s="116">
        <f>+VLOOKUP(PROVEEDORES[[#This Row],[ID RETENCION]],Retenciones!$A$1:$O$25,2,FALSE)</f>
        <v>2.5000000000000001E-2</v>
      </c>
      <c r="Z1391" s="125" t="b">
        <f>OR(COUNTIF(PROVEEDORES[[#This Row],[PROVEEDOR]],"*"&amp;'Palabra no opera'!$A$2&amp;"*"))</f>
        <v>0</v>
      </c>
      <c r="AA1391" s="24"/>
      <c r="AB1391" s="24"/>
      <c r="AC1391" s="24"/>
      <c r="AD1391" s="24"/>
      <c r="AE1391" s="24"/>
    </row>
    <row r="1392" spans="1:31" ht="22.2" customHeight="1" x14ac:dyDescent="0.3">
      <c r="A1392" s="159" t="str">
        <f>+IF(PROVEEDORES[[#This Row],[FECHA DE PAGO]]=PROVEEDORES[[#This Row],[FECHA DE FACTURACIÓN]],"DE CONTADO","CRÉDITO")</f>
        <v>CRÉDITO</v>
      </c>
      <c r="B1392" s="38" t="str">
        <f>+IF((PROVEEDORES[[#This Row],[FECHA DE PAGO]]-PROVEEDORES[[#This Row],[FECHA DE FACTURACIÓN]])&gt;PROVEEDORES[[#This Row],[PLAZO Días]],"PAGO VENCIDO")</f>
        <v>PAGO VENCIDO</v>
      </c>
      <c r="C1392" s="20">
        <f>+VLOOKUP(PROVEEDORES[[#This Row],[PROVEEDOR]],TERCEROS_INFO[#All],2,FALSE)</f>
        <v>30</v>
      </c>
      <c r="D1392" s="25">
        <f>+SUMIFS(PROVEEDORES[Total],PROVEEDORES[PROVEEDOR],PROVEEDORES[[#This Row],[PROVEEDOR]],PROVEEDORES[FECHA DE PAGO],"")</f>
        <v>0</v>
      </c>
      <c r="E1392" s="25"/>
      <c r="F139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392" s="161">
        <v>44799</v>
      </c>
      <c r="H1392" s="26" t="s">
        <v>746</v>
      </c>
      <c r="I1392" s="161">
        <v>44728</v>
      </c>
      <c r="J1392" s="35">
        <v>2396</v>
      </c>
      <c r="K1392" s="21">
        <v>1458823.53</v>
      </c>
      <c r="L1392" s="21"/>
      <c r="M1392" s="22">
        <f>(PROVEEDORES[[#This Row],[SUBTOTAL]]-PROVEEDORES[[#This Row],[descuento sobre subtotal]])*VLOOKUP(PROVEEDORES[[#This Row],[PROVEEDOR]],TERCEROS_INFO[#All],3,FALSE)</f>
        <v>277176.47070000001</v>
      </c>
      <c r="N1392" s="23"/>
      <c r="O1392" s="22">
        <f>+PROVEEDORES[[#This Row],[Descuento sobre subtotal %]]*(PROVEEDORES[[#This Row],[SUBTOTAL]]-PROVEEDORES[[#This Row],[descuento sobre subtotal]])</f>
        <v>0</v>
      </c>
      <c r="P1392" s="83">
        <f>+IF(PROVEEDORES[[#This Row],[SUBTOTAL]]&lt;PROVEEDORES[[#This Row],[base retencion]],0,PROVEEDORES[[#This Row],[retención aplicada]])</f>
        <v>2.5000000000000001E-2</v>
      </c>
      <c r="Q1392" s="22">
        <f>+PROVEEDORES[[#This Row],[Rete Fuente %]]*(PROVEEDORES[[#This Row],[SUBTOTAL]]-PROVEEDORES[[#This Row],[descuento sobre subtotal]])</f>
        <v>36470.588250000001</v>
      </c>
      <c r="R1392" s="21">
        <f>+PROVEEDORES[[#This Row],[SUBTOTAL]]+PROVEEDORES[[#This Row],[IVA 19%]]-PROVEEDORES[[#This Row],[descuento sobre subtotal]]-PROVEEDORES[[#This Row],[Descuento sobre subtotal $2]]-PROVEEDORES[[#This Row],[Rete Fuente $]]</f>
        <v>1699529.4124499999</v>
      </c>
      <c r="S1392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2" s="68">
        <f ca="1">IF(PROVEEDORES[[#This Row],[FECHA DE PAGO]]=0,TODAY()-PROVEEDORES[[#This Row],[FECHA DE FACTURACIÓN]]-PROVEEDORES[[#This Row],[PLAZO Días]],0)</f>
        <v>0</v>
      </c>
      <c r="U1392" s="113" t="str">
        <f>+VLOOKUP(PROVEEDORES[[#This Row],[PROVEEDOR]],Terceros!$A:$D,4,FALSE)</f>
        <v>2,5% con base</v>
      </c>
      <c r="V1392" s="114">
        <f>+YEAR(PROVEEDORES[[#This Row],[FECHA DE FACTURACIÓN]])</f>
        <v>2022</v>
      </c>
      <c r="W1392" s="114">
        <f>+MATCH(PROVEEDORES[[#This Row],[año facturado]],Retenciones!$1:$1,0)</f>
        <v>5</v>
      </c>
      <c r="X1392" s="115">
        <f>+VLOOKUP(PROVEEDORES[[#This Row],[ID RETENCION]],Retenciones!$A$1:$O$25,PROVEEDORES[[#This Row],[indicador de columna]],FALSE)</f>
        <v>1026000</v>
      </c>
      <c r="Y1392" s="116">
        <f>+VLOOKUP(PROVEEDORES[[#This Row],[ID RETENCION]],Retenciones!$A$1:$O$25,2,FALSE)</f>
        <v>2.5000000000000001E-2</v>
      </c>
      <c r="Z1392" s="125" t="b">
        <f>OR(COUNTIF(PROVEEDORES[[#This Row],[PROVEEDOR]],"*"&amp;'Palabra no opera'!$A$2&amp;"*"))</f>
        <v>0</v>
      </c>
      <c r="AA1392" s="24"/>
      <c r="AB1392" s="24"/>
      <c r="AC1392" s="24"/>
      <c r="AD1392" s="24"/>
      <c r="AE1392" s="24"/>
    </row>
    <row r="1393" spans="1:31" ht="22.2" customHeight="1" x14ac:dyDescent="0.3">
      <c r="A1393" s="66" t="str">
        <f>+IF(PROVEEDORES[[#This Row],[FECHA DE PAGO]]=PROVEEDORES[[#This Row],[FECHA DE FACTURACIÓN]],"DE CONTADO","CRÉDITO")</f>
        <v>CRÉDITO</v>
      </c>
      <c r="B1393" s="38" t="str">
        <f>+IF((PROVEEDORES[[#This Row],[FECHA DE PAGO]]-PROVEEDORES[[#This Row],[FECHA DE FACTURACIÓN]])&gt;PROVEEDORES[[#This Row],[PLAZO Días]],"PAGO VENCIDO")</f>
        <v>PAGO VENCIDO</v>
      </c>
      <c r="C1393" s="20">
        <f>+VLOOKUP(PROVEEDORES[[#This Row],[PROVEEDOR]],TERCEROS_INFO[#All],2,FALSE)</f>
        <v>30</v>
      </c>
      <c r="D1393" s="25">
        <f>+SUMIFS(PROVEEDORES[Total],PROVEEDORES[PROVEEDOR],PROVEEDORES[[#This Row],[PROVEEDOR]],PROVEEDORES[FECHA DE PAGO],"")</f>
        <v>3430770</v>
      </c>
      <c r="E1393" s="25"/>
      <c r="F139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93" s="161">
        <v>44319</v>
      </c>
      <c r="H1393" s="26" t="s">
        <v>1448</v>
      </c>
      <c r="I1393" s="161">
        <v>44275</v>
      </c>
      <c r="J1393" s="35">
        <v>15294</v>
      </c>
      <c r="K1393" s="21">
        <v>1463200</v>
      </c>
      <c r="L1393" s="21"/>
      <c r="M1393" s="22">
        <f>(PROVEEDORES[[#This Row],[SUBTOTAL]]-PROVEEDORES[[#This Row],[descuento sobre subtotal]])*VLOOKUP(PROVEEDORES[[#This Row],[PROVEEDOR]],TERCEROS_INFO[#All],3,FALSE)</f>
        <v>278008</v>
      </c>
      <c r="N1393" s="23"/>
      <c r="O1393" s="22">
        <f>+PROVEEDORES[[#This Row],[Descuento sobre subtotal %]]*(PROVEEDORES[[#This Row],[SUBTOTAL]]-PROVEEDORES[[#This Row],[descuento sobre subtotal]])</f>
        <v>0</v>
      </c>
      <c r="P1393" s="83">
        <v>2.5000000000000001E-2</v>
      </c>
      <c r="Q1393" s="22">
        <f>+PROVEEDORES[[#This Row],[Rete Fuente %]]*(PROVEEDORES[[#This Row],[SUBTOTAL]]-PROVEEDORES[[#This Row],[descuento sobre subtotal]])</f>
        <v>36580</v>
      </c>
      <c r="R1393" s="21">
        <f>+PROVEEDORES[[#This Row],[SUBTOTAL]]+PROVEEDORES[[#This Row],[IVA 19%]]-PROVEEDORES[[#This Row],[descuento sobre subtotal]]-PROVEEDORES[[#This Row],[Descuento sobre subtotal $2]]-PROVEEDORES[[#This Row],[Rete Fuente $]]</f>
        <v>1704628</v>
      </c>
      <c r="S13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3" s="68">
        <f ca="1">IF(PROVEEDORES[[#This Row],[FECHA DE PAGO]]=0,TODAY()-PROVEEDORES[[#This Row],[FECHA DE FACTURACIÓN]]-PROVEEDORES[[#This Row],[PLAZO Días]],0)</f>
        <v>0</v>
      </c>
      <c r="U1393" s="96">
        <f>+VLOOKUP(PROVEEDORES[[#This Row],[PROVEEDOR]],Terceros!$A:$D,4,FALSE)</f>
        <v>0</v>
      </c>
      <c r="V1393" s="97">
        <f>+YEAR(PROVEEDORES[[#This Row],[FECHA DE FACTURACIÓN]])</f>
        <v>2021</v>
      </c>
      <c r="W1393" s="97">
        <f>+MATCH(PROVEEDORES[[#This Row],[año facturado]],Retenciones!$1:$1,0)</f>
        <v>4</v>
      </c>
      <c r="X1393" s="98">
        <f>+VLOOKUP(PROVEEDORES[[#This Row],[ID RETENCION]],Retenciones!$A$1:$O$25,PROVEEDORES[[#This Row],[indicador de columna]],FALSE)</f>
        <v>0</v>
      </c>
      <c r="Y1393" s="99">
        <f>+VLOOKUP(PROVEEDORES[[#This Row],[ID RETENCION]],Retenciones!$A$1:$O$25,2,FALSE)</f>
        <v>0</v>
      </c>
      <c r="Z1393" s="125" t="b">
        <f>OR(COUNTIF(PROVEEDORES[[#This Row],[PROVEEDOR]],"*"&amp;'Palabra no opera'!$A$2&amp;"*"))</f>
        <v>0</v>
      </c>
      <c r="AA1393" s="24"/>
      <c r="AB1393" s="24"/>
      <c r="AC1393" s="24"/>
      <c r="AD1393" s="24"/>
      <c r="AE1393" s="24"/>
    </row>
    <row r="1394" spans="1:31" ht="22.2" customHeight="1" x14ac:dyDescent="0.3">
      <c r="A1394" s="207" t="str">
        <f>+IF(PROVEEDORES[[#This Row],[FECHA DE PAGO]]=PROVEEDORES[[#This Row],[FECHA DE FACTURACIÓN]],"DE CONTADO","CRÉDITO")</f>
        <v>CRÉDITO</v>
      </c>
      <c r="B1394" s="38" t="b">
        <f>+IF((PROVEEDORES[[#This Row],[FECHA DE PAGO]]-PROVEEDORES[[#This Row],[FECHA DE FACTURACIÓN]])&gt;PROVEEDORES[[#This Row],[PLAZO Días]],"PAGO VENCIDO")</f>
        <v>0</v>
      </c>
      <c r="C1394" s="20">
        <f>+VLOOKUP(PROVEEDORES[[#This Row],[PROVEEDOR]],TERCEROS_INFO[#All],2,FALSE)</f>
        <v>30</v>
      </c>
      <c r="D1394" s="25">
        <f>+SUMIFS(PROVEEDORES[Total],PROVEEDORES[PROVEEDOR],PROVEEDORES[[#This Row],[PROVEEDOR]],PROVEEDORES[FECHA DE PAGO],"")</f>
        <v>0</v>
      </c>
      <c r="E1394" s="25"/>
      <c r="F1394" s="58" t="str">
        <f>+VLOOKUP(PROVEEDORES[[#This Row],[PROVEEDOR]],
                       Terceros!$A:$F,
                       5,
                       FALSE)</f>
        <v/>
      </c>
      <c r="G1394" s="161">
        <v>44793</v>
      </c>
      <c r="H1394" s="26" t="s">
        <v>638</v>
      </c>
      <c r="I1394" s="161">
        <v>44785</v>
      </c>
      <c r="J1394" s="35" t="s">
        <v>1425</v>
      </c>
      <c r="K1394" s="21">
        <v>1708000</v>
      </c>
      <c r="L1394" s="21"/>
      <c r="M1394" s="22">
        <f>(PROVEEDORES[[#This Row],[SUBTOTAL]]-PROVEEDORES[[#This Row],[descuento sobre subtotal]])*VLOOKUP(PROVEEDORES[[#This Row],[PROVEEDOR]],TERCEROS_INFO[#All],3,FALSE)</f>
        <v>0</v>
      </c>
      <c r="N1394" s="23"/>
      <c r="O1394" s="22">
        <f>+PROVEEDORES[[#This Row],[Descuento sobre subtotal %]]*(PROVEEDORES[[#This Row],[SUBTOTAL]]-PROVEEDORES[[#This Row],[descuento sobre subtotal]])</f>
        <v>0</v>
      </c>
      <c r="P1394" s="83">
        <f>+IF(PROVEEDORES[[#This Row],[SUBTOTAL]]&lt;PROVEEDORES[[#This Row],[base retencion]],0,PROVEEDORES[[#This Row],[retención aplicada]])</f>
        <v>0</v>
      </c>
      <c r="Q1394" s="22">
        <f>+PROVEEDORES[[#This Row],[Rete Fuente %]]*(PROVEEDORES[[#This Row],[SUBTOTAL]]-PROVEEDORES[[#This Row],[descuento sobre subtotal]])</f>
        <v>0</v>
      </c>
      <c r="R1394" s="21">
        <f>+PROVEEDORES[[#This Row],[SUBTOTAL]]+PROVEEDORES[[#This Row],[IVA 19%]]-PROVEEDORES[[#This Row],[descuento sobre subtotal]]-PROVEEDORES[[#This Row],[Descuento sobre subtotal $2]]-PROVEEDORES[[#This Row],[Rete Fuente $]]</f>
        <v>1708000</v>
      </c>
      <c r="S1394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4" s="68">
        <f ca="1">IF(PROVEEDORES[[#This Row],[FECHA DE PAGO]]=0,TODAY()-PROVEEDORES[[#This Row],[FECHA DE FACTURACIÓN]]-PROVEEDORES[[#This Row],[PLAZO Días]],0)</f>
        <v>0</v>
      </c>
      <c r="U1394" s="113">
        <f>+VLOOKUP(PROVEEDORES[[#This Row],[PROVEEDOR]],Terceros!$A:$D,4,FALSE)</f>
        <v>0</v>
      </c>
      <c r="V1394" s="114">
        <f>+YEAR(PROVEEDORES[[#This Row],[FECHA DE FACTURACIÓN]])</f>
        <v>2022</v>
      </c>
      <c r="W1394" s="114">
        <f>+MATCH(PROVEEDORES[[#This Row],[año facturado]],Retenciones!$1:$1,0)</f>
        <v>5</v>
      </c>
      <c r="X1394" s="115">
        <f>+VLOOKUP(PROVEEDORES[[#This Row],[ID RETENCION]],Retenciones!$A$1:$O$25,PROVEEDORES[[#This Row],[indicador de columna]],FALSE)</f>
        <v>0</v>
      </c>
      <c r="Y1394" s="116">
        <f>+VLOOKUP(PROVEEDORES[[#This Row],[ID RETENCION]],Retenciones!$A$1:$O$25,2,FALSE)</f>
        <v>0</v>
      </c>
      <c r="Z1394" s="125" t="b">
        <f>OR(COUNTIF(PROVEEDORES[[#This Row],[PROVEEDOR]],"*"&amp;'Palabra no opera'!$A$2&amp;"*"))</f>
        <v>0</v>
      </c>
      <c r="AA1394" s="24"/>
      <c r="AB1394" s="24"/>
      <c r="AC1394" s="24"/>
      <c r="AD1394" s="24"/>
      <c r="AE1394" s="24"/>
    </row>
    <row r="1395" spans="1:31" ht="22.2" customHeight="1" x14ac:dyDescent="0.3">
      <c r="A1395" s="66" t="str">
        <f>+IF(PROVEEDORES[[#This Row],[FECHA DE PAGO]]=PROVEEDORES[[#This Row],[FECHA DE FACTURACIÓN]],"DE CONTADO","CRÉDITO")</f>
        <v>DE CONTADO</v>
      </c>
      <c r="B1395" s="38" t="b">
        <f>+IF((PROVEEDORES[[#This Row],[FECHA DE PAGO]]-PROVEEDORES[[#This Row],[FECHA DE FACTURACIÓN]])&gt;PROVEEDORES[[#This Row],[PLAZO Días]],"PAGO VENCIDO")</f>
        <v>0</v>
      </c>
      <c r="C1395" s="20">
        <f>+VLOOKUP(PROVEEDORES[[#This Row],[PROVEEDOR]],TERCEROS_INFO[#All],2,FALSE)</f>
        <v>30</v>
      </c>
      <c r="D1395" s="25">
        <f>+SUMIFS(PROVEEDORES[Total],PROVEEDORES[PROVEEDOR],PROVEEDORES[[#This Row],[PROVEEDOR]],PROVEEDORES[FECHA DE PAGO],"")</f>
        <v>0</v>
      </c>
      <c r="E1395" s="25"/>
      <c r="F1395" s="58" t="str">
        <f>+VLOOKUP(PROVEEDORES[[#This Row],[PROVEEDOR]],
                       Terceros!$A:$F,
                       5,
                       FALSE)</f>
        <v/>
      </c>
      <c r="G1395" s="161">
        <v>44257</v>
      </c>
      <c r="H1395" s="26" t="s">
        <v>638</v>
      </c>
      <c r="I1395" s="161">
        <v>44257</v>
      </c>
      <c r="J1395" s="35" t="s">
        <v>1194</v>
      </c>
      <c r="K1395" s="21">
        <v>1711000</v>
      </c>
      <c r="L1395" s="21"/>
      <c r="M1395" s="22">
        <f>(PROVEEDORES[[#This Row],[SUBTOTAL]]-PROVEEDORES[[#This Row],[descuento sobre subtotal]])*VLOOKUP(PROVEEDORES[[#This Row],[PROVEEDOR]],TERCEROS_INFO[#All],3,FALSE)</f>
        <v>0</v>
      </c>
      <c r="N1395" s="23"/>
      <c r="O1395" s="22">
        <f>+PROVEEDORES[[#This Row],[Descuento sobre subtotal %]]*(PROVEEDORES[[#This Row],[SUBTOTAL]]-PROVEEDORES[[#This Row],[descuento sobre subtotal]])</f>
        <v>0</v>
      </c>
      <c r="P1395" s="83">
        <f>+IF(PROVEEDORES[[#This Row],[SUBTOTAL]]&lt;PROVEEDORES[[#This Row],[base retencion]],0,PROVEEDORES[[#This Row],[retención aplicada]])</f>
        <v>0</v>
      </c>
      <c r="Q1395" s="22">
        <f>+PROVEEDORES[[#This Row],[Rete Fuente %]]*(PROVEEDORES[[#This Row],[SUBTOTAL]]-PROVEEDORES[[#This Row],[descuento sobre subtotal]])</f>
        <v>0</v>
      </c>
      <c r="R1395" s="21">
        <f>+PROVEEDORES[[#This Row],[SUBTOTAL]]+PROVEEDORES[[#This Row],[IVA 19%]]-PROVEEDORES[[#This Row],[descuento sobre subtotal]]-PROVEEDORES[[#This Row],[Descuento sobre subtotal $2]]-PROVEEDORES[[#This Row],[Rete Fuente $]]</f>
        <v>1711000</v>
      </c>
      <c r="S13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5" s="68">
        <f ca="1">IF(PROVEEDORES[[#This Row],[FECHA DE PAGO]]=0,TODAY()-PROVEEDORES[[#This Row],[FECHA DE FACTURACIÓN]]-PROVEEDORES[[#This Row],[PLAZO Días]],0)</f>
        <v>0</v>
      </c>
      <c r="U1395" s="96">
        <f>+VLOOKUP(PROVEEDORES[[#This Row],[PROVEEDOR]],Terceros!$A:$D,4,FALSE)</f>
        <v>0</v>
      </c>
      <c r="V1395" s="97">
        <f>+YEAR(PROVEEDORES[[#This Row],[FECHA DE FACTURACIÓN]])</f>
        <v>2021</v>
      </c>
      <c r="W1395" s="97">
        <f>+MATCH(PROVEEDORES[[#This Row],[año facturado]],Retenciones!$1:$1,0)</f>
        <v>4</v>
      </c>
      <c r="X1395" s="98">
        <f>+VLOOKUP(PROVEEDORES[[#This Row],[ID RETENCION]],Retenciones!$A$1:$O$25,PROVEEDORES[[#This Row],[indicador de columna]],FALSE)</f>
        <v>0</v>
      </c>
      <c r="Y1395" s="99">
        <f>+VLOOKUP(PROVEEDORES[[#This Row],[ID RETENCION]],Retenciones!$A$1:$O$25,2,FALSE)</f>
        <v>0</v>
      </c>
      <c r="Z1395" s="125" t="b">
        <f>OR(COUNTIF(PROVEEDORES[[#This Row],[PROVEEDOR]],"*"&amp;'Palabra no opera'!$A$2&amp;"*"))</f>
        <v>0</v>
      </c>
      <c r="AA1395" s="24"/>
      <c r="AB1395" s="24"/>
      <c r="AC1395" s="24"/>
      <c r="AD1395" s="24"/>
      <c r="AE1395" s="24"/>
    </row>
    <row r="1396" spans="1:31" ht="22.2" customHeight="1" x14ac:dyDescent="0.3">
      <c r="A1396" s="66" t="str">
        <f>+IF(PROVEEDORES[[#This Row],[FECHA DE PAGO]]=PROVEEDORES[[#This Row],[FECHA DE FACTURACIÓN]],"DE CONTADO","CRÉDITO")</f>
        <v>CRÉDITO</v>
      </c>
      <c r="B1396" s="38" t="str">
        <f>+IF((PROVEEDORES[[#This Row],[FECHA DE PAGO]]-PROVEEDORES[[#This Row],[FECHA DE FACTURACIÓN]])&gt;PROVEEDORES[[#This Row],[PLAZO Días]],"PAGO VENCIDO")</f>
        <v>PAGO VENCIDO</v>
      </c>
      <c r="C1396" s="20">
        <f>+VLOOKUP(PROVEEDORES[[#This Row],[PROVEEDOR]],TERCEROS_INFO[#All],2,FALSE)</f>
        <v>45</v>
      </c>
      <c r="D1396" s="25">
        <f>+SUMIFS(PROVEEDORES[Total],PROVEEDORES[PROVEEDOR],PROVEEDORES[[#This Row],[PROVEEDOR]],PROVEEDORES[FECHA DE PAGO],"")</f>
        <v>2604910</v>
      </c>
      <c r="E1396" s="25"/>
      <c r="F139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96" s="161">
        <v>44418</v>
      </c>
      <c r="H1396" s="26" t="s">
        <v>10</v>
      </c>
      <c r="I1396" s="161">
        <v>44368</v>
      </c>
      <c r="J1396" s="35" t="s">
        <v>358</v>
      </c>
      <c r="K1396" s="21">
        <v>1440000</v>
      </c>
      <c r="L1396" s="21"/>
      <c r="M1396" s="22">
        <f>(PROVEEDORES[[#This Row],[SUBTOTAL]]-PROVEEDORES[[#This Row],[descuento sobre subtotal]])*VLOOKUP(PROVEEDORES[[#This Row],[PROVEEDOR]],TERCEROS_INFO[#All],3,FALSE)</f>
        <v>273600</v>
      </c>
      <c r="N1396" s="23"/>
      <c r="O1396" s="22">
        <f>+PROVEEDORES[[#This Row],[Descuento sobre subtotal %]]*(PROVEEDORES[[#This Row],[SUBTOTAL]]-PROVEEDORES[[#This Row],[descuento sobre subtotal]])</f>
        <v>0</v>
      </c>
      <c r="P1396" s="83">
        <f>+IF(PROVEEDORES[[#This Row],[SUBTOTAL]]&lt;PROVEEDORES[[#This Row],[base retencion]],0,PROVEEDORES[[#This Row],[retención aplicada]])</f>
        <v>0</v>
      </c>
      <c r="Q1396" s="22">
        <f>+PROVEEDORES[[#This Row],[Rete Fuente %]]*(PROVEEDORES[[#This Row],[SUBTOTAL]]-PROVEEDORES[[#This Row],[descuento sobre subtotal]])</f>
        <v>0</v>
      </c>
      <c r="R1396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13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6" s="68">
        <f ca="1">IF(PROVEEDORES[[#This Row],[FECHA DE PAGO]]=0,TODAY()-PROVEEDORES[[#This Row],[FECHA DE FACTURACIÓN]]-PROVEEDORES[[#This Row],[PLAZO Días]],0)</f>
        <v>0</v>
      </c>
      <c r="U1396" s="96">
        <f>+VLOOKUP(PROVEEDORES[[#This Row],[PROVEEDOR]],Terceros!$A:$D,4,FALSE)</f>
        <v>0</v>
      </c>
      <c r="V1396" s="97">
        <f>+YEAR(PROVEEDORES[[#This Row],[FECHA DE FACTURACIÓN]])</f>
        <v>2021</v>
      </c>
      <c r="W1396" s="97">
        <f>+MATCH(PROVEEDORES[[#This Row],[año facturado]],Retenciones!$1:$1,0)</f>
        <v>4</v>
      </c>
      <c r="X1396" s="98">
        <f>+VLOOKUP(PROVEEDORES[[#This Row],[ID RETENCION]],Retenciones!$A$1:$O$25,PROVEEDORES[[#This Row],[indicador de columna]],FALSE)</f>
        <v>0</v>
      </c>
      <c r="Y1396" s="99">
        <f>+VLOOKUP(PROVEEDORES[[#This Row],[ID RETENCION]],Retenciones!$A$1:$O$25,2,FALSE)</f>
        <v>0</v>
      </c>
      <c r="Z1396" s="125" t="b">
        <f>OR(COUNTIF(PROVEEDORES[[#This Row],[PROVEEDOR]],"*"&amp;'Palabra no opera'!$A$2&amp;"*"))</f>
        <v>0</v>
      </c>
      <c r="AA1396" s="24"/>
      <c r="AB1396" s="24"/>
      <c r="AC1396" s="24"/>
      <c r="AD1396" s="24"/>
      <c r="AE1396" s="24"/>
    </row>
    <row r="1397" spans="1:31" ht="22.2" customHeight="1" x14ac:dyDescent="0.3">
      <c r="A1397" s="159" t="str">
        <f>+IF(PROVEEDORES[[#This Row],[FECHA DE PAGO]]=PROVEEDORES[[#This Row],[FECHA DE FACTURACIÓN]],"DE CONTADO","CRÉDITO")</f>
        <v>CRÉDITO</v>
      </c>
      <c r="B1397" s="38" t="str">
        <f>+IF((PROVEEDORES[[#This Row],[FECHA DE PAGO]]-PROVEEDORES[[#This Row],[FECHA DE FACTURACIÓN]])&gt;PROVEEDORES[[#This Row],[PLAZO Días]],"PAGO VENCIDO")</f>
        <v>PAGO VENCIDO</v>
      </c>
      <c r="C1397" s="20">
        <f>+VLOOKUP(PROVEEDORES[[#This Row],[PROVEEDOR]],TERCEROS_INFO[#All],2,FALSE)</f>
        <v>45</v>
      </c>
      <c r="D1397" s="25">
        <f>+SUMIFS(PROVEEDORES[Total],PROVEEDORES[PROVEEDOR],PROVEEDORES[[#This Row],[PROVEEDOR]],PROVEEDORES[FECHA DE PAGO],"")</f>
        <v>2604910</v>
      </c>
      <c r="E1397" s="25"/>
      <c r="F139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97" s="161">
        <v>44776</v>
      </c>
      <c r="H1397" s="26" t="s">
        <v>10</v>
      </c>
      <c r="I1397" s="161">
        <v>44718</v>
      </c>
      <c r="J1397" s="35" t="s">
        <v>1035</v>
      </c>
      <c r="K1397" s="21">
        <v>1440000</v>
      </c>
      <c r="L1397" s="21"/>
      <c r="M1397" s="22">
        <f>(PROVEEDORES[[#This Row],[SUBTOTAL]]-PROVEEDORES[[#This Row],[descuento sobre subtotal]])*VLOOKUP(PROVEEDORES[[#This Row],[PROVEEDOR]],TERCEROS_INFO[#All],3,FALSE)</f>
        <v>273600</v>
      </c>
      <c r="N1397" s="23"/>
      <c r="O1397" s="22">
        <f>+PROVEEDORES[[#This Row],[Descuento sobre subtotal %]]*(PROVEEDORES[[#This Row],[SUBTOTAL]]-PROVEEDORES[[#This Row],[descuento sobre subtotal]])</f>
        <v>0</v>
      </c>
      <c r="P1397" s="83">
        <f>+IF(PROVEEDORES[[#This Row],[SUBTOTAL]]&lt;PROVEEDORES[[#This Row],[base retencion]],0,PROVEEDORES[[#This Row],[retención aplicada]])</f>
        <v>0</v>
      </c>
      <c r="Q1397" s="22">
        <f>+PROVEEDORES[[#This Row],[Rete Fuente %]]*(PROVEEDORES[[#This Row],[SUBTOTAL]]-PROVEEDORES[[#This Row],[descuento sobre subtotal]])</f>
        <v>0</v>
      </c>
      <c r="R1397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139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7" s="68">
        <f ca="1">IF(PROVEEDORES[[#This Row],[FECHA DE PAGO]]=0,TODAY()-PROVEEDORES[[#This Row],[FECHA DE FACTURACIÓN]]-PROVEEDORES[[#This Row],[PLAZO Días]],0)</f>
        <v>0</v>
      </c>
      <c r="U1397" s="113">
        <f>+VLOOKUP(PROVEEDORES[[#This Row],[PROVEEDOR]],Terceros!$A:$D,4,FALSE)</f>
        <v>0</v>
      </c>
      <c r="V1397" s="114">
        <f>+YEAR(PROVEEDORES[[#This Row],[FECHA DE FACTURACIÓN]])</f>
        <v>2022</v>
      </c>
      <c r="W1397" s="114">
        <f>+MATCH(PROVEEDORES[[#This Row],[año facturado]],Retenciones!$1:$1,0)</f>
        <v>5</v>
      </c>
      <c r="X1397" s="115">
        <f>+VLOOKUP(PROVEEDORES[[#This Row],[ID RETENCION]],Retenciones!$A$1:$O$25,PROVEEDORES[[#This Row],[indicador de columna]],FALSE)</f>
        <v>0</v>
      </c>
      <c r="Y1397" s="116">
        <f>+VLOOKUP(PROVEEDORES[[#This Row],[ID RETENCION]],Retenciones!$A$1:$O$25,2,FALSE)</f>
        <v>0</v>
      </c>
      <c r="Z1397" s="125" t="b">
        <f>OR(COUNTIF(PROVEEDORES[[#This Row],[PROVEEDOR]],"*"&amp;'Palabra no opera'!$A$2&amp;"*"))</f>
        <v>0</v>
      </c>
      <c r="AA1397" s="24"/>
      <c r="AB1397" s="24"/>
      <c r="AC1397" s="24"/>
      <c r="AD1397" s="24"/>
      <c r="AE1397" s="24"/>
    </row>
    <row r="1398" spans="1:31" ht="22.2" customHeight="1" x14ac:dyDescent="0.3">
      <c r="A1398" s="66" t="str">
        <f>+IF(PROVEEDORES[[#This Row],[FECHA DE PAGO]]=PROVEEDORES[[#This Row],[FECHA DE FACTURACIÓN]],"DE CONTADO","CRÉDITO")</f>
        <v>CRÉDITO</v>
      </c>
      <c r="B1398" s="38" t="str">
        <f>+IF((PROVEEDORES[[#This Row],[FECHA DE PAGO]]-PROVEEDORES[[#This Row],[FECHA DE FACTURACIÓN]])&gt;PROVEEDORES[[#This Row],[PLAZO Días]],"PAGO VENCIDO")</f>
        <v>PAGO VENCIDO</v>
      </c>
      <c r="C1398" s="20">
        <f>+VLOOKUP(PROVEEDORES[[#This Row],[PROVEEDOR]],TERCEROS_INFO[#All],2,FALSE)</f>
        <v>30</v>
      </c>
      <c r="D1398" s="25">
        <f>+SUMIFS(PROVEEDORES[Total],PROVEEDORES[PROVEEDOR],PROVEEDORES[[#This Row],[PROVEEDOR]],PROVEEDORES[FECHA DE PAGO],"")</f>
        <v>4712021.58</v>
      </c>
      <c r="E1398" s="25"/>
      <c r="F139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98" s="161">
        <v>44617</v>
      </c>
      <c r="H1398" s="26" t="s">
        <v>17</v>
      </c>
      <c r="I1398" s="161">
        <v>44580</v>
      </c>
      <c r="J1398" s="35">
        <v>1864904</v>
      </c>
      <c r="K1398" s="21">
        <v>1440260</v>
      </c>
      <c r="L1398" s="21"/>
      <c r="M1398" s="22">
        <f>(PROVEEDORES[[#This Row],[SUBTOTAL]]-PROVEEDORES[[#This Row],[descuento sobre subtotal]])*VLOOKUP(PROVEEDORES[[#This Row],[PROVEEDOR]],TERCEROS_INFO[#All],3,FALSE)</f>
        <v>273649.40000000002</v>
      </c>
      <c r="N1398" s="23"/>
      <c r="O1398" s="22">
        <f>+PROVEEDORES[[#This Row],[Descuento sobre subtotal %]]*(PROVEEDORES[[#This Row],[SUBTOTAL]]-PROVEEDORES[[#This Row],[descuento sobre subtotal]])</f>
        <v>0</v>
      </c>
      <c r="P1398" s="83">
        <f>+IF(PROVEEDORES[[#This Row],[SUBTOTAL]]&lt;PROVEEDORES[[#This Row],[base retencion]],0,PROVEEDORES[[#This Row],[retención aplicada]])</f>
        <v>0</v>
      </c>
      <c r="Q1398" s="22">
        <f>+PROVEEDORES[[#This Row],[Rete Fuente %]]*(PROVEEDORES[[#This Row],[SUBTOTAL]]-PROVEEDORES[[#This Row],[descuento sobre subtotal]])</f>
        <v>0</v>
      </c>
      <c r="R1398" s="21">
        <v>1713909.4</v>
      </c>
      <c r="S13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8" s="68">
        <f ca="1">IF(PROVEEDORES[[#This Row],[FECHA DE PAGO]]=0,TODAY()-PROVEEDORES[[#This Row],[FECHA DE FACTURACIÓN]]-PROVEEDORES[[#This Row],[PLAZO Días]],0)</f>
        <v>0</v>
      </c>
      <c r="U1398" s="96">
        <f>+VLOOKUP(PROVEEDORES[[#This Row],[PROVEEDOR]],Terceros!$A:$D,4,FALSE)</f>
        <v>0</v>
      </c>
      <c r="V1398" s="97">
        <f>+YEAR(PROVEEDORES[[#This Row],[FECHA DE FACTURACIÓN]])</f>
        <v>2022</v>
      </c>
      <c r="W1398" s="97">
        <f>+MATCH(PROVEEDORES[[#This Row],[año facturado]],Retenciones!$1:$1,0)</f>
        <v>5</v>
      </c>
      <c r="X1398" s="98">
        <f>+VLOOKUP(PROVEEDORES[[#This Row],[ID RETENCION]],Retenciones!$A$1:$O$25,PROVEEDORES[[#This Row],[indicador de columna]],FALSE)</f>
        <v>0</v>
      </c>
      <c r="Y1398" s="99">
        <f>+VLOOKUP(PROVEEDORES[[#This Row],[ID RETENCION]],Retenciones!$A$1:$O$25,2,FALSE)</f>
        <v>0</v>
      </c>
      <c r="Z1398" s="125" t="b">
        <f>OR(COUNTIF(PROVEEDORES[[#This Row],[PROVEEDOR]],"*"&amp;'Palabra no opera'!$A$2&amp;"*"))</f>
        <v>0</v>
      </c>
      <c r="AA1398" s="24"/>
      <c r="AB1398" s="24"/>
      <c r="AC1398" s="24"/>
      <c r="AD1398" s="24"/>
      <c r="AE1398" s="24"/>
    </row>
    <row r="1399" spans="1:31" ht="22.2" customHeight="1" x14ac:dyDescent="0.3">
      <c r="A1399" s="66" t="str">
        <f>+IF(PROVEEDORES[[#This Row],[FECHA DE PAGO]]=PROVEEDORES[[#This Row],[FECHA DE FACTURACIÓN]],"DE CONTADO","CRÉDITO")</f>
        <v>CRÉDITO</v>
      </c>
      <c r="B1399" s="38" t="b">
        <f>+IF((PROVEEDORES[[#This Row],[FECHA DE PAGO]]-PROVEEDORES[[#This Row],[FECHA DE FACTURACIÓN]])&gt;PROVEEDORES[[#This Row],[PLAZO Días]],"PAGO VENCIDO")</f>
        <v>0</v>
      </c>
      <c r="C1399" s="20">
        <f>+VLOOKUP(PROVEEDORES[[#This Row],[PROVEEDOR]],TERCEROS_INFO[#All],2,FALSE)</f>
        <v>30</v>
      </c>
      <c r="D1399" s="25">
        <f>+SUMIFS(PROVEEDORES[Total],PROVEEDORES[PROVEEDOR],PROVEEDORES[[#This Row],[PROVEEDOR]],PROVEEDORES[FECHA DE PAGO],"")</f>
        <v>0</v>
      </c>
      <c r="E1399" s="25"/>
      <c r="F139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99" s="161">
        <v>44543</v>
      </c>
      <c r="H1399" s="26" t="s">
        <v>118</v>
      </c>
      <c r="I1399" s="161">
        <v>44542</v>
      </c>
      <c r="J1399" s="35" t="s">
        <v>1360</v>
      </c>
      <c r="K1399" s="21">
        <v>1715000</v>
      </c>
      <c r="L1399" s="21"/>
      <c r="M1399" s="22">
        <f>(PROVEEDORES[[#This Row],[SUBTOTAL]]-PROVEEDORES[[#This Row],[descuento sobre subtotal]])*VLOOKUP(PROVEEDORES[[#This Row],[PROVEEDOR]],TERCEROS_INFO[#All],3,FALSE)</f>
        <v>0</v>
      </c>
      <c r="N1399" s="23"/>
      <c r="O1399" s="22">
        <f>+PROVEEDORES[[#This Row],[Descuento sobre subtotal %]]*(PROVEEDORES[[#This Row],[SUBTOTAL]]-PROVEEDORES[[#This Row],[descuento sobre subtotal]])</f>
        <v>0</v>
      </c>
      <c r="P1399" s="83">
        <f>+IF(PROVEEDORES[[#This Row],[SUBTOTAL]]&lt;PROVEEDORES[[#This Row],[base retencion]],0,PROVEEDORES[[#This Row],[retención aplicada]])</f>
        <v>0</v>
      </c>
      <c r="Q1399" s="22">
        <f>+PROVEEDORES[[#This Row],[Rete Fuente %]]*(PROVEEDORES[[#This Row],[SUBTOTAL]]-PROVEEDORES[[#This Row],[descuento sobre subtotal]])</f>
        <v>0</v>
      </c>
      <c r="R1399" s="21">
        <f>+PROVEEDORES[[#This Row],[SUBTOTAL]]+PROVEEDORES[[#This Row],[IVA 19%]]-PROVEEDORES[[#This Row],[descuento sobre subtotal]]-PROVEEDORES[[#This Row],[Descuento sobre subtotal $2]]-PROVEEDORES[[#This Row],[Rete Fuente $]]</f>
        <v>1715000</v>
      </c>
      <c r="S13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9" s="68">
        <f ca="1">IF(PROVEEDORES[[#This Row],[FECHA DE PAGO]]=0,TODAY()-PROVEEDORES[[#This Row],[FECHA DE FACTURACIÓN]]-PROVEEDORES[[#This Row],[PLAZO Días]],0)</f>
        <v>0</v>
      </c>
      <c r="U1399" s="96">
        <f>+VLOOKUP(PROVEEDORES[[#This Row],[PROVEEDOR]],Terceros!$A:$D,4,FALSE)</f>
        <v>0</v>
      </c>
      <c r="V1399" s="97">
        <f>+YEAR(PROVEEDORES[[#This Row],[FECHA DE FACTURACIÓN]])</f>
        <v>2021</v>
      </c>
      <c r="W1399" s="97">
        <f>+MATCH(PROVEEDORES[[#This Row],[año facturado]],Retenciones!$1:$1,0)</f>
        <v>4</v>
      </c>
      <c r="X1399" s="98">
        <f>+VLOOKUP(PROVEEDORES[[#This Row],[ID RETENCION]],Retenciones!$A$1:$O$25,PROVEEDORES[[#This Row],[indicador de columna]],FALSE)</f>
        <v>0</v>
      </c>
      <c r="Y1399" s="99">
        <f>+VLOOKUP(PROVEEDORES[[#This Row],[ID RETENCION]],Retenciones!$A$1:$O$25,2,FALSE)</f>
        <v>0</v>
      </c>
      <c r="Z1399" s="125" t="b">
        <f>OR(COUNTIF(PROVEEDORES[[#This Row],[PROVEEDOR]],"*"&amp;'Palabra no opera'!$A$2&amp;"*"))</f>
        <v>0</v>
      </c>
      <c r="AA1399" s="24"/>
      <c r="AB1399" s="24"/>
      <c r="AC1399" s="24"/>
      <c r="AD1399" s="24"/>
      <c r="AE1399" s="24"/>
    </row>
    <row r="1400" spans="1:31" ht="22.2" customHeight="1" x14ac:dyDescent="0.3">
      <c r="A1400" s="66" t="str">
        <f>+IF(PROVEEDORES[[#This Row],[FECHA DE PAGO]]=PROVEEDORES[[#This Row],[FECHA DE FACTURACIÓN]],"DE CONTADO","CRÉDITO")</f>
        <v>CRÉDITO</v>
      </c>
      <c r="B1400" s="38" t="str">
        <f>+IF((PROVEEDORES[[#This Row],[FECHA DE PAGO]]-PROVEEDORES[[#This Row],[FECHA DE FACTURACIÓN]])&gt;PROVEEDORES[[#This Row],[PLAZO Días]],"PAGO VENCIDO")</f>
        <v>PAGO VENCIDO</v>
      </c>
      <c r="C1400" s="20">
        <f>+VLOOKUP(PROVEEDORES[[#This Row],[PROVEEDOR]],TERCEROS_INFO[#All],2,FALSE)</f>
        <v>30</v>
      </c>
      <c r="D1400" s="25">
        <f>+SUMIFS(PROVEEDORES[Total],PROVEEDORES[PROVEEDOR],PROVEEDORES[[#This Row],[PROVEEDOR]],PROVEEDORES[FECHA DE PAGO],"")</f>
        <v>2223034.2400000002</v>
      </c>
      <c r="E1400" s="25"/>
      <c r="F140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00" s="161">
        <v>44348</v>
      </c>
      <c r="H1400" s="26" t="s">
        <v>216</v>
      </c>
      <c r="I1400" s="161">
        <v>44274</v>
      </c>
      <c r="J1400" s="35">
        <v>219</v>
      </c>
      <c r="K1400" s="21">
        <v>1477310</v>
      </c>
      <c r="L1400" s="21"/>
      <c r="M1400" s="22">
        <f>(PROVEEDORES[[#This Row],[SUBTOTAL]]-PROVEEDORES[[#This Row],[descuento sobre subtotal]])*VLOOKUP(PROVEEDORES[[#This Row],[PROVEEDOR]],TERCEROS_INFO[#All],3,FALSE)</f>
        <v>280688.90000000002</v>
      </c>
      <c r="N1400" s="23"/>
      <c r="O1400" s="22">
        <f>+PROVEEDORES[[#This Row],[Descuento sobre subtotal %]]*(PROVEEDORES[[#This Row],[SUBTOTAL]]-PROVEEDORES[[#This Row],[descuento sobre subtotal]])</f>
        <v>0</v>
      </c>
      <c r="P1400" s="83">
        <f>+IF(PROVEEDORES[[#This Row],[SUBTOTAL]]&lt;PROVEEDORES[[#This Row],[base retencion]],0,PROVEEDORES[[#This Row],[retención aplicada]])</f>
        <v>2.5000000000000001E-2</v>
      </c>
      <c r="Q1400" s="22">
        <f>+PROVEEDORES[[#This Row],[Rete Fuente %]]*(PROVEEDORES[[#This Row],[SUBTOTAL]]-PROVEEDORES[[#This Row],[descuento sobre subtotal]])</f>
        <v>36932.75</v>
      </c>
      <c r="R1400" s="21">
        <f>+PROVEEDORES[[#This Row],[SUBTOTAL]]+PROVEEDORES[[#This Row],[IVA 19%]]-PROVEEDORES[[#This Row],[descuento sobre subtotal]]-PROVEEDORES[[#This Row],[Descuento sobre subtotal $2]]-PROVEEDORES[[#This Row],[Rete Fuente $]]</f>
        <v>1721066.15</v>
      </c>
      <c r="S14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0" s="68">
        <f ca="1">IF(PROVEEDORES[[#This Row],[FECHA DE PAGO]]=0,TODAY()-PROVEEDORES[[#This Row],[FECHA DE FACTURACIÓN]]-PROVEEDORES[[#This Row],[PLAZO Días]],0)</f>
        <v>0</v>
      </c>
      <c r="U1400" s="96" t="str">
        <f>+VLOOKUP(PROVEEDORES[[#This Row],[PROVEEDOR]],Terceros!$A:$D,4,FALSE)</f>
        <v>2,5% con base</v>
      </c>
      <c r="V1400" s="97">
        <f>+YEAR(PROVEEDORES[[#This Row],[FECHA DE FACTURACIÓN]])</f>
        <v>2021</v>
      </c>
      <c r="W1400" s="97">
        <f>+MATCH(PROVEEDORES[[#This Row],[año facturado]],Retenciones!$1:$1,0)</f>
        <v>4</v>
      </c>
      <c r="X1400" s="98">
        <f>+VLOOKUP(PROVEEDORES[[#This Row],[ID RETENCION]],Retenciones!$A$1:$O$25,PROVEEDORES[[#This Row],[indicador de columna]],FALSE)</f>
        <v>980000</v>
      </c>
      <c r="Y1400" s="99">
        <f>+VLOOKUP(PROVEEDORES[[#This Row],[ID RETENCION]],Retenciones!$A$1:$O$25,2,FALSE)</f>
        <v>2.5000000000000001E-2</v>
      </c>
      <c r="Z1400" s="125" t="b">
        <f>OR(COUNTIF(PROVEEDORES[[#This Row],[PROVEEDOR]],"*"&amp;'Palabra no opera'!$A$2&amp;"*"))</f>
        <v>0</v>
      </c>
      <c r="AA1400" s="24"/>
      <c r="AB1400" s="24"/>
      <c r="AC1400" s="24"/>
      <c r="AD1400" s="24"/>
      <c r="AE1400" s="24"/>
    </row>
    <row r="1401" spans="1:31" ht="22.2" customHeight="1" x14ac:dyDescent="0.3">
      <c r="A1401" s="66" t="str">
        <f>+IF(PROVEEDORES[[#This Row],[FECHA DE PAGO]]=PROVEEDORES[[#This Row],[FECHA DE FACTURACIÓN]],"DE CONTADO","CRÉDITO")</f>
        <v>CRÉDITO</v>
      </c>
      <c r="B1401" s="38" t="b">
        <f>+IF((PROVEEDORES[[#This Row],[FECHA DE PAGO]]-PROVEEDORES[[#This Row],[FECHA DE FACTURACIÓN]])&gt;PROVEEDORES[[#This Row],[PLAZO Días]],"PAGO VENCIDO")</f>
        <v>0</v>
      </c>
      <c r="C1401" s="20">
        <f>+VLOOKUP(PROVEEDORES[[#This Row],[PROVEEDOR]],TERCEROS_INFO[#All],2,FALSE)</f>
        <v>30</v>
      </c>
      <c r="D1401" s="25">
        <f>+SUMIFS(PROVEEDORES[Total],PROVEEDORES[PROVEEDOR],PROVEEDORES[[#This Row],[PROVEEDOR]],PROVEEDORES[FECHA DE PAGO],"")</f>
        <v>0</v>
      </c>
      <c r="E1401" s="25"/>
      <c r="F1401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401" s="161">
        <v>44198</v>
      </c>
      <c r="H1401" s="26" t="s">
        <v>129</v>
      </c>
      <c r="I1401" s="161">
        <v>44204</v>
      </c>
      <c r="J1401" s="35" t="s">
        <v>104</v>
      </c>
      <c r="K1401" s="21">
        <v>1732000</v>
      </c>
      <c r="L1401" s="21"/>
      <c r="M1401" s="22">
        <f>(PROVEEDORES[[#This Row],[SUBTOTAL]]-PROVEEDORES[[#This Row],[descuento sobre subtotal]])*VLOOKUP(PROVEEDORES[[#This Row],[PROVEEDOR]],TERCEROS_INFO[#All],3,FALSE)</f>
        <v>0</v>
      </c>
      <c r="N1401" s="23"/>
      <c r="O1401" s="22">
        <f>+PROVEEDORES[[#This Row],[Descuento sobre subtotal %]]*(PROVEEDORES[[#This Row],[SUBTOTAL]]-PROVEEDORES[[#This Row],[descuento sobre subtotal]])</f>
        <v>0</v>
      </c>
      <c r="P1401" s="83">
        <f>+IF(PROVEEDORES[[#This Row],[SUBTOTAL]]&lt;PROVEEDORES[[#This Row],[base retencion]],0,PROVEEDORES[[#This Row],[retención aplicada]])</f>
        <v>0</v>
      </c>
      <c r="Q1401" s="22">
        <f>+PROVEEDORES[[#This Row],[Rete Fuente %]]*(PROVEEDORES[[#This Row],[SUBTOTAL]]-PROVEEDORES[[#This Row],[descuento sobre subtotal]])</f>
        <v>0</v>
      </c>
      <c r="R1401" s="21">
        <f>+PROVEEDORES[[#This Row],[SUBTOTAL]]+PROVEEDORES[[#This Row],[IVA 19%]]-PROVEEDORES[[#This Row],[descuento sobre subtotal]]-PROVEEDORES[[#This Row],[Descuento sobre subtotal $2]]-PROVEEDORES[[#This Row],[Rete Fuente $]]</f>
        <v>1732000</v>
      </c>
      <c r="S14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1" s="68">
        <f ca="1">IF(PROVEEDORES[[#This Row],[FECHA DE PAGO]]=0,TODAY()-PROVEEDORES[[#This Row],[FECHA DE FACTURACIÓN]]-PROVEEDORES[[#This Row],[PLAZO Días]],0)</f>
        <v>0</v>
      </c>
      <c r="U1401" s="96">
        <f>+VLOOKUP(PROVEEDORES[[#This Row],[PROVEEDOR]],Terceros!$A:$D,4,FALSE)</f>
        <v>0</v>
      </c>
      <c r="V1401" s="97">
        <f>+YEAR(PROVEEDORES[[#This Row],[FECHA DE FACTURACIÓN]])</f>
        <v>2021</v>
      </c>
      <c r="W1401" s="97">
        <f>+MATCH(PROVEEDORES[[#This Row],[año facturado]],Retenciones!$1:$1,0)</f>
        <v>4</v>
      </c>
      <c r="X1401" s="98">
        <f>+VLOOKUP(PROVEEDORES[[#This Row],[ID RETENCION]],Retenciones!$A$1:$O$25,PROVEEDORES[[#This Row],[indicador de columna]],FALSE)</f>
        <v>0</v>
      </c>
      <c r="Y1401" s="99">
        <f>+VLOOKUP(PROVEEDORES[[#This Row],[ID RETENCION]],Retenciones!$A$1:$O$25,2,FALSE)</f>
        <v>0</v>
      </c>
      <c r="Z1401" s="125" t="b">
        <f>OR(COUNTIF(PROVEEDORES[[#This Row],[PROVEEDOR]],"*"&amp;'Palabra no opera'!$A$2&amp;"*"))</f>
        <v>0</v>
      </c>
      <c r="AA1401" s="24"/>
      <c r="AB1401" s="24"/>
      <c r="AC1401" s="24"/>
      <c r="AD1401" s="24"/>
      <c r="AE1401" s="24"/>
    </row>
    <row r="1402" spans="1:31" ht="22.2" customHeight="1" x14ac:dyDescent="0.3">
      <c r="A1402" s="135" t="str">
        <f>+IF(PROVEEDORES[[#This Row],[FECHA DE PAGO]]=PROVEEDORES[[#This Row],[FECHA DE FACTURACIÓN]],"DE CONTADO","CRÉDITO")</f>
        <v>CRÉDITO</v>
      </c>
      <c r="B1402" s="38" t="str">
        <f>+IF((PROVEEDORES[[#This Row],[FECHA DE PAGO]]-PROVEEDORES[[#This Row],[FECHA DE FACTURACIÓN]])&gt;PROVEEDORES[[#This Row],[PLAZO Días]],"PAGO VENCIDO")</f>
        <v>PAGO VENCIDO</v>
      </c>
      <c r="C1402" s="20">
        <f>+VLOOKUP(PROVEEDORES[[#This Row],[PROVEEDOR]],TERCEROS_INFO[#All],2,FALSE)</f>
        <v>30</v>
      </c>
      <c r="D1402" s="25">
        <f>+SUMIFS(PROVEEDORES[Total],PROVEEDORES[PROVEEDOR],PROVEEDORES[[#This Row],[PROVEEDOR]],PROVEEDORES[FECHA DE PAGO],"")</f>
        <v>3236000</v>
      </c>
      <c r="E1402" s="25"/>
      <c r="F140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02" s="161">
        <v>44725</v>
      </c>
      <c r="H1402" s="26" t="s">
        <v>677</v>
      </c>
      <c r="I1402" s="161">
        <v>44690</v>
      </c>
      <c r="J1402" s="35" t="s">
        <v>1593</v>
      </c>
      <c r="K1402" s="21">
        <v>1735000</v>
      </c>
      <c r="L1402" s="21"/>
      <c r="M1402" s="22">
        <f>(PROVEEDORES[[#This Row],[SUBTOTAL]]-PROVEEDORES[[#This Row],[descuento sobre subtotal]])*VLOOKUP(PROVEEDORES[[#This Row],[PROVEEDOR]],TERCEROS_INFO[#All],3,FALSE)</f>
        <v>0</v>
      </c>
      <c r="N1402" s="23"/>
      <c r="O1402" s="22">
        <f>+PROVEEDORES[[#This Row],[Descuento sobre subtotal %]]*(PROVEEDORES[[#This Row],[SUBTOTAL]]-PROVEEDORES[[#This Row],[descuento sobre subtotal]])</f>
        <v>0</v>
      </c>
      <c r="P1402" s="83">
        <f>+IF(PROVEEDORES[[#This Row],[SUBTOTAL]]&lt;PROVEEDORES[[#This Row],[base retencion]],0,PROVEEDORES[[#This Row],[retención aplicada]])</f>
        <v>0</v>
      </c>
      <c r="Q1402" s="22">
        <f>+PROVEEDORES[[#This Row],[Rete Fuente %]]*(PROVEEDORES[[#This Row],[SUBTOTAL]]-PROVEEDORES[[#This Row],[descuento sobre subtotal]])</f>
        <v>0</v>
      </c>
      <c r="R1402" s="21">
        <f>+PROVEEDORES[[#This Row],[SUBTOTAL]]+PROVEEDORES[[#This Row],[IVA 19%]]-PROVEEDORES[[#This Row],[descuento sobre subtotal]]-PROVEEDORES[[#This Row],[Descuento sobre subtotal $2]]-PROVEEDORES[[#This Row],[Rete Fuente $]]</f>
        <v>1735000</v>
      </c>
      <c r="S140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2" s="68">
        <f ca="1">IF(PROVEEDORES[[#This Row],[FECHA DE PAGO]]=0,TODAY()-PROVEEDORES[[#This Row],[FECHA DE FACTURACIÓN]]-PROVEEDORES[[#This Row],[PLAZO Días]],0)</f>
        <v>0</v>
      </c>
      <c r="U1402" s="113">
        <f>+VLOOKUP(PROVEEDORES[[#This Row],[PROVEEDOR]],Terceros!$A:$D,4,FALSE)</f>
        <v>0</v>
      </c>
      <c r="V1402" s="114">
        <f>+YEAR(PROVEEDORES[[#This Row],[FECHA DE FACTURACIÓN]])</f>
        <v>2022</v>
      </c>
      <c r="W1402" s="114">
        <f>+MATCH(PROVEEDORES[[#This Row],[año facturado]],Retenciones!$1:$1,0)</f>
        <v>5</v>
      </c>
      <c r="X1402" s="115">
        <f>+VLOOKUP(PROVEEDORES[[#This Row],[ID RETENCION]],Retenciones!$A$1:$O$25,PROVEEDORES[[#This Row],[indicador de columna]],FALSE)</f>
        <v>0</v>
      </c>
      <c r="Y1402" s="116">
        <f>+VLOOKUP(PROVEEDORES[[#This Row],[ID RETENCION]],Retenciones!$A$1:$O$25,2,FALSE)</f>
        <v>0</v>
      </c>
      <c r="Z1402" s="125" t="b">
        <f>OR(COUNTIF(PROVEEDORES[[#This Row],[PROVEEDOR]],"*"&amp;'Palabra no opera'!$A$2&amp;"*"))</f>
        <v>0</v>
      </c>
      <c r="AA1402" s="24"/>
      <c r="AB1402" s="24"/>
      <c r="AC1402" s="24"/>
      <c r="AD1402" s="24"/>
      <c r="AE1402" s="24"/>
    </row>
    <row r="1403" spans="1:31" ht="22.2" customHeight="1" x14ac:dyDescent="0.3">
      <c r="A1403" s="66" t="str">
        <f>+IF(PROVEEDORES[[#This Row],[FECHA DE PAGO]]=PROVEEDORES[[#This Row],[FECHA DE FACTURACIÓN]],"DE CONTADO","CRÉDITO")</f>
        <v>DE CONTADO</v>
      </c>
      <c r="B1403" s="38" t="b">
        <f>+IF((PROVEEDORES[[#This Row],[FECHA DE PAGO]]-PROVEEDORES[[#This Row],[FECHA DE FACTURACIÓN]])&gt;PROVEEDORES[[#This Row],[PLAZO Días]],"PAGO VENCIDO")</f>
        <v>0</v>
      </c>
      <c r="C1403" s="20">
        <f>+VLOOKUP(PROVEEDORES[[#This Row],[PROVEEDOR]],TERCEROS_INFO[#All],2,FALSE)</f>
        <v>30</v>
      </c>
      <c r="D1403" s="25">
        <f>+SUMIFS(PROVEEDORES[Total],PROVEEDORES[PROVEEDOR],PROVEEDORES[[#This Row],[PROVEEDOR]],PROVEEDORES[FECHA DE PAGO],"")</f>
        <v>0</v>
      </c>
      <c r="E1403" s="25"/>
      <c r="F1403" s="58" t="str">
        <f>+VLOOKUP(PROVEEDORES[[#This Row],[PROVEEDOR]],
                       Terceros!$A:$F,
                       5,
                       FALSE)</f>
        <v/>
      </c>
      <c r="G1403" s="161">
        <v>44394</v>
      </c>
      <c r="H1403" s="26" t="s">
        <v>673</v>
      </c>
      <c r="I1403" s="161">
        <v>44394</v>
      </c>
      <c r="J1403" s="35"/>
      <c r="K1403" s="21">
        <v>1736800</v>
      </c>
      <c r="L1403" s="21"/>
      <c r="M1403" s="22">
        <f>(PROVEEDORES[[#This Row],[SUBTOTAL]]-PROVEEDORES[[#This Row],[descuento sobre subtotal]])*VLOOKUP(PROVEEDORES[[#This Row],[PROVEEDOR]],TERCEROS_INFO[#All],3,FALSE)</f>
        <v>0</v>
      </c>
      <c r="N1403" s="23"/>
      <c r="O1403" s="22">
        <f>+PROVEEDORES[[#This Row],[Descuento sobre subtotal %]]*(PROVEEDORES[[#This Row],[SUBTOTAL]]-PROVEEDORES[[#This Row],[descuento sobre subtotal]])</f>
        <v>0</v>
      </c>
      <c r="P1403" s="83">
        <f>+IF(PROVEEDORES[[#This Row],[SUBTOTAL]]&lt;PROVEEDORES[[#This Row],[base retencion]],0,PROVEEDORES[[#This Row],[retención aplicada]])</f>
        <v>0</v>
      </c>
      <c r="Q1403" s="22">
        <f>+PROVEEDORES[[#This Row],[Rete Fuente %]]*(PROVEEDORES[[#This Row],[SUBTOTAL]]-PROVEEDORES[[#This Row],[descuento sobre subtotal]])</f>
        <v>0</v>
      </c>
      <c r="R1403" s="21">
        <f>+PROVEEDORES[[#This Row],[SUBTOTAL]]+PROVEEDORES[[#This Row],[IVA 19%]]-PROVEEDORES[[#This Row],[descuento sobre subtotal]]-PROVEEDORES[[#This Row],[Descuento sobre subtotal $2]]-PROVEEDORES[[#This Row],[Rete Fuente $]]</f>
        <v>1736800</v>
      </c>
      <c r="S14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3" s="68">
        <f ca="1">IF(PROVEEDORES[[#This Row],[FECHA DE PAGO]]=0,TODAY()-PROVEEDORES[[#This Row],[FECHA DE FACTURACIÓN]]-PROVEEDORES[[#This Row],[PLAZO Días]],0)</f>
        <v>0</v>
      </c>
      <c r="U1403" s="96">
        <f>+VLOOKUP(PROVEEDORES[[#This Row],[PROVEEDOR]],Terceros!$A:$D,4,FALSE)</f>
        <v>0</v>
      </c>
      <c r="V1403" s="97">
        <f>+YEAR(PROVEEDORES[[#This Row],[FECHA DE FACTURACIÓN]])</f>
        <v>2021</v>
      </c>
      <c r="W1403" s="97">
        <f>+MATCH(PROVEEDORES[[#This Row],[año facturado]],Retenciones!$1:$1,0)</f>
        <v>4</v>
      </c>
      <c r="X1403" s="98">
        <f>+VLOOKUP(PROVEEDORES[[#This Row],[ID RETENCION]],Retenciones!$A$1:$O$25,PROVEEDORES[[#This Row],[indicador de columna]],FALSE)</f>
        <v>0</v>
      </c>
      <c r="Y1403" s="99">
        <f>+VLOOKUP(PROVEEDORES[[#This Row],[ID RETENCION]],Retenciones!$A$1:$O$25,2,FALSE)</f>
        <v>0</v>
      </c>
      <c r="Z1403" s="125" t="b">
        <f>OR(COUNTIF(PROVEEDORES[[#This Row],[PROVEEDOR]],"*"&amp;'Palabra no opera'!$A$2&amp;"*"))</f>
        <v>0</v>
      </c>
      <c r="AA1403" s="24"/>
      <c r="AB1403" s="24"/>
      <c r="AC1403" s="24"/>
      <c r="AD1403" s="24"/>
      <c r="AE1403" s="24"/>
    </row>
    <row r="1404" spans="1:31" ht="22.2" customHeight="1" x14ac:dyDescent="0.3">
      <c r="A1404" s="66" t="str">
        <f>+IF(PROVEEDORES[[#This Row],[FECHA DE PAGO]]=PROVEEDORES[[#This Row],[FECHA DE FACTURACIÓN]],"DE CONTADO","CRÉDITO")</f>
        <v>CRÉDITO</v>
      </c>
      <c r="B1404" s="38" t="str">
        <f>+IF((PROVEEDORES[[#This Row],[FECHA DE PAGO]]-PROVEEDORES[[#This Row],[FECHA DE FACTURACIÓN]])&gt;PROVEEDORES[[#This Row],[PLAZO Días]],"PAGO VENCIDO")</f>
        <v>PAGO VENCIDO</v>
      </c>
      <c r="C1404" s="20">
        <f>+VLOOKUP(PROVEEDORES[[#This Row],[PROVEEDOR]],TERCEROS_INFO[#All],2,FALSE)</f>
        <v>30</v>
      </c>
      <c r="D1404" s="25">
        <f>+SUMIFS(PROVEEDORES[Total],PROVEEDORES[PROVEEDOR],PROVEEDORES[[#This Row],[PROVEEDOR]],PROVEEDORES[FECHA DE PAGO],"")</f>
        <v>401799.93</v>
      </c>
      <c r="E1404" s="25"/>
      <c r="F1404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404" s="161">
        <v>44698</v>
      </c>
      <c r="H1404" s="26" t="s">
        <v>508</v>
      </c>
      <c r="I1404" s="161">
        <v>44646</v>
      </c>
      <c r="J1404" s="35" t="s">
        <v>719</v>
      </c>
      <c r="K1404" s="21">
        <v>1494455</v>
      </c>
      <c r="L1404" s="21"/>
      <c r="M1404" s="22">
        <f>(PROVEEDORES[[#This Row],[SUBTOTAL]]-PROVEEDORES[[#This Row],[descuento sobre subtotal]])*VLOOKUP(PROVEEDORES[[#This Row],[PROVEEDOR]],TERCEROS_INFO[#All],3,FALSE)</f>
        <v>283946.45</v>
      </c>
      <c r="N1404" s="23"/>
      <c r="O1404" s="22">
        <f>+PROVEEDORES[[#This Row],[Descuento sobre subtotal %]]*(PROVEEDORES[[#This Row],[SUBTOTAL]]-PROVEEDORES[[#This Row],[descuento sobre subtotal]])</f>
        <v>0</v>
      </c>
      <c r="P1404" s="83">
        <f>+IF(PROVEEDORES[[#This Row],[SUBTOTAL]]&lt;PROVEEDORES[[#This Row],[base retencion]],0,PROVEEDORES[[#This Row],[retención aplicada]])</f>
        <v>2.5000000000000001E-2</v>
      </c>
      <c r="Q1404" s="22">
        <f>+PROVEEDORES[[#This Row],[Rete Fuente %]]*(PROVEEDORES[[#This Row],[SUBTOTAL]]-PROVEEDORES[[#This Row],[descuento sobre subtotal]])</f>
        <v>37361.375</v>
      </c>
      <c r="R1404" s="21">
        <f>+PROVEEDORES[[#This Row],[SUBTOTAL]]+PROVEEDORES[[#This Row],[IVA 19%]]-PROVEEDORES[[#This Row],[descuento sobre subtotal]]-PROVEEDORES[[#This Row],[Descuento sobre subtotal $2]]-PROVEEDORES[[#This Row],[Rete Fuente $]]</f>
        <v>1741040.075</v>
      </c>
      <c r="S14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4" s="68">
        <f ca="1">IF(PROVEEDORES[[#This Row],[FECHA DE PAGO]]=0,TODAY()-PROVEEDORES[[#This Row],[FECHA DE FACTURACIÓN]]-PROVEEDORES[[#This Row],[PLAZO Días]],0)</f>
        <v>0</v>
      </c>
      <c r="U1404" s="96" t="str">
        <f>+VLOOKUP(PROVEEDORES[[#This Row],[PROVEEDOR]],Terceros!$A:$D,4,FALSE)</f>
        <v>2,5% con base</v>
      </c>
      <c r="V1404" s="97">
        <f>+YEAR(PROVEEDORES[[#This Row],[FECHA DE FACTURACIÓN]])</f>
        <v>2022</v>
      </c>
      <c r="W1404" s="97">
        <f>+MATCH(PROVEEDORES[[#This Row],[año facturado]],Retenciones!$1:$1,0)</f>
        <v>5</v>
      </c>
      <c r="X1404" s="98">
        <f>+VLOOKUP(PROVEEDORES[[#This Row],[ID RETENCION]],Retenciones!$A$1:$O$25,PROVEEDORES[[#This Row],[indicador de columna]],FALSE)</f>
        <v>1026000</v>
      </c>
      <c r="Y1404" s="99">
        <f>+VLOOKUP(PROVEEDORES[[#This Row],[ID RETENCION]],Retenciones!$A$1:$O$25,2,FALSE)</f>
        <v>2.5000000000000001E-2</v>
      </c>
      <c r="Z1404" s="125" t="b">
        <f>OR(COUNTIF(PROVEEDORES[[#This Row],[PROVEEDOR]],"*"&amp;'Palabra no opera'!$A$2&amp;"*"))</f>
        <v>0</v>
      </c>
      <c r="AA1404" s="24"/>
      <c r="AB1404" s="24"/>
      <c r="AC1404" s="24"/>
      <c r="AD1404" s="24"/>
      <c r="AE1404" s="24"/>
    </row>
    <row r="1405" spans="1:31" ht="22.2" customHeight="1" x14ac:dyDescent="0.3">
      <c r="A1405" s="66" t="str">
        <f>+IF(PROVEEDORES[[#This Row],[FECHA DE PAGO]]=PROVEEDORES[[#This Row],[FECHA DE FACTURACIÓN]],"DE CONTADO","CRÉDITO")</f>
        <v>CRÉDITO</v>
      </c>
      <c r="B1405" s="38" t="b">
        <f>+IF((PROVEEDORES[[#This Row],[FECHA DE PAGO]]-PROVEEDORES[[#This Row],[FECHA DE FACTURACIÓN]])&gt;PROVEEDORES[[#This Row],[PLAZO Días]],"PAGO VENCIDO")</f>
        <v>0</v>
      </c>
      <c r="C1405" s="20">
        <f>+VLOOKUP(PROVEEDORES[[#This Row],[PROVEEDOR]],TERCEROS_INFO[#All],2,FALSE)</f>
        <v>60</v>
      </c>
      <c r="D1405" s="25">
        <f>+SUMIFS(PROVEEDORES[Total],PROVEEDORES[PROVEEDOR],PROVEEDORES[[#This Row],[PROVEEDOR]],PROVEEDORES[FECHA DE PAGO],"")</f>
        <v>23264500</v>
      </c>
      <c r="E1405" s="25"/>
      <c r="F1405" s="58">
        <f>+VLOOKUP(PROVEEDORES[[#This Row],[PROVEEDOR]],
                       Terceros!$A:$F,
                       5,
                       FALSE)</f>
        <v>0</v>
      </c>
      <c r="G1405" s="161">
        <v>44481</v>
      </c>
      <c r="H1405" s="26" t="s">
        <v>1429</v>
      </c>
      <c r="I1405" s="161">
        <v>44427</v>
      </c>
      <c r="J1405" s="35" t="s">
        <v>458</v>
      </c>
      <c r="K1405" s="21">
        <v>1466370</v>
      </c>
      <c r="L1405" s="21"/>
      <c r="M1405" s="22">
        <f>(PROVEEDORES[[#This Row],[SUBTOTAL]]-PROVEEDORES[[#This Row],[descuento sobre subtotal]])*VLOOKUP(PROVEEDORES[[#This Row],[PROVEEDOR]],TERCEROS_INFO[#All],3,FALSE)</f>
        <v>278610.3</v>
      </c>
      <c r="N1405" s="23"/>
      <c r="O1405" s="22">
        <f>+PROVEEDORES[[#This Row],[Descuento sobre subtotal %]]*(PROVEEDORES[[#This Row],[SUBTOTAL]]-PROVEEDORES[[#This Row],[descuento sobre subtotal]])</f>
        <v>0</v>
      </c>
      <c r="P1405" s="83">
        <f>+IF(PROVEEDORES[[#This Row],[SUBTOTAL]]&lt;PROVEEDORES[[#This Row],[base retencion]],0,PROVEEDORES[[#This Row],[retención aplicada]])</f>
        <v>0</v>
      </c>
      <c r="Q1405" s="22">
        <f>+PROVEEDORES[[#This Row],[Rete Fuente %]]*(PROVEEDORES[[#This Row],[SUBTOTAL]]-PROVEEDORES[[#This Row],[descuento sobre subtotal]])</f>
        <v>0</v>
      </c>
      <c r="R1405" s="21">
        <f>+PROVEEDORES[[#This Row],[SUBTOTAL]]+PROVEEDORES[[#This Row],[IVA 19%]]-PROVEEDORES[[#This Row],[descuento sobre subtotal]]-PROVEEDORES[[#This Row],[Descuento sobre subtotal $2]]-PROVEEDORES[[#This Row],[Rete Fuente $]]</f>
        <v>1744980.3</v>
      </c>
      <c r="S14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5" s="68">
        <f ca="1">IF(PROVEEDORES[[#This Row],[FECHA DE PAGO]]=0,TODAY()-PROVEEDORES[[#This Row],[FECHA DE FACTURACIÓN]]-PROVEEDORES[[#This Row],[PLAZO Días]],0)</f>
        <v>0</v>
      </c>
      <c r="U1405" s="96">
        <f>+VLOOKUP(PROVEEDORES[[#This Row],[PROVEEDOR]],Terceros!$A:$D,4,FALSE)</f>
        <v>0</v>
      </c>
      <c r="V1405" s="97">
        <f>+YEAR(PROVEEDORES[[#This Row],[FECHA DE FACTURACIÓN]])</f>
        <v>2021</v>
      </c>
      <c r="W1405" s="97">
        <f>+MATCH(PROVEEDORES[[#This Row],[año facturado]],Retenciones!$1:$1,0)</f>
        <v>4</v>
      </c>
      <c r="X1405" s="98">
        <f>+VLOOKUP(PROVEEDORES[[#This Row],[ID RETENCION]],Retenciones!$A$1:$O$25,PROVEEDORES[[#This Row],[indicador de columna]],FALSE)</f>
        <v>0</v>
      </c>
      <c r="Y1405" s="99">
        <f>+VLOOKUP(PROVEEDORES[[#This Row],[ID RETENCION]],Retenciones!$A$1:$O$25,2,FALSE)</f>
        <v>0</v>
      </c>
      <c r="Z1405" s="125" t="b">
        <f>OR(COUNTIF(PROVEEDORES[[#This Row],[PROVEEDOR]],"*"&amp;'Palabra no opera'!$A$2&amp;"*"))</f>
        <v>1</v>
      </c>
      <c r="AA1405" s="24"/>
      <c r="AB1405" s="24"/>
      <c r="AC1405" s="24"/>
      <c r="AD1405" s="24"/>
      <c r="AE1405" s="24"/>
    </row>
    <row r="1406" spans="1:31" ht="22.2" customHeight="1" x14ac:dyDescent="0.3">
      <c r="A1406" s="66" t="str">
        <f>+IF(PROVEEDORES[[#This Row],[FECHA DE PAGO]]=PROVEEDORES[[#This Row],[FECHA DE FACTURACIÓN]],"DE CONTADO","CRÉDITO")</f>
        <v>CRÉDITO</v>
      </c>
      <c r="B1406" s="38" t="str">
        <f>+IF((PROVEEDORES[[#This Row],[FECHA DE PAGO]]-PROVEEDORES[[#This Row],[FECHA DE FACTURACIÓN]])&gt;PROVEEDORES[[#This Row],[PLAZO Días]],"PAGO VENCIDO")</f>
        <v>PAGO VENCIDO</v>
      </c>
      <c r="C1406" s="20">
        <f>+VLOOKUP(PROVEEDORES[[#This Row],[PROVEEDOR]],TERCEROS_INFO[#All],2,FALSE)</f>
        <v>30</v>
      </c>
      <c r="D1406" s="25">
        <f>+SUMIFS(PROVEEDORES[Total],PROVEEDORES[PROVEEDOR],PROVEEDORES[[#This Row],[PROVEEDOR]],PROVEEDORES[FECHA DE PAGO],"")</f>
        <v>3236000</v>
      </c>
      <c r="E1406" s="25"/>
      <c r="F140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06" s="161">
        <v>44459</v>
      </c>
      <c r="H1406" s="26" t="s">
        <v>677</v>
      </c>
      <c r="I1406" s="161">
        <v>44427</v>
      </c>
      <c r="J1406" s="35" t="s">
        <v>1485</v>
      </c>
      <c r="K1406" s="21">
        <v>1750000</v>
      </c>
      <c r="L1406" s="21"/>
      <c r="M1406" s="22">
        <f>(PROVEEDORES[[#This Row],[SUBTOTAL]]-PROVEEDORES[[#This Row],[descuento sobre subtotal]])*VLOOKUP(PROVEEDORES[[#This Row],[PROVEEDOR]],TERCEROS_INFO[#All],3,FALSE)</f>
        <v>0</v>
      </c>
      <c r="N1406" s="23"/>
      <c r="O1406" s="22">
        <f>+PROVEEDORES[[#This Row],[Descuento sobre subtotal %]]*(PROVEEDORES[[#This Row],[SUBTOTAL]]-PROVEEDORES[[#This Row],[descuento sobre subtotal]])</f>
        <v>0</v>
      </c>
      <c r="P1406" s="83">
        <f>+IF(PROVEEDORES[[#This Row],[SUBTOTAL]]&lt;PROVEEDORES[[#This Row],[base retencion]],0,PROVEEDORES[[#This Row],[retención aplicada]])</f>
        <v>0</v>
      </c>
      <c r="Q1406" s="22">
        <f>+PROVEEDORES[[#This Row],[Rete Fuente %]]*(PROVEEDORES[[#This Row],[SUBTOTAL]]-PROVEEDORES[[#This Row],[descuento sobre subtotal]])</f>
        <v>0</v>
      </c>
      <c r="R1406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14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6" s="68">
        <f ca="1">IF(PROVEEDORES[[#This Row],[FECHA DE PAGO]]=0,TODAY()-PROVEEDORES[[#This Row],[FECHA DE FACTURACIÓN]]-PROVEEDORES[[#This Row],[PLAZO Días]],0)</f>
        <v>0</v>
      </c>
      <c r="U1406" s="96">
        <f>+VLOOKUP(PROVEEDORES[[#This Row],[PROVEEDOR]],Terceros!$A:$D,4,FALSE)</f>
        <v>0</v>
      </c>
      <c r="V1406" s="97">
        <f>+YEAR(PROVEEDORES[[#This Row],[FECHA DE FACTURACIÓN]])</f>
        <v>2021</v>
      </c>
      <c r="W1406" s="97">
        <f>+MATCH(PROVEEDORES[[#This Row],[año facturado]],Retenciones!$1:$1,0)</f>
        <v>4</v>
      </c>
      <c r="X1406" s="98">
        <f>+VLOOKUP(PROVEEDORES[[#This Row],[ID RETENCION]],Retenciones!$A$1:$O$25,PROVEEDORES[[#This Row],[indicador de columna]],FALSE)</f>
        <v>0</v>
      </c>
      <c r="Y1406" s="99">
        <f>+VLOOKUP(PROVEEDORES[[#This Row],[ID RETENCION]],Retenciones!$A$1:$O$25,2,FALSE)</f>
        <v>0</v>
      </c>
      <c r="Z1406" s="125" t="b">
        <f>OR(COUNTIF(PROVEEDORES[[#This Row],[PROVEEDOR]],"*"&amp;'Palabra no opera'!$A$2&amp;"*"))</f>
        <v>0</v>
      </c>
      <c r="AA1406" s="24"/>
      <c r="AB1406" s="24"/>
      <c r="AC1406" s="24"/>
      <c r="AD1406" s="24"/>
      <c r="AE1406" s="24"/>
    </row>
    <row r="1407" spans="1:31" ht="22.2" customHeight="1" x14ac:dyDescent="0.3">
      <c r="A1407" s="66" t="str">
        <f>+IF(PROVEEDORES[[#This Row],[FECHA DE PAGO]]=PROVEEDORES[[#This Row],[FECHA DE FACTURACIÓN]],"DE CONTADO","CRÉDITO")</f>
        <v>CRÉDITO</v>
      </c>
      <c r="B1407" s="38" t="b">
        <f>+IF((PROVEEDORES[[#This Row],[FECHA DE PAGO]]-PROVEEDORES[[#This Row],[FECHA DE FACTURACIÓN]])&gt;PROVEEDORES[[#This Row],[PLAZO Días]],"PAGO VENCIDO")</f>
        <v>0</v>
      </c>
      <c r="C1407" s="20">
        <f>+VLOOKUP(PROVEEDORES[[#This Row],[PROVEEDOR]],TERCEROS_INFO[#All],2,FALSE)</f>
        <v>30</v>
      </c>
      <c r="D1407" s="25">
        <f>+SUMIFS(PROVEEDORES[Total],PROVEEDORES[PROVEEDOR],PROVEEDORES[[#This Row],[PROVEEDOR]],PROVEEDORES[FECHA DE PAGO],"")</f>
        <v>3236000</v>
      </c>
      <c r="E1407" s="25"/>
      <c r="F140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07" s="161">
        <v>44509</v>
      </c>
      <c r="H1407" s="26" t="s">
        <v>677</v>
      </c>
      <c r="I1407" s="161">
        <v>44480</v>
      </c>
      <c r="J1407" s="35" t="s">
        <v>1505</v>
      </c>
      <c r="K1407" s="21">
        <v>1750000</v>
      </c>
      <c r="L1407" s="21"/>
      <c r="M1407" s="22">
        <f>(PROVEEDORES[[#This Row],[SUBTOTAL]]-PROVEEDORES[[#This Row],[descuento sobre subtotal]])*VLOOKUP(PROVEEDORES[[#This Row],[PROVEEDOR]],TERCEROS_INFO[#All],3,FALSE)</f>
        <v>0</v>
      </c>
      <c r="N1407" s="23"/>
      <c r="O1407" s="22">
        <f>+PROVEEDORES[[#This Row],[Descuento sobre subtotal %]]*(PROVEEDORES[[#This Row],[SUBTOTAL]]-PROVEEDORES[[#This Row],[descuento sobre subtotal]])</f>
        <v>0</v>
      </c>
      <c r="P1407" s="83">
        <f>+IF(PROVEEDORES[[#This Row],[SUBTOTAL]]&lt;PROVEEDORES[[#This Row],[base retencion]],0,PROVEEDORES[[#This Row],[retención aplicada]])</f>
        <v>0</v>
      </c>
      <c r="Q1407" s="22">
        <f>+PROVEEDORES[[#This Row],[Rete Fuente %]]*(PROVEEDORES[[#This Row],[SUBTOTAL]]-PROVEEDORES[[#This Row],[descuento sobre subtotal]])</f>
        <v>0</v>
      </c>
      <c r="R1407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14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7" s="68">
        <f ca="1">IF(PROVEEDORES[[#This Row],[FECHA DE PAGO]]=0,TODAY()-PROVEEDORES[[#This Row],[FECHA DE FACTURACIÓN]]-PROVEEDORES[[#This Row],[PLAZO Días]],0)</f>
        <v>0</v>
      </c>
      <c r="U1407" s="96">
        <f>+VLOOKUP(PROVEEDORES[[#This Row],[PROVEEDOR]],Terceros!$A:$D,4,FALSE)</f>
        <v>0</v>
      </c>
      <c r="V1407" s="97">
        <f>+YEAR(PROVEEDORES[[#This Row],[FECHA DE FACTURACIÓN]])</f>
        <v>2021</v>
      </c>
      <c r="W1407" s="97">
        <f>+MATCH(PROVEEDORES[[#This Row],[año facturado]],Retenciones!$1:$1,0)</f>
        <v>4</v>
      </c>
      <c r="X1407" s="98">
        <f>+VLOOKUP(PROVEEDORES[[#This Row],[ID RETENCION]],Retenciones!$A$1:$O$25,PROVEEDORES[[#This Row],[indicador de columna]],FALSE)</f>
        <v>0</v>
      </c>
      <c r="Y1407" s="99">
        <f>+VLOOKUP(PROVEEDORES[[#This Row],[ID RETENCION]],Retenciones!$A$1:$O$25,2,FALSE)</f>
        <v>0</v>
      </c>
      <c r="Z1407" s="125" t="b">
        <f>OR(COUNTIF(PROVEEDORES[[#This Row],[PROVEEDOR]],"*"&amp;'Palabra no opera'!$A$2&amp;"*"))</f>
        <v>0</v>
      </c>
      <c r="AA1407" s="24"/>
      <c r="AB1407" s="24"/>
      <c r="AC1407" s="24"/>
      <c r="AD1407" s="24"/>
      <c r="AE1407" s="24"/>
    </row>
    <row r="1408" spans="1:31" ht="22.2" customHeight="1" x14ac:dyDescent="0.3">
      <c r="A1408" s="66" t="str">
        <f>+IF(PROVEEDORES[[#This Row],[FECHA DE PAGO]]=PROVEEDORES[[#This Row],[FECHA DE FACTURACIÓN]],"DE CONTADO","CRÉDITO")</f>
        <v>CRÉDITO</v>
      </c>
      <c r="B1408" s="38" t="str">
        <f>+IF((PROVEEDORES[[#This Row],[FECHA DE PAGO]]-PROVEEDORES[[#This Row],[FECHA DE FACTURACIÓN]])&gt;PROVEEDORES[[#This Row],[PLAZO Días]],"PAGO VENCIDO")</f>
        <v>PAGO VENCIDO</v>
      </c>
      <c r="C1408" s="20">
        <f>+VLOOKUP(PROVEEDORES[[#This Row],[PROVEEDOR]],TERCEROS_INFO[#All],2,FALSE)</f>
        <v>30</v>
      </c>
      <c r="D1408" s="25">
        <f>+SUMIFS(PROVEEDORES[Total],PROVEEDORES[PROVEEDOR],PROVEEDORES[[#This Row],[PROVEEDOR]],PROVEEDORES[FECHA DE PAGO],"")</f>
        <v>0</v>
      </c>
      <c r="E1408" s="25"/>
      <c r="F1408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408" s="161">
        <v>44543</v>
      </c>
      <c r="H1408" s="26" t="s">
        <v>688</v>
      </c>
      <c r="I1408" s="161">
        <v>44511</v>
      </c>
      <c r="J1408" s="35" t="s">
        <v>1521</v>
      </c>
      <c r="K1408" s="21">
        <v>1750000</v>
      </c>
      <c r="L1408" s="21"/>
      <c r="M1408" s="22">
        <f>(PROVEEDORES[[#This Row],[SUBTOTAL]]-PROVEEDORES[[#This Row],[descuento sobre subtotal]])*VLOOKUP(PROVEEDORES[[#This Row],[PROVEEDOR]],TERCEROS_INFO[#All],3,FALSE)</f>
        <v>0</v>
      </c>
      <c r="N1408" s="23"/>
      <c r="O1408" s="22">
        <f>+PROVEEDORES[[#This Row],[Descuento sobre subtotal %]]*(PROVEEDORES[[#This Row],[SUBTOTAL]]-PROVEEDORES[[#This Row],[descuento sobre subtotal]])</f>
        <v>0</v>
      </c>
      <c r="P1408" s="83">
        <f>+IF(PROVEEDORES[[#This Row],[SUBTOTAL]]&lt;PROVEEDORES[[#This Row],[base retencion]],0,PROVEEDORES[[#This Row],[retención aplicada]])</f>
        <v>0</v>
      </c>
      <c r="Q1408" s="22">
        <f>+PROVEEDORES[[#This Row],[Rete Fuente %]]*(PROVEEDORES[[#This Row],[SUBTOTAL]]-PROVEEDORES[[#This Row],[descuento sobre subtotal]])</f>
        <v>0</v>
      </c>
      <c r="R1408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14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8" s="68">
        <f ca="1">IF(PROVEEDORES[[#This Row],[FECHA DE PAGO]]=0,TODAY()-PROVEEDORES[[#This Row],[FECHA DE FACTURACIÓN]]-PROVEEDORES[[#This Row],[PLAZO Días]],0)</f>
        <v>0</v>
      </c>
      <c r="U1408" s="96">
        <f>+VLOOKUP(PROVEEDORES[[#This Row],[PROVEEDOR]],Terceros!$A:$D,4,FALSE)</f>
        <v>0</v>
      </c>
      <c r="V1408" s="97">
        <f>+YEAR(PROVEEDORES[[#This Row],[FECHA DE FACTURACIÓN]])</f>
        <v>2021</v>
      </c>
      <c r="W1408" s="97">
        <f>+MATCH(PROVEEDORES[[#This Row],[año facturado]],Retenciones!$1:$1,0)</f>
        <v>4</v>
      </c>
      <c r="X1408" s="98">
        <f>+VLOOKUP(PROVEEDORES[[#This Row],[ID RETENCION]],Retenciones!$A$1:$O$25,PROVEEDORES[[#This Row],[indicador de columna]],FALSE)</f>
        <v>0</v>
      </c>
      <c r="Y1408" s="99">
        <f>+VLOOKUP(PROVEEDORES[[#This Row],[ID RETENCION]],Retenciones!$A$1:$O$25,2,FALSE)</f>
        <v>0</v>
      </c>
      <c r="Z1408" s="125" t="b">
        <f>OR(COUNTIF(PROVEEDORES[[#This Row],[PROVEEDOR]],"*"&amp;'Palabra no opera'!$A$2&amp;"*"))</f>
        <v>0</v>
      </c>
      <c r="AA1408" s="24"/>
      <c r="AB1408" s="24"/>
      <c r="AC1408" s="24"/>
      <c r="AD1408" s="24"/>
      <c r="AE1408" s="24"/>
    </row>
    <row r="1409" spans="1:31" ht="22.2" customHeight="1" x14ac:dyDescent="0.3">
      <c r="A1409" s="66" t="str">
        <f>+IF(PROVEEDORES[[#This Row],[FECHA DE PAGO]]=PROVEEDORES[[#This Row],[FECHA DE FACTURACIÓN]],"DE CONTADO","CRÉDITO")</f>
        <v>CRÉDITO</v>
      </c>
      <c r="B1409" s="38" t="str">
        <f>+IF((PROVEEDORES[[#This Row],[FECHA DE PAGO]]-PROVEEDORES[[#This Row],[FECHA DE FACTURACIÓN]])&gt;PROVEEDORES[[#This Row],[PLAZO Días]],"PAGO VENCIDO")</f>
        <v>PAGO VENCIDO</v>
      </c>
      <c r="C1409" s="20">
        <f>+VLOOKUP(PROVEEDORES[[#This Row],[PROVEEDOR]],TERCEROS_INFO[#All],2,FALSE)</f>
        <v>30</v>
      </c>
      <c r="D1409" s="25">
        <f>+SUMIFS(PROVEEDORES[Total],PROVEEDORES[PROVEEDOR],PROVEEDORES[[#This Row],[PROVEEDOR]],PROVEEDORES[FECHA DE PAGO],"")</f>
        <v>23124164.219999999</v>
      </c>
      <c r="E1409" s="25"/>
      <c r="F140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09" s="161">
        <v>44307</v>
      </c>
      <c r="H1409" s="26" t="s">
        <v>18</v>
      </c>
      <c r="I1409" s="161">
        <v>44261</v>
      </c>
      <c r="J1409" s="35">
        <v>1035341</v>
      </c>
      <c r="K1409" s="21">
        <v>1508580</v>
      </c>
      <c r="L1409" s="21"/>
      <c r="M1409" s="22">
        <f>(PROVEEDORES[[#This Row],[SUBTOTAL]]-PROVEEDORES[[#This Row],[descuento sobre subtotal]])*VLOOKUP(PROVEEDORES[[#This Row],[PROVEEDOR]],TERCEROS_INFO[#All],3,FALSE)</f>
        <v>286630.2</v>
      </c>
      <c r="N1409" s="23"/>
      <c r="O1409" s="22">
        <f>+PROVEEDORES[[#This Row],[Descuento sobre subtotal %]]*(PROVEEDORES[[#This Row],[SUBTOTAL]]-PROVEEDORES[[#This Row],[descuento sobre subtotal]])</f>
        <v>0</v>
      </c>
      <c r="P1409" s="83">
        <f>+IF(PROVEEDORES[[#This Row],[SUBTOTAL]]&lt;PROVEEDORES[[#This Row],[base retencion]],0,PROVEEDORES[[#This Row],[retención aplicada]])</f>
        <v>2.5000000000000001E-2</v>
      </c>
      <c r="Q1409" s="22">
        <f>+PROVEEDORES[[#This Row],[Rete Fuente %]]*(PROVEEDORES[[#This Row],[SUBTOTAL]]-PROVEEDORES[[#This Row],[descuento sobre subtotal]])</f>
        <v>37714.5</v>
      </c>
      <c r="R1409" s="21">
        <f>+PROVEEDORES[[#This Row],[SUBTOTAL]]+PROVEEDORES[[#This Row],[IVA 19%]]-PROVEEDORES[[#This Row],[descuento sobre subtotal]]-PROVEEDORES[[#This Row],[Descuento sobre subtotal $2]]-PROVEEDORES[[#This Row],[Rete Fuente $]]</f>
        <v>1757495.7</v>
      </c>
      <c r="S14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9" s="68">
        <f ca="1">IF(PROVEEDORES[[#This Row],[FECHA DE PAGO]]=0,TODAY()-PROVEEDORES[[#This Row],[FECHA DE FACTURACIÓN]]-PROVEEDORES[[#This Row],[PLAZO Días]],0)</f>
        <v>0</v>
      </c>
      <c r="U1409" s="96" t="str">
        <f>+VLOOKUP(PROVEEDORES[[#This Row],[PROVEEDOR]],Terceros!$A:$D,4,FALSE)</f>
        <v>2,5% con base</v>
      </c>
      <c r="V1409" s="97">
        <f>+YEAR(PROVEEDORES[[#This Row],[FECHA DE FACTURACIÓN]])</f>
        <v>2021</v>
      </c>
      <c r="W1409" s="97">
        <f>+MATCH(PROVEEDORES[[#This Row],[año facturado]],Retenciones!$1:$1,0)</f>
        <v>4</v>
      </c>
      <c r="X1409" s="98">
        <f>+VLOOKUP(PROVEEDORES[[#This Row],[ID RETENCION]],Retenciones!$A$1:$O$25,PROVEEDORES[[#This Row],[indicador de columna]],FALSE)</f>
        <v>980000</v>
      </c>
      <c r="Y1409" s="99">
        <f>+VLOOKUP(PROVEEDORES[[#This Row],[ID RETENCION]],Retenciones!$A$1:$O$25,2,FALSE)</f>
        <v>2.5000000000000001E-2</v>
      </c>
      <c r="Z1409" s="125" t="b">
        <f>OR(COUNTIF(PROVEEDORES[[#This Row],[PROVEEDOR]],"*"&amp;'Palabra no opera'!$A$2&amp;"*"))</f>
        <v>0</v>
      </c>
      <c r="AA1409" s="24"/>
      <c r="AB1409" s="24"/>
      <c r="AC1409" s="24"/>
      <c r="AD1409" s="24"/>
      <c r="AE1409" s="24"/>
    </row>
    <row r="1410" spans="1:31" ht="22.2" customHeight="1" x14ac:dyDescent="0.3">
      <c r="A1410" s="66" t="str">
        <f>+IF(PROVEEDORES[[#This Row],[FECHA DE PAGO]]=PROVEEDORES[[#This Row],[FECHA DE FACTURACIÓN]],"DE CONTADO","CRÉDITO")</f>
        <v>CRÉDITO</v>
      </c>
      <c r="B1410" s="38" t="b">
        <f>+IF((PROVEEDORES[[#This Row],[FECHA DE PAGO]]-PROVEEDORES[[#This Row],[FECHA DE FACTURACIÓN]])&gt;PROVEEDORES[[#This Row],[PLAZO Días]],"PAGO VENCIDO")</f>
        <v>0</v>
      </c>
      <c r="C1410" s="20">
        <f>+VLOOKUP(PROVEEDORES[[#This Row],[PROVEEDOR]],TERCEROS_INFO[#All],2,FALSE)</f>
        <v>30</v>
      </c>
      <c r="D1410" s="25">
        <f>+SUMIFS(PROVEEDORES[Total],PROVEEDORES[PROVEEDOR],PROVEEDORES[[#This Row],[PROVEEDOR]],PROVEEDORES[FECHA DE PAGO],"")</f>
        <v>0</v>
      </c>
      <c r="E1410" s="25"/>
      <c r="F1410" s="58" t="str">
        <f>+VLOOKUP(PROVEEDORES[[#This Row],[PROVEEDOR]],
                       Terceros!$A:$F,
                       5,
                       FALSE)</f>
        <v/>
      </c>
      <c r="G1410" s="161">
        <v>44413</v>
      </c>
      <c r="H1410" s="26" t="s">
        <v>638</v>
      </c>
      <c r="I1410" s="161">
        <v>44414</v>
      </c>
      <c r="J1410" s="35" t="s">
        <v>1281</v>
      </c>
      <c r="K1410" s="21">
        <v>1758000</v>
      </c>
      <c r="L1410" s="21"/>
      <c r="M1410" s="22">
        <f>(PROVEEDORES[[#This Row],[SUBTOTAL]]-PROVEEDORES[[#This Row],[descuento sobre subtotal]])*VLOOKUP(PROVEEDORES[[#This Row],[PROVEEDOR]],TERCEROS_INFO[#All],3,FALSE)</f>
        <v>0</v>
      </c>
      <c r="N1410" s="23"/>
      <c r="O1410" s="22">
        <f>+PROVEEDORES[[#This Row],[Descuento sobre subtotal %]]*(PROVEEDORES[[#This Row],[SUBTOTAL]]-PROVEEDORES[[#This Row],[descuento sobre subtotal]])</f>
        <v>0</v>
      </c>
      <c r="P1410" s="83">
        <f>+IF(PROVEEDORES[[#This Row],[SUBTOTAL]]&lt;PROVEEDORES[[#This Row],[base retencion]],0,PROVEEDORES[[#This Row],[retención aplicada]])</f>
        <v>0</v>
      </c>
      <c r="Q1410" s="22">
        <f>+PROVEEDORES[[#This Row],[Rete Fuente %]]*(PROVEEDORES[[#This Row],[SUBTOTAL]]-PROVEEDORES[[#This Row],[descuento sobre subtotal]])</f>
        <v>0</v>
      </c>
      <c r="R1410" s="21">
        <f>+PROVEEDORES[[#This Row],[SUBTOTAL]]+PROVEEDORES[[#This Row],[IVA 19%]]-PROVEEDORES[[#This Row],[descuento sobre subtotal]]-PROVEEDORES[[#This Row],[Descuento sobre subtotal $2]]-PROVEEDORES[[#This Row],[Rete Fuente $]]</f>
        <v>1758000</v>
      </c>
      <c r="S14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0" s="68">
        <f ca="1">IF(PROVEEDORES[[#This Row],[FECHA DE PAGO]]=0,TODAY()-PROVEEDORES[[#This Row],[FECHA DE FACTURACIÓN]]-PROVEEDORES[[#This Row],[PLAZO Días]],0)</f>
        <v>0</v>
      </c>
      <c r="U1410" s="96">
        <f>+VLOOKUP(PROVEEDORES[[#This Row],[PROVEEDOR]],Terceros!$A:$D,4,FALSE)</f>
        <v>0</v>
      </c>
      <c r="V1410" s="97">
        <f>+YEAR(PROVEEDORES[[#This Row],[FECHA DE FACTURACIÓN]])</f>
        <v>2021</v>
      </c>
      <c r="W1410" s="97">
        <f>+MATCH(PROVEEDORES[[#This Row],[año facturado]],Retenciones!$1:$1,0)</f>
        <v>4</v>
      </c>
      <c r="X1410" s="98">
        <f>+VLOOKUP(PROVEEDORES[[#This Row],[ID RETENCION]],Retenciones!$A$1:$O$25,PROVEEDORES[[#This Row],[indicador de columna]],FALSE)</f>
        <v>0</v>
      </c>
      <c r="Y1410" s="99">
        <f>+VLOOKUP(PROVEEDORES[[#This Row],[ID RETENCION]],Retenciones!$A$1:$O$25,2,FALSE)</f>
        <v>0</v>
      </c>
      <c r="Z1410" s="125" t="b">
        <f>OR(COUNTIF(PROVEEDORES[[#This Row],[PROVEEDOR]],"*"&amp;'Palabra no opera'!$A$2&amp;"*"))</f>
        <v>0</v>
      </c>
      <c r="AA1410" s="24"/>
      <c r="AB1410" s="24"/>
      <c r="AC1410" s="24"/>
      <c r="AD1410" s="24"/>
      <c r="AE1410" s="24"/>
    </row>
    <row r="1411" spans="1:31" ht="22.2" customHeight="1" x14ac:dyDescent="0.3">
      <c r="A1411" s="72" t="str">
        <f>+IF(PROVEEDORES[[#This Row],[FECHA DE PAGO]]=PROVEEDORES[[#This Row],[FECHA DE FACTURACIÓN]],"DE CONTADO","CRÉDITO")</f>
        <v>CRÉDITO</v>
      </c>
      <c r="B1411" s="38" t="b">
        <f>+IF((PROVEEDORES[[#This Row],[FECHA DE PAGO]]-PROVEEDORES[[#This Row],[FECHA DE FACTURACIÓN]])&gt;PROVEEDORES[[#This Row],[PLAZO Días]],"PAGO VENCIDO")</f>
        <v>0</v>
      </c>
      <c r="C1411" s="20">
        <f>+VLOOKUP(PROVEEDORES[[#This Row],[PROVEEDOR]],TERCEROS_INFO[#All],2,FALSE)</f>
        <v>30</v>
      </c>
      <c r="D1411" s="25">
        <f>+SUMIFS(PROVEEDORES[Total],PROVEEDORES[PROVEEDOR],PROVEEDORES[[#This Row],[PROVEEDOR]],PROVEEDORES[FECHA DE PAGO],"")</f>
        <v>0</v>
      </c>
      <c r="E1411" s="25"/>
      <c r="F1411" s="58" t="str">
        <f>+VLOOKUP(PROVEEDORES[[#This Row],[PROVEEDOR]],
                       Terceros!$A:$F,
                       5,
                       FALSE)</f>
        <v/>
      </c>
      <c r="G1411" s="161">
        <v>44812</v>
      </c>
      <c r="H1411" s="26" t="s">
        <v>638</v>
      </c>
      <c r="I1411" s="161">
        <v>44809</v>
      </c>
      <c r="J1411" s="35" t="s">
        <v>1666</v>
      </c>
      <c r="K1411" s="21">
        <v>1759000</v>
      </c>
      <c r="L1411" s="21"/>
      <c r="M1411" s="22">
        <f>(PROVEEDORES[[#This Row],[SUBTOTAL]]-PROVEEDORES[[#This Row],[descuento sobre subtotal]])*VLOOKUP(PROVEEDORES[[#This Row],[PROVEEDOR]],TERCEROS_INFO[#All],3,FALSE)</f>
        <v>0</v>
      </c>
      <c r="N1411" s="23"/>
      <c r="O1411" s="22">
        <f>+PROVEEDORES[[#This Row],[Descuento sobre subtotal %]]*(PROVEEDORES[[#This Row],[SUBTOTAL]]-PROVEEDORES[[#This Row],[descuento sobre subtotal]])</f>
        <v>0</v>
      </c>
      <c r="P1411" s="83">
        <f>+IF(PROVEEDORES[[#This Row],[SUBTOTAL]]&lt;PROVEEDORES[[#This Row],[base retencion]],0,PROVEEDORES[[#This Row],[retención aplicada]])</f>
        <v>0</v>
      </c>
      <c r="Q1411" s="22">
        <f>+PROVEEDORES[[#This Row],[Rete Fuente %]]*(PROVEEDORES[[#This Row],[SUBTOTAL]]-PROVEEDORES[[#This Row],[descuento sobre subtotal]])</f>
        <v>0</v>
      </c>
      <c r="R1411" s="21">
        <f>+PROVEEDORES[[#This Row],[SUBTOTAL]]+PROVEEDORES[[#This Row],[IVA 19%]]-PROVEEDORES[[#This Row],[descuento sobre subtotal]]-PROVEEDORES[[#This Row],[Descuento sobre subtotal $2]]-PROVEEDORES[[#This Row],[Rete Fuente $]]</f>
        <v>1759000</v>
      </c>
      <c r="S141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1" s="68">
        <f ca="1">IF(PROVEEDORES[[#This Row],[FECHA DE PAGO]]=0,TODAY()-PROVEEDORES[[#This Row],[FECHA DE FACTURACIÓN]]-PROVEEDORES[[#This Row],[PLAZO Días]],0)</f>
        <v>0</v>
      </c>
      <c r="U1411" s="113">
        <f>+VLOOKUP(PROVEEDORES[[#This Row],[PROVEEDOR]],Terceros!$A:$D,4,FALSE)</f>
        <v>0</v>
      </c>
      <c r="V1411" s="114">
        <f>+YEAR(PROVEEDORES[[#This Row],[FECHA DE FACTURACIÓN]])</f>
        <v>2022</v>
      </c>
      <c r="W1411" s="114">
        <f>+MATCH(PROVEEDORES[[#This Row],[año facturado]],Retenciones!$1:$1,0)</f>
        <v>5</v>
      </c>
      <c r="X1411" s="115">
        <f>+VLOOKUP(PROVEEDORES[[#This Row],[ID RETENCION]],Retenciones!$A$1:$O$25,PROVEEDORES[[#This Row],[indicador de columna]],FALSE)</f>
        <v>0</v>
      </c>
      <c r="Y1411" s="116">
        <f>+VLOOKUP(PROVEEDORES[[#This Row],[ID RETENCION]],Retenciones!$A$1:$O$25,2,FALSE)</f>
        <v>0</v>
      </c>
      <c r="Z1411" s="125" t="b">
        <f>OR(COUNTIF(PROVEEDORES[[#This Row],[PROVEEDOR]],"*"&amp;'Palabra no opera'!$A$2&amp;"*"))</f>
        <v>0</v>
      </c>
      <c r="AA1411" s="24"/>
      <c r="AB1411" s="24"/>
      <c r="AC1411" s="24"/>
      <c r="AD1411" s="24"/>
      <c r="AE1411" s="24"/>
    </row>
    <row r="1412" spans="1:31" ht="22.2" customHeight="1" x14ac:dyDescent="0.3">
      <c r="A1412" s="207" t="str">
        <f>+IF(PROVEEDORES[[#This Row],[FECHA DE PAGO]]=PROVEEDORES[[#This Row],[FECHA DE FACTURACIÓN]],"DE CONTADO","CRÉDITO")</f>
        <v>CRÉDITO</v>
      </c>
      <c r="B1412" s="38" t="str">
        <f>+IF((PROVEEDORES[[#This Row],[FECHA DE PAGO]]-PROVEEDORES[[#This Row],[FECHA DE FACTURACIÓN]])&gt;PROVEEDORES[[#This Row],[PLAZO Días]],"PAGO VENCIDO")</f>
        <v>PAGO VENCIDO</v>
      </c>
      <c r="C1412" s="20">
        <f>+VLOOKUP(PROVEEDORES[[#This Row],[PROVEEDOR]],TERCEROS_INFO[#All],2,FALSE)</f>
        <v>30</v>
      </c>
      <c r="D1412" s="25">
        <f>+SUMIFS(PROVEEDORES[Total],PROVEEDORES[PROVEEDOR],PROVEEDORES[[#This Row],[PROVEEDOR]],PROVEEDORES[FECHA DE PAGO],"")</f>
        <v>0</v>
      </c>
      <c r="E1412" s="25"/>
      <c r="F141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12" s="161">
        <v>44855</v>
      </c>
      <c r="H1412" s="26" t="s">
        <v>20</v>
      </c>
      <c r="I1412" s="161">
        <v>44802</v>
      </c>
      <c r="J1412" s="35">
        <v>7709</v>
      </c>
      <c r="K1412" s="21">
        <v>1521328</v>
      </c>
      <c r="L1412" s="21"/>
      <c r="M1412" s="22">
        <f>(PROVEEDORES[[#This Row],[SUBTOTAL]]-PROVEEDORES[[#This Row],[descuento sobre subtotal]])*VLOOKUP(PROVEEDORES[[#This Row],[PROVEEDOR]],TERCEROS_INFO[#All],3,FALSE)</f>
        <v>289052.32</v>
      </c>
      <c r="N1412" s="23"/>
      <c r="O1412" s="22">
        <f>+PROVEEDORES[[#This Row],[Descuento sobre subtotal %]]*(PROVEEDORES[[#This Row],[SUBTOTAL]]-PROVEEDORES[[#This Row],[descuento sobre subtotal]])</f>
        <v>0</v>
      </c>
      <c r="P1412" s="83">
        <f>+IF(PROVEEDORES[[#This Row],[SUBTOTAL]]&lt;PROVEEDORES[[#This Row],[base retencion]],0,PROVEEDORES[[#This Row],[retención aplicada]])</f>
        <v>2.5000000000000001E-2</v>
      </c>
      <c r="Q1412" s="22">
        <f>+PROVEEDORES[[#This Row],[Rete Fuente %]]*(PROVEEDORES[[#This Row],[SUBTOTAL]]-PROVEEDORES[[#This Row],[descuento sobre subtotal]])</f>
        <v>38033.200000000004</v>
      </c>
      <c r="R1412" s="21">
        <f>+PROVEEDORES[[#This Row],[SUBTOTAL]]+PROVEEDORES[[#This Row],[IVA 19%]]-PROVEEDORES[[#This Row],[descuento sobre subtotal]]-PROVEEDORES[[#This Row],[Descuento sobre subtotal $2]]-PROVEEDORES[[#This Row],[Rete Fuente $]]</f>
        <v>1772347.12</v>
      </c>
      <c r="S1412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2" s="68">
        <f ca="1">IF(PROVEEDORES[[#This Row],[FECHA DE PAGO]]=0,TODAY()-PROVEEDORES[[#This Row],[FECHA DE FACTURACIÓN]]-PROVEEDORES[[#This Row],[PLAZO Días]],0)</f>
        <v>0</v>
      </c>
      <c r="U1412" s="113" t="str">
        <f>+VLOOKUP(PROVEEDORES[[#This Row],[PROVEEDOR]],Terceros!$A:$D,4,FALSE)</f>
        <v>2,5% con base</v>
      </c>
      <c r="V1412" s="114">
        <f>+YEAR(PROVEEDORES[[#This Row],[FECHA DE FACTURACIÓN]])</f>
        <v>2022</v>
      </c>
      <c r="W1412" s="114">
        <f>+MATCH(PROVEEDORES[[#This Row],[año facturado]],Retenciones!$1:$1,0)</f>
        <v>5</v>
      </c>
      <c r="X1412" s="115">
        <f>+VLOOKUP(PROVEEDORES[[#This Row],[ID RETENCION]],Retenciones!$A$1:$O$25,PROVEEDORES[[#This Row],[indicador de columna]],FALSE)</f>
        <v>1026000</v>
      </c>
      <c r="Y1412" s="116">
        <f>+VLOOKUP(PROVEEDORES[[#This Row],[ID RETENCION]],Retenciones!$A$1:$O$25,2,FALSE)</f>
        <v>2.5000000000000001E-2</v>
      </c>
      <c r="Z1412" s="125" t="b">
        <f>OR(COUNTIF(PROVEEDORES[[#This Row],[PROVEEDOR]],"*"&amp;'Palabra no opera'!$A$2&amp;"*"))</f>
        <v>0</v>
      </c>
      <c r="AA1412" s="24"/>
      <c r="AB1412" s="24"/>
      <c r="AC1412" s="24"/>
      <c r="AD1412" s="24"/>
      <c r="AE1412" s="24"/>
    </row>
    <row r="1413" spans="1:31" ht="22.2" customHeight="1" x14ac:dyDescent="0.3">
      <c r="A1413" s="66" t="str">
        <f>+IF(PROVEEDORES[[#This Row],[FECHA DE PAGO]]=PROVEEDORES[[#This Row],[FECHA DE FACTURACIÓN]],"DE CONTADO","CRÉDITO")</f>
        <v>CRÉDITO</v>
      </c>
      <c r="B1413" s="38" t="b">
        <f>+IF((PROVEEDORES[[#This Row],[FECHA DE PAGO]]-PROVEEDORES[[#This Row],[FECHA DE FACTURACIÓN]])&gt;PROVEEDORES[[#This Row],[PLAZO Días]],"PAGO VENCIDO")</f>
        <v>0</v>
      </c>
      <c r="C1413" s="20">
        <f>+VLOOKUP(PROVEEDORES[[#This Row],[PROVEEDOR]],TERCEROS_INFO[#All],2,FALSE)</f>
        <v>30</v>
      </c>
      <c r="D1413" s="25">
        <f>+SUMIFS(PROVEEDORES[Total],PROVEEDORES[PROVEEDOR],PROVEEDORES[[#This Row],[PROVEEDOR]],PROVEEDORES[FECHA DE PAGO],"")</f>
        <v>0</v>
      </c>
      <c r="E1413" s="25"/>
      <c r="F141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3" s="161">
        <v>44579</v>
      </c>
      <c r="H1413" s="26" t="s">
        <v>615</v>
      </c>
      <c r="I1413" s="161">
        <v>44578</v>
      </c>
      <c r="J1413" s="35" t="s">
        <v>1375</v>
      </c>
      <c r="K1413" s="21">
        <v>1776000</v>
      </c>
      <c r="L1413" s="21"/>
      <c r="M1413" s="22">
        <f>(PROVEEDORES[[#This Row],[SUBTOTAL]]-PROVEEDORES[[#This Row],[descuento sobre subtotal]])*VLOOKUP(PROVEEDORES[[#This Row],[PROVEEDOR]],TERCEROS_INFO[#All],3,FALSE)</f>
        <v>0</v>
      </c>
      <c r="N1413" s="23"/>
      <c r="O1413" s="22">
        <f>+PROVEEDORES[[#This Row],[Descuento sobre subtotal %]]*(PROVEEDORES[[#This Row],[SUBTOTAL]]-PROVEEDORES[[#This Row],[descuento sobre subtotal]])</f>
        <v>0</v>
      </c>
      <c r="P1413" s="83">
        <f>+IF(PROVEEDORES[[#This Row],[SUBTOTAL]]&lt;PROVEEDORES[[#This Row],[base retencion]],0,PROVEEDORES[[#This Row],[retención aplicada]])</f>
        <v>0</v>
      </c>
      <c r="Q1413" s="22">
        <f>+PROVEEDORES[[#This Row],[Rete Fuente %]]*(PROVEEDORES[[#This Row],[SUBTOTAL]]-PROVEEDORES[[#This Row],[descuento sobre subtotal]])</f>
        <v>0</v>
      </c>
      <c r="R1413" s="21">
        <f>+PROVEEDORES[[#This Row],[SUBTOTAL]]+PROVEEDORES[[#This Row],[IVA 19%]]-PROVEEDORES[[#This Row],[descuento sobre subtotal]]-PROVEEDORES[[#This Row],[Descuento sobre subtotal $2]]-PROVEEDORES[[#This Row],[Rete Fuente $]]</f>
        <v>1776000</v>
      </c>
      <c r="S14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3" s="68">
        <f ca="1">IF(PROVEEDORES[[#This Row],[FECHA DE PAGO]]=0,TODAY()-PROVEEDORES[[#This Row],[FECHA DE FACTURACIÓN]]-PROVEEDORES[[#This Row],[PLAZO Días]],0)</f>
        <v>0</v>
      </c>
      <c r="U1413" s="96">
        <f>+VLOOKUP(PROVEEDORES[[#This Row],[PROVEEDOR]],Terceros!$A:$D,4,FALSE)</f>
        <v>0</v>
      </c>
      <c r="V1413" s="97">
        <f>+YEAR(PROVEEDORES[[#This Row],[FECHA DE FACTURACIÓN]])</f>
        <v>2022</v>
      </c>
      <c r="W1413" s="97">
        <f>+MATCH(PROVEEDORES[[#This Row],[año facturado]],Retenciones!$1:$1,0)</f>
        <v>5</v>
      </c>
      <c r="X1413" s="98">
        <f>+VLOOKUP(PROVEEDORES[[#This Row],[ID RETENCION]],Retenciones!$A$1:$O$25,PROVEEDORES[[#This Row],[indicador de columna]],FALSE)</f>
        <v>0</v>
      </c>
      <c r="Y1413" s="99">
        <f>+VLOOKUP(PROVEEDORES[[#This Row],[ID RETENCION]],Retenciones!$A$1:$O$25,2,FALSE)</f>
        <v>0</v>
      </c>
      <c r="Z1413" s="125" t="b">
        <f>OR(COUNTIF(PROVEEDORES[[#This Row],[PROVEEDOR]],"*"&amp;'Palabra no opera'!$A$2&amp;"*"))</f>
        <v>0</v>
      </c>
      <c r="AA1413" s="24"/>
      <c r="AB1413" s="24"/>
      <c r="AC1413" s="24"/>
      <c r="AD1413" s="24"/>
      <c r="AE1413" s="24"/>
    </row>
    <row r="1414" spans="1:31" ht="22.2" customHeight="1" x14ac:dyDescent="0.3">
      <c r="A1414" s="66" t="str">
        <f>+IF(PROVEEDORES[[#This Row],[FECHA DE PAGO]]=PROVEEDORES[[#This Row],[FECHA DE FACTURACIÓN]],"DE CONTADO","CRÉDITO")</f>
        <v>CRÉDITO</v>
      </c>
      <c r="B1414" s="38" t="str">
        <f>+IF((PROVEEDORES[[#This Row],[FECHA DE PAGO]]-PROVEEDORES[[#This Row],[FECHA DE FACTURACIÓN]])&gt;PROVEEDORES[[#This Row],[PLAZO Días]],"PAGO VENCIDO")</f>
        <v>PAGO VENCIDO</v>
      </c>
      <c r="C1414" s="20">
        <f>+VLOOKUP(PROVEEDORES[[#This Row],[PROVEEDOR]],TERCEROS_INFO[#All],2,FALSE)</f>
        <v>30</v>
      </c>
      <c r="D1414" s="25">
        <f>+SUMIFS(PROVEEDORES[Total],PROVEEDORES[PROVEEDOR],PROVEEDORES[[#This Row],[PROVEEDOR]],PROVEEDORES[FECHA DE PAGO],"")</f>
        <v>1127400.05</v>
      </c>
      <c r="E1414" s="25"/>
      <c r="F141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414" s="161">
        <v>44533</v>
      </c>
      <c r="H1414" s="26" t="s">
        <v>47</v>
      </c>
      <c r="I1414" s="161">
        <v>44474</v>
      </c>
      <c r="J1414" s="35">
        <v>32109</v>
      </c>
      <c r="K1414" s="21">
        <v>1524544</v>
      </c>
      <c r="L1414" s="21"/>
      <c r="M1414" s="22">
        <f>(PROVEEDORES[[#This Row],[SUBTOTAL]]-PROVEEDORES[[#This Row],[descuento sobre subtotal]])*VLOOKUP(PROVEEDORES[[#This Row],[PROVEEDOR]],TERCEROS_INFO[#All],3,FALSE)</f>
        <v>289663.35999999999</v>
      </c>
      <c r="N1414" s="23"/>
      <c r="O1414" s="22">
        <f>+PROVEEDORES[[#This Row],[Descuento sobre subtotal %]]*(PROVEEDORES[[#This Row],[SUBTOTAL]]-PROVEEDORES[[#This Row],[descuento sobre subtotal]])</f>
        <v>0</v>
      </c>
      <c r="P1414" s="83">
        <f>+IF(PROVEEDORES[[#This Row],[SUBTOTAL]]&lt;PROVEEDORES[[#This Row],[base retencion]],0,PROVEEDORES[[#This Row],[retención aplicada]])</f>
        <v>2.5000000000000001E-2</v>
      </c>
      <c r="Q1414" s="22">
        <f>+PROVEEDORES[[#This Row],[Rete Fuente %]]*(PROVEEDORES[[#This Row],[SUBTOTAL]]-PROVEEDORES[[#This Row],[descuento sobre subtotal]])</f>
        <v>38113.599999999999</v>
      </c>
      <c r="R1414" s="21">
        <f>+PROVEEDORES[[#This Row],[SUBTOTAL]]+PROVEEDORES[[#This Row],[IVA 19%]]-PROVEEDORES[[#This Row],[descuento sobre subtotal]]-PROVEEDORES[[#This Row],[Descuento sobre subtotal $2]]-PROVEEDORES[[#This Row],[Rete Fuente $]]</f>
        <v>1776093.7599999998</v>
      </c>
      <c r="S14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4" s="68">
        <f ca="1">IF(PROVEEDORES[[#This Row],[FECHA DE PAGO]]=0,TODAY()-PROVEEDORES[[#This Row],[FECHA DE FACTURACIÓN]]-PROVEEDORES[[#This Row],[PLAZO Días]],0)</f>
        <v>0</v>
      </c>
      <c r="U1414" s="96" t="str">
        <f>+VLOOKUP(PROVEEDORES[[#This Row],[PROVEEDOR]],Terceros!$A:$D,4,FALSE)</f>
        <v>2,5% con base</v>
      </c>
      <c r="V1414" s="97">
        <f>+YEAR(PROVEEDORES[[#This Row],[FECHA DE FACTURACIÓN]])</f>
        <v>2021</v>
      </c>
      <c r="W1414" s="97">
        <f>+MATCH(PROVEEDORES[[#This Row],[año facturado]],Retenciones!$1:$1,0)</f>
        <v>4</v>
      </c>
      <c r="X1414" s="98">
        <f>+VLOOKUP(PROVEEDORES[[#This Row],[ID RETENCION]],Retenciones!$A$1:$O$25,PROVEEDORES[[#This Row],[indicador de columna]],FALSE)</f>
        <v>980000</v>
      </c>
      <c r="Y1414" s="99">
        <f>+VLOOKUP(PROVEEDORES[[#This Row],[ID RETENCION]],Retenciones!$A$1:$O$25,2,FALSE)</f>
        <v>2.5000000000000001E-2</v>
      </c>
      <c r="Z1414" s="125" t="b">
        <f>OR(COUNTIF(PROVEEDORES[[#This Row],[PROVEEDOR]],"*"&amp;'Palabra no opera'!$A$2&amp;"*"))</f>
        <v>0</v>
      </c>
      <c r="AA1414" s="101"/>
      <c r="AC1414" s="102"/>
      <c r="AD1414" s="103"/>
      <c r="AE1414" s="24"/>
    </row>
    <row r="1415" spans="1:31" ht="22.2" customHeight="1" x14ac:dyDescent="0.3">
      <c r="A1415" s="66" t="str">
        <f>+IF(PROVEEDORES[[#This Row],[FECHA DE PAGO]]=PROVEEDORES[[#This Row],[FECHA DE FACTURACIÓN]],"DE CONTADO","CRÉDITO")</f>
        <v>CRÉDITO</v>
      </c>
      <c r="B1415" s="38" t="str">
        <f>+IF((PROVEEDORES[[#This Row],[FECHA DE PAGO]]-PROVEEDORES[[#This Row],[FECHA DE FACTURACIÓN]])&gt;PROVEEDORES[[#This Row],[PLAZO Días]],"PAGO VENCIDO")</f>
        <v>PAGO VENCIDO</v>
      </c>
      <c r="C1415" s="20">
        <f>+VLOOKUP(PROVEEDORES[[#This Row],[PROVEEDOR]],TERCEROS_INFO[#All],2,FALSE)</f>
        <v>30</v>
      </c>
      <c r="D1415" s="25">
        <f>+SUMIFS(PROVEEDORES[Total],PROVEEDORES[PROVEEDOR],PROVEEDORES[[#This Row],[PROVEEDOR]],PROVEEDORES[FECHA DE PAGO],"")</f>
        <v>2318500</v>
      </c>
      <c r="E1415" s="25"/>
      <c r="F1415" s="58" t="str">
        <f>+VLOOKUP(PROVEEDORES[[#This Row],[PROVEEDOR]],
                       Terceros!$A:$F,
                       5,
                       FALSE)</f>
        <v/>
      </c>
      <c r="G1415" s="161">
        <v>44643</v>
      </c>
      <c r="H1415" s="26" t="s">
        <v>629</v>
      </c>
      <c r="I1415" s="161">
        <v>44594</v>
      </c>
      <c r="J1415" s="35" t="s">
        <v>630</v>
      </c>
      <c r="K1415" s="21">
        <v>1778500</v>
      </c>
      <c r="L1415" s="21"/>
      <c r="M1415" s="22">
        <f>(PROVEEDORES[[#This Row],[SUBTOTAL]]-PROVEEDORES[[#This Row],[descuento sobre subtotal]])*VLOOKUP(PROVEEDORES[[#This Row],[PROVEEDOR]],TERCEROS_INFO[#All],3,FALSE)</f>
        <v>0</v>
      </c>
      <c r="N1415" s="23"/>
      <c r="O1415" s="22">
        <f>+PROVEEDORES[[#This Row],[Descuento sobre subtotal %]]*(PROVEEDORES[[#This Row],[SUBTOTAL]]-PROVEEDORES[[#This Row],[descuento sobre subtotal]])</f>
        <v>0</v>
      </c>
      <c r="P1415" s="83">
        <f>+IF(PROVEEDORES[[#This Row],[SUBTOTAL]]&lt;PROVEEDORES[[#This Row],[base retencion]],0,PROVEEDORES[[#This Row],[retención aplicada]])</f>
        <v>0</v>
      </c>
      <c r="Q1415" s="22">
        <f>+PROVEEDORES[[#This Row],[Rete Fuente %]]*(PROVEEDORES[[#This Row],[SUBTOTAL]]-PROVEEDORES[[#This Row],[descuento sobre subtotal]])</f>
        <v>0</v>
      </c>
      <c r="R1415" s="21">
        <v>1778500</v>
      </c>
      <c r="S14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5" s="68">
        <f ca="1">IF(PROVEEDORES[[#This Row],[FECHA DE PAGO]]=0,TODAY()-PROVEEDORES[[#This Row],[FECHA DE FACTURACIÓN]]-PROVEEDORES[[#This Row],[PLAZO Días]],0)</f>
        <v>0</v>
      </c>
      <c r="U1415" s="96">
        <f>+VLOOKUP(PROVEEDORES[[#This Row],[PROVEEDOR]],Terceros!$A:$D,4,FALSE)</f>
        <v>0</v>
      </c>
      <c r="V1415" s="97">
        <f>+YEAR(PROVEEDORES[[#This Row],[FECHA DE FACTURACIÓN]])</f>
        <v>2022</v>
      </c>
      <c r="W1415" s="97">
        <f>+MATCH(PROVEEDORES[[#This Row],[año facturado]],Retenciones!$1:$1,0)</f>
        <v>5</v>
      </c>
      <c r="X1415" s="98">
        <f>+VLOOKUP(PROVEEDORES[[#This Row],[ID RETENCION]],Retenciones!$A$1:$O$25,PROVEEDORES[[#This Row],[indicador de columna]],FALSE)</f>
        <v>0</v>
      </c>
      <c r="Y1415" s="99">
        <f>+VLOOKUP(PROVEEDORES[[#This Row],[ID RETENCION]],Retenciones!$A$1:$O$25,2,FALSE)</f>
        <v>0</v>
      </c>
      <c r="Z1415" s="125" t="b">
        <f>OR(COUNTIF(PROVEEDORES[[#This Row],[PROVEEDOR]],"*"&amp;'Palabra no opera'!$A$2&amp;"*"))</f>
        <v>0</v>
      </c>
      <c r="AA1415" s="101"/>
      <c r="AC1415" s="102"/>
      <c r="AD1415" s="103"/>
      <c r="AE1415" s="24"/>
    </row>
    <row r="1416" spans="1:31" ht="22.2" customHeight="1" x14ac:dyDescent="0.3">
      <c r="A1416" s="66" t="str">
        <f>+IF(PROVEEDORES[[#This Row],[FECHA DE PAGO]]=PROVEEDORES[[#This Row],[FECHA DE FACTURACIÓN]],"DE CONTADO","CRÉDITO")</f>
        <v>CRÉDITO</v>
      </c>
      <c r="B1416" s="38" t="str">
        <f>+IF((PROVEEDORES[[#This Row],[FECHA DE PAGO]]-PROVEEDORES[[#This Row],[FECHA DE FACTURACIÓN]])&gt;PROVEEDORES[[#This Row],[PLAZO Días]],"PAGO VENCIDO")</f>
        <v>PAGO VENCIDO</v>
      </c>
      <c r="C1416" s="20">
        <f>+VLOOKUP(PROVEEDORES[[#This Row],[PROVEEDOR]],TERCEROS_INFO[#All],2,FALSE)</f>
        <v>90</v>
      </c>
      <c r="D1416" s="25">
        <f>+SUMIFS(PROVEEDORES[Total],PROVEEDORES[PROVEEDOR],PROVEEDORES[[#This Row],[PROVEEDOR]],PROVEEDORES[FECHA DE PAGO],"")</f>
        <v>26350422.770000003</v>
      </c>
      <c r="E1416" s="25"/>
      <c r="F141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416" s="161">
        <v>44533</v>
      </c>
      <c r="H1416" s="26" t="s">
        <v>12</v>
      </c>
      <c r="I1416" s="161">
        <v>44431</v>
      </c>
      <c r="J1416" s="35" t="s">
        <v>435</v>
      </c>
      <c r="K1416" s="21">
        <v>1527733</v>
      </c>
      <c r="L1416" s="21"/>
      <c r="M1416" s="22">
        <f>(PROVEEDORES[[#This Row],[SUBTOTAL]]-PROVEEDORES[[#This Row],[descuento sobre subtotal]])*VLOOKUP(PROVEEDORES[[#This Row],[PROVEEDOR]],TERCEROS_INFO[#All],3,FALSE)</f>
        <v>290269.27</v>
      </c>
      <c r="N1416" s="23"/>
      <c r="O1416" s="22">
        <f>+PROVEEDORES[[#This Row],[Descuento sobre subtotal %]]*(PROVEEDORES[[#This Row],[SUBTOTAL]]-PROVEEDORES[[#This Row],[descuento sobre subtotal]])</f>
        <v>0</v>
      </c>
      <c r="P1416" s="83">
        <f>+IF(PROVEEDORES[[#This Row],[SUBTOTAL]]&lt;PROVEEDORES[[#This Row],[base retencion]],0,PROVEEDORES[[#This Row],[retención aplicada]])</f>
        <v>2.5000000000000001E-2</v>
      </c>
      <c r="Q1416" s="22">
        <f>+PROVEEDORES[[#This Row],[Rete Fuente %]]*(PROVEEDORES[[#This Row],[SUBTOTAL]]-PROVEEDORES[[#This Row],[descuento sobre subtotal]])</f>
        <v>38193.325000000004</v>
      </c>
      <c r="R1416" s="21">
        <f>+PROVEEDORES[[#This Row],[SUBTOTAL]]+PROVEEDORES[[#This Row],[IVA 19%]]-PROVEEDORES[[#This Row],[descuento sobre subtotal]]-PROVEEDORES[[#This Row],[Descuento sobre subtotal $2]]-PROVEEDORES[[#This Row],[Rete Fuente $]]</f>
        <v>1779808.9450000001</v>
      </c>
      <c r="S14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6" s="68">
        <f ca="1">IF(PROVEEDORES[[#This Row],[FECHA DE PAGO]]=0,TODAY()-PROVEEDORES[[#This Row],[FECHA DE FACTURACIÓN]]-PROVEEDORES[[#This Row],[PLAZO Días]],0)</f>
        <v>0</v>
      </c>
      <c r="U1416" s="96" t="str">
        <f>+VLOOKUP(PROVEEDORES[[#This Row],[PROVEEDOR]],Terceros!$A:$D,4,FALSE)</f>
        <v>2,5% con base</v>
      </c>
      <c r="V1416" s="97">
        <f>+YEAR(PROVEEDORES[[#This Row],[FECHA DE FACTURACIÓN]])</f>
        <v>2021</v>
      </c>
      <c r="W1416" s="97">
        <f>+MATCH(PROVEEDORES[[#This Row],[año facturado]],Retenciones!$1:$1,0)</f>
        <v>4</v>
      </c>
      <c r="X1416" s="98">
        <f>+VLOOKUP(PROVEEDORES[[#This Row],[ID RETENCION]],Retenciones!$A$1:$O$25,PROVEEDORES[[#This Row],[indicador de columna]],FALSE)</f>
        <v>980000</v>
      </c>
      <c r="Y1416" s="99">
        <f>+VLOOKUP(PROVEEDORES[[#This Row],[ID RETENCION]],Retenciones!$A$1:$O$25,2,FALSE)</f>
        <v>2.5000000000000001E-2</v>
      </c>
      <c r="Z1416" s="125" t="b">
        <f>OR(COUNTIF(PROVEEDORES[[#This Row],[PROVEEDOR]],"*"&amp;'Palabra no opera'!$A$2&amp;"*"))</f>
        <v>0</v>
      </c>
      <c r="AA1416" s="101"/>
      <c r="AC1416" s="102"/>
      <c r="AD1416" s="103"/>
      <c r="AE1416" s="24"/>
    </row>
    <row r="1417" spans="1:31" ht="22.2" customHeight="1" x14ac:dyDescent="0.3">
      <c r="A1417" s="66" t="str">
        <f>+IF(PROVEEDORES[[#This Row],[FECHA DE PAGO]]=PROVEEDORES[[#This Row],[FECHA DE FACTURACIÓN]],"DE CONTADO","CRÉDITO")</f>
        <v>CRÉDITO</v>
      </c>
      <c r="B1417" s="38" t="b">
        <f>+IF((PROVEEDORES[[#This Row],[FECHA DE PAGO]]-PROVEEDORES[[#This Row],[FECHA DE FACTURACIÓN]])&gt;PROVEEDORES[[#This Row],[PLAZO Días]],"PAGO VENCIDO")</f>
        <v>0</v>
      </c>
      <c r="C1417" s="20">
        <f>+VLOOKUP(PROVEEDORES[[#This Row],[PROVEEDOR]],TERCEROS_INFO[#All],2,FALSE)</f>
        <v>30</v>
      </c>
      <c r="D1417" s="25">
        <f>+SUMIFS(PROVEEDORES[Total],PROVEEDORES[PROVEEDOR],PROVEEDORES[[#This Row],[PROVEEDOR]],PROVEEDORES[FECHA DE PAGO],"")</f>
        <v>4024829</v>
      </c>
      <c r="E1417" s="25"/>
      <c r="F141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7" s="161">
        <v>44489</v>
      </c>
      <c r="H1417" s="26" t="s">
        <v>345</v>
      </c>
      <c r="I1417" s="161">
        <v>44488</v>
      </c>
      <c r="J1417" s="35" t="s">
        <v>1331</v>
      </c>
      <c r="K1417" s="21">
        <v>1781000</v>
      </c>
      <c r="L1417" s="21"/>
      <c r="M1417" s="22">
        <f>(PROVEEDORES[[#This Row],[SUBTOTAL]]-PROVEEDORES[[#This Row],[descuento sobre subtotal]])*VLOOKUP(PROVEEDORES[[#This Row],[PROVEEDOR]],TERCEROS_INFO[#All],3,FALSE)</f>
        <v>0</v>
      </c>
      <c r="N1417" s="23"/>
      <c r="O1417" s="22">
        <f>+PROVEEDORES[[#This Row],[Descuento sobre subtotal %]]*(PROVEEDORES[[#This Row],[SUBTOTAL]]-PROVEEDORES[[#This Row],[descuento sobre subtotal]])</f>
        <v>0</v>
      </c>
      <c r="P1417" s="83">
        <f>+IF(PROVEEDORES[[#This Row],[SUBTOTAL]]&lt;PROVEEDORES[[#This Row],[base retencion]],0,PROVEEDORES[[#This Row],[retención aplicada]])</f>
        <v>0</v>
      </c>
      <c r="Q1417" s="22">
        <f>+PROVEEDORES[[#This Row],[Rete Fuente %]]*(PROVEEDORES[[#This Row],[SUBTOTAL]]-PROVEEDORES[[#This Row],[descuento sobre subtotal]])</f>
        <v>0</v>
      </c>
      <c r="R1417" s="21">
        <f>+PROVEEDORES[[#This Row],[SUBTOTAL]]+PROVEEDORES[[#This Row],[IVA 19%]]-PROVEEDORES[[#This Row],[descuento sobre subtotal]]-PROVEEDORES[[#This Row],[Descuento sobre subtotal $2]]-PROVEEDORES[[#This Row],[Rete Fuente $]]</f>
        <v>1781000</v>
      </c>
      <c r="S14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7" s="68">
        <f ca="1">IF(PROVEEDORES[[#This Row],[FECHA DE PAGO]]=0,TODAY()-PROVEEDORES[[#This Row],[FECHA DE FACTURACIÓN]]-PROVEEDORES[[#This Row],[PLAZO Días]],0)</f>
        <v>0</v>
      </c>
      <c r="U1417" s="96">
        <f>+VLOOKUP(PROVEEDORES[[#This Row],[PROVEEDOR]],Terceros!$A:$D,4,FALSE)</f>
        <v>0</v>
      </c>
      <c r="V1417" s="97">
        <f>+YEAR(PROVEEDORES[[#This Row],[FECHA DE FACTURACIÓN]])</f>
        <v>2021</v>
      </c>
      <c r="W1417" s="97">
        <f>+MATCH(PROVEEDORES[[#This Row],[año facturado]],Retenciones!$1:$1,0)</f>
        <v>4</v>
      </c>
      <c r="X1417" s="98">
        <f>+VLOOKUP(PROVEEDORES[[#This Row],[ID RETENCION]],Retenciones!$A$1:$O$25,PROVEEDORES[[#This Row],[indicador de columna]],FALSE)</f>
        <v>0</v>
      </c>
      <c r="Y1417" s="99">
        <f>+VLOOKUP(PROVEEDORES[[#This Row],[ID RETENCION]],Retenciones!$A$1:$O$25,2,FALSE)</f>
        <v>0</v>
      </c>
      <c r="Z1417" s="125" t="b">
        <f>OR(COUNTIF(PROVEEDORES[[#This Row],[PROVEEDOR]],"*"&amp;'Palabra no opera'!$A$2&amp;"*"))</f>
        <v>0</v>
      </c>
      <c r="AA1417" s="101"/>
      <c r="AC1417" s="102"/>
      <c r="AD1417" s="103"/>
      <c r="AE1417" s="24"/>
    </row>
    <row r="1418" spans="1:31" ht="22.2" customHeight="1" x14ac:dyDescent="0.3">
      <c r="A1418" s="66" t="str">
        <f>+IF(PROVEEDORES[[#This Row],[FECHA DE PAGO]]=PROVEEDORES[[#This Row],[FECHA DE FACTURACIÓN]],"DE CONTADO","CRÉDITO")</f>
        <v>CRÉDITO</v>
      </c>
      <c r="B1418" s="38" t="b">
        <f>+IF((PROVEEDORES[[#This Row],[FECHA DE PAGO]]-PROVEEDORES[[#This Row],[FECHA DE FACTURACIÓN]])&gt;PROVEEDORES[[#This Row],[PLAZO Días]],"PAGO VENCIDO")</f>
        <v>0</v>
      </c>
      <c r="C1418" s="20">
        <f>+VLOOKUP(PROVEEDORES[[#This Row],[PROVEEDOR]],TERCEROS_INFO[#All],2,FALSE)</f>
        <v>30</v>
      </c>
      <c r="D1418" s="25">
        <f>+SUMIFS(PROVEEDORES[Total],PROVEEDORES[PROVEEDOR],PROVEEDORES[[#This Row],[PROVEEDOR]],PROVEEDORES[FECHA DE PAGO],"")</f>
        <v>4024829</v>
      </c>
      <c r="E1418" s="25"/>
      <c r="F141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8" s="161">
        <v>44537</v>
      </c>
      <c r="H1418" s="26" t="s">
        <v>345</v>
      </c>
      <c r="I1418" s="161">
        <v>44536</v>
      </c>
      <c r="J1418" s="35" t="s">
        <v>1356</v>
      </c>
      <c r="K1418" s="21">
        <v>1781000</v>
      </c>
      <c r="L1418" s="21"/>
      <c r="M1418" s="22">
        <f>(PROVEEDORES[[#This Row],[SUBTOTAL]]-PROVEEDORES[[#This Row],[descuento sobre subtotal]])*VLOOKUP(PROVEEDORES[[#This Row],[PROVEEDOR]],TERCEROS_INFO[#All],3,FALSE)</f>
        <v>0</v>
      </c>
      <c r="N1418" s="23"/>
      <c r="O1418" s="22">
        <f>+PROVEEDORES[[#This Row],[Descuento sobre subtotal %]]*(PROVEEDORES[[#This Row],[SUBTOTAL]]-PROVEEDORES[[#This Row],[descuento sobre subtotal]])</f>
        <v>0</v>
      </c>
      <c r="P1418" s="83">
        <f>+IF(PROVEEDORES[[#This Row],[SUBTOTAL]]&lt;PROVEEDORES[[#This Row],[base retencion]],0,PROVEEDORES[[#This Row],[retención aplicada]])</f>
        <v>0</v>
      </c>
      <c r="Q1418" s="22">
        <f>+PROVEEDORES[[#This Row],[Rete Fuente %]]*(PROVEEDORES[[#This Row],[SUBTOTAL]]-PROVEEDORES[[#This Row],[descuento sobre subtotal]])</f>
        <v>0</v>
      </c>
      <c r="R1418" s="21">
        <f>+PROVEEDORES[[#This Row],[SUBTOTAL]]+PROVEEDORES[[#This Row],[IVA 19%]]-PROVEEDORES[[#This Row],[descuento sobre subtotal]]-PROVEEDORES[[#This Row],[Descuento sobre subtotal $2]]-PROVEEDORES[[#This Row],[Rete Fuente $]]</f>
        <v>1781000</v>
      </c>
      <c r="S14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8" s="68">
        <f ca="1">IF(PROVEEDORES[[#This Row],[FECHA DE PAGO]]=0,TODAY()-PROVEEDORES[[#This Row],[FECHA DE FACTURACIÓN]]-PROVEEDORES[[#This Row],[PLAZO Días]],0)</f>
        <v>0</v>
      </c>
      <c r="U1418" s="96">
        <f>+VLOOKUP(PROVEEDORES[[#This Row],[PROVEEDOR]],Terceros!$A:$D,4,FALSE)</f>
        <v>0</v>
      </c>
      <c r="V1418" s="97">
        <f>+YEAR(PROVEEDORES[[#This Row],[FECHA DE FACTURACIÓN]])</f>
        <v>2021</v>
      </c>
      <c r="W1418" s="97">
        <f>+MATCH(PROVEEDORES[[#This Row],[año facturado]],Retenciones!$1:$1,0)</f>
        <v>4</v>
      </c>
      <c r="X1418" s="98">
        <f>+VLOOKUP(PROVEEDORES[[#This Row],[ID RETENCION]],Retenciones!$A$1:$O$25,PROVEEDORES[[#This Row],[indicador de columna]],FALSE)</f>
        <v>0</v>
      </c>
      <c r="Y1418" s="99">
        <f>+VLOOKUP(PROVEEDORES[[#This Row],[ID RETENCION]],Retenciones!$A$1:$O$25,2,FALSE)</f>
        <v>0</v>
      </c>
      <c r="Z1418" s="125" t="b">
        <f>OR(COUNTIF(PROVEEDORES[[#This Row],[PROVEEDOR]],"*"&amp;'Palabra no opera'!$A$2&amp;"*"))</f>
        <v>0</v>
      </c>
      <c r="AA1418" s="101"/>
      <c r="AC1418" s="102"/>
      <c r="AD1418" s="103"/>
      <c r="AE1418" s="24"/>
    </row>
    <row r="1419" spans="1:31" ht="22.2" customHeight="1" x14ac:dyDescent="0.3">
      <c r="A1419" s="144" t="str">
        <f>+IF(PROVEEDORES[[#This Row],[FECHA DE PAGO]]=PROVEEDORES[[#This Row],[FECHA DE FACTURACIÓN]],"DE CONTADO","CRÉDITO")</f>
        <v>CRÉDITO</v>
      </c>
      <c r="B1419" s="38" t="b">
        <f>+IF((PROVEEDORES[[#This Row],[FECHA DE PAGO]]-PROVEEDORES[[#This Row],[FECHA DE FACTURACIÓN]])&gt;PROVEEDORES[[#This Row],[PLAZO Días]],"PAGO VENCIDO")</f>
        <v>0</v>
      </c>
      <c r="C1419" s="20">
        <f>+VLOOKUP(PROVEEDORES[[#This Row],[PROVEEDOR]],TERCEROS_INFO[#All],2,FALSE)</f>
        <v>30</v>
      </c>
      <c r="D1419" s="25">
        <f>+SUMIFS(PROVEEDORES[Total],PROVEEDORES[PROVEEDOR],PROVEEDORES[[#This Row],[PROVEEDOR]],PROVEEDORES[FECHA DE PAGO],"")</f>
        <v>0</v>
      </c>
      <c r="E1419" s="25"/>
      <c r="F1419" s="5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419" s="161">
        <v>44707</v>
      </c>
      <c r="H1419" s="26" t="s">
        <v>926</v>
      </c>
      <c r="I1419" s="161">
        <v>44704</v>
      </c>
      <c r="J1419" s="35" t="s">
        <v>980</v>
      </c>
      <c r="K1419" s="21">
        <v>1650000</v>
      </c>
      <c r="L1419" s="21"/>
      <c r="M1419" s="22">
        <f>(PROVEEDORES[[#This Row],[SUBTOTAL]]-PROVEEDORES[[#This Row],[descuento sobre subtotal]])*VLOOKUP(PROVEEDORES[[#This Row],[PROVEEDOR]],TERCEROS_INFO[#All],3,FALSE)</f>
        <v>313500</v>
      </c>
      <c r="N1419" s="23"/>
      <c r="O1419" s="22">
        <f>+PROVEEDORES[[#This Row],[Descuento sobre subtotal %]]*(PROVEEDORES[[#This Row],[SUBTOTAL]]-PROVEEDORES[[#This Row],[descuento sobre subtotal]])</f>
        <v>0</v>
      </c>
      <c r="P1419" s="83">
        <f>+IF(PROVEEDORES[[#This Row],[SUBTOTAL]]&lt;PROVEEDORES[[#This Row],[base retencion]],0,PROVEEDORES[[#This Row],[retención aplicada]])</f>
        <v>0.11</v>
      </c>
      <c r="Q1419" s="22">
        <f>+PROVEEDORES[[#This Row],[Rete Fuente %]]*(PROVEEDORES[[#This Row],[SUBTOTAL]]-PROVEEDORES[[#This Row],[descuento sobre subtotal]])</f>
        <v>181500</v>
      </c>
      <c r="R1419" s="21">
        <f>+PROVEEDORES[[#This Row],[SUBTOTAL]]+PROVEEDORES[[#This Row],[IVA 19%]]-PROVEEDORES[[#This Row],[descuento sobre subtotal]]-PROVEEDORES[[#This Row],[Descuento sobre subtotal $2]]-PROVEEDORES[[#This Row],[Rete Fuente $]]</f>
        <v>1782000</v>
      </c>
      <c r="S1419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9" s="68">
        <f ca="1">IF(PROVEEDORES[[#This Row],[FECHA DE PAGO]]=0,TODAY()-PROVEEDORES[[#This Row],[FECHA DE FACTURACIÓN]]-PROVEEDORES[[#This Row],[PLAZO Días]],0)</f>
        <v>0</v>
      </c>
      <c r="U1419" s="113" t="str">
        <f>+VLOOKUP(PROVEEDORES[[#This Row],[PROVEEDOR]],Terceros!$A:$D,4,FALSE)</f>
        <v>11% sin base</v>
      </c>
      <c r="V1419" s="114">
        <f>+YEAR(PROVEEDORES[[#This Row],[FECHA DE FACTURACIÓN]])</f>
        <v>2022</v>
      </c>
      <c r="W1419" s="114">
        <f>+MATCH(PROVEEDORES[[#This Row],[año facturado]],Retenciones!$1:$1,0)</f>
        <v>5</v>
      </c>
      <c r="X1419" s="115">
        <f>+VLOOKUP(PROVEEDORES[[#This Row],[ID RETENCION]],Retenciones!$A$1:$O$25,PROVEEDORES[[#This Row],[indicador de columna]],FALSE)</f>
        <v>0</v>
      </c>
      <c r="Y1419" s="116">
        <f>+VLOOKUP(PROVEEDORES[[#This Row],[ID RETENCION]],Retenciones!$A$1:$O$25,2,FALSE)</f>
        <v>0.11</v>
      </c>
      <c r="Z1419" s="125" t="b">
        <f>OR(COUNTIF(PROVEEDORES[[#This Row],[PROVEEDOR]],"*"&amp;'Palabra no opera'!$A$2&amp;"*"))</f>
        <v>1</v>
      </c>
      <c r="AA1419" s="101"/>
      <c r="AC1419" s="102"/>
      <c r="AD1419" s="103"/>
      <c r="AE1419" s="24"/>
    </row>
    <row r="1420" spans="1:31" ht="22.2" customHeight="1" x14ac:dyDescent="0.3">
      <c r="A1420" s="66" t="str">
        <f>+IF(PROVEEDORES[[#This Row],[FECHA DE PAGO]]=PROVEEDORES[[#This Row],[FECHA DE FACTURACIÓN]],"DE CONTADO","CRÉDITO")</f>
        <v>CRÉDITO</v>
      </c>
      <c r="B1420" s="38" t="str">
        <f>+IF((PROVEEDORES[[#This Row],[FECHA DE PAGO]]-PROVEEDORES[[#This Row],[FECHA DE FACTURACIÓN]])&gt;PROVEEDORES[[#This Row],[PLAZO Días]],"PAGO VENCIDO")</f>
        <v>PAGO VENCIDO</v>
      </c>
      <c r="C1420" s="20">
        <f>+VLOOKUP(PROVEEDORES[[#This Row],[PROVEEDOR]],TERCEROS_INFO[#All],2,FALSE)</f>
        <v>30</v>
      </c>
      <c r="D1420" s="25">
        <f>+SUMIFS(PROVEEDORES[Total],PROVEEDORES[PROVEEDOR],PROVEEDORES[[#This Row],[PROVEEDOR]],PROVEEDORES[FECHA DE PAGO],"")</f>
        <v>23124164.219999999</v>
      </c>
      <c r="E1420" s="25"/>
      <c r="F142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20" s="161">
        <v>44452</v>
      </c>
      <c r="H1420" s="26" t="s">
        <v>18</v>
      </c>
      <c r="I1420" s="161">
        <v>44412</v>
      </c>
      <c r="J1420" s="35">
        <v>1041347</v>
      </c>
      <c r="K1420" s="21">
        <v>1530000</v>
      </c>
      <c r="L1420" s="21"/>
      <c r="M1420" s="22">
        <f>(PROVEEDORES[[#This Row],[SUBTOTAL]]-PROVEEDORES[[#This Row],[descuento sobre subtotal]])*VLOOKUP(PROVEEDORES[[#This Row],[PROVEEDOR]],TERCEROS_INFO[#All],3,FALSE)</f>
        <v>290700</v>
      </c>
      <c r="N1420" s="23"/>
      <c r="O1420" s="22">
        <f>+PROVEEDORES[[#This Row],[Descuento sobre subtotal %]]*(PROVEEDORES[[#This Row],[SUBTOTAL]]-PROVEEDORES[[#This Row],[descuento sobre subtotal]])</f>
        <v>0</v>
      </c>
      <c r="P1420" s="83">
        <f>+IF(PROVEEDORES[[#This Row],[SUBTOTAL]]&lt;PROVEEDORES[[#This Row],[base retencion]],0,PROVEEDORES[[#This Row],[retención aplicada]])</f>
        <v>2.5000000000000001E-2</v>
      </c>
      <c r="Q1420" s="22">
        <f>+PROVEEDORES[[#This Row],[Rete Fuente %]]*(PROVEEDORES[[#This Row],[SUBTOTAL]]-PROVEEDORES[[#This Row],[descuento sobre subtotal]])</f>
        <v>38250</v>
      </c>
      <c r="R1420" s="21">
        <f>+PROVEEDORES[[#This Row],[SUBTOTAL]]+PROVEEDORES[[#This Row],[IVA 19%]]-PROVEEDORES[[#This Row],[descuento sobre subtotal]]-PROVEEDORES[[#This Row],[Descuento sobre subtotal $2]]-PROVEEDORES[[#This Row],[Rete Fuente $]]</f>
        <v>1782450</v>
      </c>
      <c r="S14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0" s="68">
        <f ca="1">IF(PROVEEDORES[[#This Row],[FECHA DE PAGO]]=0,TODAY()-PROVEEDORES[[#This Row],[FECHA DE FACTURACIÓN]]-PROVEEDORES[[#This Row],[PLAZO Días]],0)</f>
        <v>0</v>
      </c>
      <c r="U1420" s="96" t="str">
        <f>+VLOOKUP(PROVEEDORES[[#This Row],[PROVEEDOR]],Terceros!$A:$D,4,FALSE)</f>
        <v>2,5% con base</v>
      </c>
      <c r="V1420" s="97">
        <f>+YEAR(PROVEEDORES[[#This Row],[FECHA DE FACTURACIÓN]])</f>
        <v>2021</v>
      </c>
      <c r="W1420" s="97">
        <f>+MATCH(PROVEEDORES[[#This Row],[año facturado]],Retenciones!$1:$1,0)</f>
        <v>4</v>
      </c>
      <c r="X1420" s="98">
        <f>+VLOOKUP(PROVEEDORES[[#This Row],[ID RETENCION]],Retenciones!$A$1:$O$25,PROVEEDORES[[#This Row],[indicador de columna]],FALSE)</f>
        <v>980000</v>
      </c>
      <c r="Y1420" s="99">
        <f>+VLOOKUP(PROVEEDORES[[#This Row],[ID RETENCION]],Retenciones!$A$1:$O$25,2,FALSE)</f>
        <v>2.5000000000000001E-2</v>
      </c>
      <c r="Z1420" s="125" t="b">
        <f>OR(COUNTIF(PROVEEDORES[[#This Row],[PROVEEDOR]],"*"&amp;'Palabra no opera'!$A$2&amp;"*"))</f>
        <v>0</v>
      </c>
    </row>
    <row r="1421" spans="1:31" ht="22.2" customHeight="1" x14ac:dyDescent="0.3">
      <c r="A1421" s="207" t="str">
        <f>+IF(PROVEEDORES[[#This Row],[FECHA DE PAGO]]=PROVEEDORES[[#This Row],[FECHA DE FACTURACIÓN]],"DE CONTADO","CRÉDITO")</f>
        <v>CRÉDITO</v>
      </c>
      <c r="B1421" s="38" t="str">
        <f>+IF((PROVEEDORES[[#This Row],[FECHA DE PAGO]]-PROVEEDORES[[#This Row],[FECHA DE FACTURACIÓN]])&gt;PROVEEDORES[[#This Row],[PLAZO Días]],"PAGO VENCIDO")</f>
        <v>PAGO VENCIDO</v>
      </c>
      <c r="C1421" s="20">
        <f>+VLOOKUP(PROVEEDORES[[#This Row],[PROVEEDOR]],TERCEROS_INFO[#All],2,FALSE)</f>
        <v>30</v>
      </c>
      <c r="D1421" s="25">
        <f>+SUMIFS(PROVEEDORES[Total],PROVEEDORES[PROVEEDOR],PROVEEDORES[[#This Row],[PROVEEDOR]],PROVEEDORES[FECHA DE PAGO],"")</f>
        <v>3430770</v>
      </c>
      <c r="E1421" s="25"/>
      <c r="F142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21" s="161">
        <v>44852</v>
      </c>
      <c r="H1421" s="26" t="s">
        <v>1448</v>
      </c>
      <c r="I1421" s="161">
        <v>44796</v>
      </c>
      <c r="J1421" s="35" t="s">
        <v>1449</v>
      </c>
      <c r="K1421" s="21">
        <v>1532640</v>
      </c>
      <c r="L1421" s="21"/>
      <c r="M1421" s="22">
        <f>(PROVEEDORES[[#This Row],[SUBTOTAL]]-PROVEEDORES[[#This Row],[descuento sobre subtotal]])*VLOOKUP(PROVEEDORES[[#This Row],[PROVEEDOR]],TERCEROS_INFO[#All],3,FALSE)</f>
        <v>291201.59999999998</v>
      </c>
      <c r="N1421" s="23"/>
      <c r="O1421" s="22">
        <f>+PROVEEDORES[[#This Row],[Descuento sobre subtotal %]]*(PROVEEDORES[[#This Row],[SUBTOTAL]]-PROVEEDORES[[#This Row],[descuento sobre subtotal]])</f>
        <v>0</v>
      </c>
      <c r="P1421" s="83">
        <v>2.5000000000000001E-2</v>
      </c>
      <c r="Q1421" s="22">
        <f>+PROVEEDORES[[#This Row],[Rete Fuente %]]*(PROVEEDORES[[#This Row],[SUBTOTAL]]-PROVEEDORES[[#This Row],[descuento sobre subtotal]])</f>
        <v>38316</v>
      </c>
      <c r="R1421" s="21">
        <f>+PROVEEDORES[[#This Row],[SUBTOTAL]]+PROVEEDORES[[#This Row],[IVA 19%]]-PROVEEDORES[[#This Row],[descuento sobre subtotal]]-PROVEEDORES[[#This Row],[Descuento sobre subtotal $2]]-PROVEEDORES[[#This Row],[Rete Fuente $]]</f>
        <v>1785525.6</v>
      </c>
      <c r="S1421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1" s="68">
        <f ca="1">IF(PROVEEDORES[[#This Row],[FECHA DE PAGO]]=0,TODAY()-PROVEEDORES[[#This Row],[FECHA DE FACTURACIÓN]]-PROVEEDORES[[#This Row],[PLAZO Días]],0)</f>
        <v>0</v>
      </c>
      <c r="U1421" s="113">
        <f>+VLOOKUP(PROVEEDORES[[#This Row],[PROVEEDOR]],Terceros!$A:$D,4,FALSE)</f>
        <v>0</v>
      </c>
      <c r="V1421" s="114">
        <f>+YEAR(PROVEEDORES[[#This Row],[FECHA DE FACTURACIÓN]])</f>
        <v>2022</v>
      </c>
      <c r="W1421" s="114">
        <f>+MATCH(PROVEEDORES[[#This Row],[año facturado]],Retenciones!$1:$1,0)</f>
        <v>5</v>
      </c>
      <c r="X1421" s="115">
        <f>+VLOOKUP(PROVEEDORES[[#This Row],[ID RETENCION]],Retenciones!$A$1:$O$25,PROVEEDORES[[#This Row],[indicador de columna]],FALSE)</f>
        <v>0</v>
      </c>
      <c r="Y1421" s="116">
        <f>+VLOOKUP(PROVEEDORES[[#This Row],[ID RETENCION]],Retenciones!$A$1:$O$25,2,FALSE)</f>
        <v>0</v>
      </c>
      <c r="Z1421" s="125" t="b">
        <f>OR(COUNTIF(PROVEEDORES[[#This Row],[PROVEEDOR]],"*"&amp;'Palabra no opera'!$A$2&amp;"*"))</f>
        <v>0</v>
      </c>
    </row>
    <row r="1422" spans="1:31" ht="22.2" customHeight="1" x14ac:dyDescent="0.3">
      <c r="A1422" s="211" t="str">
        <f>+IF(PROVEEDORES[[#This Row],[FECHA DE PAGO]]=PROVEEDORES[[#This Row],[FECHA DE FACTURACIÓN]],"DE CONTADO","CRÉDITO")</f>
        <v>CRÉDITO</v>
      </c>
      <c r="B1422" s="38" t="b">
        <f>+IF((PROVEEDORES[[#This Row],[FECHA DE PAGO]]-PROVEEDORES[[#This Row],[FECHA DE FACTURACIÓN]])&gt;PROVEEDORES[[#This Row],[PLAZO Días]],"PAGO VENCIDO")</f>
        <v>0</v>
      </c>
      <c r="C1422" s="20">
        <f>+VLOOKUP(PROVEEDORES[[#This Row],[PROVEEDOR]],TERCEROS_INFO[#All],2,FALSE)</f>
        <v>45</v>
      </c>
      <c r="D1422" s="25">
        <f>+SUMIFS(PROVEEDORES[Total],PROVEEDORES[PROVEEDOR],PROVEEDORES[[#This Row],[PROVEEDOR]],PROVEEDORES[FECHA DE PAGO],"")</f>
        <v>0</v>
      </c>
      <c r="E1422" s="25"/>
      <c r="F1422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422" s="161">
        <v>44811</v>
      </c>
      <c r="H1422" s="26" t="s">
        <v>530</v>
      </c>
      <c r="I1422" s="161">
        <v>44803</v>
      </c>
      <c r="J1422" s="35" t="s">
        <v>1644</v>
      </c>
      <c r="K1422" s="21">
        <v>1785805.78</v>
      </c>
      <c r="L1422" s="21"/>
      <c r="M1422" s="22">
        <f>(PROVEEDORES[[#This Row],[SUBTOTAL]]-PROVEEDORES[[#This Row],[descuento sobre subtotal]])*VLOOKUP(PROVEEDORES[[#This Row],[PROVEEDOR]],TERCEROS_INFO[#All],3,FALSE)</f>
        <v>0</v>
      </c>
      <c r="N1422" s="23"/>
      <c r="O1422" s="22">
        <f>+PROVEEDORES[[#This Row],[Descuento sobre subtotal %]]*(PROVEEDORES[[#This Row],[SUBTOTAL]]-PROVEEDORES[[#This Row],[descuento sobre subtotal]])</f>
        <v>0</v>
      </c>
      <c r="P1422" s="83">
        <f>+IF(PROVEEDORES[[#This Row],[SUBTOTAL]]&lt;PROVEEDORES[[#This Row],[base retencion]],0,PROVEEDORES[[#This Row],[retención aplicada]])</f>
        <v>0</v>
      </c>
      <c r="Q1422" s="22">
        <f>+PROVEEDORES[[#This Row],[Rete Fuente %]]*(PROVEEDORES[[#This Row],[SUBTOTAL]]-PROVEEDORES[[#This Row],[descuento sobre subtotal]])</f>
        <v>0</v>
      </c>
      <c r="R1422" s="21">
        <f>+PROVEEDORES[[#This Row],[SUBTOTAL]]+PROVEEDORES[[#This Row],[IVA 19%]]-PROVEEDORES[[#This Row],[descuento sobre subtotal]]-PROVEEDORES[[#This Row],[Descuento sobre subtotal $2]]-PROVEEDORES[[#This Row],[Rete Fuente $]]</f>
        <v>1785805.78</v>
      </c>
      <c r="S1422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2" s="68">
        <f ca="1">IF(PROVEEDORES[[#This Row],[FECHA DE PAGO]]=0,TODAY()-PROVEEDORES[[#This Row],[FECHA DE FACTURACIÓN]]-PROVEEDORES[[#This Row],[PLAZO Días]],0)</f>
        <v>0</v>
      </c>
      <c r="U1422" s="113">
        <f>+VLOOKUP(PROVEEDORES[[#This Row],[PROVEEDOR]],Terceros!$A:$D,4,FALSE)</f>
        <v>0</v>
      </c>
      <c r="V1422" s="114">
        <f>+YEAR(PROVEEDORES[[#This Row],[FECHA DE FACTURACIÓN]])</f>
        <v>2022</v>
      </c>
      <c r="W1422" s="114">
        <f>+MATCH(PROVEEDORES[[#This Row],[año facturado]],Retenciones!$1:$1,0)</f>
        <v>5</v>
      </c>
      <c r="X1422" s="115">
        <f>+VLOOKUP(PROVEEDORES[[#This Row],[ID RETENCION]],Retenciones!$A$1:$O$25,PROVEEDORES[[#This Row],[indicador de columna]],FALSE)</f>
        <v>0</v>
      </c>
      <c r="Y1422" s="116">
        <f>+VLOOKUP(PROVEEDORES[[#This Row],[ID RETENCION]],Retenciones!$A$1:$O$25,2,FALSE)</f>
        <v>0</v>
      </c>
      <c r="Z1422" s="125" t="b">
        <f>OR(COUNTIF(PROVEEDORES[[#This Row],[PROVEEDOR]],"*"&amp;'Palabra no opera'!$A$2&amp;"*"))</f>
        <v>0</v>
      </c>
    </row>
    <row r="1423" spans="1:31" ht="22.2" customHeight="1" x14ac:dyDescent="0.3">
      <c r="A1423" s="66" t="str">
        <f>+IF(PROVEEDORES[[#This Row],[FECHA DE PAGO]]=PROVEEDORES[[#This Row],[FECHA DE FACTURACIÓN]],"DE CONTADO","CRÉDITO")</f>
        <v>CRÉDITO</v>
      </c>
      <c r="B1423" s="38" t="str">
        <f>+IF((PROVEEDORES[[#This Row],[FECHA DE PAGO]]-PROVEEDORES[[#This Row],[FECHA DE FACTURACIÓN]])&gt;PROVEEDORES[[#This Row],[PLAZO Días]],"PAGO VENCIDO")</f>
        <v>PAGO VENCIDO</v>
      </c>
      <c r="C1423" s="20">
        <f>+VLOOKUP(PROVEEDORES[[#This Row],[PROVEEDOR]],TERCEROS_INFO[#All],2,FALSE)</f>
        <v>45</v>
      </c>
      <c r="D1423" s="25">
        <f>+SUMIFS(PROVEEDORES[Total],PROVEEDORES[PROVEEDOR],PROVEEDORES[[#This Row],[PROVEEDOR]],PROVEEDORES[FECHA DE PAGO],"")</f>
        <v>31891814.359999999</v>
      </c>
      <c r="E1423" s="25"/>
      <c r="F142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23" s="161">
        <v>44704</v>
      </c>
      <c r="H1423" s="26" t="s">
        <v>19</v>
      </c>
      <c r="I1423" s="161">
        <v>44658</v>
      </c>
      <c r="J1423" s="35" t="s">
        <v>856</v>
      </c>
      <c r="K1423" s="21">
        <v>1503180</v>
      </c>
      <c r="L1423" s="21"/>
      <c r="M1423" s="22">
        <f>(PROVEEDORES[[#This Row],[SUBTOTAL]]-PROVEEDORES[[#This Row],[descuento sobre subtotal]])*VLOOKUP(PROVEEDORES[[#This Row],[PROVEEDOR]],TERCEROS_INFO[#All],3,FALSE)</f>
        <v>285604.2</v>
      </c>
      <c r="N1423" s="23"/>
      <c r="O1423" s="22">
        <f>+PROVEEDORES[[#This Row],[Descuento sobre subtotal %]]*(PROVEEDORES[[#This Row],[SUBTOTAL]]-PROVEEDORES[[#This Row],[descuento sobre subtotal]])</f>
        <v>0</v>
      </c>
      <c r="P1423" s="83">
        <f>+IF(PROVEEDORES[[#This Row],[SUBTOTAL]]&lt;PROVEEDORES[[#This Row],[base retencion]],0,PROVEEDORES[[#This Row],[retención aplicada]])</f>
        <v>0</v>
      </c>
      <c r="Q1423" s="22">
        <f>+PROVEEDORES[[#This Row],[Rete Fuente %]]*(PROVEEDORES[[#This Row],[SUBTOTAL]]-PROVEEDORES[[#This Row],[descuento sobre subtotal]])</f>
        <v>0</v>
      </c>
      <c r="R1423" s="21">
        <f>+PROVEEDORES[[#This Row],[SUBTOTAL]]+PROVEEDORES[[#This Row],[IVA 19%]]-PROVEEDORES[[#This Row],[descuento sobre subtotal]]-PROVEEDORES[[#This Row],[Descuento sobre subtotal $2]]-PROVEEDORES[[#This Row],[Rete Fuente $]]</f>
        <v>1788784.2</v>
      </c>
      <c r="S14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3" s="68">
        <f ca="1">IF(PROVEEDORES[[#This Row],[FECHA DE PAGO]]=0,TODAY()-PROVEEDORES[[#This Row],[FECHA DE FACTURACIÓN]]-PROVEEDORES[[#This Row],[PLAZO Días]],0)</f>
        <v>0</v>
      </c>
      <c r="U1423" s="96">
        <f>+VLOOKUP(PROVEEDORES[[#This Row],[PROVEEDOR]],Terceros!$A:$D,4,FALSE)</f>
        <v>0</v>
      </c>
      <c r="V1423" s="97">
        <f>+YEAR(PROVEEDORES[[#This Row],[FECHA DE FACTURACIÓN]])</f>
        <v>2022</v>
      </c>
      <c r="W1423" s="97">
        <f>+MATCH(PROVEEDORES[[#This Row],[año facturado]],Retenciones!$1:$1,0)</f>
        <v>5</v>
      </c>
      <c r="X1423" s="98">
        <f>+VLOOKUP(PROVEEDORES[[#This Row],[ID RETENCION]],Retenciones!$A$1:$O$25,PROVEEDORES[[#This Row],[indicador de columna]],FALSE)</f>
        <v>0</v>
      </c>
      <c r="Y1423" s="99">
        <f>+VLOOKUP(PROVEEDORES[[#This Row],[ID RETENCION]],Retenciones!$A$1:$O$25,2,FALSE)</f>
        <v>0</v>
      </c>
      <c r="Z1423" s="125" t="b">
        <f>OR(COUNTIF(PROVEEDORES[[#This Row],[PROVEEDOR]],"*"&amp;'Palabra no opera'!$A$2&amp;"*"))</f>
        <v>0</v>
      </c>
    </row>
    <row r="1424" spans="1:31" ht="22.2" customHeight="1" x14ac:dyDescent="0.3">
      <c r="A1424" s="66" t="str">
        <f>+IF(PROVEEDORES[[#This Row],[FECHA DE PAGO]]=PROVEEDORES[[#This Row],[FECHA DE FACTURACIÓN]],"DE CONTADO","CRÉDITO")</f>
        <v>CRÉDITO</v>
      </c>
      <c r="B1424" s="38" t="b">
        <f>+IF((PROVEEDORES[[#This Row],[FECHA DE PAGO]]-PROVEEDORES[[#This Row],[FECHA DE FACTURACIÓN]])&gt;PROVEEDORES[[#This Row],[PLAZO Días]],"PAGO VENCIDO")</f>
        <v>0</v>
      </c>
      <c r="C1424" s="20">
        <f>+VLOOKUP(PROVEEDORES[[#This Row],[PROVEEDOR]],TERCEROS_INFO[#All],2,FALSE)</f>
        <v>30</v>
      </c>
      <c r="D1424" s="25">
        <f>+SUMIFS(PROVEEDORES[Total],PROVEEDORES[PROVEEDOR],PROVEEDORES[[#This Row],[PROVEEDOR]],PROVEEDORES[FECHA DE PAGO],"")</f>
        <v>4024829</v>
      </c>
      <c r="E1424" s="25"/>
      <c r="F142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4" s="161">
        <v>44379</v>
      </c>
      <c r="H1424" s="26" t="s">
        <v>345</v>
      </c>
      <c r="I1424" s="161">
        <v>44378</v>
      </c>
      <c r="J1424" s="35" t="s">
        <v>1263</v>
      </c>
      <c r="K1424" s="21">
        <v>1791000</v>
      </c>
      <c r="L1424" s="21"/>
      <c r="M1424" s="22">
        <f>(PROVEEDORES[[#This Row],[SUBTOTAL]]-PROVEEDORES[[#This Row],[descuento sobre subtotal]])*VLOOKUP(PROVEEDORES[[#This Row],[PROVEEDOR]],TERCEROS_INFO[#All],3,FALSE)</f>
        <v>0</v>
      </c>
      <c r="N1424" s="23"/>
      <c r="O1424" s="22">
        <f>+PROVEEDORES[[#This Row],[Descuento sobre subtotal %]]*(PROVEEDORES[[#This Row],[SUBTOTAL]]-PROVEEDORES[[#This Row],[descuento sobre subtotal]])</f>
        <v>0</v>
      </c>
      <c r="P1424" s="83">
        <f>+IF(PROVEEDORES[[#This Row],[SUBTOTAL]]&lt;PROVEEDORES[[#This Row],[base retencion]],0,PROVEEDORES[[#This Row],[retención aplicada]])</f>
        <v>0</v>
      </c>
      <c r="Q1424" s="22">
        <f>+PROVEEDORES[[#This Row],[Rete Fuente %]]*(PROVEEDORES[[#This Row],[SUBTOTAL]]-PROVEEDORES[[#This Row],[descuento sobre subtotal]])</f>
        <v>0</v>
      </c>
      <c r="R1424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4" s="68">
        <f ca="1">IF(PROVEEDORES[[#This Row],[FECHA DE PAGO]]=0,TODAY()-PROVEEDORES[[#This Row],[FECHA DE FACTURACIÓN]]-PROVEEDORES[[#This Row],[PLAZO Días]],0)</f>
        <v>0</v>
      </c>
      <c r="U1424" s="96">
        <f>+VLOOKUP(PROVEEDORES[[#This Row],[PROVEEDOR]],Terceros!$A:$D,4,FALSE)</f>
        <v>0</v>
      </c>
      <c r="V1424" s="97">
        <f>+YEAR(PROVEEDORES[[#This Row],[FECHA DE FACTURACIÓN]])</f>
        <v>2021</v>
      </c>
      <c r="W1424" s="97">
        <f>+MATCH(PROVEEDORES[[#This Row],[año facturado]],Retenciones!$1:$1,0)</f>
        <v>4</v>
      </c>
      <c r="X1424" s="98">
        <f>+VLOOKUP(PROVEEDORES[[#This Row],[ID RETENCION]],Retenciones!$A$1:$O$25,PROVEEDORES[[#This Row],[indicador de columna]],FALSE)</f>
        <v>0</v>
      </c>
      <c r="Y1424" s="99">
        <f>+VLOOKUP(PROVEEDORES[[#This Row],[ID RETENCION]],Retenciones!$A$1:$O$25,2,FALSE)</f>
        <v>0</v>
      </c>
      <c r="Z1424" s="125" t="b">
        <f>OR(COUNTIF(PROVEEDORES[[#This Row],[PROVEEDOR]],"*"&amp;'Palabra no opera'!$A$2&amp;"*"))</f>
        <v>0</v>
      </c>
    </row>
    <row r="1425" spans="1:26" ht="22.2" customHeight="1" x14ac:dyDescent="0.3">
      <c r="A1425" s="66" t="str">
        <f>+IF(PROVEEDORES[[#This Row],[FECHA DE PAGO]]=PROVEEDORES[[#This Row],[FECHA DE FACTURACIÓN]],"DE CONTADO","CRÉDITO")</f>
        <v>CRÉDITO</v>
      </c>
      <c r="B1425" s="38" t="b">
        <f>+IF((PROVEEDORES[[#This Row],[FECHA DE PAGO]]-PROVEEDORES[[#This Row],[FECHA DE FACTURACIÓN]])&gt;PROVEEDORES[[#This Row],[PLAZO Días]],"PAGO VENCIDO")</f>
        <v>0</v>
      </c>
      <c r="C1425" s="20">
        <f>+VLOOKUP(PROVEEDORES[[#This Row],[PROVEEDOR]],TERCEROS_INFO[#All],2,FALSE)</f>
        <v>30</v>
      </c>
      <c r="D1425" s="25">
        <f>+SUMIFS(PROVEEDORES[Total],PROVEEDORES[PROVEEDOR],PROVEEDORES[[#This Row],[PROVEEDOR]],PROVEEDORES[FECHA DE PAGO],"")</f>
        <v>0</v>
      </c>
      <c r="E1425" s="25"/>
      <c r="F142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5" s="161">
        <v>44419</v>
      </c>
      <c r="H1425" s="26" t="s">
        <v>404</v>
      </c>
      <c r="I1425" s="161">
        <v>44410</v>
      </c>
      <c r="J1425" s="35" t="s">
        <v>1279</v>
      </c>
      <c r="K1425" s="21">
        <v>1791000</v>
      </c>
      <c r="L1425" s="21"/>
      <c r="M1425" s="22">
        <f>(PROVEEDORES[[#This Row],[SUBTOTAL]]-PROVEEDORES[[#This Row],[descuento sobre subtotal]])*VLOOKUP(PROVEEDORES[[#This Row],[PROVEEDOR]],TERCEROS_INFO[#All],3,FALSE)</f>
        <v>0</v>
      </c>
      <c r="N1425" s="23"/>
      <c r="O1425" s="22">
        <f>+PROVEEDORES[[#This Row],[Descuento sobre subtotal %]]*(PROVEEDORES[[#This Row],[SUBTOTAL]]-PROVEEDORES[[#This Row],[descuento sobre subtotal]])</f>
        <v>0</v>
      </c>
      <c r="P1425" s="83">
        <f>+IF(PROVEEDORES[[#This Row],[SUBTOTAL]]&lt;PROVEEDORES[[#This Row],[base retencion]],0,PROVEEDORES[[#This Row],[retención aplicada]])</f>
        <v>0</v>
      </c>
      <c r="Q1425" s="22">
        <f>+PROVEEDORES[[#This Row],[Rete Fuente %]]*(PROVEEDORES[[#This Row],[SUBTOTAL]]-PROVEEDORES[[#This Row],[descuento sobre subtotal]])</f>
        <v>0</v>
      </c>
      <c r="R1425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5" s="68">
        <f ca="1">IF(PROVEEDORES[[#This Row],[FECHA DE PAGO]]=0,TODAY()-PROVEEDORES[[#This Row],[FECHA DE FACTURACIÓN]]-PROVEEDORES[[#This Row],[PLAZO Días]],0)</f>
        <v>0</v>
      </c>
      <c r="U1425" s="96">
        <f>+VLOOKUP(PROVEEDORES[[#This Row],[PROVEEDOR]],Terceros!$A:$D,4,FALSE)</f>
        <v>0</v>
      </c>
      <c r="V1425" s="97">
        <f>+YEAR(PROVEEDORES[[#This Row],[FECHA DE FACTURACIÓN]])</f>
        <v>2021</v>
      </c>
      <c r="W1425" s="97">
        <f>+MATCH(PROVEEDORES[[#This Row],[año facturado]],Retenciones!$1:$1,0)</f>
        <v>4</v>
      </c>
      <c r="X1425" s="98">
        <f>+VLOOKUP(PROVEEDORES[[#This Row],[ID RETENCION]],Retenciones!$A$1:$O$25,PROVEEDORES[[#This Row],[indicador de columna]],FALSE)</f>
        <v>0</v>
      </c>
      <c r="Y1425" s="99">
        <f>+VLOOKUP(PROVEEDORES[[#This Row],[ID RETENCION]],Retenciones!$A$1:$O$25,2,FALSE)</f>
        <v>0</v>
      </c>
      <c r="Z1425" s="125" t="b">
        <f>OR(COUNTIF(PROVEEDORES[[#This Row],[PROVEEDOR]],"*"&amp;'Palabra no opera'!$A$2&amp;"*"))</f>
        <v>0</v>
      </c>
    </row>
    <row r="1426" spans="1:26" ht="22.2" customHeight="1" x14ac:dyDescent="0.3">
      <c r="A1426" s="66" t="str">
        <f>+IF(PROVEEDORES[[#This Row],[FECHA DE PAGO]]=PROVEEDORES[[#This Row],[FECHA DE FACTURACIÓN]],"DE CONTADO","CRÉDITO")</f>
        <v>CRÉDITO</v>
      </c>
      <c r="B1426" s="38" t="b">
        <f>+IF((PROVEEDORES[[#This Row],[FECHA DE PAGO]]-PROVEEDORES[[#This Row],[FECHA DE FACTURACIÓN]])&gt;PROVEEDORES[[#This Row],[PLAZO Días]],"PAGO VENCIDO")</f>
        <v>0</v>
      </c>
      <c r="C1426" s="20">
        <f>+VLOOKUP(PROVEEDORES[[#This Row],[PROVEEDOR]],TERCEROS_INFO[#All],2,FALSE)</f>
        <v>30</v>
      </c>
      <c r="D1426" s="25">
        <f>+SUMIFS(PROVEEDORES[Total],PROVEEDORES[PROVEEDOR],PROVEEDORES[[#This Row],[PROVEEDOR]],PROVEEDORES[FECHA DE PAGO],"")</f>
        <v>4024829</v>
      </c>
      <c r="E1426" s="25"/>
      <c r="F142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6" s="161">
        <v>44453</v>
      </c>
      <c r="H1426" s="26" t="s">
        <v>345</v>
      </c>
      <c r="I1426" s="161">
        <v>44452</v>
      </c>
      <c r="J1426" s="35" t="s">
        <v>1305</v>
      </c>
      <c r="K1426" s="21">
        <v>1791000</v>
      </c>
      <c r="L1426" s="21"/>
      <c r="M1426" s="22">
        <f>(PROVEEDORES[[#This Row],[SUBTOTAL]]-PROVEEDORES[[#This Row],[descuento sobre subtotal]])*VLOOKUP(PROVEEDORES[[#This Row],[PROVEEDOR]],TERCEROS_INFO[#All],3,FALSE)</f>
        <v>0</v>
      </c>
      <c r="N1426" s="23"/>
      <c r="O1426" s="22">
        <f>+PROVEEDORES[[#This Row],[Descuento sobre subtotal %]]*(PROVEEDORES[[#This Row],[SUBTOTAL]]-PROVEEDORES[[#This Row],[descuento sobre subtotal]])</f>
        <v>0</v>
      </c>
      <c r="P1426" s="83">
        <f>+IF(PROVEEDORES[[#This Row],[SUBTOTAL]]&lt;PROVEEDORES[[#This Row],[base retencion]],0,PROVEEDORES[[#This Row],[retención aplicada]])</f>
        <v>0</v>
      </c>
      <c r="Q1426" s="22">
        <f>+PROVEEDORES[[#This Row],[Rete Fuente %]]*(PROVEEDORES[[#This Row],[SUBTOTAL]]-PROVEEDORES[[#This Row],[descuento sobre subtotal]])</f>
        <v>0</v>
      </c>
      <c r="R1426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6" s="68">
        <f ca="1">IF(PROVEEDORES[[#This Row],[FECHA DE PAGO]]=0,TODAY()-PROVEEDORES[[#This Row],[FECHA DE FACTURACIÓN]]-PROVEEDORES[[#This Row],[PLAZO Días]],0)</f>
        <v>0</v>
      </c>
      <c r="U1426" s="96">
        <f>+VLOOKUP(PROVEEDORES[[#This Row],[PROVEEDOR]],Terceros!$A:$D,4,FALSE)</f>
        <v>0</v>
      </c>
      <c r="V1426" s="97">
        <f>+YEAR(PROVEEDORES[[#This Row],[FECHA DE FACTURACIÓN]])</f>
        <v>2021</v>
      </c>
      <c r="W1426" s="97">
        <f>+MATCH(PROVEEDORES[[#This Row],[año facturado]],Retenciones!$1:$1,0)</f>
        <v>4</v>
      </c>
      <c r="X1426" s="98">
        <f>+VLOOKUP(PROVEEDORES[[#This Row],[ID RETENCION]],Retenciones!$A$1:$O$25,PROVEEDORES[[#This Row],[indicador de columna]],FALSE)</f>
        <v>0</v>
      </c>
      <c r="Y1426" s="99">
        <f>+VLOOKUP(PROVEEDORES[[#This Row],[ID RETENCION]],Retenciones!$A$1:$O$25,2,FALSE)</f>
        <v>0</v>
      </c>
      <c r="Z1426" s="125" t="b">
        <f>OR(COUNTIF(PROVEEDORES[[#This Row],[PROVEEDOR]],"*"&amp;'Palabra no opera'!$A$2&amp;"*"))</f>
        <v>0</v>
      </c>
    </row>
    <row r="1427" spans="1:26" ht="22.2" customHeight="1" x14ac:dyDescent="0.3">
      <c r="A1427" s="66" t="str">
        <f>+IF(PROVEEDORES[[#This Row],[FECHA DE PAGO]]=PROVEEDORES[[#This Row],[FECHA DE FACTURACIÓN]],"DE CONTADO","CRÉDITO")</f>
        <v>CRÉDITO</v>
      </c>
      <c r="B1427" s="38" t="str">
        <f>+IF((PROVEEDORES[[#This Row],[FECHA DE PAGO]]-PROVEEDORES[[#This Row],[FECHA DE FACTURACIÓN]])&gt;PROVEEDORES[[#This Row],[PLAZO Días]],"PAGO VENCIDO")</f>
        <v>PAGO VENCIDO</v>
      </c>
      <c r="C1427" s="20">
        <f>+VLOOKUP(PROVEEDORES[[#This Row],[PROVEEDOR]],TERCEROS_INFO[#All],2,FALSE)</f>
        <v>20</v>
      </c>
      <c r="D1427" s="25">
        <f>+SUMIFS(PROVEEDORES[Total],PROVEEDORES[PROVEEDOR],PROVEEDORES[[#This Row],[PROVEEDOR]],PROVEEDORES[FECHA DE PAGO],"")</f>
        <v>0</v>
      </c>
      <c r="E1427" s="25"/>
      <c r="F1427" s="58">
        <f>+VLOOKUP(PROVEEDORES[[#This Row],[PROVEEDOR]],
                       Terceros!$A:$F,
                       5,
                       FALSE)</f>
        <v>0</v>
      </c>
      <c r="G1427" s="161">
        <v>44448</v>
      </c>
      <c r="H1427" s="26" t="s">
        <v>672</v>
      </c>
      <c r="I1427" s="161">
        <v>44400</v>
      </c>
      <c r="J1427" s="35" t="s">
        <v>1273</v>
      </c>
      <c r="K1427" s="21">
        <v>1793000</v>
      </c>
      <c r="L1427" s="21"/>
      <c r="M1427" s="22">
        <f>(PROVEEDORES[[#This Row],[SUBTOTAL]]-PROVEEDORES[[#This Row],[descuento sobre subtotal]])*VLOOKUP(PROVEEDORES[[#This Row],[PROVEEDOR]],TERCEROS_INFO[#All],3,FALSE)</f>
        <v>0</v>
      </c>
      <c r="N1427" s="23"/>
      <c r="O1427" s="22">
        <f>+PROVEEDORES[[#This Row],[Descuento sobre subtotal %]]*(PROVEEDORES[[#This Row],[SUBTOTAL]]-PROVEEDORES[[#This Row],[descuento sobre subtotal]])</f>
        <v>0</v>
      </c>
      <c r="P1427" s="83">
        <f>+IF(PROVEEDORES[[#This Row],[SUBTOTAL]]&lt;PROVEEDORES[[#This Row],[base retencion]],0,PROVEEDORES[[#This Row],[retención aplicada]])</f>
        <v>0</v>
      </c>
      <c r="Q1427" s="22">
        <f>+PROVEEDORES[[#This Row],[Rete Fuente %]]*(PROVEEDORES[[#This Row],[SUBTOTAL]]-PROVEEDORES[[#This Row],[descuento sobre subtotal]])</f>
        <v>0</v>
      </c>
      <c r="R1427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7" s="68">
        <f ca="1">IF(PROVEEDORES[[#This Row],[FECHA DE PAGO]]=0,TODAY()-PROVEEDORES[[#This Row],[FECHA DE FACTURACIÓN]]-PROVEEDORES[[#This Row],[PLAZO Días]],0)</f>
        <v>0</v>
      </c>
      <c r="U1427" s="96">
        <f>+VLOOKUP(PROVEEDORES[[#This Row],[PROVEEDOR]],Terceros!$A:$D,4,FALSE)</f>
        <v>0</v>
      </c>
      <c r="V1427" s="97">
        <f>+YEAR(PROVEEDORES[[#This Row],[FECHA DE FACTURACIÓN]])</f>
        <v>2021</v>
      </c>
      <c r="W1427" s="97">
        <f>+MATCH(PROVEEDORES[[#This Row],[año facturado]],Retenciones!$1:$1,0)</f>
        <v>4</v>
      </c>
      <c r="X1427" s="98">
        <f>+VLOOKUP(PROVEEDORES[[#This Row],[ID RETENCION]],Retenciones!$A$1:$O$25,PROVEEDORES[[#This Row],[indicador de columna]],FALSE)</f>
        <v>0</v>
      </c>
      <c r="Y1427" s="99">
        <f>+VLOOKUP(PROVEEDORES[[#This Row],[ID RETENCION]],Retenciones!$A$1:$O$25,2,FALSE)</f>
        <v>0</v>
      </c>
      <c r="Z1427" s="125" t="b">
        <f>OR(COUNTIF(PROVEEDORES[[#This Row],[PROVEEDOR]],"*"&amp;'Palabra no opera'!$A$2&amp;"*"))</f>
        <v>0</v>
      </c>
    </row>
    <row r="1428" spans="1:26" ht="22.2" customHeight="1" x14ac:dyDescent="0.3">
      <c r="A1428" s="66" t="str">
        <f>+IF(PROVEEDORES[[#This Row],[FECHA DE PAGO]]=PROVEEDORES[[#This Row],[FECHA DE FACTURACIÓN]],"DE CONTADO","CRÉDITO")</f>
        <v>CRÉDITO</v>
      </c>
      <c r="B1428" s="38" t="b">
        <f>+IF((PROVEEDORES[[#This Row],[FECHA DE PAGO]]-PROVEEDORES[[#This Row],[FECHA DE FACTURACIÓN]])&gt;PROVEEDORES[[#This Row],[PLAZO Días]],"PAGO VENCIDO")</f>
        <v>0</v>
      </c>
      <c r="C1428" s="20">
        <f>+VLOOKUP(PROVEEDORES[[#This Row],[PROVEEDOR]],TERCEROS_INFO[#All],2,FALSE)</f>
        <v>30</v>
      </c>
      <c r="D1428" s="25">
        <f>+SUMIFS(PROVEEDORES[Total],PROVEEDORES[PROVEEDOR],PROVEEDORES[[#This Row],[PROVEEDOR]],PROVEEDORES[FECHA DE PAGO],"")</f>
        <v>0</v>
      </c>
      <c r="E1428" s="25"/>
      <c r="F142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8" s="161">
        <v>44643</v>
      </c>
      <c r="H1428" s="26" t="s">
        <v>118</v>
      </c>
      <c r="I1428" s="161">
        <v>44641</v>
      </c>
      <c r="J1428" s="35" t="s">
        <v>948</v>
      </c>
      <c r="K1428" s="21">
        <v>1793000</v>
      </c>
      <c r="L1428" s="21"/>
      <c r="M1428" s="22">
        <f>(PROVEEDORES[[#This Row],[SUBTOTAL]]-PROVEEDORES[[#This Row],[descuento sobre subtotal]])*VLOOKUP(PROVEEDORES[[#This Row],[PROVEEDOR]],TERCEROS_INFO[#All],3,FALSE)</f>
        <v>0</v>
      </c>
      <c r="N1428" s="23"/>
      <c r="O1428" s="22">
        <f>+PROVEEDORES[[#This Row],[Descuento sobre subtotal %]]*(PROVEEDORES[[#This Row],[SUBTOTAL]]-PROVEEDORES[[#This Row],[descuento sobre subtotal]])</f>
        <v>0</v>
      </c>
      <c r="P1428" s="83">
        <f>+IF(PROVEEDORES[[#This Row],[SUBTOTAL]]&lt;PROVEEDORES[[#This Row],[base retencion]],0,PROVEEDORES[[#This Row],[retención aplicada]])</f>
        <v>0</v>
      </c>
      <c r="Q1428" s="22">
        <f>+PROVEEDORES[[#This Row],[Rete Fuente %]]*(PROVEEDORES[[#This Row],[SUBTOTAL]]-PROVEEDORES[[#This Row],[descuento sobre subtotal]])</f>
        <v>0</v>
      </c>
      <c r="R1428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8" s="68">
        <f ca="1">IF(PROVEEDORES[[#This Row],[FECHA DE PAGO]]=0,TODAY()-PROVEEDORES[[#This Row],[FECHA DE FACTURACIÓN]]-PROVEEDORES[[#This Row],[PLAZO Días]],0)</f>
        <v>0</v>
      </c>
      <c r="U1428" s="96">
        <f>+VLOOKUP(PROVEEDORES[[#This Row],[PROVEEDOR]],Terceros!$A:$D,4,FALSE)</f>
        <v>0</v>
      </c>
      <c r="V1428" s="97">
        <f>+YEAR(PROVEEDORES[[#This Row],[FECHA DE FACTURACIÓN]])</f>
        <v>2022</v>
      </c>
      <c r="W1428" s="97">
        <f>+MATCH(PROVEEDORES[[#This Row],[año facturado]],Retenciones!$1:$1,0)</f>
        <v>5</v>
      </c>
      <c r="X1428" s="98">
        <f>+VLOOKUP(PROVEEDORES[[#This Row],[ID RETENCION]],Retenciones!$A$1:$O$25,PROVEEDORES[[#This Row],[indicador de columna]],FALSE)</f>
        <v>0</v>
      </c>
      <c r="Y1428" s="99">
        <f>+VLOOKUP(PROVEEDORES[[#This Row],[ID RETENCION]],Retenciones!$A$1:$O$25,2,FALSE)</f>
        <v>0</v>
      </c>
      <c r="Z1428" s="125" t="b">
        <f>OR(COUNTIF(PROVEEDORES[[#This Row],[PROVEEDOR]],"*"&amp;'Palabra no opera'!$A$2&amp;"*"))</f>
        <v>0</v>
      </c>
    </row>
    <row r="1429" spans="1:26" ht="22.2" customHeight="1" x14ac:dyDescent="0.3">
      <c r="A1429" s="159" t="str">
        <f>+IF(PROVEEDORES[[#This Row],[FECHA DE PAGO]]=PROVEEDORES[[#This Row],[FECHA DE FACTURACIÓN]],"DE CONTADO","CRÉDITO")</f>
        <v>CRÉDITO</v>
      </c>
      <c r="B1429" s="38" t="str">
        <f>+IF((PROVEEDORES[[#This Row],[FECHA DE PAGO]]-PROVEEDORES[[#This Row],[FECHA DE FACTURACIÓN]])&gt;PROVEEDORES[[#This Row],[PLAZO Días]],"PAGO VENCIDO")</f>
        <v>PAGO VENCIDO</v>
      </c>
      <c r="C1429" s="20">
        <f>+VLOOKUP(PROVEEDORES[[#This Row],[PROVEEDOR]],TERCEROS_INFO[#All],2,FALSE)</f>
        <v>30</v>
      </c>
      <c r="D1429" s="25">
        <f>+SUMIFS(PROVEEDORES[Total],PROVEEDORES[PROVEEDOR],PROVEEDORES[[#This Row],[PROVEEDOR]],PROVEEDORES[FECHA DE PAGO],"")</f>
        <v>0</v>
      </c>
      <c r="E1429" s="25"/>
      <c r="F142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9" s="161">
        <v>44707</v>
      </c>
      <c r="H1429" s="26" t="s">
        <v>118</v>
      </c>
      <c r="I1429" s="161">
        <v>44676</v>
      </c>
      <c r="J1429" s="35" t="s">
        <v>1081</v>
      </c>
      <c r="K1429" s="21">
        <v>1793000</v>
      </c>
      <c r="L1429" s="21"/>
      <c r="M1429" s="22">
        <f>(PROVEEDORES[[#This Row],[SUBTOTAL]]-PROVEEDORES[[#This Row],[descuento sobre subtotal]])*VLOOKUP(PROVEEDORES[[#This Row],[PROVEEDOR]],TERCEROS_INFO[#All],3,FALSE)</f>
        <v>0</v>
      </c>
      <c r="N1429" s="23"/>
      <c r="O1429" s="22">
        <f>+PROVEEDORES[[#This Row],[Descuento sobre subtotal %]]*(PROVEEDORES[[#This Row],[SUBTOTAL]]-PROVEEDORES[[#This Row],[descuento sobre subtotal]])</f>
        <v>0</v>
      </c>
      <c r="P1429" s="83">
        <f>+IF(PROVEEDORES[[#This Row],[SUBTOTAL]]&lt;PROVEEDORES[[#This Row],[base retencion]],0,PROVEEDORES[[#This Row],[retención aplicada]])</f>
        <v>0</v>
      </c>
      <c r="Q1429" s="22">
        <f>+PROVEEDORES[[#This Row],[Rete Fuente %]]*(PROVEEDORES[[#This Row],[SUBTOTAL]]-PROVEEDORES[[#This Row],[descuento sobre subtotal]])</f>
        <v>0</v>
      </c>
      <c r="R1429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2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9" s="68">
        <f ca="1">IF(PROVEEDORES[[#This Row],[FECHA DE PAGO]]=0,TODAY()-PROVEEDORES[[#This Row],[FECHA DE FACTURACIÓN]]-PROVEEDORES[[#This Row],[PLAZO Días]],0)</f>
        <v>0</v>
      </c>
      <c r="U1429" s="113">
        <f>+VLOOKUP(PROVEEDORES[[#This Row],[PROVEEDOR]],Terceros!$A:$D,4,FALSE)</f>
        <v>0</v>
      </c>
      <c r="V1429" s="114">
        <f>+YEAR(PROVEEDORES[[#This Row],[FECHA DE FACTURACIÓN]])</f>
        <v>2022</v>
      </c>
      <c r="W1429" s="114">
        <f>+MATCH(PROVEEDORES[[#This Row],[año facturado]],Retenciones!$1:$1,0)</f>
        <v>5</v>
      </c>
      <c r="X1429" s="115">
        <f>+VLOOKUP(PROVEEDORES[[#This Row],[ID RETENCION]],Retenciones!$A$1:$O$25,PROVEEDORES[[#This Row],[indicador de columna]],FALSE)</f>
        <v>0</v>
      </c>
      <c r="Y1429" s="116">
        <f>+VLOOKUP(PROVEEDORES[[#This Row],[ID RETENCION]],Retenciones!$A$1:$O$25,2,FALSE)</f>
        <v>0</v>
      </c>
      <c r="Z1429" s="125" t="b">
        <f>OR(COUNTIF(PROVEEDORES[[#This Row],[PROVEEDOR]],"*"&amp;'Palabra no opera'!$A$2&amp;"*"))</f>
        <v>0</v>
      </c>
    </row>
    <row r="1430" spans="1:26" ht="22.2" customHeight="1" x14ac:dyDescent="0.3">
      <c r="A1430" s="72" t="str">
        <f>+IF(PROVEEDORES[[#This Row],[FECHA DE PAGO]]=PROVEEDORES[[#This Row],[FECHA DE FACTURACIÓN]],"DE CONTADO","CRÉDITO")</f>
        <v>CRÉDITO</v>
      </c>
      <c r="B1430" s="38" t="b">
        <f>+IF((PROVEEDORES[[#This Row],[FECHA DE PAGO]]-PROVEEDORES[[#This Row],[FECHA DE FACTURACIÓN]])&gt;PROVEEDORES[[#This Row],[PLAZO Días]],"PAGO VENCIDO")</f>
        <v>0</v>
      </c>
      <c r="C1430" s="20">
        <f>+VLOOKUP(PROVEEDORES[[#This Row],[PROVEEDOR]],TERCEROS_INFO[#All],2,FALSE)</f>
        <v>30</v>
      </c>
      <c r="D1430" s="25">
        <f>+SUMIFS(PROVEEDORES[Total],PROVEEDORES[PROVEEDOR],PROVEEDORES[[#This Row],[PROVEEDOR]],PROVEEDORES[FECHA DE PAGO],"")</f>
        <v>0</v>
      </c>
      <c r="E1430" s="25"/>
      <c r="F14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0" s="161">
        <v>44769</v>
      </c>
      <c r="H1430" s="26" t="s">
        <v>118</v>
      </c>
      <c r="I1430" s="161">
        <v>44768</v>
      </c>
      <c r="J1430" s="35" t="s">
        <v>1162</v>
      </c>
      <c r="K1430" s="21">
        <v>1793000</v>
      </c>
      <c r="L1430" s="21"/>
      <c r="M1430" s="22">
        <f>(PROVEEDORES[[#This Row],[SUBTOTAL]]-PROVEEDORES[[#This Row],[descuento sobre subtotal]])*VLOOKUP(PROVEEDORES[[#This Row],[PROVEEDOR]],TERCEROS_INFO[#All],3,FALSE)</f>
        <v>0</v>
      </c>
      <c r="N1430" s="23"/>
      <c r="O1430" s="22">
        <f>+PROVEEDORES[[#This Row],[Descuento sobre subtotal %]]*(PROVEEDORES[[#This Row],[SUBTOTAL]]-PROVEEDORES[[#This Row],[descuento sobre subtotal]])</f>
        <v>0</v>
      </c>
      <c r="P1430" s="83">
        <f>+IF(PROVEEDORES[[#This Row],[SUBTOTAL]]&lt;PROVEEDORES[[#This Row],[base retencion]],0,PROVEEDORES[[#This Row],[retención aplicada]])</f>
        <v>0</v>
      </c>
      <c r="Q1430" s="22">
        <f>+PROVEEDORES[[#This Row],[Rete Fuente %]]*(PROVEEDORES[[#This Row],[SUBTOTAL]]-PROVEEDORES[[#This Row],[descuento sobre subtotal]])</f>
        <v>0</v>
      </c>
      <c r="R1430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3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0" s="68">
        <f ca="1">IF(PROVEEDORES[[#This Row],[FECHA DE PAGO]]=0,TODAY()-PROVEEDORES[[#This Row],[FECHA DE FACTURACIÓN]]-PROVEEDORES[[#This Row],[PLAZO Días]],0)</f>
        <v>0</v>
      </c>
      <c r="U1430" s="113">
        <f>+VLOOKUP(PROVEEDORES[[#This Row],[PROVEEDOR]],Terceros!$A:$D,4,FALSE)</f>
        <v>0</v>
      </c>
      <c r="V1430" s="114">
        <f>+YEAR(PROVEEDORES[[#This Row],[FECHA DE FACTURACIÓN]])</f>
        <v>2022</v>
      </c>
      <c r="W1430" s="114">
        <f>+MATCH(PROVEEDORES[[#This Row],[año facturado]],Retenciones!$1:$1,0)</f>
        <v>5</v>
      </c>
      <c r="X1430" s="115">
        <f>+VLOOKUP(PROVEEDORES[[#This Row],[ID RETENCION]],Retenciones!$A$1:$O$25,PROVEEDORES[[#This Row],[indicador de columna]],FALSE)</f>
        <v>0</v>
      </c>
      <c r="Y1430" s="116">
        <f>+VLOOKUP(PROVEEDORES[[#This Row],[ID RETENCION]],Retenciones!$A$1:$O$25,2,FALSE)</f>
        <v>0</v>
      </c>
      <c r="Z1430" s="125" t="b">
        <f>OR(COUNTIF(PROVEEDORES[[#This Row],[PROVEEDOR]],"*"&amp;'Palabra no opera'!$A$2&amp;"*"))</f>
        <v>0</v>
      </c>
    </row>
    <row r="1431" spans="1:26" ht="22.2" customHeight="1" x14ac:dyDescent="0.3">
      <c r="A1431" s="157" t="str">
        <f>+IF(PROVEEDORES[[#This Row],[FECHA DE PAGO]]=PROVEEDORES[[#This Row],[FECHA DE FACTURACIÓN]],"DE CONTADO","CRÉDITO")</f>
        <v>CRÉDITO</v>
      </c>
      <c r="B1431" s="38" t="b">
        <f>+IF((PROVEEDORES[[#This Row],[FECHA DE PAGO]]-PROVEEDORES[[#This Row],[FECHA DE FACTURACIÓN]])&gt;PROVEEDORES[[#This Row],[PLAZO Días]],"PAGO VENCIDO")</f>
        <v>0</v>
      </c>
      <c r="C1431" s="20">
        <f>+VLOOKUP(PROVEEDORES[[#This Row],[PROVEEDOR]],TERCEROS_INFO[#All],2,FALSE)</f>
        <v>30</v>
      </c>
      <c r="D1431" s="25">
        <f>+SUMIFS(PROVEEDORES[Total],PROVEEDORES[PROVEEDOR],PROVEEDORES[[#This Row],[PROVEEDOR]],PROVEEDORES[FECHA DE PAGO],"")</f>
        <v>4024829</v>
      </c>
      <c r="E1431" s="25"/>
      <c r="F143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1" s="161">
        <v>44726</v>
      </c>
      <c r="H1431" s="26" t="s">
        <v>345</v>
      </c>
      <c r="I1431" s="161">
        <v>44725</v>
      </c>
      <c r="J1431" s="35" t="s">
        <v>1104</v>
      </c>
      <c r="K1431" s="21">
        <v>1796000</v>
      </c>
      <c r="L1431" s="21"/>
      <c r="M1431" s="22">
        <f>(PROVEEDORES[[#This Row],[SUBTOTAL]]-PROVEEDORES[[#This Row],[descuento sobre subtotal]])*VLOOKUP(PROVEEDORES[[#This Row],[PROVEEDOR]],TERCEROS_INFO[#All],3,FALSE)</f>
        <v>0</v>
      </c>
      <c r="N1431" s="23"/>
      <c r="O1431" s="22">
        <f>+PROVEEDORES[[#This Row],[Descuento sobre subtotal %]]*(PROVEEDORES[[#This Row],[SUBTOTAL]]-PROVEEDORES[[#This Row],[descuento sobre subtotal]])</f>
        <v>0</v>
      </c>
      <c r="P1431" s="83">
        <f>+IF(PROVEEDORES[[#This Row],[SUBTOTAL]]&lt;PROVEEDORES[[#This Row],[base retencion]],0,PROVEEDORES[[#This Row],[retención aplicada]])</f>
        <v>0</v>
      </c>
      <c r="Q1431" s="22">
        <f>+PROVEEDORES[[#This Row],[Rete Fuente %]]*(PROVEEDORES[[#This Row],[SUBTOTAL]]-PROVEEDORES[[#This Row],[descuento sobre subtotal]])</f>
        <v>0</v>
      </c>
      <c r="R1431" s="21">
        <f>+PROVEEDORES[[#This Row],[SUBTOTAL]]+PROVEEDORES[[#This Row],[IVA 19%]]-PROVEEDORES[[#This Row],[descuento sobre subtotal]]-PROVEEDORES[[#This Row],[Descuento sobre subtotal $2]]-PROVEEDORES[[#This Row],[Rete Fuente $]]</f>
        <v>1796000</v>
      </c>
      <c r="S1431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1" s="68">
        <f ca="1">IF(PROVEEDORES[[#This Row],[FECHA DE PAGO]]=0,TODAY()-PROVEEDORES[[#This Row],[FECHA DE FACTURACIÓN]]-PROVEEDORES[[#This Row],[PLAZO Días]],0)</f>
        <v>0</v>
      </c>
      <c r="U1431" s="113">
        <f>+VLOOKUP(PROVEEDORES[[#This Row],[PROVEEDOR]],Terceros!$A:$D,4,FALSE)</f>
        <v>0</v>
      </c>
      <c r="V1431" s="114">
        <f>+YEAR(PROVEEDORES[[#This Row],[FECHA DE FACTURACIÓN]])</f>
        <v>2022</v>
      </c>
      <c r="W1431" s="114">
        <f>+MATCH(PROVEEDORES[[#This Row],[año facturado]],Retenciones!$1:$1,0)</f>
        <v>5</v>
      </c>
      <c r="X1431" s="115">
        <f>+VLOOKUP(PROVEEDORES[[#This Row],[ID RETENCION]],Retenciones!$A$1:$O$25,PROVEEDORES[[#This Row],[indicador de columna]],FALSE)</f>
        <v>0</v>
      </c>
      <c r="Y1431" s="116">
        <f>+VLOOKUP(PROVEEDORES[[#This Row],[ID RETENCION]],Retenciones!$A$1:$O$25,2,FALSE)</f>
        <v>0</v>
      </c>
      <c r="Z1431" s="125" t="b">
        <f>OR(COUNTIF(PROVEEDORES[[#This Row],[PROVEEDOR]],"*"&amp;'Palabra no opera'!$A$2&amp;"*"))</f>
        <v>0</v>
      </c>
    </row>
    <row r="1432" spans="1:26" ht="22.2" customHeight="1" x14ac:dyDescent="0.3">
      <c r="A1432" s="66" t="str">
        <f>+IF(PROVEEDORES[[#This Row],[FECHA DE PAGO]]=PROVEEDORES[[#This Row],[FECHA DE FACTURACIÓN]],"DE CONTADO","CRÉDITO")</f>
        <v>CRÉDITO</v>
      </c>
      <c r="B1432" s="38" t="str">
        <f>+IF((PROVEEDORES[[#This Row],[FECHA DE PAGO]]-PROVEEDORES[[#This Row],[FECHA DE FACTURACIÓN]])&gt;PROVEEDORES[[#This Row],[PLAZO Días]],"PAGO VENCIDO")</f>
        <v>PAGO VENCIDO</v>
      </c>
      <c r="C1432" s="20">
        <f>+VLOOKUP(PROVEEDORES[[#This Row],[PROVEEDOR]],TERCEROS_INFO[#All],2,FALSE)</f>
        <v>30</v>
      </c>
      <c r="D1432" s="25">
        <f>+SUMIFS(PROVEEDORES[Total],PROVEEDORES[PROVEEDOR],PROVEEDORES[[#This Row],[PROVEEDOR]],PROVEEDORES[FECHA DE PAGO],"")</f>
        <v>0</v>
      </c>
      <c r="E1432" s="25"/>
      <c r="F1432" s="58" t="str">
        <f>+VLOOKUP(PROVEEDORES[[#This Row],[PROVEEDOR]],
                       Terceros!$A:$F,
                       5,
                       FALSE)</f>
        <v/>
      </c>
      <c r="G1432" s="161">
        <v>44557</v>
      </c>
      <c r="H1432" s="26" t="s">
        <v>624</v>
      </c>
      <c r="I1432" s="161">
        <v>44523</v>
      </c>
      <c r="J1432" s="35" t="s">
        <v>1529</v>
      </c>
      <c r="K1432" s="21">
        <v>1796500</v>
      </c>
      <c r="L1432" s="21"/>
      <c r="M1432" s="22">
        <f>(PROVEEDORES[[#This Row],[SUBTOTAL]]-PROVEEDORES[[#This Row],[descuento sobre subtotal]])*VLOOKUP(PROVEEDORES[[#This Row],[PROVEEDOR]],TERCEROS_INFO[#All],3,FALSE)</f>
        <v>0</v>
      </c>
      <c r="N1432" s="23"/>
      <c r="O1432" s="22">
        <f>+PROVEEDORES[[#This Row],[Descuento sobre subtotal %]]*(PROVEEDORES[[#This Row],[SUBTOTAL]]-PROVEEDORES[[#This Row],[descuento sobre subtotal]])</f>
        <v>0</v>
      </c>
      <c r="P1432" s="83">
        <f>+IF(PROVEEDORES[[#This Row],[SUBTOTAL]]&lt;PROVEEDORES[[#This Row],[base retencion]],0,PROVEEDORES[[#This Row],[retención aplicada]])</f>
        <v>0</v>
      </c>
      <c r="Q1432" s="22">
        <f>+PROVEEDORES[[#This Row],[Rete Fuente %]]*(PROVEEDORES[[#This Row],[SUBTOTAL]]-PROVEEDORES[[#This Row],[descuento sobre subtotal]])</f>
        <v>0</v>
      </c>
      <c r="R1432" s="21">
        <f>+PROVEEDORES[[#This Row],[SUBTOTAL]]+PROVEEDORES[[#This Row],[IVA 19%]]-PROVEEDORES[[#This Row],[descuento sobre subtotal]]-PROVEEDORES[[#This Row],[Descuento sobre subtotal $2]]-PROVEEDORES[[#This Row],[Rete Fuente $]]</f>
        <v>1796500</v>
      </c>
      <c r="S14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2" s="68">
        <f ca="1">IF(PROVEEDORES[[#This Row],[FECHA DE PAGO]]=0,TODAY()-PROVEEDORES[[#This Row],[FECHA DE FACTURACIÓN]]-PROVEEDORES[[#This Row],[PLAZO Días]],0)</f>
        <v>0</v>
      </c>
      <c r="U1432" s="96">
        <f>+VLOOKUP(PROVEEDORES[[#This Row],[PROVEEDOR]],Terceros!$A:$D,4,FALSE)</f>
        <v>0</v>
      </c>
      <c r="V1432" s="97">
        <f>+YEAR(PROVEEDORES[[#This Row],[FECHA DE FACTURACIÓN]])</f>
        <v>2021</v>
      </c>
      <c r="W1432" s="97">
        <f>+MATCH(PROVEEDORES[[#This Row],[año facturado]],Retenciones!$1:$1,0)</f>
        <v>4</v>
      </c>
      <c r="X1432" s="98">
        <f>+VLOOKUP(PROVEEDORES[[#This Row],[ID RETENCION]],Retenciones!$A$1:$O$25,PROVEEDORES[[#This Row],[indicador de columna]],FALSE)</f>
        <v>0</v>
      </c>
      <c r="Y1432" s="99">
        <f>+VLOOKUP(PROVEEDORES[[#This Row],[ID RETENCION]],Retenciones!$A$1:$O$25,2,FALSE)</f>
        <v>0</v>
      </c>
      <c r="Z1432" s="125" t="b">
        <f>OR(COUNTIF(PROVEEDORES[[#This Row],[PROVEEDOR]],"*"&amp;'Palabra no opera'!$A$2&amp;"*"))</f>
        <v>0</v>
      </c>
    </row>
    <row r="1433" spans="1:26" ht="22.2" customHeight="1" x14ac:dyDescent="0.3">
      <c r="A1433" s="66" t="str">
        <f>+IF(PROVEEDORES[[#This Row],[FECHA DE PAGO]]=PROVEEDORES[[#This Row],[FECHA DE FACTURACIÓN]],"DE CONTADO","CRÉDITO")</f>
        <v>CRÉDITO</v>
      </c>
      <c r="B1433" s="38" t="str">
        <f>+IF((PROVEEDORES[[#This Row],[FECHA DE PAGO]]-PROVEEDORES[[#This Row],[FECHA DE FACTURACIÓN]])&gt;PROVEEDORES[[#This Row],[PLAZO Días]],"PAGO VENCIDO")</f>
        <v>PAGO VENCIDO</v>
      </c>
      <c r="C1433" s="20">
        <f>+VLOOKUP(PROVEEDORES[[#This Row],[PROVEEDOR]],TERCEROS_INFO[#All],2,FALSE)</f>
        <v>30</v>
      </c>
      <c r="D1433" s="25">
        <f>+SUMIFS(PROVEEDORES[Total],PROVEEDORES[PROVEEDOR],PROVEEDORES[[#This Row],[PROVEEDOR]],PROVEEDORES[FECHA DE PAGO],"")</f>
        <v>0</v>
      </c>
      <c r="E1433" s="25"/>
      <c r="F143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433" s="161">
        <v>44271</v>
      </c>
      <c r="H1433" s="26" t="s">
        <v>24</v>
      </c>
      <c r="I1433" s="161">
        <v>44233</v>
      </c>
      <c r="J1433" s="35" t="s">
        <v>184</v>
      </c>
      <c r="K1433" s="21">
        <v>1542573</v>
      </c>
      <c r="L1433" s="21"/>
      <c r="M1433" s="22">
        <f>(PROVEEDORES[[#This Row],[SUBTOTAL]]-PROVEEDORES[[#This Row],[descuento sobre subtotal]])*VLOOKUP(PROVEEDORES[[#This Row],[PROVEEDOR]],TERCEROS_INFO[#All],3,FALSE)</f>
        <v>293088.87</v>
      </c>
      <c r="N1433" s="23"/>
      <c r="O1433" s="22">
        <f>+PROVEEDORES[[#This Row],[Descuento sobre subtotal %]]*(PROVEEDORES[[#This Row],[SUBTOTAL]]-PROVEEDORES[[#This Row],[descuento sobre subtotal]])</f>
        <v>0</v>
      </c>
      <c r="P1433" s="83">
        <f>+IF(PROVEEDORES[[#This Row],[SUBTOTAL]]&lt;PROVEEDORES[[#This Row],[base retencion]],0,PROVEEDORES[[#This Row],[retención aplicada]])</f>
        <v>2.5000000000000001E-2</v>
      </c>
      <c r="Q1433" s="22">
        <f>+PROVEEDORES[[#This Row],[Rete Fuente %]]*(PROVEEDORES[[#This Row],[SUBTOTAL]]-PROVEEDORES[[#This Row],[descuento sobre subtotal]])</f>
        <v>38564.325000000004</v>
      </c>
      <c r="R1433" s="21">
        <f>+PROVEEDORES[[#This Row],[SUBTOTAL]]+PROVEEDORES[[#This Row],[IVA 19%]]-PROVEEDORES[[#This Row],[descuento sobre subtotal]]-PROVEEDORES[[#This Row],[Descuento sobre subtotal $2]]-PROVEEDORES[[#This Row],[Rete Fuente $]]</f>
        <v>1797097.5450000002</v>
      </c>
      <c r="S14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3" s="68">
        <f ca="1">IF(PROVEEDORES[[#This Row],[FECHA DE PAGO]]=0,TODAY()-PROVEEDORES[[#This Row],[FECHA DE FACTURACIÓN]]-PROVEEDORES[[#This Row],[PLAZO Días]],0)</f>
        <v>0</v>
      </c>
      <c r="U1433" s="96" t="str">
        <f>+VLOOKUP(PROVEEDORES[[#This Row],[PROVEEDOR]],Terceros!$A:$D,4,FALSE)</f>
        <v>2,5% con base</v>
      </c>
      <c r="V1433" s="97">
        <f>+YEAR(PROVEEDORES[[#This Row],[FECHA DE FACTURACIÓN]])</f>
        <v>2021</v>
      </c>
      <c r="W1433" s="97">
        <f>+MATCH(PROVEEDORES[[#This Row],[año facturado]],Retenciones!$1:$1,0)</f>
        <v>4</v>
      </c>
      <c r="X1433" s="98">
        <f>+VLOOKUP(PROVEEDORES[[#This Row],[ID RETENCION]],Retenciones!$A$1:$O$25,PROVEEDORES[[#This Row],[indicador de columna]],FALSE)</f>
        <v>980000</v>
      </c>
      <c r="Y1433" s="99">
        <f>+VLOOKUP(PROVEEDORES[[#This Row],[ID RETENCION]],Retenciones!$A$1:$O$25,2,FALSE)</f>
        <v>2.5000000000000001E-2</v>
      </c>
      <c r="Z1433" s="125" t="b">
        <f>OR(COUNTIF(PROVEEDORES[[#This Row],[PROVEEDOR]],"*"&amp;'Palabra no opera'!$A$2&amp;"*"))</f>
        <v>0</v>
      </c>
    </row>
    <row r="1434" spans="1:26" ht="22.2" customHeight="1" x14ac:dyDescent="0.3">
      <c r="A1434" s="72" t="str">
        <f>+IF(PROVEEDORES[[#This Row],[FECHA DE PAGO]]=PROVEEDORES[[#This Row],[FECHA DE FACTURACIÓN]],"DE CONTADO","CRÉDITO")</f>
        <v>CRÉDITO</v>
      </c>
      <c r="B1434" s="38" t="str">
        <f>+IF((PROVEEDORES[[#This Row],[FECHA DE PAGO]]-PROVEEDORES[[#This Row],[FECHA DE FACTURACIÓN]])&gt;PROVEEDORES[[#This Row],[PLAZO Días]],"PAGO VENCIDO")</f>
        <v>PAGO VENCIDO</v>
      </c>
      <c r="C1434" s="20">
        <f>+VLOOKUP(PROVEEDORES[[#This Row],[PROVEEDOR]],TERCEROS_INFO[#All],2,FALSE)</f>
        <v>30</v>
      </c>
      <c r="D1434" s="25">
        <f>+SUMIFS(PROVEEDORES[Total],PROVEEDORES[PROVEEDOR],PROVEEDORES[[#This Row],[PROVEEDOR]],PROVEEDORES[FECHA DE PAGO],"")</f>
        <v>2456000</v>
      </c>
      <c r="E1434" s="25"/>
      <c r="F1434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434" s="161">
        <v>44838</v>
      </c>
      <c r="H1434" s="26" t="s">
        <v>623</v>
      </c>
      <c r="I1434" s="161">
        <v>44760</v>
      </c>
      <c r="J1434" s="35" t="s">
        <v>1619</v>
      </c>
      <c r="K1434" s="21">
        <v>1802000</v>
      </c>
      <c r="L1434" s="21"/>
      <c r="M1434" s="22">
        <f>(PROVEEDORES[[#This Row],[SUBTOTAL]]-PROVEEDORES[[#This Row],[descuento sobre subtotal]])*VLOOKUP(PROVEEDORES[[#This Row],[PROVEEDOR]],TERCEROS_INFO[#All],3,FALSE)</f>
        <v>0</v>
      </c>
      <c r="N1434" s="23"/>
      <c r="O1434" s="22">
        <f>+PROVEEDORES[[#This Row],[Descuento sobre subtotal %]]*(PROVEEDORES[[#This Row],[SUBTOTAL]]-PROVEEDORES[[#This Row],[descuento sobre subtotal]])</f>
        <v>0</v>
      </c>
      <c r="P1434" s="83">
        <f>+IF(PROVEEDORES[[#This Row],[SUBTOTAL]]&lt;PROVEEDORES[[#This Row],[base retencion]],0,PROVEEDORES[[#This Row],[retención aplicada]])</f>
        <v>0</v>
      </c>
      <c r="Q1434" s="22">
        <f>+PROVEEDORES[[#This Row],[Rete Fuente %]]*(PROVEEDORES[[#This Row],[SUBTOTAL]]-PROVEEDORES[[#This Row],[descuento sobre subtotal]])</f>
        <v>0</v>
      </c>
      <c r="R1434" s="21">
        <f>+PROVEEDORES[[#This Row],[SUBTOTAL]]+PROVEEDORES[[#This Row],[IVA 19%]]-PROVEEDORES[[#This Row],[descuento sobre subtotal]]-PROVEEDORES[[#This Row],[Descuento sobre subtotal $2]]-PROVEEDORES[[#This Row],[Rete Fuente $]]</f>
        <v>1802000</v>
      </c>
      <c r="S143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4" s="68">
        <f ca="1">IF(PROVEEDORES[[#This Row],[FECHA DE PAGO]]=0,TODAY()-PROVEEDORES[[#This Row],[FECHA DE FACTURACIÓN]]-PROVEEDORES[[#This Row],[PLAZO Días]],0)</f>
        <v>0</v>
      </c>
      <c r="U1434" s="113">
        <f>+VLOOKUP(PROVEEDORES[[#This Row],[PROVEEDOR]],Terceros!$A:$D,4,FALSE)</f>
        <v>0</v>
      </c>
      <c r="V1434" s="114">
        <f>+YEAR(PROVEEDORES[[#This Row],[FECHA DE FACTURACIÓN]])</f>
        <v>2022</v>
      </c>
      <c r="W1434" s="114">
        <f>+MATCH(PROVEEDORES[[#This Row],[año facturado]],Retenciones!$1:$1,0)</f>
        <v>5</v>
      </c>
      <c r="X1434" s="115">
        <f>+VLOOKUP(PROVEEDORES[[#This Row],[ID RETENCION]],Retenciones!$A$1:$O$25,PROVEEDORES[[#This Row],[indicador de columna]],FALSE)</f>
        <v>0</v>
      </c>
      <c r="Y1434" s="116">
        <f>+VLOOKUP(PROVEEDORES[[#This Row],[ID RETENCION]],Retenciones!$A$1:$O$25,2,FALSE)</f>
        <v>0</v>
      </c>
      <c r="Z1434" s="125" t="b">
        <f>OR(COUNTIF(PROVEEDORES[[#This Row],[PROVEEDOR]],"*"&amp;'Palabra no opera'!$A$2&amp;"*"))</f>
        <v>0</v>
      </c>
    </row>
    <row r="1435" spans="1:26" ht="22.2" customHeight="1" x14ac:dyDescent="0.3">
      <c r="A1435" s="66" t="str">
        <f>+IF(PROVEEDORES[[#This Row],[FECHA DE PAGO]]=PROVEEDORES[[#This Row],[FECHA DE FACTURACIÓN]],"DE CONTADO","CRÉDITO")</f>
        <v>CRÉDITO</v>
      </c>
      <c r="B1435" s="38" t="b">
        <f>+IF((PROVEEDORES[[#This Row],[FECHA DE PAGO]]-PROVEEDORES[[#This Row],[FECHA DE FACTURACIÓN]])&gt;PROVEEDORES[[#This Row],[PLAZO Días]],"PAGO VENCIDO")</f>
        <v>0</v>
      </c>
      <c r="C1435" s="20">
        <f>+VLOOKUP(PROVEEDORES[[#This Row],[PROVEEDOR]],TERCEROS_INFO[#All],2,FALSE)</f>
        <v>30</v>
      </c>
      <c r="D1435" s="25">
        <f>+SUMIFS(PROVEEDORES[Total],PROVEEDORES[PROVEEDOR],PROVEEDORES[[#This Row],[PROVEEDOR]],PROVEEDORES[FECHA DE PAGO],"")</f>
        <v>0</v>
      </c>
      <c r="E1435" s="25"/>
      <c r="F143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35" s="161">
        <v>44554</v>
      </c>
      <c r="H1435" s="26" t="s">
        <v>918</v>
      </c>
      <c r="I1435" s="161">
        <v>44531</v>
      </c>
      <c r="J1435" s="35">
        <v>9520</v>
      </c>
      <c r="K1435" s="21">
        <v>1803180</v>
      </c>
      <c r="L1435" s="21"/>
      <c r="M1435" s="22">
        <f>(PROVEEDORES[[#This Row],[SUBTOTAL]]-PROVEEDORES[[#This Row],[descuento sobre subtotal]])*VLOOKUP(PROVEEDORES[[#This Row],[PROVEEDOR]],TERCEROS_INFO[#All],3,FALSE)</f>
        <v>0</v>
      </c>
      <c r="N1435" s="23"/>
      <c r="O1435" s="22">
        <f>+PROVEEDORES[[#This Row],[Descuento sobre subtotal %]]*(PROVEEDORES[[#This Row],[SUBTOTAL]]-PROVEEDORES[[#This Row],[descuento sobre subtotal]])</f>
        <v>0</v>
      </c>
      <c r="P1435" s="83">
        <f>+IF(PROVEEDORES[[#This Row],[SUBTOTAL]]&lt;PROVEEDORES[[#This Row],[base retencion]],0,PROVEEDORES[[#This Row],[retención aplicada]])</f>
        <v>0</v>
      </c>
      <c r="Q1435" s="22">
        <f>+PROVEEDORES[[#This Row],[Rete Fuente %]]*(PROVEEDORES[[#This Row],[SUBTOTAL]]-PROVEEDORES[[#This Row],[descuento sobre subtotal]])</f>
        <v>0</v>
      </c>
      <c r="R1435" s="21">
        <f>+PROVEEDORES[[#This Row],[SUBTOTAL]]+PROVEEDORES[[#This Row],[IVA 19%]]-PROVEEDORES[[#This Row],[descuento sobre subtotal]]-PROVEEDORES[[#This Row],[Descuento sobre subtotal $2]]-PROVEEDORES[[#This Row],[Rete Fuente $]]</f>
        <v>1803180</v>
      </c>
      <c r="S14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5" s="68">
        <f ca="1">IF(PROVEEDORES[[#This Row],[FECHA DE PAGO]]=0,TODAY()-PROVEEDORES[[#This Row],[FECHA DE FACTURACIÓN]]-PROVEEDORES[[#This Row],[PLAZO Días]],0)</f>
        <v>0</v>
      </c>
      <c r="U1435" s="96">
        <f>+VLOOKUP(PROVEEDORES[[#This Row],[PROVEEDOR]],Terceros!$A:$D,4,FALSE)</f>
        <v>0</v>
      </c>
      <c r="V1435" s="97">
        <f>+YEAR(PROVEEDORES[[#This Row],[FECHA DE FACTURACIÓN]])</f>
        <v>2021</v>
      </c>
      <c r="W1435" s="97">
        <f>+MATCH(PROVEEDORES[[#This Row],[año facturado]],Retenciones!$1:$1,0)</f>
        <v>4</v>
      </c>
      <c r="X1435" s="98">
        <f>+VLOOKUP(PROVEEDORES[[#This Row],[ID RETENCION]],Retenciones!$A$1:$O$25,PROVEEDORES[[#This Row],[indicador de columna]],FALSE)</f>
        <v>0</v>
      </c>
      <c r="Y1435" s="99">
        <f>+VLOOKUP(PROVEEDORES[[#This Row],[ID RETENCION]],Retenciones!$A$1:$O$25,2,FALSE)</f>
        <v>0</v>
      </c>
      <c r="Z1435" s="125" t="b">
        <f>OR(COUNTIF(PROVEEDORES[[#This Row],[PROVEEDOR]],"*"&amp;'Palabra no opera'!$A$2&amp;"*"))</f>
        <v>1</v>
      </c>
    </row>
    <row r="1436" spans="1:26" ht="22.2" customHeight="1" x14ac:dyDescent="0.3">
      <c r="A1436" s="72" t="str">
        <f>+IF(PROVEEDORES[[#This Row],[FECHA DE PAGO]]=PROVEEDORES[[#This Row],[FECHA DE FACTURACIÓN]],"DE CONTADO","CRÉDITO")</f>
        <v>CRÉDITO</v>
      </c>
      <c r="B1436" s="38" t="b">
        <f>+IF((PROVEEDORES[[#This Row],[FECHA DE PAGO]]-PROVEEDORES[[#This Row],[FECHA DE FACTURACIÓN]])&gt;PROVEEDORES[[#This Row],[PLAZO Días]],"PAGO VENCIDO")</f>
        <v>0</v>
      </c>
      <c r="C1436" s="20">
        <f>+VLOOKUP(PROVEEDORES[[#This Row],[PROVEEDOR]],TERCEROS_INFO[#All],2,FALSE)</f>
        <v>45</v>
      </c>
      <c r="D1436" s="25">
        <f>+SUMIFS(PROVEEDORES[Total],PROVEEDORES[PROVEEDOR],PROVEEDORES[[#This Row],[PROVEEDOR]],PROVEEDORES[FECHA DE PAGO],"")</f>
        <v>31891814.359999999</v>
      </c>
      <c r="E1436" s="25"/>
      <c r="F143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1436" s="26" t="s">
        <v>19</v>
      </c>
      <c r="I1436" s="161">
        <v>44860</v>
      </c>
      <c r="J1436" s="161" t="s">
        <v>1811</v>
      </c>
      <c r="K1436" s="21">
        <v>1520740</v>
      </c>
      <c r="L1436" s="21"/>
      <c r="M1436" s="22">
        <f>(PROVEEDORES[[#This Row],[SUBTOTAL]]-PROVEEDORES[[#This Row],[descuento sobre subtotal]])*VLOOKUP(PROVEEDORES[[#This Row],[PROVEEDOR]],TERCEROS_INFO[#All],3,FALSE)</f>
        <v>288940.59999999998</v>
      </c>
      <c r="N1436" s="23"/>
      <c r="O1436" s="22">
        <f>+PROVEEDORES[[#This Row],[Descuento sobre subtotal %]]*(PROVEEDORES[[#This Row],[SUBTOTAL]]-PROVEEDORES[[#This Row],[descuento sobre subtotal]])</f>
        <v>0</v>
      </c>
      <c r="P1436" s="83">
        <f>+IF(PROVEEDORES[[#This Row],[SUBTOTAL]]&lt;PROVEEDORES[[#This Row],[base retencion]],0,PROVEEDORES[[#This Row],[retención aplicada]])</f>
        <v>0</v>
      </c>
      <c r="Q1436" s="22">
        <f>+PROVEEDORES[[#This Row],[Rete Fuente %]]*(PROVEEDORES[[#This Row],[SUBTOTAL]]-PROVEEDORES[[#This Row],[descuento sobre subtotal]])</f>
        <v>0</v>
      </c>
      <c r="R1436" s="21">
        <f>+PROVEEDORES[[#This Row],[SUBTOTAL]]+PROVEEDORES[[#This Row],[IVA 19%]]-PROVEEDORES[[#This Row],[descuento sobre subtotal]]-PROVEEDORES[[#This Row],[Descuento sobre subtotal $2]]-PROVEEDORES[[#This Row],[Rete Fuente $]]</f>
        <v>1809680.6</v>
      </c>
      <c r="S1436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36" s="68">
        <f ca="1">IF(PROVEEDORES[[#This Row],[FECHA DE PAGO]]=0,TODAY()-PROVEEDORES[[#This Row],[FECHA DE FACTURACIÓN]]-PROVEEDORES[[#This Row],[PLAZO Días]],0)</f>
        <v>-30</v>
      </c>
      <c r="U1436" s="113">
        <f>+VLOOKUP(PROVEEDORES[[#This Row],[PROVEEDOR]],Terceros!$A:$D,4,FALSE)</f>
        <v>0</v>
      </c>
      <c r="V1436" s="114">
        <f>+YEAR(PROVEEDORES[[#This Row],[FECHA DE FACTURACIÓN]])</f>
        <v>2022</v>
      </c>
      <c r="W1436" s="114">
        <f>+MATCH(PROVEEDORES[[#This Row],[año facturado]],Retenciones!$1:$1,0)</f>
        <v>5</v>
      </c>
      <c r="X1436" s="115">
        <f>+VLOOKUP(PROVEEDORES[[#This Row],[ID RETENCION]],Retenciones!$A$1:$O$25,PROVEEDORES[[#This Row],[indicador de columna]],FALSE)</f>
        <v>0</v>
      </c>
      <c r="Y1436" s="116">
        <f>+VLOOKUP(PROVEEDORES[[#This Row],[ID RETENCION]],Retenciones!$A$1:$O$25,2,FALSE)</f>
        <v>0</v>
      </c>
      <c r="Z1436" s="125" t="b">
        <f>OR(COUNTIF(PROVEEDORES[[#This Row],[PROVEEDOR]],"*"&amp;'Palabra no opera'!$A$2&amp;"*"))</f>
        <v>0</v>
      </c>
    </row>
    <row r="1437" spans="1:26" ht="22.2" customHeight="1" x14ac:dyDescent="0.3">
      <c r="A1437" s="66" t="str">
        <f>+IF(PROVEEDORES[[#This Row],[FECHA DE PAGO]]=PROVEEDORES[[#This Row],[FECHA DE FACTURACIÓN]],"DE CONTADO","CRÉDITO")</f>
        <v>CRÉDITO</v>
      </c>
      <c r="B1437" s="38" t="str">
        <f>+IF((PROVEEDORES[[#This Row],[FECHA DE PAGO]]-PROVEEDORES[[#This Row],[FECHA DE FACTURACIÓN]])&gt;PROVEEDORES[[#This Row],[PLAZO Días]],"PAGO VENCIDO")</f>
        <v>PAGO VENCIDO</v>
      </c>
      <c r="C1437" s="20">
        <f>+VLOOKUP(PROVEEDORES[[#This Row],[PROVEEDOR]],TERCEROS_INFO[#All],2,FALSE)</f>
        <v>30</v>
      </c>
      <c r="D1437" s="25">
        <f>+SUMIFS(PROVEEDORES[Total],PROVEEDORES[PROVEEDOR],PROVEEDORES[[#This Row],[PROVEEDOR]],PROVEEDORES[FECHA DE PAGO],"")</f>
        <v>0</v>
      </c>
      <c r="E1437" s="25"/>
      <c r="F143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437" s="161">
        <v>44452</v>
      </c>
      <c r="H1437" s="26" t="s">
        <v>746</v>
      </c>
      <c r="I1437" s="161">
        <v>44412</v>
      </c>
      <c r="J1437" s="35">
        <v>1525</v>
      </c>
      <c r="K1437" s="21">
        <v>1556722.69</v>
      </c>
      <c r="L1437" s="21"/>
      <c r="M1437" s="22">
        <f>(PROVEEDORES[[#This Row],[SUBTOTAL]]-PROVEEDORES[[#This Row],[descuento sobre subtotal]])*VLOOKUP(PROVEEDORES[[#This Row],[PROVEEDOR]],TERCEROS_INFO[#All],3,FALSE)</f>
        <v>295777.31109999999</v>
      </c>
      <c r="N1437" s="23"/>
      <c r="O1437" s="22">
        <f>+PROVEEDORES[[#This Row],[Descuento sobre subtotal %]]*(PROVEEDORES[[#This Row],[SUBTOTAL]]-PROVEEDORES[[#This Row],[descuento sobre subtotal]])</f>
        <v>0</v>
      </c>
      <c r="P1437" s="83">
        <f>+IF(PROVEEDORES[[#This Row],[SUBTOTAL]]&lt;PROVEEDORES[[#This Row],[base retencion]],0,PROVEEDORES[[#This Row],[retención aplicada]])</f>
        <v>2.5000000000000001E-2</v>
      </c>
      <c r="Q1437" s="22">
        <f>+PROVEEDORES[[#This Row],[Rete Fuente %]]*(PROVEEDORES[[#This Row],[SUBTOTAL]]-PROVEEDORES[[#This Row],[descuento sobre subtotal]])</f>
        <v>38918.06725</v>
      </c>
      <c r="R1437" s="21">
        <f>+PROVEEDORES[[#This Row],[SUBTOTAL]]+PROVEEDORES[[#This Row],[IVA 19%]]-PROVEEDORES[[#This Row],[descuento sobre subtotal]]-PROVEEDORES[[#This Row],[Descuento sobre subtotal $2]]-PROVEEDORES[[#This Row],[Rete Fuente $]]</f>
        <v>1813581.9338499999</v>
      </c>
      <c r="S14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7" s="68">
        <f ca="1">IF(PROVEEDORES[[#This Row],[FECHA DE PAGO]]=0,TODAY()-PROVEEDORES[[#This Row],[FECHA DE FACTURACIÓN]]-PROVEEDORES[[#This Row],[PLAZO Días]],0)</f>
        <v>0</v>
      </c>
      <c r="U1437" s="96" t="str">
        <f>+VLOOKUP(PROVEEDORES[[#This Row],[PROVEEDOR]],Terceros!$A:$D,4,FALSE)</f>
        <v>2,5% con base</v>
      </c>
      <c r="V1437" s="97">
        <f>+YEAR(PROVEEDORES[[#This Row],[FECHA DE FACTURACIÓN]])</f>
        <v>2021</v>
      </c>
      <c r="W1437" s="97">
        <f>+MATCH(PROVEEDORES[[#This Row],[año facturado]],Retenciones!$1:$1,0)</f>
        <v>4</v>
      </c>
      <c r="X1437" s="98">
        <f>+VLOOKUP(PROVEEDORES[[#This Row],[ID RETENCION]],Retenciones!$A$1:$O$25,PROVEEDORES[[#This Row],[indicador de columna]],FALSE)</f>
        <v>980000</v>
      </c>
      <c r="Y1437" s="99">
        <f>+VLOOKUP(PROVEEDORES[[#This Row],[ID RETENCION]],Retenciones!$A$1:$O$25,2,FALSE)</f>
        <v>2.5000000000000001E-2</v>
      </c>
      <c r="Z1437" s="125" t="b">
        <f>OR(COUNTIF(PROVEEDORES[[#This Row],[PROVEEDOR]],"*"&amp;'Palabra no opera'!$A$2&amp;"*"))</f>
        <v>0</v>
      </c>
    </row>
    <row r="1438" spans="1:26" ht="22.2" customHeight="1" x14ac:dyDescent="0.3">
      <c r="A1438" s="257" t="str">
        <f>+IF(PROVEEDORES[[#This Row],[FECHA DE PAGO]]=PROVEEDORES[[#This Row],[FECHA DE FACTURACIÓN]],"DE CONTADO","CRÉDITO")</f>
        <v>CRÉDITO</v>
      </c>
      <c r="B1438" s="38" t="b">
        <f>+IF((PROVEEDORES[[#This Row],[FECHA DE PAGO]]-PROVEEDORES[[#This Row],[FECHA DE FACTURACIÓN]])&gt;PROVEEDORES[[#This Row],[PLAZO Días]],"PAGO VENCIDO")</f>
        <v>0</v>
      </c>
      <c r="C1438" s="20">
        <f>+VLOOKUP(PROVEEDORES[[#This Row],[PROVEEDOR]],TERCEROS_INFO[#All],2,FALSE)</f>
        <v>8</v>
      </c>
      <c r="D1438" s="25">
        <f>+SUMIFS(PROVEEDORES[Total],PROVEEDORES[PROVEEDOR],PROVEEDORES[[#This Row],[PROVEEDOR]],PROVEEDORES[FECHA DE PAGO],"")</f>
        <v>1814000</v>
      </c>
      <c r="E1438" s="25"/>
      <c r="F1438" s="58">
        <f>+VLOOKUP(PROVEEDORES[[#This Row],[PROVEEDOR]],
                       Terceros!$A:$F,
                       5,
                       FALSE)</f>
        <v>0</v>
      </c>
      <c r="H1438" s="267" t="s">
        <v>966</v>
      </c>
      <c r="I1438" s="161">
        <v>44833</v>
      </c>
      <c r="J1438" s="35" t="s">
        <v>1729</v>
      </c>
      <c r="K1438" s="21">
        <v>1814000</v>
      </c>
      <c r="L1438" s="21"/>
      <c r="M1438" s="22">
        <f>(PROVEEDORES[[#This Row],[SUBTOTAL]]-PROVEEDORES[[#This Row],[descuento sobre subtotal]])*VLOOKUP(PROVEEDORES[[#This Row],[PROVEEDOR]],TERCEROS_INFO[#All],3,FALSE)</f>
        <v>0</v>
      </c>
      <c r="N1438" s="23"/>
      <c r="O1438" s="22">
        <f>+PROVEEDORES[[#This Row],[Descuento sobre subtotal %]]*(PROVEEDORES[[#This Row],[SUBTOTAL]]-PROVEEDORES[[#This Row],[descuento sobre subtotal]])</f>
        <v>0</v>
      </c>
      <c r="P1438" s="83">
        <f>+IF(PROVEEDORES[[#This Row],[SUBTOTAL]]&lt;PROVEEDORES[[#This Row],[base retencion]],0,PROVEEDORES[[#This Row],[retención aplicada]])</f>
        <v>0</v>
      </c>
      <c r="Q1438" s="22">
        <f>+PROVEEDORES[[#This Row],[Rete Fuente %]]*(PROVEEDORES[[#This Row],[SUBTOTAL]]-PROVEEDORES[[#This Row],[descuento sobre subtotal]])</f>
        <v>0</v>
      </c>
      <c r="R1438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1438" s="25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38" s="68">
        <f ca="1">IF(PROVEEDORES[[#This Row],[FECHA DE PAGO]]=0,TODAY()-PROVEEDORES[[#This Row],[FECHA DE FACTURACIÓN]]-PROVEEDORES[[#This Row],[PLAZO Días]],0)</f>
        <v>34</v>
      </c>
      <c r="U1438" s="113">
        <f>+VLOOKUP(PROVEEDORES[[#This Row],[PROVEEDOR]],Terceros!$A:$D,4,FALSE)</f>
        <v>0</v>
      </c>
      <c r="V1438" s="114">
        <f>+YEAR(PROVEEDORES[[#This Row],[FECHA DE FACTURACIÓN]])</f>
        <v>2022</v>
      </c>
      <c r="W1438" s="114">
        <f>+MATCH(PROVEEDORES[[#This Row],[año facturado]],Retenciones!$1:$1,0)</f>
        <v>5</v>
      </c>
      <c r="X1438" s="115">
        <f>+VLOOKUP(PROVEEDORES[[#This Row],[ID RETENCION]],Retenciones!$A$1:$O$25,PROVEEDORES[[#This Row],[indicador de columna]],FALSE)</f>
        <v>0</v>
      </c>
      <c r="Y1438" s="116">
        <f>+VLOOKUP(PROVEEDORES[[#This Row],[ID RETENCION]],Retenciones!$A$1:$O$25,2,FALSE)</f>
        <v>0</v>
      </c>
      <c r="Z1438" s="125" t="b">
        <f>OR(COUNTIF(PROVEEDORES[[#This Row],[PROVEEDOR]],"*"&amp;'Palabra no opera'!$A$2&amp;"*"))</f>
        <v>0</v>
      </c>
    </row>
    <row r="1439" spans="1:26" ht="22.2" customHeight="1" x14ac:dyDescent="0.3">
      <c r="A1439" s="66" t="str">
        <f>+IF(PROVEEDORES[[#This Row],[FECHA DE PAGO]]=PROVEEDORES[[#This Row],[FECHA DE FACTURACIÓN]],"DE CONTADO","CRÉDITO")</f>
        <v>CRÉDITO</v>
      </c>
      <c r="B1439" s="38" t="str">
        <f>+IF((PROVEEDORES[[#This Row],[FECHA DE PAGO]]-PROVEEDORES[[#This Row],[FECHA DE FACTURACIÓN]])&gt;PROVEEDORES[[#This Row],[PLAZO Días]],"PAGO VENCIDO")</f>
        <v>PAGO VENCIDO</v>
      </c>
      <c r="C1439" s="20">
        <f>+VLOOKUP(PROVEEDORES[[#This Row],[PROVEEDOR]],TERCEROS_INFO[#All],2,FALSE)</f>
        <v>30</v>
      </c>
      <c r="D1439" s="25">
        <f>+SUMIFS(PROVEEDORES[Total],PROVEEDORES[PROVEEDOR],PROVEEDORES[[#This Row],[PROVEEDOR]],PROVEEDORES[FECHA DE PAGO],"")</f>
        <v>0</v>
      </c>
      <c r="E1439" s="25"/>
      <c r="F143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39" s="161">
        <v>44348</v>
      </c>
      <c r="H1439" s="26" t="s">
        <v>1637</v>
      </c>
      <c r="I1439" s="161">
        <v>44263</v>
      </c>
      <c r="J1439" s="35">
        <v>20217</v>
      </c>
      <c r="K1439" s="21">
        <v>1560000</v>
      </c>
      <c r="L1439" s="21"/>
      <c r="M1439" s="22">
        <f>(PROVEEDORES[[#This Row],[SUBTOTAL]]-PROVEEDORES[[#This Row],[descuento sobre subtotal]])*VLOOKUP(PROVEEDORES[[#This Row],[PROVEEDOR]],TERCEROS_INFO[#All],3,FALSE)</f>
        <v>296400</v>
      </c>
      <c r="N1439" s="23"/>
      <c r="O1439" s="22">
        <f>+PROVEEDORES[[#This Row],[Descuento sobre subtotal %]]*(PROVEEDORES[[#This Row],[SUBTOTAL]]-PROVEEDORES[[#This Row],[descuento sobre subtotal]])</f>
        <v>0</v>
      </c>
      <c r="P1439" s="83">
        <f>+IF(PROVEEDORES[[#This Row],[SUBTOTAL]]&lt;PROVEEDORES[[#This Row],[base retencion]],0,PROVEEDORES[[#This Row],[retención aplicada]])</f>
        <v>2.5000000000000001E-2</v>
      </c>
      <c r="Q1439" s="22">
        <f>+PROVEEDORES[[#This Row],[Rete Fuente %]]*(PROVEEDORES[[#This Row],[SUBTOTAL]]-PROVEEDORES[[#This Row],[descuento sobre subtotal]])</f>
        <v>39000</v>
      </c>
      <c r="R1439" s="21">
        <f>+PROVEEDORES[[#This Row],[SUBTOTAL]]+PROVEEDORES[[#This Row],[IVA 19%]]-PROVEEDORES[[#This Row],[descuento sobre subtotal]]-PROVEEDORES[[#This Row],[Descuento sobre subtotal $2]]-PROVEEDORES[[#This Row],[Rete Fuente $]]</f>
        <v>1817400</v>
      </c>
      <c r="S14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9" s="68">
        <f ca="1">IF(PROVEEDORES[[#This Row],[FECHA DE PAGO]]=0,TODAY()-PROVEEDORES[[#This Row],[FECHA DE FACTURACIÓN]]-PROVEEDORES[[#This Row],[PLAZO Días]],0)</f>
        <v>0</v>
      </c>
      <c r="U1439" s="96" t="str">
        <f>+VLOOKUP(PROVEEDORES[[#This Row],[PROVEEDOR]],Terceros!$A:$D,4,FALSE)</f>
        <v>2,5% con base</v>
      </c>
      <c r="V1439" s="97">
        <f>+YEAR(PROVEEDORES[[#This Row],[FECHA DE FACTURACIÓN]])</f>
        <v>2021</v>
      </c>
      <c r="W1439" s="97">
        <f>+MATCH(PROVEEDORES[[#This Row],[año facturado]],Retenciones!$1:$1,0)</f>
        <v>4</v>
      </c>
      <c r="X1439" s="98">
        <f>+VLOOKUP(PROVEEDORES[[#This Row],[ID RETENCION]],Retenciones!$A$1:$O$25,PROVEEDORES[[#This Row],[indicador de columna]],FALSE)</f>
        <v>980000</v>
      </c>
      <c r="Y1439" s="99">
        <f>+VLOOKUP(PROVEEDORES[[#This Row],[ID RETENCION]],Retenciones!$A$1:$O$25,2,FALSE)</f>
        <v>2.5000000000000001E-2</v>
      </c>
      <c r="Z1439" s="125" t="b">
        <f>OR(COUNTIF(PROVEEDORES[[#This Row],[PROVEEDOR]],"*"&amp;'Palabra no opera'!$A$2&amp;"*"))</f>
        <v>0</v>
      </c>
    </row>
    <row r="1440" spans="1:26" ht="22.2" customHeight="1" x14ac:dyDescent="0.3">
      <c r="A1440" s="66" t="str">
        <f>+IF(PROVEEDORES[[#This Row],[FECHA DE PAGO]]=PROVEEDORES[[#This Row],[FECHA DE FACTURACIÓN]],"DE CONTADO","CRÉDITO")</f>
        <v>CRÉDITO</v>
      </c>
      <c r="B1440" s="38" t="b">
        <f>+IF((PROVEEDORES[[#This Row],[FECHA DE PAGO]]-PROVEEDORES[[#This Row],[FECHA DE FACTURACIÓN]])&gt;PROVEEDORES[[#This Row],[PLAZO Días]],"PAGO VENCIDO")</f>
        <v>0</v>
      </c>
      <c r="C1440" s="20">
        <f>+VLOOKUP(PROVEEDORES[[#This Row],[PROVEEDOR]],TERCEROS_INFO[#All],2,FALSE)</f>
        <v>30</v>
      </c>
      <c r="D1440" s="25">
        <f>+SUMIFS(PROVEEDORES[Total],PROVEEDORES[PROVEEDOR],PROVEEDORES[[#This Row],[PROVEEDOR]],PROVEEDORES[FECHA DE PAGO],"")</f>
        <v>4024829</v>
      </c>
      <c r="E1440" s="25"/>
      <c r="F144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0" s="161">
        <v>44657</v>
      </c>
      <c r="H1440" s="26" t="s">
        <v>345</v>
      </c>
      <c r="I1440" s="161">
        <v>44656</v>
      </c>
      <c r="J1440" s="35" t="s">
        <v>778</v>
      </c>
      <c r="K1440" s="21">
        <v>1821000</v>
      </c>
      <c r="L1440" s="21"/>
      <c r="M1440" s="22">
        <f>(PROVEEDORES[[#This Row],[SUBTOTAL]]-PROVEEDORES[[#This Row],[descuento sobre subtotal]])*VLOOKUP(PROVEEDORES[[#This Row],[PROVEEDOR]],TERCEROS_INFO[#All],3,FALSE)</f>
        <v>0</v>
      </c>
      <c r="N1440" s="23"/>
      <c r="O1440" s="22">
        <f>+PROVEEDORES[[#This Row],[Descuento sobre subtotal %]]*(PROVEEDORES[[#This Row],[SUBTOTAL]]-PROVEEDORES[[#This Row],[descuento sobre subtotal]])</f>
        <v>0</v>
      </c>
      <c r="P1440" s="83">
        <f>+IF(PROVEEDORES[[#This Row],[SUBTOTAL]]&lt;PROVEEDORES[[#This Row],[base retencion]],0,PROVEEDORES[[#This Row],[retención aplicada]])</f>
        <v>0</v>
      </c>
      <c r="Q1440" s="22">
        <f>+PROVEEDORES[[#This Row],[Rete Fuente %]]*(PROVEEDORES[[#This Row],[SUBTOTAL]]-PROVEEDORES[[#This Row],[descuento sobre subtotal]])</f>
        <v>0</v>
      </c>
      <c r="R1440" s="21">
        <f>+PROVEEDORES[[#This Row],[SUBTOTAL]]+PROVEEDORES[[#This Row],[IVA 19%]]-PROVEEDORES[[#This Row],[descuento sobre subtotal]]-PROVEEDORES[[#This Row],[Descuento sobre subtotal $2]]-PROVEEDORES[[#This Row],[Rete Fuente $]]</f>
        <v>1821000</v>
      </c>
      <c r="S14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0" s="68">
        <f ca="1">IF(PROVEEDORES[[#This Row],[FECHA DE PAGO]]=0,TODAY()-PROVEEDORES[[#This Row],[FECHA DE FACTURACIÓN]]-PROVEEDORES[[#This Row],[PLAZO Días]],0)</f>
        <v>0</v>
      </c>
      <c r="U1440" s="96">
        <f>+VLOOKUP(PROVEEDORES[[#This Row],[PROVEEDOR]],Terceros!$A:$D,4,FALSE)</f>
        <v>0</v>
      </c>
      <c r="V1440" s="97">
        <f>+YEAR(PROVEEDORES[[#This Row],[FECHA DE FACTURACIÓN]])</f>
        <v>2022</v>
      </c>
      <c r="W1440" s="97">
        <f>+MATCH(PROVEEDORES[[#This Row],[año facturado]],Retenciones!$1:$1,0)</f>
        <v>5</v>
      </c>
      <c r="X1440" s="98">
        <f>+VLOOKUP(PROVEEDORES[[#This Row],[ID RETENCION]],Retenciones!$A$1:$O$25,PROVEEDORES[[#This Row],[indicador de columna]],FALSE)</f>
        <v>0</v>
      </c>
      <c r="Y1440" s="99">
        <f>+VLOOKUP(PROVEEDORES[[#This Row],[ID RETENCION]],Retenciones!$A$1:$O$25,2,FALSE)</f>
        <v>0</v>
      </c>
      <c r="Z1440" s="125" t="b">
        <f>OR(COUNTIF(PROVEEDORES[[#This Row],[PROVEEDOR]],"*"&amp;'Palabra no opera'!$A$2&amp;"*"))</f>
        <v>0</v>
      </c>
    </row>
    <row r="1441" spans="1:26" ht="22.2" customHeight="1" x14ac:dyDescent="0.3">
      <c r="A1441" s="66" t="str">
        <f>+IF(PROVEEDORES[[#This Row],[FECHA DE PAGO]]=PROVEEDORES[[#This Row],[FECHA DE FACTURACIÓN]],"DE CONTADO","CRÉDITO")</f>
        <v>CRÉDITO</v>
      </c>
      <c r="B1441" s="38" t="str">
        <f>+IF((PROVEEDORES[[#This Row],[FECHA DE PAGO]]-PROVEEDORES[[#This Row],[FECHA DE FACTURACIÓN]])&gt;PROVEEDORES[[#This Row],[PLAZO Días]],"PAGO VENCIDO")</f>
        <v>PAGO VENCIDO</v>
      </c>
      <c r="C1441" s="20">
        <f>+VLOOKUP(PROVEEDORES[[#This Row],[PROVEEDOR]],TERCEROS_INFO[#All],2,FALSE)</f>
        <v>30</v>
      </c>
      <c r="D1441" s="25">
        <f>+SUMIFS(PROVEEDORES[Total],PROVEEDORES[PROVEEDOR],PROVEEDORES[[#This Row],[PROVEEDOR]],PROVEEDORES[FECHA DE PAGO],"")</f>
        <v>0</v>
      </c>
      <c r="E1441" s="25"/>
      <c r="F144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41" s="161">
        <v>44704</v>
      </c>
      <c r="H1441" s="26" t="s">
        <v>1637</v>
      </c>
      <c r="I1441" s="161">
        <v>44650</v>
      </c>
      <c r="J1441" s="35">
        <v>25208</v>
      </c>
      <c r="K1441" s="21">
        <v>1728540</v>
      </c>
      <c r="L1441" s="21">
        <v>157140</v>
      </c>
      <c r="M1441" s="22">
        <f>(PROVEEDORES[[#This Row],[SUBTOTAL]]-PROVEEDORES[[#This Row],[descuento sobre subtotal]])*VLOOKUP(PROVEEDORES[[#This Row],[PROVEEDOR]],TERCEROS_INFO[#All],3,FALSE)</f>
        <v>298566</v>
      </c>
      <c r="N1441" s="23"/>
      <c r="O1441" s="22">
        <f>+PROVEEDORES[[#This Row],[Descuento sobre subtotal %]]*(PROVEEDORES[[#This Row],[SUBTOTAL]]-PROVEEDORES[[#This Row],[descuento sobre subtotal]])</f>
        <v>0</v>
      </c>
      <c r="P1441" s="83">
        <f>+IF(PROVEEDORES[[#This Row],[SUBTOTAL]]&lt;PROVEEDORES[[#This Row],[base retencion]],0,PROVEEDORES[[#This Row],[retención aplicada]])</f>
        <v>2.5000000000000001E-2</v>
      </c>
      <c r="Q1441" s="22">
        <f>+PROVEEDORES[[#This Row],[Rete Fuente %]]*(PROVEEDORES[[#This Row],[SUBTOTAL]]-PROVEEDORES[[#This Row],[descuento sobre subtotal]])</f>
        <v>39285</v>
      </c>
      <c r="R1441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14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1" s="68">
        <f ca="1">IF(PROVEEDORES[[#This Row],[FECHA DE PAGO]]=0,TODAY()-PROVEEDORES[[#This Row],[FECHA DE FACTURACIÓN]]-PROVEEDORES[[#This Row],[PLAZO Días]],0)</f>
        <v>0</v>
      </c>
      <c r="U1441" s="96" t="str">
        <f>+VLOOKUP(PROVEEDORES[[#This Row],[PROVEEDOR]],Terceros!$A:$D,4,FALSE)</f>
        <v>2,5% con base</v>
      </c>
      <c r="V1441" s="97">
        <f>+YEAR(PROVEEDORES[[#This Row],[FECHA DE FACTURACIÓN]])</f>
        <v>2022</v>
      </c>
      <c r="W1441" s="97">
        <f>+MATCH(PROVEEDORES[[#This Row],[año facturado]],Retenciones!$1:$1,0)</f>
        <v>5</v>
      </c>
      <c r="X1441" s="98">
        <f>+VLOOKUP(PROVEEDORES[[#This Row],[ID RETENCION]],Retenciones!$A$1:$O$25,PROVEEDORES[[#This Row],[indicador de columna]],FALSE)</f>
        <v>1026000</v>
      </c>
      <c r="Y1441" s="99">
        <f>+VLOOKUP(PROVEEDORES[[#This Row],[ID RETENCION]],Retenciones!$A$1:$O$25,2,FALSE)</f>
        <v>2.5000000000000001E-2</v>
      </c>
      <c r="Z1441" s="125" t="b">
        <f>OR(COUNTIF(PROVEEDORES[[#This Row],[PROVEEDOR]],"*"&amp;'Palabra no opera'!$A$2&amp;"*"))</f>
        <v>0</v>
      </c>
    </row>
    <row r="1442" spans="1:26" ht="22.2" customHeight="1" x14ac:dyDescent="0.3">
      <c r="A1442" s="135" t="str">
        <f>+IF(PROVEEDORES[[#This Row],[FECHA DE PAGO]]=PROVEEDORES[[#This Row],[FECHA DE FACTURACIÓN]],"DE CONTADO","CRÉDITO")</f>
        <v>CRÉDITO</v>
      </c>
      <c r="B1442" s="38" t="str">
        <f>+IF((PROVEEDORES[[#This Row],[FECHA DE PAGO]]-PROVEEDORES[[#This Row],[FECHA DE FACTURACIÓN]])&gt;PROVEEDORES[[#This Row],[PLAZO Días]],"PAGO VENCIDO")</f>
        <v>PAGO VENCIDO</v>
      </c>
      <c r="C1442" s="20">
        <f>+VLOOKUP(PROVEEDORES[[#This Row],[PROVEEDOR]],TERCEROS_INFO[#All],2,FALSE)</f>
        <v>30</v>
      </c>
      <c r="D1442" s="25">
        <f>+SUMIFS(PROVEEDORES[Total],PROVEEDORES[PROVEEDOR],PROVEEDORES[[#This Row],[PROVEEDOR]],PROVEEDORES[FECHA DE PAGO],"")</f>
        <v>0</v>
      </c>
      <c r="E1442" s="25"/>
      <c r="F14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42" s="161">
        <v>44750</v>
      </c>
      <c r="H1442" s="26" t="s">
        <v>1637</v>
      </c>
      <c r="I1442" s="161">
        <v>44688</v>
      </c>
      <c r="J1442" s="35">
        <v>25703</v>
      </c>
      <c r="K1442" s="21">
        <v>1728540</v>
      </c>
      <c r="L1442" s="21">
        <v>157140</v>
      </c>
      <c r="M1442" s="22">
        <f>(PROVEEDORES[[#This Row],[SUBTOTAL]]-PROVEEDORES[[#This Row],[descuento sobre subtotal]])*VLOOKUP(PROVEEDORES[[#This Row],[PROVEEDOR]],TERCEROS_INFO[#All],3,FALSE)</f>
        <v>298566</v>
      </c>
      <c r="N1442" s="23"/>
      <c r="O1442" s="22">
        <f>+PROVEEDORES[[#This Row],[Descuento sobre subtotal %]]*(PROVEEDORES[[#This Row],[SUBTOTAL]]-PROVEEDORES[[#This Row],[descuento sobre subtotal]])</f>
        <v>0</v>
      </c>
      <c r="P1442" s="83">
        <f>+IF(PROVEEDORES[[#This Row],[SUBTOTAL]]&lt;PROVEEDORES[[#This Row],[base retencion]],0,PROVEEDORES[[#This Row],[retención aplicada]])</f>
        <v>2.5000000000000001E-2</v>
      </c>
      <c r="Q1442" s="22">
        <f>+PROVEEDORES[[#This Row],[Rete Fuente %]]*(PROVEEDORES[[#This Row],[SUBTOTAL]]-PROVEEDORES[[#This Row],[descuento sobre subtotal]])</f>
        <v>39285</v>
      </c>
      <c r="R1442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144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2" s="68">
        <f ca="1">IF(PROVEEDORES[[#This Row],[FECHA DE PAGO]]=0,TODAY()-PROVEEDORES[[#This Row],[FECHA DE FACTURACIÓN]]-PROVEEDORES[[#This Row],[PLAZO Días]],0)</f>
        <v>0</v>
      </c>
      <c r="U1442" s="113" t="str">
        <f>+VLOOKUP(PROVEEDORES[[#This Row],[PROVEEDOR]],Terceros!$A:$D,4,FALSE)</f>
        <v>2,5% con base</v>
      </c>
      <c r="V1442" s="114">
        <f>+YEAR(PROVEEDORES[[#This Row],[FECHA DE FACTURACIÓN]])</f>
        <v>2022</v>
      </c>
      <c r="W1442" s="114">
        <f>+MATCH(PROVEEDORES[[#This Row],[año facturado]],Retenciones!$1:$1,0)</f>
        <v>5</v>
      </c>
      <c r="X1442" s="115">
        <f>+VLOOKUP(PROVEEDORES[[#This Row],[ID RETENCION]],Retenciones!$A$1:$O$25,PROVEEDORES[[#This Row],[indicador de columna]],FALSE)</f>
        <v>1026000</v>
      </c>
      <c r="Y1442" s="116">
        <f>+VLOOKUP(PROVEEDORES[[#This Row],[ID RETENCION]],Retenciones!$A$1:$O$25,2,FALSE)</f>
        <v>2.5000000000000001E-2</v>
      </c>
      <c r="Z1442" s="125" t="b">
        <f>OR(COUNTIF(PROVEEDORES[[#This Row],[PROVEEDOR]],"*"&amp;'Palabra no opera'!$A$2&amp;"*"))</f>
        <v>0</v>
      </c>
    </row>
    <row r="1443" spans="1:26" ht="22.2" customHeight="1" x14ac:dyDescent="0.3">
      <c r="A1443" s="66" t="str">
        <f>+IF(PROVEEDORES[[#This Row],[FECHA DE PAGO]]=PROVEEDORES[[#This Row],[FECHA DE FACTURACIÓN]],"DE CONTADO","CRÉDITO")</f>
        <v>CRÉDITO</v>
      </c>
      <c r="B1443" s="38" t="str">
        <f>+IF((PROVEEDORES[[#This Row],[FECHA DE PAGO]]-PROVEEDORES[[#This Row],[FECHA DE FACTURACIÓN]])&gt;PROVEEDORES[[#This Row],[PLAZO Días]],"PAGO VENCIDO")</f>
        <v>PAGO VENCIDO</v>
      </c>
      <c r="C1443" s="20">
        <f>+VLOOKUP(PROVEEDORES[[#This Row],[PROVEEDOR]],TERCEROS_INFO[#All],2,FALSE)</f>
        <v>45</v>
      </c>
      <c r="D1443" s="25">
        <f>+SUMIFS(PROVEEDORES[Total],PROVEEDORES[PROVEEDOR],PROVEEDORES[[#This Row],[PROVEEDOR]],PROVEEDORES[FECHA DE PAGO],"")</f>
        <v>31891814.359999999</v>
      </c>
      <c r="E1443" s="25"/>
      <c r="F144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43" s="161">
        <v>44407</v>
      </c>
      <c r="H1443" s="26" t="s">
        <v>19</v>
      </c>
      <c r="I1443" s="161">
        <v>44351</v>
      </c>
      <c r="J1443" s="35" t="s">
        <v>343</v>
      </c>
      <c r="K1443" s="21">
        <v>1540080</v>
      </c>
      <c r="L1443" s="21"/>
      <c r="M1443" s="22">
        <f>(PROVEEDORES[[#This Row],[SUBTOTAL]]-PROVEEDORES[[#This Row],[descuento sobre subtotal]])*VLOOKUP(PROVEEDORES[[#This Row],[PROVEEDOR]],TERCEROS_INFO[#All],3,FALSE)</f>
        <v>292615.2</v>
      </c>
      <c r="N1443" s="23"/>
      <c r="O1443" s="22">
        <f>+PROVEEDORES[[#This Row],[Descuento sobre subtotal %]]*(PROVEEDORES[[#This Row],[SUBTOTAL]]-PROVEEDORES[[#This Row],[descuento sobre subtotal]])</f>
        <v>0</v>
      </c>
      <c r="P1443" s="83">
        <f>+IF(PROVEEDORES[[#This Row],[SUBTOTAL]]&lt;PROVEEDORES[[#This Row],[base retencion]],0,PROVEEDORES[[#This Row],[retención aplicada]])</f>
        <v>0</v>
      </c>
      <c r="Q1443" s="22">
        <f>+PROVEEDORES[[#This Row],[Rete Fuente %]]*(PROVEEDORES[[#This Row],[SUBTOTAL]]-PROVEEDORES[[#This Row],[descuento sobre subtotal]])</f>
        <v>0</v>
      </c>
      <c r="R1443" s="21">
        <f>+PROVEEDORES[[#This Row],[SUBTOTAL]]+PROVEEDORES[[#This Row],[IVA 19%]]-PROVEEDORES[[#This Row],[descuento sobre subtotal]]-PROVEEDORES[[#This Row],[Descuento sobre subtotal $2]]-PROVEEDORES[[#This Row],[Rete Fuente $]]</f>
        <v>1832695.2</v>
      </c>
      <c r="S14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3" s="68">
        <f ca="1">IF(PROVEEDORES[[#This Row],[FECHA DE PAGO]]=0,TODAY()-PROVEEDORES[[#This Row],[FECHA DE FACTURACIÓN]]-PROVEEDORES[[#This Row],[PLAZO Días]],0)</f>
        <v>0</v>
      </c>
      <c r="U1443" s="96">
        <f>+VLOOKUP(PROVEEDORES[[#This Row],[PROVEEDOR]],Terceros!$A:$D,4,FALSE)</f>
        <v>0</v>
      </c>
      <c r="V1443" s="97">
        <f>+YEAR(PROVEEDORES[[#This Row],[FECHA DE FACTURACIÓN]])</f>
        <v>2021</v>
      </c>
      <c r="W1443" s="97">
        <f>+MATCH(PROVEEDORES[[#This Row],[año facturado]],Retenciones!$1:$1,0)</f>
        <v>4</v>
      </c>
      <c r="X1443" s="98">
        <f>+VLOOKUP(PROVEEDORES[[#This Row],[ID RETENCION]],Retenciones!$A$1:$O$25,PROVEEDORES[[#This Row],[indicador de columna]],FALSE)</f>
        <v>0</v>
      </c>
      <c r="Y1443" s="99">
        <f>+VLOOKUP(PROVEEDORES[[#This Row],[ID RETENCION]],Retenciones!$A$1:$O$25,2,FALSE)</f>
        <v>0</v>
      </c>
      <c r="Z1443" s="125" t="b">
        <f>OR(COUNTIF(PROVEEDORES[[#This Row],[PROVEEDOR]],"*"&amp;'Palabra no opera'!$A$2&amp;"*"))</f>
        <v>0</v>
      </c>
    </row>
    <row r="1444" spans="1:26" ht="22.2" customHeight="1" x14ac:dyDescent="0.3">
      <c r="A1444" s="66" t="str">
        <f>+IF(PROVEEDORES[[#This Row],[FECHA DE PAGO]]=PROVEEDORES[[#This Row],[FECHA DE FACTURACIÓN]],"DE CONTADO","CRÉDITO")</f>
        <v>CRÉDITO</v>
      </c>
      <c r="B1444" s="38" t="b">
        <f>+IF((PROVEEDORES[[#This Row],[FECHA DE PAGO]]-PROVEEDORES[[#This Row],[FECHA DE FACTURACIÓN]])&gt;PROVEEDORES[[#This Row],[PLAZO Días]],"PAGO VENCIDO")</f>
        <v>0</v>
      </c>
      <c r="C1444" s="20">
        <f>+VLOOKUP(PROVEEDORES[[#This Row],[PROVEEDOR]],TERCEROS_INFO[#All],2,FALSE)</f>
        <v>30</v>
      </c>
      <c r="D1444" s="25">
        <f>+SUMIFS(PROVEEDORES[Total],PROVEEDORES[PROVEEDOR],PROVEEDORES[[#This Row],[PROVEEDOR]],PROVEEDORES[FECHA DE PAGO],"")</f>
        <v>0</v>
      </c>
      <c r="E1444" s="25"/>
      <c r="F1444" s="58">
        <f>+VLOOKUP(PROVEEDORES[[#This Row],[PROVEEDOR]],
                       Terceros!$A:$F,
                       5,
                       FALSE)</f>
        <v>0</v>
      </c>
      <c r="G1444" s="161">
        <v>44636</v>
      </c>
      <c r="H1444" s="26" t="s">
        <v>758</v>
      </c>
      <c r="I1444" s="161">
        <v>44635</v>
      </c>
      <c r="J1444" s="35" t="s">
        <v>759</v>
      </c>
      <c r="K1444" s="21">
        <v>1573500.6</v>
      </c>
      <c r="L1444" s="21"/>
      <c r="M1444" s="22">
        <f>(PROVEEDORES[[#This Row],[SUBTOTAL]]-PROVEEDORES[[#This Row],[descuento sobre subtotal]])*VLOOKUP(PROVEEDORES[[#This Row],[PROVEEDOR]],TERCEROS_INFO[#All],3,FALSE)</f>
        <v>298965.114</v>
      </c>
      <c r="N1444" s="23"/>
      <c r="O1444" s="22">
        <f>+PROVEEDORES[[#This Row],[Descuento sobre subtotal %]]*(PROVEEDORES[[#This Row],[SUBTOTAL]]-PROVEEDORES[[#This Row],[descuento sobre subtotal]])</f>
        <v>0</v>
      </c>
      <c r="P1444" s="83">
        <f>+IF(PROVEEDORES[[#This Row],[SUBTOTAL]]&lt;PROVEEDORES[[#This Row],[base retencion]],0,PROVEEDORES[[#This Row],[retención aplicada]])</f>
        <v>2.5000000000000001E-2</v>
      </c>
      <c r="Q1444" s="22">
        <f>+PROVEEDORES[[#This Row],[Rete Fuente %]]*(PROVEEDORES[[#This Row],[SUBTOTAL]]-PROVEEDORES[[#This Row],[descuento sobre subtotal]])</f>
        <v>39337.515000000007</v>
      </c>
      <c r="R1444" s="21">
        <v>1833128.1990000003</v>
      </c>
      <c r="S14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4" s="68">
        <f ca="1">IF(PROVEEDORES[[#This Row],[FECHA DE PAGO]]=0,TODAY()-PROVEEDORES[[#This Row],[FECHA DE FACTURACIÓN]]-PROVEEDORES[[#This Row],[PLAZO Días]],0)</f>
        <v>0</v>
      </c>
      <c r="U1444" s="96" t="str">
        <f>+VLOOKUP(PROVEEDORES[[#This Row],[PROVEEDOR]],Terceros!$A:$D,4,FALSE)</f>
        <v>2,5% con base</v>
      </c>
      <c r="V1444" s="97">
        <f>+YEAR(PROVEEDORES[[#This Row],[FECHA DE FACTURACIÓN]])</f>
        <v>2022</v>
      </c>
      <c r="W1444" s="97">
        <f>+MATCH(PROVEEDORES[[#This Row],[año facturado]],Retenciones!$1:$1,0)</f>
        <v>5</v>
      </c>
      <c r="X1444" s="98">
        <f>+VLOOKUP(PROVEEDORES[[#This Row],[ID RETENCION]],Retenciones!$A$1:$O$25,PROVEEDORES[[#This Row],[indicador de columna]],FALSE)</f>
        <v>1026000</v>
      </c>
      <c r="Y1444" s="99">
        <f>+VLOOKUP(PROVEEDORES[[#This Row],[ID RETENCION]],Retenciones!$A$1:$O$25,2,FALSE)</f>
        <v>2.5000000000000001E-2</v>
      </c>
      <c r="Z1444" s="125" t="b">
        <f>OR(COUNTIF(PROVEEDORES[[#This Row],[PROVEEDOR]],"*"&amp;'Palabra no opera'!$A$2&amp;"*"))</f>
        <v>0</v>
      </c>
    </row>
    <row r="1445" spans="1:26" ht="22.2" customHeight="1" x14ac:dyDescent="0.3">
      <c r="A1445" s="66" t="str">
        <f>+IF(PROVEEDORES[[#This Row],[FECHA DE PAGO]]=PROVEEDORES[[#This Row],[FECHA DE FACTURACIÓN]],"DE CONTADO","CRÉDITO")</f>
        <v>CRÉDITO</v>
      </c>
      <c r="B1445" s="38" t="str">
        <f>+IF((PROVEEDORES[[#This Row],[FECHA DE PAGO]]-PROVEEDORES[[#This Row],[FECHA DE FACTURACIÓN]])&gt;PROVEEDORES[[#This Row],[PLAZO Días]],"PAGO VENCIDO")</f>
        <v>PAGO VENCIDO</v>
      </c>
      <c r="C1445" s="20">
        <f>+VLOOKUP(PROVEEDORES[[#This Row],[PROVEEDOR]],TERCEROS_INFO[#All],2,FALSE)</f>
        <v>30</v>
      </c>
      <c r="D1445" s="25">
        <f>+SUMIFS(PROVEEDORES[Total],PROVEEDORES[PROVEEDOR],PROVEEDORES[[#This Row],[PROVEEDOR]],PROVEEDORES[FECHA DE PAGO],"")</f>
        <v>1468491.82</v>
      </c>
      <c r="E1445" s="25"/>
      <c r="F1445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445" s="161">
        <v>44648</v>
      </c>
      <c r="H1445" s="26" t="s">
        <v>1638</v>
      </c>
      <c r="I1445" s="161">
        <v>44613</v>
      </c>
      <c r="J1445" s="35" t="s">
        <v>769</v>
      </c>
      <c r="K1445" s="21">
        <v>1575633.5</v>
      </c>
      <c r="L1445" s="21"/>
      <c r="M1445" s="22">
        <v>299370.36499999999</v>
      </c>
      <c r="N1445" s="23"/>
      <c r="O1445" s="22">
        <f>+PROVEEDORES[[#This Row],[Descuento sobre subtotal %]]*(PROVEEDORES[[#This Row],[SUBTOTAL]]-PROVEEDORES[[#This Row],[descuento sobre subtotal]])</f>
        <v>0</v>
      </c>
      <c r="P1445" s="83">
        <f>+IF(PROVEEDORES[[#This Row],[SUBTOTAL]]&lt;PROVEEDORES[[#This Row],[base retencion]],0,PROVEEDORES[[#This Row],[retención aplicada]])</f>
        <v>2.5000000000000001E-2</v>
      </c>
      <c r="Q1445" s="22">
        <f>+PROVEEDORES[[#This Row],[Rete Fuente %]]*(PROVEEDORES[[#This Row],[SUBTOTAL]]-PROVEEDORES[[#This Row],[descuento sobre subtotal]])</f>
        <v>39390.837500000001</v>
      </c>
      <c r="R1445" s="21">
        <v>1835613.0275000001</v>
      </c>
      <c r="S14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5" s="68">
        <f ca="1">IF(PROVEEDORES[[#This Row],[FECHA DE PAGO]]=0,TODAY()-PROVEEDORES[[#This Row],[FECHA DE FACTURACIÓN]]-PROVEEDORES[[#This Row],[PLAZO Días]],0)</f>
        <v>0</v>
      </c>
      <c r="U1445" s="96" t="str">
        <f>+VLOOKUP(PROVEEDORES[[#This Row],[PROVEEDOR]],Terceros!$A:$D,4,FALSE)</f>
        <v>2,5% con base</v>
      </c>
      <c r="V1445" s="97">
        <f>+YEAR(PROVEEDORES[[#This Row],[FECHA DE FACTURACIÓN]])</f>
        <v>2022</v>
      </c>
      <c r="W1445" s="97">
        <f>+MATCH(PROVEEDORES[[#This Row],[año facturado]],Retenciones!$1:$1,0)</f>
        <v>5</v>
      </c>
      <c r="X1445" s="98">
        <f>+VLOOKUP(PROVEEDORES[[#This Row],[ID RETENCION]],Retenciones!$A$1:$O$25,PROVEEDORES[[#This Row],[indicador de columna]],FALSE)</f>
        <v>1026000</v>
      </c>
      <c r="Y1445" s="99">
        <f>+VLOOKUP(PROVEEDORES[[#This Row],[ID RETENCION]],Retenciones!$A$1:$O$25,2,FALSE)</f>
        <v>2.5000000000000001E-2</v>
      </c>
      <c r="Z1445" s="125" t="b">
        <f>OR(COUNTIF(PROVEEDORES[[#This Row],[PROVEEDOR]],"*"&amp;'Palabra no opera'!$A$2&amp;"*"))</f>
        <v>0</v>
      </c>
    </row>
    <row r="1446" spans="1:26" ht="22.2" customHeight="1" x14ac:dyDescent="0.3">
      <c r="A1446" s="66" t="str">
        <f>+IF(PROVEEDORES[[#This Row],[FECHA DE PAGO]]=PROVEEDORES[[#This Row],[FECHA DE FACTURACIÓN]],"DE CONTADO","CRÉDITO")</f>
        <v>CRÉDITO</v>
      </c>
      <c r="B1446" s="38" t="str">
        <f>+IF((PROVEEDORES[[#This Row],[FECHA DE PAGO]]-PROVEEDORES[[#This Row],[FECHA DE FACTURACIÓN]])&gt;PROVEEDORES[[#This Row],[PLAZO Días]],"PAGO VENCIDO")</f>
        <v>PAGO VENCIDO</v>
      </c>
      <c r="C1446" s="20">
        <f>+VLOOKUP(PROVEEDORES[[#This Row],[PROVEEDOR]],TERCEROS_INFO[#All],2,FALSE)</f>
        <v>30</v>
      </c>
      <c r="D1446" s="25">
        <f>+SUMIFS(PROVEEDORES[Total],PROVEEDORES[PROVEEDOR],PROVEEDORES[[#This Row],[PROVEEDOR]],PROVEEDORES[FECHA DE PAGO],"")</f>
        <v>1333437.8400000001</v>
      </c>
      <c r="E1446" s="25"/>
      <c r="F144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446" s="161">
        <v>44461</v>
      </c>
      <c r="H1446" s="26" t="s">
        <v>905</v>
      </c>
      <c r="I1446" s="161">
        <v>44414</v>
      </c>
      <c r="J1446" s="35" t="s">
        <v>413</v>
      </c>
      <c r="K1446" s="21">
        <v>1545262</v>
      </c>
      <c r="L1446" s="21"/>
      <c r="M1446" s="22">
        <f>(PROVEEDORES[[#This Row],[SUBTOTAL]]-PROVEEDORES[[#This Row],[descuento sobre subtotal]])*VLOOKUP(PROVEEDORES[[#This Row],[PROVEEDOR]],TERCEROS_INFO[#All],3,FALSE)</f>
        <v>293599.78000000003</v>
      </c>
      <c r="N1446" s="23"/>
      <c r="O1446" s="22">
        <f>+PROVEEDORES[[#This Row],[Descuento sobre subtotal %]]*(PROVEEDORES[[#This Row],[SUBTOTAL]]-PROVEEDORES[[#This Row],[descuento sobre subtotal]])</f>
        <v>0</v>
      </c>
      <c r="P1446" s="83">
        <f>+IF(PROVEEDORES[[#This Row],[SUBTOTAL]]&lt;PROVEEDORES[[#This Row],[base retencion]],0,PROVEEDORES[[#This Row],[retención aplicada]])</f>
        <v>0</v>
      </c>
      <c r="Q1446" s="22">
        <f>+PROVEEDORES[[#This Row],[Rete Fuente %]]*(PROVEEDORES[[#This Row],[SUBTOTAL]]-PROVEEDORES[[#This Row],[descuento sobre subtotal]])</f>
        <v>0</v>
      </c>
      <c r="R1446" s="21">
        <f>+PROVEEDORES[[#This Row],[SUBTOTAL]]+PROVEEDORES[[#This Row],[IVA 19%]]-PROVEEDORES[[#This Row],[descuento sobre subtotal]]-PROVEEDORES[[#This Row],[Descuento sobre subtotal $2]]-PROVEEDORES[[#This Row],[Rete Fuente $]]</f>
        <v>1838861.78</v>
      </c>
      <c r="S14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6" s="68">
        <f ca="1">IF(PROVEEDORES[[#This Row],[FECHA DE PAGO]]=0,TODAY()-PROVEEDORES[[#This Row],[FECHA DE FACTURACIÓN]]-PROVEEDORES[[#This Row],[PLAZO Días]],0)</f>
        <v>0</v>
      </c>
      <c r="U1446" s="96">
        <f>+VLOOKUP(PROVEEDORES[[#This Row],[PROVEEDOR]],Terceros!$A:$D,4,FALSE)</f>
        <v>0</v>
      </c>
      <c r="V1446" s="97">
        <f>+YEAR(PROVEEDORES[[#This Row],[FECHA DE FACTURACIÓN]])</f>
        <v>2021</v>
      </c>
      <c r="W1446" s="97">
        <f>+MATCH(PROVEEDORES[[#This Row],[año facturado]],Retenciones!$1:$1,0)</f>
        <v>4</v>
      </c>
      <c r="X1446" s="98">
        <f>+VLOOKUP(PROVEEDORES[[#This Row],[ID RETENCION]],Retenciones!$A$1:$O$25,PROVEEDORES[[#This Row],[indicador de columna]],FALSE)</f>
        <v>0</v>
      </c>
      <c r="Y1446" s="99">
        <f>+VLOOKUP(PROVEEDORES[[#This Row],[ID RETENCION]],Retenciones!$A$1:$O$25,2,FALSE)</f>
        <v>0</v>
      </c>
      <c r="Z1446" s="125" t="b">
        <f>OR(COUNTIF(PROVEEDORES[[#This Row],[PROVEEDOR]],"*"&amp;'Palabra no opera'!$A$2&amp;"*"))</f>
        <v>1</v>
      </c>
    </row>
    <row r="1447" spans="1:26" ht="22.2" customHeight="1" x14ac:dyDescent="0.3">
      <c r="A1447" s="66" t="str">
        <f>+IF(PROVEEDORES[[#This Row],[FECHA DE PAGO]]=PROVEEDORES[[#This Row],[FECHA DE FACTURACIÓN]],"DE CONTADO","CRÉDITO")</f>
        <v>CRÉDITO</v>
      </c>
      <c r="B1447" s="38" t="str">
        <f>+IF((PROVEEDORES[[#This Row],[FECHA DE PAGO]]-PROVEEDORES[[#This Row],[FECHA DE FACTURACIÓN]])&gt;PROVEEDORES[[#This Row],[PLAZO Días]],"PAGO VENCIDO")</f>
        <v>PAGO VENCIDO</v>
      </c>
      <c r="C1447" s="20">
        <f>+VLOOKUP(PROVEEDORES[[#This Row],[PROVEEDOR]],TERCEROS_INFO[#All],2,FALSE)</f>
        <v>45</v>
      </c>
      <c r="D1447" s="25">
        <f>+SUMIFS(PROVEEDORES[Total],PROVEEDORES[PROVEEDOR],PROVEEDORES[[#This Row],[PROVEEDOR]],PROVEEDORES[FECHA DE PAGO],"")</f>
        <v>2604910</v>
      </c>
      <c r="E1447" s="25"/>
      <c r="F144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47" s="161">
        <v>44418</v>
      </c>
      <c r="H1447" s="26" t="s">
        <v>10</v>
      </c>
      <c r="I1447" s="161">
        <v>44363</v>
      </c>
      <c r="J1447" s="35" t="s">
        <v>356</v>
      </c>
      <c r="K1447" s="21">
        <v>1550000</v>
      </c>
      <c r="L1447" s="21"/>
      <c r="M1447" s="22">
        <f>(PROVEEDORES[[#This Row],[SUBTOTAL]]-PROVEEDORES[[#This Row],[descuento sobre subtotal]])*VLOOKUP(PROVEEDORES[[#This Row],[PROVEEDOR]],TERCEROS_INFO[#All],3,FALSE)</f>
        <v>294500</v>
      </c>
      <c r="N1447" s="23"/>
      <c r="O1447" s="22">
        <f>+PROVEEDORES[[#This Row],[Descuento sobre subtotal %]]*(PROVEEDORES[[#This Row],[SUBTOTAL]]-PROVEEDORES[[#This Row],[descuento sobre subtotal]])</f>
        <v>0</v>
      </c>
      <c r="P1447" s="83">
        <f>+IF(PROVEEDORES[[#This Row],[SUBTOTAL]]&lt;PROVEEDORES[[#This Row],[base retencion]],0,PROVEEDORES[[#This Row],[retención aplicada]])</f>
        <v>0</v>
      </c>
      <c r="Q1447" s="22">
        <f>+PROVEEDORES[[#This Row],[Rete Fuente %]]*(PROVEEDORES[[#This Row],[SUBTOTAL]]-PROVEEDORES[[#This Row],[descuento sobre subtotal]])</f>
        <v>0</v>
      </c>
      <c r="R1447" s="21">
        <f>+PROVEEDORES[[#This Row],[SUBTOTAL]]+PROVEEDORES[[#This Row],[IVA 19%]]-PROVEEDORES[[#This Row],[descuento sobre subtotal]]-PROVEEDORES[[#This Row],[Descuento sobre subtotal $2]]-PROVEEDORES[[#This Row],[Rete Fuente $]]</f>
        <v>1844500</v>
      </c>
      <c r="S14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7" s="68">
        <f ca="1">IF(PROVEEDORES[[#This Row],[FECHA DE PAGO]]=0,TODAY()-PROVEEDORES[[#This Row],[FECHA DE FACTURACIÓN]]-PROVEEDORES[[#This Row],[PLAZO Días]],0)</f>
        <v>0</v>
      </c>
      <c r="U1447" s="96">
        <f>+VLOOKUP(PROVEEDORES[[#This Row],[PROVEEDOR]],Terceros!$A:$D,4,FALSE)</f>
        <v>0</v>
      </c>
      <c r="V1447" s="97">
        <f>+YEAR(PROVEEDORES[[#This Row],[FECHA DE FACTURACIÓN]])</f>
        <v>2021</v>
      </c>
      <c r="W1447" s="97">
        <f>+MATCH(PROVEEDORES[[#This Row],[año facturado]],Retenciones!$1:$1,0)</f>
        <v>4</v>
      </c>
      <c r="X1447" s="98">
        <f>+VLOOKUP(PROVEEDORES[[#This Row],[ID RETENCION]],Retenciones!$A$1:$O$25,PROVEEDORES[[#This Row],[indicador de columna]],FALSE)</f>
        <v>0</v>
      </c>
      <c r="Y1447" s="99">
        <f>+VLOOKUP(PROVEEDORES[[#This Row],[ID RETENCION]],Retenciones!$A$1:$O$25,2,FALSE)</f>
        <v>0</v>
      </c>
      <c r="Z1447" s="125" t="b">
        <f>OR(COUNTIF(PROVEEDORES[[#This Row],[PROVEEDOR]],"*"&amp;'Palabra no opera'!$A$2&amp;"*"))</f>
        <v>0</v>
      </c>
    </row>
    <row r="1448" spans="1:26" ht="22.2" customHeight="1" x14ac:dyDescent="0.3">
      <c r="A1448" s="66" t="str">
        <f>+IF(PROVEEDORES[[#This Row],[FECHA DE PAGO]]=PROVEEDORES[[#This Row],[FECHA DE FACTURACIÓN]],"DE CONTADO","CRÉDITO")</f>
        <v>DE CONTADO</v>
      </c>
      <c r="B1448" s="38" t="b">
        <f>+IF((PROVEEDORES[[#This Row],[FECHA DE PAGO]]-PROVEEDORES[[#This Row],[FECHA DE FACTURACIÓN]])&gt;PROVEEDORES[[#This Row],[PLAZO Días]],"PAGO VENCIDO")</f>
        <v>0</v>
      </c>
      <c r="C1448" s="20">
        <f>+VLOOKUP(PROVEEDORES[[#This Row],[PROVEEDOR]],TERCEROS_INFO[#All],2,FALSE)</f>
        <v>30</v>
      </c>
      <c r="D1448" s="25">
        <f>+SUMIFS(PROVEEDORES[Total],PROVEEDORES[PROVEEDOR],PROVEEDORES[[#This Row],[PROVEEDOR]],PROVEEDORES[FECHA DE PAGO],"")</f>
        <v>3430770</v>
      </c>
      <c r="E1448" s="25"/>
      <c r="F144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48" s="161">
        <v>44222</v>
      </c>
      <c r="H1448" s="26" t="s">
        <v>1448</v>
      </c>
      <c r="I1448" s="161">
        <v>44222</v>
      </c>
      <c r="J1448" s="35" t="s">
        <v>1185</v>
      </c>
      <c r="K1448" s="21">
        <v>1587200</v>
      </c>
      <c r="L1448" s="21"/>
      <c r="M1448" s="22">
        <f>(PROVEEDORES[[#This Row],[SUBTOTAL]]-PROVEEDORES[[#This Row],[descuento sobre subtotal]])*VLOOKUP(PROVEEDORES[[#This Row],[PROVEEDOR]],TERCEROS_INFO[#All],3,FALSE)</f>
        <v>301568</v>
      </c>
      <c r="N1448" s="23"/>
      <c r="O1448" s="22">
        <f>+PROVEEDORES[[#This Row],[Descuento sobre subtotal %]]*(PROVEEDORES[[#This Row],[SUBTOTAL]]-PROVEEDORES[[#This Row],[descuento sobre subtotal]])</f>
        <v>0</v>
      </c>
      <c r="P1448" s="83">
        <v>2.5000000000000001E-2</v>
      </c>
      <c r="Q1448" s="22">
        <f>+PROVEEDORES[[#This Row],[Rete Fuente %]]*(PROVEEDORES[[#This Row],[SUBTOTAL]]-PROVEEDORES[[#This Row],[descuento sobre subtotal]])</f>
        <v>39680</v>
      </c>
      <c r="R1448" s="21">
        <f>+PROVEEDORES[[#This Row],[SUBTOTAL]]+PROVEEDORES[[#This Row],[IVA 19%]]-PROVEEDORES[[#This Row],[descuento sobre subtotal]]-PROVEEDORES[[#This Row],[Descuento sobre subtotal $2]]-PROVEEDORES[[#This Row],[Rete Fuente $]]</f>
        <v>1849088</v>
      </c>
      <c r="S14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8" s="68">
        <f ca="1">IF(PROVEEDORES[[#This Row],[FECHA DE PAGO]]=0,TODAY()-PROVEEDORES[[#This Row],[FECHA DE FACTURACIÓN]]-PROVEEDORES[[#This Row],[PLAZO Días]],0)</f>
        <v>0</v>
      </c>
      <c r="U1448" s="96">
        <f>+VLOOKUP(PROVEEDORES[[#This Row],[PROVEEDOR]],Terceros!$A:$D,4,FALSE)</f>
        <v>0</v>
      </c>
      <c r="V1448" s="97">
        <f>+YEAR(PROVEEDORES[[#This Row],[FECHA DE FACTURACIÓN]])</f>
        <v>2021</v>
      </c>
      <c r="W1448" s="97">
        <f>+MATCH(PROVEEDORES[[#This Row],[año facturado]],Retenciones!$1:$1,0)</f>
        <v>4</v>
      </c>
      <c r="X1448" s="98">
        <f>+VLOOKUP(PROVEEDORES[[#This Row],[ID RETENCION]],Retenciones!$A$1:$O$25,PROVEEDORES[[#This Row],[indicador de columna]],FALSE)</f>
        <v>0</v>
      </c>
      <c r="Y1448" s="99">
        <f>+VLOOKUP(PROVEEDORES[[#This Row],[ID RETENCION]],Retenciones!$A$1:$O$25,2,FALSE)</f>
        <v>0</v>
      </c>
      <c r="Z1448" s="125" t="b">
        <f>OR(COUNTIF(PROVEEDORES[[#This Row],[PROVEEDOR]],"*"&amp;'Palabra no opera'!$A$2&amp;"*"))</f>
        <v>0</v>
      </c>
    </row>
    <row r="1449" spans="1:26" ht="22.2" customHeight="1" x14ac:dyDescent="0.3">
      <c r="A1449" s="66" t="str">
        <f>+IF(PROVEEDORES[[#This Row],[FECHA DE PAGO]]=PROVEEDORES[[#This Row],[FECHA DE FACTURACIÓN]],"DE CONTADO","CRÉDITO")</f>
        <v>CRÉDITO</v>
      </c>
      <c r="B1449" s="38" t="b">
        <f>+IF((PROVEEDORES[[#This Row],[FECHA DE PAGO]]-PROVEEDORES[[#This Row],[FECHA DE FACTURACIÓN]])&gt;PROVEEDORES[[#This Row],[PLAZO Días]],"PAGO VENCIDO")</f>
        <v>0</v>
      </c>
      <c r="C1449" s="20">
        <f>+VLOOKUP(PROVEEDORES[[#This Row],[PROVEEDOR]],TERCEROS_INFO[#All],2,FALSE)</f>
        <v>30</v>
      </c>
      <c r="D1449" s="25">
        <f>+SUMIFS(PROVEEDORES[Total],PROVEEDORES[PROVEEDOR],PROVEEDORES[[#This Row],[PROVEEDOR]],PROVEEDORES[FECHA DE PAGO],"")</f>
        <v>0</v>
      </c>
      <c r="E1449" s="25"/>
      <c r="F1449" s="58" t="str">
        <f>+VLOOKUP(PROVEEDORES[[#This Row],[PROVEEDOR]],
                       Terceros!$A:$F,
                       5,
                       FALSE)</f>
        <v/>
      </c>
      <c r="G1449" s="161">
        <v>44622</v>
      </c>
      <c r="H1449" s="26" t="s">
        <v>638</v>
      </c>
      <c r="I1449" s="161">
        <v>44621</v>
      </c>
      <c r="J1449" s="35" t="s">
        <v>640</v>
      </c>
      <c r="K1449" s="21">
        <v>1850000</v>
      </c>
      <c r="L1449" s="21"/>
      <c r="M1449" s="22">
        <f>(PROVEEDORES[[#This Row],[SUBTOTAL]]-PROVEEDORES[[#This Row],[descuento sobre subtotal]])*VLOOKUP(PROVEEDORES[[#This Row],[PROVEEDOR]],TERCEROS_INFO[#All],3,FALSE)</f>
        <v>0</v>
      </c>
      <c r="N1449" s="23"/>
      <c r="O1449" s="22">
        <f>+PROVEEDORES[[#This Row],[Descuento sobre subtotal %]]*(PROVEEDORES[[#This Row],[SUBTOTAL]]-PROVEEDORES[[#This Row],[descuento sobre subtotal]])</f>
        <v>0</v>
      </c>
      <c r="P1449" s="83">
        <f>+IF(PROVEEDORES[[#This Row],[SUBTOTAL]]&lt;PROVEEDORES[[#This Row],[base retencion]],0,PROVEEDORES[[#This Row],[retención aplicada]])</f>
        <v>0</v>
      </c>
      <c r="Q1449" s="22">
        <f>+PROVEEDORES[[#This Row],[Rete Fuente %]]*(PROVEEDORES[[#This Row],[SUBTOTAL]]-PROVEEDORES[[#This Row],[descuento sobre subtotal]])</f>
        <v>0</v>
      </c>
      <c r="R1449" s="21">
        <v>1850000</v>
      </c>
      <c r="S14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9" s="68">
        <f ca="1">IF(PROVEEDORES[[#This Row],[FECHA DE PAGO]]=0,TODAY()-PROVEEDORES[[#This Row],[FECHA DE FACTURACIÓN]]-PROVEEDORES[[#This Row],[PLAZO Días]],0)</f>
        <v>0</v>
      </c>
      <c r="U1449" s="96">
        <f>+VLOOKUP(PROVEEDORES[[#This Row],[PROVEEDOR]],Terceros!$A:$D,4,FALSE)</f>
        <v>0</v>
      </c>
      <c r="V1449" s="97">
        <f>+YEAR(PROVEEDORES[[#This Row],[FECHA DE FACTURACIÓN]])</f>
        <v>2022</v>
      </c>
      <c r="W1449" s="97">
        <f>+MATCH(PROVEEDORES[[#This Row],[año facturado]],Retenciones!$1:$1,0)</f>
        <v>5</v>
      </c>
      <c r="X1449" s="98">
        <f>+VLOOKUP(PROVEEDORES[[#This Row],[ID RETENCION]],Retenciones!$A$1:$O$25,PROVEEDORES[[#This Row],[indicador de columna]],FALSE)</f>
        <v>0</v>
      </c>
      <c r="Y1449" s="99">
        <f>+VLOOKUP(PROVEEDORES[[#This Row],[ID RETENCION]],Retenciones!$A$1:$O$25,2,FALSE)</f>
        <v>0</v>
      </c>
      <c r="Z1449" s="125" t="b">
        <f>OR(COUNTIF(PROVEEDORES[[#This Row],[PROVEEDOR]],"*"&amp;'Palabra no opera'!$A$2&amp;"*"))</f>
        <v>0</v>
      </c>
    </row>
    <row r="1450" spans="1:26" ht="22.2" customHeight="1" x14ac:dyDescent="0.3">
      <c r="A1450" s="120" t="str">
        <f>+IF(PROVEEDORES[[#This Row],[FECHA DE PAGO]]=PROVEEDORES[[#This Row],[FECHA DE FACTURACIÓN]],"DE CONTADO","CRÉDITO")</f>
        <v>CRÉDITO</v>
      </c>
      <c r="B1450" s="38" t="str">
        <f>+IF((PROVEEDORES[[#This Row],[FECHA DE PAGO]]-PROVEEDORES[[#This Row],[FECHA DE FACTURACIÓN]])&gt;PROVEEDORES[[#This Row],[PLAZO Días]],"PAGO VENCIDO")</f>
        <v>PAGO VENCIDO</v>
      </c>
      <c r="C1450" s="20">
        <f>+VLOOKUP(PROVEEDORES[[#This Row],[PROVEEDOR]],TERCEROS_INFO[#All],2,FALSE)</f>
        <v>30</v>
      </c>
      <c r="D1450" s="25">
        <f>+SUMIFS(PROVEEDORES[Total],PROVEEDORES[PROVEEDOR],PROVEEDORES[[#This Row],[PROVEEDOR]],PROVEEDORES[FECHA DE PAGO],"")</f>
        <v>3236000</v>
      </c>
      <c r="E1450" s="25"/>
      <c r="F145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50" s="161">
        <v>44687</v>
      </c>
      <c r="H1450" s="26" t="s">
        <v>677</v>
      </c>
      <c r="I1450" s="161">
        <v>44623</v>
      </c>
      <c r="J1450" s="35" t="s">
        <v>1576</v>
      </c>
      <c r="K1450" s="21">
        <v>1850000</v>
      </c>
      <c r="L1450" s="21"/>
      <c r="M1450" s="22">
        <f>(PROVEEDORES[[#This Row],[SUBTOTAL]]-PROVEEDORES[[#This Row],[descuento sobre subtotal]])*VLOOKUP(PROVEEDORES[[#This Row],[PROVEEDOR]],TERCEROS_INFO[#All],3,FALSE)</f>
        <v>0</v>
      </c>
      <c r="N1450" s="23"/>
      <c r="O1450" s="22">
        <f>+PROVEEDORES[[#This Row],[Descuento sobre subtotal %]]*(PROVEEDORES[[#This Row],[SUBTOTAL]]-PROVEEDORES[[#This Row],[descuento sobre subtotal]])</f>
        <v>0</v>
      </c>
      <c r="P1450" s="83">
        <f>+IF(PROVEEDORES[[#This Row],[SUBTOTAL]]&lt;PROVEEDORES[[#This Row],[base retencion]],0,PROVEEDORES[[#This Row],[retención aplicada]])</f>
        <v>0</v>
      </c>
      <c r="Q1450" s="22">
        <f>+PROVEEDORES[[#This Row],[Rete Fuente %]]*(PROVEEDORES[[#This Row],[SUBTOTAL]]-PROVEEDORES[[#This Row],[descuento sobre subtotal]])</f>
        <v>0</v>
      </c>
      <c r="R1450" s="21">
        <f>+PROVEEDORES[[#This Row],[SUBTOTAL]]+PROVEEDORES[[#This Row],[IVA 19%]]-PROVEEDORES[[#This Row],[descuento sobre subtotal]]-PROVEEDORES[[#This Row],[Descuento sobre subtotal $2]]-PROVEEDORES[[#This Row],[Rete Fuente $]]</f>
        <v>1850000</v>
      </c>
      <c r="S14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0" s="68">
        <f ca="1">IF(PROVEEDORES[[#This Row],[FECHA DE PAGO]]=0,TODAY()-PROVEEDORES[[#This Row],[FECHA DE FACTURACIÓN]]-PROVEEDORES[[#This Row],[PLAZO Días]],0)</f>
        <v>0</v>
      </c>
      <c r="U1450" s="113">
        <f>+VLOOKUP(PROVEEDORES[[#This Row],[PROVEEDOR]],Terceros!$A:$D,4,FALSE)</f>
        <v>0</v>
      </c>
      <c r="V1450" s="114">
        <f>+YEAR(PROVEEDORES[[#This Row],[FECHA DE FACTURACIÓN]])</f>
        <v>2022</v>
      </c>
      <c r="W1450" s="114">
        <f>+MATCH(PROVEEDORES[[#This Row],[año facturado]],Retenciones!$1:$1,0)</f>
        <v>5</v>
      </c>
      <c r="X1450" s="115">
        <f>+VLOOKUP(PROVEEDORES[[#This Row],[ID RETENCION]],Retenciones!$A$1:$O$25,PROVEEDORES[[#This Row],[indicador de columna]],FALSE)</f>
        <v>0</v>
      </c>
      <c r="Y1450" s="116">
        <f>+VLOOKUP(PROVEEDORES[[#This Row],[ID RETENCION]],Retenciones!$A$1:$O$25,2,FALSE)</f>
        <v>0</v>
      </c>
      <c r="Z1450" s="125" t="b">
        <f>OR(COUNTIF(PROVEEDORES[[#This Row],[PROVEEDOR]],"*"&amp;'Palabra no opera'!$A$2&amp;"*"))</f>
        <v>0</v>
      </c>
    </row>
    <row r="1451" spans="1:26" ht="22.2" customHeight="1" x14ac:dyDescent="0.3">
      <c r="A1451" s="72" t="str">
        <f>+IF(PROVEEDORES[[#This Row],[FECHA DE PAGO]]=PROVEEDORES[[#This Row],[FECHA DE FACTURACIÓN]],"DE CONTADO","CRÉDITO")</f>
        <v>CRÉDITO</v>
      </c>
      <c r="B1451" s="38" t="b">
        <f>+IF((PROVEEDORES[[#This Row],[FECHA DE PAGO]]-PROVEEDORES[[#This Row],[FECHA DE FACTURACIÓN]])&gt;PROVEEDORES[[#This Row],[PLAZO Días]],"PAGO VENCIDO")</f>
        <v>0</v>
      </c>
      <c r="C1451" s="20">
        <f>+VLOOKUP(PROVEEDORES[[#This Row],[PROVEEDOR]],TERCEROS_INFO[#All],2,FALSE)</f>
        <v>30</v>
      </c>
      <c r="D1451" s="25">
        <f>+SUMIFS(PROVEEDORES[Total],PROVEEDORES[PROVEEDOR],PROVEEDORES[[#This Row],[PROVEEDOR]],PROVEEDORES[FECHA DE PAGO],"")</f>
        <v>1851000</v>
      </c>
      <c r="E1451" s="25"/>
      <c r="F1451" s="58">
        <f>+VLOOKUP(PROVEEDORES[[#This Row],[PROVEEDOR]],
                       Terceros!$A:$F,
                       5,
                       FALSE)</f>
        <v>0</v>
      </c>
      <c r="H1451" s="26" t="s">
        <v>1807</v>
      </c>
      <c r="I1451" s="161">
        <v>44866</v>
      </c>
      <c r="J1451" s="271" t="s">
        <v>1808</v>
      </c>
      <c r="K1451" s="21">
        <v>1851000</v>
      </c>
      <c r="L1451" s="21"/>
      <c r="M1451" s="22">
        <f>(PROVEEDORES[[#This Row],[SUBTOTAL]]-PROVEEDORES[[#This Row],[descuento sobre subtotal]])*VLOOKUP(PROVEEDORES[[#This Row],[PROVEEDOR]],TERCEROS_INFO[#All],3,FALSE)</f>
        <v>0</v>
      </c>
      <c r="N1451" s="23"/>
      <c r="O1451" s="22">
        <f>+PROVEEDORES[[#This Row],[Descuento sobre subtotal %]]*(PROVEEDORES[[#This Row],[SUBTOTAL]]-PROVEEDORES[[#This Row],[descuento sobre subtotal]])</f>
        <v>0</v>
      </c>
      <c r="P1451" s="83">
        <f>+IF(PROVEEDORES[[#This Row],[SUBTOTAL]]&lt;PROVEEDORES[[#This Row],[base retencion]],0,PROVEEDORES[[#This Row],[retención aplicada]])</f>
        <v>0</v>
      </c>
      <c r="Q1451" s="22">
        <f>+PROVEEDORES[[#This Row],[Rete Fuente %]]*(PROVEEDORES[[#This Row],[SUBTOTAL]]-PROVEEDORES[[#This Row],[descuento sobre subtotal]])</f>
        <v>0</v>
      </c>
      <c r="R1451" s="21">
        <f>+PROVEEDORES[[#This Row],[SUBTOTAL]]+PROVEEDORES[[#This Row],[IVA 19%]]-PROVEEDORES[[#This Row],[descuento sobre subtotal]]-PROVEEDORES[[#This Row],[Descuento sobre subtotal $2]]-PROVEEDORES[[#This Row],[Rete Fuente $]]</f>
        <v>1851000</v>
      </c>
      <c r="S1451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51" s="68">
        <f ca="1">IF(PROVEEDORES[[#This Row],[FECHA DE PAGO]]=0,TODAY()-PROVEEDORES[[#This Row],[FECHA DE FACTURACIÓN]]-PROVEEDORES[[#This Row],[PLAZO Días]],0)</f>
        <v>-21</v>
      </c>
      <c r="U1451" s="113">
        <f>+VLOOKUP(PROVEEDORES[[#This Row],[PROVEEDOR]],Terceros!$A:$D,4,FALSE)</f>
        <v>0</v>
      </c>
      <c r="V1451" s="114">
        <f>+YEAR(PROVEEDORES[[#This Row],[FECHA DE FACTURACIÓN]])</f>
        <v>2022</v>
      </c>
      <c r="W1451" s="114">
        <f>+MATCH(PROVEEDORES[[#This Row],[año facturado]],Retenciones!$1:$1,0)</f>
        <v>5</v>
      </c>
      <c r="X1451" s="115">
        <f>+VLOOKUP(PROVEEDORES[[#This Row],[ID RETENCION]],Retenciones!$A$1:$O$25,PROVEEDORES[[#This Row],[indicador de columna]],FALSE)</f>
        <v>0</v>
      </c>
      <c r="Y1451" s="116">
        <f>+VLOOKUP(PROVEEDORES[[#This Row],[ID RETENCION]],Retenciones!$A$1:$O$25,2,FALSE)</f>
        <v>0</v>
      </c>
      <c r="Z1451" s="125" t="b">
        <f>OR(COUNTIF(PROVEEDORES[[#This Row],[PROVEEDOR]],"*"&amp;'Palabra no opera'!$A$2&amp;"*"))</f>
        <v>0</v>
      </c>
    </row>
    <row r="1452" spans="1:26" ht="22.2" customHeight="1" x14ac:dyDescent="0.3">
      <c r="A1452" s="66" t="str">
        <f>+IF(PROVEEDORES[[#This Row],[FECHA DE PAGO]]=PROVEEDORES[[#This Row],[FECHA DE FACTURACIÓN]],"DE CONTADO","CRÉDITO")</f>
        <v>CRÉDITO</v>
      </c>
      <c r="B1452" s="38" t="str">
        <f>+IF((PROVEEDORES[[#This Row],[FECHA DE PAGO]]-PROVEEDORES[[#This Row],[FECHA DE FACTURACIÓN]])&gt;PROVEEDORES[[#This Row],[PLAZO Días]],"PAGO VENCIDO")</f>
        <v>PAGO VENCIDO</v>
      </c>
      <c r="C1452" s="20">
        <f>+VLOOKUP(PROVEEDORES[[#This Row],[PROVEEDOR]],TERCEROS_INFO[#All],2,FALSE)</f>
        <v>30</v>
      </c>
      <c r="D1452" s="25">
        <f>+SUMIFS(PROVEEDORES[Total],PROVEEDORES[PROVEEDOR],PROVEEDORES[[#This Row],[PROVEEDOR]],PROVEEDORES[FECHA DE PAGO],"")</f>
        <v>0</v>
      </c>
      <c r="E1452" s="25"/>
      <c r="F145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52" s="161">
        <v>44635</v>
      </c>
      <c r="H1452" s="26" t="s">
        <v>20</v>
      </c>
      <c r="I1452" s="161">
        <v>44588</v>
      </c>
      <c r="J1452" s="35">
        <v>6152</v>
      </c>
      <c r="K1452" s="21">
        <v>1591200</v>
      </c>
      <c r="L1452" s="21"/>
      <c r="M1452" s="22">
        <v>302328</v>
      </c>
      <c r="N1452" s="23"/>
      <c r="O1452" s="22">
        <v>0</v>
      </c>
      <c r="P1452" s="83">
        <f>+IF(PROVEEDORES[[#This Row],[SUBTOTAL]]&lt;PROVEEDORES[[#This Row],[base retencion]],0,PROVEEDORES[[#This Row],[retención aplicada]])</f>
        <v>2.5000000000000001E-2</v>
      </c>
      <c r="Q1452" s="22">
        <f>+PROVEEDORES[[#This Row],[Rete Fuente %]]*(PROVEEDORES[[#This Row],[SUBTOTAL]]-PROVEEDORES[[#This Row],[descuento sobre subtotal]])</f>
        <v>39780</v>
      </c>
      <c r="R1452" s="21">
        <v>1853748</v>
      </c>
      <c r="S14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2" s="68">
        <f ca="1">IF(PROVEEDORES[[#This Row],[FECHA DE PAGO]]=0,TODAY()-PROVEEDORES[[#This Row],[FECHA DE FACTURACIÓN]]-PROVEEDORES[[#This Row],[PLAZO Días]],0)</f>
        <v>0</v>
      </c>
      <c r="U1452" s="96" t="str">
        <f>+VLOOKUP(PROVEEDORES[[#This Row],[PROVEEDOR]],Terceros!$A:$D,4,FALSE)</f>
        <v>2,5% con base</v>
      </c>
      <c r="V1452" s="97">
        <f>+YEAR(PROVEEDORES[[#This Row],[FECHA DE FACTURACIÓN]])</f>
        <v>2022</v>
      </c>
      <c r="W1452" s="97">
        <f>+MATCH(PROVEEDORES[[#This Row],[año facturado]],Retenciones!$1:$1,0)</f>
        <v>5</v>
      </c>
      <c r="X1452" s="98">
        <f>+VLOOKUP(PROVEEDORES[[#This Row],[ID RETENCION]],Retenciones!$A$1:$O$25,PROVEEDORES[[#This Row],[indicador de columna]],FALSE)</f>
        <v>1026000</v>
      </c>
      <c r="Y1452" s="99">
        <f>+VLOOKUP(PROVEEDORES[[#This Row],[ID RETENCION]],Retenciones!$A$1:$O$25,2,FALSE)</f>
        <v>2.5000000000000001E-2</v>
      </c>
      <c r="Z1452" s="125" t="b">
        <f>OR(COUNTIF(PROVEEDORES[[#This Row],[PROVEEDOR]],"*"&amp;'Palabra no opera'!$A$2&amp;"*"))</f>
        <v>0</v>
      </c>
    </row>
    <row r="1453" spans="1:26" ht="22.2" customHeight="1" x14ac:dyDescent="0.3">
      <c r="A1453" s="66" t="str">
        <f>+IF(PROVEEDORES[[#This Row],[FECHA DE PAGO]]=PROVEEDORES[[#This Row],[FECHA DE FACTURACIÓN]],"DE CONTADO","CRÉDITO")</f>
        <v>CRÉDITO</v>
      </c>
      <c r="B1453" s="38" t="str">
        <f>+IF((PROVEEDORES[[#This Row],[FECHA DE PAGO]]-PROVEEDORES[[#This Row],[FECHA DE FACTURACIÓN]])&gt;PROVEEDORES[[#This Row],[PLAZO Días]],"PAGO VENCIDO")</f>
        <v>PAGO VENCIDO</v>
      </c>
      <c r="C1453" s="20">
        <f>+VLOOKUP(PROVEEDORES[[#This Row],[PROVEEDOR]],TERCEROS_INFO[#All],2,FALSE)</f>
        <v>30</v>
      </c>
      <c r="D1453" s="25">
        <f>+SUMIFS(PROVEEDORES[Total],PROVEEDORES[PROVEEDOR],PROVEEDORES[[#This Row],[PROVEEDOR]],PROVEEDORES[FECHA DE PAGO],"")</f>
        <v>0</v>
      </c>
      <c r="E1453" s="25"/>
      <c r="F1453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453" s="161">
        <v>44403</v>
      </c>
      <c r="H1453" s="26" t="s">
        <v>65</v>
      </c>
      <c r="I1453" s="161">
        <v>44368</v>
      </c>
      <c r="J1453" s="35">
        <v>66</v>
      </c>
      <c r="K1453" s="21">
        <v>1592437</v>
      </c>
      <c r="L1453" s="21"/>
      <c r="M1453" s="22">
        <f>(PROVEEDORES[[#This Row],[SUBTOTAL]]-PROVEEDORES[[#This Row],[descuento sobre subtotal]])*VLOOKUP(PROVEEDORES[[#This Row],[PROVEEDOR]],TERCEROS_INFO[#All],3,FALSE)</f>
        <v>302563.03000000003</v>
      </c>
      <c r="N1453" s="23"/>
      <c r="O1453" s="22">
        <f>+PROVEEDORES[[#This Row],[Descuento sobre subtotal %]]*(PROVEEDORES[[#This Row],[SUBTOTAL]]-PROVEEDORES[[#This Row],[descuento sobre subtotal]])</f>
        <v>0</v>
      </c>
      <c r="P1453" s="83">
        <f>+IF(PROVEEDORES[[#This Row],[SUBTOTAL]]&lt;PROVEEDORES[[#This Row],[base retencion]],0,PROVEEDORES[[#This Row],[retención aplicada]])</f>
        <v>2.5000000000000001E-2</v>
      </c>
      <c r="Q1453" s="22">
        <f>+PROVEEDORES[[#This Row],[Rete Fuente %]]*(PROVEEDORES[[#This Row],[SUBTOTAL]]-PROVEEDORES[[#This Row],[descuento sobre subtotal]])</f>
        <v>39810.925000000003</v>
      </c>
      <c r="R1453" s="21">
        <f>+PROVEEDORES[[#This Row],[SUBTOTAL]]+PROVEEDORES[[#This Row],[IVA 19%]]-PROVEEDORES[[#This Row],[descuento sobre subtotal]]-PROVEEDORES[[#This Row],[Descuento sobre subtotal $2]]-PROVEEDORES[[#This Row],[Rete Fuente $]]</f>
        <v>1855189.105</v>
      </c>
      <c r="S14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3" s="68">
        <f ca="1">IF(PROVEEDORES[[#This Row],[FECHA DE PAGO]]=0,TODAY()-PROVEEDORES[[#This Row],[FECHA DE FACTURACIÓN]]-PROVEEDORES[[#This Row],[PLAZO Días]],0)</f>
        <v>0</v>
      </c>
      <c r="U1453" s="96" t="str">
        <f>+VLOOKUP(PROVEEDORES[[#This Row],[PROVEEDOR]],Terceros!$A:$D,4,FALSE)</f>
        <v>2,5% con base</v>
      </c>
      <c r="V1453" s="97">
        <f>+YEAR(PROVEEDORES[[#This Row],[FECHA DE FACTURACIÓN]])</f>
        <v>2021</v>
      </c>
      <c r="W1453" s="97">
        <f>+MATCH(PROVEEDORES[[#This Row],[año facturado]],Retenciones!$1:$1,0)</f>
        <v>4</v>
      </c>
      <c r="X1453" s="98">
        <f>+VLOOKUP(PROVEEDORES[[#This Row],[ID RETENCION]],Retenciones!$A$1:$O$25,PROVEEDORES[[#This Row],[indicador de columna]],FALSE)</f>
        <v>980000</v>
      </c>
      <c r="Y1453" s="99">
        <f>+VLOOKUP(PROVEEDORES[[#This Row],[ID RETENCION]],Retenciones!$A$1:$O$25,2,FALSE)</f>
        <v>2.5000000000000001E-2</v>
      </c>
      <c r="Z1453" s="125" t="b">
        <f>OR(COUNTIF(PROVEEDORES[[#This Row],[PROVEEDOR]],"*"&amp;'Palabra no opera'!$A$2&amp;"*"))</f>
        <v>0</v>
      </c>
    </row>
    <row r="1454" spans="1:26" ht="22.2" customHeight="1" x14ac:dyDescent="0.3">
      <c r="A1454" s="66" t="str">
        <f>+IF(PROVEEDORES[[#This Row],[FECHA DE PAGO]]=PROVEEDORES[[#This Row],[FECHA DE FACTURACIÓN]],"DE CONTADO","CRÉDITO")</f>
        <v>CRÉDITO</v>
      </c>
      <c r="B1454" s="38" t="str">
        <f>+IF((PROVEEDORES[[#This Row],[FECHA DE PAGO]]-PROVEEDORES[[#This Row],[FECHA DE FACTURACIÓN]])&gt;PROVEEDORES[[#This Row],[PLAZO Días]],"PAGO VENCIDO")</f>
        <v>PAGO VENCIDO</v>
      </c>
      <c r="C1454" s="20">
        <f>+VLOOKUP(PROVEEDORES[[#This Row],[PROVEEDOR]],TERCEROS_INFO[#All],2,FALSE)</f>
        <v>30</v>
      </c>
      <c r="D1454" s="25">
        <f>+SUMIFS(PROVEEDORES[Total],PROVEEDORES[PROVEEDOR],PROVEEDORES[[#This Row],[PROVEEDOR]],PROVEEDORES[FECHA DE PAGO],"")</f>
        <v>23124164.219999999</v>
      </c>
      <c r="E1454" s="25"/>
      <c r="F145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54" s="161">
        <v>44517</v>
      </c>
      <c r="H1454" s="26" t="s">
        <v>18</v>
      </c>
      <c r="I1454" s="161">
        <v>44467</v>
      </c>
      <c r="J1454" s="35">
        <v>1043661</v>
      </c>
      <c r="K1454" s="21">
        <v>1593286.4</v>
      </c>
      <c r="L1454" s="21"/>
      <c r="M1454" s="22">
        <f>(PROVEEDORES[[#This Row],[SUBTOTAL]]-PROVEEDORES[[#This Row],[descuento sobre subtotal]])*VLOOKUP(PROVEEDORES[[#This Row],[PROVEEDOR]],TERCEROS_INFO[#All],3,FALSE)</f>
        <v>302724.41599999997</v>
      </c>
      <c r="N1454" s="23"/>
      <c r="O1454" s="22">
        <f>+PROVEEDORES[[#This Row],[Descuento sobre subtotal %]]*(PROVEEDORES[[#This Row],[SUBTOTAL]]-PROVEEDORES[[#This Row],[descuento sobre subtotal]])</f>
        <v>0</v>
      </c>
      <c r="P1454" s="83">
        <f>+IF(PROVEEDORES[[#This Row],[SUBTOTAL]]&lt;PROVEEDORES[[#This Row],[base retencion]],0,PROVEEDORES[[#This Row],[retención aplicada]])</f>
        <v>2.5000000000000001E-2</v>
      </c>
      <c r="Q1454" s="22">
        <f>+PROVEEDORES[[#This Row],[Rete Fuente %]]*(PROVEEDORES[[#This Row],[SUBTOTAL]]-PROVEEDORES[[#This Row],[descuento sobre subtotal]])</f>
        <v>39832.160000000003</v>
      </c>
      <c r="R1454" s="21">
        <f>+PROVEEDORES[[#This Row],[SUBTOTAL]]+PROVEEDORES[[#This Row],[IVA 19%]]-PROVEEDORES[[#This Row],[descuento sobre subtotal]]-PROVEEDORES[[#This Row],[Descuento sobre subtotal $2]]-PROVEEDORES[[#This Row],[Rete Fuente $]]</f>
        <v>1856178.656</v>
      </c>
      <c r="S14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4" s="68">
        <f ca="1">IF(PROVEEDORES[[#This Row],[FECHA DE PAGO]]=0,TODAY()-PROVEEDORES[[#This Row],[FECHA DE FACTURACIÓN]]-PROVEEDORES[[#This Row],[PLAZO Días]],0)</f>
        <v>0</v>
      </c>
      <c r="U1454" s="96" t="str">
        <f>+VLOOKUP(PROVEEDORES[[#This Row],[PROVEEDOR]],Terceros!$A:$D,4,FALSE)</f>
        <v>2,5% con base</v>
      </c>
      <c r="V1454" s="97">
        <f>+YEAR(PROVEEDORES[[#This Row],[FECHA DE FACTURACIÓN]])</f>
        <v>2021</v>
      </c>
      <c r="W1454" s="97">
        <f>+MATCH(PROVEEDORES[[#This Row],[año facturado]],Retenciones!$1:$1,0)</f>
        <v>4</v>
      </c>
      <c r="X1454" s="98">
        <f>+VLOOKUP(PROVEEDORES[[#This Row],[ID RETENCION]],Retenciones!$A$1:$O$25,PROVEEDORES[[#This Row],[indicador de columna]],FALSE)</f>
        <v>980000</v>
      </c>
      <c r="Y1454" s="99">
        <f>+VLOOKUP(PROVEEDORES[[#This Row],[ID RETENCION]],Retenciones!$A$1:$O$25,2,FALSE)</f>
        <v>2.5000000000000001E-2</v>
      </c>
      <c r="Z1454" s="125" t="b">
        <f>OR(COUNTIF(PROVEEDORES[[#This Row],[PROVEEDOR]],"*"&amp;'Palabra no opera'!$A$2&amp;"*"))</f>
        <v>0</v>
      </c>
    </row>
    <row r="1455" spans="1:26" ht="22.2" customHeight="1" x14ac:dyDescent="0.3">
      <c r="A1455" s="72" t="str">
        <f>+IF(PROVEEDORES[[#This Row],[FECHA DE PAGO]]=PROVEEDORES[[#This Row],[FECHA DE FACTURACIÓN]],"DE CONTADO","CRÉDITO")</f>
        <v>DE CONTADO</v>
      </c>
      <c r="B1455" s="38" t="b">
        <f>+IF((PROVEEDORES[[#This Row],[FECHA DE PAGO]]-PROVEEDORES[[#This Row],[FECHA DE FACTURACIÓN]])&gt;PROVEEDORES[[#This Row],[PLAZO Días]],"PAGO VENCIDO")</f>
        <v>0</v>
      </c>
      <c r="C1455" s="20">
        <f>+VLOOKUP(PROVEEDORES[[#This Row],[PROVEEDOR]],TERCEROS_INFO[#All],2,FALSE)</f>
        <v>30</v>
      </c>
      <c r="D1455" s="25">
        <f>+SUMIFS(PROVEEDORES[Total],PROVEEDORES[PROVEEDOR],PROVEEDORES[[#This Row],[PROVEEDOR]],PROVEEDORES[FECHA DE PAGO],"")</f>
        <v>0</v>
      </c>
      <c r="E1455" s="25"/>
      <c r="F1455" s="58" t="str">
        <f>+VLOOKUP(PROVEEDORES[[#This Row],[PROVEEDOR]],
                       Terceros!$A:$F,
                       5,
                       FALSE)</f>
        <v/>
      </c>
      <c r="G1455" s="161">
        <v>44742</v>
      </c>
      <c r="H1455" s="26" t="s">
        <v>644</v>
      </c>
      <c r="I1455" s="161">
        <v>44742</v>
      </c>
      <c r="J1455" s="35" t="s">
        <v>595</v>
      </c>
      <c r="K1455" s="21">
        <v>1859600</v>
      </c>
      <c r="L1455" s="21"/>
      <c r="M1455" s="22">
        <f>(PROVEEDORES[[#This Row],[SUBTOTAL]]-PROVEEDORES[[#This Row],[descuento sobre subtotal]])*VLOOKUP(PROVEEDORES[[#This Row],[PROVEEDOR]],TERCEROS_INFO[#All],3,FALSE)</f>
        <v>0</v>
      </c>
      <c r="N1455" s="23"/>
      <c r="O1455" s="22">
        <f>+PROVEEDORES[[#This Row],[Descuento sobre subtotal %]]*(PROVEEDORES[[#This Row],[SUBTOTAL]]-PROVEEDORES[[#This Row],[descuento sobre subtotal]])</f>
        <v>0</v>
      </c>
      <c r="P1455" s="83">
        <f>+IF(PROVEEDORES[[#This Row],[SUBTOTAL]]&lt;PROVEEDORES[[#This Row],[base retencion]],0,PROVEEDORES[[#This Row],[retención aplicada]])</f>
        <v>0</v>
      </c>
      <c r="Q1455" s="22">
        <f>+PROVEEDORES[[#This Row],[Rete Fuente %]]*(PROVEEDORES[[#This Row],[SUBTOTAL]]-PROVEEDORES[[#This Row],[descuento sobre subtotal]])</f>
        <v>0</v>
      </c>
      <c r="R1455" s="21">
        <f>+PROVEEDORES[[#This Row],[SUBTOTAL]]+PROVEEDORES[[#This Row],[IVA 19%]]-PROVEEDORES[[#This Row],[descuento sobre subtotal]]-PROVEEDORES[[#This Row],[Descuento sobre subtotal $2]]-PROVEEDORES[[#This Row],[Rete Fuente $]]</f>
        <v>1859600</v>
      </c>
      <c r="S145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5" s="68">
        <f ca="1">IF(PROVEEDORES[[#This Row],[FECHA DE PAGO]]=0,TODAY()-PROVEEDORES[[#This Row],[FECHA DE FACTURACIÓN]]-PROVEEDORES[[#This Row],[PLAZO Días]],0)</f>
        <v>0</v>
      </c>
      <c r="U1455" s="113">
        <f>+VLOOKUP(PROVEEDORES[[#This Row],[PROVEEDOR]],Terceros!$A:$D,4,FALSE)</f>
        <v>0</v>
      </c>
      <c r="V1455" s="114">
        <f>+YEAR(PROVEEDORES[[#This Row],[FECHA DE FACTURACIÓN]])</f>
        <v>2022</v>
      </c>
      <c r="W1455" s="114">
        <f>+MATCH(PROVEEDORES[[#This Row],[año facturado]],Retenciones!$1:$1,0)</f>
        <v>5</v>
      </c>
      <c r="X1455" s="115">
        <f>+VLOOKUP(PROVEEDORES[[#This Row],[ID RETENCION]],Retenciones!$A$1:$O$25,PROVEEDORES[[#This Row],[indicador de columna]],FALSE)</f>
        <v>0</v>
      </c>
      <c r="Y1455" s="116">
        <f>+VLOOKUP(PROVEEDORES[[#This Row],[ID RETENCION]],Retenciones!$A$1:$O$25,2,FALSE)</f>
        <v>0</v>
      </c>
      <c r="Z1455" s="125" t="b">
        <f>OR(COUNTIF(PROVEEDORES[[#This Row],[PROVEEDOR]],"*"&amp;'Palabra no opera'!$A$2&amp;"*"))</f>
        <v>0</v>
      </c>
    </row>
    <row r="1456" spans="1:26" ht="22.2" customHeight="1" x14ac:dyDescent="0.3">
      <c r="A1456" s="66" t="str">
        <f>+IF(PROVEEDORES[[#This Row],[FECHA DE PAGO]]=PROVEEDORES[[#This Row],[FECHA DE FACTURACIÓN]],"DE CONTADO","CRÉDITO")</f>
        <v>CRÉDITO</v>
      </c>
      <c r="B1456" s="38" t="b">
        <f>+IF((PROVEEDORES[[#This Row],[FECHA DE PAGO]]-PROVEEDORES[[#This Row],[FECHA DE FACTURACIÓN]])&gt;PROVEEDORES[[#This Row],[PLAZO Días]],"PAGO VENCIDO")</f>
        <v>0</v>
      </c>
      <c r="C1456" s="20">
        <f>+VLOOKUP(PROVEEDORES[[#This Row],[PROVEEDOR]],TERCEROS_INFO[#All],2,FALSE)</f>
        <v>30</v>
      </c>
      <c r="D1456" s="25">
        <f>+SUMIFS(PROVEEDORES[Total],PROVEEDORES[PROVEEDOR],PROVEEDORES[[#This Row],[PROVEEDOR]],PROVEEDORES[FECHA DE PAGO],"")</f>
        <v>0</v>
      </c>
      <c r="E1456" s="25"/>
      <c r="F1456" s="58" t="str">
        <f>+VLOOKUP(PROVEEDORES[[#This Row],[PROVEEDOR]],
                       Terceros!$A:$F,
                       5,
                       FALSE)</f>
        <v/>
      </c>
      <c r="G1456" s="161">
        <v>44379</v>
      </c>
      <c r="H1456" s="26" t="s">
        <v>53</v>
      </c>
      <c r="I1456" s="161">
        <v>44378</v>
      </c>
      <c r="J1456" s="35" t="s">
        <v>375</v>
      </c>
      <c r="K1456" s="21">
        <v>1860000</v>
      </c>
      <c r="L1456" s="21"/>
      <c r="M1456" s="22">
        <f>(PROVEEDORES[[#This Row],[SUBTOTAL]]-PROVEEDORES[[#This Row],[descuento sobre subtotal]])*VLOOKUP(PROVEEDORES[[#This Row],[PROVEEDOR]],TERCEROS_INFO[#All],3,FALSE)</f>
        <v>0</v>
      </c>
      <c r="N1456" s="23"/>
      <c r="O1456" s="22">
        <f>+PROVEEDORES[[#This Row],[Descuento sobre subtotal %]]*(PROVEEDORES[[#This Row],[SUBTOTAL]]-PROVEEDORES[[#This Row],[descuento sobre subtotal]])</f>
        <v>0</v>
      </c>
      <c r="P1456" s="83">
        <f>+IF(PROVEEDORES[[#This Row],[SUBTOTAL]]&lt;PROVEEDORES[[#This Row],[base retencion]],0,PROVEEDORES[[#This Row],[retención aplicada]])</f>
        <v>0</v>
      </c>
      <c r="Q1456" s="22">
        <f>+PROVEEDORES[[#This Row],[Rete Fuente %]]*(PROVEEDORES[[#This Row],[SUBTOTAL]]-PROVEEDORES[[#This Row],[descuento sobre subtotal]])</f>
        <v>0</v>
      </c>
      <c r="R1456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14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6" s="68">
        <f ca="1">IF(PROVEEDORES[[#This Row],[FECHA DE PAGO]]=0,TODAY()-PROVEEDORES[[#This Row],[FECHA DE FACTURACIÓN]]-PROVEEDORES[[#This Row],[PLAZO Días]],0)</f>
        <v>0</v>
      </c>
      <c r="U1456" s="96">
        <f>+VLOOKUP(PROVEEDORES[[#This Row],[PROVEEDOR]],Terceros!$A:$D,4,FALSE)</f>
        <v>0</v>
      </c>
      <c r="V1456" s="97">
        <f>+YEAR(PROVEEDORES[[#This Row],[FECHA DE FACTURACIÓN]])</f>
        <v>2021</v>
      </c>
      <c r="W1456" s="97">
        <f>+MATCH(PROVEEDORES[[#This Row],[año facturado]],Retenciones!$1:$1,0)</f>
        <v>4</v>
      </c>
      <c r="X1456" s="98">
        <f>+VLOOKUP(PROVEEDORES[[#This Row],[ID RETENCION]],Retenciones!$A$1:$O$25,PROVEEDORES[[#This Row],[indicador de columna]],FALSE)</f>
        <v>0</v>
      </c>
      <c r="Y1456" s="99">
        <f>+VLOOKUP(PROVEEDORES[[#This Row],[ID RETENCION]],Retenciones!$A$1:$O$25,2,FALSE)</f>
        <v>0</v>
      </c>
      <c r="Z1456" s="125" t="b">
        <f>OR(COUNTIF(PROVEEDORES[[#This Row],[PROVEEDOR]],"*"&amp;'Palabra no opera'!$A$2&amp;"*"))</f>
        <v>0</v>
      </c>
    </row>
    <row r="1457" spans="1:26" ht="22.2" customHeight="1" x14ac:dyDescent="0.3">
      <c r="A1457" s="135" t="str">
        <f>+IF(PROVEEDORES[[#This Row],[FECHA DE PAGO]]=PROVEEDORES[[#This Row],[FECHA DE FACTURACIÓN]],"DE CONTADO","CRÉDITO")</f>
        <v>CRÉDITO</v>
      </c>
      <c r="B1457" s="38" t="str">
        <f>+IF((PROVEEDORES[[#This Row],[FECHA DE PAGO]]-PROVEEDORES[[#This Row],[FECHA DE FACTURACIÓN]])&gt;PROVEEDORES[[#This Row],[PLAZO Días]],"PAGO VENCIDO")</f>
        <v>PAGO VENCIDO</v>
      </c>
      <c r="C1457" s="20">
        <f>+VLOOKUP(PROVEEDORES[[#This Row],[PROVEEDOR]],TERCEROS_INFO[#All],2,FALSE)</f>
        <v>30</v>
      </c>
      <c r="D1457" s="25">
        <f>+SUMIFS(PROVEEDORES[Total],PROVEEDORES[PROVEEDOR],PROVEEDORES[[#This Row],[PROVEEDOR]],PROVEEDORES[FECHA DE PAGO],"")</f>
        <v>2318500</v>
      </c>
      <c r="E1457" s="25"/>
      <c r="F1457" s="58" t="str">
        <f>+VLOOKUP(PROVEEDORES[[#This Row],[PROVEEDOR]],
                       Terceros!$A:$F,
                       5,
                       FALSE)</f>
        <v/>
      </c>
      <c r="G1457" s="161">
        <v>44741</v>
      </c>
      <c r="H1457" s="26" t="s">
        <v>629</v>
      </c>
      <c r="I1457" s="161">
        <v>44690</v>
      </c>
      <c r="J1457" s="35" t="s">
        <v>963</v>
      </c>
      <c r="K1457" s="21">
        <v>1860000</v>
      </c>
      <c r="L1457" s="21"/>
      <c r="M1457" s="22">
        <f>(PROVEEDORES[[#This Row],[SUBTOTAL]]-PROVEEDORES[[#This Row],[descuento sobre subtotal]])*VLOOKUP(PROVEEDORES[[#This Row],[PROVEEDOR]],TERCEROS_INFO[#All],3,FALSE)</f>
        <v>0</v>
      </c>
      <c r="N1457" s="23"/>
      <c r="O1457" s="22">
        <f>+PROVEEDORES[[#This Row],[Descuento sobre subtotal %]]*(PROVEEDORES[[#This Row],[SUBTOTAL]]-PROVEEDORES[[#This Row],[descuento sobre subtotal]])</f>
        <v>0</v>
      </c>
      <c r="P1457" s="83">
        <f>+IF(PROVEEDORES[[#This Row],[SUBTOTAL]]&lt;PROVEEDORES[[#This Row],[base retencion]],0,PROVEEDORES[[#This Row],[retención aplicada]])</f>
        <v>0</v>
      </c>
      <c r="Q1457" s="22">
        <f>+PROVEEDORES[[#This Row],[Rete Fuente %]]*(PROVEEDORES[[#This Row],[SUBTOTAL]]-PROVEEDORES[[#This Row],[descuento sobre subtotal]])</f>
        <v>0</v>
      </c>
      <c r="R1457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1457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7" s="68">
        <f ca="1">IF(PROVEEDORES[[#This Row],[FECHA DE PAGO]]=0,TODAY()-PROVEEDORES[[#This Row],[FECHA DE FACTURACIÓN]]-PROVEEDORES[[#This Row],[PLAZO Días]],0)</f>
        <v>0</v>
      </c>
      <c r="U1457" s="113">
        <f>+VLOOKUP(PROVEEDORES[[#This Row],[PROVEEDOR]],Terceros!$A:$D,4,FALSE)</f>
        <v>0</v>
      </c>
      <c r="V1457" s="114">
        <f>+YEAR(PROVEEDORES[[#This Row],[FECHA DE FACTURACIÓN]])</f>
        <v>2022</v>
      </c>
      <c r="W1457" s="114">
        <f>+MATCH(PROVEEDORES[[#This Row],[año facturado]],Retenciones!$1:$1,0)</f>
        <v>5</v>
      </c>
      <c r="X1457" s="115">
        <f>+VLOOKUP(PROVEEDORES[[#This Row],[ID RETENCION]],Retenciones!$A$1:$O$25,PROVEEDORES[[#This Row],[indicador de columna]],FALSE)</f>
        <v>0</v>
      </c>
      <c r="Y1457" s="116">
        <f>+VLOOKUP(PROVEEDORES[[#This Row],[ID RETENCION]],Retenciones!$A$1:$O$25,2,FALSE)</f>
        <v>0</v>
      </c>
      <c r="Z1457" s="125" t="b">
        <f>OR(COUNTIF(PROVEEDORES[[#This Row],[PROVEEDOR]],"*"&amp;'Palabra no opera'!$A$2&amp;"*"))</f>
        <v>0</v>
      </c>
    </row>
    <row r="1458" spans="1:26" ht="22.2" customHeight="1" x14ac:dyDescent="0.3">
      <c r="A1458" s="66" t="str">
        <f>+IF(PROVEEDORES[[#This Row],[FECHA DE PAGO]]=PROVEEDORES[[#This Row],[FECHA DE FACTURACIÓN]],"DE CONTADO","CRÉDITO")</f>
        <v>DE CONTADO</v>
      </c>
      <c r="B1458" s="38" t="b">
        <f>+IF((PROVEEDORES[[#This Row],[FECHA DE PAGO]]-PROVEEDORES[[#This Row],[FECHA DE FACTURACIÓN]])&gt;PROVEEDORES[[#This Row],[PLAZO Días]],"PAGO VENCIDO")</f>
        <v>0</v>
      </c>
      <c r="C1458" s="20">
        <f>+VLOOKUP(PROVEEDORES[[#This Row],[PROVEEDOR]],TERCEROS_INFO[#All],2,FALSE)</f>
        <v>30</v>
      </c>
      <c r="D1458" s="25">
        <f>+SUMIFS(PROVEEDORES[Total],PROVEEDORES[PROVEEDOR],PROVEEDORES[[#This Row],[PROVEEDOR]],PROVEEDORES[FECHA DE PAGO],"")</f>
        <v>0</v>
      </c>
      <c r="E1458" s="25"/>
      <c r="F1458" s="58">
        <f>+VLOOKUP(PROVEEDORES[[#This Row],[PROVEEDOR]],
                       Terceros!$A:$F,
                       5,
                       FALSE)</f>
        <v>0</v>
      </c>
      <c r="G1458" s="161">
        <v>44438</v>
      </c>
      <c r="H1458" s="26" t="s">
        <v>445</v>
      </c>
      <c r="I1458" s="161">
        <v>44438</v>
      </c>
      <c r="J1458" s="35" t="s">
        <v>446</v>
      </c>
      <c r="K1458" s="21">
        <v>1608000</v>
      </c>
      <c r="L1458" s="21"/>
      <c r="M1458" s="22">
        <f>(PROVEEDORES[[#This Row],[SUBTOTAL]]-PROVEEDORES[[#This Row],[descuento sobre subtotal]])*VLOOKUP(PROVEEDORES[[#This Row],[PROVEEDOR]],TERCEROS_INFO[#All],3,FALSE)</f>
        <v>305520</v>
      </c>
      <c r="N1458" s="23"/>
      <c r="O1458" s="22">
        <f>+PROVEEDORES[[#This Row],[Descuento sobre subtotal %]]*(PROVEEDORES[[#This Row],[SUBTOTAL]]-PROVEEDORES[[#This Row],[descuento sobre subtotal]])</f>
        <v>0</v>
      </c>
      <c r="P1458" s="83">
        <f>+IF(PROVEEDORES[[#This Row],[SUBTOTAL]]&lt;PROVEEDORES[[#This Row],[base retencion]],0,PROVEEDORES[[#This Row],[retención aplicada]])</f>
        <v>2.5000000000000001E-2</v>
      </c>
      <c r="Q1458" s="22">
        <f>+PROVEEDORES[[#This Row],[Rete Fuente %]]*(PROVEEDORES[[#This Row],[SUBTOTAL]]-PROVEEDORES[[#This Row],[descuento sobre subtotal]])</f>
        <v>40200</v>
      </c>
      <c r="R1458" s="21">
        <f>+PROVEEDORES[[#This Row],[SUBTOTAL]]+PROVEEDORES[[#This Row],[IVA 19%]]-PROVEEDORES[[#This Row],[descuento sobre subtotal]]-PROVEEDORES[[#This Row],[Descuento sobre subtotal $2]]-PROVEEDORES[[#This Row],[Rete Fuente $]]</f>
        <v>1873320</v>
      </c>
      <c r="S14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8" s="68">
        <f ca="1">IF(PROVEEDORES[[#This Row],[FECHA DE PAGO]]=0,TODAY()-PROVEEDORES[[#This Row],[FECHA DE FACTURACIÓN]]-PROVEEDORES[[#This Row],[PLAZO Días]],0)</f>
        <v>0</v>
      </c>
      <c r="U1458" s="96" t="str">
        <f>+VLOOKUP(PROVEEDORES[[#This Row],[PROVEEDOR]],Terceros!$A:$D,4,FALSE)</f>
        <v>2,5% con base</v>
      </c>
      <c r="V1458" s="97">
        <f>+YEAR(PROVEEDORES[[#This Row],[FECHA DE FACTURACIÓN]])</f>
        <v>2021</v>
      </c>
      <c r="W1458" s="97">
        <f>+MATCH(PROVEEDORES[[#This Row],[año facturado]],Retenciones!$1:$1,0)</f>
        <v>4</v>
      </c>
      <c r="X1458" s="98">
        <f>+VLOOKUP(PROVEEDORES[[#This Row],[ID RETENCION]],Retenciones!$A$1:$O$25,PROVEEDORES[[#This Row],[indicador de columna]],FALSE)</f>
        <v>980000</v>
      </c>
      <c r="Y1458" s="99">
        <f>+VLOOKUP(PROVEEDORES[[#This Row],[ID RETENCION]],Retenciones!$A$1:$O$25,2,FALSE)</f>
        <v>2.5000000000000001E-2</v>
      </c>
      <c r="Z1458" s="125" t="b">
        <f>OR(COUNTIF(PROVEEDORES[[#This Row],[PROVEEDOR]],"*"&amp;'Palabra no opera'!$A$2&amp;"*"))</f>
        <v>0</v>
      </c>
    </row>
    <row r="1459" spans="1:26" ht="22.2" customHeight="1" x14ac:dyDescent="0.3">
      <c r="A1459" s="66" t="str">
        <f>+IF(PROVEEDORES[[#This Row],[FECHA DE PAGO]]=PROVEEDORES[[#This Row],[FECHA DE FACTURACIÓN]],"DE CONTADO","CRÉDITO")</f>
        <v>CRÉDITO</v>
      </c>
      <c r="B1459" s="38" t="b">
        <f>+IF((PROVEEDORES[[#This Row],[FECHA DE PAGO]]-PROVEEDORES[[#This Row],[FECHA DE FACTURACIÓN]])&gt;PROVEEDORES[[#This Row],[PLAZO Días]],"PAGO VENCIDO")</f>
        <v>0</v>
      </c>
      <c r="C1459" s="20">
        <f>+VLOOKUP(PROVEEDORES[[#This Row],[PROVEEDOR]],TERCEROS_INFO[#All],2,FALSE)</f>
        <v>30</v>
      </c>
      <c r="D1459" s="25">
        <f>+SUMIFS(PROVEEDORES[Total],PROVEEDORES[PROVEEDOR],PROVEEDORES[[#This Row],[PROVEEDOR]],PROVEEDORES[FECHA DE PAGO],"")</f>
        <v>0</v>
      </c>
      <c r="E1459" s="25"/>
      <c r="F1459" s="58">
        <f>+VLOOKUP(PROVEEDORES[[#This Row],[PROVEEDOR]],
                       Terceros!$A:$F,
                       5,
                       FALSE)</f>
        <v>0</v>
      </c>
      <c r="G1459" s="161">
        <v>44588</v>
      </c>
      <c r="H1459" s="26" t="s">
        <v>403</v>
      </c>
      <c r="I1459" s="161">
        <v>44587</v>
      </c>
      <c r="J1459" s="35">
        <v>130713</v>
      </c>
      <c r="K1459" s="21">
        <v>1874000</v>
      </c>
      <c r="L1459" s="21"/>
      <c r="M1459" s="22">
        <f>(PROVEEDORES[[#This Row],[SUBTOTAL]]-PROVEEDORES[[#This Row],[descuento sobre subtotal]])*VLOOKUP(PROVEEDORES[[#This Row],[PROVEEDOR]],TERCEROS_INFO[#All],3,FALSE)</f>
        <v>0</v>
      </c>
      <c r="N1459" s="23"/>
      <c r="O1459" s="22">
        <f>+PROVEEDORES[[#This Row],[Descuento sobre subtotal %]]*(PROVEEDORES[[#This Row],[SUBTOTAL]]-PROVEEDORES[[#This Row],[descuento sobre subtotal]])</f>
        <v>0</v>
      </c>
      <c r="P1459" s="83">
        <f>+IF(PROVEEDORES[[#This Row],[SUBTOTAL]]&lt;PROVEEDORES[[#This Row],[base retencion]],0,PROVEEDORES[[#This Row],[retención aplicada]])</f>
        <v>0</v>
      </c>
      <c r="Q1459" s="22">
        <f>+PROVEEDORES[[#This Row],[Rete Fuente %]]*(PROVEEDORES[[#This Row],[SUBTOTAL]]-PROVEEDORES[[#This Row],[descuento sobre subtotal]])</f>
        <v>0</v>
      </c>
      <c r="R1459" s="21">
        <v>1874000</v>
      </c>
      <c r="S145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9" s="68">
        <f ca="1">IF(PROVEEDORES[[#This Row],[FECHA DE PAGO]]=0,TODAY()-PROVEEDORES[[#This Row],[FECHA DE FACTURACIÓN]]-PROVEEDORES[[#This Row],[PLAZO Días]],0)</f>
        <v>0</v>
      </c>
      <c r="U1459" s="96">
        <f>+VLOOKUP(PROVEEDORES[[#This Row],[PROVEEDOR]],Terceros!$A:$D,4,FALSE)</f>
        <v>0</v>
      </c>
      <c r="V1459" s="97">
        <f>+YEAR(PROVEEDORES[[#This Row],[FECHA DE FACTURACIÓN]])</f>
        <v>2022</v>
      </c>
      <c r="W1459" s="97">
        <f>+MATCH(PROVEEDORES[[#This Row],[año facturado]],Retenciones!$1:$1,0)</f>
        <v>5</v>
      </c>
      <c r="X1459" s="98">
        <f>+VLOOKUP(PROVEEDORES[[#This Row],[ID RETENCION]],Retenciones!$A$1:$O$25,PROVEEDORES[[#This Row],[indicador de columna]],FALSE)</f>
        <v>0</v>
      </c>
      <c r="Y1459" s="99">
        <f>+VLOOKUP(PROVEEDORES[[#This Row],[ID RETENCION]],Retenciones!$A$1:$O$25,2,FALSE)</f>
        <v>0</v>
      </c>
      <c r="Z1459" s="125" t="b">
        <f>OR(COUNTIF(PROVEEDORES[[#This Row],[PROVEEDOR]],"*"&amp;'Palabra no opera'!$A$2&amp;"*"))</f>
        <v>0</v>
      </c>
    </row>
    <row r="1460" spans="1:26" ht="22.2" customHeight="1" x14ac:dyDescent="0.3">
      <c r="A1460" s="66" t="str">
        <f>+IF(PROVEEDORES[[#This Row],[FECHA DE PAGO]]=PROVEEDORES[[#This Row],[FECHA DE FACTURACIÓN]],"DE CONTADO","CRÉDITO")</f>
        <v>CRÉDITO</v>
      </c>
      <c r="B1460" s="38" t="str">
        <f>+IF((PROVEEDORES[[#This Row],[FECHA DE PAGO]]-PROVEEDORES[[#This Row],[FECHA DE FACTURACIÓN]])&gt;PROVEEDORES[[#This Row],[PLAZO Días]],"PAGO VENCIDO")</f>
        <v>PAGO VENCIDO</v>
      </c>
      <c r="C1460" s="20">
        <f>+VLOOKUP(PROVEEDORES[[#This Row],[PROVEEDOR]],TERCEROS_INFO[#All],2,FALSE)</f>
        <v>30</v>
      </c>
      <c r="D1460" s="25">
        <f>+SUMIFS(PROVEEDORES[Total],PROVEEDORES[PROVEEDOR],PROVEEDORES[[#This Row],[PROVEEDOR]],PROVEEDORES[FECHA DE PAGO],"")</f>
        <v>1127400.05</v>
      </c>
      <c r="E1460" s="25"/>
      <c r="F1460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460" s="161">
        <v>44644</v>
      </c>
      <c r="H1460" s="26" t="s">
        <v>47</v>
      </c>
      <c r="I1460" s="161">
        <v>44592</v>
      </c>
      <c r="J1460" s="35" t="s">
        <v>735</v>
      </c>
      <c r="K1460" s="21">
        <v>1609330</v>
      </c>
      <c r="L1460" s="21"/>
      <c r="M1460" s="22">
        <f>(PROVEEDORES[[#This Row],[SUBTOTAL]]-PROVEEDORES[[#This Row],[descuento sobre subtotal]])*VLOOKUP(PROVEEDORES[[#This Row],[PROVEEDOR]],TERCEROS_INFO[#All],3,FALSE)</f>
        <v>305772.7</v>
      </c>
      <c r="N1460" s="23"/>
      <c r="O1460" s="22">
        <f>+PROVEEDORES[[#This Row],[Descuento sobre subtotal %]]*(PROVEEDORES[[#This Row],[SUBTOTAL]]-PROVEEDORES[[#This Row],[descuento sobre subtotal]])</f>
        <v>0</v>
      </c>
      <c r="P1460" s="83">
        <f>+IF(PROVEEDORES[[#This Row],[SUBTOTAL]]&lt;PROVEEDORES[[#This Row],[base retencion]],0,PROVEEDORES[[#This Row],[retención aplicada]])</f>
        <v>2.5000000000000001E-2</v>
      </c>
      <c r="Q1460" s="22">
        <f>+PROVEEDORES[[#This Row],[Rete Fuente %]]*(PROVEEDORES[[#This Row],[SUBTOTAL]]-PROVEEDORES[[#This Row],[descuento sobre subtotal]])</f>
        <v>40233.25</v>
      </c>
      <c r="R1460" s="21">
        <v>1874869.45</v>
      </c>
      <c r="S14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0" s="68">
        <f ca="1">IF(PROVEEDORES[[#This Row],[FECHA DE PAGO]]=0,TODAY()-PROVEEDORES[[#This Row],[FECHA DE FACTURACIÓN]]-PROVEEDORES[[#This Row],[PLAZO Días]],0)</f>
        <v>0</v>
      </c>
      <c r="U1460" s="96" t="str">
        <f>+VLOOKUP(PROVEEDORES[[#This Row],[PROVEEDOR]],Terceros!$A:$D,4,FALSE)</f>
        <v>2,5% con base</v>
      </c>
      <c r="V1460" s="97">
        <f>+YEAR(PROVEEDORES[[#This Row],[FECHA DE FACTURACIÓN]])</f>
        <v>2022</v>
      </c>
      <c r="W1460" s="97">
        <f>+MATCH(PROVEEDORES[[#This Row],[año facturado]],Retenciones!$1:$1,0)</f>
        <v>5</v>
      </c>
      <c r="X1460" s="98">
        <f>+VLOOKUP(PROVEEDORES[[#This Row],[ID RETENCION]],Retenciones!$A$1:$O$25,PROVEEDORES[[#This Row],[indicador de columna]],FALSE)</f>
        <v>1026000</v>
      </c>
      <c r="Y1460" s="99">
        <f>+VLOOKUP(PROVEEDORES[[#This Row],[ID RETENCION]],Retenciones!$A$1:$O$25,2,FALSE)</f>
        <v>2.5000000000000001E-2</v>
      </c>
      <c r="Z1460" s="125" t="b">
        <f>OR(COUNTIF(PROVEEDORES[[#This Row],[PROVEEDOR]],"*"&amp;'Palabra no opera'!$A$2&amp;"*"))</f>
        <v>0</v>
      </c>
    </row>
    <row r="1461" spans="1:26" ht="22.2" customHeight="1" x14ac:dyDescent="0.3">
      <c r="A1461" s="211" t="str">
        <f>+IF(PROVEEDORES[[#This Row],[FECHA DE PAGO]]=PROVEEDORES[[#This Row],[FECHA DE FACTURACIÓN]],"DE CONTADO","CRÉDITO")</f>
        <v>CRÉDITO</v>
      </c>
      <c r="B1461" s="38" t="b">
        <f>+IF((PROVEEDORES[[#This Row],[FECHA DE PAGO]]-PROVEEDORES[[#This Row],[FECHA DE FACTURACIÓN]])&gt;PROVEEDORES[[#This Row],[PLAZO Días]],"PAGO VENCIDO")</f>
        <v>0</v>
      </c>
      <c r="C1461" s="20">
        <f>+VLOOKUP(PROVEEDORES[[#This Row],[PROVEEDOR]],TERCEROS_INFO[#All],2,FALSE)</f>
        <v>30</v>
      </c>
      <c r="D1461" s="25">
        <f>+SUMIFS(PROVEEDORES[Total],PROVEEDORES[PROVEEDOR],PROVEEDORES[[#This Row],[PROVEEDOR]],PROVEEDORES[FECHA DE PAGO],"")</f>
        <v>4024829</v>
      </c>
      <c r="E1461" s="25"/>
      <c r="F146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61" s="161">
        <v>44594</v>
      </c>
      <c r="H1461" s="26" t="s">
        <v>345</v>
      </c>
      <c r="I1461" s="161">
        <v>44805</v>
      </c>
      <c r="J1461" s="35" t="s">
        <v>1647</v>
      </c>
      <c r="K1461" s="21">
        <v>1876000</v>
      </c>
      <c r="L1461" s="21"/>
      <c r="M1461" s="22">
        <f>(PROVEEDORES[[#This Row],[SUBTOTAL]]-PROVEEDORES[[#This Row],[descuento sobre subtotal]])*VLOOKUP(PROVEEDORES[[#This Row],[PROVEEDOR]],TERCEROS_INFO[#All],3,FALSE)</f>
        <v>0</v>
      </c>
      <c r="N1461" s="23"/>
      <c r="O1461" s="22">
        <f>+PROVEEDORES[[#This Row],[Descuento sobre subtotal %]]*(PROVEEDORES[[#This Row],[SUBTOTAL]]-PROVEEDORES[[#This Row],[descuento sobre subtotal]])</f>
        <v>0</v>
      </c>
      <c r="P1461" s="83">
        <f>+IF(PROVEEDORES[[#This Row],[SUBTOTAL]]&lt;PROVEEDORES[[#This Row],[base retencion]],0,PROVEEDORES[[#This Row],[retención aplicada]])</f>
        <v>0</v>
      </c>
      <c r="Q1461" s="22">
        <f>+PROVEEDORES[[#This Row],[Rete Fuente %]]*(PROVEEDORES[[#This Row],[SUBTOTAL]]-PROVEEDORES[[#This Row],[descuento sobre subtotal]])</f>
        <v>0</v>
      </c>
      <c r="R1461" s="21">
        <f>+PROVEEDORES[[#This Row],[SUBTOTAL]]+PROVEEDORES[[#This Row],[IVA 19%]]-PROVEEDORES[[#This Row],[descuento sobre subtotal]]-PROVEEDORES[[#This Row],[Descuento sobre subtotal $2]]-PROVEEDORES[[#This Row],[Rete Fuente $]]</f>
        <v>1876000</v>
      </c>
      <c r="S1461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1" s="68">
        <f ca="1">IF(PROVEEDORES[[#This Row],[FECHA DE PAGO]]=0,TODAY()-PROVEEDORES[[#This Row],[FECHA DE FACTURACIÓN]]-PROVEEDORES[[#This Row],[PLAZO Días]],0)</f>
        <v>0</v>
      </c>
      <c r="U1461" s="113">
        <f>+VLOOKUP(PROVEEDORES[[#This Row],[PROVEEDOR]],Terceros!$A:$D,4,FALSE)</f>
        <v>0</v>
      </c>
      <c r="V1461" s="114">
        <f>+YEAR(PROVEEDORES[[#This Row],[FECHA DE FACTURACIÓN]])</f>
        <v>2022</v>
      </c>
      <c r="W1461" s="114">
        <f>+MATCH(PROVEEDORES[[#This Row],[año facturado]],Retenciones!$1:$1,0)</f>
        <v>5</v>
      </c>
      <c r="X1461" s="115">
        <f>+VLOOKUP(PROVEEDORES[[#This Row],[ID RETENCION]],Retenciones!$A$1:$O$25,PROVEEDORES[[#This Row],[indicador de columna]],FALSE)</f>
        <v>0</v>
      </c>
      <c r="Y1461" s="116">
        <f>+VLOOKUP(PROVEEDORES[[#This Row],[ID RETENCION]],Retenciones!$A$1:$O$25,2,FALSE)</f>
        <v>0</v>
      </c>
      <c r="Z1461" s="125" t="b">
        <f>OR(COUNTIF(PROVEEDORES[[#This Row],[PROVEEDOR]],"*"&amp;'Palabra no opera'!$A$2&amp;"*"))</f>
        <v>0</v>
      </c>
    </row>
    <row r="1462" spans="1:26" ht="22.2" customHeight="1" x14ac:dyDescent="0.3">
      <c r="A1462" s="66" t="str">
        <f>+IF(PROVEEDORES[[#This Row],[FECHA DE PAGO]]=PROVEEDORES[[#This Row],[FECHA DE FACTURACIÓN]],"DE CONTADO","CRÉDITO")</f>
        <v>CRÉDITO</v>
      </c>
      <c r="B1462" s="38" t="str">
        <f>+IF((PROVEEDORES[[#This Row],[FECHA DE PAGO]]-PROVEEDORES[[#This Row],[FECHA DE FACTURACIÓN]])&gt;PROVEEDORES[[#This Row],[PLAZO Días]],"PAGO VENCIDO")</f>
        <v>PAGO VENCIDO</v>
      </c>
      <c r="C1462" s="20">
        <f>+VLOOKUP(PROVEEDORES[[#This Row],[PROVEEDOR]],TERCEROS_INFO[#All],2,FALSE)</f>
        <v>30</v>
      </c>
      <c r="D1462" s="25">
        <f>+SUMIFS(PROVEEDORES[Total],PROVEEDORES[PROVEEDOR],PROVEEDORES[[#This Row],[PROVEEDOR]],PROVEEDORES[FECHA DE PAGO],"")</f>
        <v>2318500</v>
      </c>
      <c r="E1462" s="25"/>
      <c r="F1462" s="58" t="str">
        <f>+VLOOKUP(PROVEEDORES[[#This Row],[PROVEEDOR]],
                       Terceros!$A:$F,
                       5,
                       FALSE)</f>
        <v/>
      </c>
      <c r="G1462" s="161">
        <v>44376</v>
      </c>
      <c r="H1462" s="26" t="s">
        <v>629</v>
      </c>
      <c r="I1462" s="161">
        <v>44342</v>
      </c>
      <c r="J1462" s="35" t="s">
        <v>1235</v>
      </c>
      <c r="K1462" s="21">
        <v>1880000</v>
      </c>
      <c r="L1462" s="21"/>
      <c r="M1462" s="22">
        <f>(PROVEEDORES[[#This Row],[SUBTOTAL]]-PROVEEDORES[[#This Row],[descuento sobre subtotal]])*VLOOKUP(PROVEEDORES[[#This Row],[PROVEEDOR]],TERCEROS_INFO[#All],3,FALSE)</f>
        <v>0</v>
      </c>
      <c r="N1462" s="23"/>
      <c r="O1462" s="22">
        <f>+PROVEEDORES[[#This Row],[Descuento sobre subtotal %]]*(PROVEEDORES[[#This Row],[SUBTOTAL]]-PROVEEDORES[[#This Row],[descuento sobre subtotal]])</f>
        <v>0</v>
      </c>
      <c r="P1462" s="83">
        <f>+IF(PROVEEDORES[[#This Row],[SUBTOTAL]]&lt;PROVEEDORES[[#This Row],[base retencion]],0,PROVEEDORES[[#This Row],[retención aplicada]])</f>
        <v>0</v>
      </c>
      <c r="Q1462" s="22">
        <f>+PROVEEDORES[[#This Row],[Rete Fuente %]]*(PROVEEDORES[[#This Row],[SUBTOTAL]]-PROVEEDORES[[#This Row],[descuento sobre subtotal]])</f>
        <v>0</v>
      </c>
      <c r="R1462" s="21">
        <f>+PROVEEDORES[[#This Row],[SUBTOTAL]]+PROVEEDORES[[#This Row],[IVA 19%]]-PROVEEDORES[[#This Row],[descuento sobre subtotal]]-PROVEEDORES[[#This Row],[Descuento sobre subtotal $2]]-PROVEEDORES[[#This Row],[Rete Fuente $]]</f>
        <v>1880000</v>
      </c>
      <c r="S14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2" s="68">
        <f ca="1">IF(PROVEEDORES[[#This Row],[FECHA DE PAGO]]=0,TODAY()-PROVEEDORES[[#This Row],[FECHA DE FACTURACIÓN]]-PROVEEDORES[[#This Row],[PLAZO Días]],0)</f>
        <v>0</v>
      </c>
      <c r="U1462" s="96">
        <f>+VLOOKUP(PROVEEDORES[[#This Row],[PROVEEDOR]],Terceros!$A:$D,4,FALSE)</f>
        <v>0</v>
      </c>
      <c r="V1462" s="97">
        <f>+YEAR(PROVEEDORES[[#This Row],[FECHA DE FACTURACIÓN]])</f>
        <v>2021</v>
      </c>
      <c r="W1462" s="97">
        <f>+MATCH(PROVEEDORES[[#This Row],[año facturado]],Retenciones!$1:$1,0)</f>
        <v>4</v>
      </c>
      <c r="X1462" s="98">
        <f>+VLOOKUP(PROVEEDORES[[#This Row],[ID RETENCION]],Retenciones!$A$1:$O$25,PROVEEDORES[[#This Row],[indicador de columna]],FALSE)</f>
        <v>0</v>
      </c>
      <c r="Y1462" s="99">
        <f>+VLOOKUP(PROVEEDORES[[#This Row],[ID RETENCION]],Retenciones!$A$1:$O$25,2,FALSE)</f>
        <v>0</v>
      </c>
      <c r="Z1462" s="125" t="b">
        <f>OR(COUNTIF(PROVEEDORES[[#This Row],[PROVEEDOR]],"*"&amp;'Palabra no opera'!$A$2&amp;"*"))</f>
        <v>0</v>
      </c>
    </row>
    <row r="1463" spans="1:26" ht="22.2" customHeight="1" x14ac:dyDescent="0.3">
      <c r="A1463" s="66" t="str">
        <f>+IF(PROVEEDORES[[#This Row],[FECHA DE PAGO]]=PROVEEDORES[[#This Row],[FECHA DE FACTURACIÓN]],"DE CONTADO","CRÉDITO")</f>
        <v>CRÉDITO</v>
      </c>
      <c r="B1463" s="38" t="str">
        <f>+IF((PROVEEDORES[[#This Row],[FECHA DE PAGO]]-PROVEEDORES[[#This Row],[FECHA DE FACTURACIÓN]])&gt;PROVEEDORES[[#This Row],[PLAZO Días]],"PAGO VENCIDO")</f>
        <v>PAGO VENCIDO</v>
      </c>
      <c r="C1463" s="20">
        <f>+VLOOKUP(PROVEEDORES[[#This Row],[PROVEEDOR]],TERCEROS_INFO[#All],2,FALSE)</f>
        <v>30</v>
      </c>
      <c r="D1463" s="25">
        <f>+SUMIFS(PROVEEDORES[Total],PROVEEDORES[PROVEEDOR],PROVEEDORES[[#This Row],[PROVEEDOR]],PROVEEDORES[FECHA DE PAGO],"")</f>
        <v>23124164.219999999</v>
      </c>
      <c r="E1463" s="25"/>
      <c r="F146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63" s="161">
        <v>44239</v>
      </c>
      <c r="H1463" s="26" t="s">
        <v>18</v>
      </c>
      <c r="I1463" s="161">
        <v>44191</v>
      </c>
      <c r="J1463" s="35">
        <v>1032784</v>
      </c>
      <c r="K1463" s="21">
        <v>1615387.1176470588</v>
      </c>
      <c r="L1463" s="21"/>
      <c r="M1463" s="22">
        <f>(PROVEEDORES[[#This Row],[SUBTOTAL]]-PROVEEDORES[[#This Row],[descuento sobre subtotal]])*VLOOKUP(PROVEEDORES[[#This Row],[PROVEEDOR]],TERCEROS_INFO[#All],3,FALSE)</f>
        <v>306923.55235294119</v>
      </c>
      <c r="N1463" s="23"/>
      <c r="O1463" s="22">
        <f>+PROVEEDORES[[#This Row],[Descuento sobre subtotal %]]*(PROVEEDORES[[#This Row],[SUBTOTAL]]-PROVEEDORES[[#This Row],[descuento sobre subtotal]])</f>
        <v>0</v>
      </c>
      <c r="P1463" s="83">
        <f>+IF(PROVEEDORES[[#This Row],[SUBTOTAL]]&lt;PROVEEDORES[[#This Row],[base retencion]],0,PROVEEDORES[[#This Row],[retención aplicada]])</f>
        <v>2.5000000000000001E-2</v>
      </c>
      <c r="Q1463" s="22">
        <f>+PROVEEDORES[[#This Row],[Rete Fuente %]]*(PROVEEDORES[[#This Row],[SUBTOTAL]]-PROVEEDORES[[#This Row],[descuento sobre subtotal]])</f>
        <v>40384.677941176473</v>
      </c>
      <c r="R1463" s="21">
        <f>+PROVEEDORES[[#This Row],[SUBTOTAL]]+PROVEEDORES[[#This Row],[IVA 19%]]-PROVEEDORES[[#This Row],[descuento sobre subtotal]]-PROVEEDORES[[#This Row],[Descuento sobre subtotal $2]]-PROVEEDORES[[#This Row],[Rete Fuente $]]</f>
        <v>1881925.9920588234</v>
      </c>
      <c r="S14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3" s="68">
        <f ca="1">IF(PROVEEDORES[[#This Row],[FECHA DE PAGO]]=0,TODAY()-PROVEEDORES[[#This Row],[FECHA DE FACTURACIÓN]]-PROVEEDORES[[#This Row],[PLAZO Días]],0)</f>
        <v>0</v>
      </c>
      <c r="U1463" s="96" t="str">
        <f>+VLOOKUP(PROVEEDORES[[#This Row],[PROVEEDOR]],Terceros!$A:$D,4,FALSE)</f>
        <v>2,5% con base</v>
      </c>
      <c r="V1463" s="97">
        <f>+YEAR(PROVEEDORES[[#This Row],[FECHA DE FACTURACIÓN]])</f>
        <v>2020</v>
      </c>
      <c r="W1463" s="97">
        <f>+MATCH(PROVEEDORES[[#This Row],[año facturado]],Retenciones!$1:$1,0)</f>
        <v>3</v>
      </c>
      <c r="X1463" s="98">
        <f>+VLOOKUP(PROVEEDORES[[#This Row],[ID RETENCION]],Retenciones!$A$1:$O$25,PROVEEDORES[[#This Row],[indicador de columna]],FALSE)</f>
        <v>961000</v>
      </c>
      <c r="Y1463" s="99">
        <f>+VLOOKUP(PROVEEDORES[[#This Row],[ID RETENCION]],Retenciones!$A$1:$O$25,2,FALSE)</f>
        <v>2.5000000000000001E-2</v>
      </c>
      <c r="Z1463" s="125" t="b">
        <f>OR(COUNTIF(PROVEEDORES[[#This Row],[PROVEEDOR]],"*"&amp;'Palabra no opera'!$A$2&amp;"*"))</f>
        <v>0</v>
      </c>
    </row>
    <row r="1464" spans="1:26" ht="22.2" customHeight="1" x14ac:dyDescent="0.3">
      <c r="A1464" s="66" t="str">
        <f>+IF(PROVEEDORES[[#This Row],[FECHA DE PAGO]]=PROVEEDORES[[#This Row],[FECHA DE FACTURACIÓN]],"DE CONTADO","CRÉDITO")</f>
        <v>CRÉDITO</v>
      </c>
      <c r="B1464" s="38" t="b">
        <f>+IF((PROVEEDORES[[#This Row],[FECHA DE PAGO]]-PROVEEDORES[[#This Row],[FECHA DE FACTURACIÓN]])&gt;PROVEEDORES[[#This Row],[PLAZO Días]],"PAGO VENCIDO")</f>
        <v>0</v>
      </c>
      <c r="C1464" s="20">
        <f>+VLOOKUP(PROVEEDORES[[#This Row],[PROVEEDOR]],TERCEROS_INFO[#All],2,FALSE)</f>
        <v>30</v>
      </c>
      <c r="D1464" s="25">
        <f>+SUMIFS(PROVEEDORES[Total],PROVEEDORES[PROVEEDOR],PROVEEDORES[[#This Row],[PROVEEDOR]],PROVEEDORES[FECHA DE PAGO],"")</f>
        <v>3430770</v>
      </c>
      <c r="E1464" s="25"/>
      <c r="F146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64" s="161">
        <v>44459</v>
      </c>
      <c r="H1464" s="26" t="s">
        <v>1448</v>
      </c>
      <c r="I1464" s="161">
        <v>44429</v>
      </c>
      <c r="J1464" s="35">
        <v>21160</v>
      </c>
      <c r="K1464" s="21">
        <v>1620000</v>
      </c>
      <c r="L1464" s="21"/>
      <c r="M1464" s="22">
        <f>(PROVEEDORES[[#This Row],[SUBTOTAL]]-PROVEEDORES[[#This Row],[descuento sobre subtotal]])*VLOOKUP(PROVEEDORES[[#This Row],[PROVEEDOR]],TERCEROS_INFO[#All],3,FALSE)</f>
        <v>307800</v>
      </c>
      <c r="N1464" s="23"/>
      <c r="O1464" s="22">
        <f>+PROVEEDORES[[#This Row],[Descuento sobre subtotal %]]*(PROVEEDORES[[#This Row],[SUBTOTAL]]-PROVEEDORES[[#This Row],[descuento sobre subtotal]])</f>
        <v>0</v>
      </c>
      <c r="P1464" s="83">
        <v>2.5000000000000001E-2</v>
      </c>
      <c r="Q1464" s="22">
        <f>+PROVEEDORES[[#This Row],[Rete Fuente %]]*(PROVEEDORES[[#This Row],[SUBTOTAL]]-PROVEEDORES[[#This Row],[descuento sobre subtotal]])</f>
        <v>40500</v>
      </c>
      <c r="R1464" s="21">
        <f>+PROVEEDORES[[#This Row],[SUBTOTAL]]+PROVEEDORES[[#This Row],[IVA 19%]]-PROVEEDORES[[#This Row],[descuento sobre subtotal]]-PROVEEDORES[[#This Row],[Descuento sobre subtotal $2]]-PROVEEDORES[[#This Row],[Rete Fuente $]]</f>
        <v>1887300</v>
      </c>
      <c r="S14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4" s="68">
        <f ca="1">IF(PROVEEDORES[[#This Row],[FECHA DE PAGO]]=0,TODAY()-PROVEEDORES[[#This Row],[FECHA DE FACTURACIÓN]]-PROVEEDORES[[#This Row],[PLAZO Días]],0)</f>
        <v>0</v>
      </c>
      <c r="U1464" s="96">
        <f>+VLOOKUP(PROVEEDORES[[#This Row],[PROVEEDOR]],Terceros!$A:$D,4,FALSE)</f>
        <v>0</v>
      </c>
      <c r="V1464" s="97">
        <f>+YEAR(PROVEEDORES[[#This Row],[FECHA DE FACTURACIÓN]])</f>
        <v>2021</v>
      </c>
      <c r="W1464" s="97">
        <f>+MATCH(PROVEEDORES[[#This Row],[año facturado]],Retenciones!$1:$1,0)</f>
        <v>4</v>
      </c>
      <c r="X1464" s="98">
        <f>+VLOOKUP(PROVEEDORES[[#This Row],[ID RETENCION]],Retenciones!$A$1:$O$25,PROVEEDORES[[#This Row],[indicador de columna]],FALSE)</f>
        <v>0</v>
      </c>
      <c r="Y1464" s="99">
        <f>+VLOOKUP(PROVEEDORES[[#This Row],[ID RETENCION]],Retenciones!$A$1:$O$25,2,FALSE)</f>
        <v>0</v>
      </c>
      <c r="Z1464" s="125" t="b">
        <f>OR(COUNTIF(PROVEEDORES[[#This Row],[PROVEEDOR]],"*"&amp;'Palabra no opera'!$A$2&amp;"*"))</f>
        <v>0</v>
      </c>
    </row>
    <row r="1465" spans="1:26" ht="22.2" customHeight="1" x14ac:dyDescent="0.3">
      <c r="A1465" s="66" t="str">
        <f>+IF(PROVEEDORES[[#This Row],[FECHA DE PAGO]]=PROVEEDORES[[#This Row],[FECHA DE FACTURACIÓN]],"DE CONTADO","CRÉDITO")</f>
        <v>CRÉDITO</v>
      </c>
      <c r="B1465" s="38" t="str">
        <f>+IF((PROVEEDORES[[#This Row],[FECHA DE PAGO]]-PROVEEDORES[[#This Row],[FECHA DE FACTURACIÓN]])&gt;PROVEEDORES[[#This Row],[PLAZO Días]],"PAGO VENCIDO")</f>
        <v>PAGO VENCIDO</v>
      </c>
      <c r="C1465" s="20">
        <f>+VLOOKUP(PROVEEDORES[[#This Row],[PROVEEDOR]],TERCEROS_INFO[#All],2,FALSE)</f>
        <v>20</v>
      </c>
      <c r="D1465" s="25">
        <f>+SUMIFS(PROVEEDORES[Total],PROVEEDORES[PROVEEDOR],PROVEEDORES[[#This Row],[PROVEEDOR]],PROVEEDORES[FECHA DE PAGO],"")</f>
        <v>0</v>
      </c>
      <c r="E1465" s="25"/>
      <c r="F1465" s="58" t="str">
        <f>+VLOOKUP(PROVEEDORES[[#This Row],[PROVEEDOR]],
                       Terceros!$A:$F,
                       5,
                       FALSE)</f>
        <v>pse</v>
      </c>
      <c r="G1465" s="161">
        <v>44678</v>
      </c>
      <c r="H1465" s="26" t="s">
        <v>937</v>
      </c>
      <c r="I1465" s="161">
        <v>44606</v>
      </c>
      <c r="J1465" s="35">
        <v>556</v>
      </c>
      <c r="K1465" s="21">
        <v>1890000</v>
      </c>
      <c r="L1465" s="21"/>
      <c r="M1465" s="22">
        <f>(PROVEEDORES[[#This Row],[SUBTOTAL]]-PROVEEDORES[[#This Row],[descuento sobre subtotal]])*VLOOKUP(PROVEEDORES[[#This Row],[PROVEEDOR]],TERCEROS_INFO[#All],3,FALSE)</f>
        <v>0</v>
      </c>
      <c r="N1465" s="23"/>
      <c r="O1465" s="22">
        <f>+PROVEEDORES[[#This Row],[Descuento sobre subtotal %]]*(PROVEEDORES[[#This Row],[SUBTOTAL]]-PROVEEDORES[[#This Row],[descuento sobre subtotal]])</f>
        <v>0</v>
      </c>
      <c r="P1465" s="83">
        <f>+IF(PROVEEDORES[[#This Row],[SUBTOTAL]]&lt;PROVEEDORES[[#This Row],[base retencion]],0,PROVEEDORES[[#This Row],[retención aplicada]])</f>
        <v>0</v>
      </c>
      <c r="Q1465" s="22">
        <f>+PROVEEDORES[[#This Row],[Rete Fuente %]]*(PROVEEDORES[[#This Row],[SUBTOTAL]]-PROVEEDORES[[#This Row],[descuento sobre subtotal]])</f>
        <v>0</v>
      </c>
      <c r="R1465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14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5" s="68">
        <f ca="1">IF(PROVEEDORES[[#This Row],[FECHA DE PAGO]]=0,TODAY()-PROVEEDORES[[#This Row],[FECHA DE FACTURACIÓN]]-PROVEEDORES[[#This Row],[PLAZO Días]],0)</f>
        <v>0</v>
      </c>
      <c r="U1465" s="96">
        <f>+VLOOKUP(PROVEEDORES[[#This Row],[PROVEEDOR]],Terceros!$A:$D,4,FALSE)</f>
        <v>0</v>
      </c>
      <c r="V1465" s="97">
        <f>+YEAR(PROVEEDORES[[#This Row],[FECHA DE FACTURACIÓN]])</f>
        <v>2022</v>
      </c>
      <c r="W1465" s="97">
        <f>+MATCH(PROVEEDORES[[#This Row],[año facturado]],Retenciones!$1:$1,0)</f>
        <v>5</v>
      </c>
      <c r="X1465" s="98">
        <f>+VLOOKUP(PROVEEDORES[[#This Row],[ID RETENCION]],Retenciones!$A$1:$O$25,PROVEEDORES[[#This Row],[indicador de columna]],FALSE)</f>
        <v>0</v>
      </c>
      <c r="Y1465" s="99">
        <f>+VLOOKUP(PROVEEDORES[[#This Row],[ID RETENCION]],Retenciones!$A$1:$O$25,2,FALSE)</f>
        <v>0</v>
      </c>
      <c r="Z1465" s="125" t="b">
        <f>OR(COUNTIF(PROVEEDORES[[#This Row],[PROVEEDOR]],"*"&amp;'Palabra no opera'!$A$2&amp;"*"))</f>
        <v>1</v>
      </c>
    </row>
    <row r="1466" spans="1:26" ht="22.2" customHeight="1" x14ac:dyDescent="0.3">
      <c r="A1466" s="195" t="str">
        <f>+IF(PROVEEDORES[[#This Row],[FECHA DE PAGO]]=PROVEEDORES[[#This Row],[FECHA DE FACTURACIÓN]],"DE CONTADO","CRÉDITO")</f>
        <v>CRÉDITO</v>
      </c>
      <c r="B1466" s="38" t="b">
        <f>+IF((PROVEEDORES[[#This Row],[FECHA DE PAGO]]-PROVEEDORES[[#This Row],[FECHA DE FACTURACIÓN]])&gt;PROVEEDORES[[#This Row],[PLAZO Días]],"PAGO VENCIDO")</f>
        <v>0</v>
      </c>
      <c r="C1466" s="20">
        <f>+VLOOKUP(PROVEEDORES[[#This Row],[PROVEEDOR]],TERCEROS_INFO[#All],2,FALSE)</f>
        <v>30</v>
      </c>
      <c r="D1466" s="25">
        <f>+SUMIFS(PROVEEDORES[Total],PROVEEDORES[PROVEEDOR],PROVEEDORES[[#This Row],[PROVEEDOR]],PROVEEDORES[FECHA DE PAGO],"")</f>
        <v>3236000</v>
      </c>
      <c r="E1466" s="25"/>
      <c r="F146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66" s="161">
        <v>44792</v>
      </c>
      <c r="H1466" s="26" t="s">
        <v>677</v>
      </c>
      <c r="I1466" s="161">
        <v>44781</v>
      </c>
      <c r="J1466" s="35" t="s">
        <v>1625</v>
      </c>
      <c r="K1466" s="21">
        <v>1890000</v>
      </c>
      <c r="L1466" s="21"/>
      <c r="M1466" s="22">
        <f>(PROVEEDORES[[#This Row],[SUBTOTAL]]-PROVEEDORES[[#This Row],[descuento sobre subtotal]])*VLOOKUP(PROVEEDORES[[#This Row],[PROVEEDOR]],TERCEROS_INFO[#All],3,FALSE)</f>
        <v>0</v>
      </c>
      <c r="N1466" s="23"/>
      <c r="O1466" s="22">
        <f>+PROVEEDORES[[#This Row],[Descuento sobre subtotal %]]*(PROVEEDORES[[#This Row],[SUBTOTAL]]-PROVEEDORES[[#This Row],[descuento sobre subtotal]])</f>
        <v>0</v>
      </c>
      <c r="P1466" s="83">
        <f>+IF(PROVEEDORES[[#This Row],[SUBTOTAL]]&lt;PROVEEDORES[[#This Row],[base retencion]],0,PROVEEDORES[[#This Row],[retención aplicada]])</f>
        <v>0</v>
      </c>
      <c r="Q1466" s="22">
        <f>+PROVEEDORES[[#This Row],[Rete Fuente %]]*(PROVEEDORES[[#This Row],[SUBTOTAL]]-PROVEEDORES[[#This Row],[descuento sobre subtotal]])</f>
        <v>0</v>
      </c>
      <c r="R1466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1466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6" s="68">
        <f ca="1">IF(PROVEEDORES[[#This Row],[FECHA DE PAGO]]=0,TODAY()-PROVEEDORES[[#This Row],[FECHA DE FACTURACIÓN]]-PROVEEDORES[[#This Row],[PLAZO Días]],0)</f>
        <v>0</v>
      </c>
      <c r="U1466" s="113">
        <f>+VLOOKUP(PROVEEDORES[[#This Row],[PROVEEDOR]],Terceros!$A:$D,4,FALSE)</f>
        <v>0</v>
      </c>
      <c r="V1466" s="114">
        <f>+YEAR(PROVEEDORES[[#This Row],[FECHA DE FACTURACIÓN]])</f>
        <v>2022</v>
      </c>
      <c r="W1466" s="114">
        <f>+MATCH(PROVEEDORES[[#This Row],[año facturado]],Retenciones!$1:$1,0)</f>
        <v>5</v>
      </c>
      <c r="X1466" s="115">
        <f>+VLOOKUP(PROVEEDORES[[#This Row],[ID RETENCION]],Retenciones!$A$1:$O$25,PROVEEDORES[[#This Row],[indicador de columna]],FALSE)</f>
        <v>0</v>
      </c>
      <c r="Y1466" s="116">
        <f>+VLOOKUP(PROVEEDORES[[#This Row],[ID RETENCION]],Retenciones!$A$1:$O$25,2,FALSE)</f>
        <v>0</v>
      </c>
      <c r="Z1466" s="125" t="b">
        <f>OR(COUNTIF(PROVEEDORES[[#This Row],[PROVEEDOR]],"*"&amp;'Palabra no opera'!$A$2&amp;"*"))</f>
        <v>0</v>
      </c>
    </row>
    <row r="1467" spans="1:26" ht="22.2" customHeight="1" x14ac:dyDescent="0.3">
      <c r="A1467" s="66" t="str">
        <f>+IF(PROVEEDORES[[#This Row],[FECHA DE PAGO]]=PROVEEDORES[[#This Row],[FECHA DE FACTURACIÓN]],"DE CONTADO","CRÉDITO")</f>
        <v>CRÉDITO</v>
      </c>
      <c r="B1467" s="38" t="b">
        <f>+IF((PROVEEDORES[[#This Row],[FECHA DE PAGO]]-PROVEEDORES[[#This Row],[FECHA DE FACTURACIÓN]])&gt;PROVEEDORES[[#This Row],[PLAZO Días]],"PAGO VENCIDO")</f>
        <v>0</v>
      </c>
      <c r="C1467" s="20">
        <f>+VLOOKUP(PROVEEDORES[[#This Row],[PROVEEDOR]],TERCEROS_INFO[#All],2,FALSE)</f>
        <v>30</v>
      </c>
      <c r="D1467" s="25">
        <f>+SUMIFS(PROVEEDORES[Total],PROVEEDORES[PROVEEDOR],PROVEEDORES[[#This Row],[PROVEEDOR]],PROVEEDORES[FECHA DE PAGO],"")</f>
        <v>4024829</v>
      </c>
      <c r="E1467" s="25"/>
      <c r="F146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67" s="161">
        <v>44460</v>
      </c>
      <c r="H1467" s="26" t="s">
        <v>345</v>
      </c>
      <c r="I1467" s="161">
        <v>44459</v>
      </c>
      <c r="J1467" s="35" t="s">
        <v>1309</v>
      </c>
      <c r="K1467" s="21">
        <v>1895000</v>
      </c>
      <c r="L1467" s="21"/>
      <c r="M1467" s="22">
        <f>(PROVEEDORES[[#This Row],[SUBTOTAL]]-PROVEEDORES[[#This Row],[descuento sobre subtotal]])*VLOOKUP(PROVEEDORES[[#This Row],[PROVEEDOR]],TERCEROS_INFO[#All],3,FALSE)</f>
        <v>0</v>
      </c>
      <c r="N1467" s="23"/>
      <c r="O1467" s="22">
        <f>+PROVEEDORES[[#This Row],[Descuento sobre subtotal %]]*(PROVEEDORES[[#This Row],[SUBTOTAL]]-PROVEEDORES[[#This Row],[descuento sobre subtotal]])</f>
        <v>0</v>
      </c>
      <c r="P1467" s="83">
        <f>+IF(PROVEEDORES[[#This Row],[SUBTOTAL]]&lt;PROVEEDORES[[#This Row],[base retencion]],0,PROVEEDORES[[#This Row],[retención aplicada]])</f>
        <v>0</v>
      </c>
      <c r="Q1467" s="22">
        <f>+PROVEEDORES[[#This Row],[Rete Fuente %]]*(PROVEEDORES[[#This Row],[SUBTOTAL]]-PROVEEDORES[[#This Row],[descuento sobre subtotal]])</f>
        <v>0</v>
      </c>
      <c r="R1467" s="21">
        <f>+PROVEEDORES[[#This Row],[SUBTOTAL]]+PROVEEDORES[[#This Row],[IVA 19%]]-PROVEEDORES[[#This Row],[descuento sobre subtotal]]-PROVEEDORES[[#This Row],[Descuento sobre subtotal $2]]-PROVEEDORES[[#This Row],[Rete Fuente $]]</f>
        <v>1895000</v>
      </c>
      <c r="S14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7" s="68">
        <f ca="1">IF(PROVEEDORES[[#This Row],[FECHA DE PAGO]]=0,TODAY()-PROVEEDORES[[#This Row],[FECHA DE FACTURACIÓN]]-PROVEEDORES[[#This Row],[PLAZO Días]],0)</f>
        <v>0</v>
      </c>
      <c r="U1467" s="96">
        <f>+VLOOKUP(PROVEEDORES[[#This Row],[PROVEEDOR]],Terceros!$A:$D,4,FALSE)</f>
        <v>0</v>
      </c>
      <c r="V1467" s="97">
        <f>+YEAR(PROVEEDORES[[#This Row],[FECHA DE FACTURACIÓN]])</f>
        <v>2021</v>
      </c>
      <c r="W1467" s="97">
        <f>+MATCH(PROVEEDORES[[#This Row],[año facturado]],Retenciones!$1:$1,0)</f>
        <v>4</v>
      </c>
      <c r="X1467" s="98">
        <f>+VLOOKUP(PROVEEDORES[[#This Row],[ID RETENCION]],Retenciones!$A$1:$O$25,PROVEEDORES[[#This Row],[indicador de columna]],FALSE)</f>
        <v>0</v>
      </c>
      <c r="Y1467" s="99">
        <f>+VLOOKUP(PROVEEDORES[[#This Row],[ID RETENCION]],Retenciones!$A$1:$O$25,2,FALSE)</f>
        <v>0</v>
      </c>
      <c r="Z1467" s="125" t="b">
        <f>OR(COUNTIF(PROVEEDORES[[#This Row],[PROVEEDOR]],"*"&amp;'Palabra no opera'!$A$2&amp;"*"))</f>
        <v>0</v>
      </c>
    </row>
    <row r="1468" spans="1:26" ht="22.2" customHeight="1" x14ac:dyDescent="0.3">
      <c r="A1468" s="66" t="str">
        <f>+IF(PROVEEDORES[[#This Row],[FECHA DE PAGO]]=PROVEEDORES[[#This Row],[FECHA DE FACTURACIÓN]],"DE CONTADO","CRÉDITO")</f>
        <v>CRÉDITO</v>
      </c>
      <c r="B1468" s="38" t="b">
        <f>+IF((PROVEEDORES[[#This Row],[FECHA DE PAGO]]-PROVEEDORES[[#This Row],[FECHA DE FACTURACIÓN]])&gt;PROVEEDORES[[#This Row],[PLAZO Días]],"PAGO VENCIDO")</f>
        <v>0</v>
      </c>
      <c r="C1468" s="20">
        <f>+VLOOKUP(PROVEEDORES[[#This Row],[PROVEEDOR]],TERCEROS_INFO[#All],2,FALSE)</f>
        <v>30</v>
      </c>
      <c r="D1468" s="25">
        <f>+SUMIFS(PROVEEDORES[Total],PROVEEDORES[PROVEEDOR],PROVEEDORES[[#This Row],[PROVEEDOR]],PROVEEDORES[FECHA DE PAGO],"")</f>
        <v>23124164.219999999</v>
      </c>
      <c r="E1468" s="25"/>
      <c r="F146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68" s="161">
        <v>44558</v>
      </c>
      <c r="H1468" s="26" t="s">
        <v>18</v>
      </c>
      <c r="I1468" s="161">
        <v>44529</v>
      </c>
      <c r="J1468" s="35">
        <v>1046554</v>
      </c>
      <c r="K1468" s="21">
        <v>1627880</v>
      </c>
      <c r="L1468" s="21"/>
      <c r="M1468" s="22">
        <f>(PROVEEDORES[[#This Row],[SUBTOTAL]]-PROVEEDORES[[#This Row],[descuento sobre subtotal]])*VLOOKUP(PROVEEDORES[[#This Row],[PROVEEDOR]],TERCEROS_INFO[#All],3,FALSE)</f>
        <v>309297.2</v>
      </c>
      <c r="N1468" s="23"/>
      <c r="O1468" s="22">
        <f>+PROVEEDORES[[#This Row],[Descuento sobre subtotal %]]*(PROVEEDORES[[#This Row],[SUBTOTAL]]-PROVEEDORES[[#This Row],[descuento sobre subtotal]])</f>
        <v>0</v>
      </c>
      <c r="P1468" s="83">
        <f>+IF(PROVEEDORES[[#This Row],[SUBTOTAL]]&lt;PROVEEDORES[[#This Row],[base retencion]],0,PROVEEDORES[[#This Row],[retención aplicada]])</f>
        <v>2.5000000000000001E-2</v>
      </c>
      <c r="Q1468" s="22">
        <f>+PROVEEDORES[[#This Row],[Rete Fuente %]]*(PROVEEDORES[[#This Row],[SUBTOTAL]]-PROVEEDORES[[#This Row],[descuento sobre subtotal]])</f>
        <v>40697</v>
      </c>
      <c r="R1468" s="21">
        <f>+PROVEEDORES[[#This Row],[SUBTOTAL]]+PROVEEDORES[[#This Row],[IVA 19%]]-PROVEEDORES[[#This Row],[descuento sobre subtotal]]-PROVEEDORES[[#This Row],[Descuento sobre subtotal $2]]-PROVEEDORES[[#This Row],[Rete Fuente $]]</f>
        <v>1896480.2</v>
      </c>
      <c r="S14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8" s="68">
        <f ca="1">IF(PROVEEDORES[[#This Row],[FECHA DE PAGO]]=0,TODAY()-PROVEEDORES[[#This Row],[FECHA DE FACTURACIÓN]]-PROVEEDORES[[#This Row],[PLAZO Días]],0)</f>
        <v>0</v>
      </c>
      <c r="U1468" s="96" t="str">
        <f>+VLOOKUP(PROVEEDORES[[#This Row],[PROVEEDOR]],Terceros!$A:$D,4,FALSE)</f>
        <v>2,5% con base</v>
      </c>
      <c r="V1468" s="97">
        <f>+YEAR(PROVEEDORES[[#This Row],[FECHA DE FACTURACIÓN]])</f>
        <v>2021</v>
      </c>
      <c r="W1468" s="97">
        <f>+MATCH(PROVEEDORES[[#This Row],[año facturado]],Retenciones!$1:$1,0)</f>
        <v>4</v>
      </c>
      <c r="X1468" s="98">
        <f>+VLOOKUP(PROVEEDORES[[#This Row],[ID RETENCION]],Retenciones!$A$1:$O$25,PROVEEDORES[[#This Row],[indicador de columna]],FALSE)</f>
        <v>980000</v>
      </c>
      <c r="Y1468" s="99">
        <f>+VLOOKUP(PROVEEDORES[[#This Row],[ID RETENCION]],Retenciones!$A$1:$O$25,2,FALSE)</f>
        <v>2.5000000000000001E-2</v>
      </c>
      <c r="Z1468" s="125" t="b">
        <f>OR(COUNTIF(PROVEEDORES[[#This Row],[PROVEEDOR]],"*"&amp;'Palabra no opera'!$A$2&amp;"*"))</f>
        <v>0</v>
      </c>
    </row>
    <row r="1469" spans="1:26" ht="22.2" customHeight="1" x14ac:dyDescent="0.3">
      <c r="A1469" s="66" t="str">
        <f>+IF(PROVEEDORES[[#This Row],[FECHA DE PAGO]]=PROVEEDORES[[#This Row],[FECHA DE FACTURACIÓN]],"DE CONTADO","CRÉDITO")</f>
        <v>CRÉDITO</v>
      </c>
      <c r="B1469" s="38" t="str">
        <f>+IF((PROVEEDORES[[#This Row],[FECHA DE PAGO]]-PROVEEDORES[[#This Row],[FECHA DE FACTURACIÓN]])&gt;PROVEEDORES[[#This Row],[PLAZO Días]],"PAGO VENCIDO")</f>
        <v>PAGO VENCIDO</v>
      </c>
      <c r="C1469" s="20">
        <f>+VLOOKUP(PROVEEDORES[[#This Row],[PROVEEDOR]],TERCEROS_INFO[#All],2,FALSE)</f>
        <v>45</v>
      </c>
      <c r="D1469" s="25">
        <f>+SUMIFS(PROVEEDORES[Total],PROVEEDORES[PROVEEDOR],PROVEEDORES[[#This Row],[PROVEEDOR]],PROVEEDORES[FECHA DE PAGO],"")</f>
        <v>2604910</v>
      </c>
      <c r="E1469" s="25"/>
      <c r="F146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69" s="161">
        <v>44656</v>
      </c>
      <c r="H1469" s="26" t="s">
        <v>10</v>
      </c>
      <c r="I1469" s="161">
        <v>44587</v>
      </c>
      <c r="J1469" s="35" t="s">
        <v>764</v>
      </c>
      <c r="K1469" s="21">
        <v>1600000</v>
      </c>
      <c r="L1469" s="21"/>
      <c r="M1469" s="22">
        <f>(PROVEEDORES[[#This Row],[SUBTOTAL]]-PROVEEDORES[[#This Row],[descuento sobre subtotal]])*VLOOKUP(PROVEEDORES[[#This Row],[PROVEEDOR]],TERCEROS_INFO[#All],3,FALSE)</f>
        <v>304000</v>
      </c>
      <c r="N1469" s="23"/>
      <c r="O1469" s="22">
        <f>+PROVEEDORES[[#This Row],[Descuento sobre subtotal %]]*(PROVEEDORES[[#This Row],[SUBTOTAL]]-PROVEEDORES[[#This Row],[descuento sobre subtotal]])</f>
        <v>0</v>
      </c>
      <c r="P1469" s="83">
        <f>+IF(PROVEEDORES[[#This Row],[SUBTOTAL]]&lt;PROVEEDORES[[#This Row],[base retencion]],0,PROVEEDORES[[#This Row],[retención aplicada]])</f>
        <v>0</v>
      </c>
      <c r="Q1469" s="22">
        <f>+PROVEEDORES[[#This Row],[Rete Fuente %]]*(PROVEEDORES[[#This Row],[SUBTOTAL]]-PROVEEDORES[[#This Row],[descuento sobre subtotal]])</f>
        <v>0</v>
      </c>
      <c r="R1469" s="21">
        <v>1904000</v>
      </c>
      <c r="S14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9" s="68">
        <f ca="1">IF(PROVEEDORES[[#This Row],[FECHA DE PAGO]]=0,TODAY()-PROVEEDORES[[#This Row],[FECHA DE FACTURACIÓN]]-PROVEEDORES[[#This Row],[PLAZO Días]],0)</f>
        <v>0</v>
      </c>
      <c r="U1469" s="96">
        <f>+VLOOKUP(PROVEEDORES[[#This Row],[PROVEEDOR]],Terceros!$A:$D,4,FALSE)</f>
        <v>0</v>
      </c>
      <c r="V1469" s="97">
        <f>+YEAR(PROVEEDORES[[#This Row],[FECHA DE FACTURACIÓN]])</f>
        <v>2022</v>
      </c>
      <c r="W1469" s="97">
        <f>+MATCH(PROVEEDORES[[#This Row],[año facturado]],Retenciones!$1:$1,0)</f>
        <v>5</v>
      </c>
      <c r="X1469" s="98">
        <f>+VLOOKUP(PROVEEDORES[[#This Row],[ID RETENCION]],Retenciones!$A$1:$O$25,PROVEEDORES[[#This Row],[indicador de columna]],FALSE)</f>
        <v>0</v>
      </c>
      <c r="Y1469" s="99">
        <f>+VLOOKUP(PROVEEDORES[[#This Row],[ID RETENCION]],Retenciones!$A$1:$O$25,2,FALSE)</f>
        <v>0</v>
      </c>
      <c r="Z1469" s="125" t="b">
        <f>OR(COUNTIF(PROVEEDORES[[#This Row],[PROVEEDOR]],"*"&amp;'Palabra no opera'!$A$2&amp;"*"))</f>
        <v>0</v>
      </c>
    </row>
    <row r="1470" spans="1:26" ht="22.2" customHeight="1" x14ac:dyDescent="0.3">
      <c r="A1470" s="66" t="str">
        <f>+IF(PROVEEDORES[[#This Row],[FECHA DE PAGO]]=PROVEEDORES[[#This Row],[FECHA DE FACTURACIÓN]],"DE CONTADO","CRÉDITO")</f>
        <v>CRÉDITO</v>
      </c>
      <c r="B1470" s="38" t="b">
        <f>+IF((PROVEEDORES[[#This Row],[FECHA DE PAGO]]-PROVEEDORES[[#This Row],[FECHA DE FACTURACIÓN]])&gt;PROVEEDORES[[#This Row],[PLAZO Días]],"PAGO VENCIDO")</f>
        <v>0</v>
      </c>
      <c r="C1470" s="20">
        <f>+VLOOKUP(PROVEEDORES[[#This Row],[PROVEEDOR]],TERCEROS_INFO[#All],2,FALSE)</f>
        <v>30</v>
      </c>
      <c r="D1470" s="25">
        <f>+SUMIFS(PROVEEDORES[Total],PROVEEDORES[PROVEEDOR],PROVEEDORES[[#This Row],[PROVEEDOR]],PROVEEDORES[FECHA DE PAGO],"")</f>
        <v>0</v>
      </c>
      <c r="E1470" s="25"/>
      <c r="F147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70" s="161">
        <v>44588</v>
      </c>
      <c r="H1470" s="26" t="s">
        <v>918</v>
      </c>
      <c r="I1470" s="161">
        <v>44562</v>
      </c>
      <c r="J1470" s="35">
        <v>9719</v>
      </c>
      <c r="K1470" s="21">
        <v>1904519</v>
      </c>
      <c r="L1470" s="21"/>
      <c r="M1470" s="22">
        <f>(PROVEEDORES[[#This Row],[SUBTOTAL]]-PROVEEDORES[[#This Row],[descuento sobre subtotal]])*VLOOKUP(PROVEEDORES[[#This Row],[PROVEEDOR]],TERCEROS_INFO[#All],3,FALSE)</f>
        <v>0</v>
      </c>
      <c r="N1470" s="23"/>
      <c r="O1470" s="22">
        <f>+PROVEEDORES[[#This Row],[Descuento sobre subtotal %]]*(PROVEEDORES[[#This Row],[SUBTOTAL]]-PROVEEDORES[[#This Row],[descuento sobre subtotal]])</f>
        <v>0</v>
      </c>
      <c r="P1470" s="83">
        <f>+IF(PROVEEDORES[[#This Row],[SUBTOTAL]]&lt;PROVEEDORES[[#This Row],[base retencion]],0,PROVEEDORES[[#This Row],[retención aplicada]])</f>
        <v>0</v>
      </c>
      <c r="Q1470" s="22">
        <f>+PROVEEDORES[[#This Row],[Rete Fuente %]]*(PROVEEDORES[[#This Row],[SUBTOTAL]]-PROVEEDORES[[#This Row],[descuento sobre subtotal]])</f>
        <v>0</v>
      </c>
      <c r="R1470" s="21">
        <f>+PROVEEDORES[[#This Row],[SUBTOTAL]]+PROVEEDORES[[#This Row],[IVA 19%]]-PROVEEDORES[[#This Row],[descuento sobre subtotal]]-PROVEEDORES[[#This Row],[Descuento sobre subtotal $2]]-PROVEEDORES[[#This Row],[Rete Fuente $]]</f>
        <v>1904519</v>
      </c>
      <c r="S14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0" s="68">
        <f ca="1">IF(PROVEEDORES[[#This Row],[FECHA DE PAGO]]=0,TODAY()-PROVEEDORES[[#This Row],[FECHA DE FACTURACIÓN]]-PROVEEDORES[[#This Row],[PLAZO Días]],0)</f>
        <v>0</v>
      </c>
      <c r="U1470" s="96">
        <f>+VLOOKUP(PROVEEDORES[[#This Row],[PROVEEDOR]],Terceros!$A:$D,4,FALSE)</f>
        <v>0</v>
      </c>
      <c r="V1470" s="97">
        <f>+YEAR(PROVEEDORES[[#This Row],[FECHA DE FACTURACIÓN]])</f>
        <v>2022</v>
      </c>
      <c r="W1470" s="97">
        <f>+MATCH(PROVEEDORES[[#This Row],[año facturado]],Retenciones!$1:$1,0)</f>
        <v>5</v>
      </c>
      <c r="X1470" s="98">
        <f>+VLOOKUP(PROVEEDORES[[#This Row],[ID RETENCION]],Retenciones!$A$1:$O$25,PROVEEDORES[[#This Row],[indicador de columna]],FALSE)</f>
        <v>0</v>
      </c>
      <c r="Y1470" s="99">
        <f>+VLOOKUP(PROVEEDORES[[#This Row],[ID RETENCION]],Retenciones!$A$1:$O$25,2,FALSE)</f>
        <v>0</v>
      </c>
      <c r="Z1470" s="125" t="b">
        <f>OR(COUNTIF(PROVEEDORES[[#This Row],[PROVEEDOR]],"*"&amp;'Palabra no opera'!$A$2&amp;"*"))</f>
        <v>1</v>
      </c>
    </row>
    <row r="1471" spans="1:26" ht="22.2" customHeight="1" x14ac:dyDescent="0.3">
      <c r="A1471" s="257" t="str">
        <f>+IF(PROVEEDORES[[#This Row],[FECHA DE PAGO]]=PROVEEDORES[[#This Row],[FECHA DE FACTURACIÓN]],"DE CONTADO","CRÉDITO")</f>
        <v>DE CONTADO</v>
      </c>
      <c r="B1471" s="38" t="b">
        <f>+IF((PROVEEDORES[[#This Row],[FECHA DE PAGO]]-PROVEEDORES[[#This Row],[FECHA DE FACTURACIÓN]])&gt;PROVEEDORES[[#This Row],[PLAZO Días]],"PAGO VENCIDO")</f>
        <v>0</v>
      </c>
      <c r="C1471" s="20">
        <f>+VLOOKUP(PROVEEDORES[[#This Row],[PROVEEDOR]],TERCEROS_INFO[#All],2,FALSE)</f>
        <v>30</v>
      </c>
      <c r="D1471" s="25">
        <f>+SUMIFS(PROVEEDORES[Total],PROVEEDORES[PROVEEDOR],PROVEEDORES[[#This Row],[PROVEEDOR]],PROVEEDORES[FECHA DE PAGO],"")</f>
        <v>0</v>
      </c>
      <c r="E1471" s="25"/>
      <c r="F1471" s="58" t="str">
        <f>+VLOOKUP(PROVEEDORES[[#This Row],[PROVEEDOR]],
                       Terceros!$A:$F,
                       5,
                       FALSE)</f>
        <v/>
      </c>
      <c r="G1471" s="161">
        <v>44834</v>
      </c>
      <c r="H1471" s="26" t="s">
        <v>644</v>
      </c>
      <c r="I1471" s="161">
        <v>44834</v>
      </c>
      <c r="J1471" s="35" t="s">
        <v>1750</v>
      </c>
      <c r="K1471" s="21">
        <v>1905000</v>
      </c>
      <c r="L1471" s="21"/>
      <c r="M1471" s="22">
        <f>(PROVEEDORES[[#This Row],[SUBTOTAL]]-PROVEEDORES[[#This Row],[descuento sobre subtotal]])*VLOOKUP(PROVEEDORES[[#This Row],[PROVEEDOR]],TERCEROS_INFO[#All],3,FALSE)</f>
        <v>0</v>
      </c>
      <c r="N1471" s="23"/>
      <c r="O1471" s="22">
        <f>+PROVEEDORES[[#This Row],[Descuento sobre subtotal %]]*(PROVEEDORES[[#This Row],[SUBTOTAL]]-PROVEEDORES[[#This Row],[descuento sobre subtotal]])</f>
        <v>0</v>
      </c>
      <c r="P1471" s="83">
        <f>+IF(PROVEEDORES[[#This Row],[SUBTOTAL]]&lt;PROVEEDORES[[#This Row],[base retencion]],0,PROVEEDORES[[#This Row],[retención aplicada]])</f>
        <v>0</v>
      </c>
      <c r="Q1471" s="22">
        <f>+PROVEEDORES[[#This Row],[Rete Fuente %]]*(PROVEEDORES[[#This Row],[SUBTOTAL]]-PROVEEDORES[[#This Row],[descuento sobre subtotal]])</f>
        <v>0</v>
      </c>
      <c r="R1471" s="21">
        <f>+PROVEEDORES[[#This Row],[SUBTOTAL]]+PROVEEDORES[[#This Row],[IVA 19%]]-PROVEEDORES[[#This Row],[descuento sobre subtotal]]-PROVEEDORES[[#This Row],[Descuento sobre subtotal $2]]-PROVEEDORES[[#This Row],[Rete Fuente $]]</f>
        <v>1905000</v>
      </c>
      <c r="S1471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1" s="68">
        <f ca="1">IF(PROVEEDORES[[#This Row],[FECHA DE PAGO]]=0,TODAY()-PROVEEDORES[[#This Row],[FECHA DE FACTURACIÓN]]-PROVEEDORES[[#This Row],[PLAZO Días]],0)</f>
        <v>0</v>
      </c>
      <c r="U1471" s="113">
        <f>+VLOOKUP(PROVEEDORES[[#This Row],[PROVEEDOR]],Terceros!$A:$D,4,FALSE)</f>
        <v>0</v>
      </c>
      <c r="V1471" s="114">
        <f>+YEAR(PROVEEDORES[[#This Row],[FECHA DE FACTURACIÓN]])</f>
        <v>2022</v>
      </c>
      <c r="W1471" s="114">
        <f>+MATCH(PROVEEDORES[[#This Row],[año facturado]],Retenciones!$1:$1,0)</f>
        <v>5</v>
      </c>
      <c r="X1471" s="115">
        <f>+VLOOKUP(PROVEEDORES[[#This Row],[ID RETENCION]],Retenciones!$A$1:$O$25,PROVEEDORES[[#This Row],[indicador de columna]],FALSE)</f>
        <v>0</v>
      </c>
      <c r="Y1471" s="116">
        <f>+VLOOKUP(PROVEEDORES[[#This Row],[ID RETENCION]],Retenciones!$A$1:$O$25,2,FALSE)</f>
        <v>0</v>
      </c>
      <c r="Z1471" s="125" t="b">
        <f>OR(COUNTIF(PROVEEDORES[[#This Row],[PROVEEDOR]],"*"&amp;'Palabra no opera'!$A$2&amp;"*"))</f>
        <v>0</v>
      </c>
    </row>
    <row r="1472" spans="1:26" ht="22.2" customHeight="1" x14ac:dyDescent="0.3">
      <c r="A1472" s="66" t="str">
        <f>+IF(PROVEEDORES[[#This Row],[FECHA DE PAGO]]=PROVEEDORES[[#This Row],[FECHA DE FACTURACIÓN]],"DE CONTADO","CRÉDITO")</f>
        <v>CRÉDITO</v>
      </c>
      <c r="B1472" s="38" t="b">
        <f>+IF((PROVEEDORES[[#This Row],[FECHA DE PAGO]]-PROVEEDORES[[#This Row],[FECHA DE FACTURACIÓN]])&gt;PROVEEDORES[[#This Row],[PLAZO Días]],"PAGO VENCIDO")</f>
        <v>0</v>
      </c>
      <c r="C1472" s="20">
        <f>+VLOOKUP(PROVEEDORES[[#This Row],[PROVEEDOR]],TERCEROS_INFO[#All],2,FALSE)</f>
        <v>30</v>
      </c>
      <c r="D1472" s="25">
        <f>+SUMIFS(PROVEEDORES[Total],PROVEEDORES[PROVEEDOR],PROVEEDORES[[#This Row],[PROVEEDOR]],PROVEEDORES[FECHA DE PAGO],"")</f>
        <v>0</v>
      </c>
      <c r="E1472" s="25"/>
      <c r="F147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72" s="161">
        <v>44588</v>
      </c>
      <c r="H1472" s="26" t="s">
        <v>404</v>
      </c>
      <c r="I1472" s="161">
        <v>44587</v>
      </c>
      <c r="J1472" s="35" t="s">
        <v>1378</v>
      </c>
      <c r="K1472" s="21">
        <v>1919000</v>
      </c>
      <c r="L1472" s="21"/>
      <c r="M1472" s="22">
        <f>(PROVEEDORES[[#This Row],[SUBTOTAL]]-PROVEEDORES[[#This Row],[descuento sobre subtotal]])*VLOOKUP(PROVEEDORES[[#This Row],[PROVEEDOR]],TERCEROS_INFO[#All],3,FALSE)</f>
        <v>0</v>
      </c>
      <c r="N1472" s="23"/>
      <c r="O1472" s="22">
        <f>+PROVEEDORES[[#This Row],[Descuento sobre subtotal %]]*(PROVEEDORES[[#This Row],[SUBTOTAL]]-PROVEEDORES[[#This Row],[descuento sobre subtotal]])</f>
        <v>0</v>
      </c>
      <c r="P1472" s="83">
        <f>+IF(PROVEEDORES[[#This Row],[SUBTOTAL]]&lt;PROVEEDORES[[#This Row],[base retencion]],0,PROVEEDORES[[#This Row],[retención aplicada]])</f>
        <v>0</v>
      </c>
      <c r="Q1472" s="22">
        <f>+PROVEEDORES[[#This Row],[Rete Fuente %]]*(PROVEEDORES[[#This Row],[SUBTOTAL]]-PROVEEDORES[[#This Row],[descuento sobre subtotal]])</f>
        <v>0</v>
      </c>
      <c r="R1472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14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2" s="68">
        <f ca="1">IF(PROVEEDORES[[#This Row],[FECHA DE PAGO]]=0,TODAY()-PROVEEDORES[[#This Row],[FECHA DE FACTURACIÓN]]-PROVEEDORES[[#This Row],[PLAZO Días]],0)</f>
        <v>0</v>
      </c>
      <c r="U1472" s="96">
        <f>+VLOOKUP(PROVEEDORES[[#This Row],[PROVEEDOR]],Terceros!$A:$D,4,FALSE)</f>
        <v>0</v>
      </c>
      <c r="V1472" s="97">
        <f>+YEAR(PROVEEDORES[[#This Row],[FECHA DE FACTURACIÓN]])</f>
        <v>2022</v>
      </c>
      <c r="W1472" s="97">
        <f>+MATCH(PROVEEDORES[[#This Row],[año facturado]],Retenciones!$1:$1,0)</f>
        <v>5</v>
      </c>
      <c r="X1472" s="98">
        <f>+VLOOKUP(PROVEEDORES[[#This Row],[ID RETENCION]],Retenciones!$A$1:$O$25,PROVEEDORES[[#This Row],[indicador de columna]],FALSE)</f>
        <v>0</v>
      </c>
      <c r="Y1472" s="99">
        <f>+VLOOKUP(PROVEEDORES[[#This Row],[ID RETENCION]],Retenciones!$A$1:$O$25,2,FALSE)</f>
        <v>0</v>
      </c>
      <c r="Z1472" s="125" t="b">
        <f>OR(COUNTIF(PROVEEDORES[[#This Row],[PROVEEDOR]],"*"&amp;'Palabra no opera'!$A$2&amp;"*"))</f>
        <v>0</v>
      </c>
    </row>
    <row r="1473" spans="1:26" ht="22.2" customHeight="1" x14ac:dyDescent="0.3">
      <c r="A1473" s="159" t="str">
        <f>+IF(PROVEEDORES[[#This Row],[FECHA DE PAGO]]=PROVEEDORES[[#This Row],[FECHA DE FACTURACIÓN]],"DE CONTADO","CRÉDITO")</f>
        <v>CRÉDITO</v>
      </c>
      <c r="B1473" s="38" t="b">
        <f>+IF((PROVEEDORES[[#This Row],[FECHA DE PAGO]]-PROVEEDORES[[#This Row],[FECHA DE FACTURACIÓN]])&gt;PROVEEDORES[[#This Row],[PLAZO Días]],"PAGO VENCIDO")</f>
        <v>0</v>
      </c>
      <c r="C1473" s="20">
        <f>+VLOOKUP(PROVEEDORES[[#This Row],[PROVEEDOR]],TERCEROS_INFO[#All],2,FALSE)</f>
        <v>30</v>
      </c>
      <c r="D1473" s="25">
        <f>+SUMIFS(PROVEEDORES[Total],PROVEEDORES[PROVEEDOR],PROVEEDORES[[#This Row],[PROVEEDOR]],PROVEEDORES[FECHA DE PAGO],"")</f>
        <v>4024829</v>
      </c>
      <c r="E1473" s="25"/>
      <c r="F147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73" s="161">
        <v>44728</v>
      </c>
      <c r="H1473" s="26" t="s">
        <v>345</v>
      </c>
      <c r="I1473" s="161">
        <v>44727</v>
      </c>
      <c r="J1473" s="35" t="s">
        <v>1105</v>
      </c>
      <c r="K1473" s="21">
        <v>1919000</v>
      </c>
      <c r="L1473" s="21"/>
      <c r="M1473" s="22">
        <f>(PROVEEDORES[[#This Row],[SUBTOTAL]]-PROVEEDORES[[#This Row],[descuento sobre subtotal]])*VLOOKUP(PROVEEDORES[[#This Row],[PROVEEDOR]],TERCEROS_INFO[#All],3,FALSE)</f>
        <v>0</v>
      </c>
      <c r="N1473" s="23"/>
      <c r="O1473" s="22">
        <f>+PROVEEDORES[[#This Row],[Descuento sobre subtotal %]]*(PROVEEDORES[[#This Row],[SUBTOTAL]]-PROVEEDORES[[#This Row],[descuento sobre subtotal]])</f>
        <v>0</v>
      </c>
      <c r="P1473" s="83">
        <f>+IF(PROVEEDORES[[#This Row],[SUBTOTAL]]&lt;PROVEEDORES[[#This Row],[base retencion]],0,PROVEEDORES[[#This Row],[retención aplicada]])</f>
        <v>0</v>
      </c>
      <c r="Q1473" s="22">
        <f>+PROVEEDORES[[#This Row],[Rete Fuente %]]*(PROVEEDORES[[#This Row],[SUBTOTAL]]-PROVEEDORES[[#This Row],[descuento sobre subtotal]])</f>
        <v>0</v>
      </c>
      <c r="R1473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147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3" s="68">
        <f ca="1">IF(PROVEEDORES[[#This Row],[FECHA DE PAGO]]=0,TODAY()-PROVEEDORES[[#This Row],[FECHA DE FACTURACIÓN]]-PROVEEDORES[[#This Row],[PLAZO Días]],0)</f>
        <v>0</v>
      </c>
      <c r="U1473" s="113">
        <f>+VLOOKUP(PROVEEDORES[[#This Row],[PROVEEDOR]],Terceros!$A:$D,4,FALSE)</f>
        <v>0</v>
      </c>
      <c r="V1473" s="114">
        <f>+YEAR(PROVEEDORES[[#This Row],[FECHA DE FACTURACIÓN]])</f>
        <v>2022</v>
      </c>
      <c r="W1473" s="114">
        <f>+MATCH(PROVEEDORES[[#This Row],[año facturado]],Retenciones!$1:$1,0)</f>
        <v>5</v>
      </c>
      <c r="X1473" s="115">
        <f>+VLOOKUP(PROVEEDORES[[#This Row],[ID RETENCION]],Retenciones!$A$1:$O$25,PROVEEDORES[[#This Row],[indicador de columna]],FALSE)</f>
        <v>0</v>
      </c>
      <c r="Y1473" s="116">
        <f>+VLOOKUP(PROVEEDORES[[#This Row],[ID RETENCION]],Retenciones!$A$1:$O$25,2,FALSE)</f>
        <v>0</v>
      </c>
      <c r="Z1473" s="125" t="b">
        <f>OR(COUNTIF(PROVEEDORES[[#This Row],[PROVEEDOR]],"*"&amp;'Palabra no opera'!$A$2&amp;"*"))</f>
        <v>0</v>
      </c>
    </row>
    <row r="1474" spans="1:26" ht="22.2" customHeight="1" x14ac:dyDescent="0.3">
      <c r="A1474" s="159" t="str">
        <f>+IF(PROVEEDORES[[#This Row],[FECHA DE PAGO]]=PROVEEDORES[[#This Row],[FECHA DE FACTURACIÓN]],"DE CONTADO","CRÉDITO")</f>
        <v>CRÉDITO</v>
      </c>
      <c r="B1474" s="38" t="str">
        <f>+IF((PROVEEDORES[[#This Row],[FECHA DE PAGO]]-PROVEEDORES[[#This Row],[FECHA DE FACTURACIÓN]])&gt;PROVEEDORES[[#This Row],[PLAZO Días]],"PAGO VENCIDO")</f>
        <v>PAGO VENCIDO</v>
      </c>
      <c r="C1474" s="20">
        <f>+VLOOKUP(PROVEEDORES[[#This Row],[PROVEEDOR]],TERCEROS_INFO[#All],2,FALSE)</f>
        <v>45</v>
      </c>
      <c r="D1474" s="25">
        <f>+SUMIFS(PROVEEDORES[Total],PROVEEDORES[PROVEEDOR],PROVEEDORES[[#This Row],[PROVEEDOR]],PROVEEDORES[FECHA DE PAGO],"")</f>
        <v>2604910</v>
      </c>
      <c r="E1474" s="25"/>
      <c r="F147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74" s="161">
        <v>44806</v>
      </c>
      <c r="H1474" s="26" t="s">
        <v>10</v>
      </c>
      <c r="I1474" s="161">
        <v>44740</v>
      </c>
      <c r="J1474" s="35" t="s">
        <v>1094</v>
      </c>
      <c r="K1474" s="21">
        <v>1615000</v>
      </c>
      <c r="L1474" s="21"/>
      <c r="M1474" s="22">
        <f>(PROVEEDORES[[#This Row],[SUBTOTAL]]-PROVEEDORES[[#This Row],[descuento sobre subtotal]])*VLOOKUP(PROVEEDORES[[#This Row],[PROVEEDOR]],TERCEROS_INFO[#All],3,FALSE)</f>
        <v>306850</v>
      </c>
      <c r="N1474" s="23"/>
      <c r="O1474" s="22">
        <f>+PROVEEDORES[[#This Row],[Descuento sobre subtotal %]]*(PROVEEDORES[[#This Row],[SUBTOTAL]]-PROVEEDORES[[#This Row],[descuento sobre subtotal]])</f>
        <v>0</v>
      </c>
      <c r="P1474" s="83">
        <f>+IF(PROVEEDORES[[#This Row],[SUBTOTAL]]&lt;PROVEEDORES[[#This Row],[base retencion]],0,PROVEEDORES[[#This Row],[retención aplicada]])</f>
        <v>0</v>
      </c>
      <c r="Q1474" s="22">
        <f>+PROVEEDORES[[#This Row],[Rete Fuente %]]*(PROVEEDORES[[#This Row],[SUBTOTAL]]-PROVEEDORES[[#This Row],[descuento sobre subtotal]])</f>
        <v>0</v>
      </c>
      <c r="R1474" s="21">
        <f>+PROVEEDORES[[#This Row],[SUBTOTAL]]+PROVEEDORES[[#This Row],[IVA 19%]]-PROVEEDORES[[#This Row],[descuento sobre subtotal]]-PROVEEDORES[[#This Row],[Descuento sobre subtotal $2]]-PROVEEDORES[[#This Row],[Rete Fuente $]]</f>
        <v>1921850</v>
      </c>
      <c r="S147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4" s="68">
        <f ca="1">IF(PROVEEDORES[[#This Row],[FECHA DE PAGO]]=0,TODAY()-PROVEEDORES[[#This Row],[FECHA DE FACTURACIÓN]]-PROVEEDORES[[#This Row],[PLAZO Días]],0)</f>
        <v>0</v>
      </c>
      <c r="U1474" s="113">
        <f>+VLOOKUP(PROVEEDORES[[#This Row],[PROVEEDOR]],Terceros!$A:$D,4,FALSE)</f>
        <v>0</v>
      </c>
      <c r="V1474" s="114">
        <f>+YEAR(PROVEEDORES[[#This Row],[FECHA DE FACTURACIÓN]])</f>
        <v>2022</v>
      </c>
      <c r="W1474" s="114">
        <f>+MATCH(PROVEEDORES[[#This Row],[año facturado]],Retenciones!$1:$1,0)</f>
        <v>5</v>
      </c>
      <c r="X1474" s="115">
        <f>+VLOOKUP(PROVEEDORES[[#This Row],[ID RETENCION]],Retenciones!$A$1:$O$25,PROVEEDORES[[#This Row],[indicador de columna]],FALSE)</f>
        <v>0</v>
      </c>
      <c r="Y1474" s="116">
        <f>+VLOOKUP(PROVEEDORES[[#This Row],[ID RETENCION]],Retenciones!$A$1:$O$25,2,FALSE)</f>
        <v>0</v>
      </c>
      <c r="Z1474" s="125" t="b">
        <f>OR(COUNTIF(PROVEEDORES[[#This Row],[PROVEEDOR]],"*"&amp;'Palabra no opera'!$A$2&amp;"*"))</f>
        <v>0</v>
      </c>
    </row>
    <row r="1475" spans="1:26" ht="22.2" customHeight="1" x14ac:dyDescent="0.3">
      <c r="A1475" s="66" t="str">
        <f>+IF(PROVEEDORES[[#This Row],[FECHA DE PAGO]]=PROVEEDORES[[#This Row],[FECHA DE FACTURACIÓN]],"DE CONTADO","CRÉDITO")</f>
        <v>CRÉDITO</v>
      </c>
      <c r="B1475" s="38" t="b">
        <f>+IF((PROVEEDORES[[#This Row],[FECHA DE PAGO]]-PROVEEDORES[[#This Row],[FECHA DE FACTURACIÓN]])&gt;PROVEEDORES[[#This Row],[PLAZO Días]],"PAGO VENCIDO")</f>
        <v>0</v>
      </c>
      <c r="C1475" s="20">
        <f>+VLOOKUP(PROVEEDORES[[#This Row],[PROVEEDOR]],TERCEROS_INFO[#All],2,FALSE)</f>
        <v>30</v>
      </c>
      <c r="D1475" s="25">
        <f>+SUMIFS(PROVEEDORES[Total],PROVEEDORES[PROVEEDOR],PROVEEDORES[[#This Row],[PROVEEDOR]],PROVEEDORES[FECHA DE PAGO],"")</f>
        <v>0</v>
      </c>
      <c r="E1475" s="25"/>
      <c r="F147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75" s="161">
        <v>44650</v>
      </c>
      <c r="H1475" s="26" t="s">
        <v>918</v>
      </c>
      <c r="I1475" s="161">
        <v>44621</v>
      </c>
      <c r="J1475" s="35">
        <v>10117</v>
      </c>
      <c r="K1475" s="21">
        <v>1922190</v>
      </c>
      <c r="L1475" s="21"/>
      <c r="M1475" s="22">
        <f>(PROVEEDORES[[#This Row],[SUBTOTAL]]-PROVEEDORES[[#This Row],[descuento sobre subtotal]])*VLOOKUP(PROVEEDORES[[#This Row],[PROVEEDOR]],TERCEROS_INFO[#All],3,FALSE)</f>
        <v>0</v>
      </c>
      <c r="N1475" s="23"/>
      <c r="O1475" s="22">
        <f>+PROVEEDORES[[#This Row],[Descuento sobre subtotal %]]*(PROVEEDORES[[#This Row],[SUBTOTAL]]-PROVEEDORES[[#This Row],[descuento sobre subtotal]])</f>
        <v>0</v>
      </c>
      <c r="P1475" s="83">
        <f>+IF(PROVEEDORES[[#This Row],[SUBTOTAL]]&lt;PROVEEDORES[[#This Row],[base retencion]],0,PROVEEDORES[[#This Row],[retención aplicada]])</f>
        <v>0</v>
      </c>
      <c r="Q1475" s="22">
        <f>+PROVEEDORES[[#This Row],[Rete Fuente %]]*(PROVEEDORES[[#This Row],[SUBTOTAL]]-PROVEEDORES[[#This Row],[descuento sobre subtotal]])</f>
        <v>0</v>
      </c>
      <c r="R1475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14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5" s="68">
        <f ca="1">IF(PROVEEDORES[[#This Row],[FECHA DE PAGO]]=0,TODAY()-PROVEEDORES[[#This Row],[FECHA DE FACTURACIÓN]]-PROVEEDORES[[#This Row],[PLAZO Días]],0)</f>
        <v>0</v>
      </c>
      <c r="U1475" s="96">
        <f>+VLOOKUP(PROVEEDORES[[#This Row],[PROVEEDOR]],Terceros!$A:$D,4,FALSE)</f>
        <v>0</v>
      </c>
      <c r="V1475" s="97">
        <f>+YEAR(PROVEEDORES[[#This Row],[FECHA DE FACTURACIÓN]])</f>
        <v>2022</v>
      </c>
      <c r="W1475" s="97">
        <f>+MATCH(PROVEEDORES[[#This Row],[año facturado]],Retenciones!$1:$1,0)</f>
        <v>5</v>
      </c>
      <c r="X1475" s="98">
        <f>+VLOOKUP(PROVEEDORES[[#This Row],[ID RETENCION]],Retenciones!$A$1:$O$25,PROVEEDORES[[#This Row],[indicador de columna]],FALSE)</f>
        <v>0</v>
      </c>
      <c r="Y1475" s="99">
        <f>+VLOOKUP(PROVEEDORES[[#This Row],[ID RETENCION]],Retenciones!$A$1:$O$25,2,FALSE)</f>
        <v>0</v>
      </c>
      <c r="Z1475" s="125" t="b">
        <f>OR(COUNTIF(PROVEEDORES[[#This Row],[PROVEEDOR]],"*"&amp;'Palabra no opera'!$A$2&amp;"*"))</f>
        <v>1</v>
      </c>
    </row>
    <row r="1476" spans="1:26" ht="22.2" customHeight="1" x14ac:dyDescent="0.3">
      <c r="A1476" s="66" t="str">
        <f>+IF(PROVEEDORES[[#This Row],[FECHA DE PAGO]]=PROVEEDORES[[#This Row],[FECHA DE FACTURACIÓN]],"DE CONTADO","CRÉDITO")</f>
        <v>CRÉDITO</v>
      </c>
      <c r="B1476" s="38" t="b">
        <f>+IF((PROVEEDORES[[#This Row],[FECHA DE PAGO]]-PROVEEDORES[[#This Row],[FECHA DE FACTURACIÓN]])&gt;PROVEEDORES[[#This Row],[PLAZO Días]],"PAGO VENCIDO")</f>
        <v>0</v>
      </c>
      <c r="C1476" s="20">
        <f>+VLOOKUP(PROVEEDORES[[#This Row],[PROVEEDOR]],TERCEROS_INFO[#All],2,FALSE)</f>
        <v>30</v>
      </c>
      <c r="D1476" s="25">
        <f>+SUMIFS(PROVEEDORES[Total],PROVEEDORES[PROVEEDOR],PROVEEDORES[[#This Row],[PROVEEDOR]],PROVEEDORES[FECHA DE PAGO],"")</f>
        <v>0</v>
      </c>
      <c r="E1476" s="25"/>
      <c r="F147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76" s="161">
        <v>44678</v>
      </c>
      <c r="H1476" s="26" t="s">
        <v>918</v>
      </c>
      <c r="I1476" s="161">
        <v>44652</v>
      </c>
      <c r="J1476" s="35">
        <v>10316</v>
      </c>
      <c r="K1476" s="21">
        <v>1922190</v>
      </c>
      <c r="L1476" s="21"/>
      <c r="M1476" s="22">
        <f>(PROVEEDORES[[#This Row],[SUBTOTAL]]-PROVEEDORES[[#This Row],[descuento sobre subtotal]])*VLOOKUP(PROVEEDORES[[#This Row],[PROVEEDOR]],TERCEROS_INFO[#All],3,FALSE)</f>
        <v>0</v>
      </c>
      <c r="N1476" s="23"/>
      <c r="O1476" s="22">
        <f>+PROVEEDORES[[#This Row],[Descuento sobre subtotal %]]*(PROVEEDORES[[#This Row],[SUBTOTAL]]-PROVEEDORES[[#This Row],[descuento sobre subtotal]])</f>
        <v>0</v>
      </c>
      <c r="P1476" s="83">
        <f>+IF(PROVEEDORES[[#This Row],[SUBTOTAL]]&lt;PROVEEDORES[[#This Row],[base retencion]],0,PROVEEDORES[[#This Row],[retención aplicada]])</f>
        <v>0</v>
      </c>
      <c r="Q1476" s="22">
        <f>+PROVEEDORES[[#This Row],[Rete Fuente %]]*(PROVEEDORES[[#This Row],[SUBTOTAL]]-PROVEEDORES[[#This Row],[descuento sobre subtotal]])</f>
        <v>0</v>
      </c>
      <c r="R1476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14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6" s="68">
        <f ca="1">IF(PROVEEDORES[[#This Row],[FECHA DE PAGO]]=0,TODAY()-PROVEEDORES[[#This Row],[FECHA DE FACTURACIÓN]]-PROVEEDORES[[#This Row],[PLAZO Días]],0)</f>
        <v>0</v>
      </c>
      <c r="U1476" s="96">
        <f>+VLOOKUP(PROVEEDORES[[#This Row],[PROVEEDOR]],Terceros!$A:$D,4,FALSE)</f>
        <v>0</v>
      </c>
      <c r="V1476" s="97">
        <f>+YEAR(PROVEEDORES[[#This Row],[FECHA DE FACTURACIÓN]])</f>
        <v>2022</v>
      </c>
      <c r="W1476" s="97">
        <f>+MATCH(PROVEEDORES[[#This Row],[año facturado]],Retenciones!$1:$1,0)</f>
        <v>5</v>
      </c>
      <c r="X1476" s="98">
        <f>+VLOOKUP(PROVEEDORES[[#This Row],[ID RETENCION]],Retenciones!$A$1:$O$25,PROVEEDORES[[#This Row],[indicador de columna]],FALSE)</f>
        <v>0</v>
      </c>
      <c r="Y1476" s="99">
        <f>+VLOOKUP(PROVEEDORES[[#This Row],[ID RETENCION]],Retenciones!$A$1:$O$25,2,FALSE)</f>
        <v>0</v>
      </c>
      <c r="Z1476" s="125" t="b">
        <f>OR(COUNTIF(PROVEEDORES[[#This Row],[PROVEEDOR]],"*"&amp;'Palabra no opera'!$A$2&amp;"*"))</f>
        <v>1</v>
      </c>
    </row>
    <row r="1477" spans="1:26" ht="22.2" customHeight="1" x14ac:dyDescent="0.3">
      <c r="A1477" s="66" t="str">
        <f>+IF(PROVEEDORES[[#This Row],[FECHA DE PAGO]]=PROVEEDORES[[#This Row],[FECHA DE FACTURACIÓN]],"DE CONTADO","CRÉDITO")</f>
        <v>CRÉDITO</v>
      </c>
      <c r="B1477" s="38" t="str">
        <f>+IF((PROVEEDORES[[#This Row],[FECHA DE PAGO]]-PROVEEDORES[[#This Row],[FECHA DE FACTURACIÓN]])&gt;PROVEEDORES[[#This Row],[PLAZO Días]],"PAGO VENCIDO")</f>
        <v>PAGO VENCIDO</v>
      </c>
      <c r="C1477" s="20">
        <f>+VLOOKUP(PROVEEDORES[[#This Row],[PROVEEDOR]],TERCEROS_INFO[#All],2,FALSE)</f>
        <v>30</v>
      </c>
      <c r="D1477" s="25">
        <f>+SUMIFS(PROVEEDORES[Total],PROVEEDORES[PROVEEDOR],PROVEEDORES[[#This Row],[PROVEEDOR]],PROVEEDORES[FECHA DE PAGO],"")</f>
        <v>5272763.2050000001</v>
      </c>
      <c r="E1477" s="25"/>
      <c r="F147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477" s="161">
        <v>44363</v>
      </c>
      <c r="H1477" s="26" t="s">
        <v>11</v>
      </c>
      <c r="I1477" s="161">
        <v>44321</v>
      </c>
      <c r="J1477" s="35" t="s">
        <v>323</v>
      </c>
      <c r="K1477" s="21">
        <v>1650000</v>
      </c>
      <c r="L1477" s="21"/>
      <c r="M1477" s="22">
        <f>(PROVEEDORES[[#This Row],[SUBTOTAL]]-PROVEEDORES[[#This Row],[descuento sobre subtotal]])*VLOOKUP(PROVEEDORES[[#This Row],[PROVEEDOR]],TERCEROS_INFO[#All],3,FALSE)</f>
        <v>313500</v>
      </c>
      <c r="N1477" s="23"/>
      <c r="O1477" s="22">
        <f>+PROVEEDORES[[#This Row],[Descuento sobre subtotal %]]*(PROVEEDORES[[#This Row],[SUBTOTAL]]-PROVEEDORES[[#This Row],[descuento sobre subtotal]])</f>
        <v>0</v>
      </c>
      <c r="P1477" s="83">
        <f>+IF(PROVEEDORES[[#This Row],[SUBTOTAL]]&lt;PROVEEDORES[[#This Row],[base retencion]],0,PROVEEDORES[[#This Row],[retención aplicada]])</f>
        <v>2.5000000000000001E-2</v>
      </c>
      <c r="Q1477" s="22">
        <f>+PROVEEDORES[[#This Row],[Rete Fuente %]]*(PROVEEDORES[[#This Row],[SUBTOTAL]]-PROVEEDORES[[#This Row],[descuento sobre subtotal]])</f>
        <v>41250</v>
      </c>
      <c r="R1477" s="21">
        <f>+PROVEEDORES[[#This Row],[SUBTOTAL]]+PROVEEDORES[[#This Row],[IVA 19%]]-PROVEEDORES[[#This Row],[descuento sobre subtotal]]-PROVEEDORES[[#This Row],[Descuento sobre subtotal $2]]-PROVEEDORES[[#This Row],[Rete Fuente $]]</f>
        <v>1922250</v>
      </c>
      <c r="S14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7" s="68">
        <f ca="1">IF(PROVEEDORES[[#This Row],[FECHA DE PAGO]]=0,TODAY()-PROVEEDORES[[#This Row],[FECHA DE FACTURACIÓN]]-PROVEEDORES[[#This Row],[PLAZO Días]],0)</f>
        <v>0</v>
      </c>
      <c r="U1477" s="96" t="str">
        <f>+VLOOKUP(PROVEEDORES[[#This Row],[PROVEEDOR]],Terceros!$A:$D,4,FALSE)</f>
        <v>2,5% con base</v>
      </c>
      <c r="V1477" s="97">
        <f>+YEAR(PROVEEDORES[[#This Row],[FECHA DE FACTURACIÓN]])</f>
        <v>2021</v>
      </c>
      <c r="W1477" s="97">
        <f>+MATCH(PROVEEDORES[[#This Row],[año facturado]],Retenciones!$1:$1,0)</f>
        <v>4</v>
      </c>
      <c r="X1477" s="98">
        <f>+VLOOKUP(PROVEEDORES[[#This Row],[ID RETENCION]],Retenciones!$A$1:$O$25,PROVEEDORES[[#This Row],[indicador de columna]],FALSE)</f>
        <v>980000</v>
      </c>
      <c r="Y1477" s="99">
        <f>+VLOOKUP(PROVEEDORES[[#This Row],[ID RETENCION]],Retenciones!$A$1:$O$25,2,FALSE)</f>
        <v>2.5000000000000001E-2</v>
      </c>
      <c r="Z1477" s="127" t="b">
        <f>OR(COUNTIF(PROVEEDORES[[#This Row],[PROVEEDOR]],"*"&amp;'Palabra no opera'!$A$2&amp;"*"))</f>
        <v>0</v>
      </c>
    </row>
    <row r="1478" spans="1:26" ht="22.2" customHeight="1" x14ac:dyDescent="0.3">
      <c r="A1478" s="66" t="str">
        <f>+IF(PROVEEDORES[[#This Row],[FECHA DE PAGO]]=PROVEEDORES[[#This Row],[FECHA DE FACTURACIÓN]],"DE CONTADO","CRÉDITO")</f>
        <v>CRÉDITO</v>
      </c>
      <c r="B1478" s="38" t="str">
        <f>+IF((PROVEEDORES[[#This Row],[FECHA DE PAGO]]-PROVEEDORES[[#This Row],[FECHA DE FACTURACIÓN]])&gt;PROVEEDORES[[#This Row],[PLAZO Días]],"PAGO VENCIDO")</f>
        <v>PAGO VENCIDO</v>
      </c>
      <c r="C1478" s="20">
        <f>+VLOOKUP(PROVEEDORES[[#This Row],[PROVEEDOR]],TERCEROS_INFO[#All],2,FALSE)</f>
        <v>30</v>
      </c>
      <c r="D1478" s="25">
        <f>+SUMIFS(PROVEEDORES[Total],PROVEEDORES[PROVEEDOR],PROVEEDORES[[#This Row],[PROVEEDOR]],PROVEEDORES[FECHA DE PAGO],"")</f>
        <v>0</v>
      </c>
      <c r="E1478" s="25"/>
      <c r="F147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78" s="161">
        <v>44546</v>
      </c>
      <c r="H1478" s="26" t="s">
        <v>430</v>
      </c>
      <c r="I1478" s="161">
        <v>44508</v>
      </c>
      <c r="J1478" s="35" t="s">
        <v>1517</v>
      </c>
      <c r="K1478" s="21">
        <v>1650000</v>
      </c>
      <c r="L1478" s="21"/>
      <c r="M1478" s="22">
        <f>(PROVEEDORES[[#This Row],[SUBTOTAL]]-PROVEEDORES[[#This Row],[descuento sobre subtotal]])*VLOOKUP(PROVEEDORES[[#This Row],[PROVEEDOR]],TERCEROS_INFO[#All],3,FALSE)</f>
        <v>313500</v>
      </c>
      <c r="N1478" s="23"/>
      <c r="O1478" s="22">
        <f>+PROVEEDORES[[#This Row],[Descuento sobre subtotal %]]*(PROVEEDORES[[#This Row],[SUBTOTAL]]-PROVEEDORES[[#This Row],[descuento sobre subtotal]])</f>
        <v>0</v>
      </c>
      <c r="P1478" s="83">
        <f>+IF(PROVEEDORES[[#This Row],[SUBTOTAL]]&lt;PROVEEDORES[[#This Row],[base retencion]],0,PROVEEDORES[[#This Row],[retención aplicada]])</f>
        <v>2.5000000000000001E-2</v>
      </c>
      <c r="Q1478" s="22">
        <f>+PROVEEDORES[[#This Row],[Rete Fuente %]]*(PROVEEDORES[[#This Row],[SUBTOTAL]]-PROVEEDORES[[#This Row],[descuento sobre subtotal]])</f>
        <v>41250</v>
      </c>
      <c r="R1478" s="21">
        <f>+PROVEEDORES[[#This Row],[SUBTOTAL]]+PROVEEDORES[[#This Row],[IVA 19%]]-PROVEEDORES[[#This Row],[descuento sobre subtotal]]-PROVEEDORES[[#This Row],[Descuento sobre subtotal $2]]-PROVEEDORES[[#This Row],[Rete Fuente $]]</f>
        <v>1922250</v>
      </c>
      <c r="S14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8" s="68">
        <f ca="1">IF(PROVEEDORES[[#This Row],[FECHA DE PAGO]]=0,TODAY()-PROVEEDORES[[#This Row],[FECHA DE FACTURACIÓN]]-PROVEEDORES[[#This Row],[PLAZO Días]],0)</f>
        <v>0</v>
      </c>
      <c r="U1478" s="96" t="str">
        <f>+VLOOKUP(PROVEEDORES[[#This Row],[PROVEEDOR]],Terceros!$A:$D,4,FALSE)</f>
        <v>2,5% con base</v>
      </c>
      <c r="V1478" s="97">
        <f>+YEAR(PROVEEDORES[[#This Row],[FECHA DE FACTURACIÓN]])</f>
        <v>2021</v>
      </c>
      <c r="W1478" s="97">
        <f>+MATCH(PROVEEDORES[[#This Row],[año facturado]],Retenciones!$1:$1,0)</f>
        <v>4</v>
      </c>
      <c r="X1478" s="98">
        <f>+VLOOKUP(PROVEEDORES[[#This Row],[ID RETENCION]],Retenciones!$A$1:$O$25,PROVEEDORES[[#This Row],[indicador de columna]],FALSE)</f>
        <v>980000</v>
      </c>
      <c r="Y1478" s="99">
        <f>+VLOOKUP(PROVEEDORES[[#This Row],[ID RETENCION]],Retenciones!$A$1:$O$25,2,FALSE)</f>
        <v>2.5000000000000001E-2</v>
      </c>
      <c r="Z1478" s="125" t="b">
        <f>OR(COUNTIF(PROVEEDORES[[#This Row],[PROVEEDOR]],"*"&amp;'Palabra no opera'!$A$2&amp;"*"))</f>
        <v>0</v>
      </c>
    </row>
    <row r="1479" spans="1:26" ht="22.2" customHeight="1" x14ac:dyDescent="0.3">
      <c r="A1479" s="66" t="str">
        <f>+IF(PROVEEDORES[[#This Row],[FECHA DE PAGO]]=PROVEEDORES[[#This Row],[FECHA DE FACTURACIÓN]],"DE CONTADO","CRÉDITO")</f>
        <v>CRÉDITO</v>
      </c>
      <c r="B1479" s="38" t="str">
        <f>+IF((PROVEEDORES[[#This Row],[FECHA DE PAGO]]-PROVEEDORES[[#This Row],[FECHA DE FACTURACIÓN]])&gt;PROVEEDORES[[#This Row],[PLAZO Días]],"PAGO VENCIDO")</f>
        <v>PAGO VENCIDO</v>
      </c>
      <c r="C1479" s="20">
        <f>+VLOOKUP(PROVEEDORES[[#This Row],[PROVEEDOR]],TERCEROS_INFO[#All],2,FALSE)</f>
        <v>30</v>
      </c>
      <c r="D1479" s="25">
        <f>+SUMIFS(PROVEEDORES[Total],PROVEEDORES[PROVEEDOR],PROVEEDORES[[#This Row],[PROVEEDOR]],PROVEEDORES[FECHA DE PAGO],"")</f>
        <v>2318500</v>
      </c>
      <c r="E1479" s="25"/>
      <c r="F1479" s="58" t="str">
        <f>+VLOOKUP(PROVEEDORES[[#This Row],[PROVEEDOR]],
                       Terceros!$A:$F,
                       5,
                       FALSE)</f>
        <v/>
      </c>
      <c r="G1479" s="161">
        <v>44410</v>
      </c>
      <c r="H1479" s="26" t="s">
        <v>629</v>
      </c>
      <c r="I1479" s="161">
        <v>44376</v>
      </c>
      <c r="J1479" s="35" t="s">
        <v>1260</v>
      </c>
      <c r="K1479" s="21">
        <v>1922900</v>
      </c>
      <c r="L1479" s="21"/>
      <c r="M1479" s="22">
        <f>(PROVEEDORES[[#This Row],[SUBTOTAL]]-PROVEEDORES[[#This Row],[descuento sobre subtotal]])*VLOOKUP(PROVEEDORES[[#This Row],[PROVEEDOR]],TERCEROS_INFO[#All],3,FALSE)</f>
        <v>0</v>
      </c>
      <c r="N1479" s="23"/>
      <c r="O1479" s="22">
        <f>+PROVEEDORES[[#This Row],[Descuento sobre subtotal %]]*(PROVEEDORES[[#This Row],[SUBTOTAL]]-PROVEEDORES[[#This Row],[descuento sobre subtotal]])</f>
        <v>0</v>
      </c>
      <c r="P1479" s="83">
        <f>+IF(PROVEEDORES[[#This Row],[SUBTOTAL]]&lt;PROVEEDORES[[#This Row],[base retencion]],0,PROVEEDORES[[#This Row],[retención aplicada]])</f>
        <v>0</v>
      </c>
      <c r="Q1479" s="22">
        <f>+PROVEEDORES[[#This Row],[Rete Fuente %]]*(PROVEEDORES[[#This Row],[SUBTOTAL]]-PROVEEDORES[[#This Row],[descuento sobre subtotal]])</f>
        <v>0</v>
      </c>
      <c r="R1479" s="21">
        <f>+PROVEEDORES[[#This Row],[SUBTOTAL]]+PROVEEDORES[[#This Row],[IVA 19%]]-PROVEEDORES[[#This Row],[descuento sobre subtotal]]-PROVEEDORES[[#This Row],[Descuento sobre subtotal $2]]-PROVEEDORES[[#This Row],[Rete Fuente $]]</f>
        <v>1922900</v>
      </c>
      <c r="S14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9" s="68">
        <f ca="1">IF(PROVEEDORES[[#This Row],[FECHA DE PAGO]]=0,TODAY()-PROVEEDORES[[#This Row],[FECHA DE FACTURACIÓN]]-PROVEEDORES[[#This Row],[PLAZO Días]],0)</f>
        <v>0</v>
      </c>
      <c r="U1479" s="96">
        <f>+VLOOKUP(PROVEEDORES[[#This Row],[PROVEEDOR]],Terceros!$A:$D,4,FALSE)</f>
        <v>0</v>
      </c>
      <c r="V1479" s="97">
        <f>+YEAR(PROVEEDORES[[#This Row],[FECHA DE FACTURACIÓN]])</f>
        <v>2021</v>
      </c>
      <c r="W1479" s="97">
        <f>+MATCH(PROVEEDORES[[#This Row],[año facturado]],Retenciones!$1:$1,0)</f>
        <v>4</v>
      </c>
      <c r="X1479" s="98">
        <f>+VLOOKUP(PROVEEDORES[[#This Row],[ID RETENCION]],Retenciones!$A$1:$O$25,PROVEEDORES[[#This Row],[indicador de columna]],FALSE)</f>
        <v>0</v>
      </c>
      <c r="Y1479" s="99">
        <f>+VLOOKUP(PROVEEDORES[[#This Row],[ID RETENCION]],Retenciones!$A$1:$O$25,2,FALSE)</f>
        <v>0</v>
      </c>
      <c r="Z1479" s="125" t="b">
        <f>OR(COUNTIF(PROVEEDORES[[#This Row],[PROVEEDOR]],"*"&amp;'Palabra no opera'!$A$2&amp;"*"))</f>
        <v>0</v>
      </c>
    </row>
    <row r="1480" spans="1:26" ht="22.2" customHeight="1" x14ac:dyDescent="0.3">
      <c r="A1480" s="159" t="str">
        <f>+IF(PROVEEDORES[[#This Row],[FECHA DE PAGO]]=PROVEEDORES[[#This Row],[FECHA DE FACTURACIÓN]],"DE CONTADO","CRÉDITO")</f>
        <v>CRÉDITO</v>
      </c>
      <c r="B1480" s="38" t="str">
        <f>+IF((PROVEEDORES[[#This Row],[FECHA DE PAGO]]-PROVEEDORES[[#This Row],[FECHA DE FACTURACIÓN]])&gt;PROVEEDORES[[#This Row],[PLAZO Días]],"PAGO VENCIDO")</f>
        <v>PAGO VENCIDO</v>
      </c>
      <c r="C1480" s="20">
        <f>+VLOOKUP(PROVEEDORES[[#This Row],[PROVEEDOR]],TERCEROS_INFO[#All],2,FALSE)</f>
        <v>30</v>
      </c>
      <c r="D1480" s="25">
        <f>+SUMIFS(PROVEEDORES[Total],PROVEEDORES[PROVEEDOR],PROVEEDORES[[#This Row],[PROVEEDOR]],PROVEEDORES[FECHA DE PAGO],"")</f>
        <v>3236000</v>
      </c>
      <c r="E1480" s="25"/>
      <c r="F148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80" s="161">
        <v>44771</v>
      </c>
      <c r="H1480" s="26" t="s">
        <v>677</v>
      </c>
      <c r="I1480" s="161">
        <v>44740</v>
      </c>
      <c r="J1480" s="35" t="s">
        <v>1388</v>
      </c>
      <c r="K1480" s="21">
        <v>1927500</v>
      </c>
      <c r="L1480" s="21"/>
      <c r="M1480" s="22">
        <f>(PROVEEDORES[[#This Row],[SUBTOTAL]]-PROVEEDORES[[#This Row],[descuento sobre subtotal]])*VLOOKUP(PROVEEDORES[[#This Row],[PROVEEDOR]],TERCEROS_INFO[#All],3,FALSE)</f>
        <v>0</v>
      </c>
      <c r="N1480" s="23"/>
      <c r="O1480" s="22">
        <f>+PROVEEDORES[[#This Row],[Descuento sobre subtotal %]]*(PROVEEDORES[[#This Row],[SUBTOTAL]]-PROVEEDORES[[#This Row],[descuento sobre subtotal]])</f>
        <v>0</v>
      </c>
      <c r="P1480" s="83">
        <f>+IF(PROVEEDORES[[#This Row],[SUBTOTAL]]&lt;PROVEEDORES[[#This Row],[base retencion]],0,PROVEEDORES[[#This Row],[retención aplicada]])</f>
        <v>0</v>
      </c>
      <c r="Q1480" s="22">
        <f>+PROVEEDORES[[#This Row],[Rete Fuente %]]*(PROVEEDORES[[#This Row],[SUBTOTAL]]-PROVEEDORES[[#This Row],[descuento sobre subtotal]])</f>
        <v>0</v>
      </c>
      <c r="R1480" s="21">
        <f>+PROVEEDORES[[#This Row],[SUBTOTAL]]+PROVEEDORES[[#This Row],[IVA 19%]]-PROVEEDORES[[#This Row],[descuento sobre subtotal]]-PROVEEDORES[[#This Row],[Descuento sobre subtotal $2]]-PROVEEDORES[[#This Row],[Rete Fuente $]]</f>
        <v>1927500</v>
      </c>
      <c r="S1480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0" s="68">
        <f ca="1">IF(PROVEEDORES[[#This Row],[FECHA DE PAGO]]=0,TODAY()-PROVEEDORES[[#This Row],[FECHA DE FACTURACIÓN]]-PROVEEDORES[[#This Row],[PLAZO Días]],0)</f>
        <v>0</v>
      </c>
      <c r="U1480" s="113">
        <f>+VLOOKUP(PROVEEDORES[[#This Row],[PROVEEDOR]],Terceros!$A:$D,4,FALSE)</f>
        <v>0</v>
      </c>
      <c r="V1480" s="114">
        <f>+YEAR(PROVEEDORES[[#This Row],[FECHA DE FACTURACIÓN]])</f>
        <v>2022</v>
      </c>
      <c r="W1480" s="114">
        <f>+MATCH(PROVEEDORES[[#This Row],[año facturado]],Retenciones!$1:$1,0)</f>
        <v>5</v>
      </c>
      <c r="X1480" s="115">
        <f>+VLOOKUP(PROVEEDORES[[#This Row],[ID RETENCION]],Retenciones!$A$1:$O$25,PROVEEDORES[[#This Row],[indicador de columna]],FALSE)</f>
        <v>0</v>
      </c>
      <c r="Y1480" s="116">
        <f>+VLOOKUP(PROVEEDORES[[#This Row],[ID RETENCION]],Retenciones!$A$1:$O$25,2,FALSE)</f>
        <v>0</v>
      </c>
      <c r="Z1480" s="125" t="b">
        <f>OR(COUNTIF(PROVEEDORES[[#This Row],[PROVEEDOR]],"*"&amp;'Palabra no opera'!$A$2&amp;"*"))</f>
        <v>0</v>
      </c>
    </row>
    <row r="1481" spans="1:26" ht="22.2" customHeight="1" x14ac:dyDescent="0.3">
      <c r="A1481" s="66" t="str">
        <f>+IF(PROVEEDORES[[#This Row],[FECHA DE PAGO]]=PROVEEDORES[[#This Row],[FECHA DE FACTURACIÓN]],"DE CONTADO","CRÉDITO")</f>
        <v>CRÉDITO</v>
      </c>
      <c r="B1481" s="38" t="str">
        <f>+IF((PROVEEDORES[[#This Row],[FECHA DE PAGO]]-PROVEEDORES[[#This Row],[FECHA DE FACTURACIÓN]])&gt;PROVEEDORES[[#This Row],[PLAZO Días]],"PAGO VENCIDO")</f>
        <v>PAGO VENCIDO</v>
      </c>
      <c r="C1481" s="20">
        <f>+VLOOKUP(PROVEEDORES[[#This Row],[PROVEEDOR]],TERCEROS_INFO[#All],2,FALSE)</f>
        <v>30</v>
      </c>
      <c r="D1481" s="25">
        <f>+SUMIFS(PROVEEDORES[Total],PROVEEDORES[PROVEEDOR],PROVEEDORES[[#This Row],[PROVEEDOR]],PROVEEDORES[FECHA DE PAGO],"")</f>
        <v>0</v>
      </c>
      <c r="E1481" s="25"/>
      <c r="F148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81" s="161">
        <v>44684</v>
      </c>
      <c r="H1481" s="26" t="s">
        <v>1637</v>
      </c>
      <c r="I1481" s="161">
        <v>44610</v>
      </c>
      <c r="J1481" s="35">
        <v>24751</v>
      </c>
      <c r="K1481" s="21">
        <v>1656000</v>
      </c>
      <c r="L1481" s="21"/>
      <c r="M1481" s="22">
        <f>(PROVEEDORES[[#This Row],[SUBTOTAL]]-PROVEEDORES[[#This Row],[descuento sobre subtotal]])*VLOOKUP(PROVEEDORES[[#This Row],[PROVEEDOR]],TERCEROS_INFO[#All],3,FALSE)</f>
        <v>314640</v>
      </c>
      <c r="N1481" s="23"/>
      <c r="O1481" s="22">
        <f>+PROVEEDORES[[#This Row],[Descuento sobre subtotal %]]*(PROVEEDORES[[#This Row],[SUBTOTAL]]-PROVEEDORES[[#This Row],[descuento sobre subtotal]])</f>
        <v>0</v>
      </c>
      <c r="P1481" s="83">
        <f>+IF(PROVEEDORES[[#This Row],[SUBTOTAL]]&lt;PROVEEDORES[[#This Row],[base retencion]],0,PROVEEDORES[[#This Row],[retención aplicada]])</f>
        <v>2.5000000000000001E-2</v>
      </c>
      <c r="Q1481" s="22">
        <f>+PROVEEDORES[[#This Row],[Rete Fuente %]]*(PROVEEDORES[[#This Row],[SUBTOTAL]]-PROVEEDORES[[#This Row],[descuento sobre subtotal]])</f>
        <v>41400</v>
      </c>
      <c r="R1481" s="21">
        <f>+PROVEEDORES[[#This Row],[SUBTOTAL]]+PROVEEDORES[[#This Row],[IVA 19%]]-PROVEEDORES[[#This Row],[descuento sobre subtotal]]-PROVEEDORES[[#This Row],[Descuento sobre subtotal $2]]-PROVEEDORES[[#This Row],[Rete Fuente $]]</f>
        <v>1929240</v>
      </c>
      <c r="S14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1" s="68">
        <f ca="1">IF(PROVEEDORES[[#This Row],[FECHA DE PAGO]]=0,TODAY()-PROVEEDORES[[#This Row],[FECHA DE FACTURACIÓN]]-PROVEEDORES[[#This Row],[PLAZO Días]],0)</f>
        <v>0</v>
      </c>
      <c r="U1481" s="96" t="str">
        <f>+VLOOKUP(PROVEEDORES[[#This Row],[PROVEEDOR]],Terceros!$A:$D,4,FALSE)</f>
        <v>2,5% con base</v>
      </c>
      <c r="V1481" s="97">
        <f>+YEAR(PROVEEDORES[[#This Row],[FECHA DE FACTURACIÓN]])</f>
        <v>2022</v>
      </c>
      <c r="W1481" s="97">
        <f>+MATCH(PROVEEDORES[[#This Row],[año facturado]],Retenciones!$1:$1,0)</f>
        <v>5</v>
      </c>
      <c r="X1481" s="98">
        <f>+VLOOKUP(PROVEEDORES[[#This Row],[ID RETENCION]],Retenciones!$A$1:$O$25,PROVEEDORES[[#This Row],[indicador de columna]],FALSE)</f>
        <v>1026000</v>
      </c>
      <c r="Y1481" s="99">
        <f>+VLOOKUP(PROVEEDORES[[#This Row],[ID RETENCION]],Retenciones!$A$1:$O$25,2,FALSE)</f>
        <v>2.5000000000000001E-2</v>
      </c>
      <c r="Z1481" s="125" t="b">
        <f>OR(COUNTIF(PROVEEDORES[[#This Row],[PROVEEDOR]],"*"&amp;'Palabra no opera'!$A$2&amp;"*"))</f>
        <v>0</v>
      </c>
    </row>
    <row r="1482" spans="1:26" ht="22.2" customHeight="1" x14ac:dyDescent="0.3">
      <c r="A1482" s="72" t="str">
        <f>+IF(PROVEEDORES[[#This Row],[FECHA DE PAGO]]=PROVEEDORES[[#This Row],[FECHA DE FACTURACIÓN]],"DE CONTADO","CRÉDITO")</f>
        <v>CRÉDITO</v>
      </c>
      <c r="B1482" s="38" t="str">
        <f>+IF((PROVEEDORES[[#This Row],[FECHA DE PAGO]]-PROVEEDORES[[#This Row],[FECHA DE FACTURACIÓN]])&gt;PROVEEDORES[[#This Row],[PLAZO Días]],"PAGO VENCIDO")</f>
        <v>PAGO VENCIDO</v>
      </c>
      <c r="C1482" s="20">
        <f>+VLOOKUP(PROVEEDORES[[#This Row],[PROVEEDOR]],TERCEROS_INFO[#All],2,FALSE)</f>
        <v>30</v>
      </c>
      <c r="D1482" s="25">
        <f>+SUMIFS(PROVEEDORES[Total],PROVEEDORES[PROVEEDOR],PROVEEDORES[[#This Row],[PROVEEDOR]],PROVEEDORES[FECHA DE PAGO],"")</f>
        <v>2223034.2400000002</v>
      </c>
      <c r="E1482" s="25"/>
      <c r="F148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82" s="161">
        <v>44853</v>
      </c>
      <c r="H1482" s="26" t="s">
        <v>216</v>
      </c>
      <c r="I1482" s="161">
        <v>44768</v>
      </c>
      <c r="J1482" s="35">
        <v>651</v>
      </c>
      <c r="K1482" s="21">
        <v>1657982</v>
      </c>
      <c r="L1482" s="21"/>
      <c r="M1482" s="22">
        <f>(PROVEEDORES[[#This Row],[SUBTOTAL]]-PROVEEDORES[[#This Row],[descuento sobre subtotal]])*VLOOKUP(PROVEEDORES[[#This Row],[PROVEEDOR]],TERCEROS_INFO[#All],3,FALSE)</f>
        <v>315016.58</v>
      </c>
      <c r="N1482" s="23"/>
      <c r="O1482" s="22">
        <f>+PROVEEDORES[[#This Row],[Descuento sobre subtotal %]]*(PROVEEDORES[[#This Row],[SUBTOTAL]]-PROVEEDORES[[#This Row],[descuento sobre subtotal]])</f>
        <v>0</v>
      </c>
      <c r="P1482" s="83">
        <f>+IF(PROVEEDORES[[#This Row],[SUBTOTAL]]&lt;PROVEEDORES[[#This Row],[base retencion]],0,PROVEEDORES[[#This Row],[retención aplicada]])</f>
        <v>2.5000000000000001E-2</v>
      </c>
      <c r="Q1482" s="22">
        <f>+PROVEEDORES[[#This Row],[Rete Fuente %]]*(PROVEEDORES[[#This Row],[SUBTOTAL]]-PROVEEDORES[[#This Row],[descuento sobre subtotal]])</f>
        <v>41449.550000000003</v>
      </c>
      <c r="R1482" s="21">
        <f>+PROVEEDORES[[#This Row],[SUBTOTAL]]+PROVEEDORES[[#This Row],[IVA 19%]]-PROVEEDORES[[#This Row],[descuento sobre subtotal]]-PROVEEDORES[[#This Row],[Descuento sobre subtotal $2]]-PROVEEDORES[[#This Row],[Rete Fuente $]]</f>
        <v>1931549.03</v>
      </c>
      <c r="S148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2" s="68">
        <f ca="1">IF(PROVEEDORES[[#This Row],[FECHA DE PAGO]]=0,TODAY()-PROVEEDORES[[#This Row],[FECHA DE FACTURACIÓN]]-PROVEEDORES[[#This Row],[PLAZO Días]],0)</f>
        <v>0</v>
      </c>
      <c r="U1482" s="113" t="str">
        <f>+VLOOKUP(PROVEEDORES[[#This Row],[PROVEEDOR]],Terceros!$A:$D,4,FALSE)</f>
        <v>2,5% con base</v>
      </c>
      <c r="V1482" s="114">
        <f>+YEAR(PROVEEDORES[[#This Row],[FECHA DE FACTURACIÓN]])</f>
        <v>2022</v>
      </c>
      <c r="W1482" s="114">
        <f>+MATCH(PROVEEDORES[[#This Row],[año facturado]],Retenciones!$1:$1,0)</f>
        <v>5</v>
      </c>
      <c r="X1482" s="115">
        <f>+VLOOKUP(PROVEEDORES[[#This Row],[ID RETENCION]],Retenciones!$A$1:$O$25,PROVEEDORES[[#This Row],[indicador de columna]],FALSE)</f>
        <v>1026000</v>
      </c>
      <c r="Y1482" s="116">
        <f>+VLOOKUP(PROVEEDORES[[#This Row],[ID RETENCION]],Retenciones!$A$1:$O$25,2,FALSE)</f>
        <v>2.5000000000000001E-2</v>
      </c>
      <c r="Z1482" s="125" t="b">
        <f>OR(COUNTIF(PROVEEDORES[[#This Row],[PROVEEDOR]],"*"&amp;'Palabra no opera'!$A$2&amp;"*"))</f>
        <v>0</v>
      </c>
    </row>
    <row r="1483" spans="1:26" ht="22.2" customHeight="1" x14ac:dyDescent="0.3">
      <c r="A1483" s="66" t="str">
        <f>+IF(PROVEEDORES[[#This Row],[FECHA DE PAGO]]=PROVEEDORES[[#This Row],[FECHA DE FACTURACIÓN]],"DE CONTADO","CRÉDITO")</f>
        <v>CRÉDITO</v>
      </c>
      <c r="B1483" s="38" t="b">
        <f>+IF((PROVEEDORES[[#This Row],[FECHA DE PAGO]]-PROVEEDORES[[#This Row],[FECHA DE FACTURACIÓN]])&gt;PROVEEDORES[[#This Row],[PLAZO Días]],"PAGO VENCIDO")</f>
        <v>0</v>
      </c>
      <c r="C1483" s="20">
        <f>+VLOOKUP(PROVEEDORES[[#This Row],[PROVEEDOR]],TERCEROS_INFO[#All],2,FALSE)</f>
        <v>20</v>
      </c>
      <c r="D1483" s="25">
        <f>+SUMIFS(PROVEEDORES[Total],PROVEEDORES[PROVEEDOR],PROVEEDORES[[#This Row],[PROVEEDOR]],PROVEEDORES[FECHA DE PAGO],"")</f>
        <v>0</v>
      </c>
      <c r="E1483" s="25"/>
      <c r="F148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483" s="161">
        <v>44452</v>
      </c>
      <c r="H1483" s="26" t="s">
        <v>399</v>
      </c>
      <c r="I1483" s="161">
        <v>44440</v>
      </c>
      <c r="J1483" s="35" t="s">
        <v>450</v>
      </c>
      <c r="K1483" s="21">
        <v>1958000</v>
      </c>
      <c r="L1483" s="21"/>
      <c r="M1483" s="22">
        <f>(PROVEEDORES[[#This Row],[SUBTOTAL]]-PROVEEDORES[[#This Row],[descuento sobre subtotal]])*VLOOKUP(PROVEEDORES[[#This Row],[PROVEEDOR]],TERCEROS_INFO[#All],3,FALSE)</f>
        <v>0</v>
      </c>
      <c r="N1483" s="23"/>
      <c r="O1483" s="22">
        <f>+PROVEEDORES[[#This Row],[Descuento sobre subtotal %]]*(PROVEEDORES[[#This Row],[SUBTOTAL]]-PROVEEDORES[[#This Row],[descuento sobre subtotal]])</f>
        <v>0</v>
      </c>
      <c r="P1483" s="83">
        <f>+IF(PROVEEDORES[[#This Row],[SUBTOTAL]]&lt;PROVEEDORES[[#This Row],[base retencion]],0,PROVEEDORES[[#This Row],[retención aplicada]])</f>
        <v>0.01</v>
      </c>
      <c r="Q1483" s="22">
        <f>+PROVEEDORES[[#This Row],[Rete Fuente %]]*(PROVEEDORES[[#This Row],[SUBTOTAL]]-PROVEEDORES[[#This Row],[descuento sobre subtotal]])</f>
        <v>19580</v>
      </c>
      <c r="R1483" s="21">
        <f>+PROVEEDORES[[#This Row],[SUBTOTAL]]+PROVEEDORES[[#This Row],[IVA 19%]]-PROVEEDORES[[#This Row],[descuento sobre subtotal]]-PROVEEDORES[[#This Row],[Descuento sobre subtotal $2]]-PROVEEDORES[[#This Row],[Rete Fuente $]]</f>
        <v>1938420</v>
      </c>
      <c r="S14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3" s="68">
        <f ca="1">IF(PROVEEDORES[[#This Row],[FECHA DE PAGO]]=0,TODAY()-PROVEEDORES[[#This Row],[FECHA DE FACTURACIÓN]]-PROVEEDORES[[#This Row],[PLAZO Días]],0)</f>
        <v>0</v>
      </c>
      <c r="U1483" s="96" t="str">
        <f>+VLOOKUP(PROVEEDORES[[#This Row],[PROVEEDOR]],Terceros!$A:$D,4,FALSE)</f>
        <v>1% con base</v>
      </c>
      <c r="V1483" s="97">
        <f>+YEAR(PROVEEDORES[[#This Row],[FECHA DE FACTURACIÓN]])</f>
        <v>2021</v>
      </c>
      <c r="W1483" s="97">
        <f>+MATCH(PROVEEDORES[[#This Row],[año facturado]],Retenciones!$1:$1,0)</f>
        <v>4</v>
      </c>
      <c r="X1483" s="98">
        <f>+VLOOKUP(PROVEEDORES[[#This Row],[ID RETENCION]],Retenciones!$A$1:$O$25,PROVEEDORES[[#This Row],[indicador de columna]],FALSE)</f>
        <v>145000</v>
      </c>
      <c r="Y1483" s="99">
        <f>+VLOOKUP(PROVEEDORES[[#This Row],[ID RETENCION]],Retenciones!$A$1:$O$25,2,FALSE)</f>
        <v>0.01</v>
      </c>
      <c r="Z1483" s="125" t="b">
        <f>OR(COUNTIF(PROVEEDORES[[#This Row],[PROVEEDOR]],"*"&amp;'Palabra no opera'!$A$2&amp;"*"))</f>
        <v>0</v>
      </c>
    </row>
    <row r="1484" spans="1:26" ht="22.2" customHeight="1" x14ac:dyDescent="0.3">
      <c r="A1484" s="269" t="str">
        <f>+IF(PROVEEDORES[[#This Row],[FECHA DE PAGO]]=PROVEEDORES[[#This Row],[FECHA DE FACTURACIÓN]],"DE CONTADO","CRÉDITO")</f>
        <v>CRÉDITO</v>
      </c>
      <c r="B1484" s="38" t="b">
        <f>+IF((PROVEEDORES[[#This Row],[FECHA DE PAGO]]-PROVEEDORES[[#This Row],[FECHA DE FACTURACIÓN]])&gt;PROVEEDORES[[#This Row],[PLAZO Días]],"PAGO VENCIDO")</f>
        <v>0</v>
      </c>
      <c r="C1484" s="20">
        <f>+VLOOKUP(PROVEEDORES[[#This Row],[PROVEEDOR]],TERCEROS_INFO[#All],2,FALSE)</f>
        <v>45</v>
      </c>
      <c r="D1484" s="25">
        <f>+SUMIFS(PROVEEDORES[Total],PROVEEDORES[PROVEEDOR],PROVEEDORES[[#This Row],[PROVEEDOR]],PROVEEDORES[FECHA DE PAGO],"")</f>
        <v>2604910</v>
      </c>
      <c r="E1484" s="25"/>
      <c r="F148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1484" s="26" t="s">
        <v>10</v>
      </c>
      <c r="I1484" s="161">
        <v>44859</v>
      </c>
      <c r="J1484" s="35">
        <v>524514</v>
      </c>
      <c r="K1484" s="21">
        <v>1631000</v>
      </c>
      <c r="L1484" s="21"/>
      <c r="M1484" s="22">
        <f>(PROVEEDORES[[#This Row],[SUBTOTAL]]-PROVEEDORES[[#This Row],[descuento sobre subtotal]])*VLOOKUP(PROVEEDORES[[#This Row],[PROVEEDOR]],TERCEROS_INFO[#All],3,FALSE)</f>
        <v>309890</v>
      </c>
      <c r="N1484" s="23"/>
      <c r="O1484" s="22">
        <f>+PROVEEDORES[[#This Row],[Descuento sobre subtotal %]]*(PROVEEDORES[[#This Row],[SUBTOTAL]]-PROVEEDORES[[#This Row],[descuento sobre subtotal]])</f>
        <v>0</v>
      </c>
      <c r="P1484" s="83">
        <f>+IF(PROVEEDORES[[#This Row],[SUBTOTAL]]&lt;PROVEEDORES[[#This Row],[base retencion]],0,PROVEEDORES[[#This Row],[retención aplicada]])</f>
        <v>0</v>
      </c>
      <c r="Q1484" s="22">
        <f>+PROVEEDORES[[#This Row],[Rete Fuente %]]*(PROVEEDORES[[#This Row],[SUBTOTAL]]-PROVEEDORES[[#This Row],[descuento sobre subtotal]])</f>
        <v>0</v>
      </c>
      <c r="R1484" s="21">
        <f>+PROVEEDORES[[#This Row],[SUBTOTAL]]+PROVEEDORES[[#This Row],[IVA 19%]]-PROVEEDORES[[#This Row],[descuento sobre subtotal]]-PROVEEDORES[[#This Row],[Descuento sobre subtotal $2]]-PROVEEDORES[[#This Row],[Rete Fuente $]]</f>
        <v>1940890</v>
      </c>
      <c r="S1484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84" s="68">
        <f ca="1">IF(PROVEEDORES[[#This Row],[FECHA DE PAGO]]=0,TODAY()-PROVEEDORES[[#This Row],[FECHA DE FACTURACIÓN]]-PROVEEDORES[[#This Row],[PLAZO Días]],0)</f>
        <v>-29</v>
      </c>
      <c r="U1484" s="113">
        <f>+VLOOKUP(PROVEEDORES[[#This Row],[PROVEEDOR]],Terceros!$A:$D,4,FALSE)</f>
        <v>0</v>
      </c>
      <c r="V1484" s="114">
        <f>+YEAR(PROVEEDORES[[#This Row],[FECHA DE FACTURACIÓN]])</f>
        <v>2022</v>
      </c>
      <c r="W1484" s="114">
        <f>+MATCH(PROVEEDORES[[#This Row],[año facturado]],Retenciones!$1:$1,0)</f>
        <v>5</v>
      </c>
      <c r="X1484" s="115">
        <f>+VLOOKUP(PROVEEDORES[[#This Row],[ID RETENCION]],Retenciones!$A$1:$O$25,PROVEEDORES[[#This Row],[indicador de columna]],FALSE)</f>
        <v>0</v>
      </c>
      <c r="Y1484" s="116">
        <f>+VLOOKUP(PROVEEDORES[[#This Row],[ID RETENCION]],Retenciones!$A$1:$O$25,2,FALSE)</f>
        <v>0</v>
      </c>
      <c r="Z1484" s="125" t="b">
        <f>OR(COUNTIF(PROVEEDORES[[#This Row],[PROVEEDOR]],"*"&amp;'Palabra no opera'!$A$2&amp;"*"))</f>
        <v>0</v>
      </c>
    </row>
    <row r="1485" spans="1:26" ht="22.2" customHeight="1" x14ac:dyDescent="0.3">
      <c r="A1485" s="66" t="str">
        <f>+IF(PROVEEDORES[[#This Row],[FECHA DE PAGO]]=PROVEEDORES[[#This Row],[FECHA DE FACTURACIÓN]],"DE CONTADO","CRÉDITO")</f>
        <v>CRÉDITO</v>
      </c>
      <c r="B1485" s="38" t="str">
        <f>+IF((PROVEEDORES[[#This Row],[FECHA DE PAGO]]-PROVEEDORES[[#This Row],[FECHA DE FACTURACIÓN]])&gt;PROVEEDORES[[#This Row],[PLAZO Días]],"PAGO VENCIDO")</f>
        <v>PAGO VENCIDO</v>
      </c>
      <c r="C1485" s="20">
        <f>+VLOOKUP(PROVEEDORES[[#This Row],[PROVEEDOR]],TERCEROS_INFO[#All],2,FALSE)</f>
        <v>30</v>
      </c>
      <c r="D1485" s="25">
        <f>+SUMIFS(PROVEEDORES[Total],PROVEEDORES[PROVEEDOR],PROVEEDORES[[#This Row],[PROVEEDOR]],PROVEEDORES[FECHA DE PAGO],"")</f>
        <v>0</v>
      </c>
      <c r="E1485" s="25"/>
      <c r="F1485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485" s="161">
        <v>44243</v>
      </c>
      <c r="H1485" s="26" t="s">
        <v>46</v>
      </c>
      <c r="I1485" s="161">
        <v>44181</v>
      </c>
      <c r="J1485" s="35">
        <v>160215342</v>
      </c>
      <c r="K1485" s="21">
        <v>1631002</v>
      </c>
      <c r="L1485" s="21"/>
      <c r="M1485" s="22">
        <f>(PROVEEDORES[[#This Row],[SUBTOTAL]]-PROVEEDORES[[#This Row],[descuento sobre subtotal]])*VLOOKUP(PROVEEDORES[[#This Row],[PROVEEDOR]],TERCEROS_INFO[#All],3,FALSE)</f>
        <v>309890.38</v>
      </c>
      <c r="N1485" s="23"/>
      <c r="O1485" s="22">
        <f>+PROVEEDORES[[#This Row],[Descuento sobre subtotal %]]*(PROVEEDORES[[#This Row],[SUBTOTAL]]-PROVEEDORES[[#This Row],[descuento sobre subtotal]])</f>
        <v>0</v>
      </c>
      <c r="P1485" s="83">
        <f>+IF(PROVEEDORES[[#This Row],[SUBTOTAL]]&lt;PROVEEDORES[[#This Row],[base retencion]],0,PROVEEDORES[[#This Row],[retención aplicada]])</f>
        <v>0</v>
      </c>
      <c r="Q1485" s="22">
        <f>+PROVEEDORES[[#This Row],[Rete Fuente %]]*(PROVEEDORES[[#This Row],[SUBTOTAL]]-PROVEEDORES[[#This Row],[descuento sobre subtotal]])</f>
        <v>0</v>
      </c>
      <c r="R1485" s="21">
        <f>+PROVEEDORES[[#This Row],[SUBTOTAL]]+PROVEEDORES[[#This Row],[IVA 19%]]-PROVEEDORES[[#This Row],[descuento sobre subtotal]]-PROVEEDORES[[#This Row],[Descuento sobre subtotal $2]]-PROVEEDORES[[#This Row],[Rete Fuente $]]</f>
        <v>1940892.38</v>
      </c>
      <c r="S14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5" s="68">
        <f ca="1">IF(PROVEEDORES[[#This Row],[FECHA DE PAGO]]=0,TODAY()-PROVEEDORES[[#This Row],[FECHA DE FACTURACIÓN]]-PROVEEDORES[[#This Row],[PLAZO Días]],0)</f>
        <v>0</v>
      </c>
      <c r="U1485" s="96">
        <f>+VLOOKUP(PROVEEDORES[[#This Row],[PROVEEDOR]],Terceros!$A:$D,4,FALSE)</f>
        <v>0</v>
      </c>
      <c r="V1485" s="97">
        <f>+YEAR(PROVEEDORES[[#This Row],[FECHA DE FACTURACIÓN]])</f>
        <v>2020</v>
      </c>
      <c r="W1485" s="97">
        <f>+MATCH(PROVEEDORES[[#This Row],[año facturado]],Retenciones!$1:$1,0)</f>
        <v>3</v>
      </c>
      <c r="X1485" s="98">
        <f>+VLOOKUP(PROVEEDORES[[#This Row],[ID RETENCION]],Retenciones!$A$1:$O$25,PROVEEDORES[[#This Row],[indicador de columna]],FALSE)</f>
        <v>0</v>
      </c>
      <c r="Y1485" s="99">
        <f>+VLOOKUP(PROVEEDORES[[#This Row],[ID RETENCION]],Retenciones!$A$1:$O$25,2,FALSE)</f>
        <v>0</v>
      </c>
      <c r="Z1485" s="125" t="b">
        <f>OR(COUNTIF(PROVEEDORES[[#This Row],[PROVEEDOR]],"*"&amp;'Palabra no opera'!$A$2&amp;"*"))</f>
        <v>0</v>
      </c>
    </row>
    <row r="1486" spans="1:26" ht="22.2" customHeight="1" x14ac:dyDescent="0.3">
      <c r="A1486" s="66" t="str">
        <f>+IF(PROVEEDORES[[#This Row],[FECHA DE PAGO]]=PROVEEDORES[[#This Row],[FECHA DE FACTURACIÓN]],"DE CONTADO","CRÉDITO")</f>
        <v>DE CONTADO</v>
      </c>
      <c r="B1486" s="38" t="b">
        <f>+IF((PROVEEDORES[[#This Row],[FECHA DE PAGO]]-PROVEEDORES[[#This Row],[FECHA DE FACTURACIÓN]])&gt;PROVEEDORES[[#This Row],[PLAZO Días]],"PAGO VENCIDO")</f>
        <v>0</v>
      </c>
      <c r="C1486" s="20">
        <f>+VLOOKUP(PROVEEDORES[[#This Row],[PROVEEDOR]],TERCEROS_INFO[#All],2,FALSE)</f>
        <v>30</v>
      </c>
      <c r="D1486" s="25">
        <f>+SUMIFS(PROVEEDORES[Total],PROVEEDORES[PROVEEDOR],PROVEEDORES[[#This Row],[PROVEEDOR]],PROVEEDORES[FECHA DE PAGO],"")</f>
        <v>0</v>
      </c>
      <c r="E1486" s="25"/>
      <c r="F1486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486" s="161">
        <v>44222</v>
      </c>
      <c r="H1486" s="26" t="s">
        <v>128</v>
      </c>
      <c r="I1486" s="161">
        <v>44222</v>
      </c>
      <c r="J1486" s="35">
        <v>9731</v>
      </c>
      <c r="K1486" s="21">
        <v>1944000</v>
      </c>
      <c r="L1486" s="21"/>
      <c r="M1486" s="22">
        <f>(PROVEEDORES[[#This Row],[SUBTOTAL]]-PROVEEDORES[[#This Row],[descuento sobre subtotal]])*VLOOKUP(PROVEEDORES[[#This Row],[PROVEEDOR]],TERCEROS_INFO[#All],3,FALSE)</f>
        <v>0</v>
      </c>
      <c r="N1486" s="23"/>
      <c r="O1486" s="22">
        <f>+PROVEEDORES[[#This Row],[Descuento sobre subtotal %]]*(PROVEEDORES[[#This Row],[SUBTOTAL]]-PROVEEDORES[[#This Row],[descuento sobre subtotal]])</f>
        <v>0</v>
      </c>
      <c r="P1486" s="83">
        <f>+IF(PROVEEDORES[[#This Row],[SUBTOTAL]]&lt;PROVEEDORES[[#This Row],[base retencion]],0,PROVEEDORES[[#This Row],[retención aplicada]])</f>
        <v>0</v>
      </c>
      <c r="Q1486" s="22">
        <f>+PROVEEDORES[[#This Row],[Rete Fuente %]]*(PROVEEDORES[[#This Row],[SUBTOTAL]]-PROVEEDORES[[#This Row],[descuento sobre subtotal]])</f>
        <v>0</v>
      </c>
      <c r="R1486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4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6" s="68">
        <f ca="1">IF(PROVEEDORES[[#This Row],[FECHA DE PAGO]]=0,TODAY()-PROVEEDORES[[#This Row],[FECHA DE FACTURACIÓN]]-PROVEEDORES[[#This Row],[PLAZO Días]],0)</f>
        <v>0</v>
      </c>
      <c r="U1486" s="96">
        <f>+VLOOKUP(PROVEEDORES[[#This Row],[PROVEEDOR]],Terceros!$A:$D,4,FALSE)</f>
        <v>0</v>
      </c>
      <c r="V1486" s="97">
        <f>+YEAR(PROVEEDORES[[#This Row],[FECHA DE FACTURACIÓN]])</f>
        <v>2021</v>
      </c>
      <c r="W1486" s="97">
        <f>+MATCH(PROVEEDORES[[#This Row],[año facturado]],Retenciones!$1:$1,0)</f>
        <v>4</v>
      </c>
      <c r="X1486" s="98">
        <f>+VLOOKUP(PROVEEDORES[[#This Row],[ID RETENCION]],Retenciones!$A$1:$O$25,PROVEEDORES[[#This Row],[indicador de columna]],FALSE)</f>
        <v>0</v>
      </c>
      <c r="Y1486" s="99">
        <f>+VLOOKUP(PROVEEDORES[[#This Row],[ID RETENCION]],Retenciones!$A$1:$O$25,2,FALSE)</f>
        <v>0</v>
      </c>
      <c r="Z1486" s="125" t="b">
        <f>OR(COUNTIF(PROVEEDORES[[#This Row],[PROVEEDOR]],"*"&amp;'Palabra no opera'!$A$2&amp;"*"))</f>
        <v>0</v>
      </c>
    </row>
    <row r="1487" spans="1:26" ht="22.2" customHeight="1" x14ac:dyDescent="0.3">
      <c r="A1487" s="66" t="str">
        <f>+IF(PROVEEDORES[[#This Row],[FECHA DE PAGO]]=PROVEEDORES[[#This Row],[FECHA DE FACTURACIÓN]],"DE CONTADO","CRÉDITO")</f>
        <v>DE CONTADO</v>
      </c>
      <c r="B1487" s="38" t="b">
        <f>+IF((PROVEEDORES[[#This Row],[FECHA DE PAGO]]-PROVEEDORES[[#This Row],[FECHA DE FACTURACIÓN]])&gt;PROVEEDORES[[#This Row],[PLAZO Días]],"PAGO VENCIDO")</f>
        <v>0</v>
      </c>
      <c r="C1487" s="20">
        <f>+VLOOKUP(PROVEEDORES[[#This Row],[PROVEEDOR]],TERCEROS_INFO[#All],2,FALSE)</f>
        <v>30</v>
      </c>
      <c r="D1487" s="25">
        <f>+SUMIFS(PROVEEDORES[Total],PROVEEDORES[PROVEEDOR],PROVEEDORES[[#This Row],[PROVEEDOR]],PROVEEDORES[FECHA DE PAGO],"")</f>
        <v>0</v>
      </c>
      <c r="E1487" s="25"/>
      <c r="F1487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487" s="161">
        <v>44245</v>
      </c>
      <c r="H1487" s="26" t="s">
        <v>57</v>
      </c>
      <c r="I1487" s="161">
        <v>44245</v>
      </c>
      <c r="J1487" s="35" t="s">
        <v>215</v>
      </c>
      <c r="K1487" s="21">
        <v>1944000</v>
      </c>
      <c r="L1487" s="21"/>
      <c r="M1487" s="22">
        <f>(PROVEEDORES[[#This Row],[SUBTOTAL]]-PROVEEDORES[[#This Row],[descuento sobre subtotal]])*VLOOKUP(PROVEEDORES[[#This Row],[PROVEEDOR]],TERCEROS_INFO[#All],3,FALSE)</f>
        <v>0</v>
      </c>
      <c r="N1487" s="23"/>
      <c r="O1487" s="22">
        <f>+PROVEEDORES[[#This Row],[Descuento sobre subtotal %]]*(PROVEEDORES[[#This Row],[SUBTOTAL]]-PROVEEDORES[[#This Row],[descuento sobre subtotal]])</f>
        <v>0</v>
      </c>
      <c r="P1487" s="83">
        <f>+IF(PROVEEDORES[[#This Row],[SUBTOTAL]]&lt;PROVEEDORES[[#This Row],[base retencion]],0,PROVEEDORES[[#This Row],[retención aplicada]])</f>
        <v>0</v>
      </c>
      <c r="Q1487" s="22">
        <f>+PROVEEDORES[[#This Row],[Rete Fuente %]]*(PROVEEDORES[[#This Row],[SUBTOTAL]]-PROVEEDORES[[#This Row],[descuento sobre subtotal]])</f>
        <v>0</v>
      </c>
      <c r="R1487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4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7" s="68">
        <f ca="1">IF(PROVEEDORES[[#This Row],[FECHA DE PAGO]]=0,TODAY()-PROVEEDORES[[#This Row],[FECHA DE FACTURACIÓN]]-PROVEEDORES[[#This Row],[PLAZO Días]],0)</f>
        <v>0</v>
      </c>
      <c r="U1487" s="96">
        <f>+VLOOKUP(PROVEEDORES[[#This Row],[PROVEEDOR]],Terceros!$A:$D,4,FALSE)</f>
        <v>0</v>
      </c>
      <c r="V1487" s="97">
        <f>+YEAR(PROVEEDORES[[#This Row],[FECHA DE FACTURACIÓN]])</f>
        <v>2021</v>
      </c>
      <c r="W1487" s="97">
        <f>+MATCH(PROVEEDORES[[#This Row],[año facturado]],Retenciones!$1:$1,0)</f>
        <v>4</v>
      </c>
      <c r="X1487" s="98">
        <f>+VLOOKUP(PROVEEDORES[[#This Row],[ID RETENCION]],Retenciones!$A$1:$O$25,PROVEEDORES[[#This Row],[indicador de columna]],FALSE)</f>
        <v>0</v>
      </c>
      <c r="Y1487" s="99">
        <f>+VLOOKUP(PROVEEDORES[[#This Row],[ID RETENCION]],Retenciones!$A$1:$O$25,2,FALSE)</f>
        <v>0</v>
      </c>
      <c r="Z1487" s="125" t="b">
        <f>OR(COUNTIF(PROVEEDORES[[#This Row],[PROVEEDOR]],"*"&amp;'Palabra no opera'!$A$2&amp;"*"))</f>
        <v>0</v>
      </c>
    </row>
    <row r="1488" spans="1:26" ht="22.2" customHeight="1" x14ac:dyDescent="0.3">
      <c r="A1488" s="66" t="str">
        <f>+IF(PROVEEDORES[[#This Row],[FECHA DE PAGO]]=PROVEEDORES[[#This Row],[FECHA DE FACTURACIÓN]],"DE CONTADO","CRÉDITO")</f>
        <v>CRÉDITO</v>
      </c>
      <c r="B1488" s="38" t="b">
        <f>+IF((PROVEEDORES[[#This Row],[FECHA DE PAGO]]-PROVEEDORES[[#This Row],[FECHA DE FACTURACIÓN]])&gt;PROVEEDORES[[#This Row],[PLAZO Días]],"PAGO VENCIDO")</f>
        <v>0</v>
      </c>
      <c r="C1488" s="20">
        <f>+VLOOKUP(PROVEEDORES[[#This Row],[PROVEEDOR]],TERCEROS_INFO[#All],2,FALSE)</f>
        <v>30</v>
      </c>
      <c r="D1488" s="25">
        <f>+SUMIFS(PROVEEDORES[Total],PROVEEDORES[PROVEEDOR],PROVEEDORES[[#This Row],[PROVEEDOR]],PROVEEDORES[FECHA DE PAGO],"")</f>
        <v>0</v>
      </c>
      <c r="E1488" s="25"/>
      <c r="F148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488" s="161">
        <v>44272</v>
      </c>
      <c r="H1488" s="26" t="s">
        <v>59</v>
      </c>
      <c r="I1488" s="161">
        <v>44271</v>
      </c>
      <c r="J1488" s="35">
        <v>9839</v>
      </c>
      <c r="K1488" s="21">
        <v>1944000</v>
      </c>
      <c r="L1488" s="21"/>
      <c r="M1488" s="22">
        <f>(PROVEEDORES[[#This Row],[SUBTOTAL]]-PROVEEDORES[[#This Row],[descuento sobre subtotal]])*VLOOKUP(PROVEEDORES[[#This Row],[PROVEEDOR]],TERCEROS_INFO[#All],3,FALSE)</f>
        <v>0</v>
      </c>
      <c r="N1488" s="23"/>
      <c r="O1488" s="22">
        <f>+PROVEEDORES[[#This Row],[Descuento sobre subtotal %]]*(PROVEEDORES[[#This Row],[SUBTOTAL]]-PROVEEDORES[[#This Row],[descuento sobre subtotal]])</f>
        <v>0</v>
      </c>
      <c r="P1488" s="83">
        <f>+IF(PROVEEDORES[[#This Row],[SUBTOTAL]]&lt;PROVEEDORES[[#This Row],[base retencion]],0,PROVEEDORES[[#This Row],[retención aplicada]])</f>
        <v>0</v>
      </c>
      <c r="Q1488" s="22">
        <f>+PROVEEDORES[[#This Row],[Rete Fuente %]]*(PROVEEDORES[[#This Row],[SUBTOTAL]]-PROVEEDORES[[#This Row],[descuento sobre subtotal]])</f>
        <v>0</v>
      </c>
      <c r="R1488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4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8" s="68">
        <f ca="1">IF(PROVEEDORES[[#This Row],[FECHA DE PAGO]]=0,TODAY()-PROVEEDORES[[#This Row],[FECHA DE FACTURACIÓN]]-PROVEEDORES[[#This Row],[PLAZO Días]],0)</f>
        <v>0</v>
      </c>
      <c r="U1488" s="96">
        <f>+VLOOKUP(PROVEEDORES[[#This Row],[PROVEEDOR]],Terceros!$A:$D,4,FALSE)</f>
        <v>0</v>
      </c>
      <c r="V1488" s="97">
        <f>+YEAR(PROVEEDORES[[#This Row],[FECHA DE FACTURACIÓN]])</f>
        <v>2021</v>
      </c>
      <c r="W1488" s="97">
        <f>+MATCH(PROVEEDORES[[#This Row],[año facturado]],Retenciones!$1:$1,0)</f>
        <v>4</v>
      </c>
      <c r="X1488" s="98">
        <f>+VLOOKUP(PROVEEDORES[[#This Row],[ID RETENCION]],Retenciones!$A$1:$O$25,PROVEEDORES[[#This Row],[indicador de columna]],FALSE)</f>
        <v>0</v>
      </c>
      <c r="Y1488" s="99">
        <f>+VLOOKUP(PROVEEDORES[[#This Row],[ID RETENCION]],Retenciones!$A$1:$O$25,2,FALSE)</f>
        <v>0</v>
      </c>
      <c r="Z1488" s="125" t="b">
        <f>OR(COUNTIF(PROVEEDORES[[#This Row],[PROVEEDOR]],"*"&amp;'Palabra no opera'!$A$2&amp;"*"))</f>
        <v>0</v>
      </c>
    </row>
    <row r="1489" spans="1:26" ht="22.2" customHeight="1" x14ac:dyDescent="0.3">
      <c r="A1489" s="66" t="str">
        <f>+IF(PROVEEDORES[[#This Row],[FECHA DE PAGO]]=PROVEEDORES[[#This Row],[FECHA DE FACTURACIÓN]],"DE CONTADO","CRÉDITO")</f>
        <v>CRÉDITO</v>
      </c>
      <c r="B1489" s="38" t="b">
        <f>+IF((PROVEEDORES[[#This Row],[FECHA DE PAGO]]-PROVEEDORES[[#This Row],[FECHA DE FACTURACIÓN]])&gt;PROVEEDORES[[#This Row],[PLAZO Días]],"PAGO VENCIDO")</f>
        <v>0</v>
      </c>
      <c r="C1489" s="20">
        <f>+VLOOKUP(PROVEEDORES[[#This Row],[PROVEEDOR]],TERCEROS_INFO[#All],2,FALSE)</f>
        <v>30</v>
      </c>
      <c r="D1489" s="25">
        <f>+SUMIFS(PROVEEDORES[Total],PROVEEDORES[PROVEEDOR],PROVEEDORES[[#This Row],[PROVEEDOR]],PROVEEDORES[FECHA DE PAGO],"")</f>
        <v>0</v>
      </c>
      <c r="E1489" s="25"/>
      <c r="F1489" s="58">
        <f>+VLOOKUP(PROVEEDORES[[#This Row],[PROVEEDOR]],
                       Terceros!$A:$F,
                       5,
                       FALSE)</f>
        <v>0</v>
      </c>
      <c r="G1489" s="161">
        <v>44554</v>
      </c>
      <c r="H1489" s="26" t="s">
        <v>700</v>
      </c>
      <c r="I1489" s="161">
        <v>44550</v>
      </c>
      <c r="J1489" s="35" t="s">
        <v>1547</v>
      </c>
      <c r="K1489" s="21">
        <v>1950000</v>
      </c>
      <c r="L1489" s="21"/>
      <c r="M1489" s="22">
        <f>(PROVEEDORES[[#This Row],[SUBTOTAL]]-PROVEEDORES[[#This Row],[descuento sobre subtotal]])*VLOOKUP(PROVEEDORES[[#This Row],[PROVEEDOR]],TERCEROS_INFO[#All],3,FALSE)</f>
        <v>0</v>
      </c>
      <c r="N1489" s="23"/>
      <c r="O1489" s="22">
        <f>+PROVEEDORES[[#This Row],[Descuento sobre subtotal %]]*(PROVEEDORES[[#This Row],[SUBTOTAL]]-PROVEEDORES[[#This Row],[descuento sobre subtotal]])</f>
        <v>0</v>
      </c>
      <c r="P1489" s="83">
        <f>+IF(PROVEEDORES[[#This Row],[SUBTOTAL]]&lt;PROVEEDORES[[#This Row],[base retencion]],0,PROVEEDORES[[#This Row],[retención aplicada]])</f>
        <v>0</v>
      </c>
      <c r="Q1489" s="22">
        <f>+PROVEEDORES[[#This Row],[Rete Fuente %]]*(PROVEEDORES[[#This Row],[SUBTOTAL]]-PROVEEDORES[[#This Row],[descuento sobre subtotal]])</f>
        <v>0</v>
      </c>
      <c r="R1489" s="21">
        <f>+PROVEEDORES[[#This Row],[SUBTOTAL]]+PROVEEDORES[[#This Row],[IVA 19%]]-PROVEEDORES[[#This Row],[descuento sobre subtotal]]-PROVEEDORES[[#This Row],[Descuento sobre subtotal $2]]-PROVEEDORES[[#This Row],[Rete Fuente $]]</f>
        <v>1950000</v>
      </c>
      <c r="S14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9" s="68">
        <f ca="1">IF(PROVEEDORES[[#This Row],[FECHA DE PAGO]]=0,TODAY()-PROVEEDORES[[#This Row],[FECHA DE FACTURACIÓN]]-PROVEEDORES[[#This Row],[PLAZO Días]],0)</f>
        <v>0</v>
      </c>
      <c r="U1489" s="96">
        <f>+VLOOKUP(PROVEEDORES[[#This Row],[PROVEEDOR]],Terceros!$A:$D,4,FALSE)</f>
        <v>0</v>
      </c>
      <c r="V1489" s="97">
        <f>+YEAR(PROVEEDORES[[#This Row],[FECHA DE FACTURACIÓN]])</f>
        <v>2021</v>
      </c>
      <c r="W1489" s="97">
        <f>+MATCH(PROVEEDORES[[#This Row],[año facturado]],Retenciones!$1:$1,0)</f>
        <v>4</v>
      </c>
      <c r="X1489" s="98">
        <f>+VLOOKUP(PROVEEDORES[[#This Row],[ID RETENCION]],Retenciones!$A$1:$O$25,PROVEEDORES[[#This Row],[indicador de columna]],FALSE)</f>
        <v>0</v>
      </c>
      <c r="Y1489" s="99">
        <f>+VLOOKUP(PROVEEDORES[[#This Row],[ID RETENCION]],Retenciones!$A$1:$O$25,2,FALSE)</f>
        <v>0</v>
      </c>
      <c r="Z1489" s="125" t="b">
        <f>OR(COUNTIF(PROVEEDORES[[#This Row],[PROVEEDOR]],"*"&amp;'Palabra no opera'!$A$2&amp;"*"))</f>
        <v>0</v>
      </c>
    </row>
    <row r="1490" spans="1:26" ht="22.2" customHeight="1" x14ac:dyDescent="0.3">
      <c r="A1490" s="195" t="str">
        <f>+IF(PROVEEDORES[[#This Row],[FECHA DE PAGO]]=PROVEEDORES[[#This Row],[FECHA DE FACTURACIÓN]],"DE CONTADO","CRÉDITO")</f>
        <v>CRÉDITO</v>
      </c>
      <c r="B1490" s="38" t="b">
        <f>+IF((PROVEEDORES[[#This Row],[FECHA DE PAGO]]-PROVEEDORES[[#This Row],[FECHA DE FACTURACIÓN]])&gt;PROVEEDORES[[#This Row],[PLAZO Días]],"PAGO VENCIDO")</f>
        <v>0</v>
      </c>
      <c r="C1490" s="20">
        <f>+VLOOKUP(PROVEEDORES[[#This Row],[PROVEEDOR]],TERCEROS_INFO[#All],2,FALSE)</f>
        <v>30</v>
      </c>
      <c r="D1490" s="25">
        <f>+SUMIFS(PROVEEDORES[Total],PROVEEDORES[PROVEEDOR],PROVEEDORES[[#This Row],[PROVEEDOR]],PROVEEDORES[FECHA DE PAGO],"")</f>
        <v>0</v>
      </c>
      <c r="E1490" s="25"/>
      <c r="F1490" s="58" t="str">
        <f>+VLOOKUP(PROVEEDORES[[#This Row],[PROVEEDOR]],
                       Terceros!$A:$F,
                       5,
                       FALSE)</f>
        <v/>
      </c>
      <c r="G1490" s="161">
        <v>44777</v>
      </c>
      <c r="H1490" s="26" t="s">
        <v>638</v>
      </c>
      <c r="I1490" s="161">
        <v>44774</v>
      </c>
      <c r="J1490" s="35" t="s">
        <v>1170</v>
      </c>
      <c r="K1490" s="21">
        <v>1955000</v>
      </c>
      <c r="L1490" s="21"/>
      <c r="M1490" s="22">
        <f>(PROVEEDORES[[#This Row],[SUBTOTAL]]-PROVEEDORES[[#This Row],[descuento sobre subtotal]])*VLOOKUP(PROVEEDORES[[#This Row],[PROVEEDOR]],TERCEROS_INFO[#All],3,FALSE)</f>
        <v>0</v>
      </c>
      <c r="N1490" s="23"/>
      <c r="O1490" s="22">
        <f>+PROVEEDORES[[#This Row],[Descuento sobre subtotal %]]*(PROVEEDORES[[#This Row],[SUBTOTAL]]-PROVEEDORES[[#This Row],[descuento sobre subtotal]])</f>
        <v>0</v>
      </c>
      <c r="P1490" s="83">
        <f>+IF(PROVEEDORES[[#This Row],[SUBTOTAL]]&lt;PROVEEDORES[[#This Row],[base retencion]],0,PROVEEDORES[[#This Row],[retención aplicada]])</f>
        <v>0</v>
      </c>
      <c r="Q1490" s="22">
        <f>+PROVEEDORES[[#This Row],[Rete Fuente %]]*(PROVEEDORES[[#This Row],[SUBTOTAL]]-PROVEEDORES[[#This Row],[descuento sobre subtotal]])</f>
        <v>0</v>
      </c>
      <c r="R1490" s="21">
        <f>+PROVEEDORES[[#This Row],[SUBTOTAL]]+PROVEEDORES[[#This Row],[IVA 19%]]-PROVEEDORES[[#This Row],[descuento sobre subtotal]]-PROVEEDORES[[#This Row],[Descuento sobre subtotal $2]]-PROVEEDORES[[#This Row],[Rete Fuente $]]</f>
        <v>1955000</v>
      </c>
      <c r="S1490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0" s="68">
        <f ca="1">IF(PROVEEDORES[[#This Row],[FECHA DE PAGO]]=0,TODAY()-PROVEEDORES[[#This Row],[FECHA DE FACTURACIÓN]]-PROVEEDORES[[#This Row],[PLAZO Días]],0)</f>
        <v>0</v>
      </c>
      <c r="U1490" s="113">
        <f>+VLOOKUP(PROVEEDORES[[#This Row],[PROVEEDOR]],Terceros!$A:$D,4,FALSE)</f>
        <v>0</v>
      </c>
      <c r="V1490" s="114">
        <f>+YEAR(PROVEEDORES[[#This Row],[FECHA DE FACTURACIÓN]])</f>
        <v>2022</v>
      </c>
      <c r="W1490" s="114">
        <f>+MATCH(PROVEEDORES[[#This Row],[año facturado]],Retenciones!$1:$1,0)</f>
        <v>5</v>
      </c>
      <c r="X1490" s="115">
        <f>+VLOOKUP(PROVEEDORES[[#This Row],[ID RETENCION]],Retenciones!$A$1:$O$25,PROVEEDORES[[#This Row],[indicador de columna]],FALSE)</f>
        <v>0</v>
      </c>
      <c r="Y1490" s="116">
        <f>+VLOOKUP(PROVEEDORES[[#This Row],[ID RETENCION]],Retenciones!$A$1:$O$25,2,FALSE)</f>
        <v>0</v>
      </c>
      <c r="Z1490" s="125" t="b">
        <f>OR(COUNTIF(PROVEEDORES[[#This Row],[PROVEEDOR]],"*"&amp;'Palabra no opera'!$A$2&amp;"*"))</f>
        <v>0</v>
      </c>
    </row>
    <row r="1491" spans="1:26" ht="22.2" customHeight="1" x14ac:dyDescent="0.3">
      <c r="A1491" s="257" t="str">
        <f>+IF(PROVEEDORES[[#This Row],[FECHA DE PAGO]]=PROVEEDORES[[#This Row],[FECHA DE FACTURACIÓN]],"DE CONTADO","CRÉDITO")</f>
        <v>CRÉDITO</v>
      </c>
      <c r="B1491" s="38" t="b">
        <f>+IF((PROVEEDORES[[#This Row],[FECHA DE PAGO]]-PROVEEDORES[[#This Row],[FECHA DE FACTURACIÓN]])&gt;PROVEEDORES[[#This Row],[PLAZO Días]],"PAGO VENCIDO")</f>
        <v>0</v>
      </c>
      <c r="C1491" s="20">
        <f>+VLOOKUP(PROVEEDORES[[#This Row],[PROVEEDOR]],TERCEROS_INFO[#All],2,FALSE)</f>
        <v>30</v>
      </c>
      <c r="D1491" s="25">
        <f>+SUMIFS(PROVEEDORES[Total],PROVEEDORES[PROVEEDOR],PROVEEDORES[[#This Row],[PROVEEDOR]],PROVEEDORES[FECHA DE PAGO],"")</f>
        <v>1957800</v>
      </c>
      <c r="E1491" s="25"/>
      <c r="F1491" s="58">
        <f>+VLOOKUP(PROVEEDORES[[#This Row],[PROVEEDOR]],
                       Terceros!$A:$F,
                       5,
                       FALSE)</f>
        <v>0</v>
      </c>
      <c r="H1491" s="267" t="s">
        <v>1725</v>
      </c>
      <c r="I1491" s="161">
        <v>44834</v>
      </c>
      <c r="J1491" s="35" t="s">
        <v>1726</v>
      </c>
      <c r="K1491" s="21">
        <v>1957800</v>
      </c>
      <c r="L1491" s="21"/>
      <c r="M1491" s="22">
        <f>(PROVEEDORES[[#This Row],[SUBTOTAL]]-PROVEEDORES[[#This Row],[descuento sobre subtotal]])*VLOOKUP(PROVEEDORES[[#This Row],[PROVEEDOR]],TERCEROS_INFO[#All],3,FALSE)</f>
        <v>0</v>
      </c>
      <c r="N1491" s="23"/>
      <c r="O1491" s="22">
        <f>+PROVEEDORES[[#This Row],[Descuento sobre subtotal %]]*(PROVEEDORES[[#This Row],[SUBTOTAL]]-PROVEEDORES[[#This Row],[descuento sobre subtotal]])</f>
        <v>0</v>
      </c>
      <c r="P1491" s="83">
        <f>+IF(PROVEEDORES[[#This Row],[SUBTOTAL]]&lt;PROVEEDORES[[#This Row],[base retencion]],0,PROVEEDORES[[#This Row],[retención aplicada]])</f>
        <v>0</v>
      </c>
      <c r="Q1491" s="22">
        <f>+PROVEEDORES[[#This Row],[Rete Fuente %]]*(PROVEEDORES[[#This Row],[SUBTOTAL]]-PROVEEDORES[[#This Row],[descuento sobre subtotal]])</f>
        <v>0</v>
      </c>
      <c r="R1491" s="21">
        <f>+PROVEEDORES[[#This Row],[SUBTOTAL]]+PROVEEDORES[[#This Row],[IVA 19%]]-PROVEEDORES[[#This Row],[descuento sobre subtotal]]-PROVEEDORES[[#This Row],[Descuento sobre subtotal $2]]-PROVEEDORES[[#This Row],[Rete Fuente $]]</f>
        <v>1957800</v>
      </c>
      <c r="S1491" s="25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91" s="68">
        <f ca="1">IF(PROVEEDORES[[#This Row],[FECHA DE PAGO]]=0,TODAY()-PROVEEDORES[[#This Row],[FECHA DE FACTURACIÓN]]-PROVEEDORES[[#This Row],[PLAZO Días]],0)</f>
        <v>11</v>
      </c>
      <c r="U1491" s="113">
        <f>+VLOOKUP(PROVEEDORES[[#This Row],[PROVEEDOR]],Terceros!$A:$D,4,FALSE)</f>
        <v>0</v>
      </c>
      <c r="V1491" s="114">
        <f>+YEAR(PROVEEDORES[[#This Row],[FECHA DE FACTURACIÓN]])</f>
        <v>2022</v>
      </c>
      <c r="W1491" s="114">
        <f>+MATCH(PROVEEDORES[[#This Row],[año facturado]],Retenciones!$1:$1,0)</f>
        <v>5</v>
      </c>
      <c r="X1491" s="115">
        <f>+VLOOKUP(PROVEEDORES[[#This Row],[ID RETENCION]],Retenciones!$A$1:$O$25,PROVEEDORES[[#This Row],[indicador de columna]],FALSE)</f>
        <v>0</v>
      </c>
      <c r="Y1491" s="116">
        <f>+VLOOKUP(PROVEEDORES[[#This Row],[ID RETENCION]],Retenciones!$A$1:$O$25,2,FALSE)</f>
        <v>0</v>
      </c>
      <c r="Z1491" s="125" t="b">
        <f>OR(COUNTIF(PROVEEDORES[[#This Row],[PROVEEDOR]],"*"&amp;'Palabra no opera'!$A$2&amp;"*"))</f>
        <v>0</v>
      </c>
    </row>
    <row r="1492" spans="1:26" ht="22.2" customHeight="1" x14ac:dyDescent="0.3">
      <c r="A1492" s="66" t="str">
        <f>+IF(PROVEEDORES[[#This Row],[FECHA DE PAGO]]=PROVEEDORES[[#This Row],[FECHA DE FACTURACIÓN]],"DE CONTADO","CRÉDITO")</f>
        <v>CRÉDITO</v>
      </c>
      <c r="B1492" s="38" t="str">
        <f>+IF((PROVEEDORES[[#This Row],[FECHA DE PAGO]]-PROVEEDORES[[#This Row],[FECHA DE FACTURACIÓN]])&gt;PROVEEDORES[[#This Row],[PLAZO Días]],"PAGO VENCIDO")</f>
        <v>PAGO VENCIDO</v>
      </c>
      <c r="C1492" s="20">
        <f>+VLOOKUP(PROVEEDORES[[#This Row],[PROVEEDOR]],TERCEROS_INFO[#All],2,FALSE)</f>
        <v>30</v>
      </c>
      <c r="D1492" s="25">
        <f>+SUMIFS(PROVEEDORES[Total],PROVEEDORES[PROVEEDOR],PROVEEDORES[[#This Row],[PROVEEDOR]],PROVEEDORES[FECHA DE PAGO],"")</f>
        <v>0</v>
      </c>
      <c r="E1492" s="25"/>
      <c r="F149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92" s="161">
        <v>44214</v>
      </c>
      <c r="H1492" s="26" t="s">
        <v>20</v>
      </c>
      <c r="I1492" s="161">
        <v>44167</v>
      </c>
      <c r="J1492" s="35">
        <v>2766</v>
      </c>
      <c r="K1492" s="21">
        <v>1681026.8907563025</v>
      </c>
      <c r="L1492" s="21"/>
      <c r="M1492" s="22">
        <f>(PROVEEDORES[[#This Row],[SUBTOTAL]]-PROVEEDORES[[#This Row],[descuento sobre subtotal]])*VLOOKUP(PROVEEDORES[[#This Row],[PROVEEDOR]],TERCEROS_INFO[#All],3,FALSE)</f>
        <v>319395.10924369749</v>
      </c>
      <c r="N1492" s="23"/>
      <c r="O1492" s="22">
        <f>+PROVEEDORES[[#This Row],[Descuento sobre subtotal %]]*(PROVEEDORES[[#This Row],[SUBTOTAL]]-PROVEEDORES[[#This Row],[descuento sobre subtotal]])</f>
        <v>0</v>
      </c>
      <c r="P1492" s="83">
        <f>+IF(PROVEEDORES[[#This Row],[SUBTOTAL]]&lt;PROVEEDORES[[#This Row],[base retencion]],0,PROVEEDORES[[#This Row],[retención aplicada]])</f>
        <v>2.5000000000000001E-2</v>
      </c>
      <c r="Q1492" s="22">
        <f>+PROVEEDORES[[#This Row],[Rete Fuente %]]*(PROVEEDORES[[#This Row],[SUBTOTAL]]-PROVEEDORES[[#This Row],[descuento sobre subtotal]])</f>
        <v>42025.672268907569</v>
      </c>
      <c r="R1492" s="21">
        <f>+PROVEEDORES[[#This Row],[SUBTOTAL]]+PROVEEDORES[[#This Row],[IVA 19%]]-PROVEEDORES[[#This Row],[descuento sobre subtotal]]-PROVEEDORES[[#This Row],[Descuento sobre subtotal $2]]-PROVEEDORES[[#This Row],[Rete Fuente $]]</f>
        <v>1958396.3277310925</v>
      </c>
      <c r="S14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2" s="68">
        <f ca="1">IF(PROVEEDORES[[#This Row],[FECHA DE PAGO]]=0,TODAY()-PROVEEDORES[[#This Row],[FECHA DE FACTURACIÓN]]-PROVEEDORES[[#This Row],[PLAZO Días]],0)</f>
        <v>0</v>
      </c>
      <c r="U1492" s="96" t="str">
        <f>+VLOOKUP(PROVEEDORES[[#This Row],[PROVEEDOR]],Terceros!$A:$D,4,FALSE)</f>
        <v>2,5% con base</v>
      </c>
      <c r="V1492" s="97">
        <f>+YEAR(PROVEEDORES[[#This Row],[FECHA DE FACTURACIÓN]])</f>
        <v>2020</v>
      </c>
      <c r="W1492" s="97">
        <f>+MATCH(PROVEEDORES[[#This Row],[año facturado]],Retenciones!$1:$1,0)</f>
        <v>3</v>
      </c>
      <c r="X1492" s="98">
        <f>+VLOOKUP(PROVEEDORES[[#This Row],[ID RETENCION]],Retenciones!$A$1:$O$25,PROVEEDORES[[#This Row],[indicador de columna]],FALSE)</f>
        <v>961000</v>
      </c>
      <c r="Y1492" s="99">
        <f>+VLOOKUP(PROVEEDORES[[#This Row],[ID RETENCION]],Retenciones!$A$1:$O$25,2,FALSE)</f>
        <v>2.5000000000000001E-2</v>
      </c>
      <c r="Z1492" s="125" t="b">
        <f>OR(COUNTIF(PROVEEDORES[[#This Row],[PROVEEDOR]],"*"&amp;'Palabra no opera'!$A$2&amp;"*"))</f>
        <v>0</v>
      </c>
    </row>
    <row r="1493" spans="1:26" ht="22.2" customHeight="1" x14ac:dyDescent="0.3">
      <c r="A1493" s="195" t="str">
        <f>+IF(PROVEEDORES[[#This Row],[FECHA DE PAGO]]=PROVEEDORES[[#This Row],[FECHA DE FACTURACIÓN]],"DE CONTADO","CRÉDITO")</f>
        <v>CRÉDITO</v>
      </c>
      <c r="B1493" s="38" t="str">
        <f>+IF((PROVEEDORES[[#This Row],[FECHA DE PAGO]]-PROVEEDORES[[#This Row],[FECHA DE FACTURACIÓN]])&gt;PROVEEDORES[[#This Row],[PLAZO Días]],"PAGO VENCIDO")</f>
        <v>PAGO VENCIDO</v>
      </c>
      <c r="C1493" s="20">
        <f>+VLOOKUP(PROVEEDORES[[#This Row],[PROVEEDOR]],TERCEROS_INFO[#All],2,FALSE)</f>
        <v>30</v>
      </c>
      <c r="D1493" s="25">
        <f>+SUMIFS(PROVEEDORES[Total],PROVEEDORES[PROVEEDOR],PROVEEDORES[[#This Row],[PROVEEDOR]],PROVEEDORES[FECHA DE PAGO],"")</f>
        <v>0</v>
      </c>
      <c r="E1493" s="25"/>
      <c r="F149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493" s="161">
        <v>44839</v>
      </c>
      <c r="H1493" s="26" t="s">
        <v>24</v>
      </c>
      <c r="I1493" s="161">
        <v>44775</v>
      </c>
      <c r="J1493" s="35" t="s">
        <v>1175</v>
      </c>
      <c r="K1493" s="21">
        <v>1682976</v>
      </c>
      <c r="L1493" s="21"/>
      <c r="M1493" s="22">
        <f>(PROVEEDORES[[#This Row],[SUBTOTAL]]-PROVEEDORES[[#This Row],[descuento sobre subtotal]])*VLOOKUP(PROVEEDORES[[#This Row],[PROVEEDOR]],TERCEROS_INFO[#All],3,FALSE)</f>
        <v>319765.44</v>
      </c>
      <c r="N1493" s="23"/>
      <c r="O1493" s="22">
        <f>+PROVEEDORES[[#This Row],[Descuento sobre subtotal %]]*(PROVEEDORES[[#This Row],[SUBTOTAL]]-PROVEEDORES[[#This Row],[descuento sobre subtotal]])</f>
        <v>0</v>
      </c>
      <c r="P1493" s="83">
        <f>+IF(PROVEEDORES[[#This Row],[SUBTOTAL]]&lt;PROVEEDORES[[#This Row],[base retencion]],0,PROVEEDORES[[#This Row],[retención aplicada]])</f>
        <v>2.5000000000000001E-2</v>
      </c>
      <c r="Q1493" s="22">
        <f>+PROVEEDORES[[#This Row],[Rete Fuente %]]*(PROVEEDORES[[#This Row],[SUBTOTAL]]-PROVEEDORES[[#This Row],[descuento sobre subtotal]])</f>
        <v>42074.400000000001</v>
      </c>
      <c r="R1493" s="21">
        <f>+PROVEEDORES[[#This Row],[SUBTOTAL]]+PROVEEDORES[[#This Row],[IVA 19%]]-PROVEEDORES[[#This Row],[descuento sobre subtotal]]-PROVEEDORES[[#This Row],[Descuento sobre subtotal $2]]-PROVEEDORES[[#This Row],[Rete Fuente $]]</f>
        <v>1960667.04</v>
      </c>
      <c r="S1493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3" s="68">
        <f ca="1">IF(PROVEEDORES[[#This Row],[FECHA DE PAGO]]=0,TODAY()-PROVEEDORES[[#This Row],[FECHA DE FACTURACIÓN]]-PROVEEDORES[[#This Row],[PLAZO Días]],0)</f>
        <v>0</v>
      </c>
      <c r="U1493" s="113" t="str">
        <f>+VLOOKUP(PROVEEDORES[[#This Row],[PROVEEDOR]],Terceros!$A:$D,4,FALSE)</f>
        <v>2,5% con base</v>
      </c>
      <c r="V1493" s="114">
        <f>+YEAR(PROVEEDORES[[#This Row],[FECHA DE FACTURACIÓN]])</f>
        <v>2022</v>
      </c>
      <c r="W1493" s="114">
        <f>+MATCH(PROVEEDORES[[#This Row],[año facturado]],Retenciones!$1:$1,0)</f>
        <v>5</v>
      </c>
      <c r="X1493" s="115">
        <f>+VLOOKUP(PROVEEDORES[[#This Row],[ID RETENCION]],Retenciones!$A$1:$O$25,PROVEEDORES[[#This Row],[indicador de columna]],FALSE)</f>
        <v>1026000</v>
      </c>
      <c r="Y1493" s="116">
        <f>+VLOOKUP(PROVEEDORES[[#This Row],[ID RETENCION]],Retenciones!$A$1:$O$25,2,FALSE)</f>
        <v>2.5000000000000001E-2</v>
      </c>
      <c r="Z1493" s="125" t="b">
        <f>OR(COUNTIF(PROVEEDORES[[#This Row],[PROVEEDOR]],"*"&amp;'Palabra no opera'!$A$2&amp;"*"))</f>
        <v>0</v>
      </c>
    </row>
    <row r="1494" spans="1:26" ht="22.2" customHeight="1" x14ac:dyDescent="0.3">
      <c r="A1494" s="269" t="str">
        <f>+IF(PROVEEDORES[[#This Row],[FECHA DE PAGO]]=PROVEEDORES[[#This Row],[FECHA DE FACTURACIÓN]],"DE CONTADO","CRÉDITO")</f>
        <v>CRÉDITO</v>
      </c>
      <c r="B1494" s="38" t="b">
        <f>+IF((PROVEEDORES[[#This Row],[FECHA DE PAGO]]-PROVEEDORES[[#This Row],[FECHA DE FACTURACIÓN]])&gt;PROVEEDORES[[#This Row],[PLAZO Días]],"PAGO VENCIDO")</f>
        <v>0</v>
      </c>
      <c r="C1494" s="20">
        <f>+VLOOKUP(PROVEEDORES[[#This Row],[PROVEEDOR]],TERCEROS_INFO[#All],2,FALSE)</f>
        <v>30</v>
      </c>
      <c r="D1494" s="25">
        <f>+SUMIFS(PROVEEDORES[Total],PROVEEDORES[PROVEEDOR],PROVEEDORES[[#This Row],[PROVEEDOR]],PROVEEDORES[FECHA DE PAGO],"")</f>
        <v>4024829</v>
      </c>
      <c r="E1494" s="25"/>
      <c r="F149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1494" s="26" t="s">
        <v>345</v>
      </c>
      <c r="I1494" s="161">
        <v>44858</v>
      </c>
      <c r="J1494" s="35" t="s">
        <v>1790</v>
      </c>
      <c r="K1494" s="21">
        <v>1965000</v>
      </c>
      <c r="L1494" s="21"/>
      <c r="M1494" s="22">
        <f>(PROVEEDORES[[#This Row],[SUBTOTAL]]-PROVEEDORES[[#This Row],[descuento sobre subtotal]])*VLOOKUP(PROVEEDORES[[#This Row],[PROVEEDOR]],TERCEROS_INFO[#All],3,FALSE)</f>
        <v>0</v>
      </c>
      <c r="N1494" s="23"/>
      <c r="O1494" s="22">
        <f>+PROVEEDORES[[#This Row],[Descuento sobre subtotal %]]*(PROVEEDORES[[#This Row],[SUBTOTAL]]-PROVEEDORES[[#This Row],[descuento sobre subtotal]])</f>
        <v>0</v>
      </c>
      <c r="P1494" s="83">
        <f>+IF(PROVEEDORES[[#This Row],[SUBTOTAL]]&lt;PROVEEDORES[[#This Row],[base retencion]],0,PROVEEDORES[[#This Row],[retención aplicada]])</f>
        <v>0</v>
      </c>
      <c r="Q1494" s="22">
        <f>+PROVEEDORES[[#This Row],[Rete Fuente %]]*(PROVEEDORES[[#This Row],[SUBTOTAL]]-PROVEEDORES[[#This Row],[descuento sobre subtotal]])</f>
        <v>0</v>
      </c>
      <c r="R1494" s="21">
        <f>+PROVEEDORES[[#This Row],[SUBTOTAL]]+PROVEEDORES[[#This Row],[IVA 19%]]-PROVEEDORES[[#This Row],[descuento sobre subtotal]]-PROVEEDORES[[#This Row],[Descuento sobre subtotal $2]]-PROVEEDORES[[#This Row],[Rete Fuente $]]</f>
        <v>1965000</v>
      </c>
      <c r="S1494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94" s="68">
        <f ca="1">IF(PROVEEDORES[[#This Row],[FECHA DE PAGO]]=0,TODAY()-PROVEEDORES[[#This Row],[FECHA DE FACTURACIÓN]]-PROVEEDORES[[#This Row],[PLAZO Días]],0)</f>
        <v>-13</v>
      </c>
      <c r="U1494" s="113">
        <f>+VLOOKUP(PROVEEDORES[[#This Row],[PROVEEDOR]],Terceros!$A:$D,4,FALSE)</f>
        <v>0</v>
      </c>
      <c r="V1494" s="114">
        <f>+YEAR(PROVEEDORES[[#This Row],[FECHA DE FACTURACIÓN]])</f>
        <v>2022</v>
      </c>
      <c r="W1494" s="114">
        <f>+MATCH(PROVEEDORES[[#This Row],[año facturado]],Retenciones!$1:$1,0)</f>
        <v>5</v>
      </c>
      <c r="X1494" s="115">
        <f>+VLOOKUP(PROVEEDORES[[#This Row],[ID RETENCION]],Retenciones!$A$1:$O$25,PROVEEDORES[[#This Row],[indicador de columna]],FALSE)</f>
        <v>0</v>
      </c>
      <c r="Y1494" s="116">
        <f>+VLOOKUP(PROVEEDORES[[#This Row],[ID RETENCION]],Retenciones!$A$1:$O$25,2,FALSE)</f>
        <v>0</v>
      </c>
      <c r="Z1494" s="125" t="b">
        <f>OR(COUNTIF(PROVEEDORES[[#This Row],[PROVEEDOR]],"*"&amp;'Palabra no opera'!$A$2&amp;"*"))</f>
        <v>0</v>
      </c>
    </row>
    <row r="1495" spans="1:26" ht="22.2" customHeight="1" x14ac:dyDescent="0.3">
      <c r="A1495" s="120" t="str">
        <f>+IF(PROVEEDORES[[#This Row],[FECHA DE PAGO]]=PROVEEDORES[[#This Row],[FECHA DE FACTURACIÓN]],"DE CONTADO","CRÉDITO")</f>
        <v>CRÉDITO</v>
      </c>
      <c r="B1495" s="38" t="str">
        <f>+IF((PROVEEDORES[[#This Row],[FECHA DE PAGO]]-PROVEEDORES[[#This Row],[FECHA DE FACTURACIÓN]])&gt;PROVEEDORES[[#This Row],[PLAZO Días]],"PAGO VENCIDO")</f>
        <v>PAGO VENCIDO</v>
      </c>
      <c r="C1495" s="20">
        <f>+VLOOKUP(PROVEEDORES[[#This Row],[PROVEEDOR]],TERCEROS_INFO[#All],2,FALSE)</f>
        <v>30</v>
      </c>
      <c r="D1495" s="25">
        <f>+SUMIFS(PROVEEDORES[Total],PROVEEDORES[PROVEEDOR],PROVEEDORES[[#This Row],[PROVEEDOR]],PROVEEDORES[FECHA DE PAGO],"")</f>
        <v>4712021.58</v>
      </c>
      <c r="E1495" s="25"/>
      <c r="F149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495" s="161">
        <v>44704</v>
      </c>
      <c r="H1495" s="26" t="s">
        <v>17</v>
      </c>
      <c r="I1495" s="161">
        <v>44670</v>
      </c>
      <c r="J1495" s="35">
        <v>1903629</v>
      </c>
      <c r="K1495" s="21">
        <v>1663470</v>
      </c>
      <c r="L1495" s="21"/>
      <c r="M1495" s="22">
        <f>(PROVEEDORES[[#This Row],[SUBTOTAL]]-PROVEEDORES[[#This Row],[descuento sobre subtotal]])*VLOOKUP(PROVEEDORES[[#This Row],[PROVEEDOR]],TERCEROS_INFO[#All],3,FALSE)</f>
        <v>316059.3</v>
      </c>
      <c r="N1495" s="23"/>
      <c r="O1495" s="22">
        <f>+PROVEEDORES[[#This Row],[Descuento sobre subtotal %]]*(PROVEEDORES[[#This Row],[SUBTOTAL]]-PROVEEDORES[[#This Row],[descuento sobre subtotal]])</f>
        <v>0</v>
      </c>
      <c r="P1495" s="83">
        <f>+IF(PROVEEDORES[[#This Row],[SUBTOTAL]]&lt;PROVEEDORES[[#This Row],[base retencion]],0,PROVEEDORES[[#This Row],[retención aplicada]])</f>
        <v>0</v>
      </c>
      <c r="Q1495" s="22">
        <f>+PROVEEDORES[[#This Row],[Rete Fuente %]]*(PROVEEDORES[[#This Row],[SUBTOTAL]]-PROVEEDORES[[#This Row],[descuento sobre subtotal]])</f>
        <v>0</v>
      </c>
      <c r="R1495" s="21">
        <f>+PROVEEDORES[[#This Row],[SUBTOTAL]]+PROVEEDORES[[#This Row],[IVA 19%]]-PROVEEDORES[[#This Row],[descuento sobre subtotal]]-PROVEEDORES[[#This Row],[Descuento sobre subtotal $2]]-PROVEEDORES[[#This Row],[Rete Fuente $]]</f>
        <v>1979529.3</v>
      </c>
      <c r="S149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5" s="68">
        <f ca="1">IF(PROVEEDORES[[#This Row],[FECHA DE PAGO]]=0,TODAY()-PROVEEDORES[[#This Row],[FECHA DE FACTURACIÓN]]-PROVEEDORES[[#This Row],[PLAZO Días]],0)</f>
        <v>0</v>
      </c>
      <c r="U1495" s="113">
        <f>+VLOOKUP(PROVEEDORES[[#This Row],[PROVEEDOR]],Terceros!$A:$D,4,FALSE)</f>
        <v>0</v>
      </c>
      <c r="V1495" s="114">
        <f>+YEAR(PROVEEDORES[[#This Row],[FECHA DE FACTURACIÓN]])</f>
        <v>2022</v>
      </c>
      <c r="W1495" s="114">
        <f>+MATCH(PROVEEDORES[[#This Row],[año facturado]],Retenciones!$1:$1,0)</f>
        <v>5</v>
      </c>
      <c r="X1495" s="115">
        <f>+VLOOKUP(PROVEEDORES[[#This Row],[ID RETENCION]],Retenciones!$A$1:$O$25,PROVEEDORES[[#This Row],[indicador de columna]],FALSE)</f>
        <v>0</v>
      </c>
      <c r="Y1495" s="116">
        <f>+VLOOKUP(PROVEEDORES[[#This Row],[ID RETENCION]],Retenciones!$A$1:$O$25,2,FALSE)</f>
        <v>0</v>
      </c>
      <c r="Z1495" s="125" t="b">
        <f>OR(COUNTIF(PROVEEDORES[[#This Row],[PROVEEDOR]],"*"&amp;'Palabra no opera'!$A$2&amp;"*"))</f>
        <v>0</v>
      </c>
    </row>
    <row r="1496" spans="1:26" ht="22.2" customHeight="1" x14ac:dyDescent="0.3">
      <c r="A1496" s="66" t="str">
        <f>+IF(PROVEEDORES[[#This Row],[FECHA DE PAGO]]=PROVEEDORES[[#This Row],[FECHA DE FACTURACIÓN]],"DE CONTADO","CRÉDITO")</f>
        <v>CRÉDITO</v>
      </c>
      <c r="B1496" s="38" t="str">
        <f>+IF((PROVEEDORES[[#This Row],[FECHA DE PAGO]]-PROVEEDORES[[#This Row],[FECHA DE FACTURACIÓN]])&gt;PROVEEDORES[[#This Row],[PLAZO Días]],"PAGO VENCIDO")</f>
        <v>PAGO VENCIDO</v>
      </c>
      <c r="C1496" s="20">
        <f>+VLOOKUP(PROVEEDORES[[#This Row],[PROVEEDOR]],TERCEROS_INFO[#All],2,FALSE)</f>
        <v>30</v>
      </c>
      <c r="D1496" s="25">
        <f>+SUMIFS(PROVEEDORES[Total],PROVEEDORES[PROVEEDOR],PROVEEDORES[[#This Row],[PROVEEDOR]],PROVEEDORES[FECHA DE PAGO],"")</f>
        <v>3430770</v>
      </c>
      <c r="E1496" s="25"/>
      <c r="F149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96" s="161">
        <v>44298</v>
      </c>
      <c r="H1496" s="26" t="s">
        <v>1448</v>
      </c>
      <c r="I1496" s="161">
        <v>44260</v>
      </c>
      <c r="J1496" s="35">
        <v>14581</v>
      </c>
      <c r="K1496" s="21">
        <v>1708000</v>
      </c>
      <c r="L1496" s="21"/>
      <c r="M1496" s="22">
        <f>(PROVEEDORES[[#This Row],[SUBTOTAL]]-PROVEEDORES[[#This Row],[descuento sobre subtotal]])*VLOOKUP(PROVEEDORES[[#This Row],[PROVEEDOR]],TERCEROS_INFO[#All],3,FALSE)</f>
        <v>324520</v>
      </c>
      <c r="N1496" s="23"/>
      <c r="O1496" s="22">
        <f>+PROVEEDORES[[#This Row],[Descuento sobre subtotal %]]*(PROVEEDORES[[#This Row],[SUBTOTAL]]-PROVEEDORES[[#This Row],[descuento sobre subtotal]])</f>
        <v>0</v>
      </c>
      <c r="P1496" s="83">
        <v>2.5000000000000001E-2</v>
      </c>
      <c r="Q1496" s="22">
        <f>+PROVEEDORES[[#This Row],[Rete Fuente %]]*(PROVEEDORES[[#This Row],[SUBTOTAL]]-PROVEEDORES[[#This Row],[descuento sobre subtotal]])</f>
        <v>42700</v>
      </c>
      <c r="R1496" s="21">
        <f>+PROVEEDORES[[#This Row],[SUBTOTAL]]+PROVEEDORES[[#This Row],[IVA 19%]]-PROVEEDORES[[#This Row],[descuento sobre subtotal]]-PROVEEDORES[[#This Row],[Descuento sobre subtotal $2]]-PROVEEDORES[[#This Row],[Rete Fuente $]]</f>
        <v>1989820</v>
      </c>
      <c r="S14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6" s="68">
        <f ca="1">IF(PROVEEDORES[[#This Row],[FECHA DE PAGO]]=0,TODAY()-PROVEEDORES[[#This Row],[FECHA DE FACTURACIÓN]]-PROVEEDORES[[#This Row],[PLAZO Días]],0)</f>
        <v>0</v>
      </c>
      <c r="U1496" s="96">
        <f>+VLOOKUP(PROVEEDORES[[#This Row],[PROVEEDOR]],Terceros!$A:$D,4,FALSE)</f>
        <v>0</v>
      </c>
      <c r="V1496" s="97">
        <f>+YEAR(PROVEEDORES[[#This Row],[FECHA DE FACTURACIÓN]])</f>
        <v>2021</v>
      </c>
      <c r="W1496" s="97">
        <f>+MATCH(PROVEEDORES[[#This Row],[año facturado]],Retenciones!$1:$1,0)</f>
        <v>4</v>
      </c>
      <c r="X1496" s="98">
        <f>+VLOOKUP(PROVEEDORES[[#This Row],[ID RETENCION]],Retenciones!$A$1:$O$25,PROVEEDORES[[#This Row],[indicador de columna]],FALSE)</f>
        <v>0</v>
      </c>
      <c r="Y1496" s="99">
        <f>+VLOOKUP(PROVEEDORES[[#This Row],[ID RETENCION]],Retenciones!$A$1:$O$25,2,FALSE)</f>
        <v>0</v>
      </c>
      <c r="Z1496" s="125" t="b">
        <f>OR(COUNTIF(PROVEEDORES[[#This Row],[PROVEEDOR]],"*"&amp;'Palabra no opera'!$A$2&amp;"*"))</f>
        <v>0</v>
      </c>
    </row>
    <row r="1497" spans="1:26" ht="22.2" customHeight="1" x14ac:dyDescent="0.3">
      <c r="A1497" s="66" t="str">
        <f>+IF(PROVEEDORES[[#This Row],[FECHA DE PAGO]]=PROVEEDORES[[#This Row],[FECHA DE FACTURACIÓN]],"DE CONTADO","CRÉDITO")</f>
        <v>CRÉDITO</v>
      </c>
      <c r="B1497" s="38" t="str">
        <f>+IF((PROVEEDORES[[#This Row],[FECHA DE PAGO]]-PROVEEDORES[[#This Row],[FECHA DE FACTURACIÓN]])&gt;PROVEEDORES[[#This Row],[PLAZO Días]],"PAGO VENCIDO")</f>
        <v>PAGO VENCIDO</v>
      </c>
      <c r="C1497" s="20">
        <f>+VLOOKUP(PROVEEDORES[[#This Row],[PROVEEDOR]],TERCEROS_INFO[#All],2,FALSE)</f>
        <v>30</v>
      </c>
      <c r="D1497" s="25">
        <f>+SUMIFS(PROVEEDORES[Total],PROVEEDORES[PROVEEDOR],PROVEEDORES[[#This Row],[PROVEEDOR]],PROVEEDORES[FECHA DE PAGO],"")</f>
        <v>1194849.25</v>
      </c>
      <c r="E1497" s="25"/>
      <c r="F1497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97" s="161">
        <v>44385</v>
      </c>
      <c r="H1497" s="26" t="s">
        <v>32</v>
      </c>
      <c r="I1497" s="161">
        <v>44328</v>
      </c>
      <c r="J1497" s="35">
        <v>3909</v>
      </c>
      <c r="K1497" s="21">
        <v>1710840.35</v>
      </c>
      <c r="L1497" s="21"/>
      <c r="M1497" s="22">
        <f>(PROVEEDORES[[#This Row],[SUBTOTAL]]-PROVEEDORES[[#This Row],[descuento sobre subtotal]])*VLOOKUP(PROVEEDORES[[#This Row],[PROVEEDOR]],TERCEROS_INFO[#All],3,FALSE)</f>
        <v>325059.66650000005</v>
      </c>
      <c r="N1497" s="23"/>
      <c r="O1497" s="22">
        <f>+PROVEEDORES[[#This Row],[Descuento sobre subtotal %]]*(PROVEEDORES[[#This Row],[SUBTOTAL]]-PROVEEDORES[[#This Row],[descuento sobre subtotal]])</f>
        <v>0</v>
      </c>
      <c r="P1497" s="83">
        <f>+IF(PROVEEDORES[[#This Row],[SUBTOTAL]]&lt;PROVEEDORES[[#This Row],[base retencion]],0,PROVEEDORES[[#This Row],[retención aplicada]])</f>
        <v>2.5000000000000001E-2</v>
      </c>
      <c r="Q1497" s="22">
        <f>+PROVEEDORES[[#This Row],[Rete Fuente %]]*(PROVEEDORES[[#This Row],[SUBTOTAL]]-PROVEEDORES[[#This Row],[descuento sobre subtotal]])</f>
        <v>42771.008750000008</v>
      </c>
      <c r="R1497" s="21">
        <f>+PROVEEDORES[[#This Row],[SUBTOTAL]]+PROVEEDORES[[#This Row],[IVA 19%]]-PROVEEDORES[[#This Row],[descuento sobre subtotal]]-PROVEEDORES[[#This Row],[Descuento sobre subtotal $2]]-PROVEEDORES[[#This Row],[Rete Fuente $]]</f>
        <v>1993129.0077500001</v>
      </c>
      <c r="S14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7" s="68">
        <f ca="1">IF(PROVEEDORES[[#This Row],[FECHA DE PAGO]]=0,TODAY()-PROVEEDORES[[#This Row],[FECHA DE FACTURACIÓN]]-PROVEEDORES[[#This Row],[PLAZO Días]],0)</f>
        <v>0</v>
      </c>
      <c r="U1497" s="96" t="str">
        <f>+VLOOKUP(PROVEEDORES[[#This Row],[PROVEEDOR]],Terceros!$A:$D,4,FALSE)</f>
        <v>2,5% con base</v>
      </c>
      <c r="V1497" s="97">
        <f>+YEAR(PROVEEDORES[[#This Row],[FECHA DE FACTURACIÓN]])</f>
        <v>2021</v>
      </c>
      <c r="W1497" s="97">
        <f>+MATCH(PROVEEDORES[[#This Row],[año facturado]],Retenciones!$1:$1,0)</f>
        <v>4</v>
      </c>
      <c r="X1497" s="98">
        <f>+VLOOKUP(PROVEEDORES[[#This Row],[ID RETENCION]],Retenciones!$A$1:$O$25,PROVEEDORES[[#This Row],[indicador de columna]],FALSE)</f>
        <v>980000</v>
      </c>
      <c r="Y1497" s="99">
        <f>+VLOOKUP(PROVEEDORES[[#This Row],[ID RETENCION]],Retenciones!$A$1:$O$25,2,FALSE)</f>
        <v>2.5000000000000001E-2</v>
      </c>
      <c r="Z1497" s="125" t="b">
        <f>OR(COUNTIF(PROVEEDORES[[#This Row],[PROVEEDOR]],"*"&amp;'Palabra no opera'!$A$2&amp;"*"))</f>
        <v>0</v>
      </c>
    </row>
    <row r="1498" spans="1:26" ht="22.2" customHeight="1" x14ac:dyDescent="0.3">
      <c r="A1498" s="66" t="str">
        <f>+IF(PROVEEDORES[[#This Row],[FECHA DE PAGO]]=PROVEEDORES[[#This Row],[FECHA DE FACTURACIÓN]],"DE CONTADO","CRÉDITO")</f>
        <v>DE CONTADO</v>
      </c>
      <c r="B1498" s="38" t="b">
        <f>+IF((PROVEEDORES[[#This Row],[FECHA DE PAGO]]-PROVEEDORES[[#This Row],[FECHA DE FACTURACIÓN]])&gt;PROVEEDORES[[#This Row],[PLAZO Días]],"PAGO VENCIDO")</f>
        <v>0</v>
      </c>
      <c r="C1498" s="20">
        <f>+VLOOKUP(PROVEEDORES[[#This Row],[PROVEEDOR]],TERCEROS_INFO[#All],2,FALSE)</f>
        <v>30</v>
      </c>
      <c r="D1498" s="25">
        <f>+SUMIFS(PROVEEDORES[Total],PROVEEDORES[PROVEEDOR],PROVEEDORES[[#This Row],[PROVEEDOR]],PROVEEDORES[FECHA DE PAGO],"")</f>
        <v>0</v>
      </c>
      <c r="E1498" s="25"/>
      <c r="F1498" s="58" t="str">
        <f>+VLOOKUP(PROVEEDORES[[#This Row],[PROVEEDOR]],
                       Terceros!$A:$F,
                       5,
                       FALSE)</f>
        <v/>
      </c>
      <c r="G1498" s="161">
        <v>44217</v>
      </c>
      <c r="H1498" s="26" t="s">
        <v>673</v>
      </c>
      <c r="I1498" s="161">
        <v>44217</v>
      </c>
      <c r="J1498" s="35"/>
      <c r="K1498" s="21">
        <v>2000000</v>
      </c>
      <c r="L1498" s="21"/>
      <c r="M1498" s="22">
        <f>(PROVEEDORES[[#This Row],[SUBTOTAL]]-PROVEEDORES[[#This Row],[descuento sobre subtotal]])*VLOOKUP(PROVEEDORES[[#This Row],[PROVEEDOR]],TERCEROS_INFO[#All],3,FALSE)</f>
        <v>0</v>
      </c>
      <c r="N1498" s="23"/>
      <c r="O1498" s="22">
        <f>+PROVEEDORES[[#This Row],[Descuento sobre subtotal %]]*(PROVEEDORES[[#This Row],[SUBTOTAL]]-PROVEEDORES[[#This Row],[descuento sobre subtotal]])</f>
        <v>0</v>
      </c>
      <c r="P1498" s="83">
        <f>+IF(PROVEEDORES[[#This Row],[SUBTOTAL]]&lt;PROVEEDORES[[#This Row],[base retencion]],0,PROVEEDORES[[#This Row],[retención aplicada]])</f>
        <v>0</v>
      </c>
      <c r="Q1498" s="22">
        <f>+PROVEEDORES[[#This Row],[Rete Fuente %]]*(PROVEEDORES[[#This Row],[SUBTOTAL]]-PROVEEDORES[[#This Row],[descuento sobre subtotal]])</f>
        <v>0</v>
      </c>
      <c r="R1498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4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8" s="68">
        <f ca="1">IF(PROVEEDORES[[#This Row],[FECHA DE PAGO]]=0,TODAY()-PROVEEDORES[[#This Row],[FECHA DE FACTURACIÓN]]-PROVEEDORES[[#This Row],[PLAZO Días]],0)</f>
        <v>0</v>
      </c>
      <c r="U1498" s="96">
        <f>+VLOOKUP(PROVEEDORES[[#This Row],[PROVEEDOR]],Terceros!$A:$D,4,FALSE)</f>
        <v>0</v>
      </c>
      <c r="V1498" s="97">
        <f>+YEAR(PROVEEDORES[[#This Row],[FECHA DE FACTURACIÓN]])</f>
        <v>2021</v>
      </c>
      <c r="W1498" s="97">
        <f>+MATCH(PROVEEDORES[[#This Row],[año facturado]],Retenciones!$1:$1,0)</f>
        <v>4</v>
      </c>
      <c r="X1498" s="98">
        <f>+VLOOKUP(PROVEEDORES[[#This Row],[ID RETENCION]],Retenciones!$A$1:$O$25,PROVEEDORES[[#This Row],[indicador de columna]],FALSE)</f>
        <v>0</v>
      </c>
      <c r="Y1498" s="99">
        <f>+VLOOKUP(PROVEEDORES[[#This Row],[ID RETENCION]],Retenciones!$A$1:$O$25,2,FALSE)</f>
        <v>0</v>
      </c>
      <c r="Z1498" s="125" t="b">
        <f>OR(COUNTIF(PROVEEDORES[[#This Row],[PROVEEDOR]],"*"&amp;'Palabra no opera'!$A$2&amp;"*"))</f>
        <v>0</v>
      </c>
    </row>
    <row r="1499" spans="1:26" ht="22.2" customHeight="1" x14ac:dyDescent="0.3">
      <c r="A1499" s="66" t="str">
        <f>+IF(PROVEEDORES[[#This Row],[FECHA DE PAGO]]=PROVEEDORES[[#This Row],[FECHA DE FACTURACIÓN]],"DE CONTADO","CRÉDITO")</f>
        <v>DE CONTADO</v>
      </c>
      <c r="B1499" s="38" t="b">
        <f>+IF((PROVEEDORES[[#This Row],[FECHA DE PAGO]]-PROVEEDORES[[#This Row],[FECHA DE FACTURACIÓN]])&gt;PROVEEDORES[[#This Row],[PLAZO Días]],"PAGO VENCIDO")</f>
        <v>0</v>
      </c>
      <c r="C1499" s="20">
        <f>+VLOOKUP(PROVEEDORES[[#This Row],[PROVEEDOR]],TERCEROS_INFO[#All],2,FALSE)</f>
        <v>30</v>
      </c>
      <c r="D1499" s="25">
        <f>+SUMIFS(PROVEEDORES[Total],PROVEEDORES[PROVEEDOR],PROVEEDORES[[#This Row],[PROVEEDOR]],PROVEEDORES[FECHA DE PAGO],"")</f>
        <v>0</v>
      </c>
      <c r="E1499" s="25"/>
      <c r="F1499" s="58" t="str">
        <f>+VLOOKUP(PROVEEDORES[[#This Row],[PROVEEDOR]],
                       Terceros!$A:$F,
                       5,
                       FALSE)</f>
        <v/>
      </c>
      <c r="G1499" s="161">
        <v>44230</v>
      </c>
      <c r="H1499" s="26" t="s">
        <v>673</v>
      </c>
      <c r="I1499" s="161">
        <v>44230</v>
      </c>
      <c r="J1499" s="35"/>
      <c r="K1499" s="21">
        <v>2000000</v>
      </c>
      <c r="L1499" s="21"/>
      <c r="M1499" s="22">
        <f>(PROVEEDORES[[#This Row],[SUBTOTAL]]-PROVEEDORES[[#This Row],[descuento sobre subtotal]])*VLOOKUP(PROVEEDORES[[#This Row],[PROVEEDOR]],TERCEROS_INFO[#All],3,FALSE)</f>
        <v>0</v>
      </c>
      <c r="N1499" s="23"/>
      <c r="O1499" s="22">
        <f>+PROVEEDORES[[#This Row],[Descuento sobre subtotal %]]*(PROVEEDORES[[#This Row],[SUBTOTAL]]-PROVEEDORES[[#This Row],[descuento sobre subtotal]])</f>
        <v>0</v>
      </c>
      <c r="P1499" s="83">
        <f>+IF(PROVEEDORES[[#This Row],[SUBTOTAL]]&lt;PROVEEDORES[[#This Row],[base retencion]],0,PROVEEDORES[[#This Row],[retención aplicada]])</f>
        <v>0</v>
      </c>
      <c r="Q1499" s="22">
        <f>+PROVEEDORES[[#This Row],[Rete Fuente %]]*(PROVEEDORES[[#This Row],[SUBTOTAL]]-PROVEEDORES[[#This Row],[descuento sobre subtotal]])</f>
        <v>0</v>
      </c>
      <c r="R1499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4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9" s="68">
        <f ca="1">IF(PROVEEDORES[[#This Row],[FECHA DE PAGO]]=0,TODAY()-PROVEEDORES[[#This Row],[FECHA DE FACTURACIÓN]]-PROVEEDORES[[#This Row],[PLAZO Días]],0)</f>
        <v>0</v>
      </c>
      <c r="U1499" s="96">
        <f>+VLOOKUP(PROVEEDORES[[#This Row],[PROVEEDOR]],Terceros!$A:$D,4,FALSE)</f>
        <v>0</v>
      </c>
      <c r="V1499" s="97">
        <f>+YEAR(PROVEEDORES[[#This Row],[FECHA DE FACTURACIÓN]])</f>
        <v>2021</v>
      </c>
      <c r="W1499" s="97">
        <f>+MATCH(PROVEEDORES[[#This Row],[año facturado]],Retenciones!$1:$1,0)</f>
        <v>4</v>
      </c>
      <c r="X1499" s="98">
        <f>+VLOOKUP(PROVEEDORES[[#This Row],[ID RETENCION]],Retenciones!$A$1:$O$25,PROVEEDORES[[#This Row],[indicador de columna]],FALSE)</f>
        <v>0</v>
      </c>
      <c r="Y1499" s="99">
        <f>+VLOOKUP(PROVEEDORES[[#This Row],[ID RETENCION]],Retenciones!$A$1:$O$25,2,FALSE)</f>
        <v>0</v>
      </c>
      <c r="Z1499" s="125" t="b">
        <f>OR(COUNTIF(PROVEEDORES[[#This Row],[PROVEEDOR]],"*"&amp;'Palabra no opera'!$A$2&amp;"*"))</f>
        <v>0</v>
      </c>
    </row>
    <row r="1500" spans="1:26" ht="22.2" customHeight="1" x14ac:dyDescent="0.3">
      <c r="A1500" s="66" t="str">
        <f>+IF(PROVEEDORES[[#This Row],[FECHA DE PAGO]]=PROVEEDORES[[#This Row],[FECHA DE FACTURACIÓN]],"DE CONTADO","CRÉDITO")</f>
        <v>DE CONTADO</v>
      </c>
      <c r="B1500" s="38" t="b">
        <f>+IF((PROVEEDORES[[#This Row],[FECHA DE PAGO]]-PROVEEDORES[[#This Row],[FECHA DE FACTURACIÓN]])&gt;PROVEEDORES[[#This Row],[PLAZO Días]],"PAGO VENCIDO")</f>
        <v>0</v>
      </c>
      <c r="C1500" s="20">
        <f>+VLOOKUP(PROVEEDORES[[#This Row],[PROVEEDOR]],TERCEROS_INFO[#All],2,FALSE)</f>
        <v>30</v>
      </c>
      <c r="D1500" s="25">
        <f>+SUMIFS(PROVEEDORES[Total],PROVEEDORES[PROVEEDOR],PROVEEDORES[[#This Row],[PROVEEDOR]],PROVEEDORES[FECHA DE PAGO],"")</f>
        <v>0</v>
      </c>
      <c r="E1500" s="25"/>
      <c r="F1500" s="58" t="str">
        <f>+VLOOKUP(PROVEEDORES[[#This Row],[PROVEEDOR]],
                       Terceros!$A:$F,
                       5,
                       FALSE)</f>
        <v/>
      </c>
      <c r="G1500" s="161">
        <v>44271</v>
      </c>
      <c r="H1500" s="26" t="s">
        <v>673</v>
      </c>
      <c r="I1500" s="161">
        <v>44271</v>
      </c>
      <c r="J1500" s="35"/>
      <c r="K1500" s="21">
        <v>2000000</v>
      </c>
      <c r="L1500" s="21"/>
      <c r="M1500" s="22">
        <f>(PROVEEDORES[[#This Row],[SUBTOTAL]]-PROVEEDORES[[#This Row],[descuento sobre subtotal]])*VLOOKUP(PROVEEDORES[[#This Row],[PROVEEDOR]],TERCEROS_INFO[#All],3,FALSE)</f>
        <v>0</v>
      </c>
      <c r="N1500" s="23"/>
      <c r="O1500" s="22">
        <f>+PROVEEDORES[[#This Row],[Descuento sobre subtotal %]]*(PROVEEDORES[[#This Row],[SUBTOTAL]]-PROVEEDORES[[#This Row],[descuento sobre subtotal]])</f>
        <v>0</v>
      </c>
      <c r="P1500" s="83">
        <f>+IF(PROVEEDORES[[#This Row],[SUBTOTAL]]&lt;PROVEEDORES[[#This Row],[base retencion]],0,PROVEEDORES[[#This Row],[retención aplicada]])</f>
        <v>0</v>
      </c>
      <c r="Q1500" s="22">
        <f>+PROVEEDORES[[#This Row],[Rete Fuente %]]*(PROVEEDORES[[#This Row],[SUBTOTAL]]-PROVEEDORES[[#This Row],[descuento sobre subtotal]])</f>
        <v>0</v>
      </c>
      <c r="R1500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0" s="68">
        <f ca="1">IF(PROVEEDORES[[#This Row],[FECHA DE PAGO]]=0,TODAY()-PROVEEDORES[[#This Row],[FECHA DE FACTURACIÓN]]-PROVEEDORES[[#This Row],[PLAZO Días]],0)</f>
        <v>0</v>
      </c>
      <c r="U1500" s="96">
        <f>+VLOOKUP(PROVEEDORES[[#This Row],[PROVEEDOR]],Terceros!$A:$D,4,FALSE)</f>
        <v>0</v>
      </c>
      <c r="V1500" s="97">
        <f>+YEAR(PROVEEDORES[[#This Row],[FECHA DE FACTURACIÓN]])</f>
        <v>2021</v>
      </c>
      <c r="W1500" s="97">
        <f>+MATCH(PROVEEDORES[[#This Row],[año facturado]],Retenciones!$1:$1,0)</f>
        <v>4</v>
      </c>
      <c r="X1500" s="98">
        <f>+VLOOKUP(PROVEEDORES[[#This Row],[ID RETENCION]],Retenciones!$A$1:$O$25,PROVEEDORES[[#This Row],[indicador de columna]],FALSE)</f>
        <v>0</v>
      </c>
      <c r="Y1500" s="99">
        <f>+VLOOKUP(PROVEEDORES[[#This Row],[ID RETENCION]],Retenciones!$A$1:$O$25,2,FALSE)</f>
        <v>0</v>
      </c>
      <c r="Z1500" s="125" t="b">
        <f>OR(COUNTIF(PROVEEDORES[[#This Row],[PROVEEDOR]],"*"&amp;'Palabra no opera'!$A$2&amp;"*"))</f>
        <v>0</v>
      </c>
    </row>
    <row r="1501" spans="1:26" ht="22.2" customHeight="1" x14ac:dyDescent="0.3">
      <c r="A1501" s="66" t="str">
        <f>+IF(PROVEEDORES[[#This Row],[FECHA DE PAGO]]=PROVEEDORES[[#This Row],[FECHA DE FACTURACIÓN]],"DE CONTADO","CRÉDITO")</f>
        <v>DE CONTADO</v>
      </c>
      <c r="B1501" s="38" t="b">
        <f>+IF((PROVEEDORES[[#This Row],[FECHA DE PAGO]]-PROVEEDORES[[#This Row],[FECHA DE FACTURACIÓN]])&gt;PROVEEDORES[[#This Row],[PLAZO Días]],"PAGO VENCIDO")</f>
        <v>0</v>
      </c>
      <c r="C1501" s="20">
        <f>+VLOOKUP(PROVEEDORES[[#This Row],[PROVEEDOR]],TERCEROS_INFO[#All],2,FALSE)</f>
        <v>30</v>
      </c>
      <c r="D1501" s="25">
        <f>+SUMIFS(PROVEEDORES[Total],PROVEEDORES[PROVEEDOR],PROVEEDORES[[#This Row],[PROVEEDOR]],PROVEEDORES[FECHA DE PAGO],"")</f>
        <v>0</v>
      </c>
      <c r="E1501" s="25"/>
      <c r="F1501" s="58" t="str">
        <f>+VLOOKUP(PROVEEDORES[[#This Row],[PROVEEDOR]],
                       Terceros!$A:$F,
                       5,
                       FALSE)</f>
        <v/>
      </c>
      <c r="G1501" s="161">
        <v>44351</v>
      </c>
      <c r="H1501" s="26" t="s">
        <v>673</v>
      </c>
      <c r="I1501" s="161">
        <v>44351</v>
      </c>
      <c r="J1501" s="35"/>
      <c r="K1501" s="21">
        <v>2000000</v>
      </c>
      <c r="L1501" s="21"/>
      <c r="M1501" s="22">
        <f>(PROVEEDORES[[#This Row],[SUBTOTAL]]-PROVEEDORES[[#This Row],[descuento sobre subtotal]])*VLOOKUP(PROVEEDORES[[#This Row],[PROVEEDOR]],TERCEROS_INFO[#All],3,FALSE)</f>
        <v>0</v>
      </c>
      <c r="N1501" s="23"/>
      <c r="O1501" s="22">
        <f>+PROVEEDORES[[#This Row],[Descuento sobre subtotal %]]*(PROVEEDORES[[#This Row],[SUBTOTAL]]-PROVEEDORES[[#This Row],[descuento sobre subtotal]])</f>
        <v>0</v>
      </c>
      <c r="P1501" s="83">
        <f>+IF(PROVEEDORES[[#This Row],[SUBTOTAL]]&lt;PROVEEDORES[[#This Row],[base retencion]],0,PROVEEDORES[[#This Row],[retención aplicada]])</f>
        <v>0</v>
      </c>
      <c r="Q1501" s="22">
        <f>+PROVEEDORES[[#This Row],[Rete Fuente %]]*(PROVEEDORES[[#This Row],[SUBTOTAL]]-PROVEEDORES[[#This Row],[descuento sobre subtotal]])</f>
        <v>0</v>
      </c>
      <c r="R1501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1" s="68">
        <f ca="1">IF(PROVEEDORES[[#This Row],[FECHA DE PAGO]]=0,TODAY()-PROVEEDORES[[#This Row],[FECHA DE FACTURACIÓN]]-PROVEEDORES[[#This Row],[PLAZO Días]],0)</f>
        <v>0</v>
      </c>
      <c r="U1501" s="96">
        <f>+VLOOKUP(PROVEEDORES[[#This Row],[PROVEEDOR]],Terceros!$A:$D,4,FALSE)</f>
        <v>0</v>
      </c>
      <c r="V1501" s="97">
        <f>+YEAR(PROVEEDORES[[#This Row],[FECHA DE FACTURACIÓN]])</f>
        <v>2021</v>
      </c>
      <c r="W1501" s="97">
        <f>+MATCH(PROVEEDORES[[#This Row],[año facturado]],Retenciones!$1:$1,0)</f>
        <v>4</v>
      </c>
      <c r="X1501" s="98">
        <f>+VLOOKUP(PROVEEDORES[[#This Row],[ID RETENCION]],Retenciones!$A$1:$O$25,PROVEEDORES[[#This Row],[indicador de columna]],FALSE)</f>
        <v>0</v>
      </c>
      <c r="Y1501" s="99">
        <f>+VLOOKUP(PROVEEDORES[[#This Row],[ID RETENCION]],Retenciones!$A$1:$O$25,2,FALSE)</f>
        <v>0</v>
      </c>
      <c r="Z1501" s="125" t="b">
        <f>OR(COUNTIF(PROVEEDORES[[#This Row],[PROVEEDOR]],"*"&amp;'Palabra no opera'!$A$2&amp;"*"))</f>
        <v>0</v>
      </c>
    </row>
    <row r="1502" spans="1:26" ht="22.2" customHeight="1" x14ac:dyDescent="0.3">
      <c r="A1502" s="66" t="str">
        <f>+IF(PROVEEDORES[[#This Row],[FECHA DE PAGO]]=PROVEEDORES[[#This Row],[FECHA DE FACTURACIÓN]],"DE CONTADO","CRÉDITO")</f>
        <v>DE CONTADO</v>
      </c>
      <c r="B1502" s="38" t="b">
        <f>+IF((PROVEEDORES[[#This Row],[FECHA DE PAGO]]-PROVEEDORES[[#This Row],[FECHA DE FACTURACIÓN]])&gt;PROVEEDORES[[#This Row],[PLAZO Días]],"PAGO VENCIDO")</f>
        <v>0</v>
      </c>
      <c r="C1502" s="20">
        <f>+VLOOKUP(PROVEEDORES[[#This Row],[PROVEEDOR]],TERCEROS_INFO[#All],2,FALSE)</f>
        <v>30</v>
      </c>
      <c r="D1502" s="25">
        <f>+SUMIFS(PROVEEDORES[Total],PROVEEDORES[PROVEEDOR],PROVEEDORES[[#This Row],[PROVEEDOR]],PROVEEDORES[FECHA DE PAGO],"")</f>
        <v>0</v>
      </c>
      <c r="E1502" s="25"/>
      <c r="F1502" s="58" t="str">
        <f>+VLOOKUP(PROVEEDORES[[#This Row],[PROVEEDOR]],
                       Terceros!$A:$F,
                       5,
                       FALSE)</f>
        <v/>
      </c>
      <c r="G1502" s="161">
        <v>44362</v>
      </c>
      <c r="H1502" s="26" t="s">
        <v>673</v>
      </c>
      <c r="I1502" s="161">
        <v>44362</v>
      </c>
      <c r="J1502" s="35"/>
      <c r="K1502" s="21">
        <v>2000000</v>
      </c>
      <c r="L1502" s="21"/>
      <c r="M1502" s="22">
        <f>(PROVEEDORES[[#This Row],[SUBTOTAL]]-PROVEEDORES[[#This Row],[descuento sobre subtotal]])*VLOOKUP(PROVEEDORES[[#This Row],[PROVEEDOR]],TERCEROS_INFO[#All],3,FALSE)</f>
        <v>0</v>
      </c>
      <c r="N1502" s="23"/>
      <c r="O1502" s="22">
        <f>+PROVEEDORES[[#This Row],[Descuento sobre subtotal %]]*(PROVEEDORES[[#This Row],[SUBTOTAL]]-PROVEEDORES[[#This Row],[descuento sobre subtotal]])</f>
        <v>0</v>
      </c>
      <c r="P1502" s="83">
        <f>+IF(PROVEEDORES[[#This Row],[SUBTOTAL]]&lt;PROVEEDORES[[#This Row],[base retencion]],0,PROVEEDORES[[#This Row],[retención aplicada]])</f>
        <v>0</v>
      </c>
      <c r="Q1502" s="22">
        <f>+PROVEEDORES[[#This Row],[Rete Fuente %]]*(PROVEEDORES[[#This Row],[SUBTOTAL]]-PROVEEDORES[[#This Row],[descuento sobre subtotal]])</f>
        <v>0</v>
      </c>
      <c r="R1502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2" s="68">
        <f ca="1">IF(PROVEEDORES[[#This Row],[FECHA DE PAGO]]=0,TODAY()-PROVEEDORES[[#This Row],[FECHA DE FACTURACIÓN]]-PROVEEDORES[[#This Row],[PLAZO Días]],0)</f>
        <v>0</v>
      </c>
      <c r="U1502" s="96">
        <f>+VLOOKUP(PROVEEDORES[[#This Row],[PROVEEDOR]],Terceros!$A:$D,4,FALSE)</f>
        <v>0</v>
      </c>
      <c r="V1502" s="97">
        <f>+YEAR(PROVEEDORES[[#This Row],[FECHA DE FACTURACIÓN]])</f>
        <v>2021</v>
      </c>
      <c r="W1502" s="97">
        <f>+MATCH(PROVEEDORES[[#This Row],[año facturado]],Retenciones!$1:$1,0)</f>
        <v>4</v>
      </c>
      <c r="X1502" s="98">
        <f>+VLOOKUP(PROVEEDORES[[#This Row],[ID RETENCION]],Retenciones!$A$1:$O$25,PROVEEDORES[[#This Row],[indicador de columna]],FALSE)</f>
        <v>0</v>
      </c>
      <c r="Y1502" s="99">
        <f>+VLOOKUP(PROVEEDORES[[#This Row],[ID RETENCION]],Retenciones!$A$1:$O$25,2,FALSE)</f>
        <v>0</v>
      </c>
      <c r="Z1502" s="125" t="b">
        <f>OR(COUNTIF(PROVEEDORES[[#This Row],[PROVEEDOR]],"*"&amp;'Palabra no opera'!$A$2&amp;"*"))</f>
        <v>0</v>
      </c>
    </row>
    <row r="1503" spans="1:26" ht="22.2" customHeight="1" x14ac:dyDescent="0.3">
      <c r="A1503" s="66" t="str">
        <f>+IF(PROVEEDORES[[#This Row],[FECHA DE PAGO]]=PROVEEDORES[[#This Row],[FECHA DE FACTURACIÓN]],"DE CONTADO","CRÉDITO")</f>
        <v>DE CONTADO</v>
      </c>
      <c r="B1503" s="38" t="b">
        <f>+IF((PROVEEDORES[[#This Row],[FECHA DE PAGO]]-PROVEEDORES[[#This Row],[FECHA DE FACTURACIÓN]])&gt;PROVEEDORES[[#This Row],[PLAZO Días]],"PAGO VENCIDO")</f>
        <v>0</v>
      </c>
      <c r="C1503" s="20">
        <f>+VLOOKUP(PROVEEDORES[[#This Row],[PROVEEDOR]],TERCEROS_INFO[#All],2,FALSE)</f>
        <v>30</v>
      </c>
      <c r="D1503" s="25">
        <f>+SUMIFS(PROVEEDORES[Total],PROVEEDORES[PROVEEDOR],PROVEEDORES[[#This Row],[PROVEEDOR]],PROVEEDORES[FECHA DE PAGO],"")</f>
        <v>0</v>
      </c>
      <c r="E1503" s="25"/>
      <c r="F1503" s="58" t="str">
        <f>+VLOOKUP(PROVEEDORES[[#This Row],[PROVEEDOR]],
                       Terceros!$A:$F,
                       5,
                       FALSE)</f>
        <v/>
      </c>
      <c r="G1503" s="161">
        <v>44553</v>
      </c>
      <c r="H1503" s="26" t="s">
        <v>673</v>
      </c>
      <c r="I1503" s="161">
        <v>44553</v>
      </c>
      <c r="J1503" s="35"/>
      <c r="K1503" s="21">
        <v>2000000</v>
      </c>
      <c r="L1503" s="21"/>
      <c r="M1503" s="22">
        <f>(PROVEEDORES[[#This Row],[SUBTOTAL]]-PROVEEDORES[[#This Row],[descuento sobre subtotal]])*VLOOKUP(PROVEEDORES[[#This Row],[PROVEEDOR]],TERCEROS_INFO[#All],3,FALSE)</f>
        <v>0</v>
      </c>
      <c r="N1503" s="23"/>
      <c r="O1503" s="22">
        <f>+PROVEEDORES[[#This Row],[Descuento sobre subtotal %]]*(PROVEEDORES[[#This Row],[SUBTOTAL]]-PROVEEDORES[[#This Row],[descuento sobre subtotal]])</f>
        <v>0</v>
      </c>
      <c r="P1503" s="83">
        <f>+IF(PROVEEDORES[[#This Row],[SUBTOTAL]]&lt;PROVEEDORES[[#This Row],[base retencion]],0,PROVEEDORES[[#This Row],[retención aplicada]])</f>
        <v>0</v>
      </c>
      <c r="Q1503" s="22">
        <f>+PROVEEDORES[[#This Row],[Rete Fuente %]]*(PROVEEDORES[[#This Row],[SUBTOTAL]]-PROVEEDORES[[#This Row],[descuento sobre subtotal]])</f>
        <v>0</v>
      </c>
      <c r="R1503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3" s="68">
        <f ca="1">IF(PROVEEDORES[[#This Row],[FECHA DE PAGO]]=0,TODAY()-PROVEEDORES[[#This Row],[FECHA DE FACTURACIÓN]]-PROVEEDORES[[#This Row],[PLAZO Días]],0)</f>
        <v>0</v>
      </c>
      <c r="U1503" s="96">
        <f>+VLOOKUP(PROVEEDORES[[#This Row],[PROVEEDOR]],Terceros!$A:$D,4,FALSE)</f>
        <v>0</v>
      </c>
      <c r="V1503" s="97">
        <f>+YEAR(PROVEEDORES[[#This Row],[FECHA DE FACTURACIÓN]])</f>
        <v>2021</v>
      </c>
      <c r="W1503" s="97">
        <f>+MATCH(PROVEEDORES[[#This Row],[año facturado]],Retenciones!$1:$1,0)</f>
        <v>4</v>
      </c>
      <c r="X1503" s="98">
        <f>+VLOOKUP(PROVEEDORES[[#This Row],[ID RETENCION]],Retenciones!$A$1:$O$25,PROVEEDORES[[#This Row],[indicador de columna]],FALSE)</f>
        <v>0</v>
      </c>
      <c r="Y1503" s="99">
        <f>+VLOOKUP(PROVEEDORES[[#This Row],[ID RETENCION]],Retenciones!$A$1:$O$25,2,FALSE)</f>
        <v>0</v>
      </c>
      <c r="Z1503" s="125" t="b">
        <f>OR(COUNTIF(PROVEEDORES[[#This Row],[PROVEEDOR]],"*"&amp;'Palabra no opera'!$A$2&amp;"*"))</f>
        <v>0</v>
      </c>
    </row>
    <row r="1504" spans="1:26" ht="22.2" customHeight="1" x14ac:dyDescent="0.3">
      <c r="A1504" s="66" t="str">
        <f>+IF(PROVEEDORES[[#This Row],[FECHA DE PAGO]]=PROVEEDORES[[#This Row],[FECHA DE FACTURACIÓN]],"DE CONTADO","CRÉDITO")</f>
        <v>CRÉDITO</v>
      </c>
      <c r="B1504" s="38" t="str">
        <f>+IF((PROVEEDORES[[#This Row],[FECHA DE PAGO]]-PROVEEDORES[[#This Row],[FECHA DE FACTURACIÓN]])&gt;PROVEEDORES[[#This Row],[PLAZO Días]],"PAGO VENCIDO")</f>
        <v>PAGO VENCIDO</v>
      </c>
      <c r="C1504" s="20">
        <f>+VLOOKUP(PROVEEDORES[[#This Row],[PROVEEDOR]],TERCEROS_INFO[#All],2,FALSE)</f>
        <v>30</v>
      </c>
      <c r="D1504" s="25">
        <f>+SUMIFS(PROVEEDORES[Total],PROVEEDORES[PROVEEDOR],PROVEEDORES[[#This Row],[PROVEEDOR]],PROVEEDORES[FECHA DE PAGO],"")</f>
        <v>2121000</v>
      </c>
      <c r="E1504" s="25"/>
      <c r="F150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504" s="161">
        <v>44560</v>
      </c>
      <c r="H1504" s="26" t="s">
        <v>685</v>
      </c>
      <c r="I1504" s="161">
        <v>44515</v>
      </c>
      <c r="J1504" s="35" t="s">
        <v>1294</v>
      </c>
      <c r="K1504" s="21">
        <v>2000000</v>
      </c>
      <c r="L1504" s="21"/>
      <c r="M1504" s="22">
        <f>(PROVEEDORES[[#This Row],[SUBTOTAL]]-PROVEEDORES[[#This Row],[descuento sobre subtotal]])*VLOOKUP(PROVEEDORES[[#This Row],[PROVEEDOR]],TERCEROS_INFO[#All],3,FALSE)</f>
        <v>0</v>
      </c>
      <c r="N1504" s="23"/>
      <c r="O1504" s="22">
        <f>+PROVEEDORES[[#This Row],[Descuento sobre subtotal %]]*(PROVEEDORES[[#This Row],[SUBTOTAL]]-PROVEEDORES[[#This Row],[descuento sobre subtotal]])</f>
        <v>0</v>
      </c>
      <c r="P1504" s="83">
        <f>+IF(PROVEEDORES[[#This Row],[SUBTOTAL]]&lt;PROVEEDORES[[#This Row],[base retencion]],0,PROVEEDORES[[#This Row],[retención aplicada]])</f>
        <v>0</v>
      </c>
      <c r="Q1504" s="22">
        <f>+PROVEEDORES[[#This Row],[Rete Fuente %]]*(PROVEEDORES[[#This Row],[SUBTOTAL]]-PROVEEDORES[[#This Row],[descuento sobre subtotal]])</f>
        <v>0</v>
      </c>
      <c r="R1504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4" s="68">
        <f ca="1">IF(PROVEEDORES[[#This Row],[FECHA DE PAGO]]=0,TODAY()-PROVEEDORES[[#This Row],[FECHA DE FACTURACIÓN]]-PROVEEDORES[[#This Row],[PLAZO Días]],0)</f>
        <v>0</v>
      </c>
      <c r="U1504" s="96">
        <f>+VLOOKUP(PROVEEDORES[[#This Row],[PROVEEDOR]],Terceros!$A:$D,4,FALSE)</f>
        <v>0</v>
      </c>
      <c r="V1504" s="97">
        <f>+YEAR(PROVEEDORES[[#This Row],[FECHA DE FACTURACIÓN]])</f>
        <v>2021</v>
      </c>
      <c r="W1504" s="97">
        <f>+MATCH(PROVEEDORES[[#This Row],[año facturado]],Retenciones!$1:$1,0)</f>
        <v>4</v>
      </c>
      <c r="X1504" s="98">
        <f>+VLOOKUP(PROVEEDORES[[#This Row],[ID RETENCION]],Retenciones!$A$1:$O$25,PROVEEDORES[[#This Row],[indicador de columna]],FALSE)</f>
        <v>0</v>
      </c>
      <c r="Y1504" s="99">
        <f>+VLOOKUP(PROVEEDORES[[#This Row],[ID RETENCION]],Retenciones!$A$1:$O$25,2,FALSE)</f>
        <v>0</v>
      </c>
      <c r="Z1504" s="125" t="b">
        <f>OR(COUNTIF(PROVEEDORES[[#This Row],[PROVEEDOR]],"*"&amp;'Palabra no opera'!$A$2&amp;"*"))</f>
        <v>0</v>
      </c>
    </row>
    <row r="1505" spans="1:26" ht="22.2" customHeight="1" x14ac:dyDescent="0.3">
      <c r="A1505" s="66" t="str">
        <f>+IF(PROVEEDORES[[#This Row],[FECHA DE PAGO]]=PROVEEDORES[[#This Row],[FECHA DE FACTURACIÓN]],"DE CONTADO","CRÉDITO")</f>
        <v>DE CONTADO</v>
      </c>
      <c r="B1505" s="38" t="b">
        <f>+IF((PROVEEDORES[[#This Row],[FECHA DE PAGO]]-PROVEEDORES[[#This Row],[FECHA DE FACTURACIÓN]])&gt;PROVEEDORES[[#This Row],[PLAZO Días]],"PAGO VENCIDO")</f>
        <v>0</v>
      </c>
      <c r="C1505" s="20">
        <f>+VLOOKUP(PROVEEDORES[[#This Row],[PROVEEDOR]],TERCEROS_INFO[#All],2,FALSE)</f>
        <v>30</v>
      </c>
      <c r="D1505" s="25">
        <f>+SUMIFS(PROVEEDORES[Total],PROVEEDORES[PROVEEDOR],PROVEEDORES[[#This Row],[PROVEEDOR]],PROVEEDORES[FECHA DE PAGO],"")</f>
        <v>0</v>
      </c>
      <c r="E1505" s="25"/>
      <c r="F1505" s="58" t="str">
        <f>+VLOOKUP(PROVEEDORES[[#This Row],[PROVEEDOR]],
                       Terceros!$A:$F,
                       5,
                       FALSE)</f>
        <v/>
      </c>
      <c r="G1505" s="161">
        <v>44600</v>
      </c>
      <c r="H1505" s="26" t="s">
        <v>673</v>
      </c>
      <c r="I1505" s="161">
        <v>44600</v>
      </c>
      <c r="J1505" s="35"/>
      <c r="K1505" s="21">
        <v>2000000</v>
      </c>
      <c r="L1505" s="21"/>
      <c r="M1505" s="22">
        <v>0</v>
      </c>
      <c r="N1505" s="23"/>
      <c r="O1505" s="22">
        <v>0</v>
      </c>
      <c r="P1505" s="83">
        <f>+IF(PROVEEDORES[[#This Row],[SUBTOTAL]]&lt;PROVEEDORES[[#This Row],[base retencion]],0,PROVEEDORES[[#This Row],[retención aplicada]])</f>
        <v>0</v>
      </c>
      <c r="Q1505" s="22">
        <f>+PROVEEDORES[[#This Row],[Rete Fuente %]]*(PROVEEDORES[[#This Row],[SUBTOTAL]]-PROVEEDORES[[#This Row],[descuento sobre subtotal]])</f>
        <v>0</v>
      </c>
      <c r="R1505" s="21">
        <v>2000000</v>
      </c>
      <c r="S15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5" s="68">
        <f ca="1">IF(PROVEEDORES[[#This Row],[FECHA DE PAGO]]=0,TODAY()-PROVEEDORES[[#This Row],[FECHA DE FACTURACIÓN]]-PROVEEDORES[[#This Row],[PLAZO Días]],0)</f>
        <v>0</v>
      </c>
      <c r="U1505" s="96">
        <f>+VLOOKUP(PROVEEDORES[[#This Row],[PROVEEDOR]],Terceros!$A:$D,4,FALSE)</f>
        <v>0</v>
      </c>
      <c r="V1505" s="97">
        <f>+YEAR(PROVEEDORES[[#This Row],[FECHA DE FACTURACIÓN]])</f>
        <v>2022</v>
      </c>
      <c r="W1505" s="97">
        <f>+MATCH(PROVEEDORES[[#This Row],[año facturado]],Retenciones!$1:$1,0)</f>
        <v>5</v>
      </c>
      <c r="X1505" s="98">
        <f>+VLOOKUP(PROVEEDORES[[#This Row],[ID RETENCION]],Retenciones!$A$1:$O$25,PROVEEDORES[[#This Row],[indicador de columna]],FALSE)</f>
        <v>0</v>
      </c>
      <c r="Y1505" s="99">
        <f>+VLOOKUP(PROVEEDORES[[#This Row],[ID RETENCION]],Retenciones!$A$1:$O$25,2,FALSE)</f>
        <v>0</v>
      </c>
      <c r="Z1505" s="125" t="b">
        <f>OR(COUNTIF(PROVEEDORES[[#This Row],[PROVEEDOR]],"*"&amp;'Palabra no opera'!$A$2&amp;"*"))</f>
        <v>0</v>
      </c>
    </row>
    <row r="1506" spans="1:26" ht="22.2" customHeight="1" x14ac:dyDescent="0.3">
      <c r="A1506" s="72" t="str">
        <f>+IF(PROVEEDORES[[#This Row],[FECHA DE PAGO]]=PROVEEDORES[[#This Row],[FECHA DE FACTURACIÓN]],"DE CONTADO","CRÉDITO")</f>
        <v>CRÉDITO</v>
      </c>
      <c r="B1506" s="38" t="str">
        <f>+IF((PROVEEDORES[[#This Row],[FECHA DE PAGO]]-PROVEEDORES[[#This Row],[FECHA DE FACTURACIÓN]])&gt;PROVEEDORES[[#This Row],[PLAZO Días]],"PAGO VENCIDO")</f>
        <v>PAGO VENCIDO</v>
      </c>
      <c r="C1506" s="20">
        <f>+VLOOKUP(PROVEEDORES[[#This Row],[PROVEEDOR]],TERCEROS_INFO[#All],2,FALSE)</f>
        <v>0</v>
      </c>
      <c r="D1506" s="25">
        <f>+SUMIFS(PROVEEDORES[Total],PROVEEDORES[PROVEEDOR],PROVEEDORES[[#This Row],[PROVEEDOR]],PROVEEDORES[FECHA DE PAGO],"")</f>
        <v>0</v>
      </c>
      <c r="E1506" s="25"/>
      <c r="F1506" s="58" t="str">
        <f>+VLOOKUP(PROVEEDORES[[#This Row],[PROVEEDOR]],
                       Terceros!$A:$F,
                       5,
                       FALSE)</f>
        <v>liauribe@une.net.co;girlesa.ruiz@servipilas.com;joriescobar64@gmail.com</v>
      </c>
      <c r="G1506" s="161">
        <v>44830</v>
      </c>
      <c r="H1506" s="26" t="s">
        <v>1681</v>
      </c>
      <c r="I1506" s="161">
        <v>44817</v>
      </c>
      <c r="J1506" s="35" t="s">
        <v>1684</v>
      </c>
      <c r="K1506" s="21">
        <v>2000000</v>
      </c>
      <c r="L1506" s="21"/>
      <c r="M1506" s="22">
        <f>(PROVEEDORES[[#This Row],[SUBTOTAL]]-PROVEEDORES[[#This Row],[descuento sobre subtotal]])*VLOOKUP(PROVEEDORES[[#This Row],[PROVEEDOR]],TERCEROS_INFO[#All],3,FALSE)</f>
        <v>0</v>
      </c>
      <c r="N1506" s="23"/>
      <c r="O1506" s="22">
        <f>+PROVEEDORES[[#This Row],[Descuento sobre subtotal %]]*(PROVEEDORES[[#This Row],[SUBTOTAL]]-PROVEEDORES[[#This Row],[descuento sobre subtotal]])</f>
        <v>0</v>
      </c>
      <c r="P1506" s="83">
        <f>+IF(PROVEEDORES[[#This Row],[SUBTOTAL]]&lt;PROVEEDORES[[#This Row],[base retencion]],0,PROVEEDORES[[#This Row],[retención aplicada]])</f>
        <v>0</v>
      </c>
      <c r="Q1506" s="22">
        <f>+PROVEEDORES[[#This Row],[Rete Fuente %]]*(PROVEEDORES[[#This Row],[SUBTOTAL]]-PROVEEDORES[[#This Row],[descuento sobre subtotal]])</f>
        <v>0</v>
      </c>
      <c r="R1506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6" s="68">
        <f ca="1">IF(PROVEEDORES[[#This Row],[FECHA DE PAGO]]=0,TODAY()-PROVEEDORES[[#This Row],[FECHA DE FACTURACIÓN]]-PROVEEDORES[[#This Row],[PLAZO Días]],0)</f>
        <v>0</v>
      </c>
      <c r="U1506" s="113">
        <f>+VLOOKUP(PROVEEDORES[[#This Row],[PROVEEDOR]],Terceros!$A:$D,4,FALSE)</f>
        <v>0</v>
      </c>
      <c r="V1506" s="114">
        <f>+YEAR(PROVEEDORES[[#This Row],[FECHA DE FACTURACIÓN]])</f>
        <v>2022</v>
      </c>
      <c r="W1506" s="114">
        <f>+MATCH(PROVEEDORES[[#This Row],[año facturado]],Retenciones!$1:$1,0)</f>
        <v>5</v>
      </c>
      <c r="X1506" s="115">
        <f>+VLOOKUP(PROVEEDORES[[#This Row],[ID RETENCION]],Retenciones!$A$1:$O$25,PROVEEDORES[[#This Row],[indicador de columna]],FALSE)</f>
        <v>0</v>
      </c>
      <c r="Y1506" s="116">
        <f>+VLOOKUP(PROVEEDORES[[#This Row],[ID RETENCION]],Retenciones!$A$1:$O$25,2,FALSE)</f>
        <v>0</v>
      </c>
      <c r="Z1506" s="125" t="b">
        <f>OR(COUNTIF(PROVEEDORES[[#This Row],[PROVEEDOR]],"*"&amp;'Palabra no opera'!$A$2&amp;"*"))</f>
        <v>1</v>
      </c>
    </row>
    <row r="1507" spans="1:26" ht="22.2" customHeight="1" x14ac:dyDescent="0.3">
      <c r="A1507" s="269" t="str">
        <f>+IF(PROVEEDORES[[#This Row],[FECHA DE PAGO]]=PROVEEDORES[[#This Row],[FECHA DE FACTURACIÓN]],"DE CONTADO","CRÉDITO")</f>
        <v>CRÉDITO</v>
      </c>
      <c r="B1507" s="38" t="b">
        <f>+IF((PROVEEDORES[[#This Row],[FECHA DE PAGO]]-PROVEEDORES[[#This Row],[FECHA DE FACTURACIÓN]])&gt;PROVEEDORES[[#This Row],[PLAZO Días]],"PAGO VENCIDO")</f>
        <v>0</v>
      </c>
      <c r="C1507" s="20">
        <f>+VLOOKUP(PROVEEDORES[[#This Row],[PROVEEDOR]],TERCEROS_INFO[#All],2,FALSE)</f>
        <v>30</v>
      </c>
      <c r="D1507" s="25">
        <f>+SUMIFS(PROVEEDORES[Total],PROVEEDORES[PROVEEDOR],PROVEEDORES[[#This Row],[PROVEEDOR]],PROVEEDORES[FECHA DE PAGO],"")</f>
        <v>5272763.2050000001</v>
      </c>
      <c r="E1507" s="25"/>
      <c r="F150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1507" s="26" t="s">
        <v>11</v>
      </c>
      <c r="I1507" s="161">
        <v>44866</v>
      </c>
      <c r="J1507" s="35" t="s">
        <v>1825</v>
      </c>
      <c r="K1507" s="21">
        <v>1722945</v>
      </c>
      <c r="L1507" s="21"/>
      <c r="M1507" s="22">
        <f>(PROVEEDORES[[#This Row],[SUBTOTAL]]-PROVEEDORES[[#This Row],[descuento sobre subtotal]])*VLOOKUP(PROVEEDORES[[#This Row],[PROVEEDOR]],TERCEROS_INFO[#All],3,FALSE)</f>
        <v>327359.55</v>
      </c>
      <c r="N1507" s="23"/>
      <c r="O1507" s="22">
        <f>+PROVEEDORES[[#This Row],[Descuento sobre subtotal %]]*(PROVEEDORES[[#This Row],[SUBTOTAL]]-PROVEEDORES[[#This Row],[descuento sobre subtotal]])</f>
        <v>0</v>
      </c>
      <c r="P1507" s="83">
        <f>+IF(PROVEEDORES[[#This Row],[SUBTOTAL]]&lt;PROVEEDORES[[#This Row],[base retencion]],0,PROVEEDORES[[#This Row],[retención aplicada]])</f>
        <v>2.5000000000000001E-2</v>
      </c>
      <c r="Q1507" s="22">
        <f>+PROVEEDORES[[#This Row],[Rete Fuente %]]*(PROVEEDORES[[#This Row],[SUBTOTAL]]-PROVEEDORES[[#This Row],[descuento sobre subtotal]])</f>
        <v>43073.625</v>
      </c>
      <c r="R1507" s="21">
        <f>+PROVEEDORES[[#This Row],[SUBTOTAL]]+PROVEEDORES[[#This Row],[IVA 19%]]-PROVEEDORES[[#This Row],[descuento sobre subtotal]]-PROVEEDORES[[#This Row],[Descuento sobre subtotal $2]]-PROVEEDORES[[#This Row],[Rete Fuente $]]</f>
        <v>2007230.925</v>
      </c>
      <c r="S1507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507" s="68">
        <f ca="1">IF(PROVEEDORES[[#This Row],[FECHA DE PAGO]]=0,TODAY()-PROVEEDORES[[#This Row],[FECHA DE FACTURACIÓN]]-PROVEEDORES[[#This Row],[PLAZO Días]],0)</f>
        <v>-21</v>
      </c>
      <c r="U1507" s="113" t="str">
        <f>+VLOOKUP(PROVEEDORES[[#This Row],[PROVEEDOR]],Terceros!$A:$D,4,FALSE)</f>
        <v>2,5% con base</v>
      </c>
      <c r="V1507" s="114">
        <f>+YEAR(PROVEEDORES[[#This Row],[FECHA DE FACTURACIÓN]])</f>
        <v>2022</v>
      </c>
      <c r="W1507" s="114">
        <f>+MATCH(PROVEEDORES[[#This Row],[año facturado]],Retenciones!$1:$1,0)</f>
        <v>5</v>
      </c>
      <c r="X1507" s="115">
        <f>+VLOOKUP(PROVEEDORES[[#This Row],[ID RETENCION]],Retenciones!$A$1:$O$25,PROVEEDORES[[#This Row],[indicador de columna]],FALSE)</f>
        <v>1026000</v>
      </c>
      <c r="Y1507" s="116">
        <f>+VLOOKUP(PROVEEDORES[[#This Row],[ID RETENCION]],Retenciones!$A$1:$O$25,2,FALSE)</f>
        <v>2.5000000000000001E-2</v>
      </c>
      <c r="Z1507" s="125" t="b">
        <f>OR(COUNTIF(PROVEEDORES[[#This Row],[PROVEEDOR]],"*"&amp;'Palabra no opera'!$A$2&amp;"*"))</f>
        <v>0</v>
      </c>
    </row>
    <row r="1508" spans="1:26" ht="22.2" customHeight="1" x14ac:dyDescent="0.3">
      <c r="A1508" s="66" t="str">
        <f>+IF(PROVEEDORES[[#This Row],[FECHA DE PAGO]]=PROVEEDORES[[#This Row],[FECHA DE FACTURACIÓN]],"DE CONTADO","CRÉDITO")</f>
        <v>CRÉDITO</v>
      </c>
      <c r="B1508" s="38" t="str">
        <f>+IF((PROVEEDORES[[#This Row],[FECHA DE PAGO]]-PROVEEDORES[[#This Row],[FECHA DE FACTURACIÓN]])&gt;PROVEEDORES[[#This Row],[PLAZO Días]],"PAGO VENCIDO")</f>
        <v>PAGO VENCIDO</v>
      </c>
      <c r="C1508" s="20">
        <f>+VLOOKUP(PROVEEDORES[[#This Row],[PROVEEDOR]],TERCEROS_INFO[#All],2,FALSE)</f>
        <v>30</v>
      </c>
      <c r="D1508" s="25">
        <f>+SUMIFS(PROVEEDORES[Total],PROVEEDORES[PROVEEDOR],PROVEEDORES[[#This Row],[PROVEEDOR]],PROVEEDORES[FECHA DE PAGO],"")</f>
        <v>0</v>
      </c>
      <c r="E1508" s="25"/>
      <c r="F150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508" s="161">
        <v>44657</v>
      </c>
      <c r="H1508" s="26" t="s">
        <v>670</v>
      </c>
      <c r="I1508" s="161">
        <v>44573</v>
      </c>
      <c r="J1508" s="35" t="s">
        <v>1558</v>
      </c>
      <c r="K1508" s="21">
        <v>2011600</v>
      </c>
      <c r="L1508" s="21"/>
      <c r="M1508" s="22">
        <v>0</v>
      </c>
      <c r="N1508" s="23"/>
      <c r="O1508" s="22">
        <v>0</v>
      </c>
      <c r="P1508" s="83">
        <f>+IF(PROVEEDORES[[#This Row],[SUBTOTAL]]&lt;PROVEEDORES[[#This Row],[base retencion]],0,PROVEEDORES[[#This Row],[retención aplicada]])</f>
        <v>0</v>
      </c>
      <c r="Q1508" s="22">
        <f>+PROVEEDORES[[#This Row],[Rete Fuente %]]*(PROVEEDORES[[#This Row],[SUBTOTAL]]-PROVEEDORES[[#This Row],[descuento sobre subtotal]])</f>
        <v>0</v>
      </c>
      <c r="R1508" s="21">
        <v>2011600</v>
      </c>
      <c r="S15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8" s="68">
        <f ca="1">IF(PROVEEDORES[[#This Row],[FECHA DE PAGO]]=0,TODAY()-PROVEEDORES[[#This Row],[FECHA DE FACTURACIÓN]]-PROVEEDORES[[#This Row],[PLAZO Días]],0)</f>
        <v>0</v>
      </c>
      <c r="U1508" s="96">
        <f>+VLOOKUP(PROVEEDORES[[#This Row],[PROVEEDOR]],Terceros!$A:$D,4,FALSE)</f>
        <v>0</v>
      </c>
      <c r="V1508" s="97">
        <f>+YEAR(PROVEEDORES[[#This Row],[FECHA DE FACTURACIÓN]])</f>
        <v>2022</v>
      </c>
      <c r="W1508" s="97">
        <f>+MATCH(PROVEEDORES[[#This Row],[año facturado]],Retenciones!$1:$1,0)</f>
        <v>5</v>
      </c>
      <c r="X1508" s="98">
        <f>+VLOOKUP(PROVEEDORES[[#This Row],[ID RETENCION]],Retenciones!$A$1:$O$25,PROVEEDORES[[#This Row],[indicador de columna]],FALSE)</f>
        <v>0</v>
      </c>
      <c r="Y1508" s="99">
        <f>+VLOOKUP(PROVEEDORES[[#This Row],[ID RETENCION]],Retenciones!$A$1:$O$25,2,FALSE)</f>
        <v>0</v>
      </c>
      <c r="Z1508" s="125" t="b">
        <f>OR(COUNTIF(PROVEEDORES[[#This Row],[PROVEEDOR]],"*"&amp;'Palabra no opera'!$A$2&amp;"*"))</f>
        <v>0</v>
      </c>
    </row>
    <row r="1509" spans="1:26" ht="22.2" customHeight="1" x14ac:dyDescent="0.3">
      <c r="A1509" s="72" t="str">
        <f>+IF(PROVEEDORES[[#This Row],[FECHA DE PAGO]]=PROVEEDORES[[#This Row],[FECHA DE FACTURACIÓN]],"DE CONTADO","CRÉDITO")</f>
        <v>DE CONTADO</v>
      </c>
      <c r="B1509" s="38" t="b">
        <f>+IF((PROVEEDORES[[#This Row],[FECHA DE PAGO]]-PROVEEDORES[[#This Row],[FECHA DE FACTURACIÓN]])&gt;PROVEEDORES[[#This Row],[PLAZO Días]],"PAGO VENCIDO")</f>
        <v>0</v>
      </c>
      <c r="C1509" s="20">
        <f>+VLOOKUP(PROVEEDORES[[#This Row],[PROVEEDOR]],TERCEROS_INFO[#All],2,FALSE)</f>
        <v>30</v>
      </c>
      <c r="D1509" s="25">
        <f>+SUMIFS(PROVEEDORES[Total],PROVEEDORES[PROVEEDOR],PROVEEDORES[[#This Row],[PROVEEDOR]],PROVEEDORES[FECHA DE PAGO],"")</f>
        <v>0</v>
      </c>
      <c r="E1509" s="25"/>
      <c r="F1509" s="58" t="str">
        <f>+VLOOKUP(PROVEEDORES[[#This Row],[PROVEEDOR]],
                       Terceros!$A:$F,
                       5,
                       FALSE)</f>
        <v/>
      </c>
      <c r="G1509" s="161">
        <v>44681</v>
      </c>
      <c r="H1509" s="26" t="s">
        <v>644</v>
      </c>
      <c r="I1509" s="161">
        <v>44681</v>
      </c>
      <c r="J1509" s="35" t="s">
        <v>595</v>
      </c>
      <c r="K1509" s="21">
        <v>2012800</v>
      </c>
      <c r="L1509" s="21"/>
      <c r="M1509" s="22">
        <f>(PROVEEDORES[[#This Row],[SUBTOTAL]]-PROVEEDORES[[#This Row],[descuento sobre subtotal]])*VLOOKUP(PROVEEDORES[[#This Row],[PROVEEDOR]],TERCEROS_INFO[#All],3,FALSE)</f>
        <v>0</v>
      </c>
      <c r="N1509" s="23"/>
      <c r="O1509" s="22">
        <f>+PROVEEDORES[[#This Row],[Descuento sobre subtotal %]]*(PROVEEDORES[[#This Row],[SUBTOTAL]]-PROVEEDORES[[#This Row],[descuento sobre subtotal]])</f>
        <v>0</v>
      </c>
      <c r="P1509" s="83">
        <f>+IF(PROVEEDORES[[#This Row],[SUBTOTAL]]&lt;PROVEEDORES[[#This Row],[base retencion]],0,PROVEEDORES[[#This Row],[retención aplicada]])</f>
        <v>0</v>
      </c>
      <c r="Q1509" s="22">
        <f>+PROVEEDORES[[#This Row],[Rete Fuente %]]*(PROVEEDORES[[#This Row],[SUBTOTAL]]-PROVEEDORES[[#This Row],[descuento sobre subtotal]])</f>
        <v>0</v>
      </c>
      <c r="R1509" s="21">
        <f>+PROVEEDORES[[#This Row],[SUBTOTAL]]+PROVEEDORES[[#This Row],[IVA 19%]]-PROVEEDORES[[#This Row],[descuento sobre subtotal]]-PROVEEDORES[[#This Row],[Descuento sobre subtotal $2]]-PROVEEDORES[[#This Row],[Rete Fuente $]]</f>
        <v>2012800</v>
      </c>
      <c r="S150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9" s="68">
        <f ca="1">IF(PROVEEDORES[[#This Row],[FECHA DE PAGO]]=0,TODAY()-PROVEEDORES[[#This Row],[FECHA DE FACTURACIÓN]]-PROVEEDORES[[#This Row],[PLAZO Días]],0)</f>
        <v>0</v>
      </c>
      <c r="U1509" s="113">
        <f>+VLOOKUP(PROVEEDORES[[#This Row],[PROVEEDOR]],Terceros!$A:$D,4,FALSE)</f>
        <v>0</v>
      </c>
      <c r="V1509" s="114">
        <f>+YEAR(PROVEEDORES[[#This Row],[FECHA DE FACTURACIÓN]])</f>
        <v>2022</v>
      </c>
      <c r="W1509" s="114">
        <f>+MATCH(PROVEEDORES[[#This Row],[año facturado]],Retenciones!$1:$1,0)</f>
        <v>5</v>
      </c>
      <c r="X1509" s="115">
        <f>+VLOOKUP(PROVEEDORES[[#This Row],[ID RETENCION]],Retenciones!$A$1:$O$25,PROVEEDORES[[#This Row],[indicador de columna]],FALSE)</f>
        <v>0</v>
      </c>
      <c r="Y1509" s="116">
        <f>+VLOOKUP(PROVEEDORES[[#This Row],[ID RETENCION]],Retenciones!$A$1:$O$25,2,FALSE)</f>
        <v>0</v>
      </c>
      <c r="Z1509" s="125" t="b">
        <f>OR(COUNTIF(PROVEEDORES[[#This Row],[PROVEEDOR]],"*"&amp;'Palabra no opera'!$A$2&amp;"*"))</f>
        <v>0</v>
      </c>
    </row>
    <row r="1510" spans="1:26" ht="22.2" customHeight="1" x14ac:dyDescent="0.3">
      <c r="A1510" s="66" t="str">
        <f>+IF(PROVEEDORES[[#This Row],[FECHA DE PAGO]]=PROVEEDORES[[#This Row],[FECHA DE FACTURACIÓN]],"DE CONTADO","CRÉDITO")</f>
        <v>CRÉDITO</v>
      </c>
      <c r="B1510" s="38" t="b">
        <f>+IF((PROVEEDORES[[#This Row],[FECHA DE PAGO]]-PROVEEDORES[[#This Row],[FECHA DE FACTURACIÓN]])&gt;PROVEEDORES[[#This Row],[PLAZO Días]],"PAGO VENCIDO")</f>
        <v>0</v>
      </c>
      <c r="C1510" s="20">
        <f>+VLOOKUP(PROVEEDORES[[#This Row],[PROVEEDOR]],TERCEROS_INFO[#All],2,FALSE)</f>
        <v>30</v>
      </c>
      <c r="D1510" s="25">
        <f>+SUMIFS(PROVEEDORES[Total],PROVEEDORES[PROVEEDOR],PROVEEDORES[[#This Row],[PROVEEDOR]],PROVEEDORES[FECHA DE PAGO],"")</f>
        <v>0</v>
      </c>
      <c r="E1510" s="25"/>
      <c r="F151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510" s="161">
        <v>44341</v>
      </c>
      <c r="H1510" s="26" t="s">
        <v>925</v>
      </c>
      <c r="I1510" s="161">
        <v>44317</v>
      </c>
      <c r="J1510" s="35" t="s">
        <v>1218</v>
      </c>
      <c r="K1510" s="21">
        <v>2092227</v>
      </c>
      <c r="L1510" s="21"/>
      <c r="M1510" s="22">
        <f>(PROVEEDORES[[#This Row],[SUBTOTAL]]-PROVEEDORES[[#This Row],[descuento sobre subtotal]])*VLOOKUP(PROVEEDORES[[#This Row],[PROVEEDOR]],TERCEROS_INFO[#All],3,FALSE)</f>
        <v>0</v>
      </c>
      <c r="N1510" s="23"/>
      <c r="O1510" s="22">
        <f>+PROVEEDORES[[#This Row],[Descuento sobre subtotal %]]*(PROVEEDORES[[#This Row],[SUBTOTAL]]-PROVEEDORES[[#This Row],[descuento sobre subtotal]])</f>
        <v>0</v>
      </c>
      <c r="P1510" s="83">
        <f>+IF(PROVEEDORES[[#This Row],[SUBTOTAL]]&lt;PROVEEDORES[[#This Row],[base retencion]],0,PROVEEDORES[[#This Row],[retención aplicada]])</f>
        <v>3.5000000000000003E-2</v>
      </c>
      <c r="Q1510" s="22">
        <f>+PROVEEDORES[[#This Row],[Rete Fuente %]]*(PROVEEDORES[[#This Row],[SUBTOTAL]]-PROVEEDORES[[#This Row],[descuento sobre subtotal]])</f>
        <v>73227.945000000007</v>
      </c>
      <c r="R1510" s="21">
        <f>+PROVEEDORES[[#This Row],[SUBTOTAL]]+PROVEEDORES[[#This Row],[IVA 19%]]-PROVEEDORES[[#This Row],[descuento sobre subtotal]]-PROVEEDORES[[#This Row],[Descuento sobre subtotal $2]]-PROVEEDORES[[#This Row],[Rete Fuente $]]</f>
        <v>2018999.0549999999</v>
      </c>
      <c r="S15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0" s="68">
        <f ca="1">IF(PROVEEDORES[[#This Row],[FECHA DE PAGO]]=0,TODAY()-PROVEEDORES[[#This Row],[FECHA DE FACTURACIÓN]]-PROVEEDORES[[#This Row],[PLAZO Días]],0)</f>
        <v>0</v>
      </c>
      <c r="U1510" s="96" t="str">
        <f>+VLOOKUP(PROVEEDORES[[#This Row],[PROVEEDOR]],Terceros!$A:$D,4,FALSE)</f>
        <v>3,5% sin base</v>
      </c>
      <c r="V1510" s="97">
        <f>+YEAR(PROVEEDORES[[#This Row],[FECHA DE FACTURACIÓN]])</f>
        <v>2021</v>
      </c>
      <c r="W1510" s="97">
        <f>+MATCH(PROVEEDORES[[#This Row],[año facturado]],Retenciones!$1:$1,0)</f>
        <v>4</v>
      </c>
      <c r="X1510" s="98">
        <f>+VLOOKUP(PROVEEDORES[[#This Row],[ID RETENCION]],Retenciones!$A$1:$O$25,PROVEEDORES[[#This Row],[indicador de columna]],FALSE)</f>
        <v>0</v>
      </c>
      <c r="Y1510" s="99">
        <f>+VLOOKUP(PROVEEDORES[[#This Row],[ID RETENCION]],Retenciones!$A$1:$O$25,2,FALSE)</f>
        <v>3.5000000000000003E-2</v>
      </c>
      <c r="Z1510" s="125" t="b">
        <f>OR(COUNTIF(PROVEEDORES[[#This Row],[PROVEEDOR]],"*"&amp;'Palabra no opera'!$A$2&amp;"*"))</f>
        <v>1</v>
      </c>
    </row>
    <row r="1511" spans="1:26" ht="22.2" customHeight="1" x14ac:dyDescent="0.3">
      <c r="A1511" s="72" t="str">
        <f>+IF(PROVEEDORES[[#This Row],[FECHA DE PAGO]]=PROVEEDORES[[#This Row],[FECHA DE FACTURACIÓN]],"DE CONTADO","CRÉDITO")</f>
        <v>CRÉDITO</v>
      </c>
      <c r="B1511" s="38" t="b">
        <f>+IF((PROVEEDORES[[#This Row],[FECHA DE PAGO]]-PROVEEDORES[[#This Row],[FECHA DE FACTURACIÓN]])&gt;PROVEEDORES[[#This Row],[PLAZO Días]],"PAGO VENCIDO")</f>
        <v>0</v>
      </c>
      <c r="C1511" s="20">
        <f>+VLOOKUP(PROVEEDORES[[#This Row],[PROVEEDOR]],TERCEROS_INFO[#All],2,FALSE)</f>
        <v>45</v>
      </c>
      <c r="D1511" s="25">
        <f>+SUMIFS(PROVEEDORES[Total],PROVEEDORES[PROVEEDOR],PROVEEDORES[[#This Row],[PROVEEDOR]],PROVEEDORES[FECHA DE PAGO],"")</f>
        <v>0</v>
      </c>
      <c r="E1511" s="25"/>
      <c r="F1511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511" s="161">
        <v>44870</v>
      </c>
      <c r="H1511" s="26" t="s">
        <v>530</v>
      </c>
      <c r="I1511" s="161">
        <v>44861</v>
      </c>
      <c r="J1511" s="35">
        <v>1513</v>
      </c>
      <c r="K1511" s="21">
        <v>2025800</v>
      </c>
      <c r="L1511" s="21"/>
      <c r="M1511" s="22">
        <f>(PROVEEDORES[[#This Row],[SUBTOTAL]]-PROVEEDORES[[#This Row],[descuento sobre subtotal]])*VLOOKUP(PROVEEDORES[[#This Row],[PROVEEDOR]],TERCEROS_INFO[#All],3,FALSE)</f>
        <v>0</v>
      </c>
      <c r="N1511" s="23"/>
      <c r="O1511" s="22">
        <f>+PROVEEDORES[[#This Row],[Descuento sobre subtotal %]]*(PROVEEDORES[[#This Row],[SUBTOTAL]]-PROVEEDORES[[#This Row],[descuento sobre subtotal]])</f>
        <v>0</v>
      </c>
      <c r="P1511" s="83">
        <f>+IF(PROVEEDORES[[#This Row],[SUBTOTAL]]&lt;PROVEEDORES[[#This Row],[base retencion]],0,PROVEEDORES[[#This Row],[retención aplicada]])</f>
        <v>0</v>
      </c>
      <c r="Q1511" s="22">
        <f>+PROVEEDORES[[#This Row],[Rete Fuente %]]*(PROVEEDORES[[#This Row],[SUBTOTAL]]-PROVEEDORES[[#This Row],[descuento sobre subtotal]])</f>
        <v>0</v>
      </c>
      <c r="R1511" s="21">
        <f>+PROVEEDORES[[#This Row],[SUBTOTAL]]+PROVEEDORES[[#This Row],[IVA 19%]]-PROVEEDORES[[#This Row],[descuento sobre subtotal]]-PROVEEDORES[[#This Row],[Descuento sobre subtotal $2]]-PROVEEDORES[[#This Row],[Rete Fuente $]]</f>
        <v>2025800</v>
      </c>
      <c r="S151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1" s="68">
        <f ca="1">IF(PROVEEDORES[[#This Row],[FECHA DE PAGO]]=0,TODAY()-PROVEEDORES[[#This Row],[FECHA DE FACTURACIÓN]]-PROVEEDORES[[#This Row],[PLAZO Días]],0)</f>
        <v>0</v>
      </c>
      <c r="U1511" s="113">
        <f>+VLOOKUP(PROVEEDORES[[#This Row],[PROVEEDOR]],Terceros!$A:$D,4,FALSE)</f>
        <v>0</v>
      </c>
      <c r="V1511" s="114">
        <f>+YEAR(PROVEEDORES[[#This Row],[FECHA DE FACTURACIÓN]])</f>
        <v>2022</v>
      </c>
      <c r="W1511" s="114">
        <f>+MATCH(PROVEEDORES[[#This Row],[año facturado]],Retenciones!$1:$1,0)</f>
        <v>5</v>
      </c>
      <c r="X1511" s="115">
        <f>+VLOOKUP(PROVEEDORES[[#This Row],[ID RETENCION]],Retenciones!$A$1:$O$25,PROVEEDORES[[#This Row],[indicador de columna]],FALSE)</f>
        <v>0</v>
      </c>
      <c r="Y1511" s="116">
        <f>+VLOOKUP(PROVEEDORES[[#This Row],[ID RETENCION]],Retenciones!$A$1:$O$25,2,FALSE)</f>
        <v>0</v>
      </c>
      <c r="Z1511" s="125" t="b">
        <f>OR(COUNTIF(PROVEEDORES[[#This Row],[PROVEEDOR]],"*"&amp;'Palabra no opera'!$A$2&amp;"*"))</f>
        <v>0</v>
      </c>
    </row>
    <row r="1512" spans="1:26" ht="22.2" customHeight="1" x14ac:dyDescent="0.3">
      <c r="A1512" s="66" t="str">
        <f>+IF(PROVEEDORES[[#This Row],[FECHA DE PAGO]]=PROVEEDORES[[#This Row],[FECHA DE FACTURACIÓN]],"DE CONTADO","CRÉDITO")</f>
        <v>CRÉDITO</v>
      </c>
      <c r="B1512" s="38" t="b">
        <f>+IF((PROVEEDORES[[#This Row],[FECHA DE PAGO]]-PROVEEDORES[[#This Row],[FECHA DE FACTURACIÓN]])&gt;PROVEEDORES[[#This Row],[PLAZO Días]],"PAGO VENCIDO")</f>
        <v>0</v>
      </c>
      <c r="C1512" s="20">
        <f>+VLOOKUP(PROVEEDORES[[#This Row],[PROVEEDOR]],TERCEROS_INFO[#All],2,FALSE)</f>
        <v>30</v>
      </c>
      <c r="D1512" s="25">
        <f>+SUMIFS(PROVEEDORES[Total],PROVEEDORES[PROVEEDOR],PROVEEDORES[[#This Row],[PROVEEDOR]],PROVEEDORES[FECHA DE PAGO],"")</f>
        <v>0</v>
      </c>
      <c r="E1512" s="25"/>
      <c r="F1512" s="58" t="str">
        <f>+VLOOKUP(PROVEEDORES[[#This Row],[PROVEEDOR]],
                       Terceros!$A:$F,
                       5,
                       FALSE)</f>
        <v/>
      </c>
      <c r="G1512" s="161">
        <v>44468</v>
      </c>
      <c r="H1512" s="26" t="s">
        <v>638</v>
      </c>
      <c r="I1512" s="161">
        <v>44467</v>
      </c>
      <c r="J1512" s="35" t="s">
        <v>1313</v>
      </c>
      <c r="K1512" s="21">
        <v>2029404</v>
      </c>
      <c r="L1512" s="21"/>
      <c r="M1512" s="22">
        <f>(PROVEEDORES[[#This Row],[SUBTOTAL]]-PROVEEDORES[[#This Row],[descuento sobre subtotal]])*VLOOKUP(PROVEEDORES[[#This Row],[PROVEEDOR]],TERCEROS_INFO[#All],3,FALSE)</f>
        <v>0</v>
      </c>
      <c r="N1512" s="23"/>
      <c r="O1512" s="22">
        <f>+PROVEEDORES[[#This Row],[Descuento sobre subtotal %]]*(PROVEEDORES[[#This Row],[SUBTOTAL]]-PROVEEDORES[[#This Row],[descuento sobre subtotal]])</f>
        <v>0</v>
      </c>
      <c r="P1512" s="83">
        <f>+IF(PROVEEDORES[[#This Row],[SUBTOTAL]]&lt;PROVEEDORES[[#This Row],[base retencion]],0,PROVEEDORES[[#This Row],[retención aplicada]])</f>
        <v>0</v>
      </c>
      <c r="Q1512" s="22">
        <f>+PROVEEDORES[[#This Row],[Rete Fuente %]]*(PROVEEDORES[[#This Row],[SUBTOTAL]]-PROVEEDORES[[#This Row],[descuento sobre subtotal]])</f>
        <v>0</v>
      </c>
      <c r="R1512" s="21">
        <f>+PROVEEDORES[[#This Row],[SUBTOTAL]]+PROVEEDORES[[#This Row],[IVA 19%]]-PROVEEDORES[[#This Row],[descuento sobre subtotal]]-PROVEEDORES[[#This Row],[Descuento sobre subtotal $2]]-PROVEEDORES[[#This Row],[Rete Fuente $]]</f>
        <v>2029404</v>
      </c>
      <c r="S15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2" s="68">
        <f ca="1">IF(PROVEEDORES[[#This Row],[FECHA DE PAGO]]=0,TODAY()-PROVEEDORES[[#This Row],[FECHA DE FACTURACIÓN]]-PROVEEDORES[[#This Row],[PLAZO Días]],0)</f>
        <v>0</v>
      </c>
      <c r="U1512" s="96">
        <f>+VLOOKUP(PROVEEDORES[[#This Row],[PROVEEDOR]],Terceros!$A:$D,4,FALSE)</f>
        <v>0</v>
      </c>
      <c r="V1512" s="97">
        <f>+YEAR(PROVEEDORES[[#This Row],[FECHA DE FACTURACIÓN]])</f>
        <v>2021</v>
      </c>
      <c r="W1512" s="97">
        <f>+MATCH(PROVEEDORES[[#This Row],[año facturado]],Retenciones!$1:$1,0)</f>
        <v>4</v>
      </c>
      <c r="X1512" s="98">
        <f>+VLOOKUP(PROVEEDORES[[#This Row],[ID RETENCION]],Retenciones!$A$1:$O$25,PROVEEDORES[[#This Row],[indicador de columna]],FALSE)</f>
        <v>0</v>
      </c>
      <c r="Y1512" s="99">
        <f>+VLOOKUP(PROVEEDORES[[#This Row],[ID RETENCION]],Retenciones!$A$1:$O$25,2,FALSE)</f>
        <v>0</v>
      </c>
      <c r="Z1512" s="125" t="b">
        <f>OR(COUNTIF(PROVEEDORES[[#This Row],[PROVEEDOR]],"*"&amp;'Palabra no opera'!$A$2&amp;"*"))</f>
        <v>0</v>
      </c>
    </row>
    <row r="1513" spans="1:26" ht="22.2" customHeight="1" x14ac:dyDescent="0.3">
      <c r="A1513" s="66" t="str">
        <f>+IF(PROVEEDORES[[#This Row],[FECHA DE PAGO]]=PROVEEDORES[[#This Row],[FECHA DE FACTURACIÓN]],"DE CONTADO","CRÉDITO")</f>
        <v>CRÉDITO</v>
      </c>
      <c r="B1513" s="38" t="str">
        <f>+IF((PROVEEDORES[[#This Row],[FECHA DE PAGO]]-PROVEEDORES[[#This Row],[FECHA DE FACTURACIÓN]])&gt;PROVEEDORES[[#This Row],[PLAZO Días]],"PAGO VENCIDO")</f>
        <v>PAGO VENCIDO</v>
      </c>
      <c r="C1513" s="20">
        <f>+VLOOKUP(PROVEEDORES[[#This Row],[PROVEEDOR]],TERCEROS_INFO[#All],2,FALSE)</f>
        <v>30</v>
      </c>
      <c r="D1513" s="25">
        <f>+SUMIFS(PROVEEDORES[Total],PROVEEDORES[PROVEEDOR],PROVEEDORES[[#This Row],[PROVEEDOR]],PROVEEDORES[FECHA DE PAGO],"")</f>
        <v>0</v>
      </c>
      <c r="E1513" s="25"/>
      <c r="F1513" s="58" t="str">
        <f>+VLOOKUP(PROVEEDORES[[#This Row],[PROVEEDOR]],
                       Terceros!$A:$F,
                       5,
                       FALSE)</f>
        <v/>
      </c>
      <c r="G1513" s="161">
        <v>44235</v>
      </c>
      <c r="H1513" s="26" t="s">
        <v>679</v>
      </c>
      <c r="I1513" s="161">
        <v>44187</v>
      </c>
      <c r="J1513" s="35">
        <v>46883</v>
      </c>
      <c r="K1513" s="21">
        <v>2046000</v>
      </c>
      <c r="L1513" s="21"/>
      <c r="M1513" s="22">
        <f>(PROVEEDORES[[#This Row],[SUBTOTAL]]-PROVEEDORES[[#This Row],[descuento sobre subtotal]])*VLOOKUP(PROVEEDORES[[#This Row],[PROVEEDOR]],TERCEROS_INFO[#All],3,FALSE)</f>
        <v>0</v>
      </c>
      <c r="N1513" s="23"/>
      <c r="O1513" s="22">
        <f>+PROVEEDORES[[#This Row],[Descuento sobre subtotal %]]*(PROVEEDORES[[#This Row],[SUBTOTAL]]-PROVEEDORES[[#This Row],[descuento sobre subtotal]])</f>
        <v>0</v>
      </c>
      <c r="P1513" s="83">
        <f>+IF(PROVEEDORES[[#This Row],[SUBTOTAL]]&lt;PROVEEDORES[[#This Row],[base retencion]],0,PROVEEDORES[[#This Row],[retención aplicada]])</f>
        <v>0</v>
      </c>
      <c r="Q1513" s="22">
        <f>+PROVEEDORES[[#This Row],[Rete Fuente %]]*(PROVEEDORES[[#This Row],[SUBTOTAL]]-PROVEEDORES[[#This Row],[descuento sobre subtotal]])</f>
        <v>0</v>
      </c>
      <c r="R1513" s="21">
        <f>+PROVEEDORES[[#This Row],[SUBTOTAL]]+PROVEEDORES[[#This Row],[IVA 19%]]-PROVEEDORES[[#This Row],[descuento sobre subtotal]]-PROVEEDORES[[#This Row],[Descuento sobre subtotal $2]]-PROVEEDORES[[#This Row],[Rete Fuente $]]</f>
        <v>2046000</v>
      </c>
      <c r="S15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3" s="68">
        <f ca="1">IF(PROVEEDORES[[#This Row],[FECHA DE PAGO]]=0,TODAY()-PROVEEDORES[[#This Row],[FECHA DE FACTURACIÓN]]-PROVEEDORES[[#This Row],[PLAZO Días]],0)</f>
        <v>0</v>
      </c>
      <c r="U1513" s="96">
        <f>+VLOOKUP(PROVEEDORES[[#This Row],[PROVEEDOR]],Terceros!$A:$D,4,FALSE)</f>
        <v>0</v>
      </c>
      <c r="V1513" s="97">
        <f>+YEAR(PROVEEDORES[[#This Row],[FECHA DE FACTURACIÓN]])</f>
        <v>2020</v>
      </c>
      <c r="W1513" s="97">
        <f>+MATCH(PROVEEDORES[[#This Row],[año facturado]],Retenciones!$1:$1,0)</f>
        <v>3</v>
      </c>
      <c r="X1513" s="98">
        <f>+VLOOKUP(PROVEEDORES[[#This Row],[ID RETENCION]],Retenciones!$A$1:$O$25,PROVEEDORES[[#This Row],[indicador de columna]],FALSE)</f>
        <v>0</v>
      </c>
      <c r="Y1513" s="99">
        <f>+VLOOKUP(PROVEEDORES[[#This Row],[ID RETENCION]],Retenciones!$A$1:$O$25,2,FALSE)</f>
        <v>0</v>
      </c>
      <c r="Z1513" s="125" t="b">
        <f>OR(COUNTIF(PROVEEDORES[[#This Row],[PROVEEDOR]],"*"&amp;'Palabra no opera'!$A$2&amp;"*"))</f>
        <v>0</v>
      </c>
    </row>
    <row r="1514" spans="1:26" ht="22.2" customHeight="1" x14ac:dyDescent="0.3">
      <c r="A1514" s="207" t="str">
        <f>+IF(PROVEEDORES[[#This Row],[FECHA DE PAGO]]=PROVEEDORES[[#This Row],[FECHA DE FACTURACIÓN]],"DE CONTADO","CRÉDITO")</f>
        <v>CRÉDITO</v>
      </c>
      <c r="B1514" s="38" t="str">
        <f>+IF((PROVEEDORES[[#This Row],[FECHA DE PAGO]]-PROVEEDORES[[#This Row],[FECHA DE FACTURACIÓN]])&gt;PROVEEDORES[[#This Row],[PLAZO Días]],"PAGO VENCIDO")</f>
        <v>PAGO VENCIDO</v>
      </c>
      <c r="C1514" s="20">
        <f>+VLOOKUP(PROVEEDORES[[#This Row],[PROVEEDOR]],TERCEROS_INFO[#All],2,FALSE)</f>
        <v>45</v>
      </c>
      <c r="D1514" s="25">
        <f>+SUMIFS(PROVEEDORES[Total],PROVEEDORES[PROVEEDOR],PROVEEDORES[[#This Row],[PROVEEDOR]],PROVEEDORES[FECHA DE PAGO],"")</f>
        <v>2604910</v>
      </c>
      <c r="E1514" s="25"/>
      <c r="F151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14" s="161">
        <v>44858</v>
      </c>
      <c r="H1514" s="26" t="s">
        <v>10</v>
      </c>
      <c r="I1514" s="161">
        <v>44802</v>
      </c>
      <c r="J1514" s="35" t="s">
        <v>1640</v>
      </c>
      <c r="K1514" s="21">
        <v>1720000</v>
      </c>
      <c r="L1514" s="21"/>
      <c r="M1514" s="22">
        <f>(PROVEEDORES[[#This Row],[SUBTOTAL]]-PROVEEDORES[[#This Row],[descuento sobre subtotal]])*VLOOKUP(PROVEEDORES[[#This Row],[PROVEEDOR]],TERCEROS_INFO[#All],3,FALSE)</f>
        <v>326800</v>
      </c>
      <c r="N1514" s="23"/>
      <c r="O1514" s="22">
        <f>+PROVEEDORES[[#This Row],[Descuento sobre subtotal %]]*(PROVEEDORES[[#This Row],[SUBTOTAL]]-PROVEEDORES[[#This Row],[descuento sobre subtotal]])</f>
        <v>0</v>
      </c>
      <c r="P1514" s="83">
        <f>+IF(PROVEEDORES[[#This Row],[SUBTOTAL]]&lt;PROVEEDORES[[#This Row],[base retencion]],0,PROVEEDORES[[#This Row],[retención aplicada]])</f>
        <v>0</v>
      </c>
      <c r="Q1514" s="22">
        <f>+PROVEEDORES[[#This Row],[Rete Fuente %]]*(PROVEEDORES[[#This Row],[SUBTOTAL]]-PROVEEDORES[[#This Row],[descuento sobre subtotal]])</f>
        <v>0</v>
      </c>
      <c r="R1514" s="21">
        <f>+PROVEEDORES[[#This Row],[SUBTOTAL]]+PROVEEDORES[[#This Row],[IVA 19%]]-PROVEEDORES[[#This Row],[descuento sobre subtotal]]-PROVEEDORES[[#This Row],[Descuento sobre subtotal $2]]-PROVEEDORES[[#This Row],[Rete Fuente $]]</f>
        <v>2046800</v>
      </c>
      <c r="S1514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4" s="68">
        <f ca="1">IF(PROVEEDORES[[#This Row],[FECHA DE PAGO]]=0,TODAY()-PROVEEDORES[[#This Row],[FECHA DE FACTURACIÓN]]-PROVEEDORES[[#This Row],[PLAZO Días]],0)</f>
        <v>0</v>
      </c>
      <c r="U1514" s="113">
        <f>+VLOOKUP(PROVEEDORES[[#This Row],[PROVEEDOR]],Terceros!$A:$D,4,FALSE)</f>
        <v>0</v>
      </c>
      <c r="V1514" s="114">
        <f>+YEAR(PROVEEDORES[[#This Row],[FECHA DE FACTURACIÓN]])</f>
        <v>2022</v>
      </c>
      <c r="W1514" s="114">
        <f>+MATCH(PROVEEDORES[[#This Row],[año facturado]],Retenciones!$1:$1,0)</f>
        <v>5</v>
      </c>
      <c r="X1514" s="115">
        <f>+VLOOKUP(PROVEEDORES[[#This Row],[ID RETENCION]],Retenciones!$A$1:$O$25,PROVEEDORES[[#This Row],[indicador de columna]],FALSE)</f>
        <v>0</v>
      </c>
      <c r="Y1514" s="116">
        <f>+VLOOKUP(PROVEEDORES[[#This Row],[ID RETENCION]],Retenciones!$A$1:$O$25,2,FALSE)</f>
        <v>0</v>
      </c>
      <c r="Z1514" s="125" t="b">
        <f>OR(COUNTIF(PROVEEDORES[[#This Row],[PROVEEDOR]],"*"&amp;'Palabra no opera'!$A$2&amp;"*"))</f>
        <v>0</v>
      </c>
    </row>
    <row r="1515" spans="1:26" ht="22.2" customHeight="1" x14ac:dyDescent="0.3">
      <c r="A1515" s="211" t="str">
        <f>+IF(PROVEEDORES[[#This Row],[FECHA DE PAGO]]=PROVEEDORES[[#This Row],[FECHA DE FACTURACIÓN]],"DE CONTADO","CRÉDITO")</f>
        <v>CRÉDITO</v>
      </c>
      <c r="B1515" s="38" t="b">
        <f>+IF((PROVEEDORES[[#This Row],[FECHA DE PAGO]]-PROVEEDORES[[#This Row],[FECHA DE FACTURACIÓN]])&gt;PROVEEDORES[[#This Row],[PLAZO Días]],"PAGO VENCIDO")</f>
        <v>0</v>
      </c>
      <c r="C1515" s="20">
        <f>+VLOOKUP(PROVEEDORES[[#This Row],[PROVEEDOR]],TERCEROS_INFO[#All],2,FALSE)</f>
        <v>30</v>
      </c>
      <c r="D1515" s="25">
        <f>+SUMIFS(PROVEEDORES[Total],PROVEEDORES[PROVEEDOR],PROVEEDORES[[#This Row],[PROVEEDOR]],PROVEEDORES[FECHA DE PAGO],"")</f>
        <v>0</v>
      </c>
      <c r="E1515" s="25"/>
      <c r="F1515" s="58" t="str">
        <f>+VLOOKUP(PROVEEDORES[[#This Row],[PROVEEDOR]],
                       Terceros!$A:$F,
                       5,
                       FALSE)</f>
        <v/>
      </c>
      <c r="G1515" s="161">
        <v>44806</v>
      </c>
      <c r="H1515" s="26" t="s">
        <v>53</v>
      </c>
      <c r="I1515" s="161">
        <v>44805</v>
      </c>
      <c r="J1515" s="35">
        <v>293703</v>
      </c>
      <c r="K1515" s="21">
        <v>2055000</v>
      </c>
      <c r="L1515" s="21"/>
      <c r="M1515" s="22">
        <f>(PROVEEDORES[[#This Row],[SUBTOTAL]]-PROVEEDORES[[#This Row],[descuento sobre subtotal]])*VLOOKUP(PROVEEDORES[[#This Row],[PROVEEDOR]],TERCEROS_INFO[#All],3,FALSE)</f>
        <v>0</v>
      </c>
      <c r="N1515" s="23"/>
      <c r="O1515" s="22">
        <f>+PROVEEDORES[[#This Row],[Descuento sobre subtotal %]]*(PROVEEDORES[[#This Row],[SUBTOTAL]]-PROVEEDORES[[#This Row],[descuento sobre subtotal]])</f>
        <v>0</v>
      </c>
      <c r="P1515" s="83">
        <f>+IF(PROVEEDORES[[#This Row],[SUBTOTAL]]&lt;PROVEEDORES[[#This Row],[base retencion]],0,PROVEEDORES[[#This Row],[retención aplicada]])</f>
        <v>0</v>
      </c>
      <c r="Q1515" s="22">
        <f>+PROVEEDORES[[#This Row],[Rete Fuente %]]*(PROVEEDORES[[#This Row],[SUBTOTAL]]-PROVEEDORES[[#This Row],[descuento sobre subtotal]])</f>
        <v>0</v>
      </c>
      <c r="R1515" s="21">
        <f>+PROVEEDORES[[#This Row],[SUBTOTAL]]+PROVEEDORES[[#This Row],[IVA 19%]]-PROVEEDORES[[#This Row],[descuento sobre subtotal]]-PROVEEDORES[[#This Row],[Descuento sobre subtotal $2]]-PROVEEDORES[[#This Row],[Rete Fuente $]]</f>
        <v>2055000</v>
      </c>
      <c r="S1515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5" s="68">
        <f ca="1">IF(PROVEEDORES[[#This Row],[FECHA DE PAGO]]=0,TODAY()-PROVEEDORES[[#This Row],[FECHA DE FACTURACIÓN]]-PROVEEDORES[[#This Row],[PLAZO Días]],0)</f>
        <v>0</v>
      </c>
      <c r="U1515" s="113">
        <f>+VLOOKUP(PROVEEDORES[[#This Row],[PROVEEDOR]],Terceros!$A:$D,4,FALSE)</f>
        <v>0</v>
      </c>
      <c r="V1515" s="114">
        <f>+YEAR(PROVEEDORES[[#This Row],[FECHA DE FACTURACIÓN]])</f>
        <v>2022</v>
      </c>
      <c r="W1515" s="114">
        <f>+MATCH(PROVEEDORES[[#This Row],[año facturado]],Retenciones!$1:$1,0)</f>
        <v>5</v>
      </c>
      <c r="X1515" s="115">
        <f>+VLOOKUP(PROVEEDORES[[#This Row],[ID RETENCION]],Retenciones!$A$1:$O$25,PROVEEDORES[[#This Row],[indicador de columna]],FALSE)</f>
        <v>0</v>
      </c>
      <c r="Y1515" s="116">
        <f>+VLOOKUP(PROVEEDORES[[#This Row],[ID RETENCION]],Retenciones!$A$1:$O$25,2,FALSE)</f>
        <v>0</v>
      </c>
      <c r="Z1515" s="125" t="b">
        <f>OR(COUNTIF(PROVEEDORES[[#This Row],[PROVEEDOR]],"*"&amp;'Palabra no opera'!$A$2&amp;"*"))</f>
        <v>0</v>
      </c>
    </row>
    <row r="1516" spans="1:26" ht="22.2" customHeight="1" x14ac:dyDescent="0.3">
      <c r="A1516" s="66" t="str">
        <f>+IF(PROVEEDORES[[#This Row],[FECHA DE PAGO]]=PROVEEDORES[[#This Row],[FECHA DE FACTURACIÓN]],"DE CONTADO","CRÉDITO")</f>
        <v>CRÉDITO</v>
      </c>
      <c r="B1516" s="38" t="b">
        <f>+IF((PROVEEDORES[[#This Row],[FECHA DE PAGO]]-PROVEEDORES[[#This Row],[FECHA DE FACTURACIÓN]])&gt;PROVEEDORES[[#This Row],[PLAZO Días]],"PAGO VENCIDO")</f>
        <v>0</v>
      </c>
      <c r="C1516" s="20">
        <f>+VLOOKUP(PROVEEDORES[[#This Row],[PROVEEDOR]],TERCEROS_INFO[#All],2,FALSE)</f>
        <v>30</v>
      </c>
      <c r="D1516" s="25">
        <f>+SUMIFS(PROVEEDORES[Total],PROVEEDORES[PROVEEDOR],PROVEEDORES[[#This Row],[PROVEEDOR]],PROVEEDORES[FECHA DE PAGO],"")</f>
        <v>0</v>
      </c>
      <c r="E1516" s="25"/>
      <c r="F1516" s="58" t="str">
        <f>+VLOOKUP(PROVEEDORES[[#This Row],[PROVEEDOR]],
                       Terceros!$A:$F,
                       5,
                       FALSE)</f>
        <v/>
      </c>
      <c r="G1516" s="161">
        <v>44581</v>
      </c>
      <c r="H1516" s="26" t="s">
        <v>638</v>
      </c>
      <c r="I1516" s="161">
        <v>44576</v>
      </c>
      <c r="J1516" s="35" t="s">
        <v>1374</v>
      </c>
      <c r="K1516" s="21">
        <v>2056000</v>
      </c>
      <c r="L1516" s="21"/>
      <c r="M1516" s="22">
        <f>(PROVEEDORES[[#This Row],[SUBTOTAL]]-PROVEEDORES[[#This Row],[descuento sobre subtotal]])*VLOOKUP(PROVEEDORES[[#This Row],[PROVEEDOR]],TERCEROS_INFO[#All],3,FALSE)</f>
        <v>0</v>
      </c>
      <c r="N1516" s="23"/>
      <c r="O1516" s="22">
        <f>+PROVEEDORES[[#This Row],[Descuento sobre subtotal %]]*(PROVEEDORES[[#This Row],[SUBTOTAL]]-PROVEEDORES[[#This Row],[descuento sobre subtotal]])</f>
        <v>0</v>
      </c>
      <c r="P1516" s="83">
        <f>+IF(PROVEEDORES[[#This Row],[SUBTOTAL]]&lt;PROVEEDORES[[#This Row],[base retencion]],0,PROVEEDORES[[#This Row],[retención aplicada]])</f>
        <v>0</v>
      </c>
      <c r="Q1516" s="22">
        <f>+PROVEEDORES[[#This Row],[Rete Fuente %]]*(PROVEEDORES[[#This Row],[SUBTOTAL]]-PROVEEDORES[[#This Row],[descuento sobre subtotal]])</f>
        <v>0</v>
      </c>
      <c r="R1516" s="21">
        <v>2056000</v>
      </c>
      <c r="S15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6" s="68">
        <f ca="1">IF(PROVEEDORES[[#This Row],[FECHA DE PAGO]]=0,TODAY()-PROVEEDORES[[#This Row],[FECHA DE FACTURACIÓN]]-PROVEEDORES[[#This Row],[PLAZO Días]],0)</f>
        <v>0</v>
      </c>
      <c r="U1516" s="96">
        <f>+VLOOKUP(PROVEEDORES[[#This Row],[PROVEEDOR]],Terceros!$A:$D,4,FALSE)</f>
        <v>0</v>
      </c>
      <c r="V1516" s="97">
        <f>+YEAR(PROVEEDORES[[#This Row],[FECHA DE FACTURACIÓN]])</f>
        <v>2022</v>
      </c>
      <c r="W1516" s="97">
        <f>+MATCH(PROVEEDORES[[#This Row],[año facturado]],Retenciones!$1:$1,0)</f>
        <v>5</v>
      </c>
      <c r="X1516" s="98">
        <f>+VLOOKUP(PROVEEDORES[[#This Row],[ID RETENCION]],Retenciones!$A$1:$O$25,PROVEEDORES[[#This Row],[indicador de columna]],FALSE)</f>
        <v>0</v>
      </c>
      <c r="Y1516" s="99">
        <f>+VLOOKUP(PROVEEDORES[[#This Row],[ID RETENCION]],Retenciones!$A$1:$O$25,2,FALSE)</f>
        <v>0</v>
      </c>
      <c r="Z1516" s="125" t="b">
        <f>OR(COUNTIF(PROVEEDORES[[#This Row],[PROVEEDOR]],"*"&amp;'Palabra no opera'!$A$2&amp;"*"))</f>
        <v>0</v>
      </c>
    </row>
    <row r="1517" spans="1:26" ht="22.2" customHeight="1" x14ac:dyDescent="0.3">
      <c r="A1517" s="269" t="str">
        <f>+IF(PROVEEDORES[[#This Row],[FECHA DE PAGO]]=PROVEEDORES[[#This Row],[FECHA DE FACTURACIÓN]],"DE CONTADO","CRÉDITO")</f>
        <v>CRÉDITO</v>
      </c>
      <c r="B1517" s="38" t="b">
        <f>+IF((PROVEEDORES[[#This Row],[FECHA DE PAGO]]-PROVEEDORES[[#This Row],[FECHA DE FACTURACIÓN]])&gt;PROVEEDORES[[#This Row],[PLAZO Días]],"PAGO VENCIDO")</f>
        <v>0</v>
      </c>
      <c r="C1517" s="20">
        <f>+VLOOKUP(PROVEEDORES[[#This Row],[PROVEEDOR]],TERCEROS_INFO[#All],2,FALSE)</f>
        <v>30</v>
      </c>
      <c r="D1517" s="25">
        <f>+SUMIFS(PROVEEDORES[Total],PROVEEDORES[PROVEEDOR],PROVEEDORES[[#This Row],[PROVEEDOR]],PROVEEDORES[FECHA DE PAGO],"")</f>
        <v>4024829</v>
      </c>
      <c r="E1517" s="25"/>
      <c r="F151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1517" s="26" t="s">
        <v>345</v>
      </c>
      <c r="I1517" s="161">
        <v>44862</v>
      </c>
      <c r="J1517" s="35" t="s">
        <v>1805</v>
      </c>
      <c r="K1517" s="21">
        <v>2059829</v>
      </c>
      <c r="L1517" s="21"/>
      <c r="M1517" s="22">
        <f>(PROVEEDORES[[#This Row],[SUBTOTAL]]-PROVEEDORES[[#This Row],[descuento sobre subtotal]])*VLOOKUP(PROVEEDORES[[#This Row],[PROVEEDOR]],TERCEROS_INFO[#All],3,FALSE)</f>
        <v>0</v>
      </c>
      <c r="N1517" s="23"/>
      <c r="O1517" s="22">
        <f>+PROVEEDORES[[#This Row],[Descuento sobre subtotal %]]*(PROVEEDORES[[#This Row],[SUBTOTAL]]-PROVEEDORES[[#This Row],[descuento sobre subtotal]])</f>
        <v>0</v>
      </c>
      <c r="P1517" s="83">
        <f>+IF(PROVEEDORES[[#This Row],[SUBTOTAL]]&lt;PROVEEDORES[[#This Row],[base retencion]],0,PROVEEDORES[[#This Row],[retención aplicada]])</f>
        <v>0</v>
      </c>
      <c r="Q1517" s="22">
        <f>+PROVEEDORES[[#This Row],[Rete Fuente %]]*(PROVEEDORES[[#This Row],[SUBTOTAL]]-PROVEEDORES[[#This Row],[descuento sobre subtotal]])</f>
        <v>0</v>
      </c>
      <c r="R1517" s="21">
        <f>+PROVEEDORES[[#This Row],[SUBTOTAL]]+PROVEEDORES[[#This Row],[IVA 19%]]-PROVEEDORES[[#This Row],[descuento sobre subtotal]]-PROVEEDORES[[#This Row],[Descuento sobre subtotal $2]]-PROVEEDORES[[#This Row],[Rete Fuente $]]</f>
        <v>2059829</v>
      </c>
      <c r="S1517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517" s="68">
        <f ca="1">IF(PROVEEDORES[[#This Row],[FECHA DE PAGO]]=0,TODAY()-PROVEEDORES[[#This Row],[FECHA DE FACTURACIÓN]]-PROVEEDORES[[#This Row],[PLAZO Días]],0)</f>
        <v>-17</v>
      </c>
      <c r="U1517" s="113">
        <f>+VLOOKUP(PROVEEDORES[[#This Row],[PROVEEDOR]],Terceros!$A:$D,4,FALSE)</f>
        <v>0</v>
      </c>
      <c r="V1517" s="114">
        <f>+YEAR(PROVEEDORES[[#This Row],[FECHA DE FACTURACIÓN]])</f>
        <v>2022</v>
      </c>
      <c r="W1517" s="114">
        <f>+MATCH(PROVEEDORES[[#This Row],[año facturado]],Retenciones!$1:$1,0)</f>
        <v>5</v>
      </c>
      <c r="X1517" s="115">
        <f>+VLOOKUP(PROVEEDORES[[#This Row],[ID RETENCION]],Retenciones!$A$1:$O$25,PROVEEDORES[[#This Row],[indicador de columna]],FALSE)</f>
        <v>0</v>
      </c>
      <c r="Y1517" s="116">
        <f>+VLOOKUP(PROVEEDORES[[#This Row],[ID RETENCION]],Retenciones!$A$1:$O$25,2,FALSE)</f>
        <v>0</v>
      </c>
      <c r="Z1517" s="125" t="b">
        <f>OR(COUNTIF(PROVEEDORES[[#This Row],[PROVEEDOR]],"*"&amp;'Palabra no opera'!$A$2&amp;"*"))</f>
        <v>0</v>
      </c>
    </row>
    <row r="1518" spans="1:26" ht="22.2" customHeight="1" x14ac:dyDescent="0.3">
      <c r="A1518" s="195" t="str">
        <f>+IF(PROVEEDORES[[#This Row],[FECHA DE PAGO]]=PROVEEDORES[[#This Row],[FECHA DE FACTURACIÓN]],"DE CONTADO","CRÉDITO")</f>
        <v>CRÉDITO</v>
      </c>
      <c r="B1518" s="38" t="str">
        <f>+IF((PROVEEDORES[[#This Row],[FECHA DE PAGO]]-PROVEEDORES[[#This Row],[FECHA DE FACTURACIÓN]])&gt;PROVEEDORES[[#This Row],[PLAZO Días]],"PAGO VENCIDO")</f>
        <v>PAGO VENCIDO</v>
      </c>
      <c r="C1518" s="20">
        <f>+VLOOKUP(PROVEEDORES[[#This Row],[PROVEEDOR]],TERCEROS_INFO[#All],2,FALSE)</f>
        <v>30</v>
      </c>
      <c r="D1518" s="25">
        <f>+SUMIFS(PROVEEDORES[Total],PROVEEDORES[PROVEEDOR],PROVEEDORES[[#This Row],[PROVEEDOR]],PROVEEDORES[FECHA DE PAGO],"")</f>
        <v>23124164.219999999</v>
      </c>
      <c r="E1518" s="25"/>
      <c r="F151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18" s="161">
        <v>44823</v>
      </c>
      <c r="H1518" s="26" t="s">
        <v>18</v>
      </c>
      <c r="I1518" s="161">
        <v>44777</v>
      </c>
      <c r="J1518" s="35">
        <v>1057349</v>
      </c>
      <c r="K1518" s="21">
        <v>1769116.56</v>
      </c>
      <c r="L1518" s="21"/>
      <c r="M1518" s="22">
        <f>(PROVEEDORES[[#This Row],[SUBTOTAL]]-PROVEEDORES[[#This Row],[descuento sobre subtotal]])*VLOOKUP(PROVEEDORES[[#This Row],[PROVEEDOR]],TERCEROS_INFO[#All],3,FALSE)</f>
        <v>336132.14640000003</v>
      </c>
      <c r="N1518" s="23"/>
      <c r="O1518" s="22">
        <f>+PROVEEDORES[[#This Row],[Descuento sobre subtotal %]]*(PROVEEDORES[[#This Row],[SUBTOTAL]]-PROVEEDORES[[#This Row],[descuento sobre subtotal]])</f>
        <v>0</v>
      </c>
      <c r="P1518" s="83">
        <f>+IF(PROVEEDORES[[#This Row],[SUBTOTAL]]&lt;PROVEEDORES[[#This Row],[base retencion]],0,PROVEEDORES[[#This Row],[retención aplicada]])</f>
        <v>2.5000000000000001E-2</v>
      </c>
      <c r="Q1518" s="22">
        <f>+PROVEEDORES[[#This Row],[Rete Fuente %]]*(PROVEEDORES[[#This Row],[SUBTOTAL]]-PROVEEDORES[[#This Row],[descuento sobre subtotal]])</f>
        <v>44227.914000000004</v>
      </c>
      <c r="R1518" s="21">
        <f>+PROVEEDORES[[#This Row],[SUBTOTAL]]+PROVEEDORES[[#This Row],[IVA 19%]]-PROVEEDORES[[#This Row],[descuento sobre subtotal]]-PROVEEDORES[[#This Row],[Descuento sobre subtotal $2]]-PROVEEDORES[[#This Row],[Rete Fuente $]]</f>
        <v>2061020.7923999999</v>
      </c>
      <c r="S1518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8" s="68">
        <f ca="1">IF(PROVEEDORES[[#This Row],[FECHA DE PAGO]]=0,TODAY()-PROVEEDORES[[#This Row],[FECHA DE FACTURACIÓN]]-PROVEEDORES[[#This Row],[PLAZO Días]],0)</f>
        <v>0</v>
      </c>
      <c r="U1518" s="113" t="str">
        <f>+VLOOKUP(PROVEEDORES[[#This Row],[PROVEEDOR]],Terceros!$A:$D,4,FALSE)</f>
        <v>2,5% con base</v>
      </c>
      <c r="V1518" s="114">
        <f>+YEAR(PROVEEDORES[[#This Row],[FECHA DE FACTURACIÓN]])</f>
        <v>2022</v>
      </c>
      <c r="W1518" s="114">
        <f>+MATCH(PROVEEDORES[[#This Row],[año facturado]],Retenciones!$1:$1,0)</f>
        <v>5</v>
      </c>
      <c r="X1518" s="115">
        <f>+VLOOKUP(PROVEEDORES[[#This Row],[ID RETENCION]],Retenciones!$A$1:$O$25,PROVEEDORES[[#This Row],[indicador de columna]],FALSE)</f>
        <v>1026000</v>
      </c>
      <c r="Y1518" s="116">
        <f>+VLOOKUP(PROVEEDORES[[#This Row],[ID RETENCION]],Retenciones!$A$1:$O$25,2,FALSE)</f>
        <v>2.5000000000000001E-2</v>
      </c>
      <c r="Z1518" s="125" t="b">
        <f>OR(COUNTIF(PROVEEDORES[[#This Row],[PROVEEDOR]],"*"&amp;'Palabra no opera'!$A$2&amp;"*"))</f>
        <v>0</v>
      </c>
    </row>
    <row r="1519" spans="1:26" ht="22.2" customHeight="1" x14ac:dyDescent="0.3">
      <c r="A1519" s="66" t="str">
        <f>+IF(PROVEEDORES[[#This Row],[FECHA DE PAGO]]=PROVEEDORES[[#This Row],[FECHA DE FACTURACIÓN]],"DE CONTADO","CRÉDITO")</f>
        <v>CRÉDITO</v>
      </c>
      <c r="B1519" s="38" t="str">
        <f>+IF((PROVEEDORES[[#This Row],[FECHA DE PAGO]]-PROVEEDORES[[#This Row],[FECHA DE FACTURACIÓN]])&gt;PROVEEDORES[[#This Row],[PLAZO Días]],"PAGO VENCIDO")</f>
        <v>PAGO VENCIDO</v>
      </c>
      <c r="C1519" s="20">
        <f>+VLOOKUP(PROVEEDORES[[#This Row],[PROVEEDOR]],TERCEROS_INFO[#All],2,FALSE)</f>
        <v>30</v>
      </c>
      <c r="D1519" s="25">
        <f>+SUMIFS(PROVEEDORES[Total],PROVEEDORES[PROVEEDOR],PROVEEDORES[[#This Row],[PROVEEDOR]],PROVEEDORES[FECHA DE PAGO],"")</f>
        <v>3430770</v>
      </c>
      <c r="E1519" s="25"/>
      <c r="F151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19" s="161">
        <v>44510</v>
      </c>
      <c r="H1519" s="26" t="s">
        <v>1448</v>
      </c>
      <c r="I1519" s="161">
        <v>44475</v>
      </c>
      <c r="J1519" s="35">
        <v>23081</v>
      </c>
      <c r="K1519" s="21">
        <v>1770000</v>
      </c>
      <c r="L1519" s="21"/>
      <c r="M1519" s="22">
        <f>(PROVEEDORES[[#This Row],[SUBTOTAL]]-PROVEEDORES[[#This Row],[descuento sobre subtotal]])*VLOOKUP(PROVEEDORES[[#This Row],[PROVEEDOR]],TERCEROS_INFO[#All],3,FALSE)</f>
        <v>336300</v>
      </c>
      <c r="N1519" s="23"/>
      <c r="O1519" s="22">
        <f>+PROVEEDORES[[#This Row],[Descuento sobre subtotal %]]*(PROVEEDORES[[#This Row],[SUBTOTAL]]-PROVEEDORES[[#This Row],[descuento sobre subtotal]])</f>
        <v>0</v>
      </c>
      <c r="P1519" s="83">
        <v>2.5000000000000001E-2</v>
      </c>
      <c r="Q1519" s="22">
        <f>+PROVEEDORES[[#This Row],[Rete Fuente %]]*(PROVEEDORES[[#This Row],[SUBTOTAL]]-PROVEEDORES[[#This Row],[descuento sobre subtotal]])</f>
        <v>44250</v>
      </c>
      <c r="R1519" s="21">
        <f>+PROVEEDORES[[#This Row],[SUBTOTAL]]+PROVEEDORES[[#This Row],[IVA 19%]]-PROVEEDORES[[#This Row],[descuento sobre subtotal]]-PROVEEDORES[[#This Row],[Descuento sobre subtotal $2]]-PROVEEDORES[[#This Row],[Rete Fuente $]]</f>
        <v>2062050</v>
      </c>
      <c r="S15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9" s="68">
        <f ca="1">IF(PROVEEDORES[[#This Row],[FECHA DE PAGO]]=0,TODAY()-PROVEEDORES[[#This Row],[FECHA DE FACTURACIÓN]]-PROVEEDORES[[#This Row],[PLAZO Días]],0)</f>
        <v>0</v>
      </c>
      <c r="U1519" s="96">
        <f>+VLOOKUP(PROVEEDORES[[#This Row],[PROVEEDOR]],Terceros!$A:$D,4,FALSE)</f>
        <v>0</v>
      </c>
      <c r="V1519" s="97">
        <f>+YEAR(PROVEEDORES[[#This Row],[FECHA DE FACTURACIÓN]])</f>
        <v>2021</v>
      </c>
      <c r="W1519" s="97">
        <f>+MATCH(PROVEEDORES[[#This Row],[año facturado]],Retenciones!$1:$1,0)</f>
        <v>4</v>
      </c>
      <c r="X1519" s="98">
        <f>+VLOOKUP(PROVEEDORES[[#This Row],[ID RETENCION]],Retenciones!$A$1:$O$25,PROVEEDORES[[#This Row],[indicador de columna]],FALSE)</f>
        <v>0</v>
      </c>
      <c r="Y1519" s="99">
        <f>+VLOOKUP(PROVEEDORES[[#This Row],[ID RETENCION]],Retenciones!$A$1:$O$25,2,FALSE)</f>
        <v>0</v>
      </c>
      <c r="Z1519" s="125" t="b">
        <f>OR(COUNTIF(PROVEEDORES[[#This Row],[PROVEEDOR]],"*"&amp;'Palabra no opera'!$A$2&amp;"*"))</f>
        <v>0</v>
      </c>
    </row>
    <row r="1520" spans="1:26" ht="22.2" customHeight="1" x14ac:dyDescent="0.3">
      <c r="A1520" s="66" t="str">
        <f>+IF(PROVEEDORES[[#This Row],[FECHA DE PAGO]]=PROVEEDORES[[#This Row],[FECHA DE FACTURACIÓN]],"DE CONTADO","CRÉDITO")</f>
        <v>CRÉDITO</v>
      </c>
      <c r="B1520" s="38" t="b">
        <f>+IF((PROVEEDORES[[#This Row],[FECHA DE PAGO]]-PROVEEDORES[[#This Row],[FECHA DE FACTURACIÓN]])&gt;PROVEEDORES[[#This Row],[PLAZO Días]],"PAGO VENCIDO")</f>
        <v>0</v>
      </c>
      <c r="C1520" s="20">
        <f>+VLOOKUP(PROVEEDORES[[#This Row],[PROVEEDOR]],TERCEROS_INFO[#All],2,FALSE)</f>
        <v>30</v>
      </c>
      <c r="D1520" s="25">
        <f>+SUMIFS(PROVEEDORES[Total],PROVEEDORES[PROVEEDOR],PROVEEDORES[[#This Row],[PROVEEDOR]],PROVEEDORES[FECHA DE PAGO],"")</f>
        <v>0</v>
      </c>
      <c r="E1520" s="25"/>
      <c r="F1520" s="58" t="str">
        <f>+VLOOKUP(PROVEEDORES[[#This Row],[PROVEEDOR]],
                       Terceros!$A:$F,
                       5,
                       FALSE)</f>
        <v/>
      </c>
      <c r="G1520" s="161">
        <v>44286</v>
      </c>
      <c r="H1520" s="26" t="s">
        <v>133</v>
      </c>
      <c r="I1520" s="161">
        <v>44284</v>
      </c>
      <c r="J1520" s="35" t="s">
        <v>1198</v>
      </c>
      <c r="K1520" s="21">
        <v>1789527</v>
      </c>
      <c r="L1520" s="21"/>
      <c r="M1520" s="22">
        <f>(PROVEEDORES[[#This Row],[SUBTOTAL]]-PROVEEDORES[[#This Row],[descuento sobre subtotal]])*VLOOKUP(PROVEEDORES[[#This Row],[PROVEEDOR]],TERCEROS_INFO[#All],3,FALSE)</f>
        <v>340010.13</v>
      </c>
      <c r="N1520" s="23"/>
      <c r="O1520" s="22">
        <f>+PROVEEDORES[[#This Row],[Descuento sobre subtotal %]]*(PROVEEDORES[[#This Row],[SUBTOTAL]]-PROVEEDORES[[#This Row],[descuento sobre subtotal]])</f>
        <v>0</v>
      </c>
      <c r="P1520" s="83">
        <f>+IF(PROVEEDORES[[#This Row],[SUBTOTAL]]&lt;PROVEEDORES[[#This Row],[base retencion]],0,PROVEEDORES[[#This Row],[retención aplicada]])</f>
        <v>3.5000000000000003E-2</v>
      </c>
      <c r="Q1520" s="22">
        <f>+PROVEEDORES[[#This Row],[Rete Fuente %]]*(PROVEEDORES[[#This Row],[SUBTOTAL]]-PROVEEDORES[[#This Row],[descuento sobre subtotal]])</f>
        <v>62633.445000000007</v>
      </c>
      <c r="R1520" s="21">
        <f>+PROVEEDORES[[#This Row],[SUBTOTAL]]+PROVEEDORES[[#This Row],[IVA 19%]]-PROVEEDORES[[#This Row],[descuento sobre subtotal]]-PROVEEDORES[[#This Row],[Descuento sobre subtotal $2]]-PROVEEDORES[[#This Row],[Rete Fuente $]]</f>
        <v>2066903.6849999998</v>
      </c>
      <c r="S15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0" s="68">
        <f ca="1">IF(PROVEEDORES[[#This Row],[FECHA DE PAGO]]=0,TODAY()-PROVEEDORES[[#This Row],[FECHA DE FACTURACIÓN]]-PROVEEDORES[[#This Row],[PLAZO Días]],0)</f>
        <v>0</v>
      </c>
      <c r="U1520" s="96" t="str">
        <f>+VLOOKUP(PROVEEDORES[[#This Row],[PROVEEDOR]],Terceros!$A:$D,4,FALSE)</f>
        <v>3,5% con base</v>
      </c>
      <c r="V1520" s="97">
        <f>+YEAR(PROVEEDORES[[#This Row],[FECHA DE FACTURACIÓN]])</f>
        <v>2021</v>
      </c>
      <c r="W1520" s="97">
        <f>+MATCH(PROVEEDORES[[#This Row],[año facturado]],Retenciones!$1:$1,0)</f>
        <v>4</v>
      </c>
      <c r="X1520" s="98">
        <f>+VLOOKUP(PROVEEDORES[[#This Row],[ID RETENCION]],Retenciones!$A$1:$O$25,PROVEEDORES[[#This Row],[indicador de columna]],FALSE)</f>
        <v>980000</v>
      </c>
      <c r="Y1520" s="99">
        <f>+VLOOKUP(PROVEEDORES[[#This Row],[ID RETENCION]],Retenciones!$A$1:$O$25,2,FALSE)</f>
        <v>3.5000000000000003E-2</v>
      </c>
      <c r="Z1520" s="125" t="b">
        <f>OR(COUNTIF(PROVEEDORES[[#This Row],[PROVEEDOR]],"*"&amp;'Palabra no opera'!$A$2&amp;"*"))</f>
        <v>0</v>
      </c>
    </row>
    <row r="1521" spans="1:26" ht="22.2" customHeight="1" x14ac:dyDescent="0.3">
      <c r="A1521" s="66" t="str">
        <f>+IF(PROVEEDORES[[#This Row],[FECHA DE PAGO]]=PROVEEDORES[[#This Row],[FECHA DE FACTURACIÓN]],"DE CONTADO","CRÉDITO")</f>
        <v>CRÉDITO</v>
      </c>
      <c r="B1521" s="38" t="str">
        <f>+IF((PROVEEDORES[[#This Row],[FECHA DE PAGO]]-PROVEEDORES[[#This Row],[FECHA DE FACTURACIÓN]])&gt;PROVEEDORES[[#This Row],[PLAZO Días]],"PAGO VENCIDO")</f>
        <v>PAGO VENCIDO</v>
      </c>
      <c r="C1521" s="20">
        <f>+VLOOKUP(PROVEEDORES[[#This Row],[PROVEEDOR]],TERCEROS_INFO[#All],2,FALSE)</f>
        <v>30</v>
      </c>
      <c r="D1521" s="25">
        <f>+SUMIFS(PROVEEDORES[Total],PROVEEDORES[PROVEEDOR],PROVEEDORES[[#This Row],[PROVEEDOR]],PROVEEDORES[FECHA DE PAGO],"")</f>
        <v>4712021.58</v>
      </c>
      <c r="E1521" s="25"/>
      <c r="F152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21" s="161">
        <v>44335</v>
      </c>
      <c r="H1521" s="26" t="s">
        <v>17</v>
      </c>
      <c r="I1521" s="161">
        <v>44281</v>
      </c>
      <c r="J1521" s="35">
        <v>1744568</v>
      </c>
      <c r="K1521" s="21">
        <v>1740230</v>
      </c>
      <c r="L1521" s="21"/>
      <c r="M1521" s="22">
        <f>(PROVEEDORES[[#This Row],[SUBTOTAL]]-PROVEEDORES[[#This Row],[descuento sobre subtotal]])*VLOOKUP(PROVEEDORES[[#This Row],[PROVEEDOR]],TERCEROS_INFO[#All],3,FALSE)</f>
        <v>330643.7</v>
      </c>
      <c r="N1521" s="23"/>
      <c r="O1521" s="22">
        <f>+PROVEEDORES[[#This Row],[Descuento sobre subtotal %]]*(PROVEEDORES[[#This Row],[SUBTOTAL]]-PROVEEDORES[[#This Row],[descuento sobre subtotal]])</f>
        <v>0</v>
      </c>
      <c r="P1521" s="83">
        <f>+IF(PROVEEDORES[[#This Row],[SUBTOTAL]]&lt;PROVEEDORES[[#This Row],[base retencion]],0,PROVEEDORES[[#This Row],[retención aplicada]])</f>
        <v>0</v>
      </c>
      <c r="Q1521" s="22">
        <f>+PROVEEDORES[[#This Row],[Rete Fuente %]]*(PROVEEDORES[[#This Row],[SUBTOTAL]]-PROVEEDORES[[#This Row],[descuento sobre subtotal]])</f>
        <v>0</v>
      </c>
      <c r="R1521" s="21">
        <f>+PROVEEDORES[[#This Row],[SUBTOTAL]]+PROVEEDORES[[#This Row],[IVA 19%]]-PROVEEDORES[[#This Row],[descuento sobre subtotal]]-PROVEEDORES[[#This Row],[Descuento sobre subtotal $2]]-PROVEEDORES[[#This Row],[Rete Fuente $]]</f>
        <v>2070873.7</v>
      </c>
      <c r="S15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1" s="68">
        <f ca="1">IF(PROVEEDORES[[#This Row],[FECHA DE PAGO]]=0,TODAY()-PROVEEDORES[[#This Row],[FECHA DE FACTURACIÓN]]-PROVEEDORES[[#This Row],[PLAZO Días]],0)</f>
        <v>0</v>
      </c>
      <c r="U1521" s="96">
        <f>+VLOOKUP(PROVEEDORES[[#This Row],[PROVEEDOR]],Terceros!$A:$D,4,FALSE)</f>
        <v>0</v>
      </c>
      <c r="V1521" s="97">
        <f>+YEAR(PROVEEDORES[[#This Row],[FECHA DE FACTURACIÓN]])</f>
        <v>2021</v>
      </c>
      <c r="W1521" s="97">
        <f>+MATCH(PROVEEDORES[[#This Row],[año facturado]],Retenciones!$1:$1,0)</f>
        <v>4</v>
      </c>
      <c r="X1521" s="98">
        <f>+VLOOKUP(PROVEEDORES[[#This Row],[ID RETENCION]],Retenciones!$A$1:$O$25,PROVEEDORES[[#This Row],[indicador de columna]],FALSE)</f>
        <v>0</v>
      </c>
      <c r="Y1521" s="99">
        <f>+VLOOKUP(PROVEEDORES[[#This Row],[ID RETENCION]],Retenciones!$A$1:$O$25,2,FALSE)</f>
        <v>0</v>
      </c>
      <c r="Z1521" s="125" t="b">
        <f>OR(COUNTIF(PROVEEDORES[[#This Row],[PROVEEDOR]],"*"&amp;'Palabra no opera'!$A$2&amp;"*"))</f>
        <v>0</v>
      </c>
    </row>
    <row r="1522" spans="1:26" ht="22.2" customHeight="1" x14ac:dyDescent="0.3">
      <c r="A1522" s="66" t="str">
        <f>+IF(PROVEEDORES[[#This Row],[FECHA DE PAGO]]=PROVEEDORES[[#This Row],[FECHA DE FACTURACIÓN]],"DE CONTADO","CRÉDITO")</f>
        <v>DE CONTADO</v>
      </c>
      <c r="B1522" s="38" t="b">
        <f>+IF((PROVEEDORES[[#This Row],[FECHA DE PAGO]]-PROVEEDORES[[#This Row],[FECHA DE FACTURACIÓN]])&gt;PROVEEDORES[[#This Row],[PLAZO Días]],"PAGO VENCIDO")</f>
        <v>0</v>
      </c>
      <c r="C1522" s="20">
        <f>+VLOOKUP(PROVEEDORES[[#This Row],[PROVEEDOR]],TERCEROS_INFO[#All],2,FALSE)</f>
        <v>30</v>
      </c>
      <c r="D1522" s="25">
        <f>+SUMIFS(PROVEEDORES[Total],PROVEEDORES[PROVEEDOR],PROVEEDORES[[#This Row],[PROVEEDOR]],PROVEEDORES[FECHA DE PAGO],"")</f>
        <v>0</v>
      </c>
      <c r="E1522" s="25"/>
      <c r="F1522" s="58" t="str">
        <f>+VLOOKUP(PROVEEDORES[[#This Row],[PROVEEDOR]],
                       Terceros!$A:$F,
                       5,
                       FALSE)</f>
        <v/>
      </c>
      <c r="G1522" s="161">
        <v>44286</v>
      </c>
      <c r="H1522" s="26" t="s">
        <v>644</v>
      </c>
      <c r="I1522" s="161">
        <v>44286</v>
      </c>
      <c r="J1522" s="35" t="s">
        <v>595</v>
      </c>
      <c r="K1522" s="21">
        <v>2073000</v>
      </c>
      <c r="L1522" s="21"/>
      <c r="M1522" s="22">
        <f>(PROVEEDORES[[#This Row],[SUBTOTAL]]-PROVEEDORES[[#This Row],[descuento sobre subtotal]])*VLOOKUP(PROVEEDORES[[#This Row],[PROVEEDOR]],TERCEROS_INFO[#All],3,FALSE)</f>
        <v>0</v>
      </c>
      <c r="N1522" s="23"/>
      <c r="O1522" s="22">
        <f>+PROVEEDORES[[#This Row],[Descuento sobre subtotal %]]*(PROVEEDORES[[#This Row],[SUBTOTAL]]-PROVEEDORES[[#This Row],[descuento sobre subtotal]])</f>
        <v>0</v>
      </c>
      <c r="P1522" s="83">
        <f>+IF(PROVEEDORES[[#This Row],[SUBTOTAL]]&lt;PROVEEDORES[[#This Row],[base retencion]],0,PROVEEDORES[[#This Row],[retención aplicada]])</f>
        <v>0</v>
      </c>
      <c r="Q1522" s="22">
        <f>+PROVEEDORES[[#This Row],[Rete Fuente %]]*(PROVEEDORES[[#This Row],[SUBTOTAL]]-PROVEEDORES[[#This Row],[descuento sobre subtotal]])</f>
        <v>0</v>
      </c>
      <c r="R1522" s="21">
        <f>+PROVEEDORES[[#This Row],[SUBTOTAL]]+PROVEEDORES[[#This Row],[IVA 19%]]-PROVEEDORES[[#This Row],[descuento sobre subtotal]]-PROVEEDORES[[#This Row],[Descuento sobre subtotal $2]]-PROVEEDORES[[#This Row],[Rete Fuente $]]</f>
        <v>2073000</v>
      </c>
      <c r="S15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2" s="68">
        <f ca="1">IF(PROVEEDORES[[#This Row],[FECHA DE PAGO]]=0,TODAY()-PROVEEDORES[[#This Row],[FECHA DE FACTURACIÓN]]-PROVEEDORES[[#This Row],[PLAZO Días]],0)</f>
        <v>0</v>
      </c>
      <c r="U1522" s="96">
        <f>+VLOOKUP(PROVEEDORES[[#This Row],[PROVEEDOR]],Terceros!$A:$D,4,FALSE)</f>
        <v>0</v>
      </c>
      <c r="V1522" s="97">
        <f>+YEAR(PROVEEDORES[[#This Row],[FECHA DE FACTURACIÓN]])</f>
        <v>2021</v>
      </c>
      <c r="W1522" s="97">
        <f>+MATCH(PROVEEDORES[[#This Row],[año facturado]],Retenciones!$1:$1,0)</f>
        <v>4</v>
      </c>
      <c r="X1522" s="98">
        <f>+VLOOKUP(PROVEEDORES[[#This Row],[ID RETENCION]],Retenciones!$A$1:$O$25,PROVEEDORES[[#This Row],[indicador de columna]],FALSE)</f>
        <v>0</v>
      </c>
      <c r="Y1522" s="99">
        <f>+VLOOKUP(PROVEEDORES[[#This Row],[ID RETENCION]],Retenciones!$A$1:$O$25,2,FALSE)</f>
        <v>0</v>
      </c>
      <c r="Z1522" s="125" t="b">
        <f>OR(COUNTIF(PROVEEDORES[[#This Row],[PROVEEDOR]],"*"&amp;'Palabra no opera'!$A$2&amp;"*"))</f>
        <v>0</v>
      </c>
    </row>
    <row r="1523" spans="1:26" ht="22.2" customHeight="1" x14ac:dyDescent="0.3">
      <c r="A1523" s="66" t="str">
        <f>+IF(PROVEEDORES[[#This Row],[FECHA DE PAGO]]=PROVEEDORES[[#This Row],[FECHA DE FACTURACIÓN]],"DE CONTADO","CRÉDITO")</f>
        <v>CRÉDITO</v>
      </c>
      <c r="B1523" s="38" t="str">
        <f>+IF((PROVEEDORES[[#This Row],[FECHA DE PAGO]]-PROVEEDORES[[#This Row],[FECHA DE FACTURACIÓN]])&gt;PROVEEDORES[[#This Row],[PLAZO Días]],"PAGO VENCIDO")</f>
        <v>PAGO VENCIDO</v>
      </c>
      <c r="C1523" s="20">
        <f>+VLOOKUP(PROVEEDORES[[#This Row],[PROVEEDOR]],TERCEROS_INFO[#All],2,FALSE)</f>
        <v>30</v>
      </c>
      <c r="D1523" s="25">
        <f>+SUMIFS(PROVEEDORES[Total],PROVEEDORES[PROVEEDOR],PROVEEDORES[[#This Row],[PROVEEDOR]],PROVEEDORES[FECHA DE PAGO],"")</f>
        <v>4712021.58</v>
      </c>
      <c r="E1523" s="25"/>
      <c r="F152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23" s="161">
        <v>44385</v>
      </c>
      <c r="H1523" s="26" t="s">
        <v>17</v>
      </c>
      <c r="I1523" s="161">
        <v>44347</v>
      </c>
      <c r="J1523" s="35">
        <v>1771481</v>
      </c>
      <c r="K1523" s="21">
        <v>1750330</v>
      </c>
      <c r="L1523" s="21"/>
      <c r="M1523" s="22">
        <f>(PROVEEDORES[[#This Row],[SUBTOTAL]]-PROVEEDORES[[#This Row],[descuento sobre subtotal]])*VLOOKUP(PROVEEDORES[[#This Row],[PROVEEDOR]],TERCEROS_INFO[#All],3,FALSE)</f>
        <v>332562.7</v>
      </c>
      <c r="N1523" s="23"/>
      <c r="O1523" s="22">
        <f>+PROVEEDORES[[#This Row],[Descuento sobre subtotal %]]*(PROVEEDORES[[#This Row],[SUBTOTAL]]-PROVEEDORES[[#This Row],[descuento sobre subtotal]])</f>
        <v>0</v>
      </c>
      <c r="P1523" s="83">
        <f>+IF(PROVEEDORES[[#This Row],[SUBTOTAL]]&lt;PROVEEDORES[[#This Row],[base retencion]],0,PROVEEDORES[[#This Row],[retención aplicada]])</f>
        <v>0</v>
      </c>
      <c r="Q1523" s="22">
        <f>+PROVEEDORES[[#This Row],[Rete Fuente %]]*(PROVEEDORES[[#This Row],[SUBTOTAL]]-PROVEEDORES[[#This Row],[descuento sobre subtotal]])</f>
        <v>0</v>
      </c>
      <c r="R1523" s="21">
        <f>+PROVEEDORES[[#This Row],[SUBTOTAL]]+PROVEEDORES[[#This Row],[IVA 19%]]-PROVEEDORES[[#This Row],[descuento sobre subtotal]]-PROVEEDORES[[#This Row],[Descuento sobre subtotal $2]]-PROVEEDORES[[#This Row],[Rete Fuente $]]</f>
        <v>2082892.7</v>
      </c>
      <c r="S15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3" s="68">
        <f ca="1">IF(PROVEEDORES[[#This Row],[FECHA DE PAGO]]=0,TODAY()-PROVEEDORES[[#This Row],[FECHA DE FACTURACIÓN]]-PROVEEDORES[[#This Row],[PLAZO Días]],0)</f>
        <v>0</v>
      </c>
      <c r="U1523" s="96">
        <f>+VLOOKUP(PROVEEDORES[[#This Row],[PROVEEDOR]],Terceros!$A:$D,4,FALSE)</f>
        <v>0</v>
      </c>
      <c r="V1523" s="97">
        <f>+YEAR(PROVEEDORES[[#This Row],[FECHA DE FACTURACIÓN]])</f>
        <v>2021</v>
      </c>
      <c r="W1523" s="97">
        <f>+MATCH(PROVEEDORES[[#This Row],[año facturado]],Retenciones!$1:$1,0)</f>
        <v>4</v>
      </c>
      <c r="X1523" s="98">
        <f>+VLOOKUP(PROVEEDORES[[#This Row],[ID RETENCION]],Retenciones!$A$1:$O$25,PROVEEDORES[[#This Row],[indicador de columna]],FALSE)</f>
        <v>0</v>
      </c>
      <c r="Y1523" s="99">
        <f>+VLOOKUP(PROVEEDORES[[#This Row],[ID RETENCION]],Retenciones!$A$1:$O$25,2,FALSE)</f>
        <v>0</v>
      </c>
      <c r="Z1523" s="125" t="b">
        <f>OR(COUNTIF(PROVEEDORES[[#This Row],[PROVEEDOR]],"*"&amp;'Palabra no opera'!$A$2&amp;"*"))</f>
        <v>0</v>
      </c>
    </row>
    <row r="1524" spans="1:26" ht="22.2" customHeight="1" x14ac:dyDescent="0.3">
      <c r="A1524" s="66" t="str">
        <f>+IF(PROVEEDORES[[#This Row],[FECHA DE PAGO]]=PROVEEDORES[[#This Row],[FECHA DE FACTURACIÓN]],"DE CONTADO","CRÉDITO")</f>
        <v>CRÉDITO</v>
      </c>
      <c r="B1524" s="38" t="str">
        <f>+IF((PROVEEDORES[[#This Row],[FECHA DE PAGO]]-PROVEEDORES[[#This Row],[FECHA DE FACTURACIÓN]])&gt;PROVEEDORES[[#This Row],[PLAZO Días]],"PAGO VENCIDO")</f>
        <v>PAGO VENCIDO</v>
      </c>
      <c r="C1524" s="20">
        <f>+VLOOKUP(PROVEEDORES[[#This Row],[PROVEEDOR]],TERCEROS_INFO[#All],2,FALSE)</f>
        <v>30</v>
      </c>
      <c r="D1524" s="25">
        <f>+SUMIFS(PROVEEDORES[Total],PROVEEDORES[PROVEEDOR],PROVEEDORES[[#This Row],[PROVEEDOR]],PROVEEDORES[FECHA DE PAGO],"")</f>
        <v>4712021.58</v>
      </c>
      <c r="E1524" s="25"/>
      <c r="F152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24" s="161">
        <v>44523</v>
      </c>
      <c r="H1524" s="26" t="s">
        <v>17</v>
      </c>
      <c r="I1524" s="161">
        <v>44483</v>
      </c>
      <c r="J1524" s="35" t="s">
        <v>1329</v>
      </c>
      <c r="K1524" s="21">
        <v>1753211.05</v>
      </c>
      <c r="L1524" s="21"/>
      <c r="M1524" s="22">
        <f>(PROVEEDORES[[#This Row],[SUBTOTAL]]-PROVEEDORES[[#This Row],[descuento sobre subtotal]])*VLOOKUP(PROVEEDORES[[#This Row],[PROVEEDOR]],TERCEROS_INFO[#All],3,FALSE)</f>
        <v>333110.09950000001</v>
      </c>
      <c r="N1524" s="23"/>
      <c r="O1524" s="22">
        <f>+PROVEEDORES[[#This Row],[Descuento sobre subtotal %]]*(PROVEEDORES[[#This Row],[SUBTOTAL]]-PROVEEDORES[[#This Row],[descuento sobre subtotal]])</f>
        <v>0</v>
      </c>
      <c r="P1524" s="83">
        <f>+IF(PROVEEDORES[[#This Row],[SUBTOTAL]]&lt;PROVEEDORES[[#This Row],[base retencion]],0,PROVEEDORES[[#This Row],[retención aplicada]])</f>
        <v>0</v>
      </c>
      <c r="Q1524" s="22">
        <f>+PROVEEDORES[[#This Row],[Rete Fuente %]]*(PROVEEDORES[[#This Row],[SUBTOTAL]]-PROVEEDORES[[#This Row],[descuento sobre subtotal]])</f>
        <v>0</v>
      </c>
      <c r="R1524" s="21">
        <f>+PROVEEDORES[[#This Row],[SUBTOTAL]]+PROVEEDORES[[#This Row],[IVA 19%]]-PROVEEDORES[[#This Row],[descuento sobre subtotal]]-PROVEEDORES[[#This Row],[Descuento sobre subtotal $2]]-PROVEEDORES[[#This Row],[Rete Fuente $]]</f>
        <v>2086321.1495000001</v>
      </c>
      <c r="S15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4" s="68">
        <f ca="1">IF(PROVEEDORES[[#This Row],[FECHA DE PAGO]]=0,TODAY()-PROVEEDORES[[#This Row],[FECHA DE FACTURACIÓN]]-PROVEEDORES[[#This Row],[PLAZO Días]],0)</f>
        <v>0</v>
      </c>
      <c r="U1524" s="96">
        <f>+VLOOKUP(PROVEEDORES[[#This Row],[PROVEEDOR]],Terceros!$A:$D,4,FALSE)</f>
        <v>0</v>
      </c>
      <c r="V1524" s="97">
        <f>+YEAR(PROVEEDORES[[#This Row],[FECHA DE FACTURACIÓN]])</f>
        <v>2021</v>
      </c>
      <c r="W1524" s="97">
        <f>+MATCH(PROVEEDORES[[#This Row],[año facturado]],Retenciones!$1:$1,0)</f>
        <v>4</v>
      </c>
      <c r="X1524" s="98">
        <f>+VLOOKUP(PROVEEDORES[[#This Row],[ID RETENCION]],Retenciones!$A$1:$O$25,PROVEEDORES[[#This Row],[indicador de columna]],FALSE)</f>
        <v>0</v>
      </c>
      <c r="Y1524" s="99">
        <f>+VLOOKUP(PROVEEDORES[[#This Row],[ID RETENCION]],Retenciones!$A$1:$O$25,2,FALSE)</f>
        <v>0</v>
      </c>
      <c r="Z1524" s="125" t="b">
        <f>OR(COUNTIF(PROVEEDORES[[#This Row],[PROVEEDOR]],"*"&amp;'Palabra no opera'!$A$2&amp;"*"))</f>
        <v>0</v>
      </c>
    </row>
    <row r="1525" spans="1:26" ht="22.2" customHeight="1" x14ac:dyDescent="0.3">
      <c r="A1525" s="66" t="str">
        <f>+IF(PROVEEDORES[[#This Row],[FECHA DE PAGO]]=PROVEEDORES[[#This Row],[FECHA DE FACTURACIÓN]],"DE CONTADO","CRÉDITO")</f>
        <v>CRÉDITO</v>
      </c>
      <c r="B1525" s="38" t="str">
        <f>+IF((PROVEEDORES[[#This Row],[FECHA DE PAGO]]-PROVEEDORES[[#This Row],[FECHA DE FACTURACIÓN]])&gt;PROVEEDORES[[#This Row],[PLAZO Días]],"PAGO VENCIDO")</f>
        <v>PAGO VENCIDO</v>
      </c>
      <c r="C1525" s="20">
        <f>+VLOOKUP(PROVEEDORES[[#This Row],[PROVEEDOR]],TERCEROS_INFO[#All],2,FALSE)</f>
        <v>30</v>
      </c>
      <c r="D1525" s="25">
        <f>+SUMIFS(PROVEEDORES[Total],PROVEEDORES[PROVEEDOR],PROVEEDORES[[#This Row],[PROVEEDOR]],PROVEEDORES[FECHA DE PAGO],"")</f>
        <v>1354000</v>
      </c>
      <c r="E1525" s="25"/>
      <c r="F152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25" s="161">
        <v>44272</v>
      </c>
      <c r="H1525" s="26" t="s">
        <v>699</v>
      </c>
      <c r="I1525" s="161">
        <v>44186</v>
      </c>
      <c r="J1525" s="35">
        <v>320277</v>
      </c>
      <c r="K1525" s="21">
        <v>2087500</v>
      </c>
      <c r="L1525" s="21"/>
      <c r="M1525" s="22">
        <f>(PROVEEDORES[[#This Row],[SUBTOTAL]]-PROVEEDORES[[#This Row],[descuento sobre subtotal]])*VLOOKUP(PROVEEDORES[[#This Row],[PROVEEDOR]],TERCEROS_INFO[#All],3,FALSE)</f>
        <v>0</v>
      </c>
      <c r="N1525" s="23"/>
      <c r="O1525" s="22">
        <f>+PROVEEDORES[[#This Row],[Descuento sobre subtotal %]]*(PROVEEDORES[[#This Row],[SUBTOTAL]]-PROVEEDORES[[#This Row],[descuento sobre subtotal]])</f>
        <v>0</v>
      </c>
      <c r="P1525" s="83">
        <f>+IF(PROVEEDORES[[#This Row],[SUBTOTAL]]&lt;PROVEEDORES[[#This Row],[base retencion]],0,PROVEEDORES[[#This Row],[retención aplicada]])</f>
        <v>0</v>
      </c>
      <c r="Q1525" s="22">
        <f>+PROVEEDORES[[#This Row],[Rete Fuente %]]*(PROVEEDORES[[#This Row],[SUBTOTAL]]-PROVEEDORES[[#This Row],[descuento sobre subtotal]])</f>
        <v>0</v>
      </c>
      <c r="R1525" s="21">
        <f>+PROVEEDORES[[#This Row],[SUBTOTAL]]+PROVEEDORES[[#This Row],[IVA 19%]]-PROVEEDORES[[#This Row],[descuento sobre subtotal]]-PROVEEDORES[[#This Row],[Descuento sobre subtotal $2]]-PROVEEDORES[[#This Row],[Rete Fuente $]]</f>
        <v>2087500</v>
      </c>
      <c r="S15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5" s="68">
        <f ca="1">IF(PROVEEDORES[[#This Row],[FECHA DE PAGO]]=0,TODAY()-PROVEEDORES[[#This Row],[FECHA DE FACTURACIÓN]]-PROVEEDORES[[#This Row],[PLAZO Días]],0)</f>
        <v>0</v>
      </c>
      <c r="U1525" s="96">
        <f>+VLOOKUP(PROVEEDORES[[#This Row],[PROVEEDOR]],Terceros!$A:$D,4,FALSE)</f>
        <v>0</v>
      </c>
      <c r="V1525" s="97">
        <f>+YEAR(PROVEEDORES[[#This Row],[FECHA DE FACTURACIÓN]])</f>
        <v>2020</v>
      </c>
      <c r="W1525" s="97">
        <f>+MATCH(PROVEEDORES[[#This Row],[año facturado]],Retenciones!$1:$1,0)</f>
        <v>3</v>
      </c>
      <c r="X1525" s="98">
        <f>+VLOOKUP(PROVEEDORES[[#This Row],[ID RETENCION]],Retenciones!$A$1:$O$25,PROVEEDORES[[#This Row],[indicador de columna]],FALSE)</f>
        <v>0</v>
      </c>
      <c r="Y1525" s="99">
        <f>+VLOOKUP(PROVEEDORES[[#This Row],[ID RETENCION]],Retenciones!$A$1:$O$25,2,FALSE)</f>
        <v>0</v>
      </c>
      <c r="Z1525" s="125" t="b">
        <f>OR(COUNTIF(PROVEEDORES[[#This Row],[PROVEEDOR]],"*"&amp;'Palabra no opera'!$A$2&amp;"*"))</f>
        <v>0</v>
      </c>
    </row>
    <row r="1526" spans="1:26" ht="22.2" customHeight="1" x14ac:dyDescent="0.3">
      <c r="A1526" s="66" t="str">
        <f>+IF(PROVEEDORES[[#This Row],[FECHA DE PAGO]]=PROVEEDORES[[#This Row],[FECHA DE FACTURACIÓN]],"DE CONTADO","CRÉDITO")</f>
        <v>CRÉDITO</v>
      </c>
      <c r="B1526" s="38" t="str">
        <f>+IF((PROVEEDORES[[#This Row],[FECHA DE PAGO]]-PROVEEDORES[[#This Row],[FECHA DE FACTURACIÓN]])&gt;PROVEEDORES[[#This Row],[PLAZO Días]],"PAGO VENCIDO")</f>
        <v>PAGO VENCIDO</v>
      </c>
      <c r="C1526" s="20">
        <f>+VLOOKUP(PROVEEDORES[[#This Row],[PROVEEDOR]],TERCEROS_INFO[#All],2,FALSE)</f>
        <v>30</v>
      </c>
      <c r="D1526" s="25">
        <f>+SUMIFS(PROVEEDORES[Total],PROVEEDORES[PROVEEDOR],PROVEEDORES[[#This Row],[PROVEEDOR]],PROVEEDORES[FECHA DE PAGO],"")</f>
        <v>2121000</v>
      </c>
      <c r="E1526" s="25"/>
      <c r="F1526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526" s="161">
        <v>44418</v>
      </c>
      <c r="H1526" s="26" t="s">
        <v>685</v>
      </c>
      <c r="I1526" s="161">
        <v>44378</v>
      </c>
      <c r="J1526" s="35" t="s">
        <v>376</v>
      </c>
      <c r="K1526" s="21">
        <v>2090000</v>
      </c>
      <c r="L1526" s="21"/>
      <c r="M1526" s="22">
        <f>(PROVEEDORES[[#This Row],[SUBTOTAL]]-PROVEEDORES[[#This Row],[descuento sobre subtotal]])*VLOOKUP(PROVEEDORES[[#This Row],[PROVEEDOR]],TERCEROS_INFO[#All],3,FALSE)</f>
        <v>0</v>
      </c>
      <c r="N1526" s="23"/>
      <c r="O1526" s="22">
        <f>+PROVEEDORES[[#This Row],[Descuento sobre subtotal %]]*(PROVEEDORES[[#This Row],[SUBTOTAL]]-PROVEEDORES[[#This Row],[descuento sobre subtotal]])</f>
        <v>0</v>
      </c>
      <c r="P1526" s="83">
        <f>+IF(PROVEEDORES[[#This Row],[SUBTOTAL]]&lt;PROVEEDORES[[#This Row],[base retencion]],0,PROVEEDORES[[#This Row],[retención aplicada]])</f>
        <v>0</v>
      </c>
      <c r="Q1526" s="22">
        <f>+PROVEEDORES[[#This Row],[Rete Fuente %]]*(PROVEEDORES[[#This Row],[SUBTOTAL]]-PROVEEDORES[[#This Row],[descuento sobre subtotal]])</f>
        <v>0</v>
      </c>
      <c r="R1526" s="21">
        <f>+PROVEEDORES[[#This Row],[SUBTOTAL]]+PROVEEDORES[[#This Row],[IVA 19%]]-PROVEEDORES[[#This Row],[descuento sobre subtotal]]-PROVEEDORES[[#This Row],[Descuento sobre subtotal $2]]-PROVEEDORES[[#This Row],[Rete Fuente $]]</f>
        <v>2090000</v>
      </c>
      <c r="S15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6" s="68">
        <f ca="1">IF(PROVEEDORES[[#This Row],[FECHA DE PAGO]]=0,TODAY()-PROVEEDORES[[#This Row],[FECHA DE FACTURACIÓN]]-PROVEEDORES[[#This Row],[PLAZO Días]],0)</f>
        <v>0</v>
      </c>
      <c r="U1526" s="96">
        <f>+VLOOKUP(PROVEEDORES[[#This Row],[PROVEEDOR]],Terceros!$A:$D,4,FALSE)</f>
        <v>0</v>
      </c>
      <c r="V1526" s="97">
        <f>+YEAR(PROVEEDORES[[#This Row],[FECHA DE FACTURACIÓN]])</f>
        <v>2021</v>
      </c>
      <c r="W1526" s="97">
        <f>+MATCH(PROVEEDORES[[#This Row],[año facturado]],Retenciones!$1:$1,0)</f>
        <v>4</v>
      </c>
      <c r="X1526" s="98">
        <f>+VLOOKUP(PROVEEDORES[[#This Row],[ID RETENCION]],Retenciones!$A$1:$O$25,PROVEEDORES[[#This Row],[indicador de columna]],FALSE)</f>
        <v>0</v>
      </c>
      <c r="Y1526" s="99">
        <f>+VLOOKUP(PROVEEDORES[[#This Row],[ID RETENCION]],Retenciones!$A$1:$O$25,2,FALSE)</f>
        <v>0</v>
      </c>
      <c r="Z1526" s="125" t="b">
        <f>OR(COUNTIF(PROVEEDORES[[#This Row],[PROVEEDOR]],"*"&amp;'Palabra no opera'!$A$2&amp;"*"))</f>
        <v>0</v>
      </c>
    </row>
    <row r="1527" spans="1:26" ht="22.2" customHeight="1" x14ac:dyDescent="0.3">
      <c r="A1527" s="66" t="str">
        <f>+IF(PROVEEDORES[[#This Row],[FECHA DE PAGO]]=PROVEEDORES[[#This Row],[FECHA DE FACTURACIÓN]],"DE CONTADO","CRÉDITO")</f>
        <v>CRÉDITO</v>
      </c>
      <c r="B1527" s="38" t="str">
        <f>+IF((PROVEEDORES[[#This Row],[FECHA DE PAGO]]-PROVEEDORES[[#This Row],[FECHA DE FACTURACIÓN]])&gt;PROVEEDORES[[#This Row],[PLAZO Días]],"PAGO VENCIDO")</f>
        <v>PAGO VENCIDO</v>
      </c>
      <c r="C1527" s="20">
        <f>+VLOOKUP(PROVEEDORES[[#This Row],[PROVEEDOR]],TERCEROS_INFO[#All],2,FALSE)</f>
        <v>30</v>
      </c>
      <c r="D1527" s="25">
        <f>+SUMIFS(PROVEEDORES[Total],PROVEEDORES[PROVEEDOR],PROVEEDORES[[#This Row],[PROVEEDOR]],PROVEEDORES[FECHA DE PAGO],"")</f>
        <v>0</v>
      </c>
      <c r="E1527" s="25"/>
      <c r="F152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27" s="161">
        <v>44348</v>
      </c>
      <c r="H1527" s="26" t="s">
        <v>1637</v>
      </c>
      <c r="I1527" s="161">
        <v>44307</v>
      </c>
      <c r="J1527" s="35">
        <v>20716</v>
      </c>
      <c r="K1527" s="21">
        <v>1928928</v>
      </c>
      <c r="L1527" s="21">
        <v>133188</v>
      </c>
      <c r="M1527" s="22">
        <f>(PROVEEDORES[[#This Row],[SUBTOTAL]]-PROVEEDORES[[#This Row],[descuento sobre subtotal]])*VLOOKUP(PROVEEDORES[[#This Row],[PROVEEDOR]],TERCEROS_INFO[#All],3,FALSE)</f>
        <v>341190.6</v>
      </c>
      <c r="N1527" s="23"/>
      <c r="O1527" s="22">
        <f>+PROVEEDORES[[#This Row],[Descuento sobre subtotal %]]*(PROVEEDORES[[#This Row],[SUBTOTAL]]-PROVEEDORES[[#This Row],[descuento sobre subtotal]])</f>
        <v>0</v>
      </c>
      <c r="P1527" s="83">
        <f>+IF(PROVEEDORES[[#This Row],[SUBTOTAL]]&lt;PROVEEDORES[[#This Row],[base retencion]],0,PROVEEDORES[[#This Row],[retención aplicada]])</f>
        <v>2.5000000000000001E-2</v>
      </c>
      <c r="Q1527" s="22">
        <f>+PROVEEDORES[[#This Row],[Rete Fuente %]]*(PROVEEDORES[[#This Row],[SUBTOTAL]]-PROVEEDORES[[#This Row],[descuento sobre subtotal]])</f>
        <v>44893.5</v>
      </c>
      <c r="R1527" s="21">
        <f>+PROVEEDORES[[#This Row],[SUBTOTAL]]+PROVEEDORES[[#This Row],[IVA 19%]]-PROVEEDORES[[#This Row],[descuento sobre subtotal]]-PROVEEDORES[[#This Row],[Descuento sobre subtotal $2]]-PROVEEDORES[[#This Row],[Rete Fuente $]]</f>
        <v>2092037.1</v>
      </c>
      <c r="S15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7" s="68">
        <f ca="1">IF(PROVEEDORES[[#This Row],[FECHA DE PAGO]]=0,TODAY()-PROVEEDORES[[#This Row],[FECHA DE FACTURACIÓN]]-PROVEEDORES[[#This Row],[PLAZO Días]],0)</f>
        <v>0</v>
      </c>
      <c r="U1527" s="96" t="str">
        <f>+VLOOKUP(PROVEEDORES[[#This Row],[PROVEEDOR]],Terceros!$A:$D,4,FALSE)</f>
        <v>2,5% con base</v>
      </c>
      <c r="V1527" s="97">
        <f>+YEAR(PROVEEDORES[[#This Row],[FECHA DE FACTURACIÓN]])</f>
        <v>2021</v>
      </c>
      <c r="W1527" s="97">
        <f>+MATCH(PROVEEDORES[[#This Row],[año facturado]],Retenciones!$1:$1,0)</f>
        <v>4</v>
      </c>
      <c r="X1527" s="98">
        <f>+VLOOKUP(PROVEEDORES[[#This Row],[ID RETENCION]],Retenciones!$A$1:$O$25,PROVEEDORES[[#This Row],[indicador de columna]],FALSE)</f>
        <v>980000</v>
      </c>
      <c r="Y1527" s="99">
        <f>+VLOOKUP(PROVEEDORES[[#This Row],[ID RETENCION]],Retenciones!$A$1:$O$25,2,FALSE)</f>
        <v>2.5000000000000001E-2</v>
      </c>
      <c r="Z1527" s="125" t="b">
        <f>OR(COUNTIF(PROVEEDORES[[#This Row],[PROVEEDOR]],"*"&amp;'Palabra no opera'!$A$2&amp;"*"))</f>
        <v>0</v>
      </c>
    </row>
    <row r="1528" spans="1:26" ht="22.2" customHeight="1" x14ac:dyDescent="0.3">
      <c r="A1528" s="66" t="str">
        <f>+IF(PROVEEDORES[[#This Row],[FECHA DE PAGO]]=PROVEEDORES[[#This Row],[FECHA DE FACTURACIÓN]],"DE CONTADO","CRÉDITO")</f>
        <v>CRÉDITO</v>
      </c>
      <c r="B1528" s="38" t="b">
        <f>+IF((PROVEEDORES[[#This Row],[FECHA DE PAGO]]-PROVEEDORES[[#This Row],[FECHA DE FACTURACIÓN]])&gt;PROVEEDORES[[#This Row],[PLAZO Días]],"PAGO VENCIDO")</f>
        <v>0</v>
      </c>
      <c r="C1528" s="20">
        <f>+VLOOKUP(PROVEEDORES[[#This Row],[PROVEEDOR]],TERCEROS_INFO[#All],2,FALSE)</f>
        <v>30</v>
      </c>
      <c r="D1528" s="25">
        <f>+SUMIFS(PROVEEDORES[Total],PROVEEDORES[PROVEEDOR],PROVEEDORES[[#This Row],[PROVEEDOR]],PROVEEDORES[FECHA DE PAGO],"")</f>
        <v>0</v>
      </c>
      <c r="E1528" s="25"/>
      <c r="F1528" s="58" t="str">
        <f>+VLOOKUP(PROVEEDORES[[#This Row],[PROVEEDOR]],
                       Terceros!$A:$F,
                       5,
                       FALSE)</f>
        <v/>
      </c>
      <c r="G1528" s="161">
        <v>44391</v>
      </c>
      <c r="H1528" s="26" t="s">
        <v>638</v>
      </c>
      <c r="I1528" s="161">
        <v>44390</v>
      </c>
      <c r="J1528" s="35" t="s">
        <v>1268</v>
      </c>
      <c r="K1528" s="21">
        <v>2097000</v>
      </c>
      <c r="L1528" s="21"/>
      <c r="M1528" s="22">
        <f>(PROVEEDORES[[#This Row],[SUBTOTAL]]-PROVEEDORES[[#This Row],[descuento sobre subtotal]])*VLOOKUP(PROVEEDORES[[#This Row],[PROVEEDOR]],TERCEROS_INFO[#All],3,FALSE)</f>
        <v>0</v>
      </c>
      <c r="N1528" s="23"/>
      <c r="O1528" s="22">
        <f>+PROVEEDORES[[#This Row],[Descuento sobre subtotal %]]*(PROVEEDORES[[#This Row],[SUBTOTAL]]-PROVEEDORES[[#This Row],[descuento sobre subtotal]])</f>
        <v>0</v>
      </c>
      <c r="P1528" s="83">
        <f>+IF(PROVEEDORES[[#This Row],[SUBTOTAL]]&lt;PROVEEDORES[[#This Row],[base retencion]],0,PROVEEDORES[[#This Row],[retención aplicada]])</f>
        <v>0</v>
      </c>
      <c r="Q1528" s="22">
        <f>+PROVEEDORES[[#This Row],[Rete Fuente %]]*(PROVEEDORES[[#This Row],[SUBTOTAL]]-PROVEEDORES[[#This Row],[descuento sobre subtotal]])</f>
        <v>0</v>
      </c>
      <c r="R1528" s="21">
        <f>+PROVEEDORES[[#This Row],[SUBTOTAL]]+PROVEEDORES[[#This Row],[IVA 19%]]-PROVEEDORES[[#This Row],[descuento sobre subtotal]]-PROVEEDORES[[#This Row],[Descuento sobre subtotal $2]]-PROVEEDORES[[#This Row],[Rete Fuente $]]</f>
        <v>2097000</v>
      </c>
      <c r="S15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8" s="68">
        <f ca="1">IF(PROVEEDORES[[#This Row],[FECHA DE PAGO]]=0,TODAY()-PROVEEDORES[[#This Row],[FECHA DE FACTURACIÓN]]-PROVEEDORES[[#This Row],[PLAZO Días]],0)</f>
        <v>0</v>
      </c>
      <c r="U1528" s="96">
        <f>+VLOOKUP(PROVEEDORES[[#This Row],[PROVEEDOR]],Terceros!$A:$D,4,FALSE)</f>
        <v>0</v>
      </c>
      <c r="V1528" s="97">
        <f>+YEAR(PROVEEDORES[[#This Row],[FECHA DE FACTURACIÓN]])</f>
        <v>2021</v>
      </c>
      <c r="W1528" s="97">
        <f>+MATCH(PROVEEDORES[[#This Row],[año facturado]],Retenciones!$1:$1,0)</f>
        <v>4</v>
      </c>
      <c r="X1528" s="98">
        <f>+VLOOKUP(PROVEEDORES[[#This Row],[ID RETENCION]],Retenciones!$A$1:$O$25,PROVEEDORES[[#This Row],[indicador de columna]],FALSE)</f>
        <v>0</v>
      </c>
      <c r="Y1528" s="99">
        <f>+VLOOKUP(PROVEEDORES[[#This Row],[ID RETENCION]],Retenciones!$A$1:$O$25,2,FALSE)</f>
        <v>0</v>
      </c>
      <c r="Z1528" s="125" t="b">
        <f>OR(COUNTIF(PROVEEDORES[[#This Row],[PROVEEDOR]],"*"&amp;'Palabra no opera'!$A$2&amp;"*"))</f>
        <v>0</v>
      </c>
    </row>
    <row r="1529" spans="1:26" ht="22.2" customHeight="1" x14ac:dyDescent="0.3">
      <c r="A1529" s="66" t="str">
        <f>+IF(PROVEEDORES[[#This Row],[FECHA DE PAGO]]=PROVEEDORES[[#This Row],[FECHA DE FACTURACIÓN]],"DE CONTADO","CRÉDITO")</f>
        <v>DE CONTADO</v>
      </c>
      <c r="B1529" s="38" t="b">
        <f>+IF((PROVEEDORES[[#This Row],[FECHA DE PAGO]]-PROVEEDORES[[#This Row],[FECHA DE FACTURACIÓN]])&gt;PROVEEDORES[[#This Row],[PLAZO Días]],"PAGO VENCIDO")</f>
        <v>0</v>
      </c>
      <c r="C1529" s="20">
        <f>+VLOOKUP(PROVEEDORES[[#This Row],[PROVEEDOR]],TERCEROS_INFO[#All],2,FALSE)</f>
        <v>30</v>
      </c>
      <c r="D1529" s="25">
        <f>+SUMIFS(PROVEEDORES[Total],PROVEEDORES[PROVEEDOR],PROVEEDORES[[#This Row],[PROVEEDOR]],PROVEEDORES[FECHA DE PAGO],"")</f>
        <v>0</v>
      </c>
      <c r="E1529" s="25"/>
      <c r="F1529" s="58" t="str">
        <f>+VLOOKUP(PROVEEDORES[[#This Row],[PROVEEDOR]],
                       Terceros!$A:$F,
                       5,
                       FALSE)</f>
        <v/>
      </c>
      <c r="G1529" s="161">
        <v>44547</v>
      </c>
      <c r="H1529" s="26" t="s">
        <v>673</v>
      </c>
      <c r="I1529" s="161">
        <v>44547</v>
      </c>
      <c r="J1529" s="35"/>
      <c r="K1529" s="21">
        <v>2100000</v>
      </c>
      <c r="L1529" s="21"/>
      <c r="M1529" s="22">
        <f>(PROVEEDORES[[#This Row],[SUBTOTAL]]-PROVEEDORES[[#This Row],[descuento sobre subtotal]])*VLOOKUP(PROVEEDORES[[#This Row],[PROVEEDOR]],TERCEROS_INFO[#All],3,FALSE)</f>
        <v>0</v>
      </c>
      <c r="N1529" s="23"/>
      <c r="O1529" s="22">
        <f>+PROVEEDORES[[#This Row],[Descuento sobre subtotal %]]*(PROVEEDORES[[#This Row],[SUBTOTAL]]-PROVEEDORES[[#This Row],[descuento sobre subtotal]])</f>
        <v>0</v>
      </c>
      <c r="P1529" s="83">
        <f>+IF(PROVEEDORES[[#This Row],[SUBTOTAL]]&lt;PROVEEDORES[[#This Row],[base retencion]],0,PROVEEDORES[[#This Row],[retención aplicada]])</f>
        <v>0</v>
      </c>
      <c r="Q1529" s="22">
        <f>+PROVEEDORES[[#This Row],[Rete Fuente %]]*(PROVEEDORES[[#This Row],[SUBTOTAL]]-PROVEEDORES[[#This Row],[descuento sobre subtotal]])</f>
        <v>0</v>
      </c>
      <c r="R1529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15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9" s="68">
        <f ca="1">IF(PROVEEDORES[[#This Row],[FECHA DE PAGO]]=0,TODAY()-PROVEEDORES[[#This Row],[FECHA DE FACTURACIÓN]]-PROVEEDORES[[#This Row],[PLAZO Días]],0)</f>
        <v>0</v>
      </c>
      <c r="U1529" s="96">
        <f>+VLOOKUP(PROVEEDORES[[#This Row],[PROVEEDOR]],Terceros!$A:$D,4,FALSE)</f>
        <v>0</v>
      </c>
      <c r="V1529" s="97">
        <f>+YEAR(PROVEEDORES[[#This Row],[FECHA DE FACTURACIÓN]])</f>
        <v>2021</v>
      </c>
      <c r="W1529" s="97">
        <f>+MATCH(PROVEEDORES[[#This Row],[año facturado]],Retenciones!$1:$1,0)</f>
        <v>4</v>
      </c>
      <c r="X1529" s="98">
        <f>+VLOOKUP(PROVEEDORES[[#This Row],[ID RETENCION]],Retenciones!$A$1:$O$25,PROVEEDORES[[#This Row],[indicador de columna]],FALSE)</f>
        <v>0</v>
      </c>
      <c r="Y1529" s="99">
        <f>+VLOOKUP(PROVEEDORES[[#This Row],[ID RETENCION]],Retenciones!$A$1:$O$25,2,FALSE)</f>
        <v>0</v>
      </c>
      <c r="Z1529" s="125" t="b">
        <f>OR(COUNTIF(PROVEEDORES[[#This Row],[PROVEEDOR]],"*"&amp;'Palabra no opera'!$A$2&amp;"*"))</f>
        <v>0</v>
      </c>
    </row>
    <row r="1530" spans="1:26" ht="22.2" customHeight="1" x14ac:dyDescent="0.3">
      <c r="A1530" s="221" t="str">
        <f>+IF(PROVEEDORES[[#This Row],[FECHA DE PAGO]]=PROVEEDORES[[#This Row],[FECHA DE FACTURACIÓN]],"DE CONTADO","CRÉDITO")</f>
        <v>CRÉDITO</v>
      </c>
      <c r="B1530" s="38" t="str">
        <f>+IF((PROVEEDORES[[#This Row],[FECHA DE PAGO]]-PROVEEDORES[[#This Row],[FECHA DE FACTURACIÓN]])&gt;PROVEEDORES[[#This Row],[PLAZO Días]],"PAGO VENCIDO")</f>
        <v>PAGO VENCIDO</v>
      </c>
      <c r="C1530" s="20">
        <f>+VLOOKUP(PROVEEDORES[[#This Row],[PROVEEDOR]],TERCEROS_INFO[#All],2,FALSE)</f>
        <v>30</v>
      </c>
      <c r="D1530" s="25">
        <f>+SUMIFS(PROVEEDORES[Total],PROVEEDORES[PROVEEDOR],PROVEEDORES[[#This Row],[PROVEEDOR]],PROVEEDORES[FECHA DE PAGO],"")</f>
        <v>3236000</v>
      </c>
      <c r="E1530" s="25"/>
      <c r="F153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30" s="161">
        <v>44841</v>
      </c>
      <c r="H1530" s="26" t="s">
        <v>677</v>
      </c>
      <c r="I1530" s="161">
        <v>44800</v>
      </c>
      <c r="J1530" s="35" t="s">
        <v>1695</v>
      </c>
      <c r="K1530" s="21">
        <v>2100000</v>
      </c>
      <c r="L1530" s="21"/>
      <c r="M1530" s="22">
        <f>(PROVEEDORES[[#This Row],[SUBTOTAL]]-PROVEEDORES[[#This Row],[descuento sobre subtotal]])*VLOOKUP(PROVEEDORES[[#This Row],[PROVEEDOR]],TERCEROS_INFO[#All],3,FALSE)</f>
        <v>0</v>
      </c>
      <c r="N1530" s="23"/>
      <c r="O1530" s="22">
        <f>+PROVEEDORES[[#This Row],[Descuento sobre subtotal %]]*(PROVEEDORES[[#This Row],[SUBTOTAL]]-PROVEEDORES[[#This Row],[descuento sobre subtotal]])</f>
        <v>0</v>
      </c>
      <c r="P1530" s="83">
        <f>+IF(PROVEEDORES[[#This Row],[SUBTOTAL]]&lt;PROVEEDORES[[#This Row],[base retencion]],0,PROVEEDORES[[#This Row],[retención aplicada]])</f>
        <v>0</v>
      </c>
      <c r="Q1530" s="22">
        <f>+PROVEEDORES[[#This Row],[Rete Fuente %]]*(PROVEEDORES[[#This Row],[SUBTOTAL]]-PROVEEDORES[[#This Row],[descuento sobre subtotal]])</f>
        <v>0</v>
      </c>
      <c r="R1530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1530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0" s="68">
        <f ca="1">IF(PROVEEDORES[[#This Row],[FECHA DE PAGO]]=0,TODAY()-PROVEEDORES[[#This Row],[FECHA DE FACTURACIÓN]]-PROVEEDORES[[#This Row],[PLAZO Días]],0)</f>
        <v>0</v>
      </c>
      <c r="U1530" s="113">
        <f>+VLOOKUP(PROVEEDORES[[#This Row],[PROVEEDOR]],Terceros!$A:$D,4,FALSE)</f>
        <v>0</v>
      </c>
      <c r="V1530" s="114">
        <f>+YEAR(PROVEEDORES[[#This Row],[FECHA DE FACTURACIÓN]])</f>
        <v>2022</v>
      </c>
      <c r="W1530" s="114">
        <f>+MATCH(PROVEEDORES[[#This Row],[año facturado]],Retenciones!$1:$1,0)</f>
        <v>5</v>
      </c>
      <c r="X1530" s="115">
        <f>+VLOOKUP(PROVEEDORES[[#This Row],[ID RETENCION]],Retenciones!$A$1:$O$25,PROVEEDORES[[#This Row],[indicador de columna]],FALSE)</f>
        <v>0</v>
      </c>
      <c r="Y1530" s="116">
        <f>+VLOOKUP(PROVEEDORES[[#This Row],[ID RETENCION]],Retenciones!$A$1:$O$25,2,FALSE)</f>
        <v>0</v>
      </c>
      <c r="Z1530" s="125" t="b">
        <f>OR(COUNTIF(PROVEEDORES[[#This Row],[PROVEEDOR]],"*"&amp;'Palabra no opera'!$A$2&amp;"*"))</f>
        <v>0</v>
      </c>
    </row>
    <row r="1531" spans="1:26" ht="22.2" customHeight="1" x14ac:dyDescent="0.3">
      <c r="A1531" s="66" t="str">
        <f>+IF(PROVEEDORES[[#This Row],[FECHA DE PAGO]]=PROVEEDORES[[#This Row],[FECHA DE FACTURACIÓN]],"DE CONTADO","CRÉDITO")</f>
        <v>CRÉDITO</v>
      </c>
      <c r="B1531" s="38" t="str">
        <f>+IF((PROVEEDORES[[#This Row],[FECHA DE PAGO]]-PROVEEDORES[[#This Row],[FECHA DE FACTURACIÓN]])&gt;PROVEEDORES[[#This Row],[PLAZO Días]],"PAGO VENCIDO")</f>
        <v>PAGO VENCIDO</v>
      </c>
      <c r="C1531" s="20">
        <f>+VLOOKUP(PROVEEDORES[[#This Row],[PROVEEDOR]],TERCEROS_INFO[#All],2,FALSE)</f>
        <v>30</v>
      </c>
      <c r="D1531" s="25">
        <f>+SUMIFS(PROVEEDORES[Total],PROVEEDORES[PROVEEDOR],PROVEEDORES[[#This Row],[PROVEEDOR]],PROVEEDORES[FECHA DE PAGO],"")</f>
        <v>2223034.2400000002</v>
      </c>
      <c r="E1531" s="25"/>
      <c r="F153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31" s="161">
        <v>44552</v>
      </c>
      <c r="H1531" s="26" t="s">
        <v>216</v>
      </c>
      <c r="I1531" s="161">
        <v>44494</v>
      </c>
      <c r="J1531" s="35">
        <v>410</v>
      </c>
      <c r="K1531" s="21">
        <v>1807563</v>
      </c>
      <c r="L1531" s="21"/>
      <c r="M1531" s="22">
        <f>(PROVEEDORES[[#This Row],[SUBTOTAL]]-PROVEEDORES[[#This Row],[descuento sobre subtotal]])*VLOOKUP(PROVEEDORES[[#This Row],[PROVEEDOR]],TERCEROS_INFO[#All],3,FALSE)</f>
        <v>343436.97000000003</v>
      </c>
      <c r="N1531" s="23"/>
      <c r="O1531" s="22">
        <f>+PROVEEDORES[[#This Row],[Descuento sobre subtotal %]]*(PROVEEDORES[[#This Row],[SUBTOTAL]]-PROVEEDORES[[#This Row],[descuento sobre subtotal]])</f>
        <v>0</v>
      </c>
      <c r="P1531" s="83">
        <f>+IF(PROVEEDORES[[#This Row],[SUBTOTAL]]&lt;PROVEEDORES[[#This Row],[base retencion]],0,PROVEEDORES[[#This Row],[retención aplicada]])</f>
        <v>2.5000000000000001E-2</v>
      </c>
      <c r="Q1531" s="22">
        <f>+PROVEEDORES[[#This Row],[Rete Fuente %]]*(PROVEEDORES[[#This Row],[SUBTOTAL]]-PROVEEDORES[[#This Row],[descuento sobre subtotal]])</f>
        <v>45189.075000000004</v>
      </c>
      <c r="R1531" s="21">
        <f>+PROVEEDORES[[#This Row],[SUBTOTAL]]+PROVEEDORES[[#This Row],[IVA 19%]]-PROVEEDORES[[#This Row],[descuento sobre subtotal]]-PROVEEDORES[[#This Row],[Descuento sobre subtotal $2]]-PROVEEDORES[[#This Row],[Rete Fuente $]]</f>
        <v>2105810.895</v>
      </c>
      <c r="S15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1" s="68">
        <f ca="1">IF(PROVEEDORES[[#This Row],[FECHA DE PAGO]]=0,TODAY()-PROVEEDORES[[#This Row],[FECHA DE FACTURACIÓN]]-PROVEEDORES[[#This Row],[PLAZO Días]],0)</f>
        <v>0</v>
      </c>
      <c r="U1531" s="96" t="str">
        <f>+VLOOKUP(PROVEEDORES[[#This Row],[PROVEEDOR]],Terceros!$A:$D,4,FALSE)</f>
        <v>2,5% con base</v>
      </c>
      <c r="V1531" s="97">
        <f>+YEAR(PROVEEDORES[[#This Row],[FECHA DE FACTURACIÓN]])</f>
        <v>2021</v>
      </c>
      <c r="W1531" s="97">
        <f>+MATCH(PROVEEDORES[[#This Row],[año facturado]],Retenciones!$1:$1,0)</f>
        <v>4</v>
      </c>
      <c r="X1531" s="98">
        <f>+VLOOKUP(PROVEEDORES[[#This Row],[ID RETENCION]],Retenciones!$A$1:$O$25,PROVEEDORES[[#This Row],[indicador de columna]],FALSE)</f>
        <v>980000</v>
      </c>
      <c r="Y1531" s="99">
        <f>+VLOOKUP(PROVEEDORES[[#This Row],[ID RETENCION]],Retenciones!$A$1:$O$25,2,FALSE)</f>
        <v>2.5000000000000001E-2</v>
      </c>
      <c r="Z1531" s="125" t="b">
        <f>OR(COUNTIF(PROVEEDORES[[#This Row],[PROVEEDOR]],"*"&amp;'Palabra no opera'!$A$2&amp;"*"))</f>
        <v>0</v>
      </c>
    </row>
    <row r="1532" spans="1:26" ht="22.2" customHeight="1" x14ac:dyDescent="0.3">
      <c r="A1532" s="66" t="str">
        <f>+IF(PROVEEDORES[[#This Row],[FECHA DE PAGO]]=PROVEEDORES[[#This Row],[FECHA DE FACTURACIÓN]],"DE CONTADO","CRÉDITO")</f>
        <v>CRÉDITO</v>
      </c>
      <c r="B1532" s="38" t="str">
        <f>+IF((PROVEEDORES[[#This Row],[FECHA DE PAGO]]-PROVEEDORES[[#This Row],[FECHA DE FACTURACIÓN]])&gt;PROVEEDORES[[#This Row],[PLAZO Días]],"PAGO VENCIDO")</f>
        <v>PAGO VENCIDO</v>
      </c>
      <c r="C1532" s="20">
        <f>+VLOOKUP(PROVEEDORES[[#This Row],[PROVEEDOR]],TERCEROS_INFO[#All],2,FALSE)</f>
        <v>30</v>
      </c>
      <c r="D1532" s="25">
        <f>+SUMIFS(PROVEEDORES[Total],PROVEEDORES[PROVEEDOR],PROVEEDORES[[#This Row],[PROVEEDOR]],PROVEEDORES[FECHA DE PAGO],"")</f>
        <v>0</v>
      </c>
      <c r="E1532" s="25"/>
      <c r="F1532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532" s="161">
        <v>44396</v>
      </c>
      <c r="H1532" s="26" t="s">
        <v>131</v>
      </c>
      <c r="I1532" s="161">
        <v>44347</v>
      </c>
      <c r="J1532" s="35">
        <v>34</v>
      </c>
      <c r="K1532" s="21">
        <v>2163521</v>
      </c>
      <c r="L1532" s="21">
        <v>349434</v>
      </c>
      <c r="M1532" s="22">
        <f>(PROVEEDORES[[#This Row],[SUBTOTAL]]-PROVEEDORES[[#This Row],[descuento sobre subtotal]])*VLOOKUP(PROVEEDORES[[#This Row],[PROVEEDOR]],TERCEROS_INFO[#All],3,FALSE)</f>
        <v>344676.53</v>
      </c>
      <c r="N1532" s="23"/>
      <c r="O1532" s="22">
        <f>+PROVEEDORES[[#This Row],[Descuento sobre subtotal %]]*(PROVEEDORES[[#This Row],[SUBTOTAL]]-PROVEEDORES[[#This Row],[descuento sobre subtotal]])</f>
        <v>0</v>
      </c>
      <c r="P1532" s="83">
        <f>+IF(PROVEEDORES[[#This Row],[SUBTOTAL]]&lt;PROVEEDORES[[#This Row],[base retencion]],0,PROVEEDORES[[#This Row],[retención aplicada]])</f>
        <v>2.5000000000000001E-2</v>
      </c>
      <c r="Q1532" s="22">
        <f>+PROVEEDORES[[#This Row],[Rete Fuente %]]*(PROVEEDORES[[#This Row],[SUBTOTAL]]-PROVEEDORES[[#This Row],[descuento sobre subtotal]])</f>
        <v>45352.175000000003</v>
      </c>
      <c r="R1532" s="21">
        <f>+PROVEEDORES[[#This Row],[SUBTOTAL]]+PROVEEDORES[[#This Row],[IVA 19%]]-PROVEEDORES[[#This Row],[descuento sobre subtotal]]-PROVEEDORES[[#This Row],[Descuento sobre subtotal $2]]-PROVEEDORES[[#This Row],[Rete Fuente $]]</f>
        <v>2113411.3550000004</v>
      </c>
      <c r="S15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2" s="68">
        <f ca="1">IF(PROVEEDORES[[#This Row],[FECHA DE PAGO]]=0,TODAY()-PROVEEDORES[[#This Row],[FECHA DE FACTURACIÓN]]-PROVEEDORES[[#This Row],[PLAZO Días]],0)</f>
        <v>0</v>
      </c>
      <c r="U1532" s="96" t="str">
        <f>+VLOOKUP(PROVEEDORES[[#This Row],[PROVEEDOR]],Terceros!$A:$D,4,FALSE)</f>
        <v>2,5% con base</v>
      </c>
      <c r="V1532" s="97">
        <f>+YEAR(PROVEEDORES[[#This Row],[FECHA DE FACTURACIÓN]])</f>
        <v>2021</v>
      </c>
      <c r="W1532" s="97">
        <f>+MATCH(PROVEEDORES[[#This Row],[año facturado]],Retenciones!$1:$1,0)</f>
        <v>4</v>
      </c>
      <c r="X1532" s="98">
        <f>+VLOOKUP(PROVEEDORES[[#This Row],[ID RETENCION]],Retenciones!$A$1:$O$25,PROVEEDORES[[#This Row],[indicador de columna]],FALSE)</f>
        <v>980000</v>
      </c>
      <c r="Y1532" s="99">
        <f>+VLOOKUP(PROVEEDORES[[#This Row],[ID RETENCION]],Retenciones!$A$1:$O$25,2,FALSE)</f>
        <v>2.5000000000000001E-2</v>
      </c>
      <c r="Z1532" s="125" t="b">
        <f>OR(COUNTIF(PROVEEDORES[[#This Row],[PROVEEDOR]],"*"&amp;'Palabra no opera'!$A$2&amp;"*"))</f>
        <v>0</v>
      </c>
    </row>
    <row r="1533" spans="1:26" ht="22.2" customHeight="1" x14ac:dyDescent="0.3">
      <c r="A1533" s="66" t="str">
        <f>+IF(PROVEEDORES[[#This Row],[FECHA DE PAGO]]=PROVEEDORES[[#This Row],[FECHA DE FACTURACIÓN]],"DE CONTADO","CRÉDITO")</f>
        <v>CRÉDITO</v>
      </c>
      <c r="B1533" s="38" t="b">
        <f>+IF((PROVEEDORES[[#This Row],[FECHA DE PAGO]]-PROVEEDORES[[#This Row],[FECHA DE FACTURACIÓN]])&gt;PROVEEDORES[[#This Row],[PLAZO Días]],"PAGO VENCIDO")</f>
        <v>0</v>
      </c>
      <c r="C1533" s="20">
        <f>+VLOOKUP(PROVEEDORES[[#This Row],[PROVEEDOR]],TERCEROS_INFO[#All],2,FALSE)</f>
        <v>45</v>
      </c>
      <c r="D1533" s="25">
        <f>+SUMIFS(PROVEEDORES[Total],PROVEEDORES[PROVEEDOR],PROVEEDORES[[#This Row],[PROVEEDOR]],PROVEEDORES[FECHA DE PAGO],"")</f>
        <v>31891814.359999999</v>
      </c>
      <c r="E1533" s="25"/>
      <c r="F153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33" s="161">
        <v>44243</v>
      </c>
      <c r="H1533" s="26" t="s">
        <v>19</v>
      </c>
      <c r="I1533" s="161">
        <v>44214</v>
      </c>
      <c r="J1533" s="35" t="s">
        <v>136</v>
      </c>
      <c r="K1533" s="21">
        <v>1778130</v>
      </c>
      <c r="L1533" s="21"/>
      <c r="M1533" s="22">
        <f>(PROVEEDORES[[#This Row],[SUBTOTAL]]-PROVEEDORES[[#This Row],[descuento sobre subtotal]])*VLOOKUP(PROVEEDORES[[#This Row],[PROVEEDOR]],TERCEROS_INFO[#All],3,FALSE)</f>
        <v>337844.7</v>
      </c>
      <c r="N1533" s="23"/>
      <c r="O1533" s="22">
        <f>+PROVEEDORES[[#This Row],[Descuento sobre subtotal %]]*(PROVEEDORES[[#This Row],[SUBTOTAL]]-PROVEEDORES[[#This Row],[descuento sobre subtotal]])</f>
        <v>0</v>
      </c>
      <c r="P1533" s="83">
        <f>+IF(PROVEEDORES[[#This Row],[SUBTOTAL]]&lt;PROVEEDORES[[#This Row],[base retencion]],0,PROVEEDORES[[#This Row],[retención aplicada]])</f>
        <v>0</v>
      </c>
      <c r="Q1533" s="22">
        <f>+PROVEEDORES[[#This Row],[Rete Fuente %]]*(PROVEEDORES[[#This Row],[SUBTOTAL]]-PROVEEDORES[[#This Row],[descuento sobre subtotal]])</f>
        <v>0</v>
      </c>
      <c r="R1533" s="21">
        <f>+PROVEEDORES[[#This Row],[SUBTOTAL]]+PROVEEDORES[[#This Row],[IVA 19%]]-PROVEEDORES[[#This Row],[descuento sobre subtotal]]-PROVEEDORES[[#This Row],[Descuento sobre subtotal $2]]-PROVEEDORES[[#This Row],[Rete Fuente $]]</f>
        <v>2115974.7000000002</v>
      </c>
      <c r="S15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3" s="68">
        <f ca="1">IF(PROVEEDORES[[#This Row],[FECHA DE PAGO]]=0,TODAY()-PROVEEDORES[[#This Row],[FECHA DE FACTURACIÓN]]-PROVEEDORES[[#This Row],[PLAZO Días]],0)</f>
        <v>0</v>
      </c>
      <c r="U1533" s="96">
        <f>+VLOOKUP(PROVEEDORES[[#This Row],[PROVEEDOR]],Terceros!$A:$D,4,FALSE)</f>
        <v>0</v>
      </c>
      <c r="V1533" s="97">
        <f>+YEAR(PROVEEDORES[[#This Row],[FECHA DE FACTURACIÓN]])</f>
        <v>2021</v>
      </c>
      <c r="W1533" s="97">
        <f>+MATCH(PROVEEDORES[[#This Row],[año facturado]],Retenciones!$1:$1,0)</f>
        <v>4</v>
      </c>
      <c r="X1533" s="98">
        <f>+VLOOKUP(PROVEEDORES[[#This Row],[ID RETENCION]],Retenciones!$A$1:$O$25,PROVEEDORES[[#This Row],[indicador de columna]],FALSE)</f>
        <v>0</v>
      </c>
      <c r="Y1533" s="99">
        <f>+VLOOKUP(PROVEEDORES[[#This Row],[ID RETENCION]],Retenciones!$A$1:$O$25,2,FALSE)</f>
        <v>0</v>
      </c>
      <c r="Z1533" s="125" t="b">
        <f>OR(COUNTIF(PROVEEDORES[[#This Row],[PROVEEDOR]],"*"&amp;'Palabra no opera'!$A$2&amp;"*"))</f>
        <v>0</v>
      </c>
    </row>
    <row r="1534" spans="1:26" ht="22.2" customHeight="1" x14ac:dyDescent="0.3">
      <c r="A1534" s="66" t="str">
        <f>+IF(PROVEEDORES[[#This Row],[FECHA DE PAGO]]=PROVEEDORES[[#This Row],[FECHA DE FACTURACIÓN]],"DE CONTADO","CRÉDITO")</f>
        <v>CRÉDITO</v>
      </c>
      <c r="B1534" s="38" t="str">
        <f>+IF((PROVEEDORES[[#This Row],[FECHA DE PAGO]]-PROVEEDORES[[#This Row],[FECHA DE FACTURACIÓN]])&gt;PROVEEDORES[[#This Row],[PLAZO Días]],"PAGO VENCIDO")</f>
        <v>PAGO VENCIDO</v>
      </c>
      <c r="C1534" s="20">
        <f>+VLOOKUP(PROVEEDORES[[#This Row],[PROVEEDOR]],TERCEROS_INFO[#All],2,FALSE)</f>
        <v>30</v>
      </c>
      <c r="D1534" s="25">
        <f>+SUMIFS(PROVEEDORES[Total],PROVEEDORES[PROVEEDOR],PROVEEDORES[[#This Row],[PROVEEDOR]],PROVEEDORES[FECHA DE PAGO],"")</f>
        <v>0</v>
      </c>
      <c r="E1534" s="25"/>
      <c r="F153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34" s="161">
        <v>44498</v>
      </c>
      <c r="H1534" s="26" t="s">
        <v>1637</v>
      </c>
      <c r="I1534" s="161">
        <v>44434</v>
      </c>
      <c r="J1534" s="35">
        <v>22248</v>
      </c>
      <c r="K1534" s="21">
        <v>1912672</v>
      </c>
      <c r="L1534" s="21">
        <v>88792</v>
      </c>
      <c r="M1534" s="22">
        <f>(PROVEEDORES[[#This Row],[SUBTOTAL]]-PROVEEDORES[[#This Row],[descuento sobre subtotal]])*VLOOKUP(PROVEEDORES[[#This Row],[PROVEEDOR]],TERCEROS_INFO[#All],3,FALSE)</f>
        <v>346537.2</v>
      </c>
      <c r="N1534" s="23"/>
      <c r="O1534" s="22">
        <f>+PROVEEDORES[[#This Row],[Descuento sobre subtotal %]]*(PROVEEDORES[[#This Row],[SUBTOTAL]]-PROVEEDORES[[#This Row],[descuento sobre subtotal]])</f>
        <v>0</v>
      </c>
      <c r="P1534" s="83">
        <f>+IF(PROVEEDORES[[#This Row],[SUBTOTAL]]&lt;PROVEEDORES[[#This Row],[base retencion]],0,PROVEEDORES[[#This Row],[retención aplicada]])</f>
        <v>2.5000000000000001E-2</v>
      </c>
      <c r="Q1534" s="22">
        <f>+PROVEEDORES[[#This Row],[Rete Fuente %]]*(PROVEEDORES[[#This Row],[SUBTOTAL]]-PROVEEDORES[[#This Row],[descuento sobre subtotal]])</f>
        <v>45597</v>
      </c>
      <c r="R1534" s="21">
        <f>+PROVEEDORES[[#This Row],[SUBTOTAL]]+PROVEEDORES[[#This Row],[IVA 19%]]-PROVEEDORES[[#This Row],[descuento sobre subtotal]]-PROVEEDORES[[#This Row],[Descuento sobre subtotal $2]]-PROVEEDORES[[#This Row],[Rete Fuente $]]</f>
        <v>2124820.2000000002</v>
      </c>
      <c r="S15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4" s="68">
        <f ca="1">IF(PROVEEDORES[[#This Row],[FECHA DE PAGO]]=0,TODAY()-PROVEEDORES[[#This Row],[FECHA DE FACTURACIÓN]]-PROVEEDORES[[#This Row],[PLAZO Días]],0)</f>
        <v>0</v>
      </c>
      <c r="U1534" s="96" t="str">
        <f>+VLOOKUP(PROVEEDORES[[#This Row],[PROVEEDOR]],Terceros!$A:$D,4,FALSE)</f>
        <v>2,5% con base</v>
      </c>
      <c r="V1534" s="97">
        <f>+YEAR(PROVEEDORES[[#This Row],[FECHA DE FACTURACIÓN]])</f>
        <v>2021</v>
      </c>
      <c r="W1534" s="97">
        <f>+MATCH(PROVEEDORES[[#This Row],[año facturado]],Retenciones!$1:$1,0)</f>
        <v>4</v>
      </c>
      <c r="X1534" s="98">
        <f>+VLOOKUP(PROVEEDORES[[#This Row],[ID RETENCION]],Retenciones!$A$1:$O$25,PROVEEDORES[[#This Row],[indicador de columna]],FALSE)</f>
        <v>980000</v>
      </c>
      <c r="Y1534" s="99">
        <f>+VLOOKUP(PROVEEDORES[[#This Row],[ID RETENCION]],Retenciones!$A$1:$O$25,2,FALSE)</f>
        <v>2.5000000000000001E-2</v>
      </c>
      <c r="Z1534" s="125" t="b">
        <f>OR(COUNTIF(PROVEEDORES[[#This Row],[PROVEEDOR]],"*"&amp;'Palabra no opera'!$A$2&amp;"*"))</f>
        <v>0</v>
      </c>
    </row>
    <row r="1535" spans="1:26" ht="22.2" customHeight="1" x14ac:dyDescent="0.3">
      <c r="A1535" s="66" t="str">
        <f>+IF(PROVEEDORES[[#This Row],[FECHA DE PAGO]]=PROVEEDORES[[#This Row],[FECHA DE FACTURACIÓN]],"DE CONTADO","CRÉDITO")</f>
        <v>CRÉDITO</v>
      </c>
      <c r="B1535" s="38" t="b">
        <f>+IF((PROVEEDORES[[#This Row],[FECHA DE PAGO]]-PROVEEDORES[[#This Row],[FECHA DE FACTURACIÓN]])&gt;PROVEEDORES[[#This Row],[PLAZO Días]],"PAGO VENCIDO")</f>
        <v>0</v>
      </c>
      <c r="C1535" s="20">
        <f>+VLOOKUP(PROVEEDORES[[#This Row],[PROVEEDOR]],TERCEROS_INFO[#All],2,FALSE)</f>
        <v>30</v>
      </c>
      <c r="D1535" s="25">
        <f>+SUMIFS(PROVEEDORES[Total],PROVEEDORES[PROVEEDOR],PROVEEDORES[[#This Row],[PROVEEDOR]],PROVEEDORES[FECHA DE PAGO],"")</f>
        <v>0</v>
      </c>
      <c r="E1535" s="25"/>
      <c r="F1535" s="58">
        <f>+VLOOKUP(PROVEEDORES[[#This Row],[PROVEEDOR]],
                       Terceros!$A:$F,
                       5,
                       FALSE)</f>
        <v>0</v>
      </c>
      <c r="G1535" s="161">
        <v>44537</v>
      </c>
      <c r="H1535" s="26" t="s">
        <v>908</v>
      </c>
      <c r="I1535" s="161">
        <v>44523</v>
      </c>
      <c r="J1535" s="35" t="s">
        <v>1346</v>
      </c>
      <c r="K1535" s="21">
        <v>1848739.49</v>
      </c>
      <c r="L1535" s="21"/>
      <c r="M1535" s="22">
        <f>(PROVEEDORES[[#This Row],[SUBTOTAL]]-PROVEEDORES[[#This Row],[descuento sobre subtotal]])*VLOOKUP(PROVEEDORES[[#This Row],[PROVEEDOR]],TERCEROS_INFO[#All],3,FALSE)</f>
        <v>351260.50310000003</v>
      </c>
      <c r="N1535" s="23"/>
      <c r="O1535" s="22">
        <f>+PROVEEDORES[[#This Row],[Descuento sobre subtotal %]]*(PROVEEDORES[[#This Row],[SUBTOTAL]]-PROVEEDORES[[#This Row],[descuento sobre subtotal]])</f>
        <v>0</v>
      </c>
      <c r="P1535" s="83">
        <f>+IF(PROVEEDORES[[#This Row],[SUBTOTAL]]&lt;PROVEEDORES[[#This Row],[base retencion]],0,PROVEEDORES[[#This Row],[retención aplicada]])</f>
        <v>0.04</v>
      </c>
      <c r="Q1535" s="22">
        <f>+PROVEEDORES[[#This Row],[Rete Fuente %]]*(PROVEEDORES[[#This Row],[SUBTOTAL]]-PROVEEDORES[[#This Row],[descuento sobre subtotal]])</f>
        <v>73949.579599999997</v>
      </c>
      <c r="R1535" s="21">
        <f>+PROVEEDORES[[#This Row],[SUBTOTAL]]+PROVEEDORES[[#This Row],[IVA 19%]]-PROVEEDORES[[#This Row],[descuento sobre subtotal]]-PROVEEDORES[[#This Row],[Descuento sobre subtotal $2]]-PROVEEDORES[[#This Row],[Rete Fuente $]]</f>
        <v>2126050.4135000003</v>
      </c>
      <c r="S15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5" s="68">
        <f ca="1">IF(PROVEEDORES[[#This Row],[FECHA DE PAGO]]=0,TODAY()-PROVEEDORES[[#This Row],[FECHA DE FACTURACIÓN]]-PROVEEDORES[[#This Row],[PLAZO Días]],0)</f>
        <v>0</v>
      </c>
      <c r="U1535" s="96" t="str">
        <f>+VLOOKUP(PROVEEDORES[[#This Row],[PROVEEDOR]],Terceros!$A:$D,4,FALSE)</f>
        <v>4% sin base</v>
      </c>
      <c r="V1535" s="97">
        <f>+YEAR(PROVEEDORES[[#This Row],[FECHA DE FACTURACIÓN]])</f>
        <v>2021</v>
      </c>
      <c r="W1535" s="97">
        <f>+MATCH(PROVEEDORES[[#This Row],[año facturado]],Retenciones!$1:$1,0)</f>
        <v>4</v>
      </c>
      <c r="X1535" s="98">
        <f>+VLOOKUP(PROVEEDORES[[#This Row],[ID RETENCION]],Retenciones!$A$1:$O$25,PROVEEDORES[[#This Row],[indicador de columna]],FALSE)</f>
        <v>0</v>
      </c>
      <c r="Y1535" s="99">
        <f>+VLOOKUP(PROVEEDORES[[#This Row],[ID RETENCION]],Retenciones!$A$1:$O$25,2,FALSE)</f>
        <v>0.04</v>
      </c>
      <c r="Z1535" s="125" t="b">
        <f>OR(COUNTIF(PROVEEDORES[[#This Row],[PROVEEDOR]],"*"&amp;'Palabra no opera'!$A$2&amp;"*"))</f>
        <v>1</v>
      </c>
    </row>
    <row r="1536" spans="1:26" ht="22.2" customHeight="1" x14ac:dyDescent="0.3">
      <c r="A1536" s="66" t="str">
        <f>+IF(PROVEEDORES[[#This Row],[FECHA DE PAGO]]=PROVEEDORES[[#This Row],[FECHA DE FACTURACIÓN]],"DE CONTADO","CRÉDITO")</f>
        <v>CRÉDITO</v>
      </c>
      <c r="B1536" s="38" t="str">
        <f>+IF((PROVEEDORES[[#This Row],[FECHA DE PAGO]]-PROVEEDORES[[#This Row],[FECHA DE FACTURACIÓN]])&gt;PROVEEDORES[[#This Row],[PLAZO Días]],"PAGO VENCIDO")</f>
        <v>PAGO VENCIDO</v>
      </c>
      <c r="C1536" s="20">
        <f>+VLOOKUP(PROVEEDORES[[#This Row],[PROVEEDOR]],TERCEROS_INFO[#All],2,FALSE)</f>
        <v>30</v>
      </c>
      <c r="D1536" s="25">
        <f>+SUMIFS(PROVEEDORES[Total],PROVEEDORES[PROVEEDOR],PROVEEDORES[[#This Row],[PROVEEDOR]],PROVEEDORES[FECHA DE PAGO],"")</f>
        <v>23124164.219999999</v>
      </c>
      <c r="E1536" s="25"/>
      <c r="F153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36" s="161">
        <v>44271</v>
      </c>
      <c r="H1536" s="26" t="s">
        <v>18</v>
      </c>
      <c r="I1536" s="161">
        <v>44238</v>
      </c>
      <c r="J1536" s="35">
        <v>1034429</v>
      </c>
      <c r="K1536" s="21">
        <v>1825646.4</v>
      </c>
      <c r="L1536" s="21"/>
      <c r="M1536" s="22">
        <f>(PROVEEDORES[[#This Row],[SUBTOTAL]]-PROVEEDORES[[#This Row],[descuento sobre subtotal]])*VLOOKUP(PROVEEDORES[[#This Row],[PROVEEDOR]],TERCEROS_INFO[#All],3,FALSE)</f>
        <v>346872.81599999999</v>
      </c>
      <c r="N1536" s="23"/>
      <c r="O1536" s="22">
        <f>+PROVEEDORES[[#This Row],[Descuento sobre subtotal %]]*(PROVEEDORES[[#This Row],[SUBTOTAL]]-PROVEEDORES[[#This Row],[descuento sobre subtotal]])</f>
        <v>0</v>
      </c>
      <c r="P1536" s="83">
        <f>+IF(PROVEEDORES[[#This Row],[SUBTOTAL]]&lt;PROVEEDORES[[#This Row],[base retencion]],0,PROVEEDORES[[#This Row],[retención aplicada]])</f>
        <v>2.5000000000000001E-2</v>
      </c>
      <c r="Q1536" s="22">
        <f>+PROVEEDORES[[#This Row],[Rete Fuente %]]*(PROVEEDORES[[#This Row],[SUBTOTAL]]-PROVEEDORES[[#This Row],[descuento sobre subtotal]])</f>
        <v>45641.16</v>
      </c>
      <c r="R1536" s="21">
        <f>+PROVEEDORES[[#This Row],[SUBTOTAL]]+PROVEEDORES[[#This Row],[IVA 19%]]-PROVEEDORES[[#This Row],[descuento sobre subtotal]]-PROVEEDORES[[#This Row],[Descuento sobre subtotal $2]]-PROVEEDORES[[#This Row],[Rete Fuente $]]</f>
        <v>2126878.0559999999</v>
      </c>
      <c r="S15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6" s="68">
        <f ca="1">IF(PROVEEDORES[[#This Row],[FECHA DE PAGO]]=0,TODAY()-PROVEEDORES[[#This Row],[FECHA DE FACTURACIÓN]]-PROVEEDORES[[#This Row],[PLAZO Días]],0)</f>
        <v>0</v>
      </c>
      <c r="U1536" s="96" t="str">
        <f>+VLOOKUP(PROVEEDORES[[#This Row],[PROVEEDOR]],Terceros!$A:$D,4,FALSE)</f>
        <v>2,5% con base</v>
      </c>
      <c r="V1536" s="97">
        <f>+YEAR(PROVEEDORES[[#This Row],[FECHA DE FACTURACIÓN]])</f>
        <v>2021</v>
      </c>
      <c r="W1536" s="97">
        <f>+MATCH(PROVEEDORES[[#This Row],[año facturado]],Retenciones!$1:$1,0)</f>
        <v>4</v>
      </c>
      <c r="X1536" s="98">
        <f>+VLOOKUP(PROVEEDORES[[#This Row],[ID RETENCION]],Retenciones!$A$1:$O$25,PROVEEDORES[[#This Row],[indicador de columna]],FALSE)</f>
        <v>980000</v>
      </c>
      <c r="Y1536" s="99">
        <f>+VLOOKUP(PROVEEDORES[[#This Row],[ID RETENCION]],Retenciones!$A$1:$O$25,2,FALSE)</f>
        <v>2.5000000000000001E-2</v>
      </c>
      <c r="Z1536" s="125" t="b">
        <f>OR(COUNTIF(PROVEEDORES[[#This Row],[PROVEEDOR]],"*"&amp;'Palabra no opera'!$A$2&amp;"*"))</f>
        <v>0</v>
      </c>
    </row>
    <row r="1537" spans="1:26" ht="22.2" customHeight="1" x14ac:dyDescent="0.3">
      <c r="A1537" s="159" t="str">
        <f>+IF(PROVEEDORES[[#This Row],[FECHA DE PAGO]]=PROVEEDORES[[#This Row],[FECHA DE FACTURACIÓN]],"DE CONTADO","CRÉDITO")</f>
        <v>CRÉDITO</v>
      </c>
      <c r="B1537" s="38" t="str">
        <f>+IF((PROVEEDORES[[#This Row],[FECHA DE PAGO]]-PROVEEDORES[[#This Row],[FECHA DE FACTURACIÓN]])&gt;PROVEEDORES[[#This Row],[PLAZO Días]],"PAGO VENCIDO")</f>
        <v>PAGO VENCIDO</v>
      </c>
      <c r="C1537" s="20">
        <f>+VLOOKUP(PROVEEDORES[[#This Row],[PROVEEDOR]],TERCEROS_INFO[#All],2,FALSE)</f>
        <v>45</v>
      </c>
      <c r="D1537" s="25">
        <f>+SUMIFS(PROVEEDORES[Total],PROVEEDORES[PROVEEDOR],PROVEEDORES[[#This Row],[PROVEEDOR]],PROVEEDORES[FECHA DE PAGO],"")</f>
        <v>2604910</v>
      </c>
      <c r="E1537" s="25"/>
      <c r="F153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37" s="161">
        <v>44776</v>
      </c>
      <c r="H1537" s="26" t="s">
        <v>10</v>
      </c>
      <c r="I1537" s="161">
        <v>44727</v>
      </c>
      <c r="J1537" s="35" t="s">
        <v>1042</v>
      </c>
      <c r="K1537" s="21">
        <v>1790000</v>
      </c>
      <c r="L1537" s="21"/>
      <c r="M1537" s="22">
        <f>(PROVEEDORES[[#This Row],[SUBTOTAL]]-PROVEEDORES[[#This Row],[descuento sobre subtotal]])*VLOOKUP(PROVEEDORES[[#This Row],[PROVEEDOR]],TERCEROS_INFO[#All],3,FALSE)</f>
        <v>340100</v>
      </c>
      <c r="N1537" s="23"/>
      <c r="O1537" s="22">
        <f>+PROVEEDORES[[#This Row],[Descuento sobre subtotal %]]*(PROVEEDORES[[#This Row],[SUBTOTAL]]-PROVEEDORES[[#This Row],[descuento sobre subtotal]])</f>
        <v>0</v>
      </c>
      <c r="P1537" s="83">
        <f>+IF(PROVEEDORES[[#This Row],[SUBTOTAL]]&lt;PROVEEDORES[[#This Row],[base retencion]],0,PROVEEDORES[[#This Row],[retención aplicada]])</f>
        <v>0</v>
      </c>
      <c r="Q1537" s="22">
        <f>+PROVEEDORES[[#This Row],[Rete Fuente %]]*(PROVEEDORES[[#This Row],[SUBTOTAL]]-PROVEEDORES[[#This Row],[descuento sobre subtotal]])</f>
        <v>0</v>
      </c>
      <c r="R1537" s="21">
        <f>+PROVEEDORES[[#This Row],[SUBTOTAL]]+PROVEEDORES[[#This Row],[IVA 19%]]-PROVEEDORES[[#This Row],[descuento sobre subtotal]]-PROVEEDORES[[#This Row],[Descuento sobre subtotal $2]]-PROVEEDORES[[#This Row],[Rete Fuente $]]</f>
        <v>2130100</v>
      </c>
      <c r="S153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7" s="68">
        <f ca="1">IF(PROVEEDORES[[#This Row],[FECHA DE PAGO]]=0,TODAY()-PROVEEDORES[[#This Row],[FECHA DE FACTURACIÓN]]-PROVEEDORES[[#This Row],[PLAZO Días]],0)</f>
        <v>0</v>
      </c>
      <c r="U1537" s="113">
        <f>+VLOOKUP(PROVEEDORES[[#This Row],[PROVEEDOR]],Terceros!$A:$D,4,FALSE)</f>
        <v>0</v>
      </c>
      <c r="V1537" s="114">
        <f>+YEAR(PROVEEDORES[[#This Row],[FECHA DE FACTURACIÓN]])</f>
        <v>2022</v>
      </c>
      <c r="W1537" s="114">
        <f>+MATCH(PROVEEDORES[[#This Row],[año facturado]],Retenciones!$1:$1,0)</f>
        <v>5</v>
      </c>
      <c r="X1537" s="115">
        <f>+VLOOKUP(PROVEEDORES[[#This Row],[ID RETENCION]],Retenciones!$A$1:$O$25,PROVEEDORES[[#This Row],[indicador de columna]],FALSE)</f>
        <v>0</v>
      </c>
      <c r="Y1537" s="116">
        <f>+VLOOKUP(PROVEEDORES[[#This Row],[ID RETENCION]],Retenciones!$A$1:$O$25,2,FALSE)</f>
        <v>0</v>
      </c>
      <c r="Z1537" s="125" t="b">
        <f>OR(COUNTIF(PROVEEDORES[[#This Row],[PROVEEDOR]],"*"&amp;'Palabra no opera'!$A$2&amp;"*"))</f>
        <v>0</v>
      </c>
    </row>
    <row r="1538" spans="1:26" ht="22.2" customHeight="1" x14ac:dyDescent="0.3">
      <c r="A1538" s="159" t="str">
        <f>+IF(PROVEEDORES[[#This Row],[FECHA DE PAGO]]=PROVEEDORES[[#This Row],[FECHA DE FACTURACIÓN]],"DE CONTADO","CRÉDITO")</f>
        <v>CRÉDITO</v>
      </c>
      <c r="B1538" s="38" t="b">
        <f>+IF((PROVEEDORES[[#This Row],[FECHA DE PAGO]]-PROVEEDORES[[#This Row],[FECHA DE FACTURACIÓN]])&gt;PROVEEDORES[[#This Row],[PLAZO Días]],"PAGO VENCIDO")</f>
        <v>0</v>
      </c>
      <c r="C1538" s="20">
        <f>+VLOOKUP(PROVEEDORES[[#This Row],[PROVEEDOR]],TERCEROS_INFO[#All],2,FALSE)</f>
        <v>30</v>
      </c>
      <c r="D1538" s="25">
        <f>+SUMIFS(PROVEEDORES[Total],PROVEEDORES[PROVEEDOR],PROVEEDORES[[#This Row],[PROVEEDOR]],PROVEEDORES[FECHA DE PAGO],"")</f>
        <v>0</v>
      </c>
      <c r="E1538" s="25"/>
      <c r="F1538" s="58" t="str">
        <f>+VLOOKUP(PROVEEDORES[[#This Row],[PROVEEDOR]],
                       Terceros!$A:$F,
                       5,
                       FALSE)</f>
        <v/>
      </c>
      <c r="G1538" s="161">
        <v>44728</v>
      </c>
      <c r="H1538" s="26" t="s">
        <v>53</v>
      </c>
      <c r="I1538" s="161">
        <v>44727</v>
      </c>
      <c r="J1538" s="35">
        <v>291707</v>
      </c>
      <c r="K1538" s="21">
        <v>2134000</v>
      </c>
      <c r="L1538" s="21"/>
      <c r="M1538" s="22">
        <f>(PROVEEDORES[[#This Row],[SUBTOTAL]]-PROVEEDORES[[#This Row],[descuento sobre subtotal]])*VLOOKUP(PROVEEDORES[[#This Row],[PROVEEDOR]],TERCEROS_INFO[#All],3,FALSE)</f>
        <v>0</v>
      </c>
      <c r="N1538" s="23"/>
      <c r="O1538" s="22">
        <f>+PROVEEDORES[[#This Row],[Descuento sobre subtotal %]]*(PROVEEDORES[[#This Row],[SUBTOTAL]]-PROVEEDORES[[#This Row],[descuento sobre subtotal]])</f>
        <v>0</v>
      </c>
      <c r="P1538" s="83">
        <f>+IF(PROVEEDORES[[#This Row],[SUBTOTAL]]&lt;PROVEEDORES[[#This Row],[base retencion]],0,PROVEEDORES[[#This Row],[retención aplicada]])</f>
        <v>0</v>
      </c>
      <c r="Q1538" s="22">
        <f>+PROVEEDORES[[#This Row],[Rete Fuente %]]*(PROVEEDORES[[#This Row],[SUBTOTAL]]-PROVEEDORES[[#This Row],[descuento sobre subtotal]])</f>
        <v>0</v>
      </c>
      <c r="R1538" s="21">
        <f>+PROVEEDORES[[#This Row],[SUBTOTAL]]+PROVEEDORES[[#This Row],[IVA 19%]]-PROVEEDORES[[#This Row],[descuento sobre subtotal]]-PROVEEDORES[[#This Row],[Descuento sobre subtotal $2]]-PROVEEDORES[[#This Row],[Rete Fuente $]]</f>
        <v>2134000</v>
      </c>
      <c r="S1538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8" s="68">
        <f ca="1">IF(PROVEEDORES[[#This Row],[FECHA DE PAGO]]=0,TODAY()-PROVEEDORES[[#This Row],[FECHA DE FACTURACIÓN]]-PROVEEDORES[[#This Row],[PLAZO Días]],0)</f>
        <v>0</v>
      </c>
      <c r="U1538" s="113">
        <f>+VLOOKUP(PROVEEDORES[[#This Row],[PROVEEDOR]],Terceros!$A:$D,4,FALSE)</f>
        <v>0</v>
      </c>
      <c r="V1538" s="114">
        <f>+YEAR(PROVEEDORES[[#This Row],[FECHA DE FACTURACIÓN]])</f>
        <v>2022</v>
      </c>
      <c r="W1538" s="114">
        <f>+MATCH(PROVEEDORES[[#This Row],[año facturado]],Retenciones!$1:$1,0)</f>
        <v>5</v>
      </c>
      <c r="X1538" s="115">
        <f>+VLOOKUP(PROVEEDORES[[#This Row],[ID RETENCION]],Retenciones!$A$1:$O$25,PROVEEDORES[[#This Row],[indicador de columna]],FALSE)</f>
        <v>0</v>
      </c>
      <c r="Y1538" s="116">
        <f>+VLOOKUP(PROVEEDORES[[#This Row],[ID RETENCION]],Retenciones!$A$1:$O$25,2,FALSE)</f>
        <v>0</v>
      </c>
      <c r="Z1538" s="125" t="b">
        <f>OR(COUNTIF(PROVEEDORES[[#This Row],[PROVEEDOR]],"*"&amp;'Palabra no opera'!$A$2&amp;"*"))</f>
        <v>0</v>
      </c>
    </row>
    <row r="1539" spans="1:26" ht="22.2" customHeight="1" x14ac:dyDescent="0.3">
      <c r="A1539" s="66" t="str">
        <f>+IF(PROVEEDORES[[#This Row],[FECHA DE PAGO]]=PROVEEDORES[[#This Row],[FECHA DE FACTURACIÓN]],"DE CONTADO","CRÉDITO")</f>
        <v>CRÉDITO</v>
      </c>
      <c r="B1539" s="38" t="str">
        <f>+IF((PROVEEDORES[[#This Row],[FECHA DE PAGO]]-PROVEEDORES[[#This Row],[FECHA DE FACTURACIÓN]])&gt;PROVEEDORES[[#This Row],[PLAZO Días]],"PAGO VENCIDO")</f>
        <v>PAGO VENCIDO</v>
      </c>
      <c r="C1539" s="20">
        <f>+VLOOKUP(PROVEEDORES[[#This Row],[PROVEEDOR]],TERCEROS_INFO[#All],2,FALSE)</f>
        <v>30</v>
      </c>
      <c r="D1539" s="25">
        <f>+SUMIFS(PROVEEDORES[Total],PROVEEDORES[PROVEEDOR],PROVEEDORES[[#This Row],[PROVEEDOR]],PROVEEDORES[FECHA DE PAGO],"")</f>
        <v>0</v>
      </c>
      <c r="E1539" s="25"/>
      <c r="F153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39" s="161">
        <v>44230</v>
      </c>
      <c r="H1539" s="26" t="s">
        <v>20</v>
      </c>
      <c r="I1539" s="161">
        <v>44188</v>
      </c>
      <c r="J1539" s="35">
        <v>2967</v>
      </c>
      <c r="K1539" s="21">
        <v>1833067</v>
      </c>
      <c r="L1539" s="21"/>
      <c r="M1539" s="22">
        <f>(PROVEEDORES[[#This Row],[SUBTOTAL]]-PROVEEDORES[[#This Row],[descuento sobre subtotal]])*VLOOKUP(PROVEEDORES[[#This Row],[PROVEEDOR]],TERCEROS_INFO[#All],3,FALSE)</f>
        <v>348282.73</v>
      </c>
      <c r="N1539" s="23"/>
      <c r="O1539" s="22">
        <f>+PROVEEDORES[[#This Row],[Descuento sobre subtotal %]]*(PROVEEDORES[[#This Row],[SUBTOTAL]]-PROVEEDORES[[#This Row],[descuento sobre subtotal]])</f>
        <v>0</v>
      </c>
      <c r="P1539" s="83">
        <f>+IF(PROVEEDORES[[#This Row],[SUBTOTAL]]&lt;PROVEEDORES[[#This Row],[base retencion]],0,PROVEEDORES[[#This Row],[retención aplicada]])</f>
        <v>2.5000000000000001E-2</v>
      </c>
      <c r="Q1539" s="22">
        <f>+PROVEEDORES[[#This Row],[Rete Fuente %]]*(PROVEEDORES[[#This Row],[SUBTOTAL]]-PROVEEDORES[[#This Row],[descuento sobre subtotal]])</f>
        <v>45826.675000000003</v>
      </c>
      <c r="R1539" s="21">
        <f>+PROVEEDORES[[#This Row],[SUBTOTAL]]+PROVEEDORES[[#This Row],[IVA 19%]]-PROVEEDORES[[#This Row],[descuento sobre subtotal]]-PROVEEDORES[[#This Row],[Descuento sobre subtotal $2]]-PROVEEDORES[[#This Row],[Rete Fuente $]]</f>
        <v>2135523.0550000002</v>
      </c>
      <c r="S15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9" s="68">
        <f ca="1">IF(PROVEEDORES[[#This Row],[FECHA DE PAGO]]=0,TODAY()-PROVEEDORES[[#This Row],[FECHA DE FACTURACIÓN]]-PROVEEDORES[[#This Row],[PLAZO Días]],0)</f>
        <v>0</v>
      </c>
      <c r="U1539" s="96" t="str">
        <f>+VLOOKUP(PROVEEDORES[[#This Row],[PROVEEDOR]],Terceros!$A:$D,4,FALSE)</f>
        <v>2,5% con base</v>
      </c>
      <c r="V1539" s="97">
        <f>+YEAR(PROVEEDORES[[#This Row],[FECHA DE FACTURACIÓN]])</f>
        <v>2020</v>
      </c>
      <c r="W1539" s="97">
        <f>+MATCH(PROVEEDORES[[#This Row],[año facturado]],Retenciones!$1:$1,0)</f>
        <v>3</v>
      </c>
      <c r="X1539" s="98">
        <f>+VLOOKUP(PROVEEDORES[[#This Row],[ID RETENCION]],Retenciones!$A$1:$O$25,PROVEEDORES[[#This Row],[indicador de columna]],FALSE)</f>
        <v>961000</v>
      </c>
      <c r="Y1539" s="99">
        <f>+VLOOKUP(PROVEEDORES[[#This Row],[ID RETENCION]],Retenciones!$A$1:$O$25,2,FALSE)</f>
        <v>2.5000000000000001E-2</v>
      </c>
      <c r="Z1539" s="125" t="b">
        <f>OR(COUNTIF(PROVEEDORES[[#This Row],[PROVEEDOR]],"*"&amp;'Palabra no opera'!$A$2&amp;"*"))</f>
        <v>0</v>
      </c>
    </row>
    <row r="1540" spans="1:26" ht="22.2" customHeight="1" x14ac:dyDescent="0.3">
      <c r="A1540" s="66" t="str">
        <f>+IF(PROVEEDORES[[#This Row],[FECHA DE PAGO]]=PROVEEDORES[[#This Row],[FECHA DE FACTURACIÓN]],"DE CONTADO","CRÉDITO")</f>
        <v>CRÉDITO</v>
      </c>
      <c r="B1540" s="38" t="str">
        <f>+IF((PROVEEDORES[[#This Row],[FECHA DE PAGO]]-PROVEEDORES[[#This Row],[FECHA DE FACTURACIÓN]])&gt;PROVEEDORES[[#This Row],[PLAZO Días]],"PAGO VENCIDO")</f>
        <v>PAGO VENCIDO</v>
      </c>
      <c r="C1540" s="20">
        <f>+VLOOKUP(PROVEEDORES[[#This Row],[PROVEEDOR]],TERCEROS_INFO[#All],2,FALSE)</f>
        <v>30</v>
      </c>
      <c r="D1540" s="25">
        <f>+SUMIFS(PROVEEDORES[Total],PROVEEDORES[PROVEEDOR],PROVEEDORES[[#This Row],[PROVEEDOR]],PROVEEDORES[FECHA DE PAGO],"")</f>
        <v>23124164.219999999</v>
      </c>
      <c r="E1540" s="25"/>
      <c r="F154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0" s="161">
        <v>44312</v>
      </c>
      <c r="H1540" s="26" t="s">
        <v>18</v>
      </c>
      <c r="I1540" s="161">
        <v>44263</v>
      </c>
      <c r="J1540" s="35">
        <v>1035371</v>
      </c>
      <c r="K1540" s="21">
        <v>1837723.2</v>
      </c>
      <c r="L1540" s="21"/>
      <c r="M1540" s="22">
        <f>(PROVEEDORES[[#This Row],[SUBTOTAL]]-PROVEEDORES[[#This Row],[descuento sobre subtotal]])*VLOOKUP(PROVEEDORES[[#This Row],[PROVEEDOR]],TERCEROS_INFO[#All],3,FALSE)</f>
        <v>349167.408</v>
      </c>
      <c r="N1540" s="23"/>
      <c r="O1540" s="22">
        <f>+PROVEEDORES[[#This Row],[Descuento sobre subtotal %]]*(PROVEEDORES[[#This Row],[SUBTOTAL]]-PROVEEDORES[[#This Row],[descuento sobre subtotal]])</f>
        <v>0</v>
      </c>
      <c r="P1540" s="83">
        <f>+IF(PROVEEDORES[[#This Row],[SUBTOTAL]]&lt;PROVEEDORES[[#This Row],[base retencion]],0,PROVEEDORES[[#This Row],[retención aplicada]])</f>
        <v>2.5000000000000001E-2</v>
      </c>
      <c r="Q1540" s="22">
        <f>+PROVEEDORES[[#This Row],[Rete Fuente %]]*(PROVEEDORES[[#This Row],[SUBTOTAL]]-PROVEEDORES[[#This Row],[descuento sobre subtotal]])</f>
        <v>45943.08</v>
      </c>
      <c r="R1540" s="21">
        <f>+PROVEEDORES[[#This Row],[SUBTOTAL]]+PROVEEDORES[[#This Row],[IVA 19%]]-PROVEEDORES[[#This Row],[descuento sobre subtotal]]-PROVEEDORES[[#This Row],[Descuento sobre subtotal $2]]-PROVEEDORES[[#This Row],[Rete Fuente $]]</f>
        <v>2140947.5279999999</v>
      </c>
      <c r="S15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0" s="68">
        <f ca="1">IF(PROVEEDORES[[#This Row],[FECHA DE PAGO]]=0,TODAY()-PROVEEDORES[[#This Row],[FECHA DE FACTURACIÓN]]-PROVEEDORES[[#This Row],[PLAZO Días]],0)</f>
        <v>0</v>
      </c>
      <c r="U1540" s="96" t="str">
        <f>+VLOOKUP(PROVEEDORES[[#This Row],[PROVEEDOR]],Terceros!$A:$D,4,FALSE)</f>
        <v>2,5% con base</v>
      </c>
      <c r="V1540" s="97">
        <f>+YEAR(PROVEEDORES[[#This Row],[FECHA DE FACTURACIÓN]])</f>
        <v>2021</v>
      </c>
      <c r="W1540" s="97">
        <f>+MATCH(PROVEEDORES[[#This Row],[año facturado]],Retenciones!$1:$1,0)</f>
        <v>4</v>
      </c>
      <c r="X1540" s="98">
        <f>+VLOOKUP(PROVEEDORES[[#This Row],[ID RETENCION]],Retenciones!$A$1:$O$25,PROVEEDORES[[#This Row],[indicador de columna]],FALSE)</f>
        <v>980000</v>
      </c>
      <c r="Y1540" s="99">
        <f>+VLOOKUP(PROVEEDORES[[#This Row],[ID RETENCION]],Retenciones!$A$1:$O$25,2,FALSE)</f>
        <v>2.5000000000000001E-2</v>
      </c>
      <c r="Z1540" s="125" t="b">
        <f>OR(COUNTIF(PROVEEDORES[[#This Row],[PROVEEDOR]],"*"&amp;'Palabra no opera'!$A$2&amp;"*"))</f>
        <v>0</v>
      </c>
    </row>
    <row r="1541" spans="1:26" ht="22.2" customHeight="1" x14ac:dyDescent="0.3">
      <c r="A1541" s="66" t="str">
        <f>+IF(PROVEEDORES[[#This Row],[FECHA DE PAGO]]=PROVEEDORES[[#This Row],[FECHA DE FACTURACIÓN]],"DE CONTADO","CRÉDITO")</f>
        <v>CRÉDITO</v>
      </c>
      <c r="B1541" s="38" t="str">
        <f>+IF((PROVEEDORES[[#This Row],[FECHA DE PAGO]]-PROVEEDORES[[#This Row],[FECHA DE FACTURACIÓN]])&gt;PROVEEDORES[[#This Row],[PLAZO Días]],"PAGO VENCIDO")</f>
        <v>PAGO VENCIDO</v>
      </c>
      <c r="C1541" s="20">
        <f>+VLOOKUP(PROVEEDORES[[#This Row],[PROVEEDOR]],TERCEROS_INFO[#All],2,FALSE)</f>
        <v>30</v>
      </c>
      <c r="D1541" s="25">
        <f>+SUMIFS(PROVEEDORES[Total],PROVEEDORES[PROVEEDOR],PROVEEDORES[[#This Row],[PROVEEDOR]],PROVEEDORES[FECHA DE PAGO],"")</f>
        <v>23124164.219999999</v>
      </c>
      <c r="E1541" s="25"/>
      <c r="F154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1" s="161">
        <v>44452</v>
      </c>
      <c r="H1541" s="26" t="s">
        <v>18</v>
      </c>
      <c r="I1541" s="161">
        <v>44413</v>
      </c>
      <c r="J1541" s="35">
        <v>1041395</v>
      </c>
      <c r="K1541" s="21">
        <v>1837723.2</v>
      </c>
      <c r="L1541" s="21"/>
      <c r="M1541" s="22">
        <f>(PROVEEDORES[[#This Row],[SUBTOTAL]]-PROVEEDORES[[#This Row],[descuento sobre subtotal]])*VLOOKUP(PROVEEDORES[[#This Row],[PROVEEDOR]],TERCEROS_INFO[#All],3,FALSE)</f>
        <v>349167.408</v>
      </c>
      <c r="N1541" s="23"/>
      <c r="O1541" s="22">
        <f>+PROVEEDORES[[#This Row],[Descuento sobre subtotal %]]*(PROVEEDORES[[#This Row],[SUBTOTAL]]-PROVEEDORES[[#This Row],[descuento sobre subtotal]])</f>
        <v>0</v>
      </c>
      <c r="P1541" s="83">
        <f>+IF(PROVEEDORES[[#This Row],[SUBTOTAL]]&lt;PROVEEDORES[[#This Row],[base retencion]],0,PROVEEDORES[[#This Row],[retención aplicada]])</f>
        <v>2.5000000000000001E-2</v>
      </c>
      <c r="Q1541" s="22">
        <f>+PROVEEDORES[[#This Row],[Rete Fuente %]]*(PROVEEDORES[[#This Row],[SUBTOTAL]]-PROVEEDORES[[#This Row],[descuento sobre subtotal]])</f>
        <v>45943.08</v>
      </c>
      <c r="R1541" s="21">
        <f>+PROVEEDORES[[#This Row],[SUBTOTAL]]+PROVEEDORES[[#This Row],[IVA 19%]]-PROVEEDORES[[#This Row],[descuento sobre subtotal]]-PROVEEDORES[[#This Row],[Descuento sobre subtotal $2]]-PROVEEDORES[[#This Row],[Rete Fuente $]]</f>
        <v>2140947.5279999999</v>
      </c>
      <c r="S15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1" s="68">
        <f ca="1">IF(PROVEEDORES[[#This Row],[FECHA DE PAGO]]=0,TODAY()-PROVEEDORES[[#This Row],[FECHA DE FACTURACIÓN]]-PROVEEDORES[[#This Row],[PLAZO Días]],0)</f>
        <v>0</v>
      </c>
      <c r="U1541" s="96" t="str">
        <f>+VLOOKUP(PROVEEDORES[[#This Row],[PROVEEDOR]],Terceros!$A:$D,4,FALSE)</f>
        <v>2,5% con base</v>
      </c>
      <c r="V1541" s="97">
        <f>+YEAR(PROVEEDORES[[#This Row],[FECHA DE FACTURACIÓN]])</f>
        <v>2021</v>
      </c>
      <c r="W1541" s="97">
        <f>+MATCH(PROVEEDORES[[#This Row],[año facturado]],Retenciones!$1:$1,0)</f>
        <v>4</v>
      </c>
      <c r="X1541" s="98">
        <f>+VLOOKUP(PROVEEDORES[[#This Row],[ID RETENCION]],Retenciones!$A$1:$O$25,PROVEEDORES[[#This Row],[indicador de columna]],FALSE)</f>
        <v>980000</v>
      </c>
      <c r="Y1541" s="99">
        <f>+VLOOKUP(PROVEEDORES[[#This Row],[ID RETENCION]],Retenciones!$A$1:$O$25,2,FALSE)</f>
        <v>2.5000000000000001E-2</v>
      </c>
      <c r="Z1541" s="125" t="b">
        <f>OR(COUNTIF(PROVEEDORES[[#This Row],[PROVEEDOR]],"*"&amp;'Palabra no opera'!$A$2&amp;"*"))</f>
        <v>0</v>
      </c>
    </row>
    <row r="1542" spans="1:26" ht="22.2" customHeight="1" x14ac:dyDescent="0.3">
      <c r="A1542" s="159" t="str">
        <f>+IF(PROVEEDORES[[#This Row],[FECHA DE PAGO]]=PROVEEDORES[[#This Row],[FECHA DE FACTURACIÓN]],"DE CONTADO","CRÉDITO")</f>
        <v>CRÉDITO</v>
      </c>
      <c r="B1542" s="38" t="str">
        <f>+IF((PROVEEDORES[[#This Row],[FECHA DE PAGO]]-PROVEEDORES[[#This Row],[FECHA DE FACTURACIÓN]])&gt;PROVEEDORES[[#This Row],[PLAZO Días]],"PAGO VENCIDO")</f>
        <v>PAGO VENCIDO</v>
      </c>
      <c r="C1542" s="20">
        <f>+VLOOKUP(PROVEEDORES[[#This Row],[PROVEEDOR]],TERCEROS_INFO[#All],2,FALSE)</f>
        <v>30</v>
      </c>
      <c r="D1542" s="25">
        <f>+SUMIFS(PROVEEDORES[Total],PROVEEDORES[PROVEEDOR],PROVEEDORES[[#This Row],[PROVEEDOR]],PROVEEDORES[FECHA DE PAGO],"")</f>
        <v>3430770</v>
      </c>
      <c r="E1542" s="25"/>
      <c r="F154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42" s="161">
        <v>44764</v>
      </c>
      <c r="H1542" s="26" t="s">
        <v>1448</v>
      </c>
      <c r="I1542" s="161">
        <v>44728</v>
      </c>
      <c r="J1542" s="35">
        <v>32033</v>
      </c>
      <c r="K1542" s="21">
        <v>1841400</v>
      </c>
      <c r="L1542" s="21"/>
      <c r="M1542" s="22">
        <f>(PROVEEDORES[[#This Row],[SUBTOTAL]]-PROVEEDORES[[#This Row],[descuento sobre subtotal]])*VLOOKUP(PROVEEDORES[[#This Row],[PROVEEDOR]],TERCEROS_INFO[#All],3,FALSE)</f>
        <v>349866</v>
      </c>
      <c r="N1542" s="23"/>
      <c r="O1542" s="22">
        <f>+PROVEEDORES[[#This Row],[Descuento sobre subtotal %]]*(PROVEEDORES[[#This Row],[SUBTOTAL]]-PROVEEDORES[[#This Row],[descuento sobre subtotal]])</f>
        <v>0</v>
      </c>
      <c r="P1542" s="83">
        <v>2.5000000000000001E-2</v>
      </c>
      <c r="Q1542" s="22">
        <f>+PROVEEDORES[[#This Row],[Rete Fuente %]]*(PROVEEDORES[[#This Row],[SUBTOTAL]]-PROVEEDORES[[#This Row],[descuento sobre subtotal]])</f>
        <v>46035</v>
      </c>
      <c r="R1542" s="21">
        <f>+PROVEEDORES[[#This Row],[SUBTOTAL]]+PROVEEDORES[[#This Row],[IVA 19%]]-PROVEEDORES[[#This Row],[descuento sobre subtotal]]-PROVEEDORES[[#This Row],[Descuento sobre subtotal $2]]-PROVEEDORES[[#This Row],[Rete Fuente $]]</f>
        <v>2145231</v>
      </c>
      <c r="S1542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2" s="68">
        <f ca="1">IF(PROVEEDORES[[#This Row],[FECHA DE PAGO]]=0,TODAY()-PROVEEDORES[[#This Row],[FECHA DE FACTURACIÓN]]-PROVEEDORES[[#This Row],[PLAZO Días]],0)</f>
        <v>0</v>
      </c>
      <c r="U1542" s="113">
        <f>+VLOOKUP(PROVEEDORES[[#This Row],[PROVEEDOR]],Terceros!$A:$D,4,FALSE)</f>
        <v>0</v>
      </c>
      <c r="V1542" s="114">
        <f>+YEAR(PROVEEDORES[[#This Row],[FECHA DE FACTURACIÓN]])</f>
        <v>2022</v>
      </c>
      <c r="W1542" s="114">
        <f>+MATCH(PROVEEDORES[[#This Row],[año facturado]],Retenciones!$1:$1,0)</f>
        <v>5</v>
      </c>
      <c r="X1542" s="115">
        <f>+VLOOKUP(PROVEEDORES[[#This Row],[ID RETENCION]],Retenciones!$A$1:$O$25,PROVEEDORES[[#This Row],[indicador de columna]],FALSE)</f>
        <v>0</v>
      </c>
      <c r="Y1542" s="116">
        <f>+VLOOKUP(PROVEEDORES[[#This Row],[ID RETENCION]],Retenciones!$A$1:$O$25,2,FALSE)</f>
        <v>0</v>
      </c>
      <c r="Z1542" s="125" t="b">
        <f>OR(COUNTIF(PROVEEDORES[[#This Row],[PROVEEDOR]],"*"&amp;'Palabra no opera'!$A$2&amp;"*"))</f>
        <v>0</v>
      </c>
    </row>
    <row r="1543" spans="1:26" ht="22.2" customHeight="1" x14ac:dyDescent="0.3">
      <c r="A1543" s="66" t="str">
        <f>+IF(PROVEEDORES[[#This Row],[FECHA DE PAGO]]=PROVEEDORES[[#This Row],[FECHA DE FACTURACIÓN]],"DE CONTADO","CRÉDITO")</f>
        <v>CRÉDITO</v>
      </c>
      <c r="B1543" s="38" t="b">
        <f>+IF((PROVEEDORES[[#This Row],[FECHA DE PAGO]]-PROVEEDORES[[#This Row],[FECHA DE FACTURACIÓN]])&gt;PROVEEDORES[[#This Row],[PLAZO Días]],"PAGO VENCIDO")</f>
        <v>0</v>
      </c>
      <c r="C1543" s="20">
        <f>+VLOOKUP(PROVEEDORES[[#This Row],[PROVEEDOR]],TERCEROS_INFO[#All],2,FALSE)</f>
        <v>30</v>
      </c>
      <c r="D1543" s="25">
        <f>+SUMIFS(PROVEEDORES[Total],PROVEEDORES[PROVEEDOR],PROVEEDORES[[#This Row],[PROVEEDOR]],PROVEEDORES[FECHA DE PAGO],"")</f>
        <v>0</v>
      </c>
      <c r="E1543" s="25"/>
      <c r="F154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543" s="161">
        <v>44341</v>
      </c>
      <c r="H1543" s="26" t="s">
        <v>928</v>
      </c>
      <c r="I1543" s="161">
        <v>44317</v>
      </c>
      <c r="J1543" s="35" t="s">
        <v>583</v>
      </c>
      <c r="K1543" s="21">
        <v>2226666</v>
      </c>
      <c r="L1543" s="21"/>
      <c r="M1543" s="22">
        <f>(PROVEEDORES[[#This Row],[SUBTOTAL]]-PROVEEDORES[[#This Row],[descuento sobre subtotal]])*VLOOKUP(PROVEEDORES[[#This Row],[PROVEEDOR]],TERCEROS_INFO[#All],3,FALSE)</f>
        <v>0</v>
      </c>
      <c r="N1543" s="23"/>
      <c r="O1543" s="22">
        <f>+PROVEEDORES[[#This Row],[Descuento sobre subtotal %]]*(PROVEEDORES[[#This Row],[SUBTOTAL]]-PROVEEDORES[[#This Row],[descuento sobre subtotal]])</f>
        <v>0</v>
      </c>
      <c r="P1543" s="83">
        <f>+IF(PROVEEDORES[[#This Row],[SUBTOTAL]]&lt;PROVEEDORES[[#This Row],[base retencion]],0,PROVEEDORES[[#This Row],[retención aplicada]])</f>
        <v>3.5000000000000003E-2</v>
      </c>
      <c r="Q1543" s="22">
        <f>+PROVEEDORES[[#This Row],[Rete Fuente %]]*(PROVEEDORES[[#This Row],[SUBTOTAL]]-PROVEEDORES[[#This Row],[descuento sobre subtotal]])</f>
        <v>77933.310000000012</v>
      </c>
      <c r="R1543" s="21">
        <f>+PROVEEDORES[[#This Row],[SUBTOTAL]]+PROVEEDORES[[#This Row],[IVA 19%]]-PROVEEDORES[[#This Row],[descuento sobre subtotal]]-PROVEEDORES[[#This Row],[Descuento sobre subtotal $2]]-PROVEEDORES[[#This Row],[Rete Fuente $]]</f>
        <v>2148732.69</v>
      </c>
      <c r="S15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3" s="68">
        <f ca="1">IF(PROVEEDORES[[#This Row],[FECHA DE PAGO]]=0,TODAY()-PROVEEDORES[[#This Row],[FECHA DE FACTURACIÓN]]-PROVEEDORES[[#This Row],[PLAZO Días]],0)</f>
        <v>0</v>
      </c>
      <c r="U1543" s="96" t="str">
        <f>+VLOOKUP(PROVEEDORES[[#This Row],[PROVEEDOR]],Terceros!$A:$D,4,FALSE)</f>
        <v>3,5% sin base</v>
      </c>
      <c r="V1543" s="97">
        <f>+YEAR(PROVEEDORES[[#This Row],[FECHA DE FACTURACIÓN]])</f>
        <v>2021</v>
      </c>
      <c r="W1543" s="97">
        <f>+MATCH(PROVEEDORES[[#This Row],[año facturado]],Retenciones!$1:$1,0)</f>
        <v>4</v>
      </c>
      <c r="X1543" s="98">
        <f>+VLOOKUP(PROVEEDORES[[#This Row],[ID RETENCION]],Retenciones!$A$1:$O$25,PROVEEDORES[[#This Row],[indicador de columna]],FALSE)</f>
        <v>0</v>
      </c>
      <c r="Y1543" s="99">
        <f>+VLOOKUP(PROVEEDORES[[#This Row],[ID RETENCION]],Retenciones!$A$1:$O$25,2,FALSE)</f>
        <v>3.5000000000000003E-2</v>
      </c>
      <c r="Z1543" s="125" t="b">
        <f>OR(COUNTIF(PROVEEDORES[[#This Row],[PROVEEDOR]],"*"&amp;'Palabra no opera'!$A$2&amp;"*"))</f>
        <v>1</v>
      </c>
    </row>
    <row r="1544" spans="1:26" ht="22.2" customHeight="1" x14ac:dyDescent="0.3">
      <c r="A1544" s="66" t="str">
        <f>+IF(PROVEEDORES[[#This Row],[FECHA DE PAGO]]=PROVEEDORES[[#This Row],[FECHA DE FACTURACIÓN]],"DE CONTADO","CRÉDITO")</f>
        <v>CRÉDITO</v>
      </c>
      <c r="B1544" s="38" t="str">
        <f>+IF((PROVEEDORES[[#This Row],[FECHA DE PAGO]]-PROVEEDORES[[#This Row],[FECHA DE FACTURACIÓN]])&gt;PROVEEDORES[[#This Row],[PLAZO Días]],"PAGO VENCIDO")</f>
        <v>PAGO VENCIDO</v>
      </c>
      <c r="C1544" s="20">
        <f>+VLOOKUP(PROVEEDORES[[#This Row],[PROVEEDOR]],TERCEROS_INFO[#All],2,FALSE)</f>
        <v>30</v>
      </c>
      <c r="D1544" s="25">
        <f>+SUMIFS(PROVEEDORES[Total],PROVEEDORES[PROVEEDOR],PROVEEDORES[[#This Row],[PROVEEDOR]],PROVEEDORES[FECHA DE PAGO],"")</f>
        <v>0</v>
      </c>
      <c r="E1544" s="25"/>
      <c r="F1544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44" s="161">
        <v>44552</v>
      </c>
      <c r="H1544" s="26" t="s">
        <v>20</v>
      </c>
      <c r="I1544" s="161">
        <v>44518</v>
      </c>
      <c r="J1544" s="35">
        <v>5616</v>
      </c>
      <c r="K1544" s="21">
        <v>1848336.11</v>
      </c>
      <c r="L1544" s="21"/>
      <c r="M1544" s="22">
        <f>(PROVEEDORES[[#This Row],[SUBTOTAL]]-PROVEEDORES[[#This Row],[descuento sobre subtotal]])*VLOOKUP(PROVEEDORES[[#This Row],[PROVEEDOR]],TERCEROS_INFO[#All],3,FALSE)</f>
        <v>351183.86090000003</v>
      </c>
      <c r="N1544" s="23"/>
      <c r="O1544" s="22">
        <f>+PROVEEDORES[[#This Row],[Descuento sobre subtotal %]]*(PROVEEDORES[[#This Row],[SUBTOTAL]]-PROVEEDORES[[#This Row],[descuento sobre subtotal]])</f>
        <v>0</v>
      </c>
      <c r="P1544" s="83">
        <f>+IF(PROVEEDORES[[#This Row],[SUBTOTAL]]&lt;PROVEEDORES[[#This Row],[base retencion]],0,PROVEEDORES[[#This Row],[retención aplicada]])</f>
        <v>2.5000000000000001E-2</v>
      </c>
      <c r="Q1544" s="22">
        <f>+PROVEEDORES[[#This Row],[Rete Fuente %]]*(PROVEEDORES[[#This Row],[SUBTOTAL]]-PROVEEDORES[[#This Row],[descuento sobre subtotal]])</f>
        <v>46208.402750000008</v>
      </c>
      <c r="R1544" s="21">
        <f>+PROVEEDORES[[#This Row],[SUBTOTAL]]+PROVEEDORES[[#This Row],[IVA 19%]]-PROVEEDORES[[#This Row],[descuento sobre subtotal]]-PROVEEDORES[[#This Row],[Descuento sobre subtotal $2]]-PROVEEDORES[[#This Row],[Rete Fuente $]]</f>
        <v>2153311.5681500002</v>
      </c>
      <c r="S15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4" s="68">
        <f ca="1">IF(PROVEEDORES[[#This Row],[FECHA DE PAGO]]=0,TODAY()-PROVEEDORES[[#This Row],[FECHA DE FACTURACIÓN]]-PROVEEDORES[[#This Row],[PLAZO Días]],0)</f>
        <v>0</v>
      </c>
      <c r="U1544" s="96" t="str">
        <f>+VLOOKUP(PROVEEDORES[[#This Row],[PROVEEDOR]],Terceros!$A:$D,4,FALSE)</f>
        <v>2,5% con base</v>
      </c>
      <c r="V1544" s="97">
        <f>+YEAR(PROVEEDORES[[#This Row],[FECHA DE FACTURACIÓN]])</f>
        <v>2021</v>
      </c>
      <c r="W1544" s="97">
        <f>+MATCH(PROVEEDORES[[#This Row],[año facturado]],Retenciones!$1:$1,0)</f>
        <v>4</v>
      </c>
      <c r="X1544" s="98">
        <f>+VLOOKUP(PROVEEDORES[[#This Row],[ID RETENCION]],Retenciones!$A$1:$O$25,PROVEEDORES[[#This Row],[indicador de columna]],FALSE)</f>
        <v>980000</v>
      </c>
      <c r="Y1544" s="99">
        <f>+VLOOKUP(PROVEEDORES[[#This Row],[ID RETENCION]],Retenciones!$A$1:$O$25,2,FALSE)</f>
        <v>2.5000000000000001E-2</v>
      </c>
      <c r="Z1544" s="125" t="b">
        <f>OR(COUNTIF(PROVEEDORES[[#This Row],[PROVEEDOR]],"*"&amp;'Palabra no opera'!$A$2&amp;"*"))</f>
        <v>0</v>
      </c>
    </row>
    <row r="1545" spans="1:26" ht="22.2" customHeight="1" x14ac:dyDescent="0.3">
      <c r="A1545" s="66" t="str">
        <f>+IF(PROVEEDORES[[#This Row],[FECHA DE PAGO]]=PROVEEDORES[[#This Row],[FECHA DE FACTURACIÓN]],"DE CONTADO","CRÉDITO")</f>
        <v>CRÉDITO</v>
      </c>
      <c r="B1545" s="38" t="str">
        <f>+IF((PROVEEDORES[[#This Row],[FECHA DE PAGO]]-PROVEEDORES[[#This Row],[FECHA DE FACTURACIÓN]])&gt;PROVEEDORES[[#This Row],[PLAZO Días]],"PAGO VENCIDO")</f>
        <v>PAGO VENCIDO</v>
      </c>
      <c r="C1545" s="20">
        <f>+VLOOKUP(PROVEEDORES[[#This Row],[PROVEEDOR]],TERCEROS_INFO[#All],2,FALSE)</f>
        <v>30</v>
      </c>
      <c r="D1545" s="25">
        <f>+SUMIFS(PROVEEDORES[Total],PROVEEDORES[PROVEEDOR],PROVEEDORES[[#This Row],[PROVEEDOR]],PROVEEDORES[FECHA DE PAGO],"")</f>
        <v>23124164.219999999</v>
      </c>
      <c r="E1545" s="25"/>
      <c r="F154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5" s="161">
        <v>44214</v>
      </c>
      <c r="H1545" s="26" t="s">
        <v>18</v>
      </c>
      <c r="I1545" s="161">
        <v>44169</v>
      </c>
      <c r="J1545" s="35">
        <v>1031773</v>
      </c>
      <c r="K1545" s="21">
        <v>1856607.7310924372</v>
      </c>
      <c r="L1545" s="21"/>
      <c r="M1545" s="22">
        <f>(PROVEEDORES[[#This Row],[SUBTOTAL]]-PROVEEDORES[[#This Row],[descuento sobre subtotal]])*VLOOKUP(PROVEEDORES[[#This Row],[PROVEEDOR]],TERCEROS_INFO[#All],3,FALSE)</f>
        <v>352755.46890756307</v>
      </c>
      <c r="N1545" s="23"/>
      <c r="O1545" s="22">
        <f>+PROVEEDORES[[#This Row],[Descuento sobre subtotal %]]*(PROVEEDORES[[#This Row],[SUBTOTAL]]-PROVEEDORES[[#This Row],[descuento sobre subtotal]])</f>
        <v>0</v>
      </c>
      <c r="P1545" s="83">
        <f>+IF(PROVEEDORES[[#This Row],[SUBTOTAL]]&lt;PROVEEDORES[[#This Row],[base retencion]],0,PROVEEDORES[[#This Row],[retención aplicada]])</f>
        <v>2.5000000000000001E-2</v>
      </c>
      <c r="Q1545" s="22">
        <f>+PROVEEDORES[[#This Row],[Rete Fuente %]]*(PROVEEDORES[[#This Row],[SUBTOTAL]]-PROVEEDORES[[#This Row],[descuento sobre subtotal]])</f>
        <v>46415.193277310929</v>
      </c>
      <c r="R1545" s="21">
        <f>+PROVEEDORES[[#This Row],[SUBTOTAL]]+PROVEEDORES[[#This Row],[IVA 19%]]-PROVEEDORES[[#This Row],[descuento sobre subtotal]]-PROVEEDORES[[#This Row],[Descuento sobre subtotal $2]]-PROVEEDORES[[#This Row],[Rete Fuente $]]</f>
        <v>2162948.0067226891</v>
      </c>
      <c r="S15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5" s="68">
        <f ca="1">IF(PROVEEDORES[[#This Row],[FECHA DE PAGO]]=0,TODAY()-PROVEEDORES[[#This Row],[FECHA DE FACTURACIÓN]]-PROVEEDORES[[#This Row],[PLAZO Días]],0)</f>
        <v>0</v>
      </c>
      <c r="U1545" s="96" t="str">
        <f>+VLOOKUP(PROVEEDORES[[#This Row],[PROVEEDOR]],Terceros!$A:$D,4,FALSE)</f>
        <v>2,5% con base</v>
      </c>
      <c r="V1545" s="97">
        <f>+YEAR(PROVEEDORES[[#This Row],[FECHA DE FACTURACIÓN]])</f>
        <v>2020</v>
      </c>
      <c r="W1545" s="97">
        <f>+MATCH(PROVEEDORES[[#This Row],[año facturado]],Retenciones!$1:$1,0)</f>
        <v>3</v>
      </c>
      <c r="X1545" s="98">
        <f>+VLOOKUP(PROVEEDORES[[#This Row],[ID RETENCION]],Retenciones!$A$1:$O$25,PROVEEDORES[[#This Row],[indicador de columna]],FALSE)</f>
        <v>961000</v>
      </c>
      <c r="Y1545" s="99">
        <f>+VLOOKUP(PROVEEDORES[[#This Row],[ID RETENCION]],Retenciones!$A$1:$O$25,2,FALSE)</f>
        <v>2.5000000000000001E-2</v>
      </c>
      <c r="Z1545" s="125" t="b">
        <f>OR(COUNTIF(PROVEEDORES[[#This Row],[PROVEEDOR]],"*"&amp;'Palabra no opera'!$A$2&amp;"*"))</f>
        <v>0</v>
      </c>
    </row>
    <row r="1546" spans="1:26" ht="22.2" customHeight="1" x14ac:dyDescent="0.3">
      <c r="A1546" s="66" t="str">
        <f>+IF(PROVEEDORES[[#This Row],[FECHA DE PAGO]]=PROVEEDORES[[#This Row],[FECHA DE FACTURACIÓN]],"DE CONTADO","CRÉDITO")</f>
        <v>CRÉDITO</v>
      </c>
      <c r="B1546" s="38" t="str">
        <f>+IF((PROVEEDORES[[#This Row],[FECHA DE PAGO]]-PROVEEDORES[[#This Row],[FECHA DE FACTURACIÓN]])&gt;PROVEEDORES[[#This Row],[PLAZO Días]],"PAGO VENCIDO")</f>
        <v>PAGO VENCIDO</v>
      </c>
      <c r="C1546" s="20">
        <f>+VLOOKUP(PROVEEDORES[[#This Row],[PROVEEDOR]],TERCEROS_INFO[#All],2,FALSE)</f>
        <v>30</v>
      </c>
      <c r="D1546" s="25">
        <f>+SUMIFS(PROVEEDORES[Total],PROVEEDORES[PROVEEDOR],PROVEEDORES[[#This Row],[PROVEEDOR]],PROVEEDORES[FECHA DE PAGO],"")</f>
        <v>4712021.58</v>
      </c>
      <c r="E1546" s="25"/>
      <c r="F154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46" s="161">
        <v>44652</v>
      </c>
      <c r="H1546" s="26" t="s">
        <v>17</v>
      </c>
      <c r="I1546" s="161">
        <v>44620</v>
      </c>
      <c r="J1546" s="35">
        <v>1882198</v>
      </c>
      <c r="K1546" s="21">
        <v>1817647</v>
      </c>
      <c r="L1546" s="21"/>
      <c r="M1546" s="22">
        <f>(PROVEEDORES[[#This Row],[SUBTOTAL]]-PROVEEDORES[[#This Row],[descuento sobre subtotal]])*VLOOKUP(PROVEEDORES[[#This Row],[PROVEEDOR]],TERCEROS_INFO[#All],3,FALSE)</f>
        <v>345352.93</v>
      </c>
      <c r="N1546" s="23"/>
      <c r="O1546" s="22">
        <f>+PROVEEDORES[[#This Row],[Descuento sobre subtotal %]]*(PROVEEDORES[[#This Row],[SUBTOTAL]]-PROVEEDORES[[#This Row],[descuento sobre subtotal]])</f>
        <v>0</v>
      </c>
      <c r="P1546" s="83">
        <f>+IF(PROVEEDORES[[#This Row],[SUBTOTAL]]&lt;PROVEEDORES[[#This Row],[base retencion]],0,PROVEEDORES[[#This Row],[retención aplicada]])</f>
        <v>0</v>
      </c>
      <c r="Q1546" s="22">
        <f>+PROVEEDORES[[#This Row],[Rete Fuente %]]*(PROVEEDORES[[#This Row],[SUBTOTAL]]-PROVEEDORES[[#This Row],[descuento sobre subtotal]])</f>
        <v>0</v>
      </c>
      <c r="R1546" s="21">
        <v>2162999.9300000002</v>
      </c>
      <c r="S15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6" s="68">
        <f ca="1">IF(PROVEEDORES[[#This Row],[FECHA DE PAGO]]=0,TODAY()-PROVEEDORES[[#This Row],[FECHA DE FACTURACIÓN]]-PROVEEDORES[[#This Row],[PLAZO Días]],0)</f>
        <v>0</v>
      </c>
      <c r="U1546" s="96">
        <f>+VLOOKUP(PROVEEDORES[[#This Row],[PROVEEDOR]],Terceros!$A:$D,4,FALSE)</f>
        <v>0</v>
      </c>
      <c r="V1546" s="97">
        <f>+YEAR(PROVEEDORES[[#This Row],[FECHA DE FACTURACIÓN]])</f>
        <v>2022</v>
      </c>
      <c r="W1546" s="97">
        <f>+MATCH(PROVEEDORES[[#This Row],[año facturado]],Retenciones!$1:$1,0)</f>
        <v>5</v>
      </c>
      <c r="X1546" s="98">
        <f>+VLOOKUP(PROVEEDORES[[#This Row],[ID RETENCION]],Retenciones!$A$1:$O$25,PROVEEDORES[[#This Row],[indicador de columna]],FALSE)</f>
        <v>0</v>
      </c>
      <c r="Y1546" s="99">
        <f>+VLOOKUP(PROVEEDORES[[#This Row],[ID RETENCION]],Retenciones!$A$1:$O$25,2,FALSE)</f>
        <v>0</v>
      </c>
      <c r="Z1546" s="125" t="b">
        <f>OR(COUNTIF(PROVEEDORES[[#This Row],[PROVEEDOR]],"*"&amp;'Palabra no opera'!$A$2&amp;"*"))</f>
        <v>0</v>
      </c>
    </row>
    <row r="1547" spans="1:26" ht="22.2" customHeight="1" x14ac:dyDescent="0.3">
      <c r="A1547" s="66" t="str">
        <f>+IF(PROVEEDORES[[#This Row],[FECHA DE PAGO]]=PROVEEDORES[[#This Row],[FECHA DE FACTURACIÓN]],"DE CONTADO","CRÉDITO")</f>
        <v>CRÉDITO</v>
      </c>
      <c r="B1547" s="38" t="b">
        <f>+IF((PROVEEDORES[[#This Row],[FECHA DE PAGO]]-PROVEEDORES[[#This Row],[FECHA DE FACTURACIÓN]])&gt;PROVEEDORES[[#This Row],[PLAZO Días]],"PAGO VENCIDO")</f>
        <v>0</v>
      </c>
      <c r="C1547" s="20">
        <f>+VLOOKUP(PROVEEDORES[[#This Row],[PROVEEDOR]],TERCEROS_INFO[#All],2,FALSE)</f>
        <v>30</v>
      </c>
      <c r="D1547" s="25">
        <f>+SUMIFS(PROVEEDORES[Total],PROVEEDORES[PROVEEDOR],PROVEEDORES[[#This Row],[PROVEEDOR]],PROVEEDORES[FECHA DE PAGO],"")</f>
        <v>0</v>
      </c>
      <c r="E1547" s="25"/>
      <c r="F1547" s="58" t="str">
        <f>+VLOOKUP(PROVEEDORES[[#This Row],[PROVEEDOR]],
                       Terceros!$A:$F,
                       5,
                       FALSE)</f>
        <v/>
      </c>
      <c r="G1547" s="161">
        <v>44537</v>
      </c>
      <c r="H1547" s="26" t="s">
        <v>53</v>
      </c>
      <c r="I1547" s="161">
        <v>44536</v>
      </c>
      <c r="J1547" s="35">
        <v>286942</v>
      </c>
      <c r="K1547" s="21">
        <v>2175000</v>
      </c>
      <c r="L1547" s="21"/>
      <c r="M1547" s="22">
        <f>(PROVEEDORES[[#This Row],[SUBTOTAL]]-PROVEEDORES[[#This Row],[descuento sobre subtotal]])*VLOOKUP(PROVEEDORES[[#This Row],[PROVEEDOR]],TERCEROS_INFO[#All],3,FALSE)</f>
        <v>0</v>
      </c>
      <c r="N1547" s="23"/>
      <c r="O1547" s="22">
        <f>+PROVEEDORES[[#This Row],[Descuento sobre subtotal %]]*(PROVEEDORES[[#This Row],[SUBTOTAL]]-PROVEEDORES[[#This Row],[descuento sobre subtotal]])</f>
        <v>0</v>
      </c>
      <c r="P1547" s="83">
        <f>+IF(PROVEEDORES[[#This Row],[SUBTOTAL]]&lt;PROVEEDORES[[#This Row],[base retencion]],0,PROVEEDORES[[#This Row],[retención aplicada]])</f>
        <v>0</v>
      </c>
      <c r="Q1547" s="22">
        <f>+PROVEEDORES[[#This Row],[Rete Fuente %]]*(PROVEEDORES[[#This Row],[SUBTOTAL]]-PROVEEDORES[[#This Row],[descuento sobre subtotal]])</f>
        <v>0</v>
      </c>
      <c r="R1547" s="21">
        <f>+PROVEEDORES[[#This Row],[SUBTOTAL]]+PROVEEDORES[[#This Row],[IVA 19%]]-PROVEEDORES[[#This Row],[descuento sobre subtotal]]-PROVEEDORES[[#This Row],[Descuento sobre subtotal $2]]-PROVEEDORES[[#This Row],[Rete Fuente $]]</f>
        <v>2175000</v>
      </c>
      <c r="S15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7" s="68">
        <f ca="1">IF(PROVEEDORES[[#This Row],[FECHA DE PAGO]]=0,TODAY()-PROVEEDORES[[#This Row],[FECHA DE FACTURACIÓN]]-PROVEEDORES[[#This Row],[PLAZO Días]],0)</f>
        <v>0</v>
      </c>
      <c r="U1547" s="96">
        <f>+VLOOKUP(PROVEEDORES[[#This Row],[PROVEEDOR]],Terceros!$A:$D,4,FALSE)</f>
        <v>0</v>
      </c>
      <c r="V1547" s="97">
        <f>+YEAR(PROVEEDORES[[#This Row],[FECHA DE FACTURACIÓN]])</f>
        <v>2021</v>
      </c>
      <c r="W1547" s="97">
        <f>+MATCH(PROVEEDORES[[#This Row],[año facturado]],Retenciones!$1:$1,0)</f>
        <v>4</v>
      </c>
      <c r="X1547" s="98">
        <f>+VLOOKUP(PROVEEDORES[[#This Row],[ID RETENCION]],Retenciones!$A$1:$O$25,PROVEEDORES[[#This Row],[indicador de columna]],FALSE)</f>
        <v>0</v>
      </c>
      <c r="Y1547" s="99">
        <f>+VLOOKUP(PROVEEDORES[[#This Row],[ID RETENCION]],Retenciones!$A$1:$O$25,2,FALSE)</f>
        <v>0</v>
      </c>
      <c r="Z1547" s="125" t="b">
        <f>OR(COUNTIF(PROVEEDORES[[#This Row],[PROVEEDOR]],"*"&amp;'Palabra no opera'!$A$2&amp;"*"))</f>
        <v>0</v>
      </c>
    </row>
    <row r="1548" spans="1:26" ht="22.2" customHeight="1" x14ac:dyDescent="0.3">
      <c r="A1548" s="66" t="str">
        <f>+IF(PROVEEDORES[[#This Row],[FECHA DE PAGO]]=PROVEEDORES[[#This Row],[FECHA DE FACTURACIÓN]],"DE CONTADO","CRÉDITO")</f>
        <v>CRÉDITO</v>
      </c>
      <c r="B1548" s="38" t="b">
        <f>+IF((PROVEEDORES[[#This Row],[FECHA DE PAGO]]-PROVEEDORES[[#This Row],[FECHA DE FACTURACIÓN]])&gt;PROVEEDORES[[#This Row],[PLAZO Días]],"PAGO VENCIDO")</f>
        <v>0</v>
      </c>
      <c r="C1548" s="20">
        <f>+VLOOKUP(PROVEEDORES[[#This Row],[PROVEEDOR]],TERCEROS_INFO[#All],2,FALSE)</f>
        <v>30</v>
      </c>
      <c r="D1548" s="25">
        <f>+SUMIFS(PROVEEDORES[Total],PROVEEDORES[PROVEEDOR],PROVEEDORES[[#This Row],[PROVEEDOR]],PROVEEDORES[FECHA DE PAGO],"")</f>
        <v>2318500</v>
      </c>
      <c r="E1548" s="25"/>
      <c r="F1548" s="58" t="str">
        <f>+VLOOKUP(PROVEEDORES[[#This Row],[PROVEEDOR]],
                       Terceros!$A:$F,
                       5,
                       FALSE)</f>
        <v/>
      </c>
      <c r="G1548" s="161">
        <v>44482</v>
      </c>
      <c r="H1548" s="26" t="s">
        <v>629</v>
      </c>
      <c r="I1548" s="161">
        <v>44456</v>
      </c>
      <c r="J1548" s="35" t="s">
        <v>1307</v>
      </c>
      <c r="K1548" s="21">
        <v>2180000</v>
      </c>
      <c r="L1548" s="21"/>
      <c r="M1548" s="22">
        <f>(PROVEEDORES[[#This Row],[SUBTOTAL]]-PROVEEDORES[[#This Row],[descuento sobre subtotal]])*VLOOKUP(PROVEEDORES[[#This Row],[PROVEEDOR]],TERCEROS_INFO[#All],3,FALSE)</f>
        <v>0</v>
      </c>
      <c r="N1548" s="23"/>
      <c r="O1548" s="22">
        <f>+PROVEEDORES[[#This Row],[Descuento sobre subtotal %]]*(PROVEEDORES[[#This Row],[SUBTOTAL]]-PROVEEDORES[[#This Row],[descuento sobre subtotal]])</f>
        <v>0</v>
      </c>
      <c r="P1548" s="83">
        <f>+IF(PROVEEDORES[[#This Row],[SUBTOTAL]]&lt;PROVEEDORES[[#This Row],[base retencion]],0,PROVEEDORES[[#This Row],[retención aplicada]])</f>
        <v>0</v>
      </c>
      <c r="Q1548" s="22">
        <f>+PROVEEDORES[[#This Row],[Rete Fuente %]]*(PROVEEDORES[[#This Row],[SUBTOTAL]]-PROVEEDORES[[#This Row],[descuento sobre subtotal]])</f>
        <v>0</v>
      </c>
      <c r="R1548" s="21">
        <f>+PROVEEDORES[[#This Row],[SUBTOTAL]]+PROVEEDORES[[#This Row],[IVA 19%]]-PROVEEDORES[[#This Row],[descuento sobre subtotal]]-PROVEEDORES[[#This Row],[Descuento sobre subtotal $2]]-PROVEEDORES[[#This Row],[Rete Fuente $]]</f>
        <v>2180000</v>
      </c>
      <c r="S15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8" s="68">
        <f ca="1">IF(PROVEEDORES[[#This Row],[FECHA DE PAGO]]=0,TODAY()-PROVEEDORES[[#This Row],[FECHA DE FACTURACIÓN]]-PROVEEDORES[[#This Row],[PLAZO Días]],0)</f>
        <v>0</v>
      </c>
      <c r="U1548" s="96">
        <f>+VLOOKUP(PROVEEDORES[[#This Row],[PROVEEDOR]],Terceros!$A:$D,4,FALSE)</f>
        <v>0</v>
      </c>
      <c r="V1548" s="97">
        <f>+YEAR(PROVEEDORES[[#This Row],[FECHA DE FACTURACIÓN]])</f>
        <v>2021</v>
      </c>
      <c r="W1548" s="97">
        <f>+MATCH(PROVEEDORES[[#This Row],[año facturado]],Retenciones!$1:$1,0)</f>
        <v>4</v>
      </c>
      <c r="X1548" s="98">
        <f>+VLOOKUP(PROVEEDORES[[#This Row],[ID RETENCION]],Retenciones!$A$1:$O$25,PROVEEDORES[[#This Row],[indicador de columna]],FALSE)</f>
        <v>0</v>
      </c>
      <c r="Y1548" s="99">
        <f>+VLOOKUP(PROVEEDORES[[#This Row],[ID RETENCION]],Retenciones!$A$1:$O$25,2,FALSE)</f>
        <v>0</v>
      </c>
      <c r="Z1548" s="125" t="b">
        <f>OR(COUNTIF(PROVEEDORES[[#This Row],[PROVEEDOR]],"*"&amp;'Palabra no opera'!$A$2&amp;"*"))</f>
        <v>0</v>
      </c>
    </row>
    <row r="1549" spans="1:26" ht="22.2" customHeight="1" x14ac:dyDescent="0.3">
      <c r="A1549" s="140" t="str">
        <f>+IF(PROVEEDORES[[#This Row],[FECHA DE PAGO]]=PROVEEDORES[[#This Row],[FECHA DE FACTURACIÓN]],"DE CONTADO","CRÉDITO")</f>
        <v>CRÉDITO</v>
      </c>
      <c r="B1549" s="38" t="str">
        <f>+IF((PROVEEDORES[[#This Row],[FECHA DE PAGO]]-PROVEEDORES[[#This Row],[FECHA DE FACTURACIÓN]])&gt;PROVEEDORES[[#This Row],[PLAZO Días]],"PAGO VENCIDO")</f>
        <v>PAGO VENCIDO</v>
      </c>
      <c r="C1549" s="20">
        <f>+VLOOKUP(PROVEEDORES[[#This Row],[PROVEEDOR]],TERCEROS_INFO[#All],2,FALSE)</f>
        <v>30</v>
      </c>
      <c r="D1549" s="25">
        <f>+SUMIFS(PROVEEDORES[Total],PROVEEDORES[PROVEEDOR],PROVEEDORES[[#This Row],[PROVEEDOR]],PROVEEDORES[FECHA DE PAGO],"")</f>
        <v>3430770</v>
      </c>
      <c r="E1549" s="25"/>
      <c r="F154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49" s="161">
        <v>44726</v>
      </c>
      <c r="H1549" s="26" t="s">
        <v>1448</v>
      </c>
      <c r="I1549" s="161">
        <v>44692</v>
      </c>
      <c r="J1549" s="35">
        <v>30587</v>
      </c>
      <c r="K1549" s="21">
        <v>1872000</v>
      </c>
      <c r="L1549" s="21"/>
      <c r="M1549" s="22">
        <f>(PROVEEDORES[[#This Row],[SUBTOTAL]]-PROVEEDORES[[#This Row],[descuento sobre subtotal]])*VLOOKUP(PROVEEDORES[[#This Row],[PROVEEDOR]],TERCEROS_INFO[#All],3,FALSE)</f>
        <v>355680</v>
      </c>
      <c r="N1549" s="23"/>
      <c r="O1549" s="22">
        <f>+PROVEEDORES[[#This Row],[Descuento sobre subtotal %]]*(PROVEEDORES[[#This Row],[SUBTOTAL]]-PROVEEDORES[[#This Row],[descuento sobre subtotal]])</f>
        <v>0</v>
      </c>
      <c r="P1549" s="83">
        <v>2.5000000000000001E-2</v>
      </c>
      <c r="Q1549" s="22">
        <f>+PROVEEDORES[[#This Row],[Rete Fuente %]]*(PROVEEDORES[[#This Row],[SUBTOTAL]]-PROVEEDORES[[#This Row],[descuento sobre subtotal]])</f>
        <v>46800</v>
      </c>
      <c r="R1549" s="21">
        <f>+PROVEEDORES[[#This Row],[SUBTOTAL]]+PROVEEDORES[[#This Row],[IVA 19%]]-PROVEEDORES[[#This Row],[descuento sobre subtotal]]-PROVEEDORES[[#This Row],[Descuento sobre subtotal $2]]-PROVEEDORES[[#This Row],[Rete Fuente $]]</f>
        <v>2180880</v>
      </c>
      <c r="S1549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9" s="68">
        <f ca="1">IF(PROVEEDORES[[#This Row],[FECHA DE PAGO]]=0,TODAY()-PROVEEDORES[[#This Row],[FECHA DE FACTURACIÓN]]-PROVEEDORES[[#This Row],[PLAZO Días]],0)</f>
        <v>0</v>
      </c>
      <c r="U1549" s="113">
        <f>+VLOOKUP(PROVEEDORES[[#This Row],[PROVEEDOR]],Terceros!$A:$D,4,FALSE)</f>
        <v>0</v>
      </c>
      <c r="V1549" s="114">
        <f>+YEAR(PROVEEDORES[[#This Row],[FECHA DE FACTURACIÓN]])</f>
        <v>2022</v>
      </c>
      <c r="W1549" s="114">
        <f>+MATCH(PROVEEDORES[[#This Row],[año facturado]],Retenciones!$1:$1,0)</f>
        <v>5</v>
      </c>
      <c r="X1549" s="115">
        <f>+VLOOKUP(PROVEEDORES[[#This Row],[ID RETENCION]],Retenciones!$A$1:$O$25,PROVEEDORES[[#This Row],[indicador de columna]],FALSE)</f>
        <v>0</v>
      </c>
      <c r="Y1549" s="116">
        <f>+VLOOKUP(PROVEEDORES[[#This Row],[ID RETENCION]],Retenciones!$A$1:$O$25,2,FALSE)</f>
        <v>0</v>
      </c>
      <c r="Z1549" s="125" t="b">
        <f>OR(COUNTIF(PROVEEDORES[[#This Row],[PROVEEDOR]],"*"&amp;'Palabra no opera'!$A$2&amp;"*"))</f>
        <v>0</v>
      </c>
    </row>
    <row r="1550" spans="1:26" ht="22.2" customHeight="1" x14ac:dyDescent="0.3">
      <c r="A1550" s="185" t="str">
        <f>+IF(PROVEEDORES[[#This Row],[FECHA DE PAGO]]=PROVEEDORES[[#This Row],[FECHA DE FACTURACIÓN]],"DE CONTADO","CRÉDITO")</f>
        <v>CRÉDITO</v>
      </c>
      <c r="B1550" s="38" t="str">
        <f>+IF((PROVEEDORES[[#This Row],[FECHA DE PAGO]]-PROVEEDORES[[#This Row],[FECHA DE FACTURACIÓN]])&gt;PROVEEDORES[[#This Row],[PLAZO Días]],"PAGO VENCIDO")</f>
        <v>PAGO VENCIDO</v>
      </c>
      <c r="C1550" s="20">
        <f>+VLOOKUP(PROVEEDORES[[#This Row],[PROVEEDOR]],TERCEROS_INFO[#All],2,FALSE)</f>
        <v>0</v>
      </c>
      <c r="D1550" s="25">
        <f>+SUMIFS(PROVEEDORES[Total],PROVEEDORES[PROVEEDOR],PROVEEDORES[[#This Row],[PROVEEDOR]],PROVEEDORES[FECHA DE PAGO],"")</f>
        <v>0</v>
      </c>
      <c r="E1550" s="25"/>
      <c r="F1550" s="58">
        <f>+VLOOKUP(PROVEEDORES[[#This Row],[PROVEEDOR]],
                       Terceros!$A:$F,
                       5,
                       FALSE)</f>
        <v>0</v>
      </c>
      <c r="G1550" s="161">
        <v>44747</v>
      </c>
      <c r="H1550" s="26" t="s">
        <v>1050</v>
      </c>
      <c r="I1550" s="161">
        <v>44743</v>
      </c>
      <c r="J1550" s="35" t="s">
        <v>1385</v>
      </c>
      <c r="K1550" s="21">
        <v>2182000</v>
      </c>
      <c r="L1550" s="21"/>
      <c r="M1550" s="22">
        <f>(PROVEEDORES[[#This Row],[SUBTOTAL]]-PROVEEDORES[[#This Row],[descuento sobre subtotal]])*VLOOKUP(PROVEEDORES[[#This Row],[PROVEEDOR]],TERCEROS_INFO[#All],3,FALSE)</f>
        <v>0</v>
      </c>
      <c r="N1550" s="23"/>
      <c r="O1550" s="22">
        <f>+PROVEEDORES[[#This Row],[Descuento sobre subtotal %]]*(PROVEEDORES[[#This Row],[SUBTOTAL]]-PROVEEDORES[[#This Row],[descuento sobre subtotal]])</f>
        <v>0</v>
      </c>
      <c r="P1550" s="83">
        <f>+IF(PROVEEDORES[[#This Row],[SUBTOTAL]]&lt;PROVEEDORES[[#This Row],[base retencion]],0,PROVEEDORES[[#This Row],[retención aplicada]])</f>
        <v>0</v>
      </c>
      <c r="Q1550" s="22">
        <f>+PROVEEDORES[[#This Row],[Rete Fuente %]]*(PROVEEDORES[[#This Row],[SUBTOTAL]]-PROVEEDORES[[#This Row],[descuento sobre subtotal]])</f>
        <v>0</v>
      </c>
      <c r="R1550" s="21">
        <f>+PROVEEDORES[[#This Row],[SUBTOTAL]]+PROVEEDORES[[#This Row],[IVA 19%]]-PROVEEDORES[[#This Row],[descuento sobre subtotal]]-PROVEEDORES[[#This Row],[Descuento sobre subtotal $2]]-PROVEEDORES[[#This Row],[Rete Fuente $]]</f>
        <v>2182000</v>
      </c>
      <c r="S1550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0" s="68">
        <f ca="1">IF(PROVEEDORES[[#This Row],[FECHA DE PAGO]]=0,TODAY()-PROVEEDORES[[#This Row],[FECHA DE FACTURACIÓN]]-PROVEEDORES[[#This Row],[PLAZO Días]],0)</f>
        <v>0</v>
      </c>
      <c r="U1550" s="113">
        <f>+VLOOKUP(PROVEEDORES[[#This Row],[PROVEEDOR]],Terceros!$A:$D,4,FALSE)</f>
        <v>0</v>
      </c>
      <c r="V1550" s="114">
        <f>+YEAR(PROVEEDORES[[#This Row],[FECHA DE FACTURACIÓN]])</f>
        <v>2022</v>
      </c>
      <c r="W1550" s="114">
        <f>+MATCH(PROVEEDORES[[#This Row],[año facturado]],Retenciones!$1:$1,0)</f>
        <v>5</v>
      </c>
      <c r="X1550" s="115">
        <f>+VLOOKUP(PROVEEDORES[[#This Row],[ID RETENCION]],Retenciones!$A$1:$O$25,PROVEEDORES[[#This Row],[indicador de columna]],FALSE)</f>
        <v>0</v>
      </c>
      <c r="Y1550" s="116">
        <f>+VLOOKUP(PROVEEDORES[[#This Row],[ID RETENCION]],Retenciones!$A$1:$O$25,2,FALSE)</f>
        <v>0</v>
      </c>
      <c r="Z1550" s="125" t="b">
        <f>OR(COUNTIF(PROVEEDORES[[#This Row],[PROVEEDOR]],"*"&amp;'Palabra no opera'!$A$2&amp;"*"))</f>
        <v>1</v>
      </c>
    </row>
    <row r="1551" spans="1:26" ht="22.2" customHeight="1" x14ac:dyDescent="0.3">
      <c r="A1551" s="66" t="str">
        <f>+IF(PROVEEDORES[[#This Row],[FECHA DE PAGO]]=PROVEEDORES[[#This Row],[FECHA DE FACTURACIÓN]],"DE CONTADO","CRÉDITO")</f>
        <v>CRÉDITO</v>
      </c>
      <c r="B1551" s="38" t="b">
        <f>+IF((PROVEEDORES[[#This Row],[FECHA DE PAGO]]-PROVEEDORES[[#This Row],[FECHA DE FACTURACIÓN]])&gt;PROVEEDORES[[#This Row],[PLAZO Días]],"PAGO VENCIDO")</f>
        <v>0</v>
      </c>
      <c r="C1551" s="20">
        <f>+VLOOKUP(PROVEEDORES[[#This Row],[PROVEEDOR]],TERCEROS_INFO[#All],2,FALSE)</f>
        <v>30</v>
      </c>
      <c r="D1551" s="25">
        <f>+SUMIFS(PROVEEDORES[Total],PROVEEDORES[PROVEEDOR],PROVEEDORES[[#This Row],[PROVEEDOR]],PROVEEDORES[FECHA DE PAGO],"")</f>
        <v>0</v>
      </c>
      <c r="E1551" s="25"/>
      <c r="F1551" s="58" t="str">
        <f>+VLOOKUP(PROVEEDORES[[#This Row],[PROVEEDOR]],
                       Terceros!$A:$F,
                       5,
                       FALSE)</f>
        <v/>
      </c>
      <c r="G1551" s="161">
        <v>44355</v>
      </c>
      <c r="H1551" s="26" t="s">
        <v>53</v>
      </c>
      <c r="I1551" s="161">
        <v>44354</v>
      </c>
      <c r="J1551" s="35">
        <v>282538</v>
      </c>
      <c r="K1551" s="21">
        <v>2188000</v>
      </c>
      <c r="L1551" s="21"/>
      <c r="M1551" s="22">
        <f>(PROVEEDORES[[#This Row],[SUBTOTAL]]-PROVEEDORES[[#This Row],[descuento sobre subtotal]])*VLOOKUP(PROVEEDORES[[#This Row],[PROVEEDOR]],TERCEROS_INFO[#All],3,FALSE)</f>
        <v>0</v>
      </c>
      <c r="N1551" s="23"/>
      <c r="O1551" s="22">
        <f>+PROVEEDORES[[#This Row],[Descuento sobre subtotal %]]*(PROVEEDORES[[#This Row],[SUBTOTAL]]-PROVEEDORES[[#This Row],[descuento sobre subtotal]])</f>
        <v>0</v>
      </c>
      <c r="P1551" s="83">
        <f>+IF(PROVEEDORES[[#This Row],[SUBTOTAL]]&lt;PROVEEDORES[[#This Row],[base retencion]],0,PROVEEDORES[[#This Row],[retención aplicada]])</f>
        <v>0</v>
      </c>
      <c r="Q1551" s="22">
        <f>+PROVEEDORES[[#This Row],[Rete Fuente %]]*(PROVEEDORES[[#This Row],[SUBTOTAL]]-PROVEEDORES[[#This Row],[descuento sobre subtotal]])</f>
        <v>0</v>
      </c>
      <c r="R1551" s="21">
        <f>+PROVEEDORES[[#This Row],[SUBTOTAL]]+PROVEEDORES[[#This Row],[IVA 19%]]-PROVEEDORES[[#This Row],[descuento sobre subtotal]]-PROVEEDORES[[#This Row],[Descuento sobre subtotal $2]]-PROVEEDORES[[#This Row],[Rete Fuente $]]</f>
        <v>2188000</v>
      </c>
      <c r="S15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1" s="68">
        <f ca="1">IF(PROVEEDORES[[#This Row],[FECHA DE PAGO]]=0,TODAY()-PROVEEDORES[[#This Row],[FECHA DE FACTURACIÓN]]-PROVEEDORES[[#This Row],[PLAZO Días]],0)</f>
        <v>0</v>
      </c>
      <c r="U1551" s="96">
        <f>+VLOOKUP(PROVEEDORES[[#This Row],[PROVEEDOR]],Terceros!$A:$D,4,FALSE)</f>
        <v>0</v>
      </c>
      <c r="V1551" s="97">
        <f>+YEAR(PROVEEDORES[[#This Row],[FECHA DE FACTURACIÓN]])</f>
        <v>2021</v>
      </c>
      <c r="W1551" s="97">
        <f>+MATCH(PROVEEDORES[[#This Row],[año facturado]],Retenciones!$1:$1,0)</f>
        <v>4</v>
      </c>
      <c r="X1551" s="98">
        <f>+VLOOKUP(PROVEEDORES[[#This Row],[ID RETENCION]],Retenciones!$A$1:$O$25,PROVEEDORES[[#This Row],[indicador de columna]],FALSE)</f>
        <v>0</v>
      </c>
      <c r="Y1551" s="99">
        <f>+VLOOKUP(PROVEEDORES[[#This Row],[ID RETENCION]],Retenciones!$A$1:$O$25,2,FALSE)</f>
        <v>0</v>
      </c>
      <c r="Z1551" s="125" t="b">
        <f>OR(COUNTIF(PROVEEDORES[[#This Row],[PROVEEDOR]],"*"&amp;'Palabra no opera'!$A$2&amp;"*"))</f>
        <v>0</v>
      </c>
    </row>
    <row r="1552" spans="1:26" ht="22.2" customHeight="1" x14ac:dyDescent="0.3">
      <c r="A1552" s="211" t="str">
        <f>+IF(PROVEEDORES[[#This Row],[FECHA DE PAGO]]=PROVEEDORES[[#This Row],[FECHA DE FACTURACIÓN]],"DE CONTADO","CRÉDITO")</f>
        <v>CRÉDITO</v>
      </c>
      <c r="B1552" s="38" t="str">
        <f>+IF((PROVEEDORES[[#This Row],[FECHA DE PAGO]]-PROVEEDORES[[#This Row],[FECHA DE FACTURACIÓN]])&gt;PROVEEDORES[[#This Row],[PLAZO Días]],"PAGO VENCIDO")</f>
        <v>PAGO VENCIDO</v>
      </c>
      <c r="C1552" s="20">
        <f>+VLOOKUP(PROVEEDORES[[#This Row],[PROVEEDOR]],TERCEROS_INFO[#All],2,FALSE)</f>
        <v>30</v>
      </c>
      <c r="D1552" s="25">
        <f>+SUMIFS(PROVEEDORES[Total],PROVEEDORES[PROVEEDOR],PROVEEDORES[[#This Row],[PROVEEDOR]],PROVEEDORES[FECHA DE PAGO],"")</f>
        <v>1468491.82</v>
      </c>
      <c r="E1552" s="25"/>
      <c r="F1552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552" s="161">
        <v>44845</v>
      </c>
      <c r="H1552" s="26" t="s">
        <v>1638</v>
      </c>
      <c r="I1552" s="161">
        <v>44802</v>
      </c>
      <c r="J1552" s="35" t="s">
        <v>1648</v>
      </c>
      <c r="K1552" s="21">
        <v>1882355</v>
      </c>
      <c r="L1552" s="21"/>
      <c r="M1552" s="22">
        <f>(PROVEEDORES[[#This Row],[SUBTOTAL]]-PROVEEDORES[[#This Row],[descuento sobre subtotal]])*VLOOKUP(PROVEEDORES[[#This Row],[PROVEEDOR]],TERCEROS_INFO[#All],3,FALSE)</f>
        <v>357647.45</v>
      </c>
      <c r="N1552" s="23"/>
      <c r="O1552" s="22">
        <f>+PROVEEDORES[[#This Row],[Descuento sobre subtotal %]]*(PROVEEDORES[[#This Row],[SUBTOTAL]]-PROVEEDORES[[#This Row],[descuento sobre subtotal]])</f>
        <v>0</v>
      </c>
      <c r="P1552" s="83">
        <f>+IF(PROVEEDORES[[#This Row],[SUBTOTAL]]&lt;PROVEEDORES[[#This Row],[base retencion]],0,PROVEEDORES[[#This Row],[retención aplicada]])</f>
        <v>2.5000000000000001E-2</v>
      </c>
      <c r="Q1552" s="22">
        <f>+PROVEEDORES[[#This Row],[Rete Fuente %]]*(PROVEEDORES[[#This Row],[SUBTOTAL]]-PROVEEDORES[[#This Row],[descuento sobre subtotal]])</f>
        <v>47058.875</v>
      </c>
      <c r="R1552" s="21">
        <f>+PROVEEDORES[[#This Row],[SUBTOTAL]]+PROVEEDORES[[#This Row],[IVA 19%]]-PROVEEDORES[[#This Row],[descuento sobre subtotal]]-PROVEEDORES[[#This Row],[Descuento sobre subtotal $2]]-PROVEEDORES[[#This Row],[Rete Fuente $]]</f>
        <v>2192943.5750000002</v>
      </c>
      <c r="S1552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2" s="68">
        <f ca="1">IF(PROVEEDORES[[#This Row],[FECHA DE PAGO]]=0,TODAY()-PROVEEDORES[[#This Row],[FECHA DE FACTURACIÓN]]-PROVEEDORES[[#This Row],[PLAZO Días]],0)</f>
        <v>0</v>
      </c>
      <c r="U1552" s="113" t="str">
        <f>+VLOOKUP(PROVEEDORES[[#This Row],[PROVEEDOR]],Terceros!$A:$D,4,FALSE)</f>
        <v>2,5% con base</v>
      </c>
      <c r="V1552" s="114">
        <f>+YEAR(PROVEEDORES[[#This Row],[FECHA DE FACTURACIÓN]])</f>
        <v>2022</v>
      </c>
      <c r="W1552" s="114">
        <f>+MATCH(PROVEEDORES[[#This Row],[año facturado]],Retenciones!$1:$1,0)</f>
        <v>5</v>
      </c>
      <c r="X1552" s="115">
        <f>+VLOOKUP(PROVEEDORES[[#This Row],[ID RETENCION]],Retenciones!$A$1:$O$25,PROVEEDORES[[#This Row],[indicador de columna]],FALSE)</f>
        <v>1026000</v>
      </c>
      <c r="Y1552" s="116">
        <f>+VLOOKUP(PROVEEDORES[[#This Row],[ID RETENCION]],Retenciones!$A$1:$O$25,2,FALSE)</f>
        <v>2.5000000000000001E-2</v>
      </c>
      <c r="Z1552" s="125" t="b">
        <f>OR(COUNTIF(PROVEEDORES[[#This Row],[PROVEEDOR]],"*"&amp;'Palabra no opera'!$A$2&amp;"*"))</f>
        <v>0</v>
      </c>
    </row>
    <row r="1553" spans="1:26" ht="22.2" customHeight="1" x14ac:dyDescent="0.3">
      <c r="A1553" s="66" t="str">
        <f>+IF(PROVEEDORES[[#This Row],[FECHA DE PAGO]]=PROVEEDORES[[#This Row],[FECHA DE FACTURACIÓN]],"DE CONTADO","CRÉDITO")</f>
        <v>CRÉDITO</v>
      </c>
      <c r="B1553" s="38" t="str">
        <f>+IF((PROVEEDORES[[#This Row],[FECHA DE PAGO]]-PROVEEDORES[[#This Row],[FECHA DE FACTURACIÓN]])&gt;PROVEEDORES[[#This Row],[PLAZO Días]],"PAGO VENCIDO")</f>
        <v>PAGO VENCIDO</v>
      </c>
      <c r="C1553" s="20">
        <f>+VLOOKUP(PROVEEDORES[[#This Row],[PROVEEDOR]],TERCEROS_INFO[#All],2,FALSE)</f>
        <v>30</v>
      </c>
      <c r="D1553" s="25">
        <f>+SUMIFS(PROVEEDORES[Total],PROVEEDORES[PROVEEDOR],PROVEEDORES[[#This Row],[PROVEEDOR]],PROVEEDORES[FECHA DE PAGO],"")</f>
        <v>2456000</v>
      </c>
      <c r="E1553" s="25"/>
      <c r="F1553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553" s="161">
        <v>44494</v>
      </c>
      <c r="H1553" s="26" t="s">
        <v>623</v>
      </c>
      <c r="I1553" s="161">
        <v>44420</v>
      </c>
      <c r="J1553" s="35" t="s">
        <v>1482</v>
      </c>
      <c r="K1553" s="21">
        <v>2195400</v>
      </c>
      <c r="L1553" s="21"/>
      <c r="M1553" s="22">
        <f>(PROVEEDORES[[#This Row],[SUBTOTAL]]-PROVEEDORES[[#This Row],[descuento sobre subtotal]])*VLOOKUP(PROVEEDORES[[#This Row],[PROVEEDOR]],TERCEROS_INFO[#All],3,FALSE)</f>
        <v>0</v>
      </c>
      <c r="N1553" s="23"/>
      <c r="O1553" s="22">
        <f>+PROVEEDORES[[#This Row],[Descuento sobre subtotal %]]*(PROVEEDORES[[#This Row],[SUBTOTAL]]-PROVEEDORES[[#This Row],[descuento sobre subtotal]])</f>
        <v>0</v>
      </c>
      <c r="P1553" s="83">
        <f>+IF(PROVEEDORES[[#This Row],[SUBTOTAL]]&lt;PROVEEDORES[[#This Row],[base retencion]],0,PROVEEDORES[[#This Row],[retención aplicada]])</f>
        <v>0</v>
      </c>
      <c r="Q1553" s="22">
        <f>+PROVEEDORES[[#This Row],[Rete Fuente %]]*(PROVEEDORES[[#This Row],[SUBTOTAL]]-PROVEEDORES[[#This Row],[descuento sobre subtotal]])</f>
        <v>0</v>
      </c>
      <c r="R1553" s="21">
        <f>+PROVEEDORES[[#This Row],[SUBTOTAL]]+PROVEEDORES[[#This Row],[IVA 19%]]-PROVEEDORES[[#This Row],[descuento sobre subtotal]]-PROVEEDORES[[#This Row],[Descuento sobre subtotal $2]]-PROVEEDORES[[#This Row],[Rete Fuente $]]</f>
        <v>2195400</v>
      </c>
      <c r="S15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3" s="68">
        <f ca="1">IF(PROVEEDORES[[#This Row],[FECHA DE PAGO]]=0,TODAY()-PROVEEDORES[[#This Row],[FECHA DE FACTURACIÓN]]-PROVEEDORES[[#This Row],[PLAZO Días]],0)</f>
        <v>0</v>
      </c>
      <c r="U1553" s="96">
        <f>+VLOOKUP(PROVEEDORES[[#This Row],[PROVEEDOR]],Terceros!$A:$D,4,FALSE)</f>
        <v>0</v>
      </c>
      <c r="V1553" s="97">
        <f>+YEAR(PROVEEDORES[[#This Row],[FECHA DE FACTURACIÓN]])</f>
        <v>2021</v>
      </c>
      <c r="W1553" s="97">
        <f>+MATCH(PROVEEDORES[[#This Row],[año facturado]],Retenciones!$1:$1,0)</f>
        <v>4</v>
      </c>
      <c r="X1553" s="98">
        <f>+VLOOKUP(PROVEEDORES[[#This Row],[ID RETENCION]],Retenciones!$A$1:$O$25,PROVEEDORES[[#This Row],[indicador de columna]],FALSE)</f>
        <v>0</v>
      </c>
      <c r="Y1553" s="99">
        <f>+VLOOKUP(PROVEEDORES[[#This Row],[ID RETENCION]],Retenciones!$A$1:$O$25,2,FALSE)</f>
        <v>0</v>
      </c>
      <c r="Z1553" s="125" t="b">
        <f>OR(COUNTIF(PROVEEDORES[[#This Row],[PROVEEDOR]],"*"&amp;'Palabra no opera'!$A$2&amp;"*"))</f>
        <v>0</v>
      </c>
    </row>
    <row r="1554" spans="1:26" ht="22.2" customHeight="1" x14ac:dyDescent="0.3">
      <c r="A1554" s="66" t="str">
        <f>+IF(PROVEEDORES[[#This Row],[FECHA DE PAGO]]=PROVEEDORES[[#This Row],[FECHA DE FACTURACIÓN]],"DE CONTADO","CRÉDITO")</f>
        <v>CRÉDITO</v>
      </c>
      <c r="B1554" s="38" t="str">
        <f>+IF((PROVEEDORES[[#This Row],[FECHA DE PAGO]]-PROVEEDORES[[#This Row],[FECHA DE FACTURACIÓN]])&gt;PROVEEDORES[[#This Row],[PLAZO Días]],"PAGO VENCIDO")</f>
        <v>PAGO VENCIDO</v>
      </c>
      <c r="C1554" s="20">
        <f>+VLOOKUP(PROVEEDORES[[#This Row],[PROVEEDOR]],TERCEROS_INFO[#All],2,FALSE)</f>
        <v>30</v>
      </c>
      <c r="D1554" s="25">
        <f>+SUMIFS(PROVEEDORES[Total],PROVEEDORES[PROVEEDOR],PROVEEDORES[[#This Row],[PROVEEDOR]],PROVEEDORES[FECHA DE PAGO],"")</f>
        <v>0</v>
      </c>
      <c r="E1554" s="25"/>
      <c r="F155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54" s="161">
        <v>44307</v>
      </c>
      <c r="H1554" s="26" t="s">
        <v>1637</v>
      </c>
      <c r="I1554" s="161">
        <v>44234</v>
      </c>
      <c r="J1554" s="35">
        <v>19824</v>
      </c>
      <c r="K1554" s="21">
        <v>1900000</v>
      </c>
      <c r="L1554" s="21"/>
      <c r="M1554" s="22">
        <f>(PROVEEDORES[[#This Row],[SUBTOTAL]]-PROVEEDORES[[#This Row],[descuento sobre subtotal]])*VLOOKUP(PROVEEDORES[[#This Row],[PROVEEDOR]],TERCEROS_INFO[#All],3,FALSE)</f>
        <v>361000</v>
      </c>
      <c r="N1554" s="23"/>
      <c r="O1554" s="22">
        <f>+PROVEEDORES[[#This Row],[Descuento sobre subtotal %]]*(PROVEEDORES[[#This Row],[SUBTOTAL]]-PROVEEDORES[[#This Row],[descuento sobre subtotal]])</f>
        <v>0</v>
      </c>
      <c r="P1554" s="83">
        <f>+IF(PROVEEDORES[[#This Row],[SUBTOTAL]]&lt;PROVEEDORES[[#This Row],[base retencion]],0,PROVEEDORES[[#This Row],[retención aplicada]])</f>
        <v>2.5000000000000001E-2</v>
      </c>
      <c r="Q1554" s="22">
        <f>+PROVEEDORES[[#This Row],[Rete Fuente %]]*(PROVEEDORES[[#This Row],[SUBTOTAL]]-PROVEEDORES[[#This Row],[descuento sobre subtotal]])</f>
        <v>47500</v>
      </c>
      <c r="R1554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15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4" s="68">
        <f ca="1">IF(PROVEEDORES[[#This Row],[FECHA DE PAGO]]=0,TODAY()-PROVEEDORES[[#This Row],[FECHA DE FACTURACIÓN]]-PROVEEDORES[[#This Row],[PLAZO Días]],0)</f>
        <v>0</v>
      </c>
      <c r="U1554" s="96" t="str">
        <f>+VLOOKUP(PROVEEDORES[[#This Row],[PROVEEDOR]],Terceros!$A:$D,4,FALSE)</f>
        <v>2,5% con base</v>
      </c>
      <c r="V1554" s="97">
        <f>+YEAR(PROVEEDORES[[#This Row],[FECHA DE FACTURACIÓN]])</f>
        <v>2021</v>
      </c>
      <c r="W1554" s="97">
        <f>+MATCH(PROVEEDORES[[#This Row],[año facturado]],Retenciones!$1:$1,0)</f>
        <v>4</v>
      </c>
      <c r="X1554" s="98">
        <f>+VLOOKUP(PROVEEDORES[[#This Row],[ID RETENCION]],Retenciones!$A$1:$O$25,PROVEEDORES[[#This Row],[indicador de columna]],FALSE)</f>
        <v>980000</v>
      </c>
      <c r="Y1554" s="99">
        <f>+VLOOKUP(PROVEEDORES[[#This Row],[ID RETENCION]],Retenciones!$A$1:$O$25,2,FALSE)</f>
        <v>2.5000000000000001E-2</v>
      </c>
      <c r="Z1554" s="125" t="b">
        <f>OR(COUNTIF(PROVEEDORES[[#This Row],[PROVEEDOR]],"*"&amp;'Palabra no opera'!$A$2&amp;"*"))</f>
        <v>0</v>
      </c>
    </row>
    <row r="1555" spans="1:26" ht="22.2" customHeight="1" x14ac:dyDescent="0.3">
      <c r="A1555" s="159" t="str">
        <f>+IF(PROVEEDORES[[#This Row],[FECHA DE PAGO]]=PROVEEDORES[[#This Row],[FECHA DE FACTURACIÓN]],"DE CONTADO","CRÉDITO")</f>
        <v>CRÉDITO</v>
      </c>
      <c r="B1555" s="38" t="str">
        <f>+IF((PROVEEDORES[[#This Row],[FECHA DE PAGO]]-PROVEEDORES[[#This Row],[FECHA DE FACTURACIÓN]])&gt;PROVEEDORES[[#This Row],[PLAZO Días]],"PAGO VENCIDO")</f>
        <v>PAGO VENCIDO</v>
      </c>
      <c r="C1555" s="20">
        <f>+VLOOKUP(PROVEEDORES[[#This Row],[PROVEEDOR]],TERCEROS_INFO[#All],2,FALSE)</f>
        <v>30</v>
      </c>
      <c r="D1555" s="25">
        <f>+SUMIFS(PROVEEDORES[Total],PROVEEDORES[PROVEEDOR],PROVEEDORES[[#This Row],[PROVEEDOR]],PROVEEDORES[FECHA DE PAGO],"")</f>
        <v>0</v>
      </c>
      <c r="E1555" s="25"/>
      <c r="F1555" s="58" t="str">
        <f>+VLOOKUP(PROVEEDORES[[#This Row],[PROVEEDOR]],
                       Terceros!$A:$F,
                       5,
                       FALSE)</f>
        <v>julian@ieosas.com;girlesa.ruiz@servipilas.com;joriescobar64@gmail.com</v>
      </c>
      <c r="G1555" s="161">
        <v>44783</v>
      </c>
      <c r="H1555" s="26" t="s">
        <v>1059</v>
      </c>
      <c r="I1555" s="161">
        <v>44735</v>
      </c>
      <c r="J1555" s="35">
        <v>362</v>
      </c>
      <c r="K1555" s="21">
        <v>1900000</v>
      </c>
      <c r="L1555" s="21"/>
      <c r="M1555" s="22">
        <f>(PROVEEDORES[[#This Row],[SUBTOTAL]]-PROVEEDORES[[#This Row],[descuento sobre subtotal]])*VLOOKUP(PROVEEDORES[[#This Row],[PROVEEDOR]],TERCEROS_INFO[#All],3,FALSE)</f>
        <v>361000</v>
      </c>
      <c r="N1555" s="23"/>
      <c r="O1555" s="22">
        <f>+PROVEEDORES[[#This Row],[Descuento sobre subtotal %]]*(PROVEEDORES[[#This Row],[SUBTOTAL]]-PROVEEDORES[[#This Row],[descuento sobre subtotal]])</f>
        <v>0</v>
      </c>
      <c r="P1555" s="83">
        <f>+IF(PROVEEDORES[[#This Row],[SUBTOTAL]]&lt;PROVEEDORES[[#This Row],[base retencion]],0,PROVEEDORES[[#This Row],[retención aplicada]])</f>
        <v>2.5000000000000001E-2</v>
      </c>
      <c r="Q1555" s="22">
        <f>+PROVEEDORES[[#This Row],[Rete Fuente %]]*(PROVEEDORES[[#This Row],[SUBTOTAL]]-PROVEEDORES[[#This Row],[descuento sobre subtotal]])</f>
        <v>47500</v>
      </c>
      <c r="R1555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155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5" s="68">
        <f ca="1">IF(PROVEEDORES[[#This Row],[FECHA DE PAGO]]=0,TODAY()-PROVEEDORES[[#This Row],[FECHA DE FACTURACIÓN]]-PROVEEDORES[[#This Row],[PLAZO Días]],0)</f>
        <v>0</v>
      </c>
      <c r="U1555" s="113" t="str">
        <f>+VLOOKUP(PROVEEDORES[[#This Row],[PROVEEDOR]],Terceros!$A:$D,4,FALSE)</f>
        <v>2,5% con base</v>
      </c>
      <c r="V1555" s="114">
        <f>+YEAR(PROVEEDORES[[#This Row],[FECHA DE FACTURACIÓN]])</f>
        <v>2022</v>
      </c>
      <c r="W1555" s="114">
        <f>+MATCH(PROVEEDORES[[#This Row],[año facturado]],Retenciones!$1:$1,0)</f>
        <v>5</v>
      </c>
      <c r="X1555" s="115">
        <f>+VLOOKUP(PROVEEDORES[[#This Row],[ID RETENCION]],Retenciones!$A$1:$O$25,PROVEEDORES[[#This Row],[indicador de columna]],FALSE)</f>
        <v>1026000</v>
      </c>
      <c r="Y1555" s="116">
        <f>+VLOOKUP(PROVEEDORES[[#This Row],[ID RETENCION]],Retenciones!$A$1:$O$25,2,FALSE)</f>
        <v>2.5000000000000001E-2</v>
      </c>
      <c r="Z1555" s="125" t="b">
        <f>OR(COUNTIF(PROVEEDORES[[#This Row],[PROVEEDOR]],"*"&amp;'Palabra no opera'!$A$2&amp;"*"))</f>
        <v>0</v>
      </c>
    </row>
    <row r="1556" spans="1:26" ht="22.2" customHeight="1" x14ac:dyDescent="0.3">
      <c r="A1556" s="66" t="str">
        <f>+IF(PROVEEDORES[[#This Row],[FECHA DE PAGO]]=PROVEEDORES[[#This Row],[FECHA DE FACTURACIÓN]],"DE CONTADO","CRÉDITO")</f>
        <v>CRÉDITO</v>
      </c>
      <c r="B1556" s="38" t="str">
        <f>+IF((PROVEEDORES[[#This Row],[FECHA DE PAGO]]-PROVEEDORES[[#This Row],[FECHA DE FACTURACIÓN]])&gt;PROVEEDORES[[#This Row],[PLAZO Días]],"PAGO VENCIDO")</f>
        <v>PAGO VENCIDO</v>
      </c>
      <c r="C1556" s="20">
        <f>+VLOOKUP(PROVEEDORES[[#This Row],[PROVEEDOR]],TERCEROS_INFO[#All],2,FALSE)</f>
        <v>30</v>
      </c>
      <c r="D1556" s="25">
        <f>+SUMIFS(PROVEEDORES[Total],PROVEEDORES[PROVEEDOR],PROVEEDORES[[#This Row],[PROVEEDOR]],PROVEEDORES[FECHA DE PAGO],"")</f>
        <v>0</v>
      </c>
      <c r="E1556" s="25"/>
      <c r="F155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56" s="161">
        <v>44264</v>
      </c>
      <c r="H1556" s="26" t="s">
        <v>691</v>
      </c>
      <c r="I1556" s="161">
        <v>44233</v>
      </c>
      <c r="J1556" s="35">
        <v>2617</v>
      </c>
      <c r="K1556" s="21">
        <v>2217650</v>
      </c>
      <c r="L1556" s="21"/>
      <c r="M1556" s="22">
        <f>(PROVEEDORES[[#This Row],[SUBTOTAL]]-PROVEEDORES[[#This Row],[descuento sobre subtotal]])*VLOOKUP(PROVEEDORES[[#This Row],[PROVEEDOR]],TERCEROS_INFO[#All],3,FALSE)</f>
        <v>0</v>
      </c>
      <c r="N1556" s="23"/>
      <c r="O1556" s="22">
        <f>+PROVEEDORES[[#This Row],[Descuento sobre subtotal %]]*(PROVEEDORES[[#This Row],[SUBTOTAL]]-PROVEEDORES[[#This Row],[descuento sobre subtotal]])</f>
        <v>0</v>
      </c>
      <c r="P1556" s="83">
        <f>+IF(PROVEEDORES[[#This Row],[SUBTOTAL]]&lt;PROVEEDORES[[#This Row],[base retencion]],0,PROVEEDORES[[#This Row],[retención aplicada]])</f>
        <v>0</v>
      </c>
      <c r="Q1556" s="22">
        <f>+PROVEEDORES[[#This Row],[Rete Fuente %]]*(PROVEEDORES[[#This Row],[SUBTOTAL]]-PROVEEDORES[[#This Row],[descuento sobre subtotal]])</f>
        <v>0</v>
      </c>
      <c r="R1556" s="21">
        <f>+PROVEEDORES[[#This Row],[SUBTOTAL]]+PROVEEDORES[[#This Row],[IVA 19%]]-PROVEEDORES[[#This Row],[descuento sobre subtotal]]-PROVEEDORES[[#This Row],[Descuento sobre subtotal $2]]-PROVEEDORES[[#This Row],[Rete Fuente $]]</f>
        <v>2217650</v>
      </c>
      <c r="S15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6" s="68">
        <f ca="1">IF(PROVEEDORES[[#This Row],[FECHA DE PAGO]]=0,TODAY()-PROVEEDORES[[#This Row],[FECHA DE FACTURACIÓN]]-PROVEEDORES[[#This Row],[PLAZO Días]],0)</f>
        <v>0</v>
      </c>
      <c r="U1556" s="96">
        <f>+VLOOKUP(PROVEEDORES[[#This Row],[PROVEEDOR]],Terceros!$A:$D,4,FALSE)</f>
        <v>0</v>
      </c>
      <c r="V1556" s="97">
        <f>+YEAR(PROVEEDORES[[#This Row],[FECHA DE FACTURACIÓN]])</f>
        <v>2021</v>
      </c>
      <c r="W1556" s="97">
        <f>+MATCH(PROVEEDORES[[#This Row],[año facturado]],Retenciones!$1:$1,0)</f>
        <v>4</v>
      </c>
      <c r="X1556" s="98">
        <f>+VLOOKUP(PROVEEDORES[[#This Row],[ID RETENCION]],Retenciones!$A$1:$O$25,PROVEEDORES[[#This Row],[indicador de columna]],FALSE)</f>
        <v>0</v>
      </c>
      <c r="Y1556" s="99">
        <f>+VLOOKUP(PROVEEDORES[[#This Row],[ID RETENCION]],Retenciones!$A$1:$O$25,2,FALSE)</f>
        <v>0</v>
      </c>
      <c r="Z1556" s="125" t="b">
        <f>OR(COUNTIF(PROVEEDORES[[#This Row],[PROVEEDOR]],"*"&amp;'Palabra no opera'!$A$2&amp;"*"))</f>
        <v>0</v>
      </c>
    </row>
    <row r="1557" spans="1:26" ht="22.2" customHeight="1" x14ac:dyDescent="0.3">
      <c r="A1557" s="159" t="str">
        <f>+IF(PROVEEDORES[[#This Row],[FECHA DE PAGO]]=PROVEEDORES[[#This Row],[FECHA DE FACTURACIÓN]],"DE CONTADO","CRÉDITO")</f>
        <v>CRÉDITO</v>
      </c>
      <c r="B1557" s="38" t="b">
        <f>+IF((PROVEEDORES[[#This Row],[FECHA DE PAGO]]-PROVEEDORES[[#This Row],[FECHA DE FACTURACIÓN]])&gt;PROVEEDORES[[#This Row],[PLAZO Días]],"PAGO VENCIDO")</f>
        <v>0</v>
      </c>
      <c r="C1557" s="20">
        <f>+VLOOKUP(PROVEEDORES[[#This Row],[PROVEEDOR]],TERCEROS_INFO[#All],2,FALSE)</f>
        <v>30</v>
      </c>
      <c r="D1557" s="25">
        <f>+SUMIFS(PROVEEDORES[Total],PROVEEDORES[PROVEEDOR],PROVEEDORES[[#This Row],[PROVEEDOR]],PROVEEDORES[FECHA DE PAGO],"")</f>
        <v>0</v>
      </c>
      <c r="E1557" s="25"/>
      <c r="F1557" s="58" t="str">
        <f>+VLOOKUP(PROVEEDORES[[#This Row],[PROVEEDOR]],
                       Terceros!$A:$F,
                       5,
                       FALSE)</f>
        <v/>
      </c>
      <c r="G1557" s="161">
        <v>44742</v>
      </c>
      <c r="H1557" s="26" t="s">
        <v>638</v>
      </c>
      <c r="I1557" s="161">
        <v>44737</v>
      </c>
      <c r="J1557" s="35" t="s">
        <v>1099</v>
      </c>
      <c r="K1557" s="21">
        <v>2218000</v>
      </c>
      <c r="L1557" s="21"/>
      <c r="M1557" s="22">
        <f>(PROVEEDORES[[#This Row],[SUBTOTAL]]-PROVEEDORES[[#This Row],[descuento sobre subtotal]])*VLOOKUP(PROVEEDORES[[#This Row],[PROVEEDOR]],TERCEROS_INFO[#All],3,FALSE)</f>
        <v>0</v>
      </c>
      <c r="N1557" s="23"/>
      <c r="O1557" s="22">
        <f>+PROVEEDORES[[#This Row],[Descuento sobre subtotal %]]*(PROVEEDORES[[#This Row],[SUBTOTAL]]-PROVEEDORES[[#This Row],[descuento sobre subtotal]])</f>
        <v>0</v>
      </c>
      <c r="P1557" s="83">
        <f>+IF(PROVEEDORES[[#This Row],[SUBTOTAL]]&lt;PROVEEDORES[[#This Row],[base retencion]],0,PROVEEDORES[[#This Row],[retención aplicada]])</f>
        <v>0</v>
      </c>
      <c r="Q1557" s="22">
        <f>+PROVEEDORES[[#This Row],[Rete Fuente %]]*(PROVEEDORES[[#This Row],[SUBTOTAL]]-PROVEEDORES[[#This Row],[descuento sobre subtotal]])</f>
        <v>0</v>
      </c>
      <c r="R1557" s="21">
        <f>+PROVEEDORES[[#This Row],[SUBTOTAL]]+PROVEEDORES[[#This Row],[IVA 19%]]-PROVEEDORES[[#This Row],[descuento sobre subtotal]]-PROVEEDORES[[#This Row],[Descuento sobre subtotal $2]]-PROVEEDORES[[#This Row],[Rete Fuente $]]</f>
        <v>2218000</v>
      </c>
      <c r="S155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7" s="68">
        <f ca="1">IF(PROVEEDORES[[#This Row],[FECHA DE PAGO]]=0,TODAY()-PROVEEDORES[[#This Row],[FECHA DE FACTURACIÓN]]-PROVEEDORES[[#This Row],[PLAZO Días]],0)</f>
        <v>0</v>
      </c>
      <c r="U1557" s="113">
        <f>+VLOOKUP(PROVEEDORES[[#This Row],[PROVEEDOR]],Terceros!$A:$D,4,FALSE)</f>
        <v>0</v>
      </c>
      <c r="V1557" s="114">
        <f>+YEAR(PROVEEDORES[[#This Row],[FECHA DE FACTURACIÓN]])</f>
        <v>2022</v>
      </c>
      <c r="W1557" s="114">
        <f>+MATCH(PROVEEDORES[[#This Row],[año facturado]],Retenciones!$1:$1,0)</f>
        <v>5</v>
      </c>
      <c r="X1557" s="115">
        <f>+VLOOKUP(PROVEEDORES[[#This Row],[ID RETENCION]],Retenciones!$A$1:$O$25,PROVEEDORES[[#This Row],[indicador de columna]],FALSE)</f>
        <v>0</v>
      </c>
      <c r="Y1557" s="116">
        <f>+VLOOKUP(PROVEEDORES[[#This Row],[ID RETENCION]],Retenciones!$A$1:$O$25,2,FALSE)</f>
        <v>0</v>
      </c>
      <c r="Z1557" s="125" t="b">
        <f>OR(COUNTIF(PROVEEDORES[[#This Row],[PROVEEDOR]],"*"&amp;'Palabra no opera'!$A$2&amp;"*"))</f>
        <v>0</v>
      </c>
    </row>
    <row r="1558" spans="1:26" ht="22.2" customHeight="1" x14ac:dyDescent="0.3">
      <c r="A1558" s="159" t="str">
        <f>+IF(PROVEEDORES[[#This Row],[FECHA DE PAGO]]=PROVEEDORES[[#This Row],[FECHA DE FACTURACIÓN]],"DE CONTADO","CRÉDITO")</f>
        <v>CRÉDITO</v>
      </c>
      <c r="B1558" s="38" t="str">
        <f>+IF((PROVEEDORES[[#This Row],[FECHA DE PAGO]]-PROVEEDORES[[#This Row],[FECHA DE FACTURACIÓN]])&gt;PROVEEDORES[[#This Row],[PLAZO Días]],"PAGO VENCIDO")</f>
        <v>PAGO VENCIDO</v>
      </c>
      <c r="C1558" s="20">
        <f>+VLOOKUP(PROVEEDORES[[#This Row],[PROVEEDOR]],TERCEROS_INFO[#All],2,FALSE)</f>
        <v>30</v>
      </c>
      <c r="D1558" s="25">
        <f>+SUMIFS(PROVEEDORES[Total],PROVEEDORES[PROVEEDOR],PROVEEDORES[[#This Row],[PROVEEDOR]],PROVEEDORES[FECHA DE PAGO],"")</f>
        <v>0</v>
      </c>
      <c r="E1558" s="25"/>
      <c r="F155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58" s="161">
        <v>44774</v>
      </c>
      <c r="H1558" s="26" t="s">
        <v>24</v>
      </c>
      <c r="I1558" s="161">
        <v>44720</v>
      </c>
      <c r="J1558" s="35" t="s">
        <v>1064</v>
      </c>
      <c r="K1558" s="21">
        <v>1909610</v>
      </c>
      <c r="L1558" s="21"/>
      <c r="M1558" s="22">
        <f>(PROVEEDORES[[#This Row],[SUBTOTAL]]-PROVEEDORES[[#This Row],[descuento sobre subtotal]])*VLOOKUP(PROVEEDORES[[#This Row],[PROVEEDOR]],TERCEROS_INFO[#All],3,FALSE)</f>
        <v>362825.9</v>
      </c>
      <c r="N1558" s="23"/>
      <c r="O1558" s="22">
        <f>+PROVEEDORES[[#This Row],[Descuento sobre subtotal %]]*(PROVEEDORES[[#This Row],[SUBTOTAL]]-PROVEEDORES[[#This Row],[descuento sobre subtotal]])</f>
        <v>0</v>
      </c>
      <c r="P1558" s="83">
        <f>+IF(PROVEEDORES[[#This Row],[SUBTOTAL]]&lt;PROVEEDORES[[#This Row],[base retencion]],0,PROVEEDORES[[#This Row],[retención aplicada]])</f>
        <v>2.5000000000000001E-2</v>
      </c>
      <c r="Q1558" s="22">
        <f>+PROVEEDORES[[#This Row],[Rete Fuente %]]*(PROVEEDORES[[#This Row],[SUBTOTAL]]-PROVEEDORES[[#This Row],[descuento sobre subtotal]])</f>
        <v>47740.25</v>
      </c>
      <c r="R1558" s="21">
        <f>+PROVEEDORES[[#This Row],[SUBTOTAL]]+PROVEEDORES[[#This Row],[IVA 19%]]-PROVEEDORES[[#This Row],[descuento sobre subtotal]]-PROVEEDORES[[#This Row],[Descuento sobre subtotal $2]]-PROVEEDORES[[#This Row],[Rete Fuente $]]</f>
        <v>2224695.65</v>
      </c>
      <c r="S1558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8" s="68">
        <f ca="1">IF(PROVEEDORES[[#This Row],[FECHA DE PAGO]]=0,TODAY()-PROVEEDORES[[#This Row],[FECHA DE FACTURACIÓN]]-PROVEEDORES[[#This Row],[PLAZO Días]],0)</f>
        <v>0</v>
      </c>
      <c r="U1558" s="113" t="str">
        <f>+VLOOKUP(PROVEEDORES[[#This Row],[PROVEEDOR]],Terceros!$A:$D,4,FALSE)</f>
        <v>2,5% con base</v>
      </c>
      <c r="V1558" s="114">
        <f>+YEAR(PROVEEDORES[[#This Row],[FECHA DE FACTURACIÓN]])</f>
        <v>2022</v>
      </c>
      <c r="W1558" s="114">
        <f>+MATCH(PROVEEDORES[[#This Row],[año facturado]],Retenciones!$1:$1,0)</f>
        <v>5</v>
      </c>
      <c r="X1558" s="115">
        <f>+VLOOKUP(PROVEEDORES[[#This Row],[ID RETENCION]],Retenciones!$A$1:$O$25,PROVEEDORES[[#This Row],[indicador de columna]],FALSE)</f>
        <v>1026000</v>
      </c>
      <c r="Y1558" s="116">
        <f>+VLOOKUP(PROVEEDORES[[#This Row],[ID RETENCION]],Retenciones!$A$1:$O$25,2,FALSE)</f>
        <v>2.5000000000000001E-2</v>
      </c>
      <c r="Z1558" s="125" t="b">
        <f>OR(COUNTIF(PROVEEDORES[[#This Row],[PROVEEDOR]],"*"&amp;'Palabra no opera'!$A$2&amp;"*"))</f>
        <v>0</v>
      </c>
    </row>
    <row r="1559" spans="1:26" ht="22.2" customHeight="1" x14ac:dyDescent="0.3">
      <c r="A1559" s="66" t="str">
        <f>+IF(PROVEEDORES[[#This Row],[FECHA DE PAGO]]=PROVEEDORES[[#This Row],[FECHA DE FACTURACIÓN]],"DE CONTADO","CRÉDITO")</f>
        <v>CRÉDITO</v>
      </c>
      <c r="B1559" s="38" t="b">
        <f>+IF((PROVEEDORES[[#This Row],[FECHA DE PAGO]]-PROVEEDORES[[#This Row],[FECHA DE FACTURACIÓN]])&gt;PROVEEDORES[[#This Row],[PLAZO Días]],"PAGO VENCIDO")</f>
        <v>0</v>
      </c>
      <c r="C1559" s="20">
        <f>+VLOOKUP(PROVEEDORES[[#This Row],[PROVEEDOR]],TERCEROS_INFO[#All],2,FALSE)</f>
        <v>30</v>
      </c>
      <c r="D1559" s="25">
        <f>+SUMIFS(PROVEEDORES[Total],PROVEEDORES[PROVEEDOR],PROVEEDORES[[#This Row],[PROVEEDOR]],PROVEEDORES[FECHA DE PAGO],"")</f>
        <v>0</v>
      </c>
      <c r="E1559" s="25"/>
      <c r="F1559" s="58" t="str">
        <f>+VLOOKUP(PROVEEDORES[[#This Row],[PROVEEDOR]],
                       Terceros!$A:$F,
                       5,
                       FALSE)</f>
        <v>pse</v>
      </c>
      <c r="G1559" s="161">
        <v>44484</v>
      </c>
      <c r="H1559" s="26" t="s">
        <v>907</v>
      </c>
      <c r="I1559" s="161">
        <v>44473</v>
      </c>
      <c r="J1559" s="35" t="s">
        <v>1324</v>
      </c>
      <c r="K1559" s="21">
        <v>1869843</v>
      </c>
      <c r="L1559" s="21"/>
      <c r="M1559" s="22">
        <f>(PROVEEDORES[[#This Row],[SUBTOTAL]]-PROVEEDORES[[#This Row],[descuento sobre subtotal]])*VLOOKUP(PROVEEDORES[[#This Row],[PROVEEDOR]],TERCEROS_INFO[#All],3,FALSE)</f>
        <v>355270.17</v>
      </c>
      <c r="N1559" s="23"/>
      <c r="O1559" s="22">
        <f>+PROVEEDORES[[#This Row],[Descuento sobre subtotal %]]*(PROVEEDORES[[#This Row],[SUBTOTAL]]-PROVEEDORES[[#This Row],[descuento sobre subtotal]])</f>
        <v>0</v>
      </c>
      <c r="P1559" s="83">
        <f>+IF(PROVEEDORES[[#This Row],[SUBTOTAL]]&lt;PROVEEDORES[[#This Row],[base retencion]],0,PROVEEDORES[[#This Row],[retención aplicada]])</f>
        <v>0</v>
      </c>
      <c r="Q1559" s="22">
        <f>+PROVEEDORES[[#This Row],[Rete Fuente %]]*(PROVEEDORES[[#This Row],[SUBTOTAL]]-PROVEEDORES[[#This Row],[descuento sobre subtotal]])</f>
        <v>0</v>
      </c>
      <c r="R1559" s="21">
        <f>+PROVEEDORES[[#This Row],[SUBTOTAL]]+PROVEEDORES[[#This Row],[IVA 19%]]-PROVEEDORES[[#This Row],[descuento sobre subtotal]]-PROVEEDORES[[#This Row],[Descuento sobre subtotal $2]]-PROVEEDORES[[#This Row],[Rete Fuente $]]</f>
        <v>2225113.17</v>
      </c>
      <c r="S155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9" s="68">
        <f ca="1">IF(PROVEEDORES[[#This Row],[FECHA DE PAGO]]=0,TODAY()-PROVEEDORES[[#This Row],[FECHA DE FACTURACIÓN]]-PROVEEDORES[[#This Row],[PLAZO Días]],0)</f>
        <v>0</v>
      </c>
      <c r="U1559" s="96">
        <f>+VLOOKUP(PROVEEDORES[[#This Row],[PROVEEDOR]],Terceros!$A:$D,4,FALSE)</f>
        <v>0</v>
      </c>
      <c r="V1559" s="97">
        <f>+YEAR(PROVEEDORES[[#This Row],[FECHA DE FACTURACIÓN]])</f>
        <v>2021</v>
      </c>
      <c r="W1559" s="97">
        <f>+MATCH(PROVEEDORES[[#This Row],[año facturado]],Retenciones!$1:$1,0)</f>
        <v>4</v>
      </c>
      <c r="X1559" s="98">
        <f>+VLOOKUP(PROVEEDORES[[#This Row],[ID RETENCION]],Retenciones!$A$1:$O$25,PROVEEDORES[[#This Row],[indicador de columna]],FALSE)</f>
        <v>0</v>
      </c>
      <c r="Y1559" s="99">
        <f>+VLOOKUP(PROVEEDORES[[#This Row],[ID RETENCION]],Retenciones!$A$1:$O$25,2,FALSE)</f>
        <v>0</v>
      </c>
      <c r="Z1559" s="125" t="b">
        <f>OR(COUNTIF(PROVEEDORES[[#This Row],[PROVEEDOR]],"*"&amp;'Palabra no opera'!$A$2&amp;"*"))</f>
        <v>1</v>
      </c>
    </row>
    <row r="1560" spans="1:26" ht="22.2" customHeight="1" x14ac:dyDescent="0.3">
      <c r="A1560" s="66" t="str">
        <f>+IF(PROVEEDORES[[#This Row],[FECHA DE PAGO]]=PROVEEDORES[[#This Row],[FECHA DE FACTURACIÓN]],"DE CONTADO","CRÉDITO")</f>
        <v>DE CONTADO</v>
      </c>
      <c r="B1560" s="38" t="b">
        <f>+IF((PROVEEDORES[[#This Row],[FECHA DE PAGO]]-PROVEEDORES[[#This Row],[FECHA DE FACTURACIÓN]])&gt;PROVEEDORES[[#This Row],[PLAZO Días]],"PAGO VENCIDO")</f>
        <v>0</v>
      </c>
      <c r="C1560" s="20">
        <f>+VLOOKUP(PROVEEDORES[[#This Row],[PROVEEDOR]],TERCEROS_INFO[#All],2,FALSE)</f>
        <v>30</v>
      </c>
      <c r="D1560" s="25">
        <f>+SUMIFS(PROVEEDORES[Total],PROVEEDORES[PROVEEDOR],PROVEEDORES[[#This Row],[PROVEEDOR]],PROVEEDORES[FECHA DE PAGO],"")</f>
        <v>0</v>
      </c>
      <c r="E1560" s="25"/>
      <c r="F1560" s="58" t="str">
        <f>+VLOOKUP(PROVEEDORES[[#This Row],[PROVEEDOR]],
                       Terceros!$A:$F,
                       5,
                       FALSE)</f>
        <v/>
      </c>
      <c r="G1560" s="161">
        <v>44438</v>
      </c>
      <c r="H1560" s="26" t="s">
        <v>644</v>
      </c>
      <c r="I1560" s="161">
        <v>44438</v>
      </c>
      <c r="J1560" s="35" t="s">
        <v>1188</v>
      </c>
      <c r="K1560" s="21">
        <v>2229109</v>
      </c>
      <c r="L1560" s="21"/>
      <c r="M1560" s="22">
        <f>(PROVEEDORES[[#This Row],[SUBTOTAL]]-PROVEEDORES[[#This Row],[descuento sobre subtotal]])*VLOOKUP(PROVEEDORES[[#This Row],[PROVEEDOR]],TERCEROS_INFO[#All],3,FALSE)</f>
        <v>0</v>
      </c>
      <c r="N1560" s="23"/>
      <c r="O1560" s="22">
        <f>+PROVEEDORES[[#This Row],[Descuento sobre subtotal %]]*(PROVEEDORES[[#This Row],[SUBTOTAL]]-PROVEEDORES[[#This Row],[descuento sobre subtotal]])</f>
        <v>0</v>
      </c>
      <c r="P1560" s="83">
        <f>+IF(PROVEEDORES[[#This Row],[SUBTOTAL]]&lt;PROVEEDORES[[#This Row],[base retencion]],0,PROVEEDORES[[#This Row],[retención aplicada]])</f>
        <v>0</v>
      </c>
      <c r="Q1560" s="22">
        <f>+PROVEEDORES[[#This Row],[Rete Fuente %]]*(PROVEEDORES[[#This Row],[SUBTOTAL]]-PROVEEDORES[[#This Row],[descuento sobre subtotal]])</f>
        <v>0</v>
      </c>
      <c r="R1560" s="21">
        <f>+PROVEEDORES[[#This Row],[SUBTOTAL]]+PROVEEDORES[[#This Row],[IVA 19%]]-PROVEEDORES[[#This Row],[descuento sobre subtotal]]-PROVEEDORES[[#This Row],[Descuento sobre subtotal $2]]-PROVEEDORES[[#This Row],[Rete Fuente $]]</f>
        <v>2229109</v>
      </c>
      <c r="S15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0" s="68">
        <f ca="1">IF(PROVEEDORES[[#This Row],[FECHA DE PAGO]]=0,TODAY()-PROVEEDORES[[#This Row],[FECHA DE FACTURACIÓN]]-PROVEEDORES[[#This Row],[PLAZO Días]],0)</f>
        <v>0</v>
      </c>
      <c r="U1560" s="96">
        <f>+VLOOKUP(PROVEEDORES[[#This Row],[PROVEEDOR]],Terceros!$A:$D,4,FALSE)</f>
        <v>0</v>
      </c>
      <c r="V1560" s="97">
        <f>+YEAR(PROVEEDORES[[#This Row],[FECHA DE FACTURACIÓN]])</f>
        <v>2021</v>
      </c>
      <c r="W1560" s="97">
        <f>+MATCH(PROVEEDORES[[#This Row],[año facturado]],Retenciones!$1:$1,0)</f>
        <v>4</v>
      </c>
      <c r="X1560" s="98">
        <f>+VLOOKUP(PROVEEDORES[[#This Row],[ID RETENCION]],Retenciones!$A$1:$O$25,PROVEEDORES[[#This Row],[indicador de columna]],FALSE)</f>
        <v>0</v>
      </c>
      <c r="Y1560" s="99">
        <f>+VLOOKUP(PROVEEDORES[[#This Row],[ID RETENCION]],Retenciones!$A$1:$O$25,2,FALSE)</f>
        <v>0</v>
      </c>
      <c r="Z1560" s="125" t="b">
        <f>OR(COUNTIF(PROVEEDORES[[#This Row],[PROVEEDOR]],"*"&amp;'Palabra no opera'!$A$2&amp;"*"))</f>
        <v>0</v>
      </c>
    </row>
    <row r="1561" spans="1:26" ht="22.2" customHeight="1" x14ac:dyDescent="0.3">
      <c r="A1561" s="66" t="str">
        <f>+IF(PROVEEDORES[[#This Row],[FECHA DE PAGO]]=PROVEEDORES[[#This Row],[FECHA DE FACTURACIÓN]],"DE CONTADO","CRÉDITO")</f>
        <v>CRÉDITO</v>
      </c>
      <c r="B1561" s="38" t="str">
        <f>+IF((PROVEEDORES[[#This Row],[FECHA DE PAGO]]-PROVEEDORES[[#This Row],[FECHA DE FACTURACIÓN]])&gt;PROVEEDORES[[#This Row],[PLAZO Días]],"PAGO VENCIDO")</f>
        <v>PAGO VENCIDO</v>
      </c>
      <c r="C1561" s="20">
        <f>+VLOOKUP(PROVEEDORES[[#This Row],[PROVEEDOR]],TERCEROS_INFO[#All],2,FALSE)</f>
        <v>30</v>
      </c>
      <c r="D1561" s="25">
        <f>+SUMIFS(PROVEEDORES[Total],PROVEEDORES[PROVEEDOR],PROVEEDORES[[#This Row],[PROVEEDOR]],PROVEEDORES[FECHA DE PAGO],"")</f>
        <v>0</v>
      </c>
      <c r="E1561" s="25"/>
      <c r="F1561" s="58" t="str">
        <f>+VLOOKUP(PROVEEDORES[[#This Row],[PROVEEDOR]],
                       Terceros!$A:$F,
                       5,
                       FALSE)</f>
        <v/>
      </c>
      <c r="G1561" s="161">
        <v>44208</v>
      </c>
      <c r="H1561" s="26" t="s">
        <v>133</v>
      </c>
      <c r="I1561" s="161">
        <v>44154</v>
      </c>
      <c r="J1561" s="35" t="s">
        <v>82</v>
      </c>
      <c r="K1561" s="21">
        <v>1930844.6445378151</v>
      </c>
      <c r="L1561" s="21"/>
      <c r="M1561" s="22">
        <f>(PROVEEDORES[[#This Row],[SUBTOTAL]]-PROVEEDORES[[#This Row],[descuento sobre subtotal]])*VLOOKUP(PROVEEDORES[[#This Row],[PROVEEDOR]],TERCEROS_INFO[#All],3,FALSE)</f>
        <v>366860.48246218485</v>
      </c>
      <c r="N1561" s="23"/>
      <c r="O1561" s="22">
        <f>+PROVEEDORES[[#This Row],[Descuento sobre subtotal %]]*(PROVEEDORES[[#This Row],[SUBTOTAL]]-PROVEEDORES[[#This Row],[descuento sobre subtotal]])</f>
        <v>0</v>
      </c>
      <c r="P1561" s="83">
        <f>+IF(PROVEEDORES[[#This Row],[SUBTOTAL]]&lt;PROVEEDORES[[#This Row],[base retencion]],0,PROVEEDORES[[#This Row],[retención aplicada]])</f>
        <v>3.5000000000000003E-2</v>
      </c>
      <c r="Q1561" s="22">
        <f>+PROVEEDORES[[#This Row],[Rete Fuente %]]*(PROVEEDORES[[#This Row],[SUBTOTAL]]-PROVEEDORES[[#This Row],[descuento sobre subtotal]])</f>
        <v>67579.562558823542</v>
      </c>
      <c r="R1561" s="21">
        <f>+PROVEEDORES[[#This Row],[SUBTOTAL]]+PROVEEDORES[[#This Row],[IVA 19%]]-PROVEEDORES[[#This Row],[descuento sobre subtotal]]-PROVEEDORES[[#This Row],[Descuento sobre subtotal $2]]-PROVEEDORES[[#This Row],[Rete Fuente $]]</f>
        <v>2230125.5644411761</v>
      </c>
      <c r="S15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1" s="68">
        <f ca="1">IF(PROVEEDORES[[#This Row],[FECHA DE PAGO]]=0,TODAY()-PROVEEDORES[[#This Row],[FECHA DE FACTURACIÓN]]-PROVEEDORES[[#This Row],[PLAZO Días]],0)</f>
        <v>0</v>
      </c>
      <c r="U1561" s="96" t="str">
        <f>+VLOOKUP(PROVEEDORES[[#This Row],[PROVEEDOR]],Terceros!$A:$D,4,FALSE)</f>
        <v>3,5% con base</v>
      </c>
      <c r="V1561" s="97">
        <f>+YEAR(PROVEEDORES[[#This Row],[FECHA DE FACTURACIÓN]])</f>
        <v>2020</v>
      </c>
      <c r="W1561" s="97">
        <f>+MATCH(PROVEEDORES[[#This Row],[año facturado]],Retenciones!$1:$1,0)</f>
        <v>3</v>
      </c>
      <c r="X1561" s="98">
        <f>+VLOOKUP(PROVEEDORES[[#This Row],[ID RETENCION]],Retenciones!$A$1:$O$25,PROVEEDORES[[#This Row],[indicador de columna]],FALSE)</f>
        <v>961000</v>
      </c>
      <c r="Y1561" s="99">
        <f>+VLOOKUP(PROVEEDORES[[#This Row],[ID RETENCION]],Retenciones!$A$1:$O$25,2,FALSE)</f>
        <v>3.5000000000000003E-2</v>
      </c>
      <c r="Z1561" s="125" t="b">
        <f>OR(COUNTIF(PROVEEDORES[[#This Row],[PROVEEDOR]],"*"&amp;'Palabra no opera'!$A$2&amp;"*"))</f>
        <v>0</v>
      </c>
    </row>
    <row r="1562" spans="1:26" ht="22.2" customHeight="1" x14ac:dyDescent="0.3">
      <c r="A1562" s="72" t="str">
        <f>+IF(PROVEEDORES[[#This Row],[FECHA DE PAGO]]=PROVEEDORES[[#This Row],[FECHA DE FACTURACIÓN]],"DE CONTADO","CRÉDITO")</f>
        <v>CRÉDITO</v>
      </c>
      <c r="B1562" s="38" t="str">
        <f>+IF((PROVEEDORES[[#This Row],[FECHA DE PAGO]]-PROVEEDORES[[#This Row],[FECHA DE FACTURACIÓN]])&gt;PROVEEDORES[[#This Row],[PLAZO Días]],"PAGO VENCIDO")</f>
        <v>PAGO VENCIDO</v>
      </c>
      <c r="C1562" s="20">
        <f>+VLOOKUP(PROVEEDORES[[#This Row],[PROVEEDOR]],TERCEROS_INFO[#All],2,FALSE)</f>
        <v>30</v>
      </c>
      <c r="D1562" s="25">
        <f>+SUMIFS(PROVEEDORES[Total],PROVEEDORES[PROVEEDOR],PROVEEDORES[[#This Row],[PROVEEDOR]],PROVEEDORES[FECHA DE PAGO],"")</f>
        <v>23124164.219999999</v>
      </c>
      <c r="E1562" s="25"/>
      <c r="F156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62" s="161">
        <v>44823</v>
      </c>
      <c r="H1562" s="26" t="s">
        <v>18</v>
      </c>
      <c r="I1562" s="161">
        <v>44764</v>
      </c>
      <c r="J1562" s="35">
        <v>1056755</v>
      </c>
      <c r="K1562" s="21">
        <v>2426648</v>
      </c>
      <c r="L1562" s="21"/>
      <c r="M1562" s="22">
        <f>(PROVEEDORES[[#This Row],[SUBTOTAL]]-PROVEEDORES[[#This Row],[descuento sobre subtotal]])*VLOOKUP(PROVEEDORES[[#This Row],[PROVEEDOR]],TERCEROS_INFO[#All],3,FALSE)</f>
        <v>461063.12</v>
      </c>
      <c r="N1562" s="23" t="s">
        <v>1658</v>
      </c>
      <c r="O1562" s="22">
        <v>595000</v>
      </c>
      <c r="P1562" s="83">
        <f>+IF(PROVEEDORES[[#This Row],[SUBTOTAL]]&lt;PROVEEDORES[[#This Row],[base retencion]],0,PROVEEDORES[[#This Row],[retención aplicada]])</f>
        <v>2.5000000000000001E-2</v>
      </c>
      <c r="Q1562" s="22">
        <f>+PROVEEDORES[[#This Row],[Rete Fuente %]]*(PROVEEDORES[[#This Row],[SUBTOTAL]]-PROVEEDORES[[#This Row],[descuento sobre subtotal]])</f>
        <v>60666.200000000004</v>
      </c>
      <c r="R1562" s="21">
        <f>+PROVEEDORES[[#This Row],[SUBTOTAL]]+PROVEEDORES[[#This Row],[IVA 19%]]-PROVEEDORES[[#This Row],[descuento sobre subtotal]]-PROVEEDORES[[#This Row],[Descuento sobre subtotal $2]]-PROVEEDORES[[#This Row],[Rete Fuente $]]</f>
        <v>2232044.92</v>
      </c>
      <c r="S156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2" s="68">
        <f ca="1">IF(PROVEEDORES[[#This Row],[FECHA DE PAGO]]=0,TODAY()-PROVEEDORES[[#This Row],[FECHA DE FACTURACIÓN]]-PROVEEDORES[[#This Row],[PLAZO Días]],0)</f>
        <v>0</v>
      </c>
      <c r="U1562" s="113" t="str">
        <f>+VLOOKUP(PROVEEDORES[[#This Row],[PROVEEDOR]],Terceros!$A:$D,4,FALSE)</f>
        <v>2,5% con base</v>
      </c>
      <c r="V1562" s="114">
        <f>+YEAR(PROVEEDORES[[#This Row],[FECHA DE FACTURACIÓN]])</f>
        <v>2022</v>
      </c>
      <c r="W1562" s="114">
        <f>+MATCH(PROVEEDORES[[#This Row],[año facturado]],Retenciones!$1:$1,0)</f>
        <v>5</v>
      </c>
      <c r="X1562" s="115">
        <f>+VLOOKUP(PROVEEDORES[[#This Row],[ID RETENCION]],Retenciones!$A$1:$O$25,PROVEEDORES[[#This Row],[indicador de columna]],FALSE)</f>
        <v>1026000</v>
      </c>
      <c r="Y1562" s="116">
        <f>+VLOOKUP(PROVEEDORES[[#This Row],[ID RETENCION]],Retenciones!$A$1:$O$25,2,FALSE)</f>
        <v>2.5000000000000001E-2</v>
      </c>
      <c r="Z1562" s="125" t="b">
        <f>OR(COUNTIF(PROVEEDORES[[#This Row],[PROVEEDOR]],"*"&amp;'Palabra no opera'!$A$2&amp;"*"))</f>
        <v>0</v>
      </c>
    </row>
    <row r="1563" spans="1:26" ht="22.2" customHeight="1" x14ac:dyDescent="0.3">
      <c r="A1563" s="66" t="str">
        <f>+IF(PROVEEDORES[[#This Row],[FECHA DE PAGO]]=PROVEEDORES[[#This Row],[FECHA DE FACTURACIÓN]],"DE CONTADO","CRÉDITO")</f>
        <v>CRÉDITO</v>
      </c>
      <c r="B1563" s="38" t="str">
        <f>+IF((PROVEEDORES[[#This Row],[FECHA DE PAGO]]-PROVEEDORES[[#This Row],[FECHA DE FACTURACIÓN]])&gt;PROVEEDORES[[#This Row],[PLAZO Días]],"PAGO VENCIDO")</f>
        <v>PAGO VENCIDO</v>
      </c>
      <c r="C1563" s="20">
        <f>+VLOOKUP(PROVEEDORES[[#This Row],[PROVEEDOR]],TERCEROS_INFO[#All],2,FALSE)</f>
        <v>30</v>
      </c>
      <c r="D1563" s="25">
        <f>+SUMIFS(PROVEEDORES[Total],PROVEEDORES[PROVEEDOR],PROVEEDORES[[#This Row],[PROVEEDOR]],PROVEEDORES[FECHA DE PAGO],"")</f>
        <v>2223034.2400000002</v>
      </c>
      <c r="E1563" s="25"/>
      <c r="F156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63" s="161">
        <v>44239</v>
      </c>
      <c r="H1563" s="26" t="s">
        <v>216</v>
      </c>
      <c r="I1563" s="161">
        <v>44158</v>
      </c>
      <c r="J1563" s="35">
        <v>27</v>
      </c>
      <c r="K1563" s="21">
        <v>1917313.4453781513</v>
      </c>
      <c r="L1563" s="21"/>
      <c r="M1563" s="22">
        <f>(PROVEEDORES[[#This Row],[SUBTOTAL]]-PROVEEDORES[[#This Row],[descuento sobre subtotal]])*VLOOKUP(PROVEEDORES[[#This Row],[PROVEEDOR]],TERCEROS_INFO[#All],3,FALSE)</f>
        <v>364289.55462184874</v>
      </c>
      <c r="N1563" s="23"/>
      <c r="O1563" s="22">
        <f>+PROVEEDORES[[#This Row],[Descuento sobre subtotal %]]*(PROVEEDORES[[#This Row],[SUBTOTAL]]-PROVEEDORES[[#This Row],[descuento sobre subtotal]])</f>
        <v>0</v>
      </c>
      <c r="P1563" s="83">
        <f>+IF(PROVEEDORES[[#This Row],[SUBTOTAL]]&lt;PROVEEDORES[[#This Row],[base retencion]],0,PROVEEDORES[[#This Row],[retención aplicada]])</f>
        <v>2.5000000000000001E-2</v>
      </c>
      <c r="Q1563" s="22">
        <f>+PROVEEDORES[[#This Row],[Rete Fuente %]]*(PROVEEDORES[[#This Row],[SUBTOTAL]]-PROVEEDORES[[#This Row],[descuento sobre subtotal]])</f>
        <v>47932.836134453784</v>
      </c>
      <c r="R1563" s="21">
        <f>+PROVEEDORES[[#This Row],[SUBTOTAL]]+PROVEEDORES[[#This Row],[IVA 19%]]-PROVEEDORES[[#This Row],[descuento sobre subtotal]]-PROVEEDORES[[#This Row],[Descuento sobre subtotal $2]]-PROVEEDORES[[#This Row],[Rete Fuente $]]</f>
        <v>2233670.1638655462</v>
      </c>
      <c r="S15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3" s="68">
        <f ca="1">IF(PROVEEDORES[[#This Row],[FECHA DE PAGO]]=0,TODAY()-PROVEEDORES[[#This Row],[FECHA DE FACTURACIÓN]]-PROVEEDORES[[#This Row],[PLAZO Días]],0)</f>
        <v>0</v>
      </c>
      <c r="U1563" s="96" t="str">
        <f>+VLOOKUP(PROVEEDORES[[#This Row],[PROVEEDOR]],Terceros!$A:$D,4,FALSE)</f>
        <v>2,5% con base</v>
      </c>
      <c r="V1563" s="97">
        <f>+YEAR(PROVEEDORES[[#This Row],[FECHA DE FACTURACIÓN]])</f>
        <v>2020</v>
      </c>
      <c r="W1563" s="97">
        <f>+MATCH(PROVEEDORES[[#This Row],[año facturado]],Retenciones!$1:$1,0)</f>
        <v>3</v>
      </c>
      <c r="X1563" s="98">
        <f>+VLOOKUP(PROVEEDORES[[#This Row],[ID RETENCION]],Retenciones!$A$1:$O$25,PROVEEDORES[[#This Row],[indicador de columna]],FALSE)</f>
        <v>961000</v>
      </c>
      <c r="Y1563" s="99">
        <f>+VLOOKUP(PROVEEDORES[[#This Row],[ID RETENCION]],Retenciones!$A$1:$O$25,2,FALSE)</f>
        <v>2.5000000000000001E-2</v>
      </c>
      <c r="Z1563" s="125" t="b">
        <f>OR(COUNTIF(PROVEEDORES[[#This Row],[PROVEEDOR]],"*"&amp;'Palabra no opera'!$A$2&amp;"*"))</f>
        <v>0</v>
      </c>
    </row>
    <row r="1564" spans="1:26" ht="22.2" customHeight="1" x14ac:dyDescent="0.3">
      <c r="A1564" s="159" t="str">
        <f>+IF(PROVEEDORES[[#This Row],[FECHA DE PAGO]]=PROVEEDORES[[#This Row],[FECHA DE FACTURACIÓN]],"DE CONTADO","CRÉDITO")</f>
        <v>CRÉDITO</v>
      </c>
      <c r="B1564" s="38" t="str">
        <f>+IF((PROVEEDORES[[#This Row],[FECHA DE PAGO]]-PROVEEDORES[[#This Row],[FECHA DE FACTURACIÓN]])&gt;PROVEEDORES[[#This Row],[PLAZO Días]],"PAGO VENCIDO")</f>
        <v>PAGO VENCIDO</v>
      </c>
      <c r="C1564" s="20">
        <f>+VLOOKUP(PROVEEDORES[[#This Row],[PROVEEDOR]],TERCEROS_INFO[#All],2,FALSE)</f>
        <v>30</v>
      </c>
      <c r="D1564" s="25">
        <f>+SUMIFS(PROVEEDORES[Total],PROVEEDORES[PROVEEDOR],PROVEEDORES[[#This Row],[PROVEEDOR]],PROVEEDORES[FECHA DE PAGO],"")</f>
        <v>0</v>
      </c>
      <c r="E1564" s="25"/>
      <c r="F1564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64" s="161">
        <v>44799</v>
      </c>
      <c r="H1564" s="26" t="s">
        <v>20</v>
      </c>
      <c r="I1564" s="161">
        <v>44741</v>
      </c>
      <c r="J1564" s="35">
        <v>7283</v>
      </c>
      <c r="K1564" s="21">
        <v>1919422</v>
      </c>
      <c r="L1564" s="21"/>
      <c r="M1564" s="22">
        <f>(PROVEEDORES[[#This Row],[SUBTOTAL]]-PROVEEDORES[[#This Row],[descuento sobre subtotal]])*VLOOKUP(PROVEEDORES[[#This Row],[PROVEEDOR]],TERCEROS_INFO[#All],3,FALSE)</f>
        <v>364690.18</v>
      </c>
      <c r="N1564" s="23"/>
      <c r="O1564" s="22">
        <f>+PROVEEDORES[[#This Row],[Descuento sobre subtotal %]]*(PROVEEDORES[[#This Row],[SUBTOTAL]]-PROVEEDORES[[#This Row],[descuento sobre subtotal]])</f>
        <v>0</v>
      </c>
      <c r="P1564" s="83">
        <f>+IF(PROVEEDORES[[#This Row],[SUBTOTAL]]&lt;PROVEEDORES[[#This Row],[base retencion]],0,PROVEEDORES[[#This Row],[retención aplicada]])</f>
        <v>2.5000000000000001E-2</v>
      </c>
      <c r="Q1564" s="22">
        <f>+PROVEEDORES[[#This Row],[Rete Fuente %]]*(PROVEEDORES[[#This Row],[SUBTOTAL]]-PROVEEDORES[[#This Row],[descuento sobre subtotal]])</f>
        <v>47985.55</v>
      </c>
      <c r="R1564" s="21">
        <f>+PROVEEDORES[[#This Row],[SUBTOTAL]]+PROVEEDORES[[#This Row],[IVA 19%]]-PROVEEDORES[[#This Row],[descuento sobre subtotal]]-PROVEEDORES[[#This Row],[Descuento sobre subtotal $2]]-PROVEEDORES[[#This Row],[Rete Fuente $]]</f>
        <v>2236126.6300000004</v>
      </c>
      <c r="S156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4" s="68">
        <f ca="1">IF(PROVEEDORES[[#This Row],[FECHA DE PAGO]]=0,TODAY()-PROVEEDORES[[#This Row],[FECHA DE FACTURACIÓN]]-PROVEEDORES[[#This Row],[PLAZO Días]],0)</f>
        <v>0</v>
      </c>
      <c r="U1564" s="113" t="str">
        <f>+VLOOKUP(PROVEEDORES[[#This Row],[PROVEEDOR]],Terceros!$A:$D,4,FALSE)</f>
        <v>2,5% con base</v>
      </c>
      <c r="V1564" s="114">
        <f>+YEAR(PROVEEDORES[[#This Row],[FECHA DE FACTURACIÓN]])</f>
        <v>2022</v>
      </c>
      <c r="W1564" s="114">
        <f>+MATCH(PROVEEDORES[[#This Row],[año facturado]],Retenciones!$1:$1,0)</f>
        <v>5</v>
      </c>
      <c r="X1564" s="115">
        <f>+VLOOKUP(PROVEEDORES[[#This Row],[ID RETENCION]],Retenciones!$A$1:$O$25,PROVEEDORES[[#This Row],[indicador de columna]],FALSE)</f>
        <v>1026000</v>
      </c>
      <c r="Y1564" s="116">
        <f>+VLOOKUP(PROVEEDORES[[#This Row],[ID RETENCION]],Retenciones!$A$1:$O$25,2,FALSE)</f>
        <v>2.5000000000000001E-2</v>
      </c>
      <c r="Z1564" s="125" t="b">
        <f>OR(COUNTIF(PROVEEDORES[[#This Row],[PROVEEDOR]],"*"&amp;'Palabra no opera'!$A$2&amp;"*"))</f>
        <v>0</v>
      </c>
    </row>
    <row r="1565" spans="1:26" ht="22.2" customHeight="1" x14ac:dyDescent="0.3">
      <c r="A1565" s="120" t="str">
        <f>+IF(PROVEEDORES[[#This Row],[FECHA DE PAGO]]=PROVEEDORES[[#This Row],[FECHA DE FACTURACIÓN]],"DE CONTADO","CRÉDITO")</f>
        <v>CRÉDITO</v>
      </c>
      <c r="B1565" s="38" t="b">
        <f>+IF((PROVEEDORES[[#This Row],[FECHA DE PAGO]]-PROVEEDORES[[#This Row],[FECHA DE FACTURACIÓN]])&gt;PROVEEDORES[[#This Row],[PLAZO Días]],"PAGO VENCIDO")</f>
        <v>0</v>
      </c>
      <c r="C1565" s="20">
        <f>+VLOOKUP(PROVEEDORES[[#This Row],[PROVEEDOR]],TERCEROS_INFO[#All],2,FALSE)</f>
        <v>30</v>
      </c>
      <c r="D1565" s="25">
        <f>+SUMIFS(PROVEEDORES[Total],PROVEEDORES[PROVEEDOR],PROVEEDORES[[#This Row],[PROVEEDOR]],PROVEEDORES[FECHA DE PAGO],"")</f>
        <v>5430852.9800000004</v>
      </c>
      <c r="E1565" s="25"/>
      <c r="F156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565" s="161">
        <v>44699</v>
      </c>
      <c r="H1565" s="26" t="s">
        <v>408</v>
      </c>
      <c r="I1565" s="161">
        <v>44669</v>
      </c>
      <c r="J1565" s="35" t="s">
        <v>889</v>
      </c>
      <c r="K1565" s="21">
        <v>1887203.25</v>
      </c>
      <c r="L1565" s="21"/>
      <c r="M1565" s="22">
        <f>(PROVEEDORES[[#This Row],[SUBTOTAL]]-PROVEEDORES[[#This Row],[descuento sobre subtotal]])*VLOOKUP(PROVEEDORES[[#This Row],[PROVEEDOR]],TERCEROS_INFO[#All],3,FALSE)</f>
        <v>358568.61749999999</v>
      </c>
      <c r="N1565" s="23"/>
      <c r="O1565" s="22">
        <f>+PROVEEDORES[[#This Row],[Descuento sobre subtotal %]]*(PROVEEDORES[[#This Row],[SUBTOTAL]]-PROVEEDORES[[#This Row],[descuento sobre subtotal]])</f>
        <v>0</v>
      </c>
      <c r="P1565" s="83">
        <f>+IF(PROVEEDORES[[#This Row],[SUBTOTAL]]&lt;PROVEEDORES[[#This Row],[base retencion]],0,PROVEEDORES[[#This Row],[retención aplicada]])</f>
        <v>0</v>
      </c>
      <c r="Q1565" s="22">
        <f>+PROVEEDORES[[#This Row],[Rete Fuente %]]*(PROVEEDORES[[#This Row],[SUBTOTAL]]-PROVEEDORES[[#This Row],[descuento sobre subtotal]])</f>
        <v>0</v>
      </c>
      <c r="R1565" s="21">
        <f>+PROVEEDORES[[#This Row],[SUBTOTAL]]+PROVEEDORES[[#This Row],[IVA 19%]]-PROVEEDORES[[#This Row],[descuento sobre subtotal]]-PROVEEDORES[[#This Row],[Descuento sobre subtotal $2]]-PROVEEDORES[[#This Row],[Rete Fuente $]]</f>
        <v>2245771.8675000002</v>
      </c>
      <c r="S15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5" s="68">
        <f ca="1">IF(PROVEEDORES[[#This Row],[FECHA DE PAGO]]=0,TODAY()-PROVEEDORES[[#This Row],[FECHA DE FACTURACIÓN]]-PROVEEDORES[[#This Row],[PLAZO Días]],0)</f>
        <v>0</v>
      </c>
      <c r="U1565" s="113">
        <f>+VLOOKUP(PROVEEDORES[[#This Row],[PROVEEDOR]],Terceros!$A:$D,4,FALSE)</f>
        <v>0</v>
      </c>
      <c r="V1565" s="114">
        <f>+YEAR(PROVEEDORES[[#This Row],[FECHA DE FACTURACIÓN]])</f>
        <v>2022</v>
      </c>
      <c r="W1565" s="114">
        <f>+MATCH(PROVEEDORES[[#This Row],[año facturado]],Retenciones!$1:$1,0)</f>
        <v>5</v>
      </c>
      <c r="X1565" s="115">
        <f>+VLOOKUP(PROVEEDORES[[#This Row],[ID RETENCION]],Retenciones!$A$1:$O$25,PROVEEDORES[[#This Row],[indicador de columna]],FALSE)</f>
        <v>0</v>
      </c>
      <c r="Y1565" s="116">
        <f>+VLOOKUP(PROVEEDORES[[#This Row],[ID RETENCION]],Retenciones!$A$1:$O$25,2,FALSE)</f>
        <v>0</v>
      </c>
      <c r="Z1565" s="125" t="b">
        <f>OR(COUNTIF(PROVEEDORES[[#This Row],[PROVEEDOR]],"*"&amp;'Palabra no opera'!$A$2&amp;"*"))</f>
        <v>0</v>
      </c>
    </row>
    <row r="1566" spans="1:26" ht="22.2" customHeight="1" x14ac:dyDescent="0.3">
      <c r="A1566" s="66" t="str">
        <f>+IF(PROVEEDORES[[#This Row],[FECHA DE PAGO]]=PROVEEDORES[[#This Row],[FECHA DE FACTURACIÓN]],"DE CONTADO","CRÉDITO")</f>
        <v>CRÉDITO</v>
      </c>
      <c r="B1566" s="38" t="str">
        <f>+IF((PROVEEDORES[[#This Row],[FECHA DE PAGO]]-PROVEEDORES[[#This Row],[FECHA DE FACTURACIÓN]])&gt;PROVEEDORES[[#This Row],[PLAZO Días]],"PAGO VENCIDO")</f>
        <v>PAGO VENCIDO</v>
      </c>
      <c r="C1566" s="20">
        <f>+VLOOKUP(PROVEEDORES[[#This Row],[PROVEEDOR]],TERCEROS_INFO[#All],2,FALSE)</f>
        <v>90</v>
      </c>
      <c r="D1566" s="25">
        <f>+SUMIFS(PROVEEDORES[Total],PROVEEDORES[PROVEEDOR],PROVEEDORES[[#This Row],[PROVEEDOR]],PROVEEDORES[FECHA DE PAGO],"")</f>
        <v>26350422.770000003</v>
      </c>
      <c r="E1566" s="25"/>
      <c r="F156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566" s="161">
        <v>44376</v>
      </c>
      <c r="H1566" s="26" t="s">
        <v>12</v>
      </c>
      <c r="I1566" s="161">
        <v>44265</v>
      </c>
      <c r="J1566" s="35" t="s">
        <v>246</v>
      </c>
      <c r="K1566" s="21">
        <v>1928572</v>
      </c>
      <c r="L1566" s="21"/>
      <c r="M1566" s="22">
        <f>(PROVEEDORES[[#This Row],[SUBTOTAL]]-PROVEEDORES[[#This Row],[descuento sobre subtotal]])*VLOOKUP(PROVEEDORES[[#This Row],[PROVEEDOR]],TERCEROS_INFO[#All],3,FALSE)</f>
        <v>366428.68</v>
      </c>
      <c r="N1566" s="23"/>
      <c r="O1566" s="22">
        <f>+PROVEEDORES[[#This Row],[Descuento sobre subtotal %]]*(PROVEEDORES[[#This Row],[SUBTOTAL]]-PROVEEDORES[[#This Row],[descuento sobre subtotal]])</f>
        <v>0</v>
      </c>
      <c r="P1566" s="83">
        <f>+IF(PROVEEDORES[[#This Row],[SUBTOTAL]]&lt;PROVEEDORES[[#This Row],[base retencion]],0,PROVEEDORES[[#This Row],[retención aplicada]])</f>
        <v>2.5000000000000001E-2</v>
      </c>
      <c r="Q1566" s="22">
        <f>+PROVEEDORES[[#This Row],[Rete Fuente %]]*(PROVEEDORES[[#This Row],[SUBTOTAL]]-PROVEEDORES[[#This Row],[descuento sobre subtotal]])</f>
        <v>48214.3</v>
      </c>
      <c r="R1566" s="21">
        <f>+PROVEEDORES[[#This Row],[SUBTOTAL]]+PROVEEDORES[[#This Row],[IVA 19%]]-PROVEEDORES[[#This Row],[descuento sobre subtotal]]-PROVEEDORES[[#This Row],[Descuento sobre subtotal $2]]-PROVEEDORES[[#This Row],[Rete Fuente $]]</f>
        <v>2246786.3800000004</v>
      </c>
      <c r="S15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6" s="68">
        <f ca="1">IF(PROVEEDORES[[#This Row],[FECHA DE PAGO]]=0,TODAY()-PROVEEDORES[[#This Row],[FECHA DE FACTURACIÓN]]-PROVEEDORES[[#This Row],[PLAZO Días]],0)</f>
        <v>0</v>
      </c>
      <c r="U1566" s="96" t="str">
        <f>+VLOOKUP(PROVEEDORES[[#This Row],[PROVEEDOR]],Terceros!$A:$D,4,FALSE)</f>
        <v>2,5% con base</v>
      </c>
      <c r="V1566" s="97">
        <f>+YEAR(PROVEEDORES[[#This Row],[FECHA DE FACTURACIÓN]])</f>
        <v>2021</v>
      </c>
      <c r="W1566" s="97">
        <f>+MATCH(PROVEEDORES[[#This Row],[año facturado]],Retenciones!$1:$1,0)</f>
        <v>4</v>
      </c>
      <c r="X1566" s="98">
        <f>+VLOOKUP(PROVEEDORES[[#This Row],[ID RETENCION]],Retenciones!$A$1:$O$25,PROVEEDORES[[#This Row],[indicador de columna]],FALSE)</f>
        <v>980000</v>
      </c>
      <c r="Y1566" s="99">
        <f>+VLOOKUP(PROVEEDORES[[#This Row],[ID RETENCION]],Retenciones!$A$1:$O$25,2,FALSE)</f>
        <v>2.5000000000000001E-2</v>
      </c>
      <c r="Z1566" s="125" t="b">
        <f>OR(COUNTIF(PROVEEDORES[[#This Row],[PROVEEDOR]],"*"&amp;'Palabra no opera'!$A$2&amp;"*"))</f>
        <v>0</v>
      </c>
    </row>
    <row r="1567" spans="1:26" ht="22.2" customHeight="1" x14ac:dyDescent="0.3">
      <c r="A1567" s="144" t="str">
        <f>+IF(PROVEEDORES[[#This Row],[FECHA DE PAGO]]=PROVEEDORES[[#This Row],[FECHA DE FACTURACIÓN]],"DE CONTADO","CRÉDITO")</f>
        <v>CRÉDITO</v>
      </c>
      <c r="B1567" s="38" t="str">
        <f>+IF((PROVEEDORES[[#This Row],[FECHA DE PAGO]]-PROVEEDORES[[#This Row],[FECHA DE FACTURACIÓN]])&gt;PROVEEDORES[[#This Row],[PLAZO Días]],"PAGO VENCIDO")</f>
        <v>PAGO VENCIDO</v>
      </c>
      <c r="C1567" s="20">
        <f>+VLOOKUP(PROVEEDORES[[#This Row],[PROVEEDOR]],TERCEROS_INFO[#All],2,FALSE)</f>
        <v>30</v>
      </c>
      <c r="D1567" s="25">
        <f>+SUMIFS(PROVEEDORES[Total],PROVEEDORES[PROVEEDOR],PROVEEDORES[[#This Row],[PROVEEDOR]],PROVEEDORES[FECHA DE PAGO],"")</f>
        <v>4712021.58</v>
      </c>
      <c r="E1567" s="25"/>
      <c r="F156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7" s="161">
        <v>44749</v>
      </c>
      <c r="H1567" s="26" t="s">
        <v>17</v>
      </c>
      <c r="I1567" s="161">
        <v>44705</v>
      </c>
      <c r="J1567" s="35" t="s">
        <v>985</v>
      </c>
      <c r="K1567" s="21">
        <v>1899899.7</v>
      </c>
      <c r="L1567" s="21"/>
      <c r="M1567" s="22">
        <f>(PROVEEDORES[[#This Row],[SUBTOTAL]]-PROVEEDORES[[#This Row],[descuento sobre subtotal]])*VLOOKUP(PROVEEDORES[[#This Row],[PROVEEDOR]],TERCEROS_INFO[#All],3,FALSE)</f>
        <v>360980.94299999997</v>
      </c>
      <c r="N1567" s="23"/>
      <c r="O1567" s="22">
        <f>+PROVEEDORES[[#This Row],[Descuento sobre subtotal %]]*(PROVEEDORES[[#This Row],[SUBTOTAL]]-PROVEEDORES[[#This Row],[descuento sobre subtotal]])</f>
        <v>0</v>
      </c>
      <c r="P1567" s="83">
        <f>+IF(PROVEEDORES[[#This Row],[SUBTOTAL]]&lt;PROVEEDORES[[#This Row],[base retencion]],0,PROVEEDORES[[#This Row],[retención aplicada]])</f>
        <v>0</v>
      </c>
      <c r="Q1567" s="22">
        <f>+PROVEEDORES[[#This Row],[Rete Fuente %]]*(PROVEEDORES[[#This Row],[SUBTOTAL]]-PROVEEDORES[[#This Row],[descuento sobre subtotal]])</f>
        <v>0</v>
      </c>
      <c r="R1567" s="21">
        <f>+PROVEEDORES[[#This Row],[SUBTOTAL]]+PROVEEDORES[[#This Row],[IVA 19%]]-PROVEEDORES[[#This Row],[descuento sobre subtotal]]-PROVEEDORES[[#This Row],[Descuento sobre subtotal $2]]-PROVEEDORES[[#This Row],[Rete Fuente $]]</f>
        <v>2260880.6430000002</v>
      </c>
      <c r="S1567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7" s="68">
        <f ca="1">IF(PROVEEDORES[[#This Row],[FECHA DE PAGO]]=0,TODAY()-PROVEEDORES[[#This Row],[FECHA DE FACTURACIÓN]]-PROVEEDORES[[#This Row],[PLAZO Días]],0)</f>
        <v>0</v>
      </c>
      <c r="U1567" s="113">
        <f>+VLOOKUP(PROVEEDORES[[#This Row],[PROVEEDOR]],Terceros!$A:$D,4,FALSE)</f>
        <v>0</v>
      </c>
      <c r="V1567" s="114">
        <f>+YEAR(PROVEEDORES[[#This Row],[FECHA DE FACTURACIÓN]])</f>
        <v>2022</v>
      </c>
      <c r="W1567" s="114">
        <f>+MATCH(PROVEEDORES[[#This Row],[año facturado]],Retenciones!$1:$1,0)</f>
        <v>5</v>
      </c>
      <c r="X1567" s="115">
        <f>+VLOOKUP(PROVEEDORES[[#This Row],[ID RETENCION]],Retenciones!$A$1:$O$25,PROVEEDORES[[#This Row],[indicador de columna]],FALSE)</f>
        <v>0</v>
      </c>
      <c r="Y1567" s="116">
        <f>+VLOOKUP(PROVEEDORES[[#This Row],[ID RETENCION]],Retenciones!$A$1:$O$25,2,FALSE)</f>
        <v>0</v>
      </c>
      <c r="Z1567" s="125" t="b">
        <f>OR(COUNTIF(PROVEEDORES[[#This Row],[PROVEEDOR]],"*"&amp;'Palabra no opera'!$A$2&amp;"*"))</f>
        <v>0</v>
      </c>
    </row>
    <row r="1568" spans="1:26" ht="22.2" customHeight="1" x14ac:dyDescent="0.3">
      <c r="A1568" s="66" t="str">
        <f>+IF(PROVEEDORES[[#This Row],[FECHA DE PAGO]]=PROVEEDORES[[#This Row],[FECHA DE FACTURACIÓN]],"DE CONTADO","CRÉDITO")</f>
        <v>DE CONTADO</v>
      </c>
      <c r="B1568" s="38" t="b">
        <f>+IF((PROVEEDORES[[#This Row],[FECHA DE PAGO]]-PROVEEDORES[[#This Row],[FECHA DE FACTURACIÓN]])&gt;PROVEEDORES[[#This Row],[PLAZO Días]],"PAGO VENCIDO")</f>
        <v>0</v>
      </c>
      <c r="C1568" s="20">
        <f>+VLOOKUP(PROVEEDORES[[#This Row],[PROVEEDOR]],TERCEROS_INFO[#All],2,FALSE)</f>
        <v>30</v>
      </c>
      <c r="D1568" s="25">
        <f>+SUMIFS(PROVEEDORES[Total],PROVEEDORES[PROVEEDOR],PROVEEDORES[[#This Row],[PROVEEDOR]],PROVEEDORES[FECHA DE PAGO],"")</f>
        <v>0</v>
      </c>
      <c r="E1568" s="25"/>
      <c r="F1568" s="58" t="str">
        <f>+VLOOKUP(PROVEEDORES[[#This Row],[PROVEEDOR]],
                       Terceros!$A:$F,
                       5,
                       FALSE)</f>
        <v/>
      </c>
      <c r="G1568" s="161">
        <v>44347</v>
      </c>
      <c r="H1568" s="26" t="s">
        <v>644</v>
      </c>
      <c r="I1568" s="161">
        <v>44347</v>
      </c>
      <c r="J1568" s="35" t="s">
        <v>598</v>
      </c>
      <c r="K1568" s="21">
        <v>2264200</v>
      </c>
      <c r="L1568" s="21"/>
      <c r="M1568" s="22">
        <f>(PROVEEDORES[[#This Row],[SUBTOTAL]]-PROVEEDORES[[#This Row],[descuento sobre subtotal]])*VLOOKUP(PROVEEDORES[[#This Row],[PROVEEDOR]],TERCEROS_INFO[#All],3,FALSE)</f>
        <v>0</v>
      </c>
      <c r="N1568" s="23"/>
      <c r="O1568" s="22">
        <f>+PROVEEDORES[[#This Row],[Descuento sobre subtotal %]]*(PROVEEDORES[[#This Row],[SUBTOTAL]]-PROVEEDORES[[#This Row],[descuento sobre subtotal]])</f>
        <v>0</v>
      </c>
      <c r="P1568" s="83">
        <f>+IF(PROVEEDORES[[#This Row],[SUBTOTAL]]&lt;PROVEEDORES[[#This Row],[base retencion]],0,PROVEEDORES[[#This Row],[retención aplicada]])</f>
        <v>0</v>
      </c>
      <c r="Q1568" s="22">
        <f>+PROVEEDORES[[#This Row],[Rete Fuente %]]*(PROVEEDORES[[#This Row],[SUBTOTAL]]-PROVEEDORES[[#This Row],[descuento sobre subtotal]])</f>
        <v>0</v>
      </c>
      <c r="R1568" s="21">
        <f>+PROVEEDORES[[#This Row],[SUBTOTAL]]+PROVEEDORES[[#This Row],[IVA 19%]]-PROVEEDORES[[#This Row],[descuento sobre subtotal]]-PROVEEDORES[[#This Row],[Descuento sobre subtotal $2]]-PROVEEDORES[[#This Row],[Rete Fuente $]]</f>
        <v>2264200</v>
      </c>
      <c r="S15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8" s="68">
        <f ca="1">IF(PROVEEDORES[[#This Row],[FECHA DE PAGO]]=0,TODAY()-PROVEEDORES[[#This Row],[FECHA DE FACTURACIÓN]]-PROVEEDORES[[#This Row],[PLAZO Días]],0)</f>
        <v>0</v>
      </c>
      <c r="U1568" s="96">
        <f>+VLOOKUP(PROVEEDORES[[#This Row],[PROVEEDOR]],Terceros!$A:$D,4,FALSE)</f>
        <v>0</v>
      </c>
      <c r="V1568" s="97">
        <f>+YEAR(PROVEEDORES[[#This Row],[FECHA DE FACTURACIÓN]])</f>
        <v>2021</v>
      </c>
      <c r="W1568" s="97">
        <f>+MATCH(PROVEEDORES[[#This Row],[año facturado]],Retenciones!$1:$1,0)</f>
        <v>4</v>
      </c>
      <c r="X1568" s="98">
        <f>+VLOOKUP(PROVEEDORES[[#This Row],[ID RETENCION]],Retenciones!$A$1:$O$25,PROVEEDORES[[#This Row],[indicador de columna]],FALSE)</f>
        <v>0</v>
      </c>
      <c r="Y1568" s="99">
        <f>+VLOOKUP(PROVEEDORES[[#This Row],[ID RETENCION]],Retenciones!$A$1:$O$25,2,FALSE)</f>
        <v>0</v>
      </c>
      <c r="Z1568" s="125" t="b">
        <f>OR(COUNTIF(PROVEEDORES[[#This Row],[PROVEEDOR]],"*"&amp;'Palabra no opera'!$A$2&amp;"*"))</f>
        <v>0</v>
      </c>
    </row>
    <row r="1569" spans="1:26" ht="22.2" customHeight="1" x14ac:dyDescent="0.3">
      <c r="A1569" s="66" t="str">
        <f>+IF(PROVEEDORES[[#This Row],[FECHA DE PAGO]]=PROVEEDORES[[#This Row],[FECHA DE FACTURACIÓN]],"DE CONTADO","CRÉDITO")</f>
        <v>CRÉDITO</v>
      </c>
      <c r="B1569" s="38" t="str">
        <f>+IF((PROVEEDORES[[#This Row],[FECHA DE PAGO]]-PROVEEDORES[[#This Row],[FECHA DE FACTURACIÓN]])&gt;PROVEEDORES[[#This Row],[PLAZO Días]],"PAGO VENCIDO")</f>
        <v>PAGO VENCIDO</v>
      </c>
      <c r="C1569" s="20">
        <f>+VLOOKUP(PROVEEDORES[[#This Row],[PROVEEDOR]],TERCEROS_INFO[#All],2,FALSE)</f>
        <v>30</v>
      </c>
      <c r="D1569" s="25">
        <f>+SUMIFS(PROVEEDORES[Total],PROVEEDORES[PROVEEDOR],PROVEEDORES[[#This Row],[PROVEEDOR]],PROVEEDORES[FECHA DE PAGO],"")</f>
        <v>2456000</v>
      </c>
      <c r="E1569" s="25"/>
      <c r="F1569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569" s="161">
        <v>44433</v>
      </c>
      <c r="H1569" s="26" t="s">
        <v>623</v>
      </c>
      <c r="I1569" s="161">
        <v>44383</v>
      </c>
      <c r="J1569" s="35" t="s">
        <v>1265</v>
      </c>
      <c r="K1569" s="21">
        <v>2268500</v>
      </c>
      <c r="L1569" s="21"/>
      <c r="M1569" s="22">
        <f>(PROVEEDORES[[#This Row],[SUBTOTAL]]-PROVEEDORES[[#This Row],[descuento sobre subtotal]])*VLOOKUP(PROVEEDORES[[#This Row],[PROVEEDOR]],TERCEROS_INFO[#All],3,FALSE)</f>
        <v>0</v>
      </c>
      <c r="N1569" s="23"/>
      <c r="O1569" s="22">
        <f>+PROVEEDORES[[#This Row],[Descuento sobre subtotal %]]*(PROVEEDORES[[#This Row],[SUBTOTAL]]-PROVEEDORES[[#This Row],[descuento sobre subtotal]])</f>
        <v>0</v>
      </c>
      <c r="P1569" s="83">
        <f>+IF(PROVEEDORES[[#This Row],[SUBTOTAL]]&lt;PROVEEDORES[[#This Row],[base retencion]],0,PROVEEDORES[[#This Row],[retención aplicada]])</f>
        <v>0</v>
      </c>
      <c r="Q1569" s="22">
        <f>+PROVEEDORES[[#This Row],[Rete Fuente %]]*(PROVEEDORES[[#This Row],[SUBTOTAL]]-PROVEEDORES[[#This Row],[descuento sobre subtotal]])</f>
        <v>0</v>
      </c>
      <c r="R1569" s="21">
        <f>+PROVEEDORES[[#This Row],[SUBTOTAL]]+PROVEEDORES[[#This Row],[IVA 19%]]-PROVEEDORES[[#This Row],[descuento sobre subtotal]]-PROVEEDORES[[#This Row],[Descuento sobre subtotal $2]]-PROVEEDORES[[#This Row],[Rete Fuente $]]</f>
        <v>2268500</v>
      </c>
      <c r="S15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9" s="68">
        <f ca="1">IF(PROVEEDORES[[#This Row],[FECHA DE PAGO]]=0,TODAY()-PROVEEDORES[[#This Row],[FECHA DE FACTURACIÓN]]-PROVEEDORES[[#This Row],[PLAZO Días]],0)</f>
        <v>0</v>
      </c>
      <c r="U1569" s="96">
        <f>+VLOOKUP(PROVEEDORES[[#This Row],[PROVEEDOR]],Terceros!$A:$D,4,FALSE)</f>
        <v>0</v>
      </c>
      <c r="V1569" s="97">
        <f>+YEAR(PROVEEDORES[[#This Row],[FECHA DE FACTURACIÓN]])</f>
        <v>2021</v>
      </c>
      <c r="W1569" s="97">
        <f>+MATCH(PROVEEDORES[[#This Row],[año facturado]],Retenciones!$1:$1,0)</f>
        <v>4</v>
      </c>
      <c r="X1569" s="98">
        <f>+VLOOKUP(PROVEEDORES[[#This Row],[ID RETENCION]],Retenciones!$A$1:$O$25,PROVEEDORES[[#This Row],[indicador de columna]],FALSE)</f>
        <v>0</v>
      </c>
      <c r="Y1569" s="99">
        <f>+VLOOKUP(PROVEEDORES[[#This Row],[ID RETENCION]],Retenciones!$A$1:$O$25,2,FALSE)</f>
        <v>0</v>
      </c>
      <c r="Z1569" s="125" t="b">
        <f>OR(COUNTIF(PROVEEDORES[[#This Row],[PROVEEDOR]],"*"&amp;'Palabra no opera'!$A$2&amp;"*"))</f>
        <v>0</v>
      </c>
    </row>
    <row r="1570" spans="1:26" ht="22.2" customHeight="1" x14ac:dyDescent="0.3">
      <c r="A1570" s="207" t="str">
        <f>+IF(PROVEEDORES[[#This Row],[FECHA DE PAGO]]=PROVEEDORES[[#This Row],[FECHA DE FACTURACIÓN]],"DE CONTADO","CRÉDITO")</f>
        <v>CRÉDITO</v>
      </c>
      <c r="B1570" s="38" t="str">
        <f>+IF((PROVEEDORES[[#This Row],[FECHA DE PAGO]]-PROVEEDORES[[#This Row],[FECHA DE FACTURACIÓN]])&gt;PROVEEDORES[[#This Row],[PLAZO Días]],"PAGO VENCIDO")</f>
        <v>PAGO VENCIDO</v>
      </c>
      <c r="C1570" s="20">
        <f>+VLOOKUP(PROVEEDORES[[#This Row],[PROVEEDOR]],TERCEROS_INFO[#All],2,FALSE)</f>
        <v>30</v>
      </c>
      <c r="D1570" s="25">
        <f>+SUMIFS(PROVEEDORES[Total],PROVEEDORES[PROVEEDOR],PROVEEDORES[[#This Row],[PROVEEDOR]],PROVEEDORES[FECHA DE PAGO],"")</f>
        <v>23124164.219999999</v>
      </c>
      <c r="E1570" s="25"/>
      <c r="F157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70" s="161">
        <v>44845</v>
      </c>
      <c r="H1570" s="26" t="s">
        <v>18</v>
      </c>
      <c r="I1570" s="161">
        <v>44795</v>
      </c>
      <c r="J1570" s="35">
        <v>1058054</v>
      </c>
      <c r="K1570" s="21">
        <v>1949973.95</v>
      </c>
      <c r="L1570" s="21"/>
      <c r="M1570" s="22">
        <f>(PROVEEDORES[[#This Row],[SUBTOTAL]]-PROVEEDORES[[#This Row],[descuento sobre subtotal]])*VLOOKUP(PROVEEDORES[[#This Row],[PROVEEDOR]],TERCEROS_INFO[#All],3,FALSE)</f>
        <v>370495.05050000001</v>
      </c>
      <c r="N1570" s="23"/>
      <c r="O1570" s="22">
        <f>+PROVEEDORES[[#This Row],[Descuento sobre subtotal %]]*(PROVEEDORES[[#This Row],[SUBTOTAL]]-PROVEEDORES[[#This Row],[descuento sobre subtotal]])</f>
        <v>0</v>
      </c>
      <c r="P1570" s="83">
        <f>+IF(PROVEEDORES[[#This Row],[SUBTOTAL]]&lt;PROVEEDORES[[#This Row],[base retencion]],0,PROVEEDORES[[#This Row],[retención aplicada]])</f>
        <v>2.5000000000000001E-2</v>
      </c>
      <c r="Q1570" s="22">
        <f>+PROVEEDORES[[#This Row],[Rete Fuente %]]*(PROVEEDORES[[#This Row],[SUBTOTAL]]-PROVEEDORES[[#This Row],[descuento sobre subtotal]])</f>
        <v>48749.348750000005</v>
      </c>
      <c r="R1570" s="21">
        <f>+PROVEEDORES[[#This Row],[SUBTOTAL]]+PROVEEDORES[[#This Row],[IVA 19%]]-PROVEEDORES[[#This Row],[descuento sobre subtotal]]-PROVEEDORES[[#This Row],[Descuento sobre subtotal $2]]-PROVEEDORES[[#This Row],[Rete Fuente $]]</f>
        <v>2271719.6517500002</v>
      </c>
      <c r="S157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0" s="68">
        <f ca="1">IF(PROVEEDORES[[#This Row],[FECHA DE PAGO]]=0,TODAY()-PROVEEDORES[[#This Row],[FECHA DE FACTURACIÓN]]-PROVEEDORES[[#This Row],[PLAZO Días]],0)</f>
        <v>0</v>
      </c>
      <c r="U1570" s="113" t="str">
        <f>+VLOOKUP(PROVEEDORES[[#This Row],[PROVEEDOR]],Terceros!$A:$D,4,FALSE)</f>
        <v>2,5% con base</v>
      </c>
      <c r="V1570" s="114">
        <f>+YEAR(PROVEEDORES[[#This Row],[FECHA DE FACTURACIÓN]])</f>
        <v>2022</v>
      </c>
      <c r="W1570" s="114">
        <f>+MATCH(PROVEEDORES[[#This Row],[año facturado]],Retenciones!$1:$1,0)</f>
        <v>5</v>
      </c>
      <c r="X1570" s="115">
        <f>+VLOOKUP(PROVEEDORES[[#This Row],[ID RETENCION]],Retenciones!$A$1:$O$25,PROVEEDORES[[#This Row],[indicador de columna]],FALSE)</f>
        <v>1026000</v>
      </c>
      <c r="Y1570" s="116">
        <f>+VLOOKUP(PROVEEDORES[[#This Row],[ID RETENCION]],Retenciones!$A$1:$O$25,2,FALSE)</f>
        <v>2.5000000000000001E-2</v>
      </c>
      <c r="Z1570" s="125" t="b">
        <f>OR(COUNTIF(PROVEEDORES[[#This Row],[PROVEEDOR]],"*"&amp;'Palabra no opera'!$A$2&amp;"*"))</f>
        <v>0</v>
      </c>
    </row>
    <row r="1571" spans="1:26" ht="22.2" customHeight="1" x14ac:dyDescent="0.3">
      <c r="A1571" s="144" t="str">
        <f>+IF(PROVEEDORES[[#This Row],[FECHA DE PAGO]]=PROVEEDORES[[#This Row],[FECHA DE FACTURACIÓN]],"DE CONTADO","CRÉDITO")</f>
        <v>CRÉDITO</v>
      </c>
      <c r="B1571" s="38" t="str">
        <f>+IF((PROVEEDORES[[#This Row],[FECHA DE PAGO]]-PROVEEDORES[[#This Row],[FECHA DE FACTURACIÓN]])&gt;PROVEEDORES[[#This Row],[PLAZO Días]],"PAGO VENCIDO")</f>
        <v>PAGO VENCIDO</v>
      </c>
      <c r="C1571" s="20">
        <f>+VLOOKUP(PROVEEDORES[[#This Row],[PROVEEDOR]],TERCEROS_INFO[#All],2,FALSE)</f>
        <v>30</v>
      </c>
      <c r="D1571" s="25">
        <f>+SUMIFS(PROVEEDORES[Total],PROVEEDORES[PROVEEDOR],PROVEEDORES[[#This Row],[PROVEEDOR]],PROVEEDORES[FECHA DE PAGO],"")</f>
        <v>0</v>
      </c>
      <c r="E1571" s="25"/>
      <c r="F1571" s="58" t="str">
        <f>+VLOOKUP(PROVEEDORES[[#This Row],[PROVEEDOR]],
                       Terceros!$A:$F,
                       5,
                       FALSE)</f>
        <v/>
      </c>
      <c r="G1571" s="161">
        <v>44775</v>
      </c>
      <c r="H1571" s="26" t="s">
        <v>625</v>
      </c>
      <c r="I1571" s="161">
        <v>44702</v>
      </c>
      <c r="J1571" s="35" t="s">
        <v>1600</v>
      </c>
      <c r="K1571" s="21">
        <v>2272000</v>
      </c>
      <c r="L1571" s="21"/>
      <c r="M1571" s="22">
        <f>(PROVEEDORES[[#This Row],[SUBTOTAL]]-PROVEEDORES[[#This Row],[descuento sobre subtotal]])*VLOOKUP(PROVEEDORES[[#This Row],[PROVEEDOR]],TERCEROS_INFO[#All],3,FALSE)</f>
        <v>0</v>
      </c>
      <c r="N1571" s="23"/>
      <c r="O1571" s="22">
        <f>+PROVEEDORES[[#This Row],[Descuento sobre subtotal %]]*(PROVEEDORES[[#This Row],[SUBTOTAL]]-PROVEEDORES[[#This Row],[descuento sobre subtotal]])</f>
        <v>0</v>
      </c>
      <c r="P1571" s="83">
        <f>+IF(PROVEEDORES[[#This Row],[SUBTOTAL]]&lt;PROVEEDORES[[#This Row],[base retencion]],0,PROVEEDORES[[#This Row],[retención aplicada]])</f>
        <v>0</v>
      </c>
      <c r="Q1571" s="22">
        <f>+PROVEEDORES[[#This Row],[Rete Fuente %]]*(PROVEEDORES[[#This Row],[SUBTOTAL]]-PROVEEDORES[[#This Row],[descuento sobre subtotal]])</f>
        <v>0</v>
      </c>
      <c r="R1571" s="21">
        <f>+PROVEEDORES[[#This Row],[SUBTOTAL]]+PROVEEDORES[[#This Row],[IVA 19%]]-PROVEEDORES[[#This Row],[descuento sobre subtotal]]-PROVEEDORES[[#This Row],[Descuento sobre subtotal $2]]-PROVEEDORES[[#This Row],[Rete Fuente $]]</f>
        <v>2272000</v>
      </c>
      <c r="S1571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1" s="68">
        <f ca="1">IF(PROVEEDORES[[#This Row],[FECHA DE PAGO]]=0,TODAY()-PROVEEDORES[[#This Row],[FECHA DE FACTURACIÓN]]-PROVEEDORES[[#This Row],[PLAZO Días]],0)</f>
        <v>0</v>
      </c>
      <c r="U1571" s="113">
        <f>+VLOOKUP(PROVEEDORES[[#This Row],[PROVEEDOR]],Terceros!$A:$D,4,FALSE)</f>
        <v>0</v>
      </c>
      <c r="V1571" s="114">
        <f>+YEAR(PROVEEDORES[[#This Row],[FECHA DE FACTURACIÓN]])</f>
        <v>2022</v>
      </c>
      <c r="W1571" s="114">
        <f>+MATCH(PROVEEDORES[[#This Row],[año facturado]],Retenciones!$1:$1,0)</f>
        <v>5</v>
      </c>
      <c r="X1571" s="115">
        <f>+VLOOKUP(PROVEEDORES[[#This Row],[ID RETENCION]],Retenciones!$A$1:$O$25,PROVEEDORES[[#This Row],[indicador de columna]],FALSE)</f>
        <v>0</v>
      </c>
      <c r="Y1571" s="116">
        <f>+VLOOKUP(PROVEEDORES[[#This Row],[ID RETENCION]],Retenciones!$A$1:$O$25,2,FALSE)</f>
        <v>0</v>
      </c>
      <c r="Z1571" s="125" t="b">
        <f>OR(COUNTIF(PROVEEDORES[[#This Row],[PROVEEDOR]],"*"&amp;'Palabra no opera'!$A$2&amp;"*"))</f>
        <v>0</v>
      </c>
    </row>
    <row r="1572" spans="1:26" ht="22.2" customHeight="1" x14ac:dyDescent="0.3">
      <c r="A1572" s="66" t="str">
        <f>+IF(PROVEEDORES[[#This Row],[FECHA DE PAGO]]=PROVEEDORES[[#This Row],[FECHA DE FACTURACIÓN]],"DE CONTADO","CRÉDITO")</f>
        <v>CRÉDITO</v>
      </c>
      <c r="B1572" s="38" t="str">
        <f>+IF((PROVEEDORES[[#This Row],[FECHA DE PAGO]]-PROVEEDORES[[#This Row],[FECHA DE FACTURACIÓN]])&gt;PROVEEDORES[[#This Row],[PLAZO Días]],"PAGO VENCIDO")</f>
        <v>PAGO VENCIDO</v>
      </c>
      <c r="C1572" s="20">
        <f>+VLOOKUP(PROVEEDORES[[#This Row],[PROVEEDOR]],TERCEROS_INFO[#All],2,FALSE)</f>
        <v>30</v>
      </c>
      <c r="D1572" s="25">
        <f>+SUMIFS(PROVEEDORES[Total],PROVEEDORES[PROVEEDOR],PROVEEDORES[[#This Row],[PROVEEDOR]],PROVEEDORES[FECHA DE PAGO],"")</f>
        <v>0</v>
      </c>
      <c r="E1572" s="25"/>
      <c r="F157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72" s="161">
        <v>44476</v>
      </c>
      <c r="H1572" s="26" t="s">
        <v>20</v>
      </c>
      <c r="I1572" s="161">
        <v>44435</v>
      </c>
      <c r="J1572" s="35">
        <v>4659</v>
      </c>
      <c r="K1572" s="21">
        <v>1955400</v>
      </c>
      <c r="L1572" s="21"/>
      <c r="M1572" s="22">
        <f>(PROVEEDORES[[#This Row],[SUBTOTAL]]-PROVEEDORES[[#This Row],[descuento sobre subtotal]])*VLOOKUP(PROVEEDORES[[#This Row],[PROVEEDOR]],TERCEROS_INFO[#All],3,FALSE)</f>
        <v>371526</v>
      </c>
      <c r="N1572" s="23"/>
      <c r="O1572" s="22">
        <f>+PROVEEDORES[[#This Row],[Descuento sobre subtotal %]]*(PROVEEDORES[[#This Row],[SUBTOTAL]]-PROVEEDORES[[#This Row],[descuento sobre subtotal]])</f>
        <v>0</v>
      </c>
      <c r="P1572" s="83">
        <f>+IF(PROVEEDORES[[#This Row],[SUBTOTAL]]&lt;PROVEEDORES[[#This Row],[base retencion]],0,PROVEEDORES[[#This Row],[retención aplicada]])</f>
        <v>2.5000000000000001E-2</v>
      </c>
      <c r="Q1572" s="22">
        <f>+PROVEEDORES[[#This Row],[Rete Fuente %]]*(PROVEEDORES[[#This Row],[SUBTOTAL]]-PROVEEDORES[[#This Row],[descuento sobre subtotal]])</f>
        <v>48885</v>
      </c>
      <c r="R1572" s="21">
        <f>+PROVEEDORES[[#This Row],[SUBTOTAL]]+PROVEEDORES[[#This Row],[IVA 19%]]-PROVEEDORES[[#This Row],[descuento sobre subtotal]]-PROVEEDORES[[#This Row],[Descuento sobre subtotal $2]]-PROVEEDORES[[#This Row],[Rete Fuente $]]</f>
        <v>2278041</v>
      </c>
      <c r="S15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2" s="68">
        <f ca="1">IF(PROVEEDORES[[#This Row],[FECHA DE PAGO]]=0,TODAY()-PROVEEDORES[[#This Row],[FECHA DE FACTURACIÓN]]-PROVEEDORES[[#This Row],[PLAZO Días]],0)</f>
        <v>0</v>
      </c>
      <c r="U1572" s="96" t="str">
        <f>+VLOOKUP(PROVEEDORES[[#This Row],[PROVEEDOR]],Terceros!$A:$D,4,FALSE)</f>
        <v>2,5% con base</v>
      </c>
      <c r="V1572" s="97">
        <f>+YEAR(PROVEEDORES[[#This Row],[FECHA DE FACTURACIÓN]])</f>
        <v>2021</v>
      </c>
      <c r="W1572" s="97">
        <f>+MATCH(PROVEEDORES[[#This Row],[año facturado]],Retenciones!$1:$1,0)</f>
        <v>4</v>
      </c>
      <c r="X1572" s="98">
        <f>+VLOOKUP(PROVEEDORES[[#This Row],[ID RETENCION]],Retenciones!$A$1:$O$25,PROVEEDORES[[#This Row],[indicador de columna]],FALSE)</f>
        <v>980000</v>
      </c>
      <c r="Y1572" s="99">
        <f>+VLOOKUP(PROVEEDORES[[#This Row],[ID RETENCION]],Retenciones!$A$1:$O$25,2,FALSE)</f>
        <v>2.5000000000000001E-2</v>
      </c>
      <c r="Z1572" s="125" t="b">
        <f>OR(COUNTIF(PROVEEDORES[[#This Row],[PROVEEDOR]],"*"&amp;'Palabra no opera'!$A$2&amp;"*"))</f>
        <v>0</v>
      </c>
    </row>
    <row r="1573" spans="1:26" ht="22.2" customHeight="1" x14ac:dyDescent="0.3">
      <c r="A1573" s="159" t="str">
        <f>+IF(PROVEEDORES[[#This Row],[FECHA DE PAGO]]=PROVEEDORES[[#This Row],[FECHA DE FACTURACIÓN]],"DE CONTADO","CRÉDITO")</f>
        <v>CRÉDITO</v>
      </c>
      <c r="B1573" s="38" t="str">
        <f>+IF((PROVEEDORES[[#This Row],[FECHA DE PAGO]]-PROVEEDORES[[#This Row],[FECHA DE FACTURACIÓN]])&gt;PROVEEDORES[[#This Row],[PLAZO Días]],"PAGO VENCIDO")</f>
        <v>PAGO VENCIDO</v>
      </c>
      <c r="C1573" s="20">
        <f>+VLOOKUP(PROVEEDORES[[#This Row],[PROVEEDOR]],TERCEROS_INFO[#All],2,FALSE)</f>
        <v>90</v>
      </c>
      <c r="D1573" s="25">
        <f>+SUMIFS(PROVEEDORES[Total],PROVEEDORES[PROVEEDOR],PROVEEDORES[[#This Row],[PROVEEDOR]],PROVEEDORES[FECHA DE PAGO],"")</f>
        <v>26350422.770000003</v>
      </c>
      <c r="E1573" s="25"/>
      <c r="F157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573" s="161">
        <v>44827</v>
      </c>
      <c r="H1573" s="26" t="s">
        <v>12</v>
      </c>
      <c r="I1573" s="161">
        <v>44717</v>
      </c>
      <c r="J1573" s="35" t="s">
        <v>1048</v>
      </c>
      <c r="K1573" s="21">
        <v>1956311</v>
      </c>
      <c r="L1573" s="21"/>
      <c r="M1573" s="22">
        <f>(PROVEEDORES[[#This Row],[SUBTOTAL]]-PROVEEDORES[[#This Row],[descuento sobre subtotal]])*VLOOKUP(PROVEEDORES[[#This Row],[PROVEEDOR]],TERCEROS_INFO[#All],3,FALSE)</f>
        <v>371699.09</v>
      </c>
      <c r="N1573" s="23"/>
      <c r="O1573" s="22">
        <f>+PROVEEDORES[[#This Row],[Descuento sobre subtotal %]]*(PROVEEDORES[[#This Row],[SUBTOTAL]]-PROVEEDORES[[#This Row],[descuento sobre subtotal]])</f>
        <v>0</v>
      </c>
      <c r="P1573" s="83">
        <f>+IF(PROVEEDORES[[#This Row],[SUBTOTAL]]&lt;PROVEEDORES[[#This Row],[base retencion]],0,PROVEEDORES[[#This Row],[retención aplicada]])</f>
        <v>2.5000000000000001E-2</v>
      </c>
      <c r="Q1573" s="22">
        <f>+PROVEEDORES[[#This Row],[Rete Fuente %]]*(PROVEEDORES[[#This Row],[SUBTOTAL]]-PROVEEDORES[[#This Row],[descuento sobre subtotal]])</f>
        <v>48907.775000000001</v>
      </c>
      <c r="R1573" s="21">
        <f>+PROVEEDORES[[#This Row],[SUBTOTAL]]+PROVEEDORES[[#This Row],[IVA 19%]]-PROVEEDORES[[#This Row],[descuento sobre subtotal]]-PROVEEDORES[[#This Row],[Descuento sobre subtotal $2]]-PROVEEDORES[[#This Row],[Rete Fuente $]]</f>
        <v>2279102.3149999999</v>
      </c>
      <c r="S157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3" s="68">
        <f ca="1">IF(PROVEEDORES[[#This Row],[FECHA DE PAGO]]=0,TODAY()-PROVEEDORES[[#This Row],[FECHA DE FACTURACIÓN]]-PROVEEDORES[[#This Row],[PLAZO Días]],0)</f>
        <v>0</v>
      </c>
      <c r="U1573" s="113" t="str">
        <f>+VLOOKUP(PROVEEDORES[[#This Row],[PROVEEDOR]],Terceros!$A:$D,4,FALSE)</f>
        <v>2,5% con base</v>
      </c>
      <c r="V1573" s="114">
        <f>+YEAR(PROVEEDORES[[#This Row],[FECHA DE FACTURACIÓN]])</f>
        <v>2022</v>
      </c>
      <c r="W1573" s="114">
        <f>+MATCH(PROVEEDORES[[#This Row],[año facturado]],Retenciones!$1:$1,0)</f>
        <v>5</v>
      </c>
      <c r="X1573" s="115">
        <f>+VLOOKUP(PROVEEDORES[[#This Row],[ID RETENCION]],Retenciones!$A$1:$O$25,PROVEEDORES[[#This Row],[indicador de columna]],FALSE)</f>
        <v>1026000</v>
      </c>
      <c r="Y1573" s="116">
        <f>+VLOOKUP(PROVEEDORES[[#This Row],[ID RETENCION]],Retenciones!$A$1:$O$25,2,FALSE)</f>
        <v>2.5000000000000001E-2</v>
      </c>
      <c r="Z1573" s="125" t="b">
        <f>OR(COUNTIF(PROVEEDORES[[#This Row],[PROVEEDOR]],"*"&amp;'Palabra no opera'!$A$2&amp;"*"))</f>
        <v>0</v>
      </c>
    </row>
    <row r="1574" spans="1:26" ht="22.2" customHeight="1" x14ac:dyDescent="0.3">
      <c r="A1574" s="66" t="str">
        <f>+IF(PROVEEDORES[[#This Row],[FECHA DE PAGO]]=PROVEEDORES[[#This Row],[FECHA DE FACTURACIÓN]],"DE CONTADO","CRÉDITO")</f>
        <v>DE CONTADO</v>
      </c>
      <c r="B1574" s="38" t="b">
        <f>+IF((PROVEEDORES[[#This Row],[FECHA DE PAGO]]-PROVEEDORES[[#This Row],[FECHA DE FACTURACIÓN]])&gt;PROVEEDORES[[#This Row],[PLAZO Días]],"PAGO VENCIDO")</f>
        <v>0</v>
      </c>
      <c r="C1574" s="20">
        <f>+VLOOKUP(PROVEEDORES[[#This Row],[PROVEEDOR]],TERCEROS_INFO[#All],2,FALSE)</f>
        <v>30</v>
      </c>
      <c r="D1574" s="25">
        <f>+SUMIFS(PROVEEDORES[Total],PROVEEDORES[PROVEEDOR],PROVEEDORES[[#This Row],[PROVEEDOR]],PROVEEDORES[FECHA DE PAGO],"")</f>
        <v>0</v>
      </c>
      <c r="E1574" s="25"/>
      <c r="F1574" s="58" t="str">
        <f>+VLOOKUP(PROVEEDORES[[#This Row],[PROVEEDOR]],
                       Terceros!$A:$F,
                       5,
                       FALSE)</f>
        <v/>
      </c>
      <c r="G1574" s="161">
        <v>44227</v>
      </c>
      <c r="H1574" s="26" t="s">
        <v>644</v>
      </c>
      <c r="I1574" s="161">
        <v>44227</v>
      </c>
      <c r="J1574" s="35" t="s">
        <v>1188</v>
      </c>
      <c r="K1574" s="21">
        <v>2282800</v>
      </c>
      <c r="L1574" s="21"/>
      <c r="M1574" s="22">
        <f>(PROVEEDORES[[#This Row],[SUBTOTAL]]-PROVEEDORES[[#This Row],[descuento sobre subtotal]])*VLOOKUP(PROVEEDORES[[#This Row],[PROVEEDOR]],TERCEROS_INFO[#All],3,FALSE)</f>
        <v>0</v>
      </c>
      <c r="N1574" s="23"/>
      <c r="O1574" s="22">
        <f>+PROVEEDORES[[#This Row],[Descuento sobre subtotal %]]*(PROVEEDORES[[#This Row],[SUBTOTAL]]-PROVEEDORES[[#This Row],[descuento sobre subtotal]])</f>
        <v>0</v>
      </c>
      <c r="P1574" s="83">
        <f>+IF(PROVEEDORES[[#This Row],[SUBTOTAL]]&lt;PROVEEDORES[[#This Row],[base retencion]],0,PROVEEDORES[[#This Row],[retención aplicada]])</f>
        <v>0</v>
      </c>
      <c r="Q1574" s="22">
        <f>+PROVEEDORES[[#This Row],[Rete Fuente %]]*(PROVEEDORES[[#This Row],[SUBTOTAL]]-PROVEEDORES[[#This Row],[descuento sobre subtotal]])</f>
        <v>0</v>
      </c>
      <c r="R1574" s="21">
        <f>+PROVEEDORES[[#This Row],[SUBTOTAL]]+PROVEEDORES[[#This Row],[IVA 19%]]-PROVEEDORES[[#This Row],[descuento sobre subtotal]]-PROVEEDORES[[#This Row],[Descuento sobre subtotal $2]]-PROVEEDORES[[#This Row],[Rete Fuente $]]</f>
        <v>2282800</v>
      </c>
      <c r="S15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4" s="68">
        <f ca="1">IF(PROVEEDORES[[#This Row],[FECHA DE PAGO]]=0,TODAY()-PROVEEDORES[[#This Row],[FECHA DE FACTURACIÓN]]-PROVEEDORES[[#This Row],[PLAZO Días]],0)</f>
        <v>0</v>
      </c>
      <c r="U1574" s="96">
        <f>+VLOOKUP(PROVEEDORES[[#This Row],[PROVEEDOR]],Terceros!$A:$D,4,FALSE)</f>
        <v>0</v>
      </c>
      <c r="V1574" s="97">
        <f>+YEAR(PROVEEDORES[[#This Row],[FECHA DE FACTURACIÓN]])</f>
        <v>2021</v>
      </c>
      <c r="W1574" s="97">
        <f>+MATCH(PROVEEDORES[[#This Row],[año facturado]],Retenciones!$1:$1,0)</f>
        <v>4</v>
      </c>
      <c r="X1574" s="98">
        <f>+VLOOKUP(PROVEEDORES[[#This Row],[ID RETENCION]],Retenciones!$A$1:$O$25,PROVEEDORES[[#This Row],[indicador de columna]],FALSE)</f>
        <v>0</v>
      </c>
      <c r="Y1574" s="99">
        <f>+VLOOKUP(PROVEEDORES[[#This Row],[ID RETENCION]],Retenciones!$A$1:$O$25,2,FALSE)</f>
        <v>0</v>
      </c>
      <c r="Z1574" s="125" t="b">
        <f>OR(COUNTIF(PROVEEDORES[[#This Row],[PROVEEDOR]],"*"&amp;'Palabra no opera'!$A$2&amp;"*"))</f>
        <v>0</v>
      </c>
    </row>
    <row r="1575" spans="1:26" ht="22.2" customHeight="1" x14ac:dyDescent="0.3">
      <c r="A1575" s="66" t="str">
        <f>+IF(PROVEEDORES[[#This Row],[FECHA DE PAGO]]=PROVEEDORES[[#This Row],[FECHA DE FACTURACIÓN]],"DE CONTADO","CRÉDITO")</f>
        <v>CRÉDITO</v>
      </c>
      <c r="B1575" s="38" t="str">
        <f>+IF((PROVEEDORES[[#This Row],[FECHA DE PAGO]]-PROVEEDORES[[#This Row],[FECHA DE FACTURACIÓN]])&gt;PROVEEDORES[[#This Row],[PLAZO Días]],"PAGO VENCIDO")</f>
        <v>PAGO VENCIDO</v>
      </c>
      <c r="C1575" s="20">
        <f>+VLOOKUP(PROVEEDORES[[#This Row],[PROVEEDOR]],TERCEROS_INFO[#All],2,FALSE)</f>
        <v>30</v>
      </c>
      <c r="D1575" s="25">
        <f>+SUMIFS(PROVEEDORES[Total],PROVEEDORES[PROVEEDOR],PROVEEDORES[[#This Row],[PROVEEDOR]],PROVEEDORES[FECHA DE PAGO],"")</f>
        <v>1194849.25</v>
      </c>
      <c r="E1575" s="25"/>
      <c r="F157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575" s="161">
        <v>44214</v>
      </c>
      <c r="H1575" s="26" t="s">
        <v>32</v>
      </c>
      <c r="I1575" s="161">
        <v>44166</v>
      </c>
      <c r="J1575" s="35">
        <v>2626</v>
      </c>
      <c r="K1575" s="21">
        <v>1961428.5714285716</v>
      </c>
      <c r="L1575" s="21"/>
      <c r="M1575" s="22">
        <f>(PROVEEDORES[[#This Row],[SUBTOTAL]]-PROVEEDORES[[#This Row],[descuento sobre subtotal]])*VLOOKUP(PROVEEDORES[[#This Row],[PROVEEDOR]],TERCEROS_INFO[#All],3,FALSE)</f>
        <v>372671.42857142858</v>
      </c>
      <c r="N1575" s="23"/>
      <c r="O1575" s="22">
        <f>+PROVEEDORES[[#This Row],[Descuento sobre subtotal %]]*(PROVEEDORES[[#This Row],[SUBTOTAL]]-PROVEEDORES[[#This Row],[descuento sobre subtotal]])</f>
        <v>0</v>
      </c>
      <c r="P1575" s="83">
        <f>+IF(PROVEEDORES[[#This Row],[SUBTOTAL]]&lt;PROVEEDORES[[#This Row],[base retencion]],0,PROVEEDORES[[#This Row],[retención aplicada]])</f>
        <v>2.5000000000000001E-2</v>
      </c>
      <c r="Q1575" s="22">
        <f>+PROVEEDORES[[#This Row],[Rete Fuente %]]*(PROVEEDORES[[#This Row],[SUBTOTAL]]-PROVEEDORES[[#This Row],[descuento sobre subtotal]])</f>
        <v>49035.71428571429</v>
      </c>
      <c r="R1575" s="21">
        <f>+PROVEEDORES[[#This Row],[SUBTOTAL]]+PROVEEDORES[[#This Row],[IVA 19%]]-PROVEEDORES[[#This Row],[descuento sobre subtotal]]-PROVEEDORES[[#This Row],[Descuento sobre subtotal $2]]-PROVEEDORES[[#This Row],[Rete Fuente $]]</f>
        <v>2285064.2857142859</v>
      </c>
      <c r="S15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5" s="68">
        <f ca="1">IF(PROVEEDORES[[#This Row],[FECHA DE PAGO]]=0,TODAY()-PROVEEDORES[[#This Row],[FECHA DE FACTURACIÓN]]-PROVEEDORES[[#This Row],[PLAZO Días]],0)</f>
        <v>0</v>
      </c>
      <c r="U1575" s="96" t="str">
        <f>+VLOOKUP(PROVEEDORES[[#This Row],[PROVEEDOR]],Terceros!$A:$D,4,FALSE)</f>
        <v>2,5% con base</v>
      </c>
      <c r="V1575" s="97">
        <f>+YEAR(PROVEEDORES[[#This Row],[FECHA DE FACTURACIÓN]])</f>
        <v>2020</v>
      </c>
      <c r="W1575" s="97">
        <f>+MATCH(PROVEEDORES[[#This Row],[año facturado]],Retenciones!$1:$1,0)</f>
        <v>3</v>
      </c>
      <c r="X1575" s="98">
        <f>+VLOOKUP(PROVEEDORES[[#This Row],[ID RETENCION]],Retenciones!$A$1:$O$25,PROVEEDORES[[#This Row],[indicador de columna]],FALSE)</f>
        <v>961000</v>
      </c>
      <c r="Y1575" s="99">
        <f>+VLOOKUP(PROVEEDORES[[#This Row],[ID RETENCION]],Retenciones!$A$1:$O$25,2,FALSE)</f>
        <v>2.5000000000000001E-2</v>
      </c>
      <c r="Z1575" s="125" t="b">
        <f>OR(COUNTIF(PROVEEDORES[[#This Row],[PROVEEDOR]],"*"&amp;'Palabra no opera'!$A$2&amp;"*"))</f>
        <v>0</v>
      </c>
    </row>
    <row r="1576" spans="1:26" ht="22.2" customHeight="1" x14ac:dyDescent="0.3">
      <c r="A1576" s="135" t="str">
        <f>+IF(PROVEEDORES[[#This Row],[FECHA DE PAGO]]=PROVEEDORES[[#This Row],[FECHA DE FACTURACIÓN]],"DE CONTADO","CRÉDITO")</f>
        <v>CRÉDITO</v>
      </c>
      <c r="B1576" s="38" t="str">
        <f>+IF((PROVEEDORES[[#This Row],[FECHA DE PAGO]]-PROVEEDORES[[#This Row],[FECHA DE FACTURACIÓN]])&gt;PROVEEDORES[[#This Row],[PLAZO Días]],"PAGO VENCIDO")</f>
        <v>PAGO VENCIDO</v>
      </c>
      <c r="C1576" s="20">
        <f>+VLOOKUP(PROVEEDORES[[#This Row],[PROVEEDOR]],TERCEROS_INFO[#All],2,FALSE)</f>
        <v>30</v>
      </c>
      <c r="D1576" s="25">
        <f>+SUMIFS(PROVEEDORES[Total],PROVEEDORES[PROVEEDOR],PROVEEDORES[[#This Row],[PROVEEDOR]],PROVEEDORES[FECHA DE PAGO],"")</f>
        <v>23124164.219999999</v>
      </c>
      <c r="E1576" s="25"/>
      <c r="F157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76" s="161">
        <v>44725</v>
      </c>
      <c r="H1576" s="26" t="s">
        <v>18</v>
      </c>
      <c r="I1576" s="161">
        <v>44685</v>
      </c>
      <c r="J1576" s="35">
        <v>1053105</v>
      </c>
      <c r="K1576" s="21">
        <v>1962124.48</v>
      </c>
      <c r="L1576" s="21"/>
      <c r="M1576" s="22">
        <f>(PROVEEDORES[[#This Row],[SUBTOTAL]]-PROVEEDORES[[#This Row],[descuento sobre subtotal]])*VLOOKUP(PROVEEDORES[[#This Row],[PROVEEDOR]],TERCEROS_INFO[#All],3,FALSE)</f>
        <v>372803.65120000002</v>
      </c>
      <c r="N1576" s="23"/>
      <c r="O1576" s="22">
        <f>+PROVEEDORES[[#This Row],[Descuento sobre subtotal %]]*(PROVEEDORES[[#This Row],[SUBTOTAL]]-PROVEEDORES[[#This Row],[descuento sobre subtotal]])</f>
        <v>0</v>
      </c>
      <c r="P1576" s="83">
        <f>+IF(PROVEEDORES[[#This Row],[SUBTOTAL]]&lt;PROVEEDORES[[#This Row],[base retencion]],0,PROVEEDORES[[#This Row],[retención aplicada]])</f>
        <v>2.5000000000000001E-2</v>
      </c>
      <c r="Q1576" s="22">
        <f>+PROVEEDORES[[#This Row],[Rete Fuente %]]*(PROVEEDORES[[#This Row],[SUBTOTAL]]-PROVEEDORES[[#This Row],[descuento sobre subtotal]])</f>
        <v>49053.112000000001</v>
      </c>
      <c r="R1576" s="21">
        <f>+PROVEEDORES[[#This Row],[SUBTOTAL]]+PROVEEDORES[[#This Row],[IVA 19%]]-PROVEEDORES[[#This Row],[descuento sobre subtotal]]-PROVEEDORES[[#This Row],[Descuento sobre subtotal $2]]-PROVEEDORES[[#This Row],[Rete Fuente $]]</f>
        <v>2285875.0192</v>
      </c>
      <c r="S157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6" s="68">
        <f ca="1">IF(PROVEEDORES[[#This Row],[FECHA DE PAGO]]=0,TODAY()-PROVEEDORES[[#This Row],[FECHA DE FACTURACIÓN]]-PROVEEDORES[[#This Row],[PLAZO Días]],0)</f>
        <v>0</v>
      </c>
      <c r="U1576" s="113" t="str">
        <f>+VLOOKUP(PROVEEDORES[[#This Row],[PROVEEDOR]],Terceros!$A:$D,4,FALSE)</f>
        <v>2,5% con base</v>
      </c>
      <c r="V1576" s="114">
        <f>+YEAR(PROVEEDORES[[#This Row],[FECHA DE FACTURACIÓN]])</f>
        <v>2022</v>
      </c>
      <c r="W1576" s="114">
        <f>+MATCH(PROVEEDORES[[#This Row],[año facturado]],Retenciones!$1:$1,0)</f>
        <v>5</v>
      </c>
      <c r="X1576" s="115">
        <f>+VLOOKUP(PROVEEDORES[[#This Row],[ID RETENCION]],Retenciones!$A$1:$O$25,PROVEEDORES[[#This Row],[indicador de columna]],FALSE)</f>
        <v>1026000</v>
      </c>
      <c r="Y1576" s="116">
        <f>+VLOOKUP(PROVEEDORES[[#This Row],[ID RETENCION]],Retenciones!$A$1:$O$25,2,FALSE)</f>
        <v>2.5000000000000001E-2</v>
      </c>
      <c r="Z1576" s="125" t="b">
        <f>OR(COUNTIF(PROVEEDORES[[#This Row],[PROVEEDOR]],"*"&amp;'Palabra no opera'!$A$2&amp;"*"))</f>
        <v>0</v>
      </c>
    </row>
    <row r="1577" spans="1:26" ht="22.2" customHeight="1" x14ac:dyDescent="0.3">
      <c r="A1577" s="185" t="str">
        <f>+IF(PROVEEDORES[[#This Row],[FECHA DE PAGO]]=PROVEEDORES[[#This Row],[FECHA DE FACTURACIÓN]],"DE CONTADO","CRÉDITO")</f>
        <v>CRÉDITO</v>
      </c>
      <c r="B1577" s="38" t="b">
        <f>+IF((PROVEEDORES[[#This Row],[FECHA DE PAGO]]-PROVEEDORES[[#This Row],[FECHA DE FACTURACIÓN]])&gt;PROVEEDORES[[#This Row],[PLAZO Días]],"PAGO VENCIDO")</f>
        <v>0</v>
      </c>
      <c r="C1577" s="20">
        <f>+VLOOKUP(PROVEEDORES[[#This Row],[PROVEEDOR]],TERCEROS_INFO[#All],2,FALSE)</f>
        <v>30</v>
      </c>
      <c r="D1577" s="25">
        <f>+SUMIFS(PROVEEDORES[Total],PROVEEDORES[PROVEEDOR],PROVEEDORES[[#This Row],[PROVEEDOR]],PROVEEDORES[FECHA DE PAGO],"")</f>
        <v>3430770</v>
      </c>
      <c r="E1577" s="25"/>
      <c r="F157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77" s="161">
        <v>44783</v>
      </c>
      <c r="H1577" s="26" t="s">
        <v>1448</v>
      </c>
      <c r="I1577" s="161">
        <v>44753</v>
      </c>
      <c r="J1577" s="35">
        <v>33069</v>
      </c>
      <c r="K1577" s="21">
        <v>1965400</v>
      </c>
      <c r="L1577" s="21"/>
      <c r="M1577" s="22">
        <f>(PROVEEDORES[[#This Row],[SUBTOTAL]]-PROVEEDORES[[#This Row],[descuento sobre subtotal]])*VLOOKUP(PROVEEDORES[[#This Row],[PROVEEDOR]],TERCEROS_INFO[#All],3,FALSE)</f>
        <v>373426</v>
      </c>
      <c r="N1577" s="23"/>
      <c r="O1577" s="22">
        <f>+PROVEEDORES[[#This Row],[Descuento sobre subtotal %]]*(PROVEEDORES[[#This Row],[SUBTOTAL]]-PROVEEDORES[[#This Row],[descuento sobre subtotal]])</f>
        <v>0</v>
      </c>
      <c r="P1577" s="83">
        <v>2.5000000000000001E-2</v>
      </c>
      <c r="Q1577" s="22">
        <f>+PROVEEDORES[[#This Row],[Rete Fuente %]]*(PROVEEDORES[[#This Row],[SUBTOTAL]]-PROVEEDORES[[#This Row],[descuento sobre subtotal]])</f>
        <v>49135</v>
      </c>
      <c r="R1577" s="21">
        <f>+PROVEEDORES[[#This Row],[SUBTOTAL]]+PROVEEDORES[[#This Row],[IVA 19%]]-PROVEEDORES[[#This Row],[descuento sobre subtotal]]-PROVEEDORES[[#This Row],[Descuento sobre subtotal $2]]-PROVEEDORES[[#This Row],[Rete Fuente $]]</f>
        <v>2289691</v>
      </c>
      <c r="S1577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7" s="68">
        <f ca="1">IF(PROVEEDORES[[#This Row],[FECHA DE PAGO]]=0,TODAY()-PROVEEDORES[[#This Row],[FECHA DE FACTURACIÓN]]-PROVEEDORES[[#This Row],[PLAZO Días]],0)</f>
        <v>0</v>
      </c>
      <c r="U1577" s="113">
        <f>+VLOOKUP(PROVEEDORES[[#This Row],[PROVEEDOR]],Terceros!$A:$D,4,FALSE)</f>
        <v>0</v>
      </c>
      <c r="V1577" s="114">
        <f>+YEAR(PROVEEDORES[[#This Row],[FECHA DE FACTURACIÓN]])</f>
        <v>2022</v>
      </c>
      <c r="W1577" s="114">
        <f>+MATCH(PROVEEDORES[[#This Row],[año facturado]],Retenciones!$1:$1,0)</f>
        <v>5</v>
      </c>
      <c r="X1577" s="115">
        <f>+VLOOKUP(PROVEEDORES[[#This Row],[ID RETENCION]],Retenciones!$A$1:$O$25,PROVEEDORES[[#This Row],[indicador de columna]],FALSE)</f>
        <v>0</v>
      </c>
      <c r="Y1577" s="116">
        <f>+VLOOKUP(PROVEEDORES[[#This Row],[ID RETENCION]],Retenciones!$A$1:$O$25,2,FALSE)</f>
        <v>0</v>
      </c>
      <c r="Z1577" s="125" t="b">
        <f>OR(COUNTIF(PROVEEDORES[[#This Row],[PROVEEDOR]],"*"&amp;'Palabra no opera'!$A$2&amp;"*"))</f>
        <v>0</v>
      </c>
    </row>
    <row r="1578" spans="1:26" ht="22.2" customHeight="1" x14ac:dyDescent="0.3">
      <c r="A1578" s="207" t="str">
        <f>+IF(PROVEEDORES[[#This Row],[FECHA DE PAGO]]=PROVEEDORES[[#This Row],[FECHA DE FACTURACIÓN]],"DE CONTADO","CRÉDITO")</f>
        <v>CRÉDITO</v>
      </c>
      <c r="B1578" s="38" t="str">
        <f>+IF((PROVEEDORES[[#This Row],[FECHA DE PAGO]]-PROVEEDORES[[#This Row],[FECHA DE FACTURACIÓN]])&gt;PROVEEDORES[[#This Row],[PLAZO Días]],"PAGO VENCIDO")</f>
        <v>PAGO VENCIDO</v>
      </c>
      <c r="C1578" s="20">
        <f>+VLOOKUP(PROVEEDORES[[#This Row],[PROVEEDOR]],TERCEROS_INFO[#All],2,FALSE)</f>
        <v>30</v>
      </c>
      <c r="D1578" s="25">
        <f>+SUMIFS(PROVEEDORES[Total],PROVEEDORES[PROVEEDOR],PROVEEDORES[[#This Row],[PROVEEDOR]],PROVEEDORES[FECHA DE PAGO],"")</f>
        <v>2318500</v>
      </c>
      <c r="E1578" s="25"/>
      <c r="F1578" s="58" t="str">
        <f>+VLOOKUP(PROVEEDORES[[#This Row],[PROVEEDOR]],
                       Terceros!$A:$F,
                       5,
                       FALSE)</f>
        <v/>
      </c>
      <c r="G1578" s="161">
        <v>44816</v>
      </c>
      <c r="H1578" s="26" t="s">
        <v>629</v>
      </c>
      <c r="I1578" s="161">
        <v>44785</v>
      </c>
      <c r="J1578" s="35" t="s">
        <v>1426</v>
      </c>
      <c r="K1578" s="21">
        <v>2302000</v>
      </c>
      <c r="L1578" s="21"/>
      <c r="M1578" s="22">
        <f>(PROVEEDORES[[#This Row],[SUBTOTAL]]-PROVEEDORES[[#This Row],[descuento sobre subtotal]])*VLOOKUP(PROVEEDORES[[#This Row],[PROVEEDOR]],TERCEROS_INFO[#All],3,FALSE)</f>
        <v>0</v>
      </c>
      <c r="N1578" s="23"/>
      <c r="O1578" s="22">
        <f>+PROVEEDORES[[#This Row],[Descuento sobre subtotal %]]*(PROVEEDORES[[#This Row],[SUBTOTAL]]-PROVEEDORES[[#This Row],[descuento sobre subtotal]])</f>
        <v>0</v>
      </c>
      <c r="P1578" s="83">
        <f>+IF(PROVEEDORES[[#This Row],[SUBTOTAL]]&lt;PROVEEDORES[[#This Row],[base retencion]],0,PROVEEDORES[[#This Row],[retención aplicada]])</f>
        <v>0</v>
      </c>
      <c r="Q1578" s="22">
        <f>+PROVEEDORES[[#This Row],[Rete Fuente %]]*(PROVEEDORES[[#This Row],[SUBTOTAL]]-PROVEEDORES[[#This Row],[descuento sobre subtotal]])</f>
        <v>0</v>
      </c>
      <c r="R1578" s="21">
        <f>+PROVEEDORES[[#This Row],[SUBTOTAL]]+PROVEEDORES[[#This Row],[IVA 19%]]-PROVEEDORES[[#This Row],[descuento sobre subtotal]]-PROVEEDORES[[#This Row],[Descuento sobre subtotal $2]]-PROVEEDORES[[#This Row],[Rete Fuente $]]</f>
        <v>2302000</v>
      </c>
      <c r="S1578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8" s="68">
        <f ca="1">IF(PROVEEDORES[[#This Row],[FECHA DE PAGO]]=0,TODAY()-PROVEEDORES[[#This Row],[FECHA DE FACTURACIÓN]]-PROVEEDORES[[#This Row],[PLAZO Días]],0)</f>
        <v>0</v>
      </c>
      <c r="U1578" s="113">
        <f>+VLOOKUP(PROVEEDORES[[#This Row],[PROVEEDOR]],Terceros!$A:$D,4,FALSE)</f>
        <v>0</v>
      </c>
      <c r="V1578" s="114">
        <f>+YEAR(PROVEEDORES[[#This Row],[FECHA DE FACTURACIÓN]])</f>
        <v>2022</v>
      </c>
      <c r="W1578" s="114">
        <f>+MATCH(PROVEEDORES[[#This Row],[año facturado]],Retenciones!$1:$1,0)</f>
        <v>5</v>
      </c>
      <c r="X1578" s="115">
        <f>+VLOOKUP(PROVEEDORES[[#This Row],[ID RETENCION]],Retenciones!$A$1:$O$25,PROVEEDORES[[#This Row],[indicador de columna]],FALSE)</f>
        <v>0</v>
      </c>
      <c r="Y1578" s="116">
        <f>+VLOOKUP(PROVEEDORES[[#This Row],[ID RETENCION]],Retenciones!$A$1:$O$25,2,FALSE)</f>
        <v>0</v>
      </c>
      <c r="Z1578" s="125" t="b">
        <f>OR(COUNTIF(PROVEEDORES[[#This Row],[PROVEEDOR]],"*"&amp;'Palabra no opera'!$A$2&amp;"*"))</f>
        <v>0</v>
      </c>
    </row>
    <row r="1579" spans="1:26" ht="22.2" customHeight="1" x14ac:dyDescent="0.3">
      <c r="A1579" s="66" t="str">
        <f>+IF(PROVEEDORES[[#This Row],[FECHA DE PAGO]]=PROVEEDORES[[#This Row],[FECHA DE FACTURACIÓN]],"DE CONTADO","CRÉDITO")</f>
        <v>CRÉDITO</v>
      </c>
      <c r="B1579" s="38" t="str">
        <f>+IF((PROVEEDORES[[#This Row],[FECHA DE PAGO]]-PROVEEDORES[[#This Row],[FECHA DE FACTURACIÓN]])&gt;PROVEEDORES[[#This Row],[PLAZO Días]],"PAGO VENCIDO")</f>
        <v>PAGO VENCIDO</v>
      </c>
      <c r="C1579" s="20">
        <f>+VLOOKUP(PROVEEDORES[[#This Row],[PROVEEDOR]],TERCEROS_INFO[#All],2,FALSE)</f>
        <v>30</v>
      </c>
      <c r="D1579" s="25">
        <f>+SUMIFS(PROVEEDORES[Total],PROVEEDORES[PROVEEDOR],PROVEEDORES[[#This Row],[PROVEEDOR]],PROVEEDORES[FECHA DE PAGO],"")</f>
        <v>0</v>
      </c>
      <c r="E1579" s="25"/>
      <c r="F157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79" s="161">
        <v>44385</v>
      </c>
      <c r="H1579" s="26" t="s">
        <v>24</v>
      </c>
      <c r="I1579" s="161">
        <v>44342</v>
      </c>
      <c r="J1579" s="35" t="s">
        <v>337</v>
      </c>
      <c r="K1579" s="21">
        <v>1976100</v>
      </c>
      <c r="L1579" s="21"/>
      <c r="M1579" s="22">
        <f>(PROVEEDORES[[#This Row],[SUBTOTAL]]-PROVEEDORES[[#This Row],[descuento sobre subtotal]])*VLOOKUP(PROVEEDORES[[#This Row],[PROVEEDOR]],TERCEROS_INFO[#All],3,FALSE)</f>
        <v>375459</v>
      </c>
      <c r="N1579" s="23"/>
      <c r="O1579" s="22">
        <f>+PROVEEDORES[[#This Row],[Descuento sobre subtotal %]]*(PROVEEDORES[[#This Row],[SUBTOTAL]]-PROVEEDORES[[#This Row],[descuento sobre subtotal]])</f>
        <v>0</v>
      </c>
      <c r="P1579" s="83">
        <f>+IF(PROVEEDORES[[#This Row],[SUBTOTAL]]&lt;PROVEEDORES[[#This Row],[base retencion]],0,PROVEEDORES[[#This Row],[retención aplicada]])</f>
        <v>2.5000000000000001E-2</v>
      </c>
      <c r="Q1579" s="22">
        <f>+PROVEEDORES[[#This Row],[Rete Fuente %]]*(PROVEEDORES[[#This Row],[SUBTOTAL]]-PROVEEDORES[[#This Row],[descuento sobre subtotal]])</f>
        <v>49402.5</v>
      </c>
      <c r="R1579" s="21">
        <f>+PROVEEDORES[[#This Row],[SUBTOTAL]]+PROVEEDORES[[#This Row],[IVA 19%]]-PROVEEDORES[[#This Row],[descuento sobre subtotal]]-PROVEEDORES[[#This Row],[Descuento sobre subtotal $2]]-PROVEEDORES[[#This Row],[Rete Fuente $]]</f>
        <v>2302156.5</v>
      </c>
      <c r="S15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9" s="68">
        <f ca="1">IF(PROVEEDORES[[#This Row],[FECHA DE PAGO]]=0,TODAY()-PROVEEDORES[[#This Row],[FECHA DE FACTURACIÓN]]-PROVEEDORES[[#This Row],[PLAZO Días]],0)</f>
        <v>0</v>
      </c>
      <c r="U1579" s="96" t="str">
        <f>+VLOOKUP(PROVEEDORES[[#This Row],[PROVEEDOR]],Terceros!$A:$D,4,FALSE)</f>
        <v>2,5% con base</v>
      </c>
      <c r="V1579" s="97">
        <f>+YEAR(PROVEEDORES[[#This Row],[FECHA DE FACTURACIÓN]])</f>
        <v>2021</v>
      </c>
      <c r="W1579" s="97">
        <f>+MATCH(PROVEEDORES[[#This Row],[año facturado]],Retenciones!$1:$1,0)</f>
        <v>4</v>
      </c>
      <c r="X1579" s="98">
        <f>+VLOOKUP(PROVEEDORES[[#This Row],[ID RETENCION]],Retenciones!$A$1:$O$25,PROVEEDORES[[#This Row],[indicador de columna]],FALSE)</f>
        <v>980000</v>
      </c>
      <c r="Y1579" s="99">
        <f>+VLOOKUP(PROVEEDORES[[#This Row],[ID RETENCION]],Retenciones!$A$1:$O$25,2,FALSE)</f>
        <v>2.5000000000000001E-2</v>
      </c>
      <c r="Z1579" s="125" t="b">
        <f>OR(COUNTIF(PROVEEDORES[[#This Row],[PROVEEDOR]],"*"&amp;'Palabra no opera'!$A$2&amp;"*"))</f>
        <v>0</v>
      </c>
    </row>
    <row r="1580" spans="1:26" ht="22.2" customHeight="1" x14ac:dyDescent="0.3">
      <c r="A1580" s="66" t="str">
        <f>+IF(PROVEEDORES[[#This Row],[FECHA DE PAGO]]=PROVEEDORES[[#This Row],[FECHA DE FACTURACIÓN]],"DE CONTADO","CRÉDITO")</f>
        <v>DE CONTADO</v>
      </c>
      <c r="B1580" s="38" t="b">
        <f>+IF((PROVEEDORES[[#This Row],[FECHA DE PAGO]]-PROVEEDORES[[#This Row],[FECHA DE FACTURACIÓN]])&gt;PROVEEDORES[[#This Row],[PLAZO Días]],"PAGO VENCIDO")</f>
        <v>0</v>
      </c>
      <c r="C1580" s="20">
        <f>+VLOOKUP(PROVEEDORES[[#This Row],[PROVEEDOR]],TERCEROS_INFO[#All],2,FALSE)</f>
        <v>30</v>
      </c>
      <c r="D1580" s="25">
        <f>+SUMIFS(PROVEEDORES[Total],PROVEEDORES[PROVEEDOR],PROVEEDORES[[#This Row],[PROVEEDOR]],PROVEEDORES[FECHA DE PAGO],"")</f>
        <v>0</v>
      </c>
      <c r="E1580" s="25"/>
      <c r="F1580" s="58">
        <f>+VLOOKUP(PROVEEDORES[[#This Row],[PROVEEDOR]],
                       Terceros!$A:$F,
                       5,
                       FALSE)</f>
        <v>0</v>
      </c>
      <c r="G1580" s="161">
        <v>44512</v>
      </c>
      <c r="H1580" s="26" t="s">
        <v>536</v>
      </c>
      <c r="I1580" s="161">
        <v>44512</v>
      </c>
      <c r="J1580" s="35">
        <v>65</v>
      </c>
      <c r="K1580" s="21">
        <v>1976320</v>
      </c>
      <c r="L1580" s="21"/>
      <c r="M1580" s="22">
        <f>(PROVEEDORES[[#This Row],[SUBTOTAL]]-PROVEEDORES[[#This Row],[descuento sobre subtotal]])*VLOOKUP(PROVEEDORES[[#This Row],[PROVEEDOR]],TERCEROS_INFO[#All],3,FALSE)</f>
        <v>375500.79999999999</v>
      </c>
      <c r="N1580" s="23"/>
      <c r="O1580" s="22">
        <f>+PROVEEDORES[[#This Row],[Descuento sobre subtotal %]]*(PROVEEDORES[[#This Row],[SUBTOTAL]]-PROVEEDORES[[#This Row],[descuento sobre subtotal]])</f>
        <v>0</v>
      </c>
      <c r="P1580" s="83">
        <f>+IF(PROVEEDORES[[#This Row],[SUBTOTAL]]&lt;PROVEEDORES[[#This Row],[base retencion]],0,PROVEEDORES[[#This Row],[retención aplicada]])</f>
        <v>2.5000000000000001E-2</v>
      </c>
      <c r="Q1580" s="22">
        <f>+PROVEEDORES[[#This Row],[Rete Fuente %]]*(PROVEEDORES[[#This Row],[SUBTOTAL]]-PROVEEDORES[[#This Row],[descuento sobre subtotal]])</f>
        <v>49408</v>
      </c>
      <c r="R1580" s="21">
        <f>+PROVEEDORES[[#This Row],[SUBTOTAL]]+PROVEEDORES[[#This Row],[IVA 19%]]-PROVEEDORES[[#This Row],[descuento sobre subtotal]]-PROVEEDORES[[#This Row],[Descuento sobre subtotal $2]]-PROVEEDORES[[#This Row],[Rete Fuente $]]</f>
        <v>2302412.7999999998</v>
      </c>
      <c r="S15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0" s="68">
        <f ca="1">IF(PROVEEDORES[[#This Row],[FECHA DE PAGO]]=0,TODAY()-PROVEEDORES[[#This Row],[FECHA DE FACTURACIÓN]]-PROVEEDORES[[#This Row],[PLAZO Días]],0)</f>
        <v>0</v>
      </c>
      <c r="U1580" s="96" t="str">
        <f>+VLOOKUP(PROVEEDORES[[#This Row],[PROVEEDOR]],Terceros!$A:$D,4,FALSE)</f>
        <v>2,5% con base</v>
      </c>
      <c r="V1580" s="97">
        <f>+YEAR(PROVEEDORES[[#This Row],[FECHA DE FACTURACIÓN]])</f>
        <v>2021</v>
      </c>
      <c r="W1580" s="97">
        <f>+MATCH(PROVEEDORES[[#This Row],[año facturado]],Retenciones!$1:$1,0)</f>
        <v>4</v>
      </c>
      <c r="X1580" s="98">
        <f>+VLOOKUP(PROVEEDORES[[#This Row],[ID RETENCION]],Retenciones!$A$1:$O$25,PROVEEDORES[[#This Row],[indicador de columna]],FALSE)</f>
        <v>980000</v>
      </c>
      <c r="Y1580" s="99">
        <f>+VLOOKUP(PROVEEDORES[[#This Row],[ID RETENCION]],Retenciones!$A$1:$O$25,2,FALSE)</f>
        <v>2.5000000000000001E-2</v>
      </c>
      <c r="Z1580" s="125" t="b">
        <f>OR(COUNTIF(PROVEEDORES[[#This Row],[PROVEEDOR]],"*"&amp;'Palabra no opera'!$A$2&amp;"*"))</f>
        <v>0</v>
      </c>
    </row>
    <row r="1581" spans="1:26" ht="22.2" customHeight="1" x14ac:dyDescent="0.3">
      <c r="A1581" s="66" t="str">
        <f>+IF(PROVEEDORES[[#This Row],[FECHA DE PAGO]]=PROVEEDORES[[#This Row],[FECHA DE FACTURACIÓN]],"DE CONTADO","CRÉDITO")</f>
        <v>CRÉDITO</v>
      </c>
      <c r="B1581" s="38" t="str">
        <f>+IF((PROVEEDORES[[#This Row],[FECHA DE PAGO]]-PROVEEDORES[[#This Row],[FECHA DE FACTURACIÓN]])&gt;PROVEEDORES[[#This Row],[PLAZO Días]],"PAGO VENCIDO")</f>
        <v>PAGO VENCIDO</v>
      </c>
      <c r="C1581" s="20">
        <f>+VLOOKUP(PROVEEDORES[[#This Row],[PROVEEDOR]],TERCEROS_INFO[#All],2,FALSE)</f>
        <v>30</v>
      </c>
      <c r="D1581" s="25">
        <f>+SUMIFS(PROVEEDORES[Total],PROVEEDORES[PROVEEDOR],PROVEEDORES[[#This Row],[PROVEEDOR]],PROVEEDORES[FECHA DE PAGO],"")</f>
        <v>5272763.2050000001</v>
      </c>
      <c r="E1581" s="25"/>
      <c r="F158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1" s="161">
        <v>44214</v>
      </c>
      <c r="H1581" s="26" t="s">
        <v>11</v>
      </c>
      <c r="I1581" s="161">
        <v>44182</v>
      </c>
      <c r="J1581" s="35" t="s">
        <v>88</v>
      </c>
      <c r="K1581" s="21">
        <v>1980000</v>
      </c>
      <c r="L1581" s="21"/>
      <c r="M1581" s="22">
        <f>(PROVEEDORES[[#This Row],[SUBTOTAL]]-PROVEEDORES[[#This Row],[descuento sobre subtotal]])*VLOOKUP(PROVEEDORES[[#This Row],[PROVEEDOR]],TERCEROS_INFO[#All],3,FALSE)</f>
        <v>376200</v>
      </c>
      <c r="N1581" s="23"/>
      <c r="O1581" s="22">
        <f>+PROVEEDORES[[#This Row],[Descuento sobre subtotal %]]*(PROVEEDORES[[#This Row],[SUBTOTAL]]-PROVEEDORES[[#This Row],[descuento sobre subtotal]])</f>
        <v>0</v>
      </c>
      <c r="P1581" s="83">
        <f>+IF(PROVEEDORES[[#This Row],[SUBTOTAL]]&lt;PROVEEDORES[[#This Row],[base retencion]],0,PROVEEDORES[[#This Row],[retención aplicada]])</f>
        <v>2.5000000000000001E-2</v>
      </c>
      <c r="Q1581" s="22">
        <f>+PROVEEDORES[[#This Row],[Rete Fuente %]]*(PROVEEDORES[[#This Row],[SUBTOTAL]]-PROVEEDORES[[#This Row],[descuento sobre subtotal]])</f>
        <v>49500</v>
      </c>
      <c r="R1581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1" s="68">
        <f ca="1">IF(PROVEEDORES[[#This Row],[FECHA DE PAGO]]=0,TODAY()-PROVEEDORES[[#This Row],[FECHA DE FACTURACIÓN]]-PROVEEDORES[[#This Row],[PLAZO Días]],0)</f>
        <v>0</v>
      </c>
      <c r="U1581" s="96" t="str">
        <f>+VLOOKUP(PROVEEDORES[[#This Row],[PROVEEDOR]],Terceros!$A:$D,4,FALSE)</f>
        <v>2,5% con base</v>
      </c>
      <c r="V1581" s="97">
        <f>+YEAR(PROVEEDORES[[#This Row],[FECHA DE FACTURACIÓN]])</f>
        <v>2020</v>
      </c>
      <c r="W1581" s="97">
        <f>+MATCH(PROVEEDORES[[#This Row],[año facturado]],Retenciones!$1:$1,0)</f>
        <v>3</v>
      </c>
      <c r="X1581" s="98">
        <f>+VLOOKUP(PROVEEDORES[[#This Row],[ID RETENCION]],Retenciones!$A$1:$O$25,PROVEEDORES[[#This Row],[indicador de columna]],FALSE)</f>
        <v>961000</v>
      </c>
      <c r="Y1581" s="99">
        <f>+VLOOKUP(PROVEEDORES[[#This Row],[ID RETENCION]],Retenciones!$A$1:$O$25,2,FALSE)</f>
        <v>2.5000000000000001E-2</v>
      </c>
      <c r="Z1581" s="127" t="b">
        <f>OR(COUNTIF(PROVEEDORES[[#This Row],[PROVEEDOR]],"*"&amp;'Palabra no opera'!$A$2&amp;"*"))</f>
        <v>0</v>
      </c>
    </row>
    <row r="1582" spans="1:26" ht="22.2" customHeight="1" x14ac:dyDescent="0.3">
      <c r="A1582" s="66" t="str">
        <f>+IF(PROVEEDORES[[#This Row],[FECHA DE PAGO]]=PROVEEDORES[[#This Row],[FECHA DE FACTURACIÓN]],"DE CONTADO","CRÉDITO")</f>
        <v>CRÉDITO</v>
      </c>
      <c r="B1582" s="38" t="str">
        <f>+IF((PROVEEDORES[[#This Row],[FECHA DE PAGO]]-PROVEEDORES[[#This Row],[FECHA DE FACTURACIÓN]])&gt;PROVEEDORES[[#This Row],[PLAZO Días]],"PAGO VENCIDO")</f>
        <v>PAGO VENCIDO</v>
      </c>
      <c r="C1582" s="20">
        <f>+VLOOKUP(PROVEEDORES[[#This Row],[PROVEEDOR]],TERCEROS_INFO[#All],2,FALSE)</f>
        <v>30</v>
      </c>
      <c r="D1582" s="25">
        <f>+SUMIFS(PROVEEDORES[Total],PROVEEDORES[PROVEEDOR],PROVEEDORES[[#This Row],[PROVEEDOR]],PROVEEDORES[FECHA DE PAGO],"")</f>
        <v>5272763.2050000001</v>
      </c>
      <c r="E1582" s="25"/>
      <c r="F158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2" s="161">
        <v>44239</v>
      </c>
      <c r="H1582" s="26" t="s">
        <v>11</v>
      </c>
      <c r="I1582" s="161">
        <v>44179</v>
      </c>
      <c r="J1582" s="35" t="s">
        <v>87</v>
      </c>
      <c r="K1582" s="21">
        <v>1980000</v>
      </c>
      <c r="L1582" s="21"/>
      <c r="M1582" s="22">
        <f>(PROVEEDORES[[#This Row],[SUBTOTAL]]-PROVEEDORES[[#This Row],[descuento sobre subtotal]])*VLOOKUP(PROVEEDORES[[#This Row],[PROVEEDOR]],TERCEROS_INFO[#All],3,FALSE)</f>
        <v>376200</v>
      </c>
      <c r="N1582" s="23"/>
      <c r="O1582" s="22">
        <f>+PROVEEDORES[[#This Row],[Descuento sobre subtotal %]]*(PROVEEDORES[[#This Row],[SUBTOTAL]]-PROVEEDORES[[#This Row],[descuento sobre subtotal]])</f>
        <v>0</v>
      </c>
      <c r="P1582" s="83">
        <f>+IF(PROVEEDORES[[#This Row],[SUBTOTAL]]&lt;PROVEEDORES[[#This Row],[base retencion]],0,PROVEEDORES[[#This Row],[retención aplicada]])</f>
        <v>2.5000000000000001E-2</v>
      </c>
      <c r="Q1582" s="22">
        <f>+PROVEEDORES[[#This Row],[Rete Fuente %]]*(PROVEEDORES[[#This Row],[SUBTOTAL]]-PROVEEDORES[[#This Row],[descuento sobre subtotal]])</f>
        <v>49500</v>
      </c>
      <c r="R1582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2" s="68">
        <f ca="1">IF(PROVEEDORES[[#This Row],[FECHA DE PAGO]]=0,TODAY()-PROVEEDORES[[#This Row],[FECHA DE FACTURACIÓN]]-PROVEEDORES[[#This Row],[PLAZO Días]],0)</f>
        <v>0</v>
      </c>
      <c r="U1582" s="96" t="str">
        <f>+VLOOKUP(PROVEEDORES[[#This Row],[PROVEEDOR]],Terceros!$A:$D,4,FALSE)</f>
        <v>2,5% con base</v>
      </c>
      <c r="V1582" s="97">
        <f>+YEAR(PROVEEDORES[[#This Row],[FECHA DE FACTURACIÓN]])</f>
        <v>2020</v>
      </c>
      <c r="W1582" s="97">
        <f>+MATCH(PROVEEDORES[[#This Row],[año facturado]],Retenciones!$1:$1,0)</f>
        <v>3</v>
      </c>
      <c r="X1582" s="98">
        <f>+VLOOKUP(PROVEEDORES[[#This Row],[ID RETENCION]],Retenciones!$A$1:$O$25,PROVEEDORES[[#This Row],[indicador de columna]],FALSE)</f>
        <v>961000</v>
      </c>
      <c r="Y1582" s="99">
        <f>+VLOOKUP(PROVEEDORES[[#This Row],[ID RETENCION]],Retenciones!$A$1:$O$25,2,FALSE)</f>
        <v>2.5000000000000001E-2</v>
      </c>
      <c r="Z1582" s="127" t="b">
        <f>OR(COUNTIF(PROVEEDORES[[#This Row],[PROVEEDOR]],"*"&amp;'Palabra no opera'!$A$2&amp;"*"))</f>
        <v>0</v>
      </c>
    </row>
    <row r="1583" spans="1:26" ht="22.2" customHeight="1" x14ac:dyDescent="0.3">
      <c r="A1583" s="66" t="str">
        <f>+IF(PROVEEDORES[[#This Row],[FECHA DE PAGO]]=PROVEEDORES[[#This Row],[FECHA DE FACTURACIÓN]],"DE CONTADO","CRÉDITO")</f>
        <v>CRÉDITO</v>
      </c>
      <c r="B1583" s="38" t="str">
        <f>+IF((PROVEEDORES[[#This Row],[FECHA DE PAGO]]-PROVEEDORES[[#This Row],[FECHA DE FACTURACIÓN]])&gt;PROVEEDORES[[#This Row],[PLAZO Días]],"PAGO VENCIDO")</f>
        <v>PAGO VENCIDO</v>
      </c>
      <c r="C1583" s="20">
        <f>+VLOOKUP(PROVEEDORES[[#This Row],[PROVEEDOR]],TERCEROS_INFO[#All],2,FALSE)</f>
        <v>30</v>
      </c>
      <c r="D1583" s="25">
        <f>+SUMIFS(PROVEEDORES[Total],PROVEEDORES[PROVEEDOR],PROVEEDORES[[#This Row],[PROVEEDOR]],PROVEEDORES[FECHA DE PAGO],"")</f>
        <v>5272763.2050000001</v>
      </c>
      <c r="E1583" s="25"/>
      <c r="F158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3" s="161">
        <v>44319</v>
      </c>
      <c r="H1583" s="26" t="s">
        <v>11</v>
      </c>
      <c r="I1583" s="161">
        <v>44263</v>
      </c>
      <c r="J1583" s="35" t="s">
        <v>234</v>
      </c>
      <c r="K1583" s="21">
        <v>1980000</v>
      </c>
      <c r="L1583" s="21"/>
      <c r="M1583" s="22">
        <f>(PROVEEDORES[[#This Row],[SUBTOTAL]]-PROVEEDORES[[#This Row],[descuento sobre subtotal]])*VLOOKUP(PROVEEDORES[[#This Row],[PROVEEDOR]],TERCEROS_INFO[#All],3,FALSE)</f>
        <v>376200</v>
      </c>
      <c r="N1583" s="23"/>
      <c r="O1583" s="22">
        <f>+PROVEEDORES[[#This Row],[Descuento sobre subtotal %]]*(PROVEEDORES[[#This Row],[SUBTOTAL]]-PROVEEDORES[[#This Row],[descuento sobre subtotal]])</f>
        <v>0</v>
      </c>
      <c r="P1583" s="83">
        <f>+IF(PROVEEDORES[[#This Row],[SUBTOTAL]]&lt;PROVEEDORES[[#This Row],[base retencion]],0,PROVEEDORES[[#This Row],[retención aplicada]])</f>
        <v>2.5000000000000001E-2</v>
      </c>
      <c r="Q1583" s="22">
        <f>+PROVEEDORES[[#This Row],[Rete Fuente %]]*(PROVEEDORES[[#This Row],[SUBTOTAL]]-PROVEEDORES[[#This Row],[descuento sobre subtotal]])</f>
        <v>49500</v>
      </c>
      <c r="R1583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3" s="68">
        <f ca="1">IF(PROVEEDORES[[#This Row],[FECHA DE PAGO]]=0,TODAY()-PROVEEDORES[[#This Row],[FECHA DE FACTURACIÓN]]-PROVEEDORES[[#This Row],[PLAZO Días]],0)</f>
        <v>0</v>
      </c>
      <c r="U1583" s="96" t="str">
        <f>+VLOOKUP(PROVEEDORES[[#This Row],[PROVEEDOR]],Terceros!$A:$D,4,FALSE)</f>
        <v>2,5% con base</v>
      </c>
      <c r="V1583" s="97">
        <f>+YEAR(PROVEEDORES[[#This Row],[FECHA DE FACTURACIÓN]])</f>
        <v>2021</v>
      </c>
      <c r="W1583" s="97">
        <f>+MATCH(PROVEEDORES[[#This Row],[año facturado]],Retenciones!$1:$1,0)</f>
        <v>4</v>
      </c>
      <c r="X1583" s="98">
        <f>+VLOOKUP(PROVEEDORES[[#This Row],[ID RETENCION]],Retenciones!$A$1:$O$25,PROVEEDORES[[#This Row],[indicador de columna]],FALSE)</f>
        <v>980000</v>
      </c>
      <c r="Y1583" s="99">
        <f>+VLOOKUP(PROVEEDORES[[#This Row],[ID RETENCION]],Retenciones!$A$1:$O$25,2,FALSE)</f>
        <v>2.5000000000000001E-2</v>
      </c>
      <c r="Z1583" s="127" t="b">
        <f>OR(COUNTIF(PROVEEDORES[[#This Row],[PROVEEDOR]],"*"&amp;'Palabra no opera'!$A$2&amp;"*"))</f>
        <v>0</v>
      </c>
    </row>
    <row r="1584" spans="1:26" ht="22.2" customHeight="1" x14ac:dyDescent="0.3">
      <c r="A1584" s="66" t="str">
        <f>+IF(PROVEEDORES[[#This Row],[FECHA DE PAGO]]=PROVEEDORES[[#This Row],[FECHA DE FACTURACIÓN]],"DE CONTADO","CRÉDITO")</f>
        <v>CRÉDITO</v>
      </c>
      <c r="B1584" s="38" t="str">
        <f>+IF((PROVEEDORES[[#This Row],[FECHA DE PAGO]]-PROVEEDORES[[#This Row],[FECHA DE FACTURACIÓN]])&gt;PROVEEDORES[[#This Row],[PLAZO Días]],"PAGO VENCIDO")</f>
        <v>PAGO VENCIDO</v>
      </c>
      <c r="C1584" s="20">
        <f>+VLOOKUP(PROVEEDORES[[#This Row],[PROVEEDOR]],TERCEROS_INFO[#All],2,FALSE)</f>
        <v>30</v>
      </c>
      <c r="D1584" s="25">
        <f>+SUMIFS(PROVEEDORES[Total],PROVEEDORES[PROVEEDOR],PROVEEDORES[[#This Row],[PROVEEDOR]],PROVEEDORES[FECHA DE PAGO],"")</f>
        <v>5272763.2050000001</v>
      </c>
      <c r="E1584" s="25"/>
      <c r="F158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4" s="161">
        <v>44319</v>
      </c>
      <c r="H1584" s="26" t="s">
        <v>11</v>
      </c>
      <c r="I1584" s="161">
        <v>44273</v>
      </c>
      <c r="J1584" s="35" t="s">
        <v>244</v>
      </c>
      <c r="K1584" s="21">
        <v>1980000</v>
      </c>
      <c r="L1584" s="21"/>
      <c r="M1584" s="22">
        <f>(PROVEEDORES[[#This Row],[SUBTOTAL]]-PROVEEDORES[[#This Row],[descuento sobre subtotal]])*VLOOKUP(PROVEEDORES[[#This Row],[PROVEEDOR]],TERCEROS_INFO[#All],3,FALSE)</f>
        <v>376200</v>
      </c>
      <c r="N1584" s="23"/>
      <c r="O1584" s="22">
        <f>+PROVEEDORES[[#This Row],[Descuento sobre subtotal %]]*(PROVEEDORES[[#This Row],[SUBTOTAL]]-PROVEEDORES[[#This Row],[descuento sobre subtotal]])</f>
        <v>0</v>
      </c>
      <c r="P1584" s="83">
        <f>+IF(PROVEEDORES[[#This Row],[SUBTOTAL]]&lt;PROVEEDORES[[#This Row],[base retencion]],0,PROVEEDORES[[#This Row],[retención aplicada]])</f>
        <v>2.5000000000000001E-2</v>
      </c>
      <c r="Q1584" s="22">
        <f>+PROVEEDORES[[#This Row],[Rete Fuente %]]*(PROVEEDORES[[#This Row],[SUBTOTAL]]-PROVEEDORES[[#This Row],[descuento sobre subtotal]])</f>
        <v>49500</v>
      </c>
      <c r="R1584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4" s="68">
        <f ca="1">IF(PROVEEDORES[[#This Row],[FECHA DE PAGO]]=0,TODAY()-PROVEEDORES[[#This Row],[FECHA DE FACTURACIÓN]]-PROVEEDORES[[#This Row],[PLAZO Días]],0)</f>
        <v>0</v>
      </c>
      <c r="U1584" s="96" t="str">
        <f>+VLOOKUP(PROVEEDORES[[#This Row],[PROVEEDOR]],Terceros!$A:$D,4,FALSE)</f>
        <v>2,5% con base</v>
      </c>
      <c r="V1584" s="97">
        <f>+YEAR(PROVEEDORES[[#This Row],[FECHA DE FACTURACIÓN]])</f>
        <v>2021</v>
      </c>
      <c r="W1584" s="97">
        <f>+MATCH(PROVEEDORES[[#This Row],[año facturado]],Retenciones!$1:$1,0)</f>
        <v>4</v>
      </c>
      <c r="X1584" s="98">
        <f>+VLOOKUP(PROVEEDORES[[#This Row],[ID RETENCION]],Retenciones!$A$1:$O$25,PROVEEDORES[[#This Row],[indicador de columna]],FALSE)</f>
        <v>980000</v>
      </c>
      <c r="Y1584" s="99">
        <f>+VLOOKUP(PROVEEDORES[[#This Row],[ID RETENCION]],Retenciones!$A$1:$O$25,2,FALSE)</f>
        <v>2.5000000000000001E-2</v>
      </c>
      <c r="Z1584" s="127" t="b">
        <f>OR(COUNTIF(PROVEEDORES[[#This Row],[PROVEEDOR]],"*"&amp;'Palabra no opera'!$A$2&amp;"*"))</f>
        <v>0</v>
      </c>
    </row>
    <row r="1585" spans="1:26" ht="22.2" customHeight="1" x14ac:dyDescent="0.3">
      <c r="A1585" s="66" t="str">
        <f>+IF(PROVEEDORES[[#This Row],[FECHA DE PAGO]]=PROVEEDORES[[#This Row],[FECHA DE FACTURACIÓN]],"DE CONTADO","CRÉDITO")</f>
        <v>CRÉDITO</v>
      </c>
      <c r="B1585" s="38" t="str">
        <f>+IF((PROVEEDORES[[#This Row],[FECHA DE PAGO]]-PROVEEDORES[[#This Row],[FECHA DE FACTURACIÓN]])&gt;PROVEEDORES[[#This Row],[PLAZO Días]],"PAGO VENCIDO")</f>
        <v>PAGO VENCIDO</v>
      </c>
      <c r="C1585" s="20">
        <f>+VLOOKUP(PROVEEDORES[[#This Row],[PROVEEDOR]],TERCEROS_INFO[#All],2,FALSE)</f>
        <v>30</v>
      </c>
      <c r="D1585" s="25">
        <f>+SUMIFS(PROVEEDORES[Total],PROVEEDORES[PROVEEDOR],PROVEEDORES[[#This Row],[PROVEEDOR]],PROVEEDORES[FECHA DE PAGO],"")</f>
        <v>5272763.2050000001</v>
      </c>
      <c r="E1585" s="25"/>
      <c r="F158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5" s="161">
        <v>44503</v>
      </c>
      <c r="H1585" s="26" t="s">
        <v>11</v>
      </c>
      <c r="I1585" s="161">
        <v>44454</v>
      </c>
      <c r="J1585" s="35" t="s">
        <v>474</v>
      </c>
      <c r="K1585" s="21">
        <v>1980000</v>
      </c>
      <c r="L1585" s="21"/>
      <c r="M1585" s="22">
        <f>(PROVEEDORES[[#This Row],[SUBTOTAL]]-PROVEEDORES[[#This Row],[descuento sobre subtotal]])*VLOOKUP(PROVEEDORES[[#This Row],[PROVEEDOR]],TERCEROS_INFO[#All],3,FALSE)</f>
        <v>376200</v>
      </c>
      <c r="N1585" s="23"/>
      <c r="O1585" s="22">
        <f>+PROVEEDORES[[#This Row],[Descuento sobre subtotal %]]*(PROVEEDORES[[#This Row],[SUBTOTAL]]-PROVEEDORES[[#This Row],[descuento sobre subtotal]])</f>
        <v>0</v>
      </c>
      <c r="P1585" s="83">
        <f>+IF(PROVEEDORES[[#This Row],[SUBTOTAL]]&lt;PROVEEDORES[[#This Row],[base retencion]],0,PROVEEDORES[[#This Row],[retención aplicada]])</f>
        <v>2.5000000000000001E-2</v>
      </c>
      <c r="Q1585" s="22">
        <f>+PROVEEDORES[[#This Row],[Rete Fuente %]]*(PROVEEDORES[[#This Row],[SUBTOTAL]]-PROVEEDORES[[#This Row],[descuento sobre subtotal]])</f>
        <v>49500</v>
      </c>
      <c r="R1585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5" s="68">
        <f ca="1">IF(PROVEEDORES[[#This Row],[FECHA DE PAGO]]=0,TODAY()-PROVEEDORES[[#This Row],[FECHA DE FACTURACIÓN]]-PROVEEDORES[[#This Row],[PLAZO Días]],0)</f>
        <v>0</v>
      </c>
      <c r="U1585" s="96" t="str">
        <f>+VLOOKUP(PROVEEDORES[[#This Row],[PROVEEDOR]],Terceros!$A:$D,4,FALSE)</f>
        <v>2,5% con base</v>
      </c>
      <c r="V1585" s="97">
        <f>+YEAR(PROVEEDORES[[#This Row],[FECHA DE FACTURACIÓN]])</f>
        <v>2021</v>
      </c>
      <c r="W1585" s="97">
        <f>+MATCH(PROVEEDORES[[#This Row],[año facturado]],Retenciones!$1:$1,0)</f>
        <v>4</v>
      </c>
      <c r="X1585" s="98">
        <f>+VLOOKUP(PROVEEDORES[[#This Row],[ID RETENCION]],Retenciones!$A$1:$O$25,PROVEEDORES[[#This Row],[indicador de columna]],FALSE)</f>
        <v>980000</v>
      </c>
      <c r="Y1585" s="99">
        <f>+VLOOKUP(PROVEEDORES[[#This Row],[ID RETENCION]],Retenciones!$A$1:$O$25,2,FALSE)</f>
        <v>2.5000000000000001E-2</v>
      </c>
      <c r="Z1585" s="127" t="b">
        <f>OR(COUNTIF(PROVEEDORES[[#This Row],[PROVEEDOR]],"*"&amp;'Palabra no opera'!$A$2&amp;"*"))</f>
        <v>0</v>
      </c>
    </row>
    <row r="1586" spans="1:26" ht="22.2" customHeight="1" x14ac:dyDescent="0.3">
      <c r="A1586" s="135" t="str">
        <f>+IF(PROVEEDORES[[#This Row],[FECHA DE PAGO]]=PROVEEDORES[[#This Row],[FECHA DE FACTURACIÓN]],"DE CONTADO","CRÉDITO")</f>
        <v>CRÉDITO</v>
      </c>
      <c r="B1586" s="38" t="str">
        <f>+IF((PROVEEDORES[[#This Row],[FECHA DE PAGO]]-PROVEEDORES[[#This Row],[FECHA DE FACTURACIÓN]])&gt;PROVEEDORES[[#This Row],[PLAZO Días]],"PAGO VENCIDO")</f>
        <v>PAGO VENCIDO</v>
      </c>
      <c r="C1586" s="20">
        <f>+VLOOKUP(PROVEEDORES[[#This Row],[PROVEEDOR]],TERCEROS_INFO[#All],2,FALSE)</f>
        <v>30</v>
      </c>
      <c r="D1586" s="25">
        <f>+SUMIFS(PROVEEDORES[Total],PROVEEDORES[PROVEEDOR],PROVEEDORES[[#This Row],[PROVEEDOR]],PROVEEDORES[FECHA DE PAGO],"")</f>
        <v>5272763.2050000001</v>
      </c>
      <c r="E1586" s="25"/>
      <c r="F158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6" s="161">
        <v>44725</v>
      </c>
      <c r="H1586" s="26" t="s">
        <v>11</v>
      </c>
      <c r="I1586" s="161">
        <v>44693</v>
      </c>
      <c r="J1586" s="35" t="s">
        <v>951</v>
      </c>
      <c r="K1586" s="21">
        <v>1980000</v>
      </c>
      <c r="L1586" s="21"/>
      <c r="M1586" s="22">
        <f>(PROVEEDORES[[#This Row],[SUBTOTAL]]-PROVEEDORES[[#This Row],[descuento sobre subtotal]])*VLOOKUP(PROVEEDORES[[#This Row],[PROVEEDOR]],TERCEROS_INFO[#All],3,FALSE)</f>
        <v>376200</v>
      </c>
      <c r="N1586" s="23"/>
      <c r="O1586" s="22">
        <f>+PROVEEDORES[[#This Row],[Descuento sobre subtotal %]]*(PROVEEDORES[[#This Row],[SUBTOTAL]]-PROVEEDORES[[#This Row],[descuento sobre subtotal]])</f>
        <v>0</v>
      </c>
      <c r="P1586" s="83">
        <f>+IF(PROVEEDORES[[#This Row],[SUBTOTAL]]&lt;PROVEEDORES[[#This Row],[base retencion]],0,PROVEEDORES[[#This Row],[retención aplicada]])</f>
        <v>2.5000000000000001E-2</v>
      </c>
      <c r="Q1586" s="22">
        <f>+PROVEEDORES[[#This Row],[Rete Fuente %]]*(PROVEEDORES[[#This Row],[SUBTOTAL]]-PROVEEDORES[[#This Row],[descuento sobre subtotal]])</f>
        <v>49500</v>
      </c>
      <c r="R1586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6" s="68">
        <f ca="1">IF(PROVEEDORES[[#This Row],[FECHA DE PAGO]]=0,TODAY()-PROVEEDORES[[#This Row],[FECHA DE FACTURACIÓN]]-PROVEEDORES[[#This Row],[PLAZO Días]],0)</f>
        <v>0</v>
      </c>
      <c r="U1586" s="113" t="str">
        <f>+VLOOKUP(PROVEEDORES[[#This Row],[PROVEEDOR]],Terceros!$A:$D,4,FALSE)</f>
        <v>2,5% con base</v>
      </c>
      <c r="V1586" s="114">
        <f>+YEAR(PROVEEDORES[[#This Row],[FECHA DE FACTURACIÓN]])</f>
        <v>2022</v>
      </c>
      <c r="W1586" s="114">
        <f>+MATCH(PROVEEDORES[[#This Row],[año facturado]],Retenciones!$1:$1,0)</f>
        <v>5</v>
      </c>
      <c r="X1586" s="115">
        <f>+VLOOKUP(PROVEEDORES[[#This Row],[ID RETENCION]],Retenciones!$A$1:$O$25,PROVEEDORES[[#This Row],[indicador de columna]],FALSE)</f>
        <v>1026000</v>
      </c>
      <c r="Y1586" s="116">
        <f>+VLOOKUP(PROVEEDORES[[#This Row],[ID RETENCION]],Retenciones!$A$1:$O$25,2,FALSE)</f>
        <v>2.5000000000000001E-2</v>
      </c>
      <c r="Z1586" s="125" t="b">
        <f>OR(COUNTIF(PROVEEDORES[[#This Row],[PROVEEDOR]],"*"&amp;'Palabra no opera'!$A$2&amp;"*"))</f>
        <v>0</v>
      </c>
    </row>
    <row r="1587" spans="1:26" ht="22.2" customHeight="1" x14ac:dyDescent="0.3">
      <c r="A1587" s="66" t="str">
        <f>+IF(PROVEEDORES[[#This Row],[FECHA DE PAGO]]=PROVEEDORES[[#This Row],[FECHA DE FACTURACIÓN]],"DE CONTADO","CRÉDITO")</f>
        <v>CRÉDITO</v>
      </c>
      <c r="B1587" s="38" t="str">
        <f>+IF((PROVEEDORES[[#This Row],[FECHA DE PAGO]]-PROVEEDORES[[#This Row],[FECHA DE FACTURACIÓN]])&gt;PROVEEDORES[[#This Row],[PLAZO Días]],"PAGO VENCIDO")</f>
        <v>PAGO VENCIDO</v>
      </c>
      <c r="C1587" s="20">
        <f>+VLOOKUP(PROVEEDORES[[#This Row],[PROVEEDOR]],TERCEROS_INFO[#All],2,FALSE)</f>
        <v>30</v>
      </c>
      <c r="D1587" s="25">
        <f>+SUMIFS(PROVEEDORES[Total],PROVEEDORES[PROVEEDOR],PROVEEDORES[[#This Row],[PROVEEDOR]],PROVEEDORES[FECHA DE PAGO],"")</f>
        <v>0</v>
      </c>
      <c r="E1587" s="25"/>
      <c r="F1587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587" s="161">
        <v>44477</v>
      </c>
      <c r="H1587" s="26" t="s">
        <v>688</v>
      </c>
      <c r="I1587" s="161">
        <v>44432</v>
      </c>
      <c r="J1587" s="35" t="s">
        <v>1487</v>
      </c>
      <c r="K1587" s="21">
        <v>2317000</v>
      </c>
      <c r="L1587" s="21"/>
      <c r="M1587" s="22">
        <f>(PROVEEDORES[[#This Row],[SUBTOTAL]]-PROVEEDORES[[#This Row],[descuento sobre subtotal]])*VLOOKUP(PROVEEDORES[[#This Row],[PROVEEDOR]],TERCEROS_INFO[#All],3,FALSE)</f>
        <v>0</v>
      </c>
      <c r="N1587" s="23"/>
      <c r="O1587" s="22">
        <f>+PROVEEDORES[[#This Row],[Descuento sobre subtotal %]]*(PROVEEDORES[[#This Row],[SUBTOTAL]]-PROVEEDORES[[#This Row],[descuento sobre subtotal]])</f>
        <v>0</v>
      </c>
      <c r="P1587" s="83">
        <f>+IF(PROVEEDORES[[#This Row],[SUBTOTAL]]&lt;PROVEEDORES[[#This Row],[base retencion]],0,PROVEEDORES[[#This Row],[retención aplicada]])</f>
        <v>0</v>
      </c>
      <c r="Q1587" s="22">
        <f>+PROVEEDORES[[#This Row],[Rete Fuente %]]*(PROVEEDORES[[#This Row],[SUBTOTAL]]-PROVEEDORES[[#This Row],[descuento sobre subtotal]])</f>
        <v>0</v>
      </c>
      <c r="R1587" s="21">
        <f>+PROVEEDORES[[#This Row],[SUBTOTAL]]+PROVEEDORES[[#This Row],[IVA 19%]]-PROVEEDORES[[#This Row],[descuento sobre subtotal]]-PROVEEDORES[[#This Row],[Descuento sobre subtotal $2]]-PROVEEDORES[[#This Row],[Rete Fuente $]]</f>
        <v>2317000</v>
      </c>
      <c r="S15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7" s="68">
        <f ca="1">IF(PROVEEDORES[[#This Row],[FECHA DE PAGO]]=0,TODAY()-PROVEEDORES[[#This Row],[FECHA DE FACTURACIÓN]]-PROVEEDORES[[#This Row],[PLAZO Días]],0)</f>
        <v>0</v>
      </c>
      <c r="U1587" s="96">
        <f>+VLOOKUP(PROVEEDORES[[#This Row],[PROVEEDOR]],Terceros!$A:$D,4,FALSE)</f>
        <v>0</v>
      </c>
      <c r="V1587" s="97">
        <f>+YEAR(PROVEEDORES[[#This Row],[FECHA DE FACTURACIÓN]])</f>
        <v>2021</v>
      </c>
      <c r="W1587" s="97">
        <f>+MATCH(PROVEEDORES[[#This Row],[año facturado]],Retenciones!$1:$1,0)</f>
        <v>4</v>
      </c>
      <c r="X1587" s="98">
        <f>+VLOOKUP(PROVEEDORES[[#This Row],[ID RETENCION]],Retenciones!$A$1:$O$25,PROVEEDORES[[#This Row],[indicador de columna]],FALSE)</f>
        <v>0</v>
      </c>
      <c r="Y1587" s="99">
        <f>+VLOOKUP(PROVEEDORES[[#This Row],[ID RETENCION]],Retenciones!$A$1:$O$25,2,FALSE)</f>
        <v>0</v>
      </c>
      <c r="Z1587" s="125" t="b">
        <f>OR(COUNTIF(PROVEEDORES[[#This Row],[PROVEEDOR]],"*"&amp;'Palabra no opera'!$A$2&amp;"*"))</f>
        <v>0</v>
      </c>
    </row>
    <row r="1588" spans="1:26" ht="22.2" customHeight="1" x14ac:dyDescent="0.3">
      <c r="A1588" s="66" t="str">
        <f>+IF(PROVEEDORES[[#This Row],[FECHA DE PAGO]]=PROVEEDORES[[#This Row],[FECHA DE FACTURACIÓN]],"DE CONTADO","CRÉDITO")</f>
        <v>CRÉDITO</v>
      </c>
      <c r="B1588" s="38" t="b">
        <f>+IF((PROVEEDORES[[#This Row],[FECHA DE PAGO]]-PROVEEDORES[[#This Row],[FECHA DE FACTURACIÓN]])&gt;PROVEEDORES[[#This Row],[PLAZO Días]],"PAGO VENCIDO")</f>
        <v>0</v>
      </c>
      <c r="C1588" s="20">
        <f>+VLOOKUP(PROVEEDORES[[#This Row],[PROVEEDOR]],TERCEROS_INFO[#All],2,FALSE)</f>
        <v>20</v>
      </c>
      <c r="D1588" s="25">
        <f>+SUMIFS(PROVEEDORES[Total],PROVEEDORES[PROVEEDOR],PROVEEDORES[[#This Row],[PROVEEDOR]],PROVEEDORES[FECHA DE PAGO],"")</f>
        <v>0</v>
      </c>
      <c r="E1588" s="25"/>
      <c r="F1588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588" s="161">
        <v>44459</v>
      </c>
      <c r="H1588" s="26" t="s">
        <v>331</v>
      </c>
      <c r="I1588" s="161">
        <v>44456</v>
      </c>
      <c r="J1588" s="35" t="s">
        <v>475</v>
      </c>
      <c r="K1588" s="21">
        <v>2015034</v>
      </c>
      <c r="L1588" s="21"/>
      <c r="M1588" s="22">
        <f>(PROVEEDORES[[#This Row],[SUBTOTAL]]-PROVEEDORES[[#This Row],[descuento sobre subtotal]])*VLOOKUP(PROVEEDORES[[#This Row],[PROVEEDOR]],TERCEROS_INFO[#All],3,FALSE)</f>
        <v>382856.46</v>
      </c>
      <c r="N1588" s="23"/>
      <c r="O1588" s="22">
        <f>+PROVEEDORES[[#This Row],[Descuento sobre subtotal %]]*(PROVEEDORES[[#This Row],[SUBTOTAL]]-PROVEEDORES[[#This Row],[descuento sobre subtotal]])</f>
        <v>0</v>
      </c>
      <c r="P1588" s="83">
        <f>+IF(PROVEEDORES[[#This Row],[SUBTOTAL]]&lt;PROVEEDORES[[#This Row],[base retencion]],0,PROVEEDORES[[#This Row],[retención aplicada]])</f>
        <v>0.04</v>
      </c>
      <c r="Q1588" s="22">
        <f>+PROVEEDORES[[#This Row],[Rete Fuente %]]*(PROVEEDORES[[#This Row],[SUBTOTAL]]-PROVEEDORES[[#This Row],[descuento sobre subtotal]])</f>
        <v>80601.36</v>
      </c>
      <c r="R1588" s="21">
        <f>+PROVEEDORES[[#This Row],[SUBTOTAL]]+PROVEEDORES[[#This Row],[IVA 19%]]-PROVEEDORES[[#This Row],[descuento sobre subtotal]]-PROVEEDORES[[#This Row],[Descuento sobre subtotal $2]]-PROVEEDORES[[#This Row],[Rete Fuente $]]</f>
        <v>2317289.1</v>
      </c>
      <c r="S15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8" s="68">
        <f ca="1">IF(PROVEEDORES[[#This Row],[FECHA DE PAGO]]=0,TODAY()-PROVEEDORES[[#This Row],[FECHA DE FACTURACIÓN]]-PROVEEDORES[[#This Row],[PLAZO Días]],0)</f>
        <v>0</v>
      </c>
      <c r="U1588" s="96" t="str">
        <f>+VLOOKUP(PROVEEDORES[[#This Row],[PROVEEDOR]],Terceros!$A:$D,4,FALSE)</f>
        <v>4% sin base</v>
      </c>
      <c r="V1588" s="97">
        <f>+YEAR(PROVEEDORES[[#This Row],[FECHA DE FACTURACIÓN]])</f>
        <v>2021</v>
      </c>
      <c r="W1588" s="97">
        <f>+MATCH(PROVEEDORES[[#This Row],[año facturado]],Retenciones!$1:$1,0)</f>
        <v>4</v>
      </c>
      <c r="X1588" s="98">
        <f>+VLOOKUP(PROVEEDORES[[#This Row],[ID RETENCION]],Retenciones!$A$1:$O$25,PROVEEDORES[[#This Row],[indicador de columna]],FALSE)</f>
        <v>0</v>
      </c>
      <c r="Y1588" s="99">
        <f>+VLOOKUP(PROVEEDORES[[#This Row],[ID RETENCION]],Retenciones!$A$1:$O$25,2,FALSE)</f>
        <v>0.04</v>
      </c>
      <c r="Z1588" s="125" t="b">
        <f>OR(COUNTIF(PROVEEDORES[[#This Row],[PROVEEDOR]],"*"&amp;'Palabra no opera'!$A$2&amp;"*"))</f>
        <v>0</v>
      </c>
    </row>
    <row r="1589" spans="1:26" ht="22.2" customHeight="1" x14ac:dyDescent="0.3">
      <c r="A1589" s="72" t="str">
        <f>+IF(PROVEEDORES[[#This Row],[FECHA DE PAGO]]=PROVEEDORES[[#This Row],[FECHA DE FACTURACIÓN]],"DE CONTADO","CRÉDITO")</f>
        <v>CRÉDITO</v>
      </c>
      <c r="B1589" s="38" t="b">
        <f>+IF((PROVEEDORES[[#This Row],[FECHA DE PAGO]]-PROVEEDORES[[#This Row],[FECHA DE FACTURACIÓN]])&gt;PROVEEDORES[[#This Row],[PLAZO Días]],"PAGO VENCIDO")</f>
        <v>0</v>
      </c>
      <c r="C1589" s="20">
        <f>+VLOOKUP(PROVEEDORES[[#This Row],[PROVEEDOR]],TERCEROS_INFO[#All],2,FALSE)</f>
        <v>30</v>
      </c>
      <c r="D1589" s="25">
        <f>+SUMIFS(PROVEEDORES[Total],PROVEEDORES[PROVEEDOR],PROVEEDORES[[#This Row],[PROVEEDOR]],PROVEEDORES[FECHA DE PAGO],"")</f>
        <v>2318500</v>
      </c>
      <c r="E1589" s="25"/>
      <c r="F1589" s="58" t="str">
        <f>+VLOOKUP(PROVEEDORES[[#This Row],[PROVEEDOR]],
                       Terceros!$A:$F,
                       5,
                       FALSE)</f>
        <v/>
      </c>
      <c r="H1589" s="26" t="s">
        <v>629</v>
      </c>
      <c r="I1589" s="161">
        <v>44865</v>
      </c>
      <c r="J1589" s="35" t="s">
        <v>1817</v>
      </c>
      <c r="K1589" s="21">
        <v>2318500</v>
      </c>
      <c r="L1589" s="21"/>
      <c r="M1589" s="22">
        <f>(PROVEEDORES[[#This Row],[SUBTOTAL]]-PROVEEDORES[[#This Row],[descuento sobre subtotal]])*VLOOKUP(PROVEEDORES[[#This Row],[PROVEEDOR]],TERCEROS_INFO[#All],3,FALSE)</f>
        <v>0</v>
      </c>
      <c r="N1589" s="23"/>
      <c r="O1589" s="22">
        <f>+PROVEEDORES[[#This Row],[Descuento sobre subtotal %]]*(PROVEEDORES[[#This Row],[SUBTOTAL]]-PROVEEDORES[[#This Row],[descuento sobre subtotal]])</f>
        <v>0</v>
      </c>
      <c r="P1589" s="83">
        <f>+IF(PROVEEDORES[[#This Row],[SUBTOTAL]]&lt;PROVEEDORES[[#This Row],[base retencion]],0,PROVEEDORES[[#This Row],[retención aplicada]])</f>
        <v>0</v>
      </c>
      <c r="Q1589" s="22">
        <f>+PROVEEDORES[[#This Row],[Rete Fuente %]]*(PROVEEDORES[[#This Row],[SUBTOTAL]]-PROVEEDORES[[#This Row],[descuento sobre subtotal]])</f>
        <v>0</v>
      </c>
      <c r="R1589" s="21">
        <f>+PROVEEDORES[[#This Row],[SUBTOTAL]]+PROVEEDORES[[#This Row],[IVA 19%]]-PROVEEDORES[[#This Row],[descuento sobre subtotal]]-PROVEEDORES[[#This Row],[Descuento sobre subtotal $2]]-PROVEEDORES[[#This Row],[Rete Fuente $]]</f>
        <v>2318500</v>
      </c>
      <c r="S1589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589" s="68">
        <f ca="1">IF(PROVEEDORES[[#This Row],[FECHA DE PAGO]]=0,TODAY()-PROVEEDORES[[#This Row],[FECHA DE FACTURACIÓN]]-PROVEEDORES[[#This Row],[PLAZO Días]],0)</f>
        <v>-20</v>
      </c>
      <c r="U1589" s="113">
        <f>+VLOOKUP(PROVEEDORES[[#This Row],[PROVEEDOR]],Terceros!$A:$D,4,FALSE)</f>
        <v>0</v>
      </c>
      <c r="V1589" s="114">
        <f>+YEAR(PROVEEDORES[[#This Row],[FECHA DE FACTURACIÓN]])</f>
        <v>2022</v>
      </c>
      <c r="W1589" s="114">
        <f>+MATCH(PROVEEDORES[[#This Row],[año facturado]],Retenciones!$1:$1,0)</f>
        <v>5</v>
      </c>
      <c r="X1589" s="115">
        <f>+VLOOKUP(PROVEEDORES[[#This Row],[ID RETENCION]],Retenciones!$A$1:$O$25,PROVEEDORES[[#This Row],[indicador de columna]],FALSE)</f>
        <v>0</v>
      </c>
      <c r="Y1589" s="116">
        <f>+VLOOKUP(PROVEEDORES[[#This Row],[ID RETENCION]],Retenciones!$A$1:$O$25,2,FALSE)</f>
        <v>0</v>
      </c>
      <c r="Z1589" s="125" t="b">
        <f>OR(COUNTIF(PROVEEDORES[[#This Row],[PROVEEDOR]],"*"&amp;'Palabra no opera'!$A$2&amp;"*"))</f>
        <v>0</v>
      </c>
    </row>
    <row r="1590" spans="1:26" ht="22.2" customHeight="1" x14ac:dyDescent="0.3">
      <c r="A1590" s="135" t="str">
        <f>+IF(PROVEEDORES[[#This Row],[FECHA DE PAGO]]=PROVEEDORES[[#This Row],[FECHA DE FACTURACIÓN]],"DE CONTADO","CRÉDITO")</f>
        <v>CRÉDITO</v>
      </c>
      <c r="B1590" s="38" t="str">
        <f>+IF((PROVEEDORES[[#This Row],[FECHA DE PAGO]]-PROVEEDORES[[#This Row],[FECHA DE FACTURACIÓN]])&gt;PROVEEDORES[[#This Row],[PLAZO Días]],"PAGO VENCIDO")</f>
        <v>PAGO VENCIDO</v>
      </c>
      <c r="C1590" s="20">
        <f>+VLOOKUP(PROVEEDORES[[#This Row],[PROVEEDOR]],TERCEROS_INFO[#All],2,FALSE)</f>
        <v>30</v>
      </c>
      <c r="D1590" s="25">
        <f>+SUMIFS(PROVEEDORES[Total],PROVEEDORES[PROVEEDOR],PROVEEDORES[[#This Row],[PROVEEDOR]],PROVEEDORES[FECHA DE PAGO],"")</f>
        <v>2318500</v>
      </c>
      <c r="E1590" s="25"/>
      <c r="F1590" s="58" t="str">
        <f>+VLOOKUP(PROVEEDORES[[#This Row],[PROVEEDOR]],
                       Terceros!$A:$F,
                       5,
                       FALSE)</f>
        <v/>
      </c>
      <c r="G1590" s="161">
        <v>44721</v>
      </c>
      <c r="H1590" s="26" t="s">
        <v>629</v>
      </c>
      <c r="I1590" s="161">
        <v>44690</v>
      </c>
      <c r="J1590" s="35" t="s">
        <v>964</v>
      </c>
      <c r="K1590" s="21">
        <v>2320000</v>
      </c>
      <c r="L1590" s="21"/>
      <c r="M1590" s="22">
        <f>(PROVEEDORES[[#This Row],[SUBTOTAL]]-PROVEEDORES[[#This Row],[descuento sobre subtotal]])*VLOOKUP(PROVEEDORES[[#This Row],[PROVEEDOR]],TERCEROS_INFO[#All],3,FALSE)</f>
        <v>0</v>
      </c>
      <c r="N1590" s="23"/>
      <c r="O1590" s="22">
        <f>+PROVEEDORES[[#This Row],[Descuento sobre subtotal %]]*(PROVEEDORES[[#This Row],[SUBTOTAL]]-PROVEEDORES[[#This Row],[descuento sobre subtotal]])</f>
        <v>0</v>
      </c>
      <c r="P1590" s="83">
        <f>+IF(PROVEEDORES[[#This Row],[SUBTOTAL]]&lt;PROVEEDORES[[#This Row],[base retencion]],0,PROVEEDORES[[#This Row],[retención aplicada]])</f>
        <v>0</v>
      </c>
      <c r="Q1590" s="22">
        <f>+PROVEEDORES[[#This Row],[Rete Fuente %]]*(PROVEEDORES[[#This Row],[SUBTOTAL]]-PROVEEDORES[[#This Row],[descuento sobre subtotal]])</f>
        <v>0</v>
      </c>
      <c r="R1590" s="21">
        <f>+PROVEEDORES[[#This Row],[SUBTOTAL]]+PROVEEDORES[[#This Row],[IVA 19%]]-PROVEEDORES[[#This Row],[descuento sobre subtotal]]-PROVEEDORES[[#This Row],[Descuento sobre subtotal $2]]-PROVEEDORES[[#This Row],[Rete Fuente $]]</f>
        <v>2320000</v>
      </c>
      <c r="S1590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0" s="68">
        <f ca="1">IF(PROVEEDORES[[#This Row],[FECHA DE PAGO]]=0,TODAY()-PROVEEDORES[[#This Row],[FECHA DE FACTURACIÓN]]-PROVEEDORES[[#This Row],[PLAZO Días]],0)</f>
        <v>0</v>
      </c>
      <c r="U1590" s="113">
        <f>+VLOOKUP(PROVEEDORES[[#This Row],[PROVEEDOR]],Terceros!$A:$D,4,FALSE)</f>
        <v>0</v>
      </c>
      <c r="V1590" s="114">
        <f>+YEAR(PROVEEDORES[[#This Row],[FECHA DE FACTURACIÓN]])</f>
        <v>2022</v>
      </c>
      <c r="W1590" s="114">
        <f>+MATCH(PROVEEDORES[[#This Row],[año facturado]],Retenciones!$1:$1,0)</f>
        <v>5</v>
      </c>
      <c r="X1590" s="115">
        <f>+VLOOKUP(PROVEEDORES[[#This Row],[ID RETENCION]],Retenciones!$A$1:$O$25,PROVEEDORES[[#This Row],[indicador de columna]],FALSE)</f>
        <v>0</v>
      </c>
      <c r="Y1590" s="116">
        <f>+VLOOKUP(PROVEEDORES[[#This Row],[ID RETENCION]],Retenciones!$A$1:$O$25,2,FALSE)</f>
        <v>0</v>
      </c>
      <c r="Z1590" s="125" t="b">
        <f>OR(COUNTIF(PROVEEDORES[[#This Row],[PROVEEDOR]],"*"&amp;'Palabra no opera'!$A$2&amp;"*"))</f>
        <v>0</v>
      </c>
    </row>
    <row r="1591" spans="1:26" ht="22.2" customHeight="1" x14ac:dyDescent="0.3">
      <c r="A1591" s="66" t="str">
        <f>+IF(PROVEEDORES[[#This Row],[FECHA DE PAGO]]=PROVEEDORES[[#This Row],[FECHA DE FACTURACIÓN]],"DE CONTADO","CRÉDITO")</f>
        <v>CRÉDITO</v>
      </c>
      <c r="B1591" s="38" t="str">
        <f>+IF((PROVEEDORES[[#This Row],[FECHA DE PAGO]]-PROVEEDORES[[#This Row],[FECHA DE FACTURACIÓN]])&gt;PROVEEDORES[[#This Row],[PLAZO Días]],"PAGO VENCIDO")</f>
        <v>PAGO VENCIDO</v>
      </c>
      <c r="C1591" s="20">
        <f>+VLOOKUP(PROVEEDORES[[#This Row],[PROVEEDOR]],TERCEROS_INFO[#All],2,FALSE)</f>
        <v>30</v>
      </c>
      <c r="D1591" s="25">
        <f>+SUMIFS(PROVEEDORES[Total],PROVEEDORES[PROVEEDOR],PROVEEDORES[[#This Row],[PROVEEDOR]],PROVEEDORES[FECHA DE PAGO],"")</f>
        <v>0</v>
      </c>
      <c r="E1591" s="25"/>
      <c r="F159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91" s="161">
        <v>44684</v>
      </c>
      <c r="H1591" s="26" t="s">
        <v>24</v>
      </c>
      <c r="I1591" s="161">
        <v>44631</v>
      </c>
      <c r="J1591" s="35" t="s">
        <v>741</v>
      </c>
      <c r="K1591" s="21">
        <v>1995291</v>
      </c>
      <c r="L1591" s="21"/>
      <c r="M1591" s="22">
        <f>(PROVEEDORES[[#This Row],[SUBTOTAL]]-PROVEEDORES[[#This Row],[descuento sobre subtotal]])*VLOOKUP(PROVEEDORES[[#This Row],[PROVEEDOR]],TERCEROS_INFO[#All],3,FALSE)</f>
        <v>379105.29</v>
      </c>
      <c r="N1591" s="23"/>
      <c r="O1591" s="22">
        <f>+PROVEEDORES[[#This Row],[Descuento sobre subtotal %]]*(PROVEEDORES[[#This Row],[SUBTOTAL]]-PROVEEDORES[[#This Row],[descuento sobre subtotal]])</f>
        <v>0</v>
      </c>
      <c r="P1591" s="83">
        <f>+IF(PROVEEDORES[[#This Row],[SUBTOTAL]]&lt;PROVEEDORES[[#This Row],[base retencion]],0,PROVEEDORES[[#This Row],[retención aplicada]])</f>
        <v>2.5000000000000001E-2</v>
      </c>
      <c r="Q1591" s="22">
        <f>+PROVEEDORES[[#This Row],[Rete Fuente %]]*(PROVEEDORES[[#This Row],[SUBTOTAL]]-PROVEEDORES[[#This Row],[descuento sobre subtotal]])</f>
        <v>49882.275000000001</v>
      </c>
      <c r="R1591" s="21">
        <f>+PROVEEDORES[[#This Row],[SUBTOTAL]]+PROVEEDORES[[#This Row],[IVA 19%]]-PROVEEDORES[[#This Row],[descuento sobre subtotal]]-PROVEEDORES[[#This Row],[Descuento sobre subtotal $2]]-PROVEEDORES[[#This Row],[Rete Fuente $]]</f>
        <v>2324514.0150000001</v>
      </c>
      <c r="S15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1" s="68">
        <f ca="1">IF(PROVEEDORES[[#This Row],[FECHA DE PAGO]]=0,TODAY()-PROVEEDORES[[#This Row],[FECHA DE FACTURACIÓN]]-PROVEEDORES[[#This Row],[PLAZO Días]],0)</f>
        <v>0</v>
      </c>
      <c r="U1591" s="96" t="str">
        <f>+VLOOKUP(PROVEEDORES[[#This Row],[PROVEEDOR]],Terceros!$A:$D,4,FALSE)</f>
        <v>2,5% con base</v>
      </c>
      <c r="V1591" s="97">
        <f>+YEAR(PROVEEDORES[[#This Row],[FECHA DE FACTURACIÓN]])</f>
        <v>2022</v>
      </c>
      <c r="W1591" s="97">
        <f>+MATCH(PROVEEDORES[[#This Row],[año facturado]],Retenciones!$1:$1,0)</f>
        <v>5</v>
      </c>
      <c r="X1591" s="98">
        <f>+VLOOKUP(PROVEEDORES[[#This Row],[ID RETENCION]],Retenciones!$A$1:$O$25,PROVEEDORES[[#This Row],[indicador de columna]],FALSE)</f>
        <v>1026000</v>
      </c>
      <c r="Y1591" s="99">
        <f>+VLOOKUP(PROVEEDORES[[#This Row],[ID RETENCION]],Retenciones!$A$1:$O$25,2,FALSE)</f>
        <v>2.5000000000000001E-2</v>
      </c>
      <c r="Z1591" s="125" t="b">
        <f>OR(COUNTIF(PROVEEDORES[[#This Row],[PROVEEDOR]],"*"&amp;'Palabra no opera'!$A$2&amp;"*"))</f>
        <v>0</v>
      </c>
    </row>
    <row r="1592" spans="1:26" ht="22.2" customHeight="1" x14ac:dyDescent="0.3">
      <c r="A1592" s="66" t="str">
        <f>+IF(PROVEEDORES[[#This Row],[FECHA DE PAGO]]=PROVEEDORES[[#This Row],[FECHA DE FACTURACIÓN]],"DE CONTADO","CRÉDITO")</f>
        <v>CRÉDITO</v>
      </c>
      <c r="B1592" s="38" t="b">
        <f>+IF((PROVEEDORES[[#This Row],[FECHA DE PAGO]]-PROVEEDORES[[#This Row],[FECHA DE FACTURACIÓN]])&gt;PROVEEDORES[[#This Row],[PLAZO Días]],"PAGO VENCIDO")</f>
        <v>0</v>
      </c>
      <c r="C1592" s="20">
        <f>+VLOOKUP(PROVEEDORES[[#This Row],[PROVEEDOR]],TERCEROS_INFO[#All],2,FALSE)</f>
        <v>30</v>
      </c>
      <c r="D1592" s="25">
        <f>+SUMIFS(PROVEEDORES[Total],PROVEEDORES[PROVEEDOR],PROVEEDORES[[#This Row],[PROVEEDOR]],PROVEEDORES[FECHA DE PAGO],"")</f>
        <v>0</v>
      </c>
      <c r="E1592" s="25"/>
      <c r="F1592" s="58" t="str">
        <f>+VLOOKUP(PROVEEDORES[[#This Row],[PROVEEDOR]],
                       Terceros!$A:$F,
                       5,
                       FALSE)</f>
        <v/>
      </c>
      <c r="G1592" s="161">
        <v>44336</v>
      </c>
      <c r="H1592" s="26" t="s">
        <v>689</v>
      </c>
      <c r="I1592" s="161">
        <v>44335</v>
      </c>
      <c r="J1592" s="35">
        <v>628478</v>
      </c>
      <c r="K1592" s="21">
        <v>2327596</v>
      </c>
      <c r="L1592" s="21"/>
      <c r="M1592" s="22">
        <f>(PROVEEDORES[[#This Row],[SUBTOTAL]]-PROVEEDORES[[#This Row],[descuento sobre subtotal]])*VLOOKUP(PROVEEDORES[[#This Row],[PROVEEDOR]],TERCEROS_INFO[#All],3,FALSE)</f>
        <v>0</v>
      </c>
      <c r="N1592" s="23"/>
      <c r="O1592" s="22">
        <f>+PROVEEDORES[[#This Row],[Descuento sobre subtotal %]]*(PROVEEDORES[[#This Row],[SUBTOTAL]]-PROVEEDORES[[#This Row],[descuento sobre subtotal]])</f>
        <v>0</v>
      </c>
      <c r="P1592" s="83">
        <f>+IF(PROVEEDORES[[#This Row],[SUBTOTAL]]&lt;PROVEEDORES[[#This Row],[base retencion]],0,PROVEEDORES[[#This Row],[retención aplicada]])</f>
        <v>0</v>
      </c>
      <c r="Q1592" s="22">
        <f>+PROVEEDORES[[#This Row],[Rete Fuente %]]*(PROVEEDORES[[#This Row],[SUBTOTAL]]-PROVEEDORES[[#This Row],[descuento sobre subtotal]])</f>
        <v>0</v>
      </c>
      <c r="R1592" s="21">
        <f>+PROVEEDORES[[#This Row],[SUBTOTAL]]+PROVEEDORES[[#This Row],[IVA 19%]]-PROVEEDORES[[#This Row],[descuento sobre subtotal]]-PROVEEDORES[[#This Row],[Descuento sobre subtotal $2]]-PROVEEDORES[[#This Row],[Rete Fuente $]]</f>
        <v>2327596</v>
      </c>
      <c r="S15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2" s="68">
        <f ca="1">IF(PROVEEDORES[[#This Row],[FECHA DE PAGO]]=0,TODAY()-PROVEEDORES[[#This Row],[FECHA DE FACTURACIÓN]]-PROVEEDORES[[#This Row],[PLAZO Días]],0)</f>
        <v>0</v>
      </c>
      <c r="U1592" s="96">
        <f>+VLOOKUP(PROVEEDORES[[#This Row],[PROVEEDOR]],Terceros!$A:$D,4,FALSE)</f>
        <v>0</v>
      </c>
      <c r="V1592" s="97">
        <f>+YEAR(PROVEEDORES[[#This Row],[FECHA DE FACTURACIÓN]])</f>
        <v>2021</v>
      </c>
      <c r="W1592" s="97">
        <f>+MATCH(PROVEEDORES[[#This Row],[año facturado]],Retenciones!$1:$1,0)</f>
        <v>4</v>
      </c>
      <c r="X1592" s="98">
        <f>+VLOOKUP(PROVEEDORES[[#This Row],[ID RETENCION]],Retenciones!$A$1:$O$25,PROVEEDORES[[#This Row],[indicador de columna]],FALSE)</f>
        <v>0</v>
      </c>
      <c r="Y1592" s="99">
        <f>+VLOOKUP(PROVEEDORES[[#This Row],[ID RETENCION]],Retenciones!$A$1:$O$25,2,FALSE)</f>
        <v>0</v>
      </c>
      <c r="Z1592" s="125" t="b">
        <f>OR(COUNTIF(PROVEEDORES[[#This Row],[PROVEEDOR]],"*"&amp;'Palabra no opera'!$A$2&amp;"*"))</f>
        <v>0</v>
      </c>
    </row>
    <row r="1593" spans="1:26" ht="22.2" customHeight="1" x14ac:dyDescent="0.3">
      <c r="A1593" s="140" t="str">
        <f>+IF(PROVEEDORES[[#This Row],[FECHA DE PAGO]]=PROVEEDORES[[#This Row],[FECHA DE FACTURACIÓN]],"DE CONTADO","CRÉDITO")</f>
        <v>CRÉDITO</v>
      </c>
      <c r="B1593" s="38" t="str">
        <f>+IF((PROVEEDORES[[#This Row],[FECHA DE PAGO]]-PROVEEDORES[[#This Row],[FECHA DE FACTURACIÓN]])&gt;PROVEEDORES[[#This Row],[PLAZO Días]],"PAGO VENCIDO")</f>
        <v>PAGO VENCIDO</v>
      </c>
      <c r="C1593" s="20">
        <f>+VLOOKUP(PROVEEDORES[[#This Row],[PROVEEDOR]],TERCEROS_INFO[#All],2,FALSE)</f>
        <v>30</v>
      </c>
      <c r="D1593" s="25">
        <f>+SUMIFS(PROVEEDORES[Total],PROVEEDORES[PROVEEDOR],PROVEEDORES[[#This Row],[PROVEEDOR]],PROVEEDORES[FECHA DE PAGO],"")</f>
        <v>0</v>
      </c>
      <c r="E1593" s="25"/>
      <c r="F1593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93" s="161">
        <v>44733</v>
      </c>
      <c r="H1593" s="26" t="s">
        <v>20</v>
      </c>
      <c r="I1593" s="161">
        <v>44694</v>
      </c>
      <c r="J1593" s="35">
        <v>7001</v>
      </c>
      <c r="K1593" s="21">
        <v>1999798</v>
      </c>
      <c r="L1593" s="21"/>
      <c r="M1593" s="22">
        <f>(PROVEEDORES[[#This Row],[SUBTOTAL]]-PROVEEDORES[[#This Row],[descuento sobre subtotal]])*VLOOKUP(PROVEEDORES[[#This Row],[PROVEEDOR]],TERCEROS_INFO[#All],3,FALSE)</f>
        <v>379961.62</v>
      </c>
      <c r="N1593" s="23"/>
      <c r="O1593" s="22">
        <f>+PROVEEDORES[[#This Row],[Descuento sobre subtotal %]]*(PROVEEDORES[[#This Row],[SUBTOTAL]]-PROVEEDORES[[#This Row],[descuento sobre subtotal]])</f>
        <v>0</v>
      </c>
      <c r="P1593" s="83">
        <f>+IF(PROVEEDORES[[#This Row],[SUBTOTAL]]&lt;PROVEEDORES[[#This Row],[base retencion]],0,PROVEEDORES[[#This Row],[retención aplicada]])</f>
        <v>2.5000000000000001E-2</v>
      </c>
      <c r="Q1593" s="22">
        <f>+PROVEEDORES[[#This Row],[Rete Fuente %]]*(PROVEEDORES[[#This Row],[SUBTOTAL]]-PROVEEDORES[[#This Row],[descuento sobre subtotal]])</f>
        <v>49994.950000000004</v>
      </c>
      <c r="R1593" s="21">
        <f>+PROVEEDORES[[#This Row],[SUBTOTAL]]+PROVEEDORES[[#This Row],[IVA 19%]]-PROVEEDORES[[#This Row],[descuento sobre subtotal]]-PROVEEDORES[[#This Row],[Descuento sobre subtotal $2]]-PROVEEDORES[[#This Row],[Rete Fuente $]]</f>
        <v>2329764.67</v>
      </c>
      <c r="S1593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3" s="68">
        <f ca="1">IF(PROVEEDORES[[#This Row],[FECHA DE PAGO]]=0,TODAY()-PROVEEDORES[[#This Row],[FECHA DE FACTURACIÓN]]-PROVEEDORES[[#This Row],[PLAZO Días]],0)</f>
        <v>0</v>
      </c>
      <c r="U1593" s="113" t="str">
        <f>+VLOOKUP(PROVEEDORES[[#This Row],[PROVEEDOR]],Terceros!$A:$D,4,FALSE)</f>
        <v>2,5% con base</v>
      </c>
      <c r="V1593" s="114">
        <f>+YEAR(PROVEEDORES[[#This Row],[FECHA DE FACTURACIÓN]])</f>
        <v>2022</v>
      </c>
      <c r="W1593" s="114">
        <f>+MATCH(PROVEEDORES[[#This Row],[año facturado]],Retenciones!$1:$1,0)</f>
        <v>5</v>
      </c>
      <c r="X1593" s="115">
        <f>+VLOOKUP(PROVEEDORES[[#This Row],[ID RETENCION]],Retenciones!$A$1:$O$25,PROVEEDORES[[#This Row],[indicador de columna]],FALSE)</f>
        <v>1026000</v>
      </c>
      <c r="Y1593" s="116">
        <f>+VLOOKUP(PROVEEDORES[[#This Row],[ID RETENCION]],Retenciones!$A$1:$O$25,2,FALSE)</f>
        <v>2.5000000000000001E-2</v>
      </c>
      <c r="Z1593" s="125" t="b">
        <f>OR(COUNTIF(PROVEEDORES[[#This Row],[PROVEEDOR]],"*"&amp;'Palabra no opera'!$A$2&amp;"*"))</f>
        <v>0</v>
      </c>
    </row>
    <row r="1594" spans="1:26" ht="22.2" customHeight="1" x14ac:dyDescent="0.3">
      <c r="A1594" s="157" t="str">
        <f>+IF(PROVEEDORES[[#This Row],[FECHA DE PAGO]]=PROVEEDORES[[#This Row],[FECHA DE FACTURACIÓN]],"DE CONTADO","CRÉDITO")</f>
        <v>CRÉDITO</v>
      </c>
      <c r="B1594" s="38" t="str">
        <f>+IF((PROVEEDORES[[#This Row],[FECHA DE PAGO]]-PROVEEDORES[[#This Row],[FECHA DE FACTURACIÓN]])&gt;PROVEEDORES[[#This Row],[PLAZO Días]],"PAGO VENCIDO")</f>
        <v>PAGO VENCIDO</v>
      </c>
      <c r="C1594" s="20">
        <f>+VLOOKUP(PROVEEDORES[[#This Row],[PROVEEDOR]],TERCEROS_INFO[#All],2,FALSE)</f>
        <v>30</v>
      </c>
      <c r="D1594" s="25">
        <f>+SUMIFS(PROVEEDORES[Total],PROVEEDORES[PROVEEDOR],PROVEEDORES[[#This Row],[PROVEEDOR]],PROVEEDORES[FECHA DE PAGO],"")</f>
        <v>0</v>
      </c>
      <c r="E1594" s="25"/>
      <c r="F1594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594" s="161">
        <v>44783</v>
      </c>
      <c r="H1594" s="26" t="s">
        <v>33</v>
      </c>
      <c r="I1594" s="161">
        <v>44718</v>
      </c>
      <c r="J1594" s="35">
        <v>2730</v>
      </c>
      <c r="K1594" s="21">
        <v>2006000</v>
      </c>
      <c r="L1594" s="21"/>
      <c r="M1594" s="22">
        <f>(PROVEEDORES[[#This Row],[SUBTOTAL]]-PROVEEDORES[[#This Row],[descuento sobre subtotal]])*VLOOKUP(PROVEEDORES[[#This Row],[PROVEEDOR]],TERCEROS_INFO[#All],3,FALSE)</f>
        <v>381140</v>
      </c>
      <c r="N1594" s="23"/>
      <c r="O1594" s="22">
        <f>+PROVEEDORES[[#This Row],[Descuento sobre subtotal %]]*(PROVEEDORES[[#This Row],[SUBTOTAL]]-PROVEEDORES[[#This Row],[descuento sobre subtotal]])</f>
        <v>0</v>
      </c>
      <c r="P1594" s="83">
        <f>+IF(PROVEEDORES[[#This Row],[SUBTOTAL]]&lt;PROVEEDORES[[#This Row],[base retencion]],0,PROVEEDORES[[#This Row],[retención aplicada]])</f>
        <v>2.5000000000000001E-2</v>
      </c>
      <c r="Q1594" s="22">
        <f>+PROVEEDORES[[#This Row],[Rete Fuente %]]*(PROVEEDORES[[#This Row],[SUBTOTAL]]-PROVEEDORES[[#This Row],[descuento sobre subtotal]])</f>
        <v>50150</v>
      </c>
      <c r="R1594" s="21">
        <f>+PROVEEDORES[[#This Row],[SUBTOTAL]]+PROVEEDORES[[#This Row],[IVA 19%]]-PROVEEDORES[[#This Row],[descuento sobre subtotal]]-PROVEEDORES[[#This Row],[Descuento sobre subtotal $2]]-PROVEEDORES[[#This Row],[Rete Fuente $]]</f>
        <v>2336990</v>
      </c>
      <c r="S1594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4" s="68">
        <f ca="1">IF(PROVEEDORES[[#This Row],[FECHA DE PAGO]]=0,TODAY()-PROVEEDORES[[#This Row],[FECHA DE FACTURACIÓN]]-PROVEEDORES[[#This Row],[PLAZO Días]],0)</f>
        <v>0</v>
      </c>
      <c r="U1594" s="113" t="str">
        <f>+VLOOKUP(PROVEEDORES[[#This Row],[PROVEEDOR]],Terceros!$A:$D,4,FALSE)</f>
        <v>2,5% con base</v>
      </c>
      <c r="V1594" s="114">
        <f>+YEAR(PROVEEDORES[[#This Row],[FECHA DE FACTURACIÓN]])</f>
        <v>2022</v>
      </c>
      <c r="W1594" s="114">
        <f>+MATCH(PROVEEDORES[[#This Row],[año facturado]],Retenciones!$1:$1,0)</f>
        <v>5</v>
      </c>
      <c r="X1594" s="115">
        <f>+VLOOKUP(PROVEEDORES[[#This Row],[ID RETENCION]],Retenciones!$A$1:$O$25,PROVEEDORES[[#This Row],[indicador de columna]],FALSE)</f>
        <v>1026000</v>
      </c>
      <c r="Y1594" s="116">
        <f>+VLOOKUP(PROVEEDORES[[#This Row],[ID RETENCION]],Retenciones!$A$1:$O$25,2,FALSE)</f>
        <v>2.5000000000000001E-2</v>
      </c>
      <c r="Z1594" s="125" t="b">
        <f>OR(COUNTIF(PROVEEDORES[[#This Row],[PROVEEDOR]],"*"&amp;'Palabra no opera'!$A$2&amp;"*"))</f>
        <v>0</v>
      </c>
    </row>
    <row r="1595" spans="1:26" ht="22.2" customHeight="1" x14ac:dyDescent="0.3">
      <c r="A1595" s="66" t="str">
        <f>+IF(PROVEEDORES[[#This Row],[FECHA DE PAGO]]=PROVEEDORES[[#This Row],[FECHA DE FACTURACIÓN]],"DE CONTADO","CRÉDITO")</f>
        <v>CRÉDITO</v>
      </c>
      <c r="B1595" s="38" t="str">
        <f>+IF((PROVEEDORES[[#This Row],[FECHA DE PAGO]]-PROVEEDORES[[#This Row],[FECHA DE FACTURACIÓN]])&gt;PROVEEDORES[[#This Row],[PLAZO Días]],"PAGO VENCIDO")</f>
        <v>PAGO VENCIDO</v>
      </c>
      <c r="C1595" s="20">
        <f>+VLOOKUP(PROVEEDORES[[#This Row],[PROVEEDOR]],TERCEROS_INFO[#All],2,FALSE)</f>
        <v>30</v>
      </c>
      <c r="D1595" s="25">
        <f>+SUMIFS(PROVEEDORES[Total],PROVEEDORES[PROVEEDOR],PROVEEDORES[[#This Row],[PROVEEDOR]],PROVEEDORES[FECHA DE PAGO],"")</f>
        <v>0</v>
      </c>
      <c r="E1595" s="25"/>
      <c r="F159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95" s="161">
        <v>44459</v>
      </c>
      <c r="H1595" s="26" t="s">
        <v>20</v>
      </c>
      <c r="I1595" s="161">
        <v>44420</v>
      </c>
      <c r="J1595" s="35">
        <v>4816</v>
      </c>
      <c r="K1595" s="21">
        <v>2010280</v>
      </c>
      <c r="L1595" s="21"/>
      <c r="M1595" s="22">
        <f>(PROVEEDORES[[#This Row],[SUBTOTAL]]-PROVEEDORES[[#This Row],[descuento sobre subtotal]])*VLOOKUP(PROVEEDORES[[#This Row],[PROVEEDOR]],TERCEROS_INFO[#All],3,FALSE)</f>
        <v>381953.2</v>
      </c>
      <c r="N1595" s="23"/>
      <c r="O1595" s="22">
        <f>+PROVEEDORES[[#This Row],[Descuento sobre subtotal %]]*(PROVEEDORES[[#This Row],[SUBTOTAL]]-PROVEEDORES[[#This Row],[descuento sobre subtotal]])</f>
        <v>0</v>
      </c>
      <c r="P1595" s="83">
        <f>+IF(PROVEEDORES[[#This Row],[SUBTOTAL]]&lt;PROVEEDORES[[#This Row],[base retencion]],0,PROVEEDORES[[#This Row],[retención aplicada]])</f>
        <v>2.5000000000000001E-2</v>
      </c>
      <c r="Q1595" s="22">
        <f>+PROVEEDORES[[#This Row],[Rete Fuente %]]*(PROVEEDORES[[#This Row],[SUBTOTAL]]-PROVEEDORES[[#This Row],[descuento sobre subtotal]])</f>
        <v>50257</v>
      </c>
      <c r="R1595" s="21">
        <f>+PROVEEDORES[[#This Row],[SUBTOTAL]]+PROVEEDORES[[#This Row],[IVA 19%]]-PROVEEDORES[[#This Row],[descuento sobre subtotal]]-PROVEEDORES[[#This Row],[Descuento sobre subtotal $2]]-PROVEEDORES[[#This Row],[Rete Fuente $]]</f>
        <v>2341976.2000000002</v>
      </c>
      <c r="S15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5" s="68">
        <f ca="1">IF(PROVEEDORES[[#This Row],[FECHA DE PAGO]]=0,TODAY()-PROVEEDORES[[#This Row],[FECHA DE FACTURACIÓN]]-PROVEEDORES[[#This Row],[PLAZO Días]],0)</f>
        <v>0</v>
      </c>
      <c r="U1595" s="96" t="str">
        <f>+VLOOKUP(PROVEEDORES[[#This Row],[PROVEEDOR]],Terceros!$A:$D,4,FALSE)</f>
        <v>2,5% con base</v>
      </c>
      <c r="V1595" s="97">
        <f>+YEAR(PROVEEDORES[[#This Row],[FECHA DE FACTURACIÓN]])</f>
        <v>2021</v>
      </c>
      <c r="W1595" s="97">
        <f>+MATCH(PROVEEDORES[[#This Row],[año facturado]],Retenciones!$1:$1,0)</f>
        <v>4</v>
      </c>
      <c r="X1595" s="98">
        <f>+VLOOKUP(PROVEEDORES[[#This Row],[ID RETENCION]],Retenciones!$A$1:$O$25,PROVEEDORES[[#This Row],[indicador de columna]],FALSE)</f>
        <v>980000</v>
      </c>
      <c r="Y1595" s="99">
        <f>+VLOOKUP(PROVEEDORES[[#This Row],[ID RETENCION]],Retenciones!$A$1:$O$25,2,FALSE)</f>
        <v>2.5000000000000001E-2</v>
      </c>
      <c r="Z1595" s="125" t="b">
        <f>OR(COUNTIF(PROVEEDORES[[#This Row],[PROVEEDOR]],"*"&amp;'Palabra no opera'!$A$2&amp;"*"))</f>
        <v>0</v>
      </c>
    </row>
    <row r="1596" spans="1:26" ht="22.2" customHeight="1" x14ac:dyDescent="0.3">
      <c r="A1596" s="66" t="str">
        <f>+IF(PROVEEDORES[[#This Row],[FECHA DE PAGO]]=PROVEEDORES[[#This Row],[FECHA DE FACTURACIÓN]],"DE CONTADO","CRÉDITO")</f>
        <v>CRÉDITO</v>
      </c>
      <c r="B1596" s="38" t="str">
        <f>+IF((PROVEEDORES[[#This Row],[FECHA DE PAGO]]-PROVEEDORES[[#This Row],[FECHA DE FACTURACIÓN]])&gt;PROVEEDORES[[#This Row],[PLAZO Días]],"PAGO VENCIDO")</f>
        <v>PAGO VENCIDO</v>
      </c>
      <c r="C1596" s="20">
        <f>+VLOOKUP(PROVEEDORES[[#This Row],[PROVEEDOR]],TERCEROS_INFO[#All],2,FALSE)</f>
        <v>45</v>
      </c>
      <c r="D1596" s="25">
        <f>+SUMIFS(PROVEEDORES[Total],PROVEEDORES[PROVEEDOR],PROVEEDORES[[#This Row],[PROVEEDOR]],PROVEEDORES[FECHA DE PAGO],"")</f>
        <v>0</v>
      </c>
      <c r="E1596" s="25"/>
      <c r="F159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596" s="161">
        <v>44586</v>
      </c>
      <c r="H1596" s="26" t="s">
        <v>530</v>
      </c>
      <c r="I1596" s="161">
        <v>44539</v>
      </c>
      <c r="J1596" s="35" t="s">
        <v>565</v>
      </c>
      <c r="K1596" s="21">
        <v>2352000</v>
      </c>
      <c r="L1596" s="21"/>
      <c r="M1596" s="22">
        <v>0</v>
      </c>
      <c r="N1596" s="23"/>
      <c r="O1596" s="22">
        <v>0</v>
      </c>
      <c r="P1596" s="83">
        <f>+IF(PROVEEDORES[[#This Row],[SUBTOTAL]]&lt;PROVEEDORES[[#This Row],[base retencion]],0,PROVEEDORES[[#This Row],[retención aplicada]])</f>
        <v>0</v>
      </c>
      <c r="Q1596" s="22">
        <f>+PROVEEDORES[[#This Row],[Rete Fuente %]]*(PROVEEDORES[[#This Row],[SUBTOTAL]]-PROVEEDORES[[#This Row],[descuento sobre subtotal]])</f>
        <v>0</v>
      </c>
      <c r="R1596" s="21">
        <v>2352000</v>
      </c>
      <c r="S15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6" s="68">
        <f ca="1">IF(PROVEEDORES[[#This Row],[FECHA DE PAGO]]=0,TODAY()-PROVEEDORES[[#This Row],[FECHA DE FACTURACIÓN]]-PROVEEDORES[[#This Row],[PLAZO Días]],0)</f>
        <v>0</v>
      </c>
      <c r="U1596" s="96">
        <f>+VLOOKUP(PROVEEDORES[[#This Row],[PROVEEDOR]],Terceros!$A:$D,4,FALSE)</f>
        <v>0</v>
      </c>
      <c r="V1596" s="97">
        <f>+YEAR(PROVEEDORES[[#This Row],[FECHA DE FACTURACIÓN]])</f>
        <v>2021</v>
      </c>
      <c r="W1596" s="97">
        <f>+MATCH(PROVEEDORES[[#This Row],[año facturado]],Retenciones!$1:$1,0)</f>
        <v>4</v>
      </c>
      <c r="X1596" s="98">
        <f>+VLOOKUP(PROVEEDORES[[#This Row],[ID RETENCION]],Retenciones!$A$1:$O$25,PROVEEDORES[[#This Row],[indicador de columna]],FALSE)</f>
        <v>0</v>
      </c>
      <c r="Y1596" s="99">
        <f>+VLOOKUP(PROVEEDORES[[#This Row],[ID RETENCION]],Retenciones!$A$1:$O$25,2,FALSE)</f>
        <v>0</v>
      </c>
      <c r="Z1596" s="125" t="b">
        <f>OR(COUNTIF(PROVEEDORES[[#This Row],[PROVEEDOR]],"*"&amp;'Palabra no opera'!$A$2&amp;"*"))</f>
        <v>0</v>
      </c>
    </row>
    <row r="1597" spans="1:26" ht="22.2" customHeight="1" x14ac:dyDescent="0.3">
      <c r="A1597" s="66" t="str">
        <f>+IF(PROVEEDORES[[#This Row],[FECHA DE PAGO]]=PROVEEDORES[[#This Row],[FECHA DE FACTURACIÓN]],"DE CONTADO","CRÉDITO")</f>
        <v>CRÉDITO</v>
      </c>
      <c r="B1597" s="38" t="b">
        <f>+IF((PROVEEDORES[[#This Row],[FECHA DE PAGO]]-PROVEEDORES[[#This Row],[FECHA DE FACTURACIÓN]])&gt;PROVEEDORES[[#This Row],[PLAZO Días]],"PAGO VENCIDO")</f>
        <v>0</v>
      </c>
      <c r="C1597" s="20">
        <f>+VLOOKUP(PROVEEDORES[[#This Row],[PROVEEDOR]],TERCEROS_INFO[#All],2,FALSE)</f>
        <v>90</v>
      </c>
      <c r="D1597" s="25">
        <f>+SUMIFS(PROVEEDORES[Total],PROVEEDORES[PROVEEDOR],PROVEEDORES[[#This Row],[PROVEEDOR]],PROVEEDORES[FECHA DE PAGO],"")</f>
        <v>0</v>
      </c>
      <c r="E1597" s="25"/>
      <c r="F159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597" s="161">
        <v>44376</v>
      </c>
      <c r="H1597" s="26" t="s">
        <v>9</v>
      </c>
      <c r="I1597" s="161">
        <v>44338</v>
      </c>
      <c r="J1597" s="35">
        <v>70032</v>
      </c>
      <c r="K1597" s="21">
        <v>2022230</v>
      </c>
      <c r="L1597" s="21"/>
      <c r="M1597" s="22">
        <f>(PROVEEDORES[[#This Row],[SUBTOTAL]]-PROVEEDORES[[#This Row],[descuento sobre subtotal]])*VLOOKUP(PROVEEDORES[[#This Row],[PROVEEDOR]],TERCEROS_INFO[#All],3,FALSE)</f>
        <v>384223.7</v>
      </c>
      <c r="N1597" s="23"/>
      <c r="O1597" s="22">
        <f>+PROVEEDORES[[#This Row],[Descuento sobre subtotal %]]*(PROVEEDORES[[#This Row],[SUBTOTAL]]-PROVEEDORES[[#This Row],[descuento sobre subtotal]])</f>
        <v>0</v>
      </c>
      <c r="P1597" s="83">
        <f>+IF(PROVEEDORES[[#This Row],[SUBTOTAL]]&lt;PROVEEDORES[[#This Row],[base retencion]],0,PROVEEDORES[[#This Row],[retención aplicada]])</f>
        <v>2.5000000000000001E-2</v>
      </c>
      <c r="Q1597" s="22">
        <f>+PROVEEDORES[[#This Row],[Rete Fuente %]]*(PROVEEDORES[[#This Row],[SUBTOTAL]]-PROVEEDORES[[#This Row],[descuento sobre subtotal]])</f>
        <v>50555.75</v>
      </c>
      <c r="R1597" s="21">
        <f>+PROVEEDORES[[#This Row],[SUBTOTAL]]+PROVEEDORES[[#This Row],[IVA 19%]]-PROVEEDORES[[#This Row],[descuento sobre subtotal]]-PROVEEDORES[[#This Row],[Descuento sobre subtotal $2]]-PROVEEDORES[[#This Row],[Rete Fuente $]]</f>
        <v>2355897.9500000002</v>
      </c>
      <c r="S15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7" s="68">
        <f ca="1">IF(PROVEEDORES[[#This Row],[FECHA DE PAGO]]=0,TODAY()-PROVEEDORES[[#This Row],[FECHA DE FACTURACIÓN]]-PROVEEDORES[[#This Row],[PLAZO Días]],0)</f>
        <v>0</v>
      </c>
      <c r="U1597" s="96" t="str">
        <f>+VLOOKUP(PROVEEDORES[[#This Row],[PROVEEDOR]],Terceros!$A:$D,4,FALSE)</f>
        <v>2,5% con base</v>
      </c>
      <c r="V1597" s="97">
        <f>+YEAR(PROVEEDORES[[#This Row],[FECHA DE FACTURACIÓN]])</f>
        <v>2021</v>
      </c>
      <c r="W1597" s="97">
        <f>+MATCH(PROVEEDORES[[#This Row],[año facturado]],Retenciones!$1:$1,0)</f>
        <v>4</v>
      </c>
      <c r="X1597" s="98">
        <f>+VLOOKUP(PROVEEDORES[[#This Row],[ID RETENCION]],Retenciones!$A$1:$O$25,PROVEEDORES[[#This Row],[indicador de columna]],FALSE)</f>
        <v>980000</v>
      </c>
      <c r="Y1597" s="99">
        <f>+VLOOKUP(PROVEEDORES[[#This Row],[ID RETENCION]],Retenciones!$A$1:$O$25,2,FALSE)</f>
        <v>2.5000000000000001E-2</v>
      </c>
      <c r="Z1597" s="125" t="b">
        <f>OR(COUNTIF(PROVEEDORES[[#This Row],[PROVEEDOR]],"*"&amp;'Palabra no opera'!$A$2&amp;"*"))</f>
        <v>0</v>
      </c>
    </row>
    <row r="1598" spans="1:26" ht="22.2" customHeight="1" x14ac:dyDescent="0.3">
      <c r="A1598" s="66" t="str">
        <f>+IF(PROVEEDORES[[#This Row],[FECHA DE PAGO]]=PROVEEDORES[[#This Row],[FECHA DE FACTURACIÓN]],"DE CONTADO","CRÉDITO")</f>
        <v>CRÉDITO</v>
      </c>
      <c r="B1598" s="38" t="str">
        <f>+IF((PROVEEDORES[[#This Row],[FECHA DE PAGO]]-PROVEEDORES[[#This Row],[FECHA DE FACTURACIÓN]])&gt;PROVEEDORES[[#This Row],[PLAZO Días]],"PAGO VENCIDO")</f>
        <v>PAGO VENCIDO</v>
      </c>
      <c r="C1598" s="20">
        <f>+VLOOKUP(PROVEEDORES[[#This Row],[PROVEEDOR]],TERCEROS_INFO[#All],2,FALSE)</f>
        <v>45</v>
      </c>
      <c r="D1598" s="25">
        <f>+SUMIFS(PROVEEDORES[Total],PROVEEDORES[PROVEEDOR],PROVEEDORES[[#This Row],[PROVEEDOR]],PROVEEDORES[FECHA DE PAGO],"")</f>
        <v>2604910</v>
      </c>
      <c r="E1598" s="25"/>
      <c r="F15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98" s="161">
        <v>44427</v>
      </c>
      <c r="H1598" s="26" t="s">
        <v>10</v>
      </c>
      <c r="I1598" s="161">
        <v>44371</v>
      </c>
      <c r="J1598" s="35" t="s">
        <v>359</v>
      </c>
      <c r="K1598" s="21">
        <v>1980000</v>
      </c>
      <c r="L1598" s="21"/>
      <c r="M1598" s="22">
        <f>(PROVEEDORES[[#This Row],[SUBTOTAL]]-PROVEEDORES[[#This Row],[descuento sobre subtotal]])*VLOOKUP(PROVEEDORES[[#This Row],[PROVEEDOR]],TERCEROS_INFO[#All],3,FALSE)</f>
        <v>376200</v>
      </c>
      <c r="N1598" s="23"/>
      <c r="O1598" s="22">
        <f>+PROVEEDORES[[#This Row],[Descuento sobre subtotal %]]*(PROVEEDORES[[#This Row],[SUBTOTAL]]-PROVEEDORES[[#This Row],[descuento sobre subtotal]])</f>
        <v>0</v>
      </c>
      <c r="P1598" s="83">
        <f>+IF(PROVEEDORES[[#This Row],[SUBTOTAL]]&lt;PROVEEDORES[[#This Row],[base retencion]],0,PROVEEDORES[[#This Row],[retención aplicada]])</f>
        <v>0</v>
      </c>
      <c r="Q1598" s="22">
        <f>+PROVEEDORES[[#This Row],[Rete Fuente %]]*(PROVEEDORES[[#This Row],[SUBTOTAL]]-PROVEEDORES[[#This Row],[descuento sobre subtotal]])</f>
        <v>0</v>
      </c>
      <c r="R1598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15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8" s="68">
        <f ca="1">IF(PROVEEDORES[[#This Row],[FECHA DE PAGO]]=0,TODAY()-PROVEEDORES[[#This Row],[FECHA DE FACTURACIÓN]]-PROVEEDORES[[#This Row],[PLAZO Días]],0)</f>
        <v>0</v>
      </c>
      <c r="U1598" s="96">
        <f>+VLOOKUP(PROVEEDORES[[#This Row],[PROVEEDOR]],Terceros!$A:$D,4,FALSE)</f>
        <v>0</v>
      </c>
      <c r="V1598" s="97">
        <f>+YEAR(PROVEEDORES[[#This Row],[FECHA DE FACTURACIÓN]])</f>
        <v>2021</v>
      </c>
      <c r="W1598" s="97">
        <f>+MATCH(PROVEEDORES[[#This Row],[año facturado]],Retenciones!$1:$1,0)</f>
        <v>4</v>
      </c>
      <c r="X1598" s="98">
        <f>+VLOOKUP(PROVEEDORES[[#This Row],[ID RETENCION]],Retenciones!$A$1:$O$25,PROVEEDORES[[#This Row],[indicador de columna]],FALSE)</f>
        <v>0</v>
      </c>
      <c r="Y1598" s="99">
        <f>+VLOOKUP(PROVEEDORES[[#This Row],[ID RETENCION]],Retenciones!$A$1:$O$25,2,FALSE)</f>
        <v>0</v>
      </c>
      <c r="Z1598" s="125" t="b">
        <f>OR(COUNTIF(PROVEEDORES[[#This Row],[PROVEEDOR]],"*"&amp;'Palabra no opera'!$A$2&amp;"*"))</f>
        <v>0</v>
      </c>
    </row>
    <row r="1599" spans="1:26" ht="22.2" customHeight="1" x14ac:dyDescent="0.3">
      <c r="A1599" s="185" t="str">
        <f>+IF(PROVEEDORES[[#This Row],[FECHA DE PAGO]]=PROVEEDORES[[#This Row],[FECHA DE FACTURACIÓN]],"DE CONTADO","CRÉDITO")</f>
        <v>CRÉDITO</v>
      </c>
      <c r="B1599" s="38" t="str">
        <f>+IF((PROVEEDORES[[#This Row],[FECHA DE PAGO]]-PROVEEDORES[[#This Row],[FECHA DE FACTURACIÓN]])&gt;PROVEEDORES[[#This Row],[PLAZO Días]],"PAGO VENCIDO")</f>
        <v>PAGO VENCIDO</v>
      </c>
      <c r="C1599" s="20">
        <f>+VLOOKUP(PROVEEDORES[[#This Row],[PROVEEDOR]],TERCEROS_INFO[#All],2,FALSE)</f>
        <v>45</v>
      </c>
      <c r="D1599" s="25">
        <f>+SUMIFS(PROVEEDORES[Total],PROVEEDORES[PROVEEDOR],PROVEEDORES[[#This Row],[PROVEEDOR]],PROVEEDORES[FECHA DE PAGO],"")</f>
        <v>2604910</v>
      </c>
      <c r="E1599" s="25"/>
      <c r="F159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99" s="161">
        <v>44806</v>
      </c>
      <c r="H1599" s="26" t="s">
        <v>10</v>
      </c>
      <c r="I1599" s="161">
        <v>44755</v>
      </c>
      <c r="J1599" s="35" t="s">
        <v>1123</v>
      </c>
      <c r="K1599" s="21">
        <v>1980000</v>
      </c>
      <c r="L1599" s="21"/>
      <c r="M1599" s="22">
        <f>(PROVEEDORES[[#This Row],[SUBTOTAL]]-PROVEEDORES[[#This Row],[descuento sobre subtotal]])*VLOOKUP(PROVEEDORES[[#This Row],[PROVEEDOR]],TERCEROS_INFO[#All],3,FALSE)</f>
        <v>376200</v>
      </c>
      <c r="N1599" s="23"/>
      <c r="O1599" s="22">
        <f>+PROVEEDORES[[#This Row],[Descuento sobre subtotal %]]*(PROVEEDORES[[#This Row],[SUBTOTAL]]-PROVEEDORES[[#This Row],[descuento sobre subtotal]])</f>
        <v>0</v>
      </c>
      <c r="P1599" s="83">
        <f>+IF(PROVEEDORES[[#This Row],[SUBTOTAL]]&lt;PROVEEDORES[[#This Row],[base retencion]],0,PROVEEDORES[[#This Row],[retención aplicada]])</f>
        <v>0</v>
      </c>
      <c r="Q1599" s="22">
        <f>+PROVEEDORES[[#This Row],[Rete Fuente %]]*(PROVEEDORES[[#This Row],[SUBTOTAL]]-PROVEEDORES[[#This Row],[descuento sobre subtotal]])</f>
        <v>0</v>
      </c>
      <c r="R1599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1599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9" s="68">
        <f ca="1">IF(PROVEEDORES[[#This Row],[FECHA DE PAGO]]=0,TODAY()-PROVEEDORES[[#This Row],[FECHA DE FACTURACIÓN]]-PROVEEDORES[[#This Row],[PLAZO Días]],0)</f>
        <v>0</v>
      </c>
      <c r="U1599" s="113">
        <f>+VLOOKUP(PROVEEDORES[[#This Row],[PROVEEDOR]],Terceros!$A:$D,4,FALSE)</f>
        <v>0</v>
      </c>
      <c r="V1599" s="114">
        <f>+YEAR(PROVEEDORES[[#This Row],[FECHA DE FACTURACIÓN]])</f>
        <v>2022</v>
      </c>
      <c r="W1599" s="114">
        <f>+MATCH(PROVEEDORES[[#This Row],[año facturado]],Retenciones!$1:$1,0)</f>
        <v>5</v>
      </c>
      <c r="X1599" s="115">
        <f>+VLOOKUP(PROVEEDORES[[#This Row],[ID RETENCION]],Retenciones!$A$1:$O$25,PROVEEDORES[[#This Row],[indicador de columna]],FALSE)</f>
        <v>0</v>
      </c>
      <c r="Y1599" s="116">
        <f>+VLOOKUP(PROVEEDORES[[#This Row],[ID RETENCION]],Retenciones!$A$1:$O$25,2,FALSE)</f>
        <v>0</v>
      </c>
      <c r="Z1599" s="125" t="b">
        <f>OR(COUNTIF(PROVEEDORES[[#This Row],[PROVEEDOR]],"*"&amp;'Palabra no opera'!$A$2&amp;"*"))</f>
        <v>0</v>
      </c>
    </row>
    <row r="1600" spans="1:26" ht="22.2" customHeight="1" x14ac:dyDescent="0.3">
      <c r="A1600" s="66" t="str">
        <f>+IF(PROVEEDORES[[#This Row],[FECHA DE PAGO]]=PROVEEDORES[[#This Row],[FECHA DE FACTURACIÓN]],"DE CONTADO","CRÉDITO")</f>
        <v>CRÉDITO</v>
      </c>
      <c r="B1600" s="38" t="str">
        <f>+IF((PROVEEDORES[[#This Row],[FECHA DE PAGO]]-PROVEEDORES[[#This Row],[FECHA DE FACTURACIÓN]])&gt;PROVEEDORES[[#This Row],[PLAZO Días]],"PAGO VENCIDO")</f>
        <v>PAGO VENCIDO</v>
      </c>
      <c r="C1600" s="20">
        <f>+VLOOKUP(PROVEEDORES[[#This Row],[PROVEEDOR]],TERCEROS_INFO[#All],2,FALSE)</f>
        <v>30</v>
      </c>
      <c r="D1600" s="25">
        <f>+SUMIFS(PROVEEDORES[Total],PROVEEDORES[PROVEEDOR],PROVEEDORES[[#This Row],[PROVEEDOR]],PROVEEDORES[FECHA DE PAGO],"")</f>
        <v>0</v>
      </c>
      <c r="E1600" s="25"/>
      <c r="F160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600" s="161">
        <v>44652</v>
      </c>
      <c r="H1600" s="26" t="s">
        <v>670</v>
      </c>
      <c r="I1600" s="161">
        <v>44545</v>
      </c>
      <c r="J1600" s="35" t="s">
        <v>1543</v>
      </c>
      <c r="K1600" s="21">
        <v>2365000</v>
      </c>
      <c r="L1600" s="21"/>
      <c r="M1600" s="22">
        <v>0</v>
      </c>
      <c r="N1600" s="23"/>
      <c r="O1600" s="22">
        <v>0</v>
      </c>
      <c r="P1600" s="83">
        <f>+IF(PROVEEDORES[[#This Row],[SUBTOTAL]]&lt;PROVEEDORES[[#This Row],[base retencion]],0,PROVEEDORES[[#This Row],[retención aplicada]])</f>
        <v>0</v>
      </c>
      <c r="Q1600" s="22">
        <f>+PROVEEDORES[[#This Row],[Rete Fuente %]]*(PROVEEDORES[[#This Row],[SUBTOTAL]]-PROVEEDORES[[#This Row],[descuento sobre subtotal]])</f>
        <v>0</v>
      </c>
      <c r="R1600" s="21">
        <v>2365000</v>
      </c>
      <c r="S16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0" s="68">
        <f ca="1">IF(PROVEEDORES[[#This Row],[FECHA DE PAGO]]=0,TODAY()-PROVEEDORES[[#This Row],[FECHA DE FACTURACIÓN]]-PROVEEDORES[[#This Row],[PLAZO Días]],0)</f>
        <v>0</v>
      </c>
      <c r="U1600" s="96">
        <f>+VLOOKUP(PROVEEDORES[[#This Row],[PROVEEDOR]],Terceros!$A:$D,4,FALSE)</f>
        <v>0</v>
      </c>
      <c r="V1600" s="97">
        <f>+YEAR(PROVEEDORES[[#This Row],[FECHA DE FACTURACIÓN]])</f>
        <v>2021</v>
      </c>
      <c r="W1600" s="97">
        <f>+MATCH(PROVEEDORES[[#This Row],[año facturado]],Retenciones!$1:$1,0)</f>
        <v>4</v>
      </c>
      <c r="X1600" s="98">
        <f>+VLOOKUP(PROVEEDORES[[#This Row],[ID RETENCION]],Retenciones!$A$1:$O$25,PROVEEDORES[[#This Row],[indicador de columna]],FALSE)</f>
        <v>0</v>
      </c>
      <c r="Y1600" s="99">
        <f>+VLOOKUP(PROVEEDORES[[#This Row],[ID RETENCION]],Retenciones!$A$1:$O$25,2,FALSE)</f>
        <v>0</v>
      </c>
      <c r="Z1600" s="125" t="b">
        <f>OR(COUNTIF(PROVEEDORES[[#This Row],[PROVEEDOR]],"*"&amp;'Palabra no opera'!$A$2&amp;"*"))</f>
        <v>0</v>
      </c>
    </row>
    <row r="1601" spans="1:26" ht="22.2" customHeight="1" x14ac:dyDescent="0.3">
      <c r="A1601" s="159" t="str">
        <f>+IF(PROVEEDORES[[#This Row],[FECHA DE PAGO]]=PROVEEDORES[[#This Row],[FECHA DE FACTURACIÓN]],"DE CONTADO","CRÉDITO")</f>
        <v>CRÉDITO</v>
      </c>
      <c r="B1601" s="38" t="str">
        <f>+IF((PROVEEDORES[[#This Row],[FECHA DE PAGO]]-PROVEEDORES[[#This Row],[FECHA DE FACTURACIÓN]])&gt;PROVEEDORES[[#This Row],[PLAZO Días]],"PAGO VENCIDO")</f>
        <v>PAGO VENCIDO</v>
      </c>
      <c r="C1601" s="20">
        <f>+VLOOKUP(PROVEEDORES[[#This Row],[PROVEEDOR]],TERCEROS_INFO[#All],2,FALSE)</f>
        <v>30</v>
      </c>
      <c r="D1601" s="25">
        <f>+SUMIFS(PROVEEDORES[Total],PROVEEDORES[PROVEEDOR],PROVEEDORES[[#This Row],[PROVEEDOR]],PROVEEDORES[FECHA DE PAGO],"")</f>
        <v>2318500</v>
      </c>
      <c r="E1601" s="25"/>
      <c r="F1601" s="58" t="str">
        <f>+VLOOKUP(PROVEEDORES[[#This Row],[PROVEEDOR]],
                       Terceros!$A:$F,
                       5,
                       FALSE)</f>
        <v/>
      </c>
      <c r="G1601" s="161">
        <v>44785</v>
      </c>
      <c r="H1601" s="26" t="s">
        <v>629</v>
      </c>
      <c r="I1601" s="161">
        <v>44741</v>
      </c>
      <c r="J1601" s="35" t="s">
        <v>1389</v>
      </c>
      <c r="K1601" s="21">
        <v>2368000</v>
      </c>
      <c r="L1601" s="21"/>
      <c r="M1601" s="22">
        <f>(PROVEEDORES[[#This Row],[SUBTOTAL]]-PROVEEDORES[[#This Row],[descuento sobre subtotal]])*VLOOKUP(PROVEEDORES[[#This Row],[PROVEEDOR]],TERCEROS_INFO[#All],3,FALSE)</f>
        <v>0</v>
      </c>
      <c r="N1601" s="23"/>
      <c r="O1601" s="22">
        <f>+PROVEEDORES[[#This Row],[Descuento sobre subtotal %]]*(PROVEEDORES[[#This Row],[SUBTOTAL]]-PROVEEDORES[[#This Row],[descuento sobre subtotal]])</f>
        <v>0</v>
      </c>
      <c r="P1601" s="83">
        <f>+IF(PROVEEDORES[[#This Row],[SUBTOTAL]]&lt;PROVEEDORES[[#This Row],[base retencion]],0,PROVEEDORES[[#This Row],[retención aplicada]])</f>
        <v>0</v>
      </c>
      <c r="Q1601" s="22">
        <f>+PROVEEDORES[[#This Row],[Rete Fuente %]]*(PROVEEDORES[[#This Row],[SUBTOTAL]]-PROVEEDORES[[#This Row],[descuento sobre subtotal]])</f>
        <v>0</v>
      </c>
      <c r="R1601" s="21">
        <f>+PROVEEDORES[[#This Row],[SUBTOTAL]]+PROVEEDORES[[#This Row],[IVA 19%]]-PROVEEDORES[[#This Row],[descuento sobre subtotal]]-PROVEEDORES[[#This Row],[Descuento sobre subtotal $2]]-PROVEEDORES[[#This Row],[Rete Fuente $]]</f>
        <v>2368000</v>
      </c>
      <c r="S160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1" s="68">
        <f ca="1">IF(PROVEEDORES[[#This Row],[FECHA DE PAGO]]=0,TODAY()-PROVEEDORES[[#This Row],[FECHA DE FACTURACIÓN]]-PROVEEDORES[[#This Row],[PLAZO Días]],0)</f>
        <v>0</v>
      </c>
      <c r="U1601" s="113">
        <f>+VLOOKUP(PROVEEDORES[[#This Row],[PROVEEDOR]],Terceros!$A:$D,4,FALSE)</f>
        <v>0</v>
      </c>
      <c r="V1601" s="114">
        <f>+YEAR(PROVEEDORES[[#This Row],[FECHA DE FACTURACIÓN]])</f>
        <v>2022</v>
      </c>
      <c r="W1601" s="114">
        <f>+MATCH(PROVEEDORES[[#This Row],[año facturado]],Retenciones!$1:$1,0)</f>
        <v>5</v>
      </c>
      <c r="X1601" s="115">
        <f>+VLOOKUP(PROVEEDORES[[#This Row],[ID RETENCION]],Retenciones!$A$1:$O$25,PROVEEDORES[[#This Row],[indicador de columna]],FALSE)</f>
        <v>0</v>
      </c>
      <c r="Y1601" s="116">
        <f>+VLOOKUP(PROVEEDORES[[#This Row],[ID RETENCION]],Retenciones!$A$1:$O$25,2,FALSE)</f>
        <v>0</v>
      </c>
      <c r="Z1601" s="125" t="b">
        <f>OR(COUNTIF(PROVEEDORES[[#This Row],[PROVEEDOR]],"*"&amp;'Palabra no opera'!$A$2&amp;"*"))</f>
        <v>0</v>
      </c>
    </row>
    <row r="1602" spans="1:26" ht="22.2" customHeight="1" x14ac:dyDescent="0.3">
      <c r="A1602" s="66" t="str">
        <f>+IF(PROVEEDORES[[#This Row],[FECHA DE PAGO]]=PROVEEDORES[[#This Row],[FECHA DE FACTURACIÓN]],"DE CONTADO","CRÉDITO")</f>
        <v>CRÉDITO</v>
      </c>
      <c r="B1602" s="38" t="b">
        <f>+IF((PROVEEDORES[[#This Row],[FECHA DE PAGO]]-PROVEEDORES[[#This Row],[FECHA DE FACTURACIÓN]])&gt;PROVEEDORES[[#This Row],[PLAZO Días]],"PAGO VENCIDO")</f>
        <v>0</v>
      </c>
      <c r="C1602" s="20">
        <f>+VLOOKUP(PROVEEDORES[[#This Row],[PROVEEDOR]],TERCEROS_INFO[#All],2,FALSE)</f>
        <v>30</v>
      </c>
      <c r="D1602" s="25">
        <f>+SUMIFS(PROVEEDORES[Total],PROVEEDORES[PROVEEDOR],PROVEEDORES[[#This Row],[PROVEEDOR]],PROVEEDORES[FECHA DE PAGO],"")</f>
        <v>0</v>
      </c>
      <c r="E1602" s="25"/>
      <c r="F1602" s="58" t="str">
        <f>+VLOOKUP(PROVEEDORES[[#This Row],[PROVEEDOR]],
                       Terceros!$A:$F,
                       5,
                       FALSE)</f>
        <v/>
      </c>
      <c r="G1602" s="161">
        <v>44536</v>
      </c>
      <c r="H1602" s="26" t="s">
        <v>689</v>
      </c>
      <c r="I1602" s="161">
        <v>44531</v>
      </c>
      <c r="J1602" s="35" t="s">
        <v>1535</v>
      </c>
      <c r="K1602" s="21">
        <v>2377245</v>
      </c>
      <c r="L1602" s="21"/>
      <c r="M1602" s="22">
        <f>(PROVEEDORES[[#This Row],[SUBTOTAL]]-PROVEEDORES[[#This Row],[descuento sobre subtotal]])*VLOOKUP(PROVEEDORES[[#This Row],[PROVEEDOR]],TERCEROS_INFO[#All],3,FALSE)</f>
        <v>0</v>
      </c>
      <c r="N1602" s="23"/>
      <c r="O1602" s="22">
        <f>+PROVEEDORES[[#This Row],[Descuento sobre subtotal %]]*(PROVEEDORES[[#This Row],[SUBTOTAL]]-PROVEEDORES[[#This Row],[descuento sobre subtotal]])</f>
        <v>0</v>
      </c>
      <c r="P1602" s="83">
        <f>+IF(PROVEEDORES[[#This Row],[SUBTOTAL]]&lt;PROVEEDORES[[#This Row],[base retencion]],0,PROVEEDORES[[#This Row],[retención aplicada]])</f>
        <v>0</v>
      </c>
      <c r="Q1602" s="22">
        <f>+PROVEEDORES[[#This Row],[Rete Fuente %]]*(PROVEEDORES[[#This Row],[SUBTOTAL]]-PROVEEDORES[[#This Row],[descuento sobre subtotal]])</f>
        <v>0</v>
      </c>
      <c r="R1602" s="21">
        <f>+PROVEEDORES[[#This Row],[SUBTOTAL]]+PROVEEDORES[[#This Row],[IVA 19%]]-PROVEEDORES[[#This Row],[descuento sobre subtotal]]-PROVEEDORES[[#This Row],[Descuento sobre subtotal $2]]-PROVEEDORES[[#This Row],[Rete Fuente $]]</f>
        <v>2377245</v>
      </c>
      <c r="S16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2" s="68">
        <f ca="1">IF(PROVEEDORES[[#This Row],[FECHA DE PAGO]]=0,TODAY()-PROVEEDORES[[#This Row],[FECHA DE FACTURACIÓN]]-PROVEEDORES[[#This Row],[PLAZO Días]],0)</f>
        <v>0</v>
      </c>
      <c r="U1602" s="96">
        <f>+VLOOKUP(PROVEEDORES[[#This Row],[PROVEEDOR]],Terceros!$A:$D,4,FALSE)</f>
        <v>0</v>
      </c>
      <c r="V1602" s="97">
        <f>+YEAR(PROVEEDORES[[#This Row],[FECHA DE FACTURACIÓN]])</f>
        <v>2021</v>
      </c>
      <c r="W1602" s="97">
        <f>+MATCH(PROVEEDORES[[#This Row],[año facturado]],Retenciones!$1:$1,0)</f>
        <v>4</v>
      </c>
      <c r="X1602" s="98">
        <f>+VLOOKUP(PROVEEDORES[[#This Row],[ID RETENCION]],Retenciones!$A$1:$O$25,PROVEEDORES[[#This Row],[indicador de columna]],FALSE)</f>
        <v>0</v>
      </c>
      <c r="Y1602" s="99">
        <f>+VLOOKUP(PROVEEDORES[[#This Row],[ID RETENCION]],Retenciones!$A$1:$O$25,2,FALSE)</f>
        <v>0</v>
      </c>
      <c r="Z1602" s="125" t="b">
        <f>OR(COUNTIF(PROVEEDORES[[#This Row],[PROVEEDOR]],"*"&amp;'Palabra no opera'!$A$2&amp;"*"))</f>
        <v>0</v>
      </c>
    </row>
    <row r="1603" spans="1:26" ht="22.2" customHeight="1" x14ac:dyDescent="0.3">
      <c r="A1603" s="66" t="str">
        <f>+IF(PROVEEDORES[[#This Row],[FECHA DE PAGO]]=PROVEEDORES[[#This Row],[FECHA DE FACTURACIÓN]],"DE CONTADO","CRÉDITO")</f>
        <v>CRÉDITO</v>
      </c>
      <c r="B1603" s="38" t="str">
        <f>+IF((PROVEEDORES[[#This Row],[FECHA DE PAGO]]-PROVEEDORES[[#This Row],[FECHA DE FACTURACIÓN]])&gt;PROVEEDORES[[#This Row],[PLAZO Días]],"PAGO VENCIDO")</f>
        <v>PAGO VENCIDO</v>
      </c>
      <c r="C1603" s="20">
        <f>+VLOOKUP(PROVEEDORES[[#This Row],[PROVEEDOR]],TERCEROS_INFO[#All],2,FALSE)</f>
        <v>30</v>
      </c>
      <c r="D1603" s="25">
        <f>+SUMIFS(PROVEEDORES[Total],PROVEEDORES[PROVEEDOR],PROVEEDORES[[#This Row],[PROVEEDOR]],PROVEEDORES[FECHA DE PAGO],"")</f>
        <v>2318500</v>
      </c>
      <c r="E1603" s="25"/>
      <c r="F1603" s="58" t="str">
        <f>+VLOOKUP(PROVEEDORES[[#This Row],[PROVEEDOR]],
                       Terceros!$A:$F,
                       5,
                       FALSE)</f>
        <v/>
      </c>
      <c r="G1603" s="161">
        <v>44586</v>
      </c>
      <c r="H1603" s="26" t="s">
        <v>629</v>
      </c>
      <c r="I1603" s="161">
        <v>44552</v>
      </c>
      <c r="J1603" s="35" t="s">
        <v>1365</v>
      </c>
      <c r="K1603" s="21">
        <v>2380000</v>
      </c>
      <c r="L1603" s="21"/>
      <c r="M1603" s="22">
        <f>(PROVEEDORES[[#This Row],[SUBTOTAL]]-PROVEEDORES[[#This Row],[descuento sobre subtotal]])*VLOOKUP(PROVEEDORES[[#This Row],[PROVEEDOR]],TERCEROS_INFO[#All],3,FALSE)</f>
        <v>0</v>
      </c>
      <c r="N1603" s="23"/>
      <c r="O1603" s="22">
        <f>+PROVEEDORES[[#This Row],[Descuento sobre subtotal %]]*(PROVEEDORES[[#This Row],[SUBTOTAL]]-PROVEEDORES[[#This Row],[descuento sobre subtotal]])</f>
        <v>0</v>
      </c>
      <c r="P1603" s="83">
        <f>+IF(PROVEEDORES[[#This Row],[SUBTOTAL]]&lt;PROVEEDORES[[#This Row],[base retencion]],0,PROVEEDORES[[#This Row],[retención aplicada]])</f>
        <v>0</v>
      </c>
      <c r="Q1603" s="22">
        <f>+PROVEEDORES[[#This Row],[Rete Fuente %]]*(PROVEEDORES[[#This Row],[SUBTOTAL]]-PROVEEDORES[[#This Row],[descuento sobre subtotal]])</f>
        <v>0</v>
      </c>
      <c r="R1603" s="21">
        <v>2380000</v>
      </c>
      <c r="S16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3" s="68">
        <f ca="1">IF(PROVEEDORES[[#This Row],[FECHA DE PAGO]]=0,TODAY()-PROVEEDORES[[#This Row],[FECHA DE FACTURACIÓN]]-PROVEEDORES[[#This Row],[PLAZO Días]],0)</f>
        <v>0</v>
      </c>
      <c r="U1603" s="96">
        <f>+VLOOKUP(PROVEEDORES[[#This Row],[PROVEEDOR]],Terceros!$A:$D,4,FALSE)</f>
        <v>0</v>
      </c>
      <c r="V1603" s="97">
        <f>+YEAR(PROVEEDORES[[#This Row],[FECHA DE FACTURACIÓN]])</f>
        <v>2021</v>
      </c>
      <c r="W1603" s="97">
        <f>+MATCH(PROVEEDORES[[#This Row],[año facturado]],Retenciones!$1:$1,0)</f>
        <v>4</v>
      </c>
      <c r="X1603" s="98">
        <f>+VLOOKUP(PROVEEDORES[[#This Row],[ID RETENCION]],Retenciones!$A$1:$O$25,PROVEEDORES[[#This Row],[indicador de columna]],FALSE)</f>
        <v>0</v>
      </c>
      <c r="Y1603" s="99">
        <f>+VLOOKUP(PROVEEDORES[[#This Row],[ID RETENCION]],Retenciones!$A$1:$O$25,2,FALSE)</f>
        <v>0</v>
      </c>
      <c r="Z1603" s="125" t="b">
        <f>OR(COUNTIF(PROVEEDORES[[#This Row],[PROVEEDOR]],"*"&amp;'Palabra no opera'!$A$2&amp;"*"))</f>
        <v>0</v>
      </c>
    </row>
    <row r="1604" spans="1:26" ht="22.2" customHeight="1" x14ac:dyDescent="0.3">
      <c r="A1604" s="66" t="str">
        <f>+IF(PROVEEDORES[[#This Row],[FECHA DE PAGO]]=PROVEEDORES[[#This Row],[FECHA DE FACTURACIÓN]],"DE CONTADO","CRÉDITO")</f>
        <v>CRÉDITO</v>
      </c>
      <c r="B1604" s="38" t="b">
        <f>+IF((PROVEEDORES[[#This Row],[FECHA DE PAGO]]-PROVEEDORES[[#This Row],[FECHA DE FACTURACIÓN]])&gt;PROVEEDORES[[#This Row],[PLAZO Días]],"PAGO VENCIDO")</f>
        <v>0</v>
      </c>
      <c r="C1604" s="20">
        <f>+VLOOKUP(PROVEEDORES[[#This Row],[PROVEEDOR]],TERCEROS_INFO[#All],2,FALSE)</f>
        <v>30</v>
      </c>
      <c r="D1604" s="25">
        <f>+SUMIFS(PROVEEDORES[Total],PROVEEDORES[PROVEEDOR],PROVEEDORES[[#This Row],[PROVEEDOR]],PROVEEDORES[FECHA DE PAGO],"")</f>
        <v>0</v>
      </c>
      <c r="E1604" s="25"/>
      <c r="F1604" s="58" t="str">
        <f>+VLOOKUP(PROVEEDORES[[#This Row],[PROVEEDOR]],
                       Terceros!$A:$F,
                       5,
                       FALSE)</f>
        <v/>
      </c>
      <c r="G1604" s="161">
        <v>44368</v>
      </c>
      <c r="H1604" s="26" t="s">
        <v>689</v>
      </c>
      <c r="I1604" s="161">
        <v>44366</v>
      </c>
      <c r="J1604" s="35" t="s">
        <v>1253</v>
      </c>
      <c r="K1604" s="21">
        <v>2390504</v>
      </c>
      <c r="L1604" s="21"/>
      <c r="M1604" s="22">
        <f>(PROVEEDORES[[#This Row],[SUBTOTAL]]-PROVEEDORES[[#This Row],[descuento sobre subtotal]])*VLOOKUP(PROVEEDORES[[#This Row],[PROVEEDOR]],TERCEROS_INFO[#All],3,FALSE)</f>
        <v>0</v>
      </c>
      <c r="N1604" s="23"/>
      <c r="O1604" s="22">
        <f>+PROVEEDORES[[#This Row],[Descuento sobre subtotal %]]*(PROVEEDORES[[#This Row],[SUBTOTAL]]-PROVEEDORES[[#This Row],[descuento sobre subtotal]])</f>
        <v>0</v>
      </c>
      <c r="P1604" s="83">
        <f>+IF(PROVEEDORES[[#This Row],[SUBTOTAL]]&lt;PROVEEDORES[[#This Row],[base retencion]],0,PROVEEDORES[[#This Row],[retención aplicada]])</f>
        <v>0</v>
      </c>
      <c r="Q1604" s="22">
        <f>+PROVEEDORES[[#This Row],[Rete Fuente %]]*(PROVEEDORES[[#This Row],[SUBTOTAL]]-PROVEEDORES[[#This Row],[descuento sobre subtotal]])</f>
        <v>0</v>
      </c>
      <c r="R1604" s="21">
        <f>+PROVEEDORES[[#This Row],[SUBTOTAL]]+PROVEEDORES[[#This Row],[IVA 19%]]-PROVEEDORES[[#This Row],[descuento sobre subtotal]]-PROVEEDORES[[#This Row],[Descuento sobre subtotal $2]]-PROVEEDORES[[#This Row],[Rete Fuente $]]</f>
        <v>2390504</v>
      </c>
      <c r="S16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4" s="68">
        <f ca="1">IF(PROVEEDORES[[#This Row],[FECHA DE PAGO]]=0,TODAY()-PROVEEDORES[[#This Row],[FECHA DE FACTURACIÓN]]-PROVEEDORES[[#This Row],[PLAZO Días]],0)</f>
        <v>0</v>
      </c>
      <c r="U1604" s="96">
        <f>+VLOOKUP(PROVEEDORES[[#This Row],[PROVEEDOR]],Terceros!$A:$D,4,FALSE)</f>
        <v>0</v>
      </c>
      <c r="V1604" s="97">
        <f>+YEAR(PROVEEDORES[[#This Row],[FECHA DE FACTURACIÓN]])</f>
        <v>2021</v>
      </c>
      <c r="W1604" s="97">
        <f>+MATCH(PROVEEDORES[[#This Row],[año facturado]],Retenciones!$1:$1,0)</f>
        <v>4</v>
      </c>
      <c r="X1604" s="98">
        <f>+VLOOKUP(PROVEEDORES[[#This Row],[ID RETENCION]],Retenciones!$A$1:$O$25,PROVEEDORES[[#This Row],[indicador de columna]],FALSE)</f>
        <v>0</v>
      </c>
      <c r="Y1604" s="99">
        <f>+VLOOKUP(PROVEEDORES[[#This Row],[ID RETENCION]],Retenciones!$A$1:$O$25,2,FALSE)</f>
        <v>0</v>
      </c>
      <c r="Z1604" s="125" t="b">
        <f>OR(COUNTIF(PROVEEDORES[[#This Row],[PROVEEDOR]],"*"&amp;'Palabra no opera'!$A$2&amp;"*"))</f>
        <v>0</v>
      </c>
    </row>
    <row r="1605" spans="1:26" ht="22.2" customHeight="1" x14ac:dyDescent="0.3">
      <c r="A1605" s="66" t="str">
        <f>+IF(PROVEEDORES[[#This Row],[FECHA DE PAGO]]=PROVEEDORES[[#This Row],[FECHA DE FACTURACIÓN]],"DE CONTADO","CRÉDITO")</f>
        <v>CRÉDITO</v>
      </c>
      <c r="B1605" s="38" t="str">
        <f>+IF((PROVEEDORES[[#This Row],[FECHA DE PAGO]]-PROVEEDORES[[#This Row],[FECHA DE FACTURACIÓN]])&gt;PROVEEDORES[[#This Row],[PLAZO Días]],"PAGO VENCIDO")</f>
        <v>PAGO VENCIDO</v>
      </c>
      <c r="C1605" s="20">
        <f>+VLOOKUP(PROVEEDORES[[#This Row],[PROVEEDOR]],TERCEROS_INFO[#All],2,FALSE)</f>
        <v>30</v>
      </c>
      <c r="D1605" s="25">
        <f>+SUMIFS(PROVEEDORES[Total],PROVEEDORES[PROVEEDOR],PROVEEDORES[[#This Row],[PROVEEDOR]],PROVEEDORES[FECHA DE PAGO],"")</f>
        <v>0</v>
      </c>
      <c r="E1605" s="25"/>
      <c r="F160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605" s="161">
        <v>44229</v>
      </c>
      <c r="H1605" s="26" t="s">
        <v>24</v>
      </c>
      <c r="I1605" s="161">
        <v>44176</v>
      </c>
      <c r="J1605" s="35" t="s">
        <v>86</v>
      </c>
      <c r="K1605" s="21">
        <v>2056764</v>
      </c>
      <c r="L1605" s="21"/>
      <c r="M1605" s="22">
        <f>(PROVEEDORES[[#This Row],[SUBTOTAL]]-PROVEEDORES[[#This Row],[descuento sobre subtotal]])*VLOOKUP(PROVEEDORES[[#This Row],[PROVEEDOR]],TERCEROS_INFO[#All],3,FALSE)</f>
        <v>390785.16000000003</v>
      </c>
      <c r="N1605" s="23"/>
      <c r="O1605" s="22">
        <f>+PROVEEDORES[[#This Row],[Descuento sobre subtotal %]]*(PROVEEDORES[[#This Row],[SUBTOTAL]]-PROVEEDORES[[#This Row],[descuento sobre subtotal]])</f>
        <v>0</v>
      </c>
      <c r="P1605" s="83">
        <f>+IF(PROVEEDORES[[#This Row],[SUBTOTAL]]&lt;PROVEEDORES[[#This Row],[base retencion]],0,PROVEEDORES[[#This Row],[retención aplicada]])</f>
        <v>2.5000000000000001E-2</v>
      </c>
      <c r="Q1605" s="22">
        <f>+PROVEEDORES[[#This Row],[Rete Fuente %]]*(PROVEEDORES[[#This Row],[SUBTOTAL]]-PROVEEDORES[[#This Row],[descuento sobre subtotal]])</f>
        <v>51419.100000000006</v>
      </c>
      <c r="R1605" s="21">
        <f>+PROVEEDORES[[#This Row],[SUBTOTAL]]+PROVEEDORES[[#This Row],[IVA 19%]]-PROVEEDORES[[#This Row],[descuento sobre subtotal]]-PROVEEDORES[[#This Row],[Descuento sobre subtotal $2]]-PROVEEDORES[[#This Row],[Rete Fuente $]]</f>
        <v>2396130.06</v>
      </c>
      <c r="S16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5" s="68">
        <f ca="1">IF(PROVEEDORES[[#This Row],[FECHA DE PAGO]]=0,TODAY()-PROVEEDORES[[#This Row],[FECHA DE FACTURACIÓN]]-PROVEEDORES[[#This Row],[PLAZO Días]],0)</f>
        <v>0</v>
      </c>
      <c r="U1605" s="96" t="str">
        <f>+VLOOKUP(PROVEEDORES[[#This Row],[PROVEEDOR]],Terceros!$A:$D,4,FALSE)</f>
        <v>2,5% con base</v>
      </c>
      <c r="V1605" s="97">
        <f>+YEAR(PROVEEDORES[[#This Row],[FECHA DE FACTURACIÓN]])</f>
        <v>2020</v>
      </c>
      <c r="W1605" s="97">
        <f>+MATCH(PROVEEDORES[[#This Row],[año facturado]],Retenciones!$1:$1,0)</f>
        <v>3</v>
      </c>
      <c r="X1605" s="98">
        <f>+VLOOKUP(PROVEEDORES[[#This Row],[ID RETENCION]],Retenciones!$A$1:$O$25,PROVEEDORES[[#This Row],[indicador de columna]],FALSE)</f>
        <v>961000</v>
      </c>
      <c r="Y1605" s="99">
        <f>+VLOOKUP(PROVEEDORES[[#This Row],[ID RETENCION]],Retenciones!$A$1:$O$25,2,FALSE)</f>
        <v>2.5000000000000001E-2</v>
      </c>
      <c r="Z1605" s="125" t="b">
        <f>OR(COUNTIF(PROVEEDORES[[#This Row],[PROVEEDOR]],"*"&amp;'Palabra no opera'!$A$2&amp;"*"))</f>
        <v>0</v>
      </c>
    </row>
    <row r="1606" spans="1:26" ht="22.2" customHeight="1" x14ac:dyDescent="0.3">
      <c r="A1606" s="66" t="str">
        <f>+IF(PROVEEDORES[[#This Row],[FECHA DE PAGO]]=PROVEEDORES[[#This Row],[FECHA DE FACTURACIÓN]],"DE CONTADO","CRÉDITO")</f>
        <v>DE CONTADO</v>
      </c>
      <c r="B1606" s="38" t="b">
        <f>+IF((PROVEEDORES[[#This Row],[FECHA DE PAGO]]-PROVEEDORES[[#This Row],[FECHA DE FACTURACIÓN]])&gt;PROVEEDORES[[#This Row],[PLAZO Días]],"PAGO VENCIDO")</f>
        <v>0</v>
      </c>
      <c r="C1606" s="20">
        <f>+VLOOKUP(PROVEEDORES[[#This Row],[PROVEEDOR]],TERCEROS_INFO[#All],2,FALSE)</f>
        <v>10</v>
      </c>
      <c r="D1606" s="25">
        <f>+SUMIFS(PROVEEDORES[Total],PROVEEDORES[PROVEEDOR],PROVEEDORES[[#This Row],[PROVEEDOR]],PROVEEDORES[FECHA DE PAGO],"")</f>
        <v>0</v>
      </c>
      <c r="E1606" s="25"/>
      <c r="F1606" s="58" t="str">
        <f>+VLOOKUP(PROVEEDORES[[#This Row],[PROVEEDOR]],
                       Terceros!$A:$F,
                       5,
                       FALSE)</f>
        <v/>
      </c>
      <c r="G1606" s="161">
        <v>44438</v>
      </c>
      <c r="H1606" s="26" t="s">
        <v>23</v>
      </c>
      <c r="I1606" s="161">
        <v>44438</v>
      </c>
      <c r="J1606" s="35">
        <v>284796</v>
      </c>
      <c r="K1606" s="21">
        <v>2399826</v>
      </c>
      <c r="L1606" s="21"/>
      <c r="M1606" s="22">
        <f>(PROVEEDORES[[#This Row],[SUBTOTAL]]-PROVEEDORES[[#This Row],[descuento sobre subtotal]])*VLOOKUP(PROVEEDORES[[#This Row],[PROVEEDOR]],TERCEROS_INFO[#All],3,FALSE)</f>
        <v>0</v>
      </c>
      <c r="N1606" s="23"/>
      <c r="O1606" s="22">
        <f>+PROVEEDORES[[#This Row],[Descuento sobre subtotal %]]*(PROVEEDORES[[#This Row],[SUBTOTAL]]-PROVEEDORES[[#This Row],[descuento sobre subtotal]])</f>
        <v>0</v>
      </c>
      <c r="P1606" s="83">
        <f>+IF(PROVEEDORES[[#This Row],[SUBTOTAL]]&lt;PROVEEDORES[[#This Row],[base retencion]],0,PROVEEDORES[[#This Row],[retención aplicada]])</f>
        <v>0</v>
      </c>
      <c r="Q1606" s="22">
        <f>+PROVEEDORES[[#This Row],[Rete Fuente %]]*(PROVEEDORES[[#This Row],[SUBTOTAL]]-PROVEEDORES[[#This Row],[descuento sobre subtotal]])</f>
        <v>0</v>
      </c>
      <c r="R1606" s="21">
        <f>+PROVEEDORES[[#This Row],[SUBTOTAL]]+PROVEEDORES[[#This Row],[IVA 19%]]-PROVEEDORES[[#This Row],[descuento sobre subtotal]]-PROVEEDORES[[#This Row],[Descuento sobre subtotal $2]]-PROVEEDORES[[#This Row],[Rete Fuente $]]</f>
        <v>2399826</v>
      </c>
      <c r="S16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6" s="68">
        <f ca="1">IF(PROVEEDORES[[#This Row],[FECHA DE PAGO]]=0,TODAY()-PROVEEDORES[[#This Row],[FECHA DE FACTURACIÓN]]-PROVEEDORES[[#This Row],[PLAZO Días]],0)</f>
        <v>0</v>
      </c>
      <c r="U1606" s="96">
        <f>+VLOOKUP(PROVEEDORES[[#This Row],[PROVEEDOR]],Terceros!$A:$D,4,FALSE)</f>
        <v>0</v>
      </c>
      <c r="V1606" s="97">
        <f>+YEAR(PROVEEDORES[[#This Row],[FECHA DE FACTURACIÓN]])</f>
        <v>2021</v>
      </c>
      <c r="W1606" s="97">
        <f>+MATCH(PROVEEDORES[[#This Row],[año facturado]],Retenciones!$1:$1,0)</f>
        <v>4</v>
      </c>
      <c r="X1606" s="98">
        <f>+VLOOKUP(PROVEEDORES[[#This Row],[ID RETENCION]],Retenciones!$A$1:$O$25,PROVEEDORES[[#This Row],[indicador de columna]],FALSE)</f>
        <v>0</v>
      </c>
      <c r="Y1606" s="99">
        <f>+VLOOKUP(PROVEEDORES[[#This Row],[ID RETENCION]],Retenciones!$A$1:$O$25,2,FALSE)</f>
        <v>0</v>
      </c>
      <c r="Z1606" s="125" t="b">
        <f>OR(COUNTIF(PROVEEDORES[[#This Row],[PROVEEDOR]],"*"&amp;'Palabra no opera'!$A$2&amp;"*"))</f>
        <v>0</v>
      </c>
    </row>
    <row r="1607" spans="1:26" ht="22.2" customHeight="1" x14ac:dyDescent="0.3">
      <c r="A1607" s="66" t="str">
        <f>+IF(PROVEEDORES[[#This Row],[FECHA DE PAGO]]=PROVEEDORES[[#This Row],[FECHA DE FACTURACIÓN]],"DE CONTADO","CRÉDITO")</f>
        <v>DE CONTADO</v>
      </c>
      <c r="B1607" s="38" t="b">
        <f>+IF((PROVEEDORES[[#This Row],[FECHA DE PAGO]]-PROVEEDORES[[#This Row],[FECHA DE FACTURACIÓN]])&gt;PROVEEDORES[[#This Row],[PLAZO Días]],"PAGO VENCIDO")</f>
        <v>0</v>
      </c>
      <c r="C1607" s="20">
        <f>+VLOOKUP(PROVEEDORES[[#This Row],[PROVEEDOR]],TERCEROS_INFO[#All],2,FALSE)</f>
        <v>10</v>
      </c>
      <c r="D1607" s="25">
        <f>+SUMIFS(PROVEEDORES[Total],PROVEEDORES[PROVEEDOR],PROVEEDORES[[#This Row],[PROVEEDOR]],PROVEEDORES[FECHA DE PAGO],"")</f>
        <v>0</v>
      </c>
      <c r="E1607" s="25"/>
      <c r="F1607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1607" s="161">
        <v>44623</v>
      </c>
      <c r="H1607" s="26" t="s">
        <v>904</v>
      </c>
      <c r="I1607" s="161">
        <v>44623</v>
      </c>
      <c r="J1607" s="35" t="s">
        <v>613</v>
      </c>
      <c r="K1607" s="21">
        <v>2400000</v>
      </c>
      <c r="L1607" s="21"/>
      <c r="M1607" s="22">
        <f>(PROVEEDORES[[#This Row],[SUBTOTAL]]-PROVEEDORES[[#This Row],[descuento sobre subtotal]])*VLOOKUP(PROVEEDORES[[#This Row],[PROVEEDOR]],TERCEROS_INFO[#All],3,FALSE)</f>
        <v>0</v>
      </c>
      <c r="N1607" s="23"/>
      <c r="O1607" s="22">
        <f>+PROVEEDORES[[#This Row],[Descuento sobre subtotal %]]*(PROVEEDORES[[#This Row],[SUBTOTAL]]-PROVEEDORES[[#This Row],[descuento sobre subtotal]])</f>
        <v>0</v>
      </c>
      <c r="P1607" s="83">
        <f>+IF(PROVEEDORES[[#This Row],[SUBTOTAL]]&lt;PROVEEDORES[[#This Row],[base retencion]],0,PROVEEDORES[[#This Row],[retención aplicada]])</f>
        <v>0</v>
      </c>
      <c r="Q1607" s="22">
        <f>+PROVEEDORES[[#This Row],[Rete Fuente %]]*(PROVEEDORES[[#This Row],[SUBTOTAL]]-PROVEEDORES[[#This Row],[descuento sobre subtotal]])</f>
        <v>0</v>
      </c>
      <c r="R1607" s="21">
        <v>2400000</v>
      </c>
      <c r="S16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7" s="68">
        <f ca="1">IF(PROVEEDORES[[#This Row],[FECHA DE PAGO]]=0,TODAY()-PROVEEDORES[[#This Row],[FECHA DE FACTURACIÓN]]-PROVEEDORES[[#This Row],[PLAZO Días]],0)</f>
        <v>0</v>
      </c>
      <c r="U1607" s="96">
        <f>+VLOOKUP(PROVEEDORES[[#This Row],[PROVEEDOR]],Terceros!$A:$D,4,FALSE)</f>
        <v>0</v>
      </c>
      <c r="V1607" s="97">
        <f>+YEAR(PROVEEDORES[[#This Row],[FECHA DE FACTURACIÓN]])</f>
        <v>2022</v>
      </c>
      <c r="W1607" s="97">
        <f>+MATCH(PROVEEDORES[[#This Row],[año facturado]],Retenciones!$1:$1,0)</f>
        <v>5</v>
      </c>
      <c r="X1607" s="98">
        <f>+VLOOKUP(PROVEEDORES[[#This Row],[ID RETENCION]],Retenciones!$A$1:$O$25,PROVEEDORES[[#This Row],[indicador de columna]],FALSE)</f>
        <v>0</v>
      </c>
      <c r="Y1607" s="99">
        <f>+VLOOKUP(PROVEEDORES[[#This Row],[ID RETENCION]],Retenciones!$A$1:$O$25,2,FALSE)</f>
        <v>0</v>
      </c>
      <c r="Z1607" s="125" t="b">
        <f>OR(COUNTIF(PROVEEDORES[[#This Row],[PROVEEDOR]],"*"&amp;'Palabra no opera'!$A$2&amp;"*"))</f>
        <v>1</v>
      </c>
    </row>
    <row r="1608" spans="1:26" ht="22.2" customHeight="1" x14ac:dyDescent="0.3">
      <c r="A1608" s="72" t="str">
        <f>+IF(PROVEEDORES[[#This Row],[FECHA DE PAGO]]=PROVEEDORES[[#This Row],[FECHA DE FACTURACIÓN]],"DE CONTADO","CRÉDITO")</f>
        <v>CRÉDITO</v>
      </c>
      <c r="B1608" s="38" t="str">
        <f>+IF((PROVEEDORES[[#This Row],[FECHA DE PAGO]]-PROVEEDORES[[#This Row],[FECHA DE FACTURACIÓN]])&gt;PROVEEDORES[[#This Row],[PLAZO Días]],"PAGO VENCIDO")</f>
        <v>PAGO VENCIDO</v>
      </c>
      <c r="C1608" s="20">
        <f>+VLOOKUP(PROVEEDORES[[#This Row],[PROVEEDOR]],TERCEROS_INFO[#All],2,FALSE)</f>
        <v>30</v>
      </c>
      <c r="D1608" s="25">
        <f>+SUMIFS(PROVEEDORES[Total],PROVEEDORES[PROVEEDOR],PROVEEDORES[[#This Row],[PROVEEDOR]],PROVEEDORES[FECHA DE PAGO],"")</f>
        <v>0</v>
      </c>
      <c r="E1608" s="25"/>
      <c r="F160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608" s="161">
        <v>44855</v>
      </c>
      <c r="H1608" s="26" t="s">
        <v>407</v>
      </c>
      <c r="I1608" s="161">
        <v>44767</v>
      </c>
      <c r="J1608" s="35">
        <v>158</v>
      </c>
      <c r="K1608" s="21">
        <v>2062515</v>
      </c>
      <c r="L1608" s="21"/>
      <c r="M1608" s="22">
        <f>(PROVEEDORES[[#This Row],[SUBTOTAL]]-PROVEEDORES[[#This Row],[descuento sobre subtotal]])*VLOOKUP(PROVEEDORES[[#This Row],[PROVEEDOR]],TERCEROS_INFO[#All],3,FALSE)</f>
        <v>391877.85</v>
      </c>
      <c r="N1608" s="23"/>
      <c r="O1608" s="22">
        <f>+PROVEEDORES[[#This Row],[Descuento sobre subtotal %]]*(PROVEEDORES[[#This Row],[SUBTOTAL]]-PROVEEDORES[[#This Row],[descuento sobre subtotal]])</f>
        <v>0</v>
      </c>
      <c r="P1608" s="83">
        <f>+IF(PROVEEDORES[[#This Row],[SUBTOTAL]]&lt;PROVEEDORES[[#This Row],[base retencion]],0,PROVEEDORES[[#This Row],[retención aplicada]])</f>
        <v>2.5000000000000001E-2</v>
      </c>
      <c r="Q1608" s="22">
        <f>+PROVEEDORES[[#This Row],[Rete Fuente %]]*(PROVEEDORES[[#This Row],[SUBTOTAL]]-PROVEEDORES[[#This Row],[descuento sobre subtotal]])</f>
        <v>51562.875</v>
      </c>
      <c r="R1608" s="21">
        <f>+PROVEEDORES[[#This Row],[SUBTOTAL]]+PROVEEDORES[[#This Row],[IVA 19%]]-PROVEEDORES[[#This Row],[descuento sobre subtotal]]-PROVEEDORES[[#This Row],[Descuento sobre subtotal $2]]-PROVEEDORES[[#This Row],[Rete Fuente $]]</f>
        <v>2402829.9750000001</v>
      </c>
      <c r="S160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8" s="68">
        <f ca="1">IF(PROVEEDORES[[#This Row],[FECHA DE PAGO]]=0,TODAY()-PROVEEDORES[[#This Row],[FECHA DE FACTURACIÓN]]-PROVEEDORES[[#This Row],[PLAZO Días]],0)</f>
        <v>0</v>
      </c>
      <c r="U1608" s="113" t="str">
        <f>+VLOOKUP(PROVEEDORES[[#This Row],[PROVEEDOR]],Terceros!$A:$D,4,FALSE)</f>
        <v>2,5% con base</v>
      </c>
      <c r="V1608" s="114">
        <f>+YEAR(PROVEEDORES[[#This Row],[FECHA DE FACTURACIÓN]])</f>
        <v>2022</v>
      </c>
      <c r="W1608" s="114">
        <f>+MATCH(PROVEEDORES[[#This Row],[año facturado]],Retenciones!$1:$1,0)</f>
        <v>5</v>
      </c>
      <c r="X1608" s="115">
        <f>+VLOOKUP(PROVEEDORES[[#This Row],[ID RETENCION]],Retenciones!$A$1:$O$25,PROVEEDORES[[#This Row],[indicador de columna]],FALSE)</f>
        <v>1026000</v>
      </c>
      <c r="Y1608" s="116">
        <f>+VLOOKUP(PROVEEDORES[[#This Row],[ID RETENCION]],Retenciones!$A$1:$O$25,2,FALSE)</f>
        <v>2.5000000000000001E-2</v>
      </c>
      <c r="Z1608" s="125" t="b">
        <f>OR(COUNTIF(PROVEEDORES[[#This Row],[PROVEEDOR]],"*"&amp;'Palabra no opera'!$A$2&amp;"*"))</f>
        <v>0</v>
      </c>
    </row>
    <row r="1609" spans="1:26" ht="22.2" customHeight="1" x14ac:dyDescent="0.3">
      <c r="A1609" s="66" t="str">
        <f>+IF(PROVEEDORES[[#This Row],[FECHA DE PAGO]]=PROVEEDORES[[#This Row],[FECHA DE FACTURACIÓN]],"DE CONTADO","CRÉDITO")</f>
        <v>CRÉDITO</v>
      </c>
      <c r="B1609" s="38" t="str">
        <f>+IF((PROVEEDORES[[#This Row],[FECHA DE PAGO]]-PROVEEDORES[[#This Row],[FECHA DE FACTURACIÓN]])&gt;PROVEEDORES[[#This Row],[PLAZO Días]],"PAGO VENCIDO")</f>
        <v>PAGO VENCIDO</v>
      </c>
      <c r="C1609" s="20">
        <f>+VLOOKUP(PROVEEDORES[[#This Row],[PROVEEDOR]],TERCEROS_INFO[#All],2,FALSE)</f>
        <v>30</v>
      </c>
      <c r="D1609" s="25">
        <f>+SUMIFS(PROVEEDORES[Total],PROVEEDORES[PROVEEDOR],PROVEEDORES[[#This Row],[PROVEEDOR]],PROVEEDORES[FECHA DE PAGO],"")</f>
        <v>0</v>
      </c>
      <c r="E1609" s="25"/>
      <c r="F160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609" s="161">
        <v>44341</v>
      </c>
      <c r="H1609" s="26" t="s">
        <v>928</v>
      </c>
      <c r="I1609" s="161">
        <v>44287</v>
      </c>
      <c r="J1609" s="35" t="s">
        <v>292</v>
      </c>
      <c r="K1609" s="21">
        <v>2492240</v>
      </c>
      <c r="L1609" s="21"/>
      <c r="M1609" s="22">
        <f>(PROVEEDORES[[#This Row],[SUBTOTAL]]-PROVEEDORES[[#This Row],[descuento sobre subtotal]])*VLOOKUP(PROVEEDORES[[#This Row],[PROVEEDOR]],TERCEROS_INFO[#All],3,FALSE)</f>
        <v>0</v>
      </c>
      <c r="N1609" s="23"/>
      <c r="O1609" s="22">
        <f>+PROVEEDORES[[#This Row],[Descuento sobre subtotal %]]*(PROVEEDORES[[#This Row],[SUBTOTAL]]-PROVEEDORES[[#This Row],[descuento sobre subtotal]])</f>
        <v>0</v>
      </c>
      <c r="P1609" s="83">
        <f>+IF(PROVEEDORES[[#This Row],[SUBTOTAL]]&lt;PROVEEDORES[[#This Row],[base retencion]],0,PROVEEDORES[[#This Row],[retención aplicada]])</f>
        <v>3.5000000000000003E-2</v>
      </c>
      <c r="Q1609" s="22">
        <f>+PROVEEDORES[[#This Row],[Rete Fuente %]]*(PROVEEDORES[[#This Row],[SUBTOTAL]]-PROVEEDORES[[#This Row],[descuento sobre subtotal]])</f>
        <v>87228.400000000009</v>
      </c>
      <c r="R1609" s="21">
        <f>+PROVEEDORES[[#This Row],[SUBTOTAL]]+PROVEEDORES[[#This Row],[IVA 19%]]-PROVEEDORES[[#This Row],[descuento sobre subtotal]]-PROVEEDORES[[#This Row],[Descuento sobre subtotal $2]]-PROVEEDORES[[#This Row],[Rete Fuente $]]</f>
        <v>2405011.6</v>
      </c>
      <c r="S16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9" s="68">
        <f ca="1">IF(PROVEEDORES[[#This Row],[FECHA DE PAGO]]=0,TODAY()-PROVEEDORES[[#This Row],[FECHA DE FACTURACIÓN]]-PROVEEDORES[[#This Row],[PLAZO Días]],0)</f>
        <v>0</v>
      </c>
      <c r="U1609" s="96" t="str">
        <f>+VLOOKUP(PROVEEDORES[[#This Row],[PROVEEDOR]],Terceros!$A:$D,4,FALSE)</f>
        <v>3,5% sin base</v>
      </c>
      <c r="V1609" s="97">
        <f>+YEAR(PROVEEDORES[[#This Row],[FECHA DE FACTURACIÓN]])</f>
        <v>2021</v>
      </c>
      <c r="W1609" s="97">
        <f>+MATCH(PROVEEDORES[[#This Row],[año facturado]],Retenciones!$1:$1,0)</f>
        <v>4</v>
      </c>
      <c r="X1609" s="98">
        <f>+VLOOKUP(PROVEEDORES[[#This Row],[ID RETENCION]],Retenciones!$A$1:$O$25,PROVEEDORES[[#This Row],[indicador de columna]],FALSE)</f>
        <v>0</v>
      </c>
      <c r="Y1609" s="99">
        <f>+VLOOKUP(PROVEEDORES[[#This Row],[ID RETENCION]],Retenciones!$A$1:$O$25,2,FALSE)</f>
        <v>3.5000000000000003E-2</v>
      </c>
      <c r="Z1609" s="125" t="b">
        <f>OR(COUNTIF(PROVEEDORES[[#This Row],[PROVEEDOR]],"*"&amp;'Palabra no opera'!$A$2&amp;"*"))</f>
        <v>1</v>
      </c>
    </row>
    <row r="1610" spans="1:26" ht="22.2" customHeight="1" x14ac:dyDescent="0.3">
      <c r="A1610" s="66" t="str">
        <f>+IF(PROVEEDORES[[#This Row],[FECHA DE PAGO]]=PROVEEDORES[[#This Row],[FECHA DE FACTURACIÓN]],"DE CONTADO","CRÉDITO")</f>
        <v>CRÉDITO</v>
      </c>
      <c r="B1610" s="38" t="str">
        <f>+IF((PROVEEDORES[[#This Row],[FECHA DE PAGO]]-PROVEEDORES[[#This Row],[FECHA DE FACTURACIÓN]])&gt;PROVEEDORES[[#This Row],[PLAZO Días]],"PAGO VENCIDO")</f>
        <v>PAGO VENCIDO</v>
      </c>
      <c r="C1610" s="20">
        <f>+VLOOKUP(PROVEEDORES[[#This Row],[PROVEEDOR]],TERCEROS_INFO[#All],2,FALSE)</f>
        <v>30</v>
      </c>
      <c r="D1610" s="25">
        <f>+SUMIFS(PROVEEDORES[Total],PROVEEDORES[PROVEEDOR],PROVEEDORES[[#This Row],[PROVEEDOR]],PROVEEDORES[FECHA DE PAGO],"")</f>
        <v>2318500</v>
      </c>
      <c r="E1610" s="25"/>
      <c r="F1610" s="58" t="str">
        <f>+VLOOKUP(PROVEEDORES[[#This Row],[PROVEEDOR]],
                       Terceros!$A:$F,
                       5,
                       FALSE)</f>
        <v/>
      </c>
      <c r="G1610" s="161">
        <v>44509</v>
      </c>
      <c r="H1610" s="26" t="s">
        <v>629</v>
      </c>
      <c r="I1610" s="161">
        <v>44467</v>
      </c>
      <c r="J1610" s="35" t="s">
        <v>1312</v>
      </c>
      <c r="K1610" s="21">
        <v>2408000</v>
      </c>
      <c r="L1610" s="21"/>
      <c r="M1610" s="22">
        <f>(PROVEEDORES[[#This Row],[SUBTOTAL]]-PROVEEDORES[[#This Row],[descuento sobre subtotal]])*VLOOKUP(PROVEEDORES[[#This Row],[PROVEEDOR]],TERCEROS_INFO[#All],3,FALSE)</f>
        <v>0</v>
      </c>
      <c r="N1610" s="23"/>
      <c r="O1610" s="22">
        <f>+PROVEEDORES[[#This Row],[Descuento sobre subtotal %]]*(PROVEEDORES[[#This Row],[SUBTOTAL]]-PROVEEDORES[[#This Row],[descuento sobre subtotal]])</f>
        <v>0</v>
      </c>
      <c r="P1610" s="83">
        <f>+IF(PROVEEDORES[[#This Row],[SUBTOTAL]]&lt;PROVEEDORES[[#This Row],[base retencion]],0,PROVEEDORES[[#This Row],[retención aplicada]])</f>
        <v>0</v>
      </c>
      <c r="Q1610" s="22">
        <f>+PROVEEDORES[[#This Row],[Rete Fuente %]]*(PROVEEDORES[[#This Row],[SUBTOTAL]]-PROVEEDORES[[#This Row],[descuento sobre subtotal]])</f>
        <v>0</v>
      </c>
      <c r="R1610" s="21">
        <f>+PROVEEDORES[[#This Row],[SUBTOTAL]]+PROVEEDORES[[#This Row],[IVA 19%]]-PROVEEDORES[[#This Row],[descuento sobre subtotal]]-PROVEEDORES[[#This Row],[Descuento sobre subtotal $2]]-PROVEEDORES[[#This Row],[Rete Fuente $]]</f>
        <v>2408000</v>
      </c>
      <c r="S16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0" s="68">
        <f ca="1">IF(PROVEEDORES[[#This Row],[FECHA DE PAGO]]=0,TODAY()-PROVEEDORES[[#This Row],[FECHA DE FACTURACIÓN]]-PROVEEDORES[[#This Row],[PLAZO Días]],0)</f>
        <v>0</v>
      </c>
      <c r="U1610" s="96">
        <f>+VLOOKUP(PROVEEDORES[[#This Row],[PROVEEDOR]],Terceros!$A:$D,4,FALSE)</f>
        <v>0</v>
      </c>
      <c r="V1610" s="97">
        <f>+YEAR(PROVEEDORES[[#This Row],[FECHA DE FACTURACIÓN]])</f>
        <v>2021</v>
      </c>
      <c r="W1610" s="97">
        <f>+MATCH(PROVEEDORES[[#This Row],[año facturado]],Retenciones!$1:$1,0)</f>
        <v>4</v>
      </c>
      <c r="X1610" s="98">
        <f>+VLOOKUP(PROVEEDORES[[#This Row],[ID RETENCION]],Retenciones!$A$1:$O$25,PROVEEDORES[[#This Row],[indicador de columna]],FALSE)</f>
        <v>0</v>
      </c>
      <c r="Y1610" s="99">
        <f>+VLOOKUP(PROVEEDORES[[#This Row],[ID RETENCION]],Retenciones!$A$1:$O$25,2,FALSE)</f>
        <v>0</v>
      </c>
      <c r="Z1610" s="125" t="b">
        <f>OR(COUNTIF(PROVEEDORES[[#This Row],[PROVEEDOR]],"*"&amp;'Palabra no opera'!$A$2&amp;"*"))</f>
        <v>0</v>
      </c>
    </row>
    <row r="1611" spans="1:26" ht="22.2" customHeight="1" x14ac:dyDescent="0.3">
      <c r="A1611" s="72" t="str">
        <f>+IF(PROVEEDORES[[#This Row],[FECHA DE PAGO]]=PROVEEDORES[[#This Row],[FECHA DE FACTURACIÓN]],"DE CONTADO","CRÉDITO")</f>
        <v>CRÉDITO</v>
      </c>
      <c r="B1611" s="38" t="b">
        <f>+IF((PROVEEDORES[[#This Row],[FECHA DE PAGO]]-PROVEEDORES[[#This Row],[FECHA DE FACTURACIÓN]])&gt;PROVEEDORES[[#This Row],[PLAZO Días]],"PAGO VENCIDO")</f>
        <v>0</v>
      </c>
      <c r="C1611" s="20">
        <f>+VLOOKUP(PROVEEDORES[[#This Row],[PROVEEDOR]],TERCEROS_INFO[#All],2,FALSE)</f>
        <v>90</v>
      </c>
      <c r="D1611" s="25">
        <f>+SUMIFS(PROVEEDORES[Total],PROVEEDORES[PROVEEDOR],PROVEEDORES[[#This Row],[PROVEEDOR]],PROVEEDORES[FECHA DE PAGO],"")</f>
        <v>2410000</v>
      </c>
      <c r="E1611" s="25"/>
      <c r="F1611" s="58" t="str">
        <f>+VLOOKUP(PROVEEDORES[[#This Row],[PROVEEDOR]],
                       Terceros!$A:$F,
                       5,
                       FALSE)</f>
        <v/>
      </c>
      <c r="H1611" s="267" t="s">
        <v>1770</v>
      </c>
      <c r="I1611" s="161">
        <v>44838</v>
      </c>
      <c r="J1611" s="35">
        <v>6986</v>
      </c>
      <c r="K1611" s="21">
        <v>2410000</v>
      </c>
      <c r="L1611" s="21"/>
      <c r="M1611" s="22">
        <f>(PROVEEDORES[[#This Row],[SUBTOTAL]]-PROVEEDORES[[#This Row],[descuento sobre subtotal]])*VLOOKUP(PROVEEDORES[[#This Row],[PROVEEDOR]],TERCEROS_INFO[#All],3,FALSE)</f>
        <v>0</v>
      </c>
      <c r="N1611" s="23"/>
      <c r="O1611" s="22">
        <f>+PROVEEDORES[[#This Row],[Descuento sobre subtotal %]]*(PROVEEDORES[[#This Row],[SUBTOTAL]]-PROVEEDORES[[#This Row],[descuento sobre subtotal]])</f>
        <v>0</v>
      </c>
      <c r="P1611" s="83">
        <f>+IF(PROVEEDORES[[#This Row],[SUBTOTAL]]&lt;PROVEEDORES[[#This Row],[base retencion]],0,PROVEEDORES[[#This Row],[retención aplicada]])</f>
        <v>0</v>
      </c>
      <c r="Q1611" s="22">
        <f>+PROVEEDORES[[#This Row],[Rete Fuente %]]*(PROVEEDORES[[#This Row],[SUBTOTAL]]-PROVEEDORES[[#This Row],[descuento sobre subtotal]])</f>
        <v>0</v>
      </c>
      <c r="R1611" s="21">
        <f>+PROVEEDORES[[#This Row],[SUBTOTAL]]+PROVEEDORES[[#This Row],[IVA 19%]]-PROVEEDORES[[#This Row],[descuento sobre subtotal]]-PROVEEDORES[[#This Row],[Descuento sobre subtotal $2]]-PROVEEDORES[[#This Row],[Rete Fuente $]]</f>
        <v>2410000</v>
      </c>
      <c r="S1611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11" s="68">
        <f ca="1">IF(PROVEEDORES[[#This Row],[FECHA DE PAGO]]=0,TODAY()-PROVEEDORES[[#This Row],[FECHA DE FACTURACIÓN]]-PROVEEDORES[[#This Row],[PLAZO Días]],0)</f>
        <v>-53</v>
      </c>
      <c r="U1611" s="113">
        <f>+VLOOKUP(PROVEEDORES[[#This Row],[PROVEEDOR]],Terceros!$A:$D,4,FALSE)</f>
        <v>0</v>
      </c>
      <c r="V1611" s="114">
        <f>+YEAR(PROVEEDORES[[#This Row],[FECHA DE FACTURACIÓN]])</f>
        <v>2022</v>
      </c>
      <c r="W1611" s="114">
        <f>+MATCH(PROVEEDORES[[#This Row],[año facturado]],Retenciones!$1:$1,0)</f>
        <v>5</v>
      </c>
      <c r="X1611" s="115">
        <f>+VLOOKUP(PROVEEDORES[[#This Row],[ID RETENCION]],Retenciones!$A$1:$O$25,PROVEEDORES[[#This Row],[indicador de columna]],FALSE)</f>
        <v>0</v>
      </c>
      <c r="Y1611" s="116">
        <f>+VLOOKUP(PROVEEDORES[[#This Row],[ID RETENCION]],Retenciones!$A$1:$O$25,2,FALSE)</f>
        <v>0</v>
      </c>
      <c r="Z1611" s="125" t="b">
        <f>OR(COUNTIF(PROVEEDORES[[#This Row],[PROVEEDOR]],"*"&amp;'Palabra no opera'!$A$2&amp;"*"))</f>
        <v>0</v>
      </c>
    </row>
    <row r="1612" spans="1:26" ht="22.2" customHeight="1" x14ac:dyDescent="0.3">
      <c r="A1612" s="72" t="str">
        <f>+IF(PROVEEDORES[[#This Row],[FECHA DE PAGO]]=PROVEEDORES[[#This Row],[FECHA DE FACTURACIÓN]],"DE CONTADO","CRÉDITO")</f>
        <v>CRÉDITO</v>
      </c>
      <c r="B1612" s="38" t="b">
        <f>+IF((PROVEEDORES[[#This Row],[FECHA DE PAGO]]-PROVEEDORES[[#This Row],[FECHA DE FACTURACIÓN]])&gt;PROVEEDORES[[#This Row],[PLAZO Días]],"PAGO VENCIDO")</f>
        <v>0</v>
      </c>
      <c r="C1612" s="20">
        <f>+VLOOKUP(PROVEEDORES[[#This Row],[PROVEEDOR]],TERCEROS_INFO[#All],2,FALSE)</f>
        <v>45</v>
      </c>
      <c r="D1612" s="25">
        <f>+SUMIFS(PROVEEDORES[Total],PROVEEDORES[PROVEEDOR],PROVEEDORES[[#This Row],[PROVEEDOR]],PROVEEDORES[FECHA DE PAGO],"")</f>
        <v>2604910</v>
      </c>
      <c r="E1612" s="25"/>
      <c r="F161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12" s="161">
        <v>44845</v>
      </c>
      <c r="H1612" s="26" t="s">
        <v>10</v>
      </c>
      <c r="I1612" s="161">
        <v>44825</v>
      </c>
      <c r="J1612" s="35" t="s">
        <v>1740</v>
      </c>
      <c r="K1612" s="21">
        <v>2025800</v>
      </c>
      <c r="L1612" s="21"/>
      <c r="M1612" s="22">
        <f>(PROVEEDORES[[#This Row],[SUBTOTAL]]-PROVEEDORES[[#This Row],[descuento sobre subtotal]])*VLOOKUP(PROVEEDORES[[#This Row],[PROVEEDOR]],TERCEROS_INFO[#All],3,FALSE)</f>
        <v>384902</v>
      </c>
      <c r="N1612" s="23"/>
      <c r="O1612" s="22">
        <f>+PROVEEDORES[[#This Row],[Descuento sobre subtotal %]]*(PROVEEDORES[[#This Row],[SUBTOTAL]]-PROVEEDORES[[#This Row],[descuento sobre subtotal]])</f>
        <v>0</v>
      </c>
      <c r="P1612" s="83">
        <f>+IF(PROVEEDORES[[#This Row],[SUBTOTAL]]&lt;PROVEEDORES[[#This Row],[base retencion]],0,PROVEEDORES[[#This Row],[retención aplicada]])</f>
        <v>0</v>
      </c>
      <c r="Q1612" s="22">
        <f>+PROVEEDORES[[#This Row],[Rete Fuente %]]*(PROVEEDORES[[#This Row],[SUBTOTAL]]-PROVEEDORES[[#This Row],[descuento sobre subtotal]])</f>
        <v>0</v>
      </c>
      <c r="R1612" s="21">
        <f>+PROVEEDORES[[#This Row],[SUBTOTAL]]+PROVEEDORES[[#This Row],[IVA 19%]]-PROVEEDORES[[#This Row],[descuento sobre subtotal]]-PROVEEDORES[[#This Row],[Descuento sobre subtotal $2]]-PROVEEDORES[[#This Row],[Rete Fuente $]]</f>
        <v>2410702</v>
      </c>
      <c r="S161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2" s="68">
        <f ca="1">IF(PROVEEDORES[[#This Row],[FECHA DE PAGO]]=0,TODAY()-PROVEEDORES[[#This Row],[FECHA DE FACTURACIÓN]]-PROVEEDORES[[#This Row],[PLAZO Días]],0)</f>
        <v>0</v>
      </c>
      <c r="U1612" s="113">
        <f>+VLOOKUP(PROVEEDORES[[#This Row],[PROVEEDOR]],Terceros!$A:$D,4,FALSE)</f>
        <v>0</v>
      </c>
      <c r="V1612" s="114">
        <f>+YEAR(PROVEEDORES[[#This Row],[FECHA DE FACTURACIÓN]])</f>
        <v>2022</v>
      </c>
      <c r="W1612" s="114">
        <f>+MATCH(PROVEEDORES[[#This Row],[año facturado]],Retenciones!$1:$1,0)</f>
        <v>5</v>
      </c>
      <c r="X1612" s="115">
        <f>+VLOOKUP(PROVEEDORES[[#This Row],[ID RETENCION]],Retenciones!$A$1:$O$25,PROVEEDORES[[#This Row],[indicador de columna]],FALSE)</f>
        <v>0</v>
      </c>
      <c r="Y1612" s="116">
        <f>+VLOOKUP(PROVEEDORES[[#This Row],[ID RETENCION]],Retenciones!$A$1:$O$25,2,FALSE)</f>
        <v>0</v>
      </c>
      <c r="Z1612" s="125" t="b">
        <f>OR(COUNTIF(PROVEEDORES[[#This Row],[PROVEEDOR]],"*"&amp;'Palabra no opera'!$A$2&amp;"*"))</f>
        <v>0</v>
      </c>
    </row>
    <row r="1613" spans="1:26" ht="22.2" customHeight="1" x14ac:dyDescent="0.3">
      <c r="A1613" s="66" t="str">
        <f>+IF(PROVEEDORES[[#This Row],[FECHA DE PAGO]]=PROVEEDORES[[#This Row],[FECHA DE FACTURACIÓN]],"DE CONTADO","CRÉDITO")</f>
        <v>CRÉDITO</v>
      </c>
      <c r="B1613" s="38" t="str">
        <f>+IF((PROVEEDORES[[#This Row],[FECHA DE PAGO]]-PROVEEDORES[[#This Row],[FECHA DE FACTURACIÓN]])&gt;PROVEEDORES[[#This Row],[PLAZO Días]],"PAGO VENCIDO")</f>
        <v>PAGO VENCIDO</v>
      </c>
      <c r="C1613" s="20">
        <f>+VLOOKUP(PROVEEDORES[[#This Row],[PROVEEDOR]],TERCEROS_INFO[#All],2,FALSE)</f>
        <v>30</v>
      </c>
      <c r="D1613" s="25">
        <f>+SUMIFS(PROVEEDORES[Total],PROVEEDORES[PROVEEDOR],PROVEEDORES[[#This Row],[PROVEEDOR]],PROVEEDORES[FECHA DE PAGO],"")</f>
        <v>1354000</v>
      </c>
      <c r="E1613" s="25"/>
      <c r="F161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613" s="161">
        <v>44335</v>
      </c>
      <c r="H1613" s="26" t="s">
        <v>699</v>
      </c>
      <c r="I1613" s="161">
        <v>44186</v>
      </c>
      <c r="J1613" s="35" t="s">
        <v>1182</v>
      </c>
      <c r="K1613" s="21">
        <v>2415900</v>
      </c>
      <c r="L1613" s="21"/>
      <c r="M1613" s="22">
        <f>(PROVEEDORES[[#This Row],[SUBTOTAL]]-PROVEEDORES[[#This Row],[descuento sobre subtotal]])*VLOOKUP(PROVEEDORES[[#This Row],[PROVEEDOR]],TERCEROS_INFO[#All],3,FALSE)</f>
        <v>0</v>
      </c>
      <c r="N1613" s="23"/>
      <c r="O1613" s="22">
        <f>+PROVEEDORES[[#This Row],[Descuento sobre subtotal %]]*(PROVEEDORES[[#This Row],[SUBTOTAL]]-PROVEEDORES[[#This Row],[descuento sobre subtotal]])</f>
        <v>0</v>
      </c>
      <c r="P1613" s="83">
        <f>+IF(PROVEEDORES[[#This Row],[SUBTOTAL]]&lt;PROVEEDORES[[#This Row],[base retencion]],0,PROVEEDORES[[#This Row],[retención aplicada]])</f>
        <v>0</v>
      </c>
      <c r="Q1613" s="22">
        <f>+PROVEEDORES[[#This Row],[Rete Fuente %]]*(PROVEEDORES[[#This Row],[SUBTOTAL]]-PROVEEDORES[[#This Row],[descuento sobre subtotal]])</f>
        <v>0</v>
      </c>
      <c r="R1613" s="21">
        <f>+PROVEEDORES[[#This Row],[SUBTOTAL]]+PROVEEDORES[[#This Row],[IVA 19%]]-PROVEEDORES[[#This Row],[descuento sobre subtotal]]-PROVEEDORES[[#This Row],[Descuento sobre subtotal $2]]-PROVEEDORES[[#This Row],[Rete Fuente $]]</f>
        <v>2415900</v>
      </c>
      <c r="S16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3" s="68">
        <f ca="1">IF(PROVEEDORES[[#This Row],[FECHA DE PAGO]]=0,TODAY()-PROVEEDORES[[#This Row],[FECHA DE FACTURACIÓN]]-PROVEEDORES[[#This Row],[PLAZO Días]],0)</f>
        <v>0</v>
      </c>
      <c r="U1613" s="96">
        <f>+VLOOKUP(PROVEEDORES[[#This Row],[PROVEEDOR]],Terceros!$A:$D,4,FALSE)</f>
        <v>0</v>
      </c>
      <c r="V1613" s="97">
        <f>+YEAR(PROVEEDORES[[#This Row],[FECHA DE FACTURACIÓN]])</f>
        <v>2020</v>
      </c>
      <c r="W1613" s="97">
        <f>+MATCH(PROVEEDORES[[#This Row],[año facturado]],Retenciones!$1:$1,0)</f>
        <v>3</v>
      </c>
      <c r="X1613" s="98">
        <f>+VLOOKUP(PROVEEDORES[[#This Row],[ID RETENCION]],Retenciones!$A$1:$O$25,PROVEEDORES[[#This Row],[indicador de columna]],FALSE)</f>
        <v>0</v>
      </c>
      <c r="Y1613" s="99">
        <f>+VLOOKUP(PROVEEDORES[[#This Row],[ID RETENCION]],Retenciones!$A$1:$O$25,2,FALSE)</f>
        <v>0</v>
      </c>
      <c r="Z1613" s="125" t="b">
        <f>OR(COUNTIF(PROVEEDORES[[#This Row],[PROVEEDOR]],"*"&amp;'Palabra no opera'!$A$2&amp;"*"))</f>
        <v>0</v>
      </c>
    </row>
    <row r="1614" spans="1:26" ht="22.2" customHeight="1" x14ac:dyDescent="0.3">
      <c r="A1614" s="66" t="str">
        <f>+IF(PROVEEDORES[[#This Row],[FECHA DE PAGO]]=PROVEEDORES[[#This Row],[FECHA DE FACTURACIÓN]],"DE CONTADO","CRÉDITO")</f>
        <v>CRÉDITO</v>
      </c>
      <c r="B1614" s="38" t="str">
        <f>+IF((PROVEEDORES[[#This Row],[FECHA DE PAGO]]-PROVEEDORES[[#This Row],[FECHA DE FACTURACIÓN]])&gt;PROVEEDORES[[#This Row],[PLAZO Días]],"PAGO VENCIDO")</f>
        <v>PAGO VENCIDO</v>
      </c>
      <c r="C1614" s="20">
        <f>+VLOOKUP(PROVEEDORES[[#This Row],[PROVEEDOR]],TERCEROS_INFO[#All],2,FALSE)</f>
        <v>30</v>
      </c>
      <c r="D1614" s="25">
        <f>+SUMIFS(PROVEEDORES[Total],PROVEEDORES[PROVEEDOR],PROVEEDORES[[#This Row],[PROVEEDOR]],PROVEEDORES[FECHA DE PAGO],"")</f>
        <v>3236000</v>
      </c>
      <c r="E1614" s="25"/>
      <c r="F1614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614" s="161">
        <v>44621</v>
      </c>
      <c r="H1614" s="26" t="s">
        <v>677</v>
      </c>
      <c r="I1614" s="161">
        <v>44585</v>
      </c>
      <c r="J1614" s="35" t="s">
        <v>1562</v>
      </c>
      <c r="K1614" s="21">
        <v>2420000</v>
      </c>
      <c r="L1614" s="21"/>
      <c r="M1614" s="22">
        <v>0</v>
      </c>
      <c r="N1614" s="23"/>
      <c r="O1614" s="22">
        <v>0</v>
      </c>
      <c r="P1614" s="83">
        <f>+IF(PROVEEDORES[[#This Row],[SUBTOTAL]]&lt;PROVEEDORES[[#This Row],[base retencion]],0,PROVEEDORES[[#This Row],[retención aplicada]])</f>
        <v>0</v>
      </c>
      <c r="Q1614" s="22">
        <f>+PROVEEDORES[[#This Row],[Rete Fuente %]]*(PROVEEDORES[[#This Row],[SUBTOTAL]]-PROVEEDORES[[#This Row],[descuento sobre subtotal]])</f>
        <v>0</v>
      </c>
      <c r="R1614" s="21">
        <v>2420000</v>
      </c>
      <c r="S16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4" s="68">
        <f ca="1">IF(PROVEEDORES[[#This Row],[FECHA DE PAGO]]=0,TODAY()-PROVEEDORES[[#This Row],[FECHA DE FACTURACIÓN]]-PROVEEDORES[[#This Row],[PLAZO Días]],0)</f>
        <v>0</v>
      </c>
      <c r="U1614" s="96">
        <f>+VLOOKUP(PROVEEDORES[[#This Row],[PROVEEDOR]],Terceros!$A:$D,4,FALSE)</f>
        <v>0</v>
      </c>
      <c r="V1614" s="97">
        <f>+YEAR(PROVEEDORES[[#This Row],[FECHA DE FACTURACIÓN]])</f>
        <v>2022</v>
      </c>
      <c r="W1614" s="97">
        <f>+MATCH(PROVEEDORES[[#This Row],[año facturado]],Retenciones!$1:$1,0)</f>
        <v>5</v>
      </c>
      <c r="X1614" s="98">
        <f>+VLOOKUP(PROVEEDORES[[#This Row],[ID RETENCION]],Retenciones!$A$1:$O$25,PROVEEDORES[[#This Row],[indicador de columna]],FALSE)</f>
        <v>0</v>
      </c>
      <c r="Y1614" s="99">
        <f>+VLOOKUP(PROVEEDORES[[#This Row],[ID RETENCION]],Retenciones!$A$1:$O$25,2,FALSE)</f>
        <v>0</v>
      </c>
      <c r="Z1614" s="125" t="b">
        <f>OR(COUNTIF(PROVEEDORES[[#This Row],[PROVEEDOR]],"*"&amp;'Palabra no opera'!$A$2&amp;"*"))</f>
        <v>0</v>
      </c>
    </row>
    <row r="1615" spans="1:26" ht="22.2" customHeight="1" x14ac:dyDescent="0.3">
      <c r="A1615" s="66" t="str">
        <f>+IF(PROVEEDORES[[#This Row],[FECHA DE PAGO]]=PROVEEDORES[[#This Row],[FECHA DE FACTURACIÓN]],"DE CONTADO","CRÉDITO")</f>
        <v>CRÉDITO</v>
      </c>
      <c r="B1615" s="38" t="b">
        <f>+IF((PROVEEDORES[[#This Row],[FECHA DE PAGO]]-PROVEEDORES[[#This Row],[FECHA DE FACTURACIÓN]])&gt;PROVEEDORES[[#This Row],[PLAZO Días]],"PAGO VENCIDO")</f>
        <v>0</v>
      </c>
      <c r="C1615" s="20">
        <f>+VLOOKUP(PROVEEDORES[[#This Row],[PROVEEDOR]],TERCEROS_INFO[#All],2,FALSE)</f>
        <v>30</v>
      </c>
      <c r="D1615" s="25">
        <f>+SUMIFS(PROVEEDORES[Total],PROVEEDORES[PROVEEDOR],PROVEEDORES[[#This Row],[PROVEEDOR]],PROVEEDORES[FECHA DE PAGO],"")</f>
        <v>0</v>
      </c>
      <c r="E1615" s="25"/>
      <c r="F161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615" s="161">
        <v>44235</v>
      </c>
      <c r="H1615" s="26" t="s">
        <v>691</v>
      </c>
      <c r="I1615" s="161">
        <v>44215</v>
      </c>
      <c r="J1615" s="35">
        <v>2576</v>
      </c>
      <c r="K1615" s="21">
        <v>2422500</v>
      </c>
      <c r="L1615" s="21"/>
      <c r="M1615" s="22">
        <f>(PROVEEDORES[[#This Row],[SUBTOTAL]]-PROVEEDORES[[#This Row],[descuento sobre subtotal]])*VLOOKUP(PROVEEDORES[[#This Row],[PROVEEDOR]],TERCEROS_INFO[#All],3,FALSE)</f>
        <v>0</v>
      </c>
      <c r="N1615" s="23"/>
      <c r="O1615" s="22">
        <f>+PROVEEDORES[[#This Row],[Descuento sobre subtotal %]]*(PROVEEDORES[[#This Row],[SUBTOTAL]]-PROVEEDORES[[#This Row],[descuento sobre subtotal]])</f>
        <v>0</v>
      </c>
      <c r="P1615" s="83">
        <f>+IF(PROVEEDORES[[#This Row],[SUBTOTAL]]&lt;PROVEEDORES[[#This Row],[base retencion]],0,PROVEEDORES[[#This Row],[retención aplicada]])</f>
        <v>0</v>
      </c>
      <c r="Q1615" s="22">
        <f>+PROVEEDORES[[#This Row],[Rete Fuente %]]*(PROVEEDORES[[#This Row],[SUBTOTAL]]-PROVEEDORES[[#This Row],[descuento sobre subtotal]])</f>
        <v>0</v>
      </c>
      <c r="R1615" s="21">
        <f>+PROVEEDORES[[#This Row],[SUBTOTAL]]+PROVEEDORES[[#This Row],[IVA 19%]]-PROVEEDORES[[#This Row],[descuento sobre subtotal]]-PROVEEDORES[[#This Row],[Descuento sobre subtotal $2]]-PROVEEDORES[[#This Row],[Rete Fuente $]]</f>
        <v>2422500</v>
      </c>
      <c r="S16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5" s="68">
        <f ca="1">IF(PROVEEDORES[[#This Row],[FECHA DE PAGO]]=0,TODAY()-PROVEEDORES[[#This Row],[FECHA DE FACTURACIÓN]]-PROVEEDORES[[#This Row],[PLAZO Días]],0)</f>
        <v>0</v>
      </c>
      <c r="U1615" s="96">
        <f>+VLOOKUP(PROVEEDORES[[#This Row],[PROVEEDOR]],Terceros!$A:$D,4,FALSE)</f>
        <v>0</v>
      </c>
      <c r="V1615" s="97">
        <f>+YEAR(PROVEEDORES[[#This Row],[FECHA DE FACTURACIÓN]])</f>
        <v>2021</v>
      </c>
      <c r="W1615" s="97">
        <f>+MATCH(PROVEEDORES[[#This Row],[año facturado]],Retenciones!$1:$1,0)</f>
        <v>4</v>
      </c>
      <c r="X1615" s="98">
        <f>+VLOOKUP(PROVEEDORES[[#This Row],[ID RETENCION]],Retenciones!$A$1:$O$25,PROVEEDORES[[#This Row],[indicador de columna]],FALSE)</f>
        <v>0</v>
      </c>
      <c r="Y1615" s="99">
        <f>+VLOOKUP(PROVEEDORES[[#This Row],[ID RETENCION]],Retenciones!$A$1:$O$25,2,FALSE)</f>
        <v>0</v>
      </c>
      <c r="Z1615" s="125" t="b">
        <f>OR(COUNTIF(PROVEEDORES[[#This Row],[PROVEEDOR]],"*"&amp;'Palabra no opera'!$A$2&amp;"*"))</f>
        <v>0</v>
      </c>
    </row>
    <row r="1616" spans="1:26" ht="22.2" customHeight="1" x14ac:dyDescent="0.3">
      <c r="A1616" s="66" t="str">
        <f>+IF(PROVEEDORES[[#This Row],[FECHA DE PAGO]]=PROVEEDORES[[#This Row],[FECHA DE FACTURACIÓN]],"DE CONTADO","CRÉDITO")</f>
        <v>CRÉDITO</v>
      </c>
      <c r="B1616" s="38" t="b">
        <f>+IF((PROVEEDORES[[#This Row],[FECHA DE PAGO]]-PROVEEDORES[[#This Row],[FECHA DE FACTURACIÓN]])&gt;PROVEEDORES[[#This Row],[PLAZO Días]],"PAGO VENCIDO")</f>
        <v>0</v>
      </c>
      <c r="C1616" s="20">
        <f>+VLOOKUP(PROVEEDORES[[#This Row],[PROVEEDOR]],TERCEROS_INFO[#All],2,FALSE)</f>
        <v>45</v>
      </c>
      <c r="D1616" s="25">
        <f>+SUMIFS(PROVEEDORES[Total],PROVEEDORES[PROVEEDOR],PROVEEDORES[[#This Row],[PROVEEDOR]],PROVEEDORES[FECHA DE PAGO],"")</f>
        <v>0</v>
      </c>
      <c r="E1616" s="25"/>
      <c r="F161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616" s="161">
        <v>44503</v>
      </c>
      <c r="H1616" s="26" t="s">
        <v>530</v>
      </c>
      <c r="I1616" s="161">
        <v>44495</v>
      </c>
      <c r="J1616" s="35" t="s">
        <v>506</v>
      </c>
      <c r="K1616" s="21">
        <v>2424870</v>
      </c>
      <c r="L1616" s="21"/>
      <c r="M1616" s="22">
        <f>(PROVEEDORES[[#This Row],[SUBTOTAL]]-PROVEEDORES[[#This Row],[descuento sobre subtotal]])*VLOOKUP(PROVEEDORES[[#This Row],[PROVEEDOR]],TERCEROS_INFO[#All],3,FALSE)</f>
        <v>0</v>
      </c>
      <c r="N1616" s="23"/>
      <c r="O1616" s="22">
        <f>+PROVEEDORES[[#This Row],[Descuento sobre subtotal %]]*(PROVEEDORES[[#This Row],[SUBTOTAL]]-PROVEEDORES[[#This Row],[descuento sobre subtotal]])</f>
        <v>0</v>
      </c>
      <c r="P1616" s="83">
        <f>+IF(PROVEEDORES[[#This Row],[SUBTOTAL]]&lt;PROVEEDORES[[#This Row],[base retencion]],0,PROVEEDORES[[#This Row],[retención aplicada]])</f>
        <v>0</v>
      </c>
      <c r="Q1616" s="22">
        <f>+PROVEEDORES[[#This Row],[Rete Fuente %]]*(PROVEEDORES[[#This Row],[SUBTOTAL]]-PROVEEDORES[[#This Row],[descuento sobre subtotal]])</f>
        <v>0</v>
      </c>
      <c r="R1616" s="21">
        <f>+PROVEEDORES[[#This Row],[SUBTOTAL]]+PROVEEDORES[[#This Row],[IVA 19%]]-PROVEEDORES[[#This Row],[descuento sobre subtotal]]-PROVEEDORES[[#This Row],[Descuento sobre subtotal $2]]-PROVEEDORES[[#This Row],[Rete Fuente $]]</f>
        <v>2424870</v>
      </c>
      <c r="S16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6" s="68">
        <f ca="1">IF(PROVEEDORES[[#This Row],[FECHA DE PAGO]]=0,TODAY()-PROVEEDORES[[#This Row],[FECHA DE FACTURACIÓN]]-PROVEEDORES[[#This Row],[PLAZO Días]],0)</f>
        <v>0</v>
      </c>
      <c r="U1616" s="96">
        <f>+VLOOKUP(PROVEEDORES[[#This Row],[PROVEEDOR]],Terceros!$A:$D,4,FALSE)</f>
        <v>0</v>
      </c>
      <c r="V1616" s="97">
        <f>+YEAR(PROVEEDORES[[#This Row],[FECHA DE FACTURACIÓN]])</f>
        <v>2021</v>
      </c>
      <c r="W1616" s="97">
        <f>+MATCH(PROVEEDORES[[#This Row],[año facturado]],Retenciones!$1:$1,0)</f>
        <v>4</v>
      </c>
      <c r="X1616" s="98">
        <f>+VLOOKUP(PROVEEDORES[[#This Row],[ID RETENCION]],Retenciones!$A$1:$O$25,PROVEEDORES[[#This Row],[indicador de columna]],FALSE)</f>
        <v>0</v>
      </c>
      <c r="Y1616" s="99">
        <f>+VLOOKUP(PROVEEDORES[[#This Row],[ID RETENCION]],Retenciones!$A$1:$O$25,2,FALSE)</f>
        <v>0</v>
      </c>
      <c r="Z1616" s="125" t="b">
        <f>OR(COUNTIF(PROVEEDORES[[#This Row],[PROVEEDOR]],"*"&amp;'Palabra no opera'!$A$2&amp;"*"))</f>
        <v>0</v>
      </c>
    </row>
    <row r="1617" spans="1:26" ht="22.2" customHeight="1" x14ac:dyDescent="0.3">
      <c r="A1617" s="66" t="str">
        <f>+IF(PROVEEDORES[[#This Row],[FECHA DE PAGO]]=PROVEEDORES[[#This Row],[FECHA DE FACTURACIÓN]],"DE CONTADO","CRÉDITO")</f>
        <v>CRÉDITO</v>
      </c>
      <c r="B1617" s="38" t="str">
        <f>+IF((PROVEEDORES[[#This Row],[FECHA DE PAGO]]-PROVEEDORES[[#This Row],[FECHA DE FACTURACIÓN]])&gt;PROVEEDORES[[#This Row],[PLAZO Días]],"PAGO VENCIDO")</f>
        <v>PAGO VENCIDO</v>
      </c>
      <c r="C1617" s="20">
        <f>+VLOOKUP(PROVEEDORES[[#This Row],[PROVEEDOR]],TERCEROS_INFO[#All],2,FALSE)</f>
        <v>30</v>
      </c>
      <c r="D1617" s="25">
        <f>+SUMIFS(PROVEEDORES[Total],PROVEEDORES[PROVEEDOR],PROVEEDORES[[#This Row],[PROVEEDOR]],PROVEEDORES[FECHA DE PAGO],"")</f>
        <v>23124164.219999999</v>
      </c>
      <c r="E1617" s="25"/>
      <c r="F161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17" s="161">
        <v>44376</v>
      </c>
      <c r="H1617" s="26" t="s">
        <v>18</v>
      </c>
      <c r="I1617" s="161">
        <v>44337</v>
      </c>
      <c r="J1617" s="35">
        <v>1038069</v>
      </c>
      <c r="K1617" s="21">
        <v>2084580.6</v>
      </c>
      <c r="L1617" s="21"/>
      <c r="M1617" s="22">
        <f>(PROVEEDORES[[#This Row],[SUBTOTAL]]-PROVEEDORES[[#This Row],[descuento sobre subtotal]])*VLOOKUP(PROVEEDORES[[#This Row],[PROVEEDOR]],TERCEROS_INFO[#All],3,FALSE)</f>
        <v>396070.31400000001</v>
      </c>
      <c r="N1617" s="23"/>
      <c r="O1617" s="22">
        <f>+PROVEEDORES[[#This Row],[Descuento sobre subtotal %]]*(PROVEEDORES[[#This Row],[SUBTOTAL]]-PROVEEDORES[[#This Row],[descuento sobre subtotal]])</f>
        <v>0</v>
      </c>
      <c r="P1617" s="83">
        <f>+IF(PROVEEDORES[[#This Row],[SUBTOTAL]]&lt;PROVEEDORES[[#This Row],[base retencion]],0,PROVEEDORES[[#This Row],[retención aplicada]])</f>
        <v>2.5000000000000001E-2</v>
      </c>
      <c r="Q1617" s="22">
        <f>+PROVEEDORES[[#This Row],[Rete Fuente %]]*(PROVEEDORES[[#This Row],[SUBTOTAL]]-PROVEEDORES[[#This Row],[descuento sobre subtotal]])</f>
        <v>52114.515000000007</v>
      </c>
      <c r="R1617" s="21">
        <f>+PROVEEDORES[[#This Row],[SUBTOTAL]]+PROVEEDORES[[#This Row],[IVA 19%]]-PROVEEDORES[[#This Row],[descuento sobre subtotal]]-PROVEEDORES[[#This Row],[Descuento sobre subtotal $2]]-PROVEEDORES[[#This Row],[Rete Fuente $]]</f>
        <v>2428536.3989999997</v>
      </c>
      <c r="S16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7" s="68">
        <f ca="1">IF(PROVEEDORES[[#This Row],[FECHA DE PAGO]]=0,TODAY()-PROVEEDORES[[#This Row],[FECHA DE FACTURACIÓN]]-PROVEEDORES[[#This Row],[PLAZO Días]],0)</f>
        <v>0</v>
      </c>
      <c r="U1617" s="96" t="str">
        <f>+VLOOKUP(PROVEEDORES[[#This Row],[PROVEEDOR]],Terceros!$A:$D,4,FALSE)</f>
        <v>2,5% con base</v>
      </c>
      <c r="V1617" s="97">
        <f>+YEAR(PROVEEDORES[[#This Row],[FECHA DE FACTURACIÓN]])</f>
        <v>2021</v>
      </c>
      <c r="W1617" s="97">
        <f>+MATCH(PROVEEDORES[[#This Row],[año facturado]],Retenciones!$1:$1,0)</f>
        <v>4</v>
      </c>
      <c r="X1617" s="98">
        <f>+VLOOKUP(PROVEEDORES[[#This Row],[ID RETENCION]],Retenciones!$A$1:$O$25,PROVEEDORES[[#This Row],[indicador de columna]],FALSE)</f>
        <v>980000</v>
      </c>
      <c r="Y1617" s="99">
        <f>+VLOOKUP(PROVEEDORES[[#This Row],[ID RETENCION]],Retenciones!$A$1:$O$25,2,FALSE)</f>
        <v>2.5000000000000001E-2</v>
      </c>
      <c r="Z1617" s="125" t="b">
        <f>OR(COUNTIF(PROVEEDORES[[#This Row],[PROVEEDOR]],"*"&amp;'Palabra no opera'!$A$2&amp;"*"))</f>
        <v>0</v>
      </c>
    </row>
    <row r="1618" spans="1:26" ht="22.2" customHeight="1" x14ac:dyDescent="0.3">
      <c r="A1618" s="66" t="str">
        <f>+IF(PROVEEDORES[[#This Row],[FECHA DE PAGO]]=PROVEEDORES[[#This Row],[FECHA DE FACTURACIÓN]],"DE CONTADO","CRÉDITO")</f>
        <v>CRÉDITO</v>
      </c>
      <c r="B1618" s="38" t="str">
        <f>+IF((PROVEEDORES[[#This Row],[FECHA DE PAGO]]-PROVEEDORES[[#This Row],[FECHA DE FACTURACIÓN]])&gt;PROVEEDORES[[#This Row],[PLAZO Días]],"PAGO VENCIDO")</f>
        <v>PAGO VENCIDO</v>
      </c>
      <c r="C1618" s="20">
        <f>+VLOOKUP(PROVEEDORES[[#This Row],[PROVEEDOR]],TERCEROS_INFO[#All],2,FALSE)</f>
        <v>30</v>
      </c>
      <c r="D1618" s="25">
        <f>+SUMIFS(PROVEEDORES[Total],PROVEEDORES[PROVEEDOR],PROVEEDORES[[#This Row],[PROVEEDOR]],PROVEEDORES[FECHA DE PAGO],"")</f>
        <v>23124164.219999999</v>
      </c>
      <c r="E1618" s="25"/>
      <c r="F161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18" s="161">
        <v>44257</v>
      </c>
      <c r="H1618" s="26" t="s">
        <v>18</v>
      </c>
      <c r="I1618" s="161">
        <v>44208</v>
      </c>
      <c r="J1618" s="35">
        <v>1033186</v>
      </c>
      <c r="K1618" s="21">
        <v>2093726.1764705882</v>
      </c>
      <c r="L1618" s="21"/>
      <c r="M1618" s="22">
        <f>(PROVEEDORES[[#This Row],[SUBTOTAL]]-PROVEEDORES[[#This Row],[descuento sobre subtotal]])*VLOOKUP(PROVEEDORES[[#This Row],[PROVEEDOR]],TERCEROS_INFO[#All],3,FALSE)</f>
        <v>397807.97352941177</v>
      </c>
      <c r="N1618" s="23"/>
      <c r="O1618" s="22">
        <f>+PROVEEDORES[[#This Row],[Descuento sobre subtotal %]]*(PROVEEDORES[[#This Row],[SUBTOTAL]]-PROVEEDORES[[#This Row],[descuento sobre subtotal]])</f>
        <v>0</v>
      </c>
      <c r="P1618" s="83">
        <f>+IF(PROVEEDORES[[#This Row],[SUBTOTAL]]&lt;PROVEEDORES[[#This Row],[base retencion]],0,PROVEEDORES[[#This Row],[retención aplicada]])</f>
        <v>2.5000000000000001E-2</v>
      </c>
      <c r="Q1618" s="22">
        <f>+PROVEEDORES[[#This Row],[Rete Fuente %]]*(PROVEEDORES[[#This Row],[SUBTOTAL]]-PROVEEDORES[[#This Row],[descuento sobre subtotal]])</f>
        <v>52343.154411764706</v>
      </c>
      <c r="R1618" s="21">
        <f>+PROVEEDORES[[#This Row],[SUBTOTAL]]+PROVEEDORES[[#This Row],[IVA 19%]]-PROVEEDORES[[#This Row],[descuento sobre subtotal]]-PROVEEDORES[[#This Row],[Descuento sobre subtotal $2]]-PROVEEDORES[[#This Row],[Rete Fuente $]]</f>
        <v>2439190.9955882351</v>
      </c>
      <c r="S16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8" s="68">
        <f ca="1">IF(PROVEEDORES[[#This Row],[FECHA DE PAGO]]=0,TODAY()-PROVEEDORES[[#This Row],[FECHA DE FACTURACIÓN]]-PROVEEDORES[[#This Row],[PLAZO Días]],0)</f>
        <v>0</v>
      </c>
      <c r="U1618" s="96" t="str">
        <f>+VLOOKUP(PROVEEDORES[[#This Row],[PROVEEDOR]],Terceros!$A:$D,4,FALSE)</f>
        <v>2,5% con base</v>
      </c>
      <c r="V1618" s="97">
        <f>+YEAR(PROVEEDORES[[#This Row],[FECHA DE FACTURACIÓN]])</f>
        <v>2021</v>
      </c>
      <c r="W1618" s="97">
        <f>+MATCH(PROVEEDORES[[#This Row],[año facturado]],Retenciones!$1:$1,0)</f>
        <v>4</v>
      </c>
      <c r="X1618" s="98">
        <f>+VLOOKUP(PROVEEDORES[[#This Row],[ID RETENCION]],Retenciones!$A$1:$O$25,PROVEEDORES[[#This Row],[indicador de columna]],FALSE)</f>
        <v>980000</v>
      </c>
      <c r="Y1618" s="99">
        <f>+VLOOKUP(PROVEEDORES[[#This Row],[ID RETENCION]],Retenciones!$A$1:$O$25,2,FALSE)</f>
        <v>2.5000000000000001E-2</v>
      </c>
      <c r="Z1618" s="125" t="b">
        <f>OR(COUNTIF(PROVEEDORES[[#This Row],[PROVEEDOR]],"*"&amp;'Palabra no opera'!$A$2&amp;"*"))</f>
        <v>0</v>
      </c>
    </row>
    <row r="1619" spans="1:26" ht="22.2" customHeight="1" x14ac:dyDescent="0.3">
      <c r="A1619" s="66" t="str">
        <f>+IF(PROVEEDORES[[#This Row],[FECHA DE PAGO]]=PROVEEDORES[[#This Row],[FECHA DE FACTURACIÓN]],"DE CONTADO","CRÉDITO")</f>
        <v>CRÉDITO</v>
      </c>
      <c r="B1619" s="38" t="str">
        <f>+IF((PROVEEDORES[[#This Row],[FECHA DE PAGO]]-PROVEEDORES[[#This Row],[FECHA DE FACTURACIÓN]])&gt;PROVEEDORES[[#This Row],[PLAZO Días]],"PAGO VENCIDO")</f>
        <v>PAGO VENCIDO</v>
      </c>
      <c r="C1619" s="20">
        <f>+VLOOKUP(PROVEEDORES[[#This Row],[PROVEEDOR]],TERCEROS_INFO[#All],2,FALSE)</f>
        <v>30</v>
      </c>
      <c r="D1619" s="25">
        <f>+SUMIFS(PROVEEDORES[Total],PROVEEDORES[PROVEEDOR],PROVEEDORES[[#This Row],[PROVEEDOR]],PROVEEDORES[FECHA DE PAGO],"")</f>
        <v>5272763.2050000001</v>
      </c>
      <c r="E1619" s="25"/>
      <c r="F161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19" s="161">
        <v>44385</v>
      </c>
      <c r="H1619" s="26" t="s">
        <v>11</v>
      </c>
      <c r="I1619" s="161">
        <v>44348</v>
      </c>
      <c r="J1619" s="35" t="s">
        <v>338</v>
      </c>
      <c r="K1619" s="21">
        <v>2106050</v>
      </c>
      <c r="L1619" s="21"/>
      <c r="M1619" s="22">
        <f>(PROVEEDORES[[#This Row],[SUBTOTAL]]-PROVEEDORES[[#This Row],[descuento sobre subtotal]])*VLOOKUP(PROVEEDORES[[#This Row],[PROVEEDOR]],TERCEROS_INFO[#All],3,FALSE)</f>
        <v>400149.5</v>
      </c>
      <c r="N1619" s="23"/>
      <c r="O1619" s="22">
        <f>+PROVEEDORES[[#This Row],[Descuento sobre subtotal %]]*(PROVEEDORES[[#This Row],[SUBTOTAL]]-PROVEEDORES[[#This Row],[descuento sobre subtotal]])</f>
        <v>0</v>
      </c>
      <c r="P1619" s="83">
        <f>+IF(PROVEEDORES[[#This Row],[SUBTOTAL]]&lt;PROVEEDORES[[#This Row],[base retencion]],0,PROVEEDORES[[#This Row],[retención aplicada]])</f>
        <v>2.5000000000000001E-2</v>
      </c>
      <c r="Q1619" s="22">
        <f>+PROVEEDORES[[#This Row],[Rete Fuente %]]*(PROVEEDORES[[#This Row],[SUBTOTAL]]-PROVEEDORES[[#This Row],[descuento sobre subtotal]])</f>
        <v>52651.25</v>
      </c>
      <c r="R1619" s="21">
        <f>+PROVEEDORES[[#This Row],[SUBTOTAL]]+PROVEEDORES[[#This Row],[IVA 19%]]-PROVEEDORES[[#This Row],[descuento sobre subtotal]]-PROVEEDORES[[#This Row],[Descuento sobre subtotal $2]]-PROVEEDORES[[#This Row],[Rete Fuente $]]</f>
        <v>2453548.25</v>
      </c>
      <c r="S16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9" s="68">
        <f ca="1">IF(PROVEEDORES[[#This Row],[FECHA DE PAGO]]=0,TODAY()-PROVEEDORES[[#This Row],[FECHA DE FACTURACIÓN]]-PROVEEDORES[[#This Row],[PLAZO Días]],0)</f>
        <v>0</v>
      </c>
      <c r="U1619" s="96" t="str">
        <f>+VLOOKUP(PROVEEDORES[[#This Row],[PROVEEDOR]],Terceros!$A:$D,4,FALSE)</f>
        <v>2,5% con base</v>
      </c>
      <c r="V1619" s="97">
        <f>+YEAR(PROVEEDORES[[#This Row],[FECHA DE FACTURACIÓN]])</f>
        <v>2021</v>
      </c>
      <c r="W1619" s="97">
        <f>+MATCH(PROVEEDORES[[#This Row],[año facturado]],Retenciones!$1:$1,0)</f>
        <v>4</v>
      </c>
      <c r="X1619" s="98">
        <f>+VLOOKUP(PROVEEDORES[[#This Row],[ID RETENCION]],Retenciones!$A$1:$O$25,PROVEEDORES[[#This Row],[indicador de columna]],FALSE)</f>
        <v>980000</v>
      </c>
      <c r="Y1619" s="99">
        <f>+VLOOKUP(PROVEEDORES[[#This Row],[ID RETENCION]],Retenciones!$A$1:$O$25,2,FALSE)</f>
        <v>2.5000000000000001E-2</v>
      </c>
      <c r="Z1619" s="127" t="b">
        <f>OR(COUNTIF(PROVEEDORES[[#This Row],[PROVEEDOR]],"*"&amp;'Palabra no opera'!$A$2&amp;"*"))</f>
        <v>0</v>
      </c>
    </row>
    <row r="1620" spans="1:26" ht="22.2" customHeight="1" x14ac:dyDescent="0.3">
      <c r="A1620" s="72" t="str">
        <f>+IF(PROVEEDORES[[#This Row],[FECHA DE PAGO]]=PROVEEDORES[[#This Row],[FECHA DE FACTURACIÓN]],"DE CONTADO","CRÉDITO")</f>
        <v>CRÉDITO</v>
      </c>
      <c r="B1620" s="38" t="b">
        <f>+IF((PROVEEDORES[[#This Row],[FECHA DE PAGO]]-PROVEEDORES[[#This Row],[FECHA DE FACTURACIÓN]])&gt;PROVEEDORES[[#This Row],[PLAZO Días]],"PAGO VENCIDO")</f>
        <v>0</v>
      </c>
      <c r="C1620" s="20">
        <f>+VLOOKUP(PROVEEDORES[[#This Row],[PROVEEDOR]],TERCEROS_INFO[#All],2,FALSE)</f>
        <v>30</v>
      </c>
      <c r="D1620" s="25">
        <f>+SUMIFS(PROVEEDORES[Total],PROVEEDORES[PROVEEDOR],PROVEEDORES[[#This Row],[PROVEEDOR]],PROVEEDORES[FECHA DE PAGO],"")</f>
        <v>2456000</v>
      </c>
      <c r="E1620" s="25"/>
      <c r="F1620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H1620" s="267" t="s">
        <v>623</v>
      </c>
      <c r="I1620" s="161">
        <v>44839</v>
      </c>
      <c r="J1620" s="35">
        <v>3851</v>
      </c>
      <c r="K1620" s="21">
        <v>2456000</v>
      </c>
      <c r="L1620" s="21"/>
      <c r="M1620" s="22">
        <f>(PROVEEDORES[[#This Row],[SUBTOTAL]]-PROVEEDORES[[#This Row],[descuento sobre subtotal]])*VLOOKUP(PROVEEDORES[[#This Row],[PROVEEDOR]],TERCEROS_INFO[#All],3,FALSE)</f>
        <v>0</v>
      </c>
      <c r="N1620" s="23"/>
      <c r="O1620" s="22">
        <f>+PROVEEDORES[[#This Row],[Descuento sobre subtotal %]]*(PROVEEDORES[[#This Row],[SUBTOTAL]]-PROVEEDORES[[#This Row],[descuento sobre subtotal]])</f>
        <v>0</v>
      </c>
      <c r="P1620" s="83">
        <f>+IF(PROVEEDORES[[#This Row],[SUBTOTAL]]&lt;PROVEEDORES[[#This Row],[base retencion]],0,PROVEEDORES[[#This Row],[retención aplicada]])</f>
        <v>0</v>
      </c>
      <c r="Q1620" s="22">
        <f>+PROVEEDORES[[#This Row],[Rete Fuente %]]*(PROVEEDORES[[#This Row],[SUBTOTAL]]-PROVEEDORES[[#This Row],[descuento sobre subtotal]])</f>
        <v>0</v>
      </c>
      <c r="R1620" s="21">
        <f>+PROVEEDORES[[#This Row],[SUBTOTAL]]+PROVEEDORES[[#This Row],[IVA 19%]]-PROVEEDORES[[#This Row],[descuento sobre subtotal]]-PROVEEDORES[[#This Row],[Descuento sobre subtotal $2]]-PROVEEDORES[[#This Row],[Rete Fuente $]]</f>
        <v>2456000</v>
      </c>
      <c r="S1620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20" s="68">
        <f ca="1">IF(PROVEEDORES[[#This Row],[FECHA DE PAGO]]=0,TODAY()-PROVEEDORES[[#This Row],[FECHA DE FACTURACIÓN]]-PROVEEDORES[[#This Row],[PLAZO Días]],0)</f>
        <v>6</v>
      </c>
      <c r="U1620" s="113">
        <f>+VLOOKUP(PROVEEDORES[[#This Row],[PROVEEDOR]],Terceros!$A:$D,4,FALSE)</f>
        <v>0</v>
      </c>
      <c r="V1620" s="114">
        <f>+YEAR(PROVEEDORES[[#This Row],[FECHA DE FACTURACIÓN]])</f>
        <v>2022</v>
      </c>
      <c r="W1620" s="114">
        <f>+MATCH(PROVEEDORES[[#This Row],[año facturado]],Retenciones!$1:$1,0)</f>
        <v>5</v>
      </c>
      <c r="X1620" s="115">
        <f>+VLOOKUP(PROVEEDORES[[#This Row],[ID RETENCION]],Retenciones!$A$1:$O$25,PROVEEDORES[[#This Row],[indicador de columna]],FALSE)</f>
        <v>0</v>
      </c>
      <c r="Y1620" s="116">
        <f>+VLOOKUP(PROVEEDORES[[#This Row],[ID RETENCION]],Retenciones!$A$1:$O$25,2,FALSE)</f>
        <v>0</v>
      </c>
      <c r="Z1620" s="125" t="b">
        <f>OR(COUNTIF(PROVEEDORES[[#This Row],[PROVEEDOR]],"*"&amp;'Palabra no opera'!$A$2&amp;"*"))</f>
        <v>0</v>
      </c>
    </row>
    <row r="1621" spans="1:26" ht="22.2" customHeight="1" x14ac:dyDescent="0.3">
      <c r="A1621" s="66" t="str">
        <f>+IF(PROVEEDORES[[#This Row],[FECHA DE PAGO]]=PROVEEDORES[[#This Row],[FECHA DE FACTURACIÓN]],"DE CONTADO","CRÉDITO")</f>
        <v>CRÉDITO</v>
      </c>
      <c r="B1621" s="38" t="b">
        <f>+IF((PROVEEDORES[[#This Row],[FECHA DE PAGO]]-PROVEEDORES[[#This Row],[FECHA DE FACTURACIÓN]])&gt;PROVEEDORES[[#This Row],[PLAZO Días]],"PAGO VENCIDO")</f>
        <v>0</v>
      </c>
      <c r="C1621" s="20">
        <f>+VLOOKUP(PROVEEDORES[[#This Row],[PROVEEDOR]],TERCEROS_INFO[#All],2,FALSE)</f>
        <v>90</v>
      </c>
      <c r="D1621" s="25">
        <f>+SUMIFS(PROVEEDORES[Total],PROVEEDORES[PROVEEDOR],PROVEEDORES[[#This Row],[PROVEEDOR]],PROVEEDORES[FECHA DE PAGO],"")</f>
        <v>2410000</v>
      </c>
      <c r="E1621" s="25"/>
      <c r="F1621" s="58" t="str">
        <f>+VLOOKUP(PROVEEDORES[[#This Row],[PROVEEDOR]],
                       Terceros!$A:$F,
                       5,
                       FALSE)</f>
        <v/>
      </c>
      <c r="G1621" s="161">
        <v>44411</v>
      </c>
      <c r="H1621" s="26" t="s">
        <v>651</v>
      </c>
      <c r="I1621" s="161">
        <v>44348</v>
      </c>
      <c r="J1621" s="35" t="s">
        <v>1239</v>
      </c>
      <c r="K1621" s="21">
        <v>2462500</v>
      </c>
      <c r="L1621" s="21"/>
      <c r="M1621" s="22">
        <f>(PROVEEDORES[[#This Row],[SUBTOTAL]]-PROVEEDORES[[#This Row],[descuento sobre subtotal]])*VLOOKUP(PROVEEDORES[[#This Row],[PROVEEDOR]],TERCEROS_INFO[#All],3,FALSE)</f>
        <v>0</v>
      </c>
      <c r="N1621" s="23"/>
      <c r="O1621" s="22">
        <f>+PROVEEDORES[[#This Row],[Descuento sobre subtotal %]]*(PROVEEDORES[[#This Row],[SUBTOTAL]]-PROVEEDORES[[#This Row],[descuento sobre subtotal]])</f>
        <v>0</v>
      </c>
      <c r="P1621" s="83">
        <f>+IF(PROVEEDORES[[#This Row],[SUBTOTAL]]&lt;PROVEEDORES[[#This Row],[base retencion]],0,PROVEEDORES[[#This Row],[retención aplicada]])</f>
        <v>0</v>
      </c>
      <c r="Q1621" s="22">
        <f>+PROVEEDORES[[#This Row],[Rete Fuente %]]*(PROVEEDORES[[#This Row],[SUBTOTAL]]-PROVEEDORES[[#This Row],[descuento sobre subtotal]])</f>
        <v>0</v>
      </c>
      <c r="R1621" s="21">
        <f>+PROVEEDORES[[#This Row],[SUBTOTAL]]+PROVEEDORES[[#This Row],[IVA 19%]]-PROVEEDORES[[#This Row],[descuento sobre subtotal]]-PROVEEDORES[[#This Row],[Descuento sobre subtotal $2]]-PROVEEDORES[[#This Row],[Rete Fuente $]]</f>
        <v>2462500</v>
      </c>
      <c r="S16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1" s="68">
        <f ca="1">IF(PROVEEDORES[[#This Row],[FECHA DE PAGO]]=0,TODAY()-PROVEEDORES[[#This Row],[FECHA DE FACTURACIÓN]]-PROVEEDORES[[#This Row],[PLAZO Días]],0)</f>
        <v>0</v>
      </c>
      <c r="U1621" s="96">
        <f>+VLOOKUP(PROVEEDORES[[#This Row],[PROVEEDOR]],Terceros!$A:$D,4,FALSE)</f>
        <v>0</v>
      </c>
      <c r="V1621" s="97">
        <f>+YEAR(PROVEEDORES[[#This Row],[FECHA DE FACTURACIÓN]])</f>
        <v>2021</v>
      </c>
      <c r="W1621" s="97">
        <f>+MATCH(PROVEEDORES[[#This Row],[año facturado]],Retenciones!$1:$1,0)</f>
        <v>4</v>
      </c>
      <c r="X1621" s="98">
        <f>+VLOOKUP(PROVEEDORES[[#This Row],[ID RETENCION]],Retenciones!$A$1:$O$25,PROVEEDORES[[#This Row],[indicador de columna]],FALSE)</f>
        <v>0</v>
      </c>
      <c r="Y1621" s="99">
        <f>+VLOOKUP(PROVEEDORES[[#This Row],[ID RETENCION]],Retenciones!$A$1:$O$25,2,FALSE)</f>
        <v>0</v>
      </c>
      <c r="Z1621" s="125" t="b">
        <f>OR(COUNTIF(PROVEEDORES[[#This Row],[PROVEEDOR]],"*"&amp;'Palabra no opera'!$A$2&amp;"*"))</f>
        <v>0</v>
      </c>
    </row>
    <row r="1622" spans="1:26" ht="22.2" customHeight="1" x14ac:dyDescent="0.3">
      <c r="A1622" s="66" t="str">
        <f>+IF(PROVEEDORES[[#This Row],[FECHA DE PAGO]]=PROVEEDORES[[#This Row],[FECHA DE FACTURACIÓN]],"DE CONTADO","CRÉDITO")</f>
        <v>DE CONTADO</v>
      </c>
      <c r="B1622" s="38" t="b">
        <f>+IF((PROVEEDORES[[#This Row],[FECHA DE PAGO]]-PROVEEDORES[[#This Row],[FECHA DE FACTURACIÓN]])&gt;PROVEEDORES[[#This Row],[PLAZO Días]],"PAGO VENCIDO")</f>
        <v>0</v>
      </c>
      <c r="C1622" s="20">
        <f>+VLOOKUP(PROVEEDORES[[#This Row],[PROVEEDOR]],TERCEROS_INFO[#All],2,FALSE)</f>
        <v>45</v>
      </c>
      <c r="D1622" s="25">
        <f>+SUMIFS(PROVEEDORES[Total],PROVEEDORES[PROVEEDOR],PROVEEDORES[[#This Row],[PROVEEDOR]],PROVEEDORES[FECHA DE PAGO],"")</f>
        <v>0</v>
      </c>
      <c r="E1622" s="25"/>
      <c r="F1622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622" s="161">
        <v>44517</v>
      </c>
      <c r="H1622" s="26" t="s">
        <v>529</v>
      </c>
      <c r="I1622" s="161">
        <v>44517</v>
      </c>
      <c r="J1622" s="35" t="s">
        <v>531</v>
      </c>
      <c r="K1622" s="21">
        <v>2471127</v>
      </c>
      <c r="L1622" s="21"/>
      <c r="M1622" s="22">
        <f>(PROVEEDORES[[#This Row],[SUBTOTAL]]-PROVEEDORES[[#This Row],[descuento sobre subtotal]])*VLOOKUP(PROVEEDORES[[#This Row],[PROVEEDOR]],TERCEROS_INFO[#All],3,FALSE)</f>
        <v>0</v>
      </c>
      <c r="N1622" s="23"/>
      <c r="O1622" s="22">
        <f>+PROVEEDORES[[#This Row],[Descuento sobre subtotal %]]*(PROVEEDORES[[#This Row],[SUBTOTAL]]-PROVEEDORES[[#This Row],[descuento sobre subtotal]])</f>
        <v>0</v>
      </c>
      <c r="P1622" s="83">
        <f>+IF(PROVEEDORES[[#This Row],[SUBTOTAL]]&lt;PROVEEDORES[[#This Row],[base retencion]],0,PROVEEDORES[[#This Row],[retención aplicada]])</f>
        <v>0</v>
      </c>
      <c r="Q1622" s="22">
        <f>+PROVEEDORES[[#This Row],[Rete Fuente %]]*(PROVEEDORES[[#This Row],[SUBTOTAL]]-PROVEEDORES[[#This Row],[descuento sobre subtotal]])</f>
        <v>0</v>
      </c>
      <c r="R1622" s="21">
        <f>+PROVEEDORES[[#This Row],[SUBTOTAL]]+PROVEEDORES[[#This Row],[IVA 19%]]-PROVEEDORES[[#This Row],[descuento sobre subtotal]]-PROVEEDORES[[#This Row],[Descuento sobre subtotal $2]]-PROVEEDORES[[#This Row],[Rete Fuente $]]</f>
        <v>2471127</v>
      </c>
      <c r="S16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2" s="68">
        <f ca="1">IF(PROVEEDORES[[#This Row],[FECHA DE PAGO]]=0,TODAY()-PROVEEDORES[[#This Row],[FECHA DE FACTURACIÓN]]-PROVEEDORES[[#This Row],[PLAZO Días]],0)</f>
        <v>0</v>
      </c>
      <c r="U1622" s="96">
        <f>+VLOOKUP(PROVEEDORES[[#This Row],[PROVEEDOR]],Terceros!$A:$D,4,FALSE)</f>
        <v>0</v>
      </c>
      <c r="V1622" s="97">
        <f>+YEAR(PROVEEDORES[[#This Row],[FECHA DE FACTURACIÓN]])</f>
        <v>2021</v>
      </c>
      <c r="W1622" s="97">
        <f>+MATCH(PROVEEDORES[[#This Row],[año facturado]],Retenciones!$1:$1,0)</f>
        <v>4</v>
      </c>
      <c r="X1622" s="98">
        <f>+VLOOKUP(PROVEEDORES[[#This Row],[ID RETENCION]],Retenciones!$A$1:$O$25,PROVEEDORES[[#This Row],[indicador de columna]],FALSE)</f>
        <v>0</v>
      </c>
      <c r="Y1622" s="99">
        <f>+VLOOKUP(PROVEEDORES[[#This Row],[ID RETENCION]],Retenciones!$A$1:$O$25,2,FALSE)</f>
        <v>0</v>
      </c>
      <c r="Z1622" s="125" t="b">
        <f>OR(COUNTIF(PROVEEDORES[[#This Row],[PROVEEDOR]],"*"&amp;'Palabra no opera'!$A$2&amp;"*"))</f>
        <v>0</v>
      </c>
    </row>
    <row r="1623" spans="1:26" ht="22.2" customHeight="1" x14ac:dyDescent="0.3">
      <c r="A1623" s="66" t="str">
        <f>+IF(PROVEEDORES[[#This Row],[FECHA DE PAGO]]=PROVEEDORES[[#This Row],[FECHA DE FACTURACIÓN]],"DE CONTADO","CRÉDITO")</f>
        <v>CRÉDITO</v>
      </c>
      <c r="B1623" s="38" t="str">
        <f>+IF((PROVEEDORES[[#This Row],[FECHA DE PAGO]]-PROVEEDORES[[#This Row],[FECHA DE FACTURACIÓN]])&gt;PROVEEDORES[[#This Row],[PLAZO Días]],"PAGO VENCIDO")</f>
        <v>PAGO VENCIDO</v>
      </c>
      <c r="C1623" s="20">
        <f>+VLOOKUP(PROVEEDORES[[#This Row],[PROVEEDOR]],TERCEROS_INFO[#All],2,FALSE)</f>
        <v>30</v>
      </c>
      <c r="D1623" s="25">
        <f>+SUMIFS(PROVEEDORES[Total],PROVEEDORES[PROVEEDOR],PROVEEDORES[[#This Row],[PROVEEDOR]],PROVEEDORES[FECHA DE PAGO],"")</f>
        <v>3430770</v>
      </c>
      <c r="E1623" s="25"/>
      <c r="F162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623" s="161">
        <v>44427</v>
      </c>
      <c r="H1623" s="26" t="s">
        <v>1448</v>
      </c>
      <c r="I1623" s="161">
        <v>44394</v>
      </c>
      <c r="J1623" s="35">
        <v>19771</v>
      </c>
      <c r="K1623" s="21">
        <v>2139000</v>
      </c>
      <c r="L1623" s="21"/>
      <c r="M1623" s="22">
        <f>(PROVEEDORES[[#This Row],[SUBTOTAL]]-PROVEEDORES[[#This Row],[descuento sobre subtotal]])*VLOOKUP(PROVEEDORES[[#This Row],[PROVEEDOR]],TERCEROS_INFO[#All],3,FALSE)</f>
        <v>406410</v>
      </c>
      <c r="N1623" s="23"/>
      <c r="O1623" s="22">
        <f>+PROVEEDORES[[#This Row],[Descuento sobre subtotal %]]*(PROVEEDORES[[#This Row],[SUBTOTAL]]-PROVEEDORES[[#This Row],[descuento sobre subtotal]])</f>
        <v>0</v>
      </c>
      <c r="P1623" s="83">
        <v>2.5000000000000001E-2</v>
      </c>
      <c r="Q1623" s="22">
        <f>+PROVEEDORES[[#This Row],[Rete Fuente %]]*(PROVEEDORES[[#This Row],[SUBTOTAL]]-PROVEEDORES[[#This Row],[descuento sobre subtotal]])</f>
        <v>53475</v>
      </c>
      <c r="R1623" s="21">
        <f>+PROVEEDORES[[#This Row],[SUBTOTAL]]+PROVEEDORES[[#This Row],[IVA 19%]]-PROVEEDORES[[#This Row],[descuento sobre subtotal]]-PROVEEDORES[[#This Row],[Descuento sobre subtotal $2]]-PROVEEDORES[[#This Row],[Rete Fuente $]]</f>
        <v>2491935</v>
      </c>
      <c r="S16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3" s="68">
        <f ca="1">IF(PROVEEDORES[[#This Row],[FECHA DE PAGO]]=0,TODAY()-PROVEEDORES[[#This Row],[FECHA DE FACTURACIÓN]]-PROVEEDORES[[#This Row],[PLAZO Días]],0)</f>
        <v>0</v>
      </c>
      <c r="U1623" s="96">
        <f>+VLOOKUP(PROVEEDORES[[#This Row],[PROVEEDOR]],Terceros!$A:$D,4,FALSE)</f>
        <v>0</v>
      </c>
      <c r="V1623" s="97">
        <f>+YEAR(PROVEEDORES[[#This Row],[FECHA DE FACTURACIÓN]])</f>
        <v>2021</v>
      </c>
      <c r="W1623" s="97">
        <f>+MATCH(PROVEEDORES[[#This Row],[año facturado]],Retenciones!$1:$1,0)</f>
        <v>4</v>
      </c>
      <c r="X1623" s="98">
        <f>+VLOOKUP(PROVEEDORES[[#This Row],[ID RETENCION]],Retenciones!$A$1:$O$25,PROVEEDORES[[#This Row],[indicador de columna]],FALSE)</f>
        <v>0</v>
      </c>
      <c r="Y1623" s="99">
        <f>+VLOOKUP(PROVEEDORES[[#This Row],[ID RETENCION]],Retenciones!$A$1:$O$25,2,FALSE)</f>
        <v>0</v>
      </c>
      <c r="Z1623" s="125" t="b">
        <f>OR(COUNTIF(PROVEEDORES[[#This Row],[PROVEEDOR]],"*"&amp;'Palabra no opera'!$A$2&amp;"*"))</f>
        <v>0</v>
      </c>
    </row>
    <row r="1624" spans="1:26" ht="22.2" customHeight="1" x14ac:dyDescent="0.3">
      <c r="A1624" s="66" t="str">
        <f>+IF(PROVEEDORES[[#This Row],[FECHA DE PAGO]]=PROVEEDORES[[#This Row],[FECHA DE FACTURACIÓN]],"DE CONTADO","CRÉDITO")</f>
        <v>CRÉDITO</v>
      </c>
      <c r="B1624" s="38" t="b">
        <f>+IF((PROVEEDORES[[#This Row],[FECHA DE PAGO]]-PROVEEDORES[[#This Row],[FECHA DE FACTURACIÓN]])&gt;PROVEEDORES[[#This Row],[PLAZO Días]],"PAGO VENCIDO")</f>
        <v>0</v>
      </c>
      <c r="C1624" s="20">
        <f>+VLOOKUP(PROVEEDORES[[#This Row],[PROVEEDOR]],TERCEROS_INFO[#All],2,FALSE)</f>
        <v>30</v>
      </c>
      <c r="D1624" s="25">
        <f>+SUMIFS(PROVEEDORES[Total],PROVEEDORES[PROVEEDOR],PROVEEDORES[[#This Row],[PROVEEDOR]],PROVEEDORES[FECHA DE PAGO],"")</f>
        <v>0</v>
      </c>
      <c r="E1624" s="25"/>
      <c r="F1624" s="58" t="str">
        <f>+VLOOKUP(PROVEEDORES[[#This Row],[PROVEEDOR]],
                       Terceros!$A:$F,
                       5,
                       FALSE)</f>
        <v/>
      </c>
      <c r="G1624" s="161">
        <v>44580</v>
      </c>
      <c r="H1624" s="26" t="s">
        <v>689</v>
      </c>
      <c r="I1624" s="161">
        <v>44610</v>
      </c>
      <c r="J1624" s="35" t="s">
        <v>690</v>
      </c>
      <c r="K1624" s="21">
        <v>2516240</v>
      </c>
      <c r="L1624" s="21"/>
      <c r="M1624" s="22">
        <v>0</v>
      </c>
      <c r="N1624" s="23"/>
      <c r="O1624" s="22">
        <v>0</v>
      </c>
      <c r="P1624" s="83">
        <f>+IF(PROVEEDORES[[#This Row],[SUBTOTAL]]&lt;PROVEEDORES[[#This Row],[base retencion]],0,PROVEEDORES[[#This Row],[retención aplicada]])</f>
        <v>0</v>
      </c>
      <c r="Q1624" s="22">
        <f>+PROVEEDORES[[#This Row],[Rete Fuente %]]*(PROVEEDORES[[#This Row],[SUBTOTAL]]-PROVEEDORES[[#This Row],[descuento sobre subtotal]])</f>
        <v>0</v>
      </c>
      <c r="R1624" s="21">
        <v>2516240</v>
      </c>
      <c r="S16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4" s="68">
        <f ca="1">IF(PROVEEDORES[[#This Row],[FECHA DE PAGO]]=0,TODAY()-PROVEEDORES[[#This Row],[FECHA DE FACTURACIÓN]]-PROVEEDORES[[#This Row],[PLAZO Días]],0)</f>
        <v>0</v>
      </c>
      <c r="U1624" s="96">
        <f>+VLOOKUP(PROVEEDORES[[#This Row],[PROVEEDOR]],Terceros!$A:$D,4,FALSE)</f>
        <v>0</v>
      </c>
      <c r="V1624" s="97">
        <f>+YEAR(PROVEEDORES[[#This Row],[FECHA DE FACTURACIÓN]])</f>
        <v>2022</v>
      </c>
      <c r="W1624" s="97">
        <f>+MATCH(PROVEEDORES[[#This Row],[año facturado]],Retenciones!$1:$1,0)</f>
        <v>5</v>
      </c>
      <c r="X1624" s="98">
        <f>+VLOOKUP(PROVEEDORES[[#This Row],[ID RETENCION]],Retenciones!$A$1:$O$25,PROVEEDORES[[#This Row],[indicador de columna]],FALSE)</f>
        <v>0</v>
      </c>
      <c r="Y1624" s="99">
        <f>+VLOOKUP(PROVEEDORES[[#This Row],[ID RETENCION]],Retenciones!$A$1:$O$25,2,FALSE)</f>
        <v>0</v>
      </c>
      <c r="Z1624" s="125" t="b">
        <f>OR(COUNTIF(PROVEEDORES[[#This Row],[PROVEEDOR]],"*"&amp;'Palabra no opera'!$A$2&amp;"*"))</f>
        <v>0</v>
      </c>
    </row>
    <row r="1625" spans="1:26" ht="22.2" customHeight="1" x14ac:dyDescent="0.3">
      <c r="A1625" s="66" t="str">
        <f>+IF(PROVEEDORES[[#This Row],[FECHA DE PAGO]]=PROVEEDORES[[#This Row],[FECHA DE FACTURACIÓN]],"DE CONTADO","CRÉDITO")</f>
        <v>CRÉDITO</v>
      </c>
      <c r="B1625" s="38" t="str">
        <f>+IF((PROVEEDORES[[#This Row],[FECHA DE PAGO]]-PROVEEDORES[[#This Row],[FECHA DE FACTURACIÓN]])&gt;PROVEEDORES[[#This Row],[PLAZO Días]],"PAGO VENCIDO")</f>
        <v>PAGO VENCIDO</v>
      </c>
      <c r="C1625" s="20">
        <f>+VLOOKUP(PROVEEDORES[[#This Row],[PROVEEDOR]],TERCEROS_INFO[#All],2,FALSE)</f>
        <v>30</v>
      </c>
      <c r="D1625" s="25">
        <f>+SUMIFS(PROVEEDORES[Total],PROVEEDORES[PROVEEDOR],PROVEEDORES[[#This Row],[PROVEEDOR]],PROVEEDORES[FECHA DE PAGO],"")</f>
        <v>23124164.219999999</v>
      </c>
      <c r="E1625" s="25"/>
      <c r="F162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5" s="161">
        <v>44389</v>
      </c>
      <c r="H1625" s="26" t="s">
        <v>18</v>
      </c>
      <c r="I1625" s="161">
        <v>44350</v>
      </c>
      <c r="J1625" s="35">
        <v>1038584</v>
      </c>
      <c r="K1625" s="21">
        <v>2162828.4</v>
      </c>
      <c r="L1625" s="21"/>
      <c r="M1625" s="22">
        <f>(PROVEEDORES[[#This Row],[SUBTOTAL]]-PROVEEDORES[[#This Row],[descuento sobre subtotal]])*VLOOKUP(PROVEEDORES[[#This Row],[PROVEEDOR]],TERCEROS_INFO[#All],3,FALSE)</f>
        <v>410937.39600000001</v>
      </c>
      <c r="N1625" s="23"/>
      <c r="O1625" s="22">
        <f>+PROVEEDORES[[#This Row],[Descuento sobre subtotal %]]*(PROVEEDORES[[#This Row],[SUBTOTAL]]-PROVEEDORES[[#This Row],[descuento sobre subtotal]])</f>
        <v>0</v>
      </c>
      <c r="P1625" s="83">
        <f>+IF(PROVEEDORES[[#This Row],[SUBTOTAL]]&lt;PROVEEDORES[[#This Row],[base retencion]],0,PROVEEDORES[[#This Row],[retención aplicada]])</f>
        <v>2.5000000000000001E-2</v>
      </c>
      <c r="Q1625" s="22">
        <f>+PROVEEDORES[[#This Row],[Rete Fuente %]]*(PROVEEDORES[[#This Row],[SUBTOTAL]]-PROVEEDORES[[#This Row],[descuento sobre subtotal]])</f>
        <v>54070.71</v>
      </c>
      <c r="R1625" s="21">
        <f>+PROVEEDORES[[#This Row],[SUBTOTAL]]+PROVEEDORES[[#This Row],[IVA 19%]]-PROVEEDORES[[#This Row],[descuento sobre subtotal]]-PROVEEDORES[[#This Row],[Descuento sobre subtotal $2]]-PROVEEDORES[[#This Row],[Rete Fuente $]]</f>
        <v>2519695.0860000001</v>
      </c>
      <c r="S16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5" s="68">
        <f ca="1">IF(PROVEEDORES[[#This Row],[FECHA DE PAGO]]=0,TODAY()-PROVEEDORES[[#This Row],[FECHA DE FACTURACIÓN]]-PROVEEDORES[[#This Row],[PLAZO Días]],0)</f>
        <v>0</v>
      </c>
      <c r="U1625" s="96" t="str">
        <f>+VLOOKUP(PROVEEDORES[[#This Row],[PROVEEDOR]],Terceros!$A:$D,4,FALSE)</f>
        <v>2,5% con base</v>
      </c>
      <c r="V1625" s="97">
        <f>+YEAR(PROVEEDORES[[#This Row],[FECHA DE FACTURACIÓN]])</f>
        <v>2021</v>
      </c>
      <c r="W1625" s="97">
        <f>+MATCH(PROVEEDORES[[#This Row],[año facturado]],Retenciones!$1:$1,0)</f>
        <v>4</v>
      </c>
      <c r="X1625" s="98">
        <f>+VLOOKUP(PROVEEDORES[[#This Row],[ID RETENCION]],Retenciones!$A$1:$O$25,PROVEEDORES[[#This Row],[indicador de columna]],FALSE)</f>
        <v>980000</v>
      </c>
      <c r="Y1625" s="99">
        <f>+VLOOKUP(PROVEEDORES[[#This Row],[ID RETENCION]],Retenciones!$A$1:$O$25,2,FALSE)</f>
        <v>2.5000000000000001E-2</v>
      </c>
      <c r="Z1625" s="125" t="b">
        <f>OR(COUNTIF(PROVEEDORES[[#This Row],[PROVEEDOR]],"*"&amp;'Palabra no opera'!$A$2&amp;"*"))</f>
        <v>0</v>
      </c>
    </row>
    <row r="1626" spans="1:26" ht="22.2" customHeight="1" x14ac:dyDescent="0.3">
      <c r="A1626" s="66" t="str">
        <f>+IF(PROVEEDORES[[#This Row],[FECHA DE PAGO]]=PROVEEDORES[[#This Row],[FECHA DE FACTURACIÓN]],"DE CONTADO","CRÉDITO")</f>
        <v>CRÉDITO</v>
      </c>
      <c r="B1626" s="38" t="str">
        <f>+IF((PROVEEDORES[[#This Row],[FECHA DE PAGO]]-PROVEEDORES[[#This Row],[FECHA DE FACTURACIÓN]])&gt;PROVEEDORES[[#This Row],[PLAZO Días]],"PAGO VENCIDO")</f>
        <v>PAGO VENCIDO</v>
      </c>
      <c r="C1626" s="20">
        <f>+VLOOKUP(PROVEEDORES[[#This Row],[PROVEEDOR]],TERCEROS_INFO[#All],2,FALSE)</f>
        <v>30</v>
      </c>
      <c r="D1626" s="25">
        <f>+SUMIFS(PROVEEDORES[Total],PROVEEDORES[PROVEEDOR],PROVEEDORES[[#This Row],[PROVEEDOR]],PROVEEDORES[FECHA DE PAGO],"")</f>
        <v>23124164.219999999</v>
      </c>
      <c r="E1626" s="25"/>
      <c r="F162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6" s="161">
        <v>44552</v>
      </c>
      <c r="H1626" s="26" t="s">
        <v>18</v>
      </c>
      <c r="I1626" s="161">
        <v>44519</v>
      </c>
      <c r="J1626" s="35">
        <v>1046143</v>
      </c>
      <c r="K1626" s="21">
        <v>2166866.4</v>
      </c>
      <c r="L1626" s="21"/>
      <c r="M1626" s="22">
        <f>(PROVEEDORES[[#This Row],[SUBTOTAL]]-PROVEEDORES[[#This Row],[descuento sobre subtotal]])*VLOOKUP(PROVEEDORES[[#This Row],[PROVEEDOR]],TERCEROS_INFO[#All],3,FALSE)</f>
        <v>411704.61599999998</v>
      </c>
      <c r="N1626" s="23"/>
      <c r="O1626" s="22">
        <f>+PROVEEDORES[[#This Row],[Descuento sobre subtotal %]]*(PROVEEDORES[[#This Row],[SUBTOTAL]]-PROVEEDORES[[#This Row],[descuento sobre subtotal]])</f>
        <v>0</v>
      </c>
      <c r="P1626" s="83">
        <f>+IF(PROVEEDORES[[#This Row],[SUBTOTAL]]&lt;PROVEEDORES[[#This Row],[base retencion]],0,PROVEEDORES[[#This Row],[retención aplicada]])</f>
        <v>2.5000000000000001E-2</v>
      </c>
      <c r="Q1626" s="22">
        <f>+PROVEEDORES[[#This Row],[Rete Fuente %]]*(PROVEEDORES[[#This Row],[SUBTOTAL]]-PROVEEDORES[[#This Row],[descuento sobre subtotal]])</f>
        <v>54171.66</v>
      </c>
      <c r="R1626" s="21">
        <f>+PROVEEDORES[[#This Row],[SUBTOTAL]]+PROVEEDORES[[#This Row],[IVA 19%]]-PROVEEDORES[[#This Row],[descuento sobre subtotal]]-PROVEEDORES[[#This Row],[Descuento sobre subtotal $2]]-PROVEEDORES[[#This Row],[Rete Fuente $]]</f>
        <v>2524399.3559999997</v>
      </c>
      <c r="S16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6" s="68">
        <f ca="1">IF(PROVEEDORES[[#This Row],[FECHA DE PAGO]]=0,TODAY()-PROVEEDORES[[#This Row],[FECHA DE FACTURACIÓN]]-PROVEEDORES[[#This Row],[PLAZO Días]],0)</f>
        <v>0</v>
      </c>
      <c r="U1626" s="96" t="str">
        <f>+VLOOKUP(PROVEEDORES[[#This Row],[PROVEEDOR]],Terceros!$A:$D,4,FALSE)</f>
        <v>2,5% con base</v>
      </c>
      <c r="V1626" s="97">
        <f>+YEAR(PROVEEDORES[[#This Row],[FECHA DE FACTURACIÓN]])</f>
        <v>2021</v>
      </c>
      <c r="W1626" s="97">
        <f>+MATCH(PROVEEDORES[[#This Row],[año facturado]],Retenciones!$1:$1,0)</f>
        <v>4</v>
      </c>
      <c r="X1626" s="98">
        <f>+VLOOKUP(PROVEEDORES[[#This Row],[ID RETENCION]],Retenciones!$A$1:$O$25,PROVEEDORES[[#This Row],[indicador de columna]],FALSE)</f>
        <v>980000</v>
      </c>
      <c r="Y1626" s="99">
        <f>+VLOOKUP(PROVEEDORES[[#This Row],[ID RETENCION]],Retenciones!$A$1:$O$25,2,FALSE)</f>
        <v>2.5000000000000001E-2</v>
      </c>
      <c r="Z1626" s="125" t="b">
        <f>OR(COUNTIF(PROVEEDORES[[#This Row],[PROVEEDOR]],"*"&amp;'Palabra no opera'!$A$2&amp;"*"))</f>
        <v>0</v>
      </c>
    </row>
    <row r="1627" spans="1:26" ht="22.2" customHeight="1" x14ac:dyDescent="0.3">
      <c r="A1627" s="66" t="str">
        <f>+IF(PROVEEDORES[[#This Row],[FECHA DE PAGO]]=PROVEEDORES[[#This Row],[FECHA DE FACTURACIÓN]],"DE CONTADO","CRÉDITO")</f>
        <v>CRÉDITO</v>
      </c>
      <c r="B1627" s="38" t="str">
        <f>+IF((PROVEEDORES[[#This Row],[FECHA DE PAGO]]-PROVEEDORES[[#This Row],[FECHA DE FACTURACIÓN]])&gt;PROVEEDORES[[#This Row],[PLAZO Días]],"PAGO VENCIDO")</f>
        <v>PAGO VENCIDO</v>
      </c>
      <c r="C1627" s="20">
        <f>+VLOOKUP(PROVEEDORES[[#This Row],[PROVEEDOR]],TERCEROS_INFO[#All],2,FALSE)</f>
        <v>30</v>
      </c>
      <c r="D1627" s="25">
        <f>+SUMIFS(PROVEEDORES[Total],PROVEEDORES[PROVEEDOR],PROVEEDORES[[#This Row],[PROVEEDOR]],PROVEEDORES[FECHA DE PAGO],"")</f>
        <v>0</v>
      </c>
      <c r="E1627" s="25"/>
      <c r="F1627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27" s="161">
        <v>44662</v>
      </c>
      <c r="H1627" s="26" t="s">
        <v>510</v>
      </c>
      <c r="I1627" s="161">
        <v>44595</v>
      </c>
      <c r="J1627" s="35" t="s">
        <v>772</v>
      </c>
      <c r="K1627" s="21">
        <v>2130920</v>
      </c>
      <c r="L1627" s="21"/>
      <c r="M1627" s="22">
        <v>404874.8</v>
      </c>
      <c r="N1627" s="23"/>
      <c r="O1627" s="22">
        <v>0</v>
      </c>
      <c r="P1627" s="83">
        <f>+IF(PROVEEDORES[[#This Row],[SUBTOTAL]]&lt;PROVEEDORES[[#This Row],[base retencion]],0,PROVEEDORES[[#This Row],[retención aplicada]])</f>
        <v>0</v>
      </c>
      <c r="Q1627" s="22">
        <f>+PROVEEDORES[[#This Row],[Rete Fuente %]]*(PROVEEDORES[[#This Row],[SUBTOTAL]]-PROVEEDORES[[#This Row],[descuento sobre subtotal]])</f>
        <v>0</v>
      </c>
      <c r="R1627" s="21">
        <v>2535794.7999999998</v>
      </c>
      <c r="S16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7" s="68">
        <f ca="1">IF(PROVEEDORES[[#This Row],[FECHA DE PAGO]]=0,TODAY()-PROVEEDORES[[#This Row],[FECHA DE FACTURACIÓN]]-PROVEEDORES[[#This Row],[PLAZO Días]],0)</f>
        <v>0</v>
      </c>
      <c r="U1627" s="96">
        <f>+VLOOKUP(PROVEEDORES[[#This Row],[PROVEEDOR]],Terceros!$A:$D,4,FALSE)</f>
        <v>0</v>
      </c>
      <c r="V1627" s="97">
        <f>+YEAR(PROVEEDORES[[#This Row],[FECHA DE FACTURACIÓN]])</f>
        <v>2022</v>
      </c>
      <c r="W1627" s="97">
        <f>+MATCH(PROVEEDORES[[#This Row],[año facturado]],Retenciones!$1:$1,0)</f>
        <v>5</v>
      </c>
      <c r="X1627" s="98">
        <f>+VLOOKUP(PROVEEDORES[[#This Row],[ID RETENCION]],Retenciones!$A$1:$O$25,PROVEEDORES[[#This Row],[indicador de columna]],FALSE)</f>
        <v>0</v>
      </c>
      <c r="Y1627" s="99">
        <f>+VLOOKUP(PROVEEDORES[[#This Row],[ID RETENCION]],Retenciones!$A$1:$O$25,2,FALSE)</f>
        <v>0</v>
      </c>
      <c r="Z1627" s="125" t="b">
        <f>OR(COUNTIF(PROVEEDORES[[#This Row],[PROVEEDOR]],"*"&amp;'Palabra no opera'!$A$2&amp;"*"))</f>
        <v>0</v>
      </c>
    </row>
    <row r="1628" spans="1:26" ht="22.2" customHeight="1" x14ac:dyDescent="0.3">
      <c r="A1628" s="66" t="str">
        <f>+IF(PROVEEDORES[[#This Row],[FECHA DE PAGO]]=PROVEEDORES[[#This Row],[FECHA DE FACTURACIÓN]],"DE CONTADO","CRÉDITO")</f>
        <v>CRÉDITO</v>
      </c>
      <c r="B1628" s="38" t="str">
        <f>+IF((PROVEEDORES[[#This Row],[FECHA DE PAGO]]-PROVEEDORES[[#This Row],[FECHA DE FACTURACIÓN]])&gt;PROVEEDORES[[#This Row],[PLAZO Días]],"PAGO VENCIDO")</f>
        <v>PAGO VENCIDO</v>
      </c>
      <c r="C1628" s="20">
        <f>+VLOOKUP(PROVEEDORES[[#This Row],[PROVEEDOR]],TERCEROS_INFO[#All],2,FALSE)</f>
        <v>30</v>
      </c>
      <c r="D1628" s="25">
        <f>+SUMIFS(PROVEEDORES[Total],PROVEEDORES[PROVEEDOR],PROVEEDORES[[#This Row],[PROVEEDOR]],PROVEEDORES[FECHA DE PAGO],"")</f>
        <v>0</v>
      </c>
      <c r="E1628" s="25"/>
      <c r="F162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628" s="161">
        <v>44389</v>
      </c>
      <c r="H1628" s="26" t="s">
        <v>746</v>
      </c>
      <c r="I1628" s="161">
        <v>44337</v>
      </c>
      <c r="J1628" s="35">
        <v>1205</v>
      </c>
      <c r="K1628" s="21">
        <v>2181344.5299999998</v>
      </c>
      <c r="L1628" s="21"/>
      <c r="M1628" s="22">
        <f>(PROVEEDORES[[#This Row],[SUBTOTAL]]-PROVEEDORES[[#This Row],[descuento sobre subtotal]])*VLOOKUP(PROVEEDORES[[#This Row],[PROVEEDOR]],TERCEROS_INFO[#All],3,FALSE)</f>
        <v>414455.46069999994</v>
      </c>
      <c r="N1628" s="23"/>
      <c r="O1628" s="22">
        <f>+PROVEEDORES[[#This Row],[Descuento sobre subtotal %]]*(PROVEEDORES[[#This Row],[SUBTOTAL]]-PROVEEDORES[[#This Row],[descuento sobre subtotal]])</f>
        <v>0</v>
      </c>
      <c r="P1628" s="83">
        <f>+IF(PROVEEDORES[[#This Row],[SUBTOTAL]]&lt;PROVEEDORES[[#This Row],[base retencion]],0,PROVEEDORES[[#This Row],[retención aplicada]])</f>
        <v>2.5000000000000001E-2</v>
      </c>
      <c r="Q1628" s="22">
        <f>+PROVEEDORES[[#This Row],[Rete Fuente %]]*(PROVEEDORES[[#This Row],[SUBTOTAL]]-PROVEEDORES[[#This Row],[descuento sobre subtotal]])</f>
        <v>54533.613249999995</v>
      </c>
      <c r="R1628" s="21">
        <f>+PROVEEDORES[[#This Row],[SUBTOTAL]]+PROVEEDORES[[#This Row],[IVA 19%]]-PROVEEDORES[[#This Row],[descuento sobre subtotal]]-PROVEEDORES[[#This Row],[Descuento sobre subtotal $2]]-PROVEEDORES[[#This Row],[Rete Fuente $]]</f>
        <v>2541266.37745</v>
      </c>
      <c r="S16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8" s="68">
        <f ca="1">IF(PROVEEDORES[[#This Row],[FECHA DE PAGO]]=0,TODAY()-PROVEEDORES[[#This Row],[FECHA DE FACTURACIÓN]]-PROVEEDORES[[#This Row],[PLAZO Días]],0)</f>
        <v>0</v>
      </c>
      <c r="U1628" s="96" t="str">
        <f>+VLOOKUP(PROVEEDORES[[#This Row],[PROVEEDOR]],Terceros!$A:$D,4,FALSE)</f>
        <v>2,5% con base</v>
      </c>
      <c r="V1628" s="97">
        <f>+YEAR(PROVEEDORES[[#This Row],[FECHA DE FACTURACIÓN]])</f>
        <v>2021</v>
      </c>
      <c r="W1628" s="97">
        <f>+MATCH(PROVEEDORES[[#This Row],[año facturado]],Retenciones!$1:$1,0)</f>
        <v>4</v>
      </c>
      <c r="X1628" s="98">
        <f>+VLOOKUP(PROVEEDORES[[#This Row],[ID RETENCION]],Retenciones!$A$1:$O$25,PROVEEDORES[[#This Row],[indicador de columna]],FALSE)</f>
        <v>980000</v>
      </c>
      <c r="Y1628" s="99">
        <f>+VLOOKUP(PROVEEDORES[[#This Row],[ID RETENCION]],Retenciones!$A$1:$O$25,2,FALSE)</f>
        <v>2.5000000000000001E-2</v>
      </c>
      <c r="Z1628" s="125" t="b">
        <f>OR(COUNTIF(PROVEEDORES[[#This Row],[PROVEEDOR]],"*"&amp;'Palabra no opera'!$A$2&amp;"*"))</f>
        <v>0</v>
      </c>
    </row>
    <row r="1629" spans="1:26" ht="22.2" customHeight="1" x14ac:dyDescent="0.3">
      <c r="A1629" s="66" t="str">
        <f>+IF(PROVEEDORES[[#This Row],[FECHA DE PAGO]]=PROVEEDORES[[#This Row],[FECHA DE FACTURACIÓN]],"DE CONTADO","CRÉDITO")</f>
        <v>CRÉDITO</v>
      </c>
      <c r="B1629" s="38" t="str">
        <f>+IF((PROVEEDORES[[#This Row],[FECHA DE PAGO]]-PROVEEDORES[[#This Row],[FECHA DE FACTURACIÓN]])&gt;PROVEEDORES[[#This Row],[PLAZO Días]],"PAGO VENCIDO")</f>
        <v>PAGO VENCIDO</v>
      </c>
      <c r="C1629" s="20">
        <f>+VLOOKUP(PROVEEDORES[[#This Row],[PROVEEDOR]],TERCEROS_INFO[#All],2,FALSE)</f>
        <v>30</v>
      </c>
      <c r="D1629" s="25">
        <f>+SUMIFS(PROVEEDORES[Total],PROVEEDORES[PROVEEDOR],PROVEEDORES[[#This Row],[PROVEEDOR]],PROVEEDORES[FECHA DE PAGO],"")</f>
        <v>23124164.219999999</v>
      </c>
      <c r="E1629" s="25"/>
      <c r="F162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9" s="161">
        <v>44414</v>
      </c>
      <c r="H1629" s="26" t="s">
        <v>18</v>
      </c>
      <c r="I1629" s="161">
        <v>44377</v>
      </c>
      <c r="J1629" s="35">
        <v>1039723</v>
      </c>
      <c r="K1629" s="21">
        <v>2181869.2400000002</v>
      </c>
      <c r="L1629" s="21"/>
      <c r="M1629" s="22">
        <f>(PROVEEDORES[[#This Row],[SUBTOTAL]]-PROVEEDORES[[#This Row],[descuento sobre subtotal]])*VLOOKUP(PROVEEDORES[[#This Row],[PROVEEDOR]],TERCEROS_INFO[#All],3,FALSE)</f>
        <v>414555.15560000006</v>
      </c>
      <c r="N1629" s="23"/>
      <c r="O1629" s="22">
        <f>+PROVEEDORES[[#This Row],[Descuento sobre subtotal %]]*(PROVEEDORES[[#This Row],[SUBTOTAL]]-PROVEEDORES[[#This Row],[descuento sobre subtotal]])</f>
        <v>0</v>
      </c>
      <c r="P1629" s="83">
        <f>+IF(PROVEEDORES[[#This Row],[SUBTOTAL]]&lt;PROVEEDORES[[#This Row],[base retencion]],0,PROVEEDORES[[#This Row],[retención aplicada]])</f>
        <v>2.5000000000000001E-2</v>
      </c>
      <c r="Q1629" s="22">
        <f>+PROVEEDORES[[#This Row],[Rete Fuente %]]*(PROVEEDORES[[#This Row],[SUBTOTAL]]-PROVEEDORES[[#This Row],[descuento sobre subtotal]])</f>
        <v>54546.731000000007</v>
      </c>
      <c r="R1629" s="21">
        <f>+PROVEEDORES[[#This Row],[SUBTOTAL]]+PROVEEDORES[[#This Row],[IVA 19%]]-PROVEEDORES[[#This Row],[descuento sobre subtotal]]-PROVEEDORES[[#This Row],[Descuento sobre subtotal $2]]-PROVEEDORES[[#This Row],[Rete Fuente $]]</f>
        <v>2541877.6646000003</v>
      </c>
      <c r="S16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9" s="68">
        <f ca="1">IF(PROVEEDORES[[#This Row],[FECHA DE PAGO]]=0,TODAY()-PROVEEDORES[[#This Row],[FECHA DE FACTURACIÓN]]-PROVEEDORES[[#This Row],[PLAZO Días]],0)</f>
        <v>0</v>
      </c>
      <c r="U1629" s="96" t="str">
        <f>+VLOOKUP(PROVEEDORES[[#This Row],[PROVEEDOR]],Terceros!$A:$D,4,FALSE)</f>
        <v>2,5% con base</v>
      </c>
      <c r="V1629" s="97">
        <f>+YEAR(PROVEEDORES[[#This Row],[FECHA DE FACTURACIÓN]])</f>
        <v>2021</v>
      </c>
      <c r="W1629" s="97">
        <f>+MATCH(PROVEEDORES[[#This Row],[año facturado]],Retenciones!$1:$1,0)</f>
        <v>4</v>
      </c>
      <c r="X1629" s="98">
        <f>+VLOOKUP(PROVEEDORES[[#This Row],[ID RETENCION]],Retenciones!$A$1:$O$25,PROVEEDORES[[#This Row],[indicador de columna]],FALSE)</f>
        <v>980000</v>
      </c>
      <c r="Y1629" s="99">
        <f>+VLOOKUP(PROVEEDORES[[#This Row],[ID RETENCION]],Retenciones!$A$1:$O$25,2,FALSE)</f>
        <v>2.5000000000000001E-2</v>
      </c>
      <c r="Z1629" s="125" t="b">
        <f>OR(COUNTIF(PROVEEDORES[[#This Row],[PROVEEDOR]],"*"&amp;'Palabra no opera'!$A$2&amp;"*"))</f>
        <v>0</v>
      </c>
    </row>
    <row r="1630" spans="1:26" ht="22.2" customHeight="1" x14ac:dyDescent="0.3">
      <c r="A1630" s="66" t="str">
        <f>+IF(PROVEEDORES[[#This Row],[FECHA DE PAGO]]=PROVEEDORES[[#This Row],[FECHA DE FACTURACIÓN]],"DE CONTADO","CRÉDITO")</f>
        <v>CRÉDITO</v>
      </c>
      <c r="B1630" s="38" t="str">
        <f>+IF((PROVEEDORES[[#This Row],[FECHA DE PAGO]]-PROVEEDORES[[#This Row],[FECHA DE FACTURACIÓN]])&gt;PROVEEDORES[[#This Row],[PLAZO Días]],"PAGO VENCIDO")</f>
        <v>PAGO VENCIDO</v>
      </c>
      <c r="C1630" s="20">
        <f>+VLOOKUP(PROVEEDORES[[#This Row],[PROVEEDOR]],TERCEROS_INFO[#All],2,FALSE)</f>
        <v>30</v>
      </c>
      <c r="D1630" s="25">
        <f>+SUMIFS(PROVEEDORES[Total],PROVEEDORES[PROVEEDOR],PROVEEDORES[[#This Row],[PROVEEDOR]],PROVEEDORES[FECHA DE PAGO],"")</f>
        <v>2456000</v>
      </c>
      <c r="E1630" s="25"/>
      <c r="F1630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630" s="161">
        <v>44348</v>
      </c>
      <c r="H1630" s="26" t="s">
        <v>623</v>
      </c>
      <c r="I1630" s="161">
        <v>44299</v>
      </c>
      <c r="J1630" s="35" t="s">
        <v>1208</v>
      </c>
      <c r="K1630" s="21">
        <v>2550000</v>
      </c>
      <c r="L1630" s="21"/>
      <c r="M1630" s="22">
        <f>(PROVEEDORES[[#This Row],[SUBTOTAL]]-PROVEEDORES[[#This Row],[descuento sobre subtotal]])*VLOOKUP(PROVEEDORES[[#This Row],[PROVEEDOR]],TERCEROS_INFO[#All],3,FALSE)</f>
        <v>0</v>
      </c>
      <c r="N1630" s="23"/>
      <c r="O1630" s="22">
        <f>+PROVEEDORES[[#This Row],[Descuento sobre subtotal %]]*(PROVEEDORES[[#This Row],[SUBTOTAL]]-PROVEEDORES[[#This Row],[descuento sobre subtotal]])</f>
        <v>0</v>
      </c>
      <c r="P1630" s="83">
        <f>+IF(PROVEEDORES[[#This Row],[SUBTOTAL]]&lt;PROVEEDORES[[#This Row],[base retencion]],0,PROVEEDORES[[#This Row],[retención aplicada]])</f>
        <v>0</v>
      </c>
      <c r="Q1630" s="22">
        <f>+PROVEEDORES[[#This Row],[Rete Fuente %]]*(PROVEEDORES[[#This Row],[SUBTOTAL]]-PROVEEDORES[[#This Row],[descuento sobre subtotal]])</f>
        <v>0</v>
      </c>
      <c r="R1630" s="21">
        <f>+PROVEEDORES[[#This Row],[SUBTOTAL]]+PROVEEDORES[[#This Row],[IVA 19%]]-PROVEEDORES[[#This Row],[descuento sobre subtotal]]-PROVEEDORES[[#This Row],[Descuento sobre subtotal $2]]-PROVEEDORES[[#This Row],[Rete Fuente $]]</f>
        <v>2550000</v>
      </c>
      <c r="S16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0" s="68">
        <f ca="1">IF(PROVEEDORES[[#This Row],[FECHA DE PAGO]]=0,TODAY()-PROVEEDORES[[#This Row],[FECHA DE FACTURACIÓN]]-PROVEEDORES[[#This Row],[PLAZO Días]],0)</f>
        <v>0</v>
      </c>
      <c r="U1630" s="96">
        <f>+VLOOKUP(PROVEEDORES[[#This Row],[PROVEEDOR]],Terceros!$A:$D,4,FALSE)</f>
        <v>0</v>
      </c>
      <c r="V1630" s="97">
        <f>+YEAR(PROVEEDORES[[#This Row],[FECHA DE FACTURACIÓN]])</f>
        <v>2021</v>
      </c>
      <c r="W1630" s="97">
        <f>+MATCH(PROVEEDORES[[#This Row],[año facturado]],Retenciones!$1:$1,0)</f>
        <v>4</v>
      </c>
      <c r="X1630" s="98">
        <f>+VLOOKUP(PROVEEDORES[[#This Row],[ID RETENCION]],Retenciones!$A$1:$O$25,PROVEEDORES[[#This Row],[indicador de columna]],FALSE)</f>
        <v>0</v>
      </c>
      <c r="Y1630" s="99">
        <f>+VLOOKUP(PROVEEDORES[[#This Row],[ID RETENCION]],Retenciones!$A$1:$O$25,2,FALSE)</f>
        <v>0</v>
      </c>
      <c r="Z1630" s="125" t="b">
        <f>OR(COUNTIF(PROVEEDORES[[#This Row],[PROVEEDOR]],"*"&amp;'Palabra no opera'!$A$2&amp;"*"))</f>
        <v>0</v>
      </c>
    </row>
    <row r="1631" spans="1:26" ht="22.2" customHeight="1" x14ac:dyDescent="0.3">
      <c r="A1631" s="66" t="str">
        <f>+IF(PROVEEDORES[[#This Row],[FECHA DE PAGO]]=PROVEEDORES[[#This Row],[FECHA DE FACTURACIÓN]],"DE CONTADO","CRÉDITO")</f>
        <v>CRÉDITO</v>
      </c>
      <c r="B1631" s="38" t="str">
        <f>+IF((PROVEEDORES[[#This Row],[FECHA DE PAGO]]-PROVEEDORES[[#This Row],[FECHA DE FACTURACIÓN]])&gt;PROVEEDORES[[#This Row],[PLAZO Días]],"PAGO VENCIDO")</f>
        <v>PAGO VENCIDO</v>
      </c>
      <c r="C1631" s="20">
        <f>+VLOOKUP(PROVEEDORES[[#This Row],[PROVEEDOR]],TERCEROS_INFO[#All],2,FALSE)</f>
        <v>30</v>
      </c>
      <c r="D1631" s="25">
        <f>+SUMIFS(PROVEEDORES[Total],PROVEEDORES[PROVEEDOR],PROVEEDORES[[#This Row],[PROVEEDOR]],PROVEEDORES[FECHA DE PAGO],"")</f>
        <v>23124164.219999999</v>
      </c>
      <c r="E1631" s="25"/>
      <c r="F163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31" s="161">
        <v>44652</v>
      </c>
      <c r="H1631" s="26" t="s">
        <v>18</v>
      </c>
      <c r="I1631" s="161">
        <v>44616</v>
      </c>
      <c r="J1631" s="35">
        <v>1050228</v>
      </c>
      <c r="K1631" s="21">
        <v>2199781.6800000002</v>
      </c>
      <c r="L1631" s="21"/>
      <c r="M1631" s="22">
        <v>417958.51920000004</v>
      </c>
      <c r="N1631" s="23"/>
      <c r="O1631" s="22">
        <v>0</v>
      </c>
      <c r="P1631" s="83">
        <f>+IF(PROVEEDORES[[#This Row],[SUBTOTAL]]&lt;PROVEEDORES[[#This Row],[base retencion]],0,PROVEEDORES[[#This Row],[retención aplicada]])</f>
        <v>2.5000000000000001E-2</v>
      </c>
      <c r="Q1631" s="22">
        <f>+PROVEEDORES[[#This Row],[Rete Fuente %]]*(PROVEEDORES[[#This Row],[SUBTOTAL]]-PROVEEDORES[[#This Row],[descuento sobre subtotal]])</f>
        <v>54994.542000000009</v>
      </c>
      <c r="R1631" s="21">
        <v>2562745.6572000002</v>
      </c>
      <c r="S16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1" s="68">
        <f ca="1">IF(PROVEEDORES[[#This Row],[FECHA DE PAGO]]=0,TODAY()-PROVEEDORES[[#This Row],[FECHA DE FACTURACIÓN]]-PROVEEDORES[[#This Row],[PLAZO Días]],0)</f>
        <v>0</v>
      </c>
      <c r="U1631" s="96" t="str">
        <f>+VLOOKUP(PROVEEDORES[[#This Row],[PROVEEDOR]],Terceros!$A:$D,4,FALSE)</f>
        <v>2,5% con base</v>
      </c>
      <c r="V1631" s="97">
        <f>+YEAR(PROVEEDORES[[#This Row],[FECHA DE FACTURACIÓN]])</f>
        <v>2022</v>
      </c>
      <c r="W1631" s="97">
        <f>+MATCH(PROVEEDORES[[#This Row],[año facturado]],Retenciones!$1:$1,0)</f>
        <v>5</v>
      </c>
      <c r="X1631" s="98">
        <f>+VLOOKUP(PROVEEDORES[[#This Row],[ID RETENCION]],Retenciones!$A$1:$O$25,PROVEEDORES[[#This Row],[indicador de columna]],FALSE)</f>
        <v>1026000</v>
      </c>
      <c r="Y1631" s="99">
        <f>+VLOOKUP(PROVEEDORES[[#This Row],[ID RETENCION]],Retenciones!$A$1:$O$25,2,FALSE)</f>
        <v>2.5000000000000001E-2</v>
      </c>
      <c r="Z1631" s="125" t="b">
        <f>OR(COUNTIF(PROVEEDORES[[#This Row],[PROVEEDOR]],"*"&amp;'Palabra no opera'!$A$2&amp;"*"))</f>
        <v>0</v>
      </c>
    </row>
    <row r="1632" spans="1:26" ht="22.2" customHeight="1" x14ac:dyDescent="0.3">
      <c r="A1632" s="112" t="str">
        <f>+IF(PROVEEDORES[[#This Row],[FECHA DE PAGO]]=PROVEEDORES[[#This Row],[FECHA DE FACTURACIÓN]],"DE CONTADO","CRÉDITO")</f>
        <v>CRÉDITO</v>
      </c>
      <c r="B1632" s="38" t="str">
        <f>+IF((PROVEEDORES[[#This Row],[FECHA DE PAGO]]-PROVEEDORES[[#This Row],[FECHA DE FACTURACIÓN]])&gt;PROVEEDORES[[#This Row],[PLAZO Días]],"PAGO VENCIDO")</f>
        <v>PAGO VENCIDO</v>
      </c>
      <c r="C1632" s="20">
        <f>+VLOOKUP(PROVEEDORES[[#This Row],[PROVEEDOR]],TERCEROS_INFO[#All],2,FALSE)</f>
        <v>30</v>
      </c>
      <c r="D1632" s="25">
        <f>+SUMIFS(PROVEEDORES[Total],PROVEEDORES[PROVEEDOR],PROVEEDORES[[#This Row],[PROVEEDOR]],PROVEEDORES[FECHA DE PAGO],"")</f>
        <v>23124164.219999999</v>
      </c>
      <c r="E1632" s="25"/>
      <c r="F163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32" s="161">
        <v>44704</v>
      </c>
      <c r="H1632" s="26" t="s">
        <v>18</v>
      </c>
      <c r="I1632" s="161">
        <v>44670</v>
      </c>
      <c r="J1632" s="35">
        <v>1052292</v>
      </c>
      <c r="K1632" s="21">
        <v>2216230.56</v>
      </c>
      <c r="L1632" s="21"/>
      <c r="M1632" s="22">
        <f>(PROVEEDORES[[#This Row],[SUBTOTAL]]-PROVEEDORES[[#This Row],[descuento sobre subtotal]])*VLOOKUP(PROVEEDORES[[#This Row],[PROVEEDOR]],TERCEROS_INFO[#All],3,FALSE)</f>
        <v>421083.8064</v>
      </c>
      <c r="N1632" s="23"/>
      <c r="O1632" s="22">
        <f>+PROVEEDORES[[#This Row],[Descuento sobre subtotal %]]*(PROVEEDORES[[#This Row],[SUBTOTAL]]-PROVEEDORES[[#This Row],[descuento sobre subtotal]])</f>
        <v>0</v>
      </c>
      <c r="P1632" s="83">
        <f>+IF(PROVEEDORES[[#This Row],[SUBTOTAL]]&lt;PROVEEDORES[[#This Row],[base retencion]],0,PROVEEDORES[[#This Row],[retención aplicada]])</f>
        <v>2.5000000000000001E-2</v>
      </c>
      <c r="Q1632" s="22">
        <f>+PROVEEDORES[[#This Row],[Rete Fuente %]]*(PROVEEDORES[[#This Row],[SUBTOTAL]]-PROVEEDORES[[#This Row],[descuento sobre subtotal]])</f>
        <v>55405.764000000003</v>
      </c>
      <c r="R1632" s="21">
        <f>+PROVEEDORES[[#This Row],[SUBTOTAL]]+PROVEEDORES[[#This Row],[IVA 19%]]-PROVEEDORES[[#This Row],[descuento sobre subtotal]]-PROVEEDORES[[#This Row],[Descuento sobre subtotal $2]]-PROVEEDORES[[#This Row],[Rete Fuente $]]</f>
        <v>2581908.6024000002</v>
      </c>
      <c r="S1632" s="1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2" s="68">
        <f ca="1">IF(PROVEEDORES[[#This Row],[FECHA DE PAGO]]=0,TODAY()-PROVEEDORES[[#This Row],[FECHA DE FACTURACIÓN]]-PROVEEDORES[[#This Row],[PLAZO Días]],0)</f>
        <v>0</v>
      </c>
      <c r="U1632" s="113" t="str">
        <f>+VLOOKUP(PROVEEDORES[[#This Row],[PROVEEDOR]],Terceros!$A:$D,4,FALSE)</f>
        <v>2,5% con base</v>
      </c>
      <c r="V1632" s="114">
        <f>+YEAR(PROVEEDORES[[#This Row],[FECHA DE FACTURACIÓN]])</f>
        <v>2022</v>
      </c>
      <c r="W1632" s="114">
        <f>+MATCH(PROVEEDORES[[#This Row],[año facturado]],Retenciones!$1:$1,0)</f>
        <v>5</v>
      </c>
      <c r="X1632" s="115">
        <f>+VLOOKUP(PROVEEDORES[[#This Row],[ID RETENCION]],Retenciones!$A$1:$O$25,PROVEEDORES[[#This Row],[indicador de columna]],FALSE)</f>
        <v>1026000</v>
      </c>
      <c r="Y1632" s="116">
        <f>+VLOOKUP(PROVEEDORES[[#This Row],[ID RETENCION]],Retenciones!$A$1:$O$25,2,FALSE)</f>
        <v>2.5000000000000001E-2</v>
      </c>
      <c r="Z1632" s="125" t="b">
        <f>OR(COUNTIF(PROVEEDORES[[#This Row],[PROVEEDOR]],"*"&amp;'Palabra no opera'!$A$2&amp;"*"))</f>
        <v>0</v>
      </c>
    </row>
    <row r="1633" spans="1:26" ht="22.2" customHeight="1" x14ac:dyDescent="0.3">
      <c r="A1633" s="66" t="str">
        <f>+IF(PROVEEDORES[[#This Row],[FECHA DE PAGO]]=PROVEEDORES[[#This Row],[FECHA DE FACTURACIÓN]],"DE CONTADO","CRÉDITO")</f>
        <v>CRÉDITO</v>
      </c>
      <c r="B1633" s="38" t="b">
        <f>+IF((PROVEEDORES[[#This Row],[FECHA DE PAGO]]-PROVEEDORES[[#This Row],[FECHA DE FACTURACIÓN]])&gt;PROVEEDORES[[#This Row],[PLAZO Días]],"PAGO VENCIDO")</f>
        <v>0</v>
      </c>
      <c r="C1633" s="20">
        <f>+VLOOKUP(PROVEEDORES[[#This Row],[PROVEEDOR]],TERCEROS_INFO[#All],2,FALSE)</f>
        <v>30</v>
      </c>
      <c r="D1633" s="25">
        <f>+SUMIFS(PROVEEDORES[Total],PROVEEDORES[PROVEEDOR],PROVEEDORES[[#This Row],[PROVEEDOR]],PROVEEDORES[FECHA DE PAGO],"")</f>
        <v>0</v>
      </c>
      <c r="E1633" s="25"/>
      <c r="F1633" s="58" t="str">
        <f>+VLOOKUP(PROVEEDORES[[#This Row],[PROVEEDOR]],
                       Terceros!$A:$F,
                       5,
                       FALSE)</f>
        <v/>
      </c>
      <c r="G1633" s="161">
        <v>44284</v>
      </c>
      <c r="H1633" s="26" t="s">
        <v>133</v>
      </c>
      <c r="I1633" s="161">
        <v>44281</v>
      </c>
      <c r="J1633" s="35" t="s">
        <v>280</v>
      </c>
      <c r="K1633" s="21">
        <v>2244410.4649999999</v>
      </c>
      <c r="L1633" s="21"/>
      <c r="M1633" s="22">
        <f>(PROVEEDORES[[#This Row],[SUBTOTAL]]-PROVEEDORES[[#This Row],[descuento sobre subtotal]])*VLOOKUP(PROVEEDORES[[#This Row],[PROVEEDOR]],TERCEROS_INFO[#All],3,FALSE)</f>
        <v>426437.98835</v>
      </c>
      <c r="N1633" s="23"/>
      <c r="O1633" s="22">
        <f>+PROVEEDORES[[#This Row],[Descuento sobre subtotal %]]*(PROVEEDORES[[#This Row],[SUBTOTAL]]-PROVEEDORES[[#This Row],[descuento sobre subtotal]])</f>
        <v>0</v>
      </c>
      <c r="P1633" s="83">
        <f>+IF(PROVEEDORES[[#This Row],[SUBTOTAL]]&lt;PROVEEDORES[[#This Row],[base retencion]],0,PROVEEDORES[[#This Row],[retención aplicada]])</f>
        <v>3.5000000000000003E-2</v>
      </c>
      <c r="Q1633" s="22">
        <f>+PROVEEDORES[[#This Row],[Rete Fuente %]]*(PROVEEDORES[[#This Row],[SUBTOTAL]]-PROVEEDORES[[#This Row],[descuento sobre subtotal]])</f>
        <v>78554.366275000008</v>
      </c>
      <c r="R1633" s="21">
        <f>+PROVEEDORES[[#This Row],[SUBTOTAL]]+PROVEEDORES[[#This Row],[IVA 19%]]-PROVEEDORES[[#This Row],[descuento sobre subtotal]]-PROVEEDORES[[#This Row],[Descuento sobre subtotal $2]]-PROVEEDORES[[#This Row],[Rete Fuente $]]</f>
        <v>2592294.0870750002</v>
      </c>
      <c r="S16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3" s="68">
        <f ca="1">IF(PROVEEDORES[[#This Row],[FECHA DE PAGO]]=0,TODAY()-PROVEEDORES[[#This Row],[FECHA DE FACTURACIÓN]]-PROVEEDORES[[#This Row],[PLAZO Días]],0)</f>
        <v>0</v>
      </c>
      <c r="U1633" s="96" t="str">
        <f>+VLOOKUP(PROVEEDORES[[#This Row],[PROVEEDOR]],Terceros!$A:$D,4,FALSE)</f>
        <v>3,5% con base</v>
      </c>
      <c r="V1633" s="97">
        <f>+YEAR(PROVEEDORES[[#This Row],[FECHA DE FACTURACIÓN]])</f>
        <v>2021</v>
      </c>
      <c r="W1633" s="97">
        <f>+MATCH(PROVEEDORES[[#This Row],[año facturado]],Retenciones!$1:$1,0)</f>
        <v>4</v>
      </c>
      <c r="X1633" s="98">
        <f>+VLOOKUP(PROVEEDORES[[#This Row],[ID RETENCION]],Retenciones!$A$1:$O$25,PROVEEDORES[[#This Row],[indicador de columna]],FALSE)</f>
        <v>980000</v>
      </c>
      <c r="Y1633" s="99">
        <f>+VLOOKUP(PROVEEDORES[[#This Row],[ID RETENCION]],Retenciones!$A$1:$O$25,2,FALSE)</f>
        <v>3.5000000000000003E-2</v>
      </c>
      <c r="Z1633" s="125" t="b">
        <f>OR(COUNTIF(PROVEEDORES[[#This Row],[PROVEEDOR]],"*"&amp;'Palabra no opera'!$A$2&amp;"*"))</f>
        <v>0</v>
      </c>
    </row>
    <row r="1634" spans="1:26" ht="22.2" customHeight="1" x14ac:dyDescent="0.3">
      <c r="A1634" s="221" t="str">
        <f>+IF(PROVEEDORES[[#This Row],[FECHA DE PAGO]]=PROVEEDORES[[#This Row],[FECHA DE FACTURACIÓN]],"DE CONTADO","CRÉDITO")</f>
        <v>CRÉDITO</v>
      </c>
      <c r="B1634" s="38" t="b">
        <f>+IF((PROVEEDORES[[#This Row],[FECHA DE PAGO]]-PROVEEDORES[[#This Row],[FECHA DE FACTURACIÓN]])&gt;PROVEEDORES[[#This Row],[PLAZO Días]],"PAGO VENCIDO")</f>
        <v>0</v>
      </c>
      <c r="C1634" s="20">
        <f>+VLOOKUP(PROVEEDORES[[#This Row],[PROVEEDOR]],TERCEROS_INFO[#All],2,FALSE)</f>
        <v>45</v>
      </c>
      <c r="D1634" s="25">
        <f>+SUMIFS(PROVEEDORES[Total],PROVEEDORES[PROVEEDOR],PROVEEDORES[[#This Row],[PROVEEDOR]],PROVEEDORES[FECHA DE PAGO],"")</f>
        <v>31891814.359999999</v>
      </c>
      <c r="E1634" s="25"/>
      <c r="F163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1634" s="26" t="s">
        <v>19</v>
      </c>
      <c r="I1634" s="161">
        <v>44824</v>
      </c>
      <c r="J1634" s="35" t="s">
        <v>1679</v>
      </c>
      <c r="K1634" s="21">
        <v>2184384</v>
      </c>
      <c r="L1634" s="21"/>
      <c r="M1634" s="22">
        <f>(PROVEEDORES[[#This Row],[SUBTOTAL]]-PROVEEDORES[[#This Row],[descuento sobre subtotal]])*VLOOKUP(PROVEEDORES[[#This Row],[PROVEEDOR]],TERCEROS_INFO[#All],3,FALSE)</f>
        <v>415032.96</v>
      </c>
      <c r="N1634" s="23"/>
      <c r="O1634" s="22">
        <f>+PROVEEDORES[[#This Row],[Descuento sobre subtotal %]]*(PROVEEDORES[[#This Row],[SUBTOTAL]]-PROVEEDORES[[#This Row],[descuento sobre subtotal]])</f>
        <v>0</v>
      </c>
      <c r="P1634" s="83">
        <f>+IF(PROVEEDORES[[#This Row],[SUBTOTAL]]&lt;PROVEEDORES[[#This Row],[base retencion]],0,PROVEEDORES[[#This Row],[retención aplicada]])</f>
        <v>0</v>
      </c>
      <c r="Q1634" s="22">
        <f>+PROVEEDORES[[#This Row],[Rete Fuente %]]*(PROVEEDORES[[#This Row],[SUBTOTAL]]-PROVEEDORES[[#This Row],[descuento sobre subtotal]])</f>
        <v>0</v>
      </c>
      <c r="R1634" s="21">
        <f>+PROVEEDORES[[#This Row],[SUBTOTAL]]+PROVEEDORES[[#This Row],[IVA 19%]]-PROVEEDORES[[#This Row],[descuento sobre subtotal]]-PROVEEDORES[[#This Row],[Descuento sobre subtotal $2]]-PROVEEDORES[[#This Row],[Rete Fuente $]]</f>
        <v>2599416.96</v>
      </c>
      <c r="S1634" s="22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34" s="68">
        <f ca="1">IF(PROVEEDORES[[#This Row],[FECHA DE PAGO]]=0,TODAY()-PROVEEDORES[[#This Row],[FECHA DE FACTURACIÓN]]-PROVEEDORES[[#This Row],[PLAZO Días]],0)</f>
        <v>6</v>
      </c>
      <c r="U1634" s="113">
        <f>+VLOOKUP(PROVEEDORES[[#This Row],[PROVEEDOR]],Terceros!$A:$D,4,FALSE)</f>
        <v>0</v>
      </c>
      <c r="V1634" s="114">
        <f>+YEAR(PROVEEDORES[[#This Row],[FECHA DE FACTURACIÓN]])</f>
        <v>2022</v>
      </c>
      <c r="W1634" s="114">
        <f>+MATCH(PROVEEDORES[[#This Row],[año facturado]],Retenciones!$1:$1,0)</f>
        <v>5</v>
      </c>
      <c r="X1634" s="115">
        <f>+VLOOKUP(PROVEEDORES[[#This Row],[ID RETENCION]],Retenciones!$A$1:$O$25,PROVEEDORES[[#This Row],[indicador de columna]],FALSE)</f>
        <v>0</v>
      </c>
      <c r="Y1634" s="116">
        <f>+VLOOKUP(PROVEEDORES[[#This Row],[ID RETENCION]],Retenciones!$A$1:$O$25,2,FALSE)</f>
        <v>0</v>
      </c>
      <c r="Z1634" s="125" t="b">
        <f>OR(COUNTIF(PROVEEDORES[[#This Row],[PROVEEDOR]],"*"&amp;'Palabra no opera'!$A$2&amp;"*"))</f>
        <v>0</v>
      </c>
    </row>
    <row r="1635" spans="1:26" ht="22.2" customHeight="1" x14ac:dyDescent="0.3">
      <c r="A1635" s="66" t="str">
        <f>+IF(PROVEEDORES[[#This Row],[FECHA DE PAGO]]=PROVEEDORES[[#This Row],[FECHA DE FACTURACIÓN]],"DE CONTADO","CRÉDITO")</f>
        <v>CRÉDITO</v>
      </c>
      <c r="B1635" s="38" t="str">
        <f>+IF((PROVEEDORES[[#This Row],[FECHA DE PAGO]]-PROVEEDORES[[#This Row],[FECHA DE FACTURACIÓN]])&gt;PROVEEDORES[[#This Row],[PLAZO Días]],"PAGO VENCIDO")</f>
        <v>PAGO VENCIDO</v>
      </c>
      <c r="C1635" s="20">
        <f>+VLOOKUP(PROVEEDORES[[#This Row],[PROVEEDOR]],TERCEROS_INFO[#All],2,FALSE)</f>
        <v>30</v>
      </c>
      <c r="D1635" s="25">
        <f>+SUMIFS(PROVEEDORES[Total],PROVEEDORES[PROVEEDOR],PROVEEDORES[[#This Row],[PROVEEDOR]],PROVEEDORES[FECHA DE PAGO],"")</f>
        <v>1194849.25</v>
      </c>
      <c r="E1635" s="25"/>
      <c r="F163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635" s="161">
        <v>44543</v>
      </c>
      <c r="H1635" s="26" t="s">
        <v>32</v>
      </c>
      <c r="I1635" s="161">
        <v>44510</v>
      </c>
      <c r="J1635" s="35" t="s">
        <v>532</v>
      </c>
      <c r="K1635" s="21">
        <v>2248066.5</v>
      </c>
      <c r="L1635" s="21"/>
      <c r="M1635" s="22">
        <f>(PROVEEDORES[[#This Row],[SUBTOTAL]]-PROVEEDORES[[#This Row],[descuento sobre subtotal]])*VLOOKUP(PROVEEDORES[[#This Row],[PROVEEDOR]],TERCEROS_INFO[#All],3,FALSE)</f>
        <v>427132.63500000001</v>
      </c>
      <c r="N1635" s="23"/>
      <c r="O1635" s="22">
        <f>+PROVEEDORES[[#This Row],[Descuento sobre subtotal %]]*(PROVEEDORES[[#This Row],[SUBTOTAL]]-PROVEEDORES[[#This Row],[descuento sobre subtotal]])</f>
        <v>0</v>
      </c>
      <c r="P1635" s="83">
        <f>+IF(PROVEEDORES[[#This Row],[SUBTOTAL]]&lt;PROVEEDORES[[#This Row],[base retencion]],0,PROVEEDORES[[#This Row],[retención aplicada]])</f>
        <v>2.5000000000000001E-2</v>
      </c>
      <c r="Q1635" s="22">
        <f>+PROVEEDORES[[#This Row],[Rete Fuente %]]*(PROVEEDORES[[#This Row],[SUBTOTAL]]-PROVEEDORES[[#This Row],[descuento sobre subtotal]])</f>
        <v>56201.662500000006</v>
      </c>
      <c r="R1635" s="21">
        <f>+PROVEEDORES[[#This Row],[SUBTOTAL]]+PROVEEDORES[[#This Row],[IVA 19%]]-PROVEEDORES[[#This Row],[descuento sobre subtotal]]-PROVEEDORES[[#This Row],[Descuento sobre subtotal $2]]-PROVEEDORES[[#This Row],[Rete Fuente $]]</f>
        <v>2618997.4724999997</v>
      </c>
      <c r="S16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5" s="68">
        <f ca="1">IF(PROVEEDORES[[#This Row],[FECHA DE PAGO]]=0,TODAY()-PROVEEDORES[[#This Row],[FECHA DE FACTURACIÓN]]-PROVEEDORES[[#This Row],[PLAZO Días]],0)</f>
        <v>0</v>
      </c>
      <c r="U1635" s="96" t="str">
        <f>+VLOOKUP(PROVEEDORES[[#This Row],[PROVEEDOR]],Terceros!$A:$D,4,FALSE)</f>
        <v>2,5% con base</v>
      </c>
      <c r="V1635" s="97">
        <f>+YEAR(PROVEEDORES[[#This Row],[FECHA DE FACTURACIÓN]])</f>
        <v>2021</v>
      </c>
      <c r="W1635" s="97">
        <f>+MATCH(PROVEEDORES[[#This Row],[año facturado]],Retenciones!$1:$1,0)</f>
        <v>4</v>
      </c>
      <c r="X1635" s="98">
        <f>+VLOOKUP(PROVEEDORES[[#This Row],[ID RETENCION]],Retenciones!$A$1:$O$25,PROVEEDORES[[#This Row],[indicador de columna]],FALSE)</f>
        <v>980000</v>
      </c>
      <c r="Y1635" s="99">
        <f>+VLOOKUP(PROVEEDORES[[#This Row],[ID RETENCION]],Retenciones!$A$1:$O$25,2,FALSE)</f>
        <v>2.5000000000000001E-2</v>
      </c>
      <c r="Z1635" s="125" t="b">
        <f>OR(COUNTIF(PROVEEDORES[[#This Row],[PROVEEDOR]],"*"&amp;'Palabra no opera'!$A$2&amp;"*"))</f>
        <v>0</v>
      </c>
    </row>
    <row r="1636" spans="1:26" ht="22.2" customHeight="1" x14ac:dyDescent="0.3">
      <c r="A1636" s="66" t="str">
        <f>+IF(PROVEEDORES[[#This Row],[FECHA DE PAGO]]=PROVEEDORES[[#This Row],[FECHA DE FACTURACIÓN]],"DE CONTADO","CRÉDITO")</f>
        <v>CRÉDITO</v>
      </c>
      <c r="B1636" s="38" t="b">
        <f>+IF((PROVEEDORES[[#This Row],[FECHA DE PAGO]]-PROVEEDORES[[#This Row],[FECHA DE FACTURACIÓN]])&gt;PROVEEDORES[[#This Row],[PLAZO Días]],"PAGO VENCIDO")</f>
        <v>0</v>
      </c>
      <c r="C1636" s="20">
        <f>+VLOOKUP(PROVEEDORES[[#This Row],[PROVEEDOR]],TERCEROS_INFO[#All],2,FALSE)</f>
        <v>30</v>
      </c>
      <c r="D1636" s="25">
        <f>+SUMIFS(PROVEEDORES[Total],PROVEEDORES[PROVEEDOR],PROVEEDORES[[#This Row],[PROVEEDOR]],PROVEEDORES[FECHA DE PAGO],"")</f>
        <v>0</v>
      </c>
      <c r="E1636" s="25"/>
      <c r="F1636" s="58" t="str">
        <f>+VLOOKUP(PROVEEDORES[[#This Row],[PROVEEDOR]],
                       Terceros!$A:$F,
                       5,
                       FALSE)</f>
        <v/>
      </c>
      <c r="G1636" s="161">
        <v>44460</v>
      </c>
      <c r="H1636" s="26" t="s">
        <v>53</v>
      </c>
      <c r="I1636" s="161">
        <v>44459</v>
      </c>
      <c r="J1636" s="35">
        <v>284978</v>
      </c>
      <c r="K1636" s="21">
        <v>2619000</v>
      </c>
      <c r="L1636" s="21"/>
      <c r="M1636" s="22">
        <f>(PROVEEDORES[[#This Row],[SUBTOTAL]]-PROVEEDORES[[#This Row],[descuento sobre subtotal]])*VLOOKUP(PROVEEDORES[[#This Row],[PROVEEDOR]],TERCEROS_INFO[#All],3,FALSE)</f>
        <v>0</v>
      </c>
      <c r="N1636" s="23"/>
      <c r="O1636" s="22">
        <f>+PROVEEDORES[[#This Row],[Descuento sobre subtotal %]]*(PROVEEDORES[[#This Row],[SUBTOTAL]]-PROVEEDORES[[#This Row],[descuento sobre subtotal]])</f>
        <v>0</v>
      </c>
      <c r="P1636" s="83">
        <f>+IF(PROVEEDORES[[#This Row],[SUBTOTAL]]&lt;PROVEEDORES[[#This Row],[base retencion]],0,PROVEEDORES[[#This Row],[retención aplicada]])</f>
        <v>0</v>
      </c>
      <c r="Q1636" s="22">
        <f>+PROVEEDORES[[#This Row],[Rete Fuente %]]*(PROVEEDORES[[#This Row],[SUBTOTAL]]-PROVEEDORES[[#This Row],[descuento sobre subtotal]])</f>
        <v>0</v>
      </c>
      <c r="R1636" s="21">
        <f>+PROVEEDORES[[#This Row],[SUBTOTAL]]+PROVEEDORES[[#This Row],[IVA 19%]]-PROVEEDORES[[#This Row],[descuento sobre subtotal]]-PROVEEDORES[[#This Row],[Descuento sobre subtotal $2]]-PROVEEDORES[[#This Row],[Rete Fuente $]]</f>
        <v>2619000</v>
      </c>
      <c r="S16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6" s="68">
        <f ca="1">IF(PROVEEDORES[[#This Row],[FECHA DE PAGO]]=0,TODAY()-PROVEEDORES[[#This Row],[FECHA DE FACTURACIÓN]]-PROVEEDORES[[#This Row],[PLAZO Días]],0)</f>
        <v>0</v>
      </c>
      <c r="U1636" s="96">
        <f>+VLOOKUP(PROVEEDORES[[#This Row],[PROVEEDOR]],Terceros!$A:$D,4,FALSE)</f>
        <v>0</v>
      </c>
      <c r="V1636" s="97">
        <f>+YEAR(PROVEEDORES[[#This Row],[FECHA DE FACTURACIÓN]])</f>
        <v>2021</v>
      </c>
      <c r="W1636" s="97">
        <f>+MATCH(PROVEEDORES[[#This Row],[año facturado]],Retenciones!$1:$1,0)</f>
        <v>4</v>
      </c>
      <c r="X1636" s="98">
        <f>+VLOOKUP(PROVEEDORES[[#This Row],[ID RETENCION]],Retenciones!$A$1:$O$25,PROVEEDORES[[#This Row],[indicador de columna]],FALSE)</f>
        <v>0</v>
      </c>
      <c r="Y1636" s="99">
        <f>+VLOOKUP(PROVEEDORES[[#This Row],[ID RETENCION]],Retenciones!$A$1:$O$25,2,FALSE)</f>
        <v>0</v>
      </c>
      <c r="Z1636" s="125" t="b">
        <f>OR(COUNTIF(PROVEEDORES[[#This Row],[PROVEEDOR]],"*"&amp;'Palabra no opera'!$A$2&amp;"*"))</f>
        <v>0</v>
      </c>
    </row>
    <row r="1637" spans="1:26" ht="22.2" customHeight="1" x14ac:dyDescent="0.3">
      <c r="A1637" s="66" t="str">
        <f>+IF(PROVEEDORES[[#This Row],[FECHA DE PAGO]]=PROVEEDORES[[#This Row],[FECHA DE FACTURACIÓN]],"DE CONTADO","CRÉDITO")</f>
        <v>CRÉDITO</v>
      </c>
      <c r="B1637" s="38" t="b">
        <f>+IF((PROVEEDORES[[#This Row],[FECHA DE PAGO]]-PROVEEDORES[[#This Row],[FECHA DE FACTURACIÓN]])&gt;PROVEEDORES[[#This Row],[PLAZO Días]],"PAGO VENCIDO")</f>
        <v>0</v>
      </c>
      <c r="C1637" s="20">
        <f>+VLOOKUP(PROVEEDORES[[#This Row],[PROVEEDOR]],TERCEROS_INFO[#All],2,FALSE)</f>
        <v>30</v>
      </c>
      <c r="D1637" s="25">
        <f>+SUMIFS(PROVEEDORES[Total],PROVEEDORES[PROVEEDOR],PROVEEDORES[[#This Row],[PROVEEDOR]],PROVEEDORES[FECHA DE PAGO],"")</f>
        <v>23124164.219999999</v>
      </c>
      <c r="E1637" s="25"/>
      <c r="F163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37" s="161">
        <v>44335</v>
      </c>
      <c r="H1637" s="26" t="s">
        <v>18</v>
      </c>
      <c r="I1637" s="161">
        <v>44308</v>
      </c>
      <c r="J1637" s="35">
        <v>1037035</v>
      </c>
      <c r="K1637" s="21">
        <v>2259006.4</v>
      </c>
      <c r="L1637" s="21"/>
      <c r="M1637" s="22">
        <f>(PROVEEDORES[[#This Row],[SUBTOTAL]]-PROVEEDORES[[#This Row],[descuento sobre subtotal]])*VLOOKUP(PROVEEDORES[[#This Row],[PROVEEDOR]],TERCEROS_INFO[#All],3,FALSE)</f>
        <v>429211.21600000001</v>
      </c>
      <c r="N1637" s="23"/>
      <c r="O1637" s="22">
        <f>+PROVEEDORES[[#This Row],[Descuento sobre subtotal %]]*(PROVEEDORES[[#This Row],[SUBTOTAL]]-PROVEEDORES[[#This Row],[descuento sobre subtotal]])</f>
        <v>0</v>
      </c>
      <c r="P1637" s="83">
        <f>+IF(PROVEEDORES[[#This Row],[SUBTOTAL]]&lt;PROVEEDORES[[#This Row],[base retencion]],0,PROVEEDORES[[#This Row],[retención aplicada]])</f>
        <v>2.5000000000000001E-2</v>
      </c>
      <c r="Q1637" s="22">
        <f>+PROVEEDORES[[#This Row],[Rete Fuente %]]*(PROVEEDORES[[#This Row],[SUBTOTAL]]-PROVEEDORES[[#This Row],[descuento sobre subtotal]])</f>
        <v>56475.16</v>
      </c>
      <c r="R1637" s="21">
        <f>+PROVEEDORES[[#This Row],[SUBTOTAL]]+PROVEEDORES[[#This Row],[IVA 19%]]-PROVEEDORES[[#This Row],[descuento sobre subtotal]]-PROVEEDORES[[#This Row],[Descuento sobre subtotal $2]]-PROVEEDORES[[#This Row],[Rete Fuente $]]</f>
        <v>2631742.4559999998</v>
      </c>
      <c r="S16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7" s="68">
        <f ca="1">IF(PROVEEDORES[[#This Row],[FECHA DE PAGO]]=0,TODAY()-PROVEEDORES[[#This Row],[FECHA DE FACTURACIÓN]]-PROVEEDORES[[#This Row],[PLAZO Días]],0)</f>
        <v>0</v>
      </c>
      <c r="U1637" s="96" t="str">
        <f>+VLOOKUP(PROVEEDORES[[#This Row],[PROVEEDOR]],Terceros!$A:$D,4,FALSE)</f>
        <v>2,5% con base</v>
      </c>
      <c r="V1637" s="97">
        <f>+YEAR(PROVEEDORES[[#This Row],[FECHA DE FACTURACIÓN]])</f>
        <v>2021</v>
      </c>
      <c r="W1637" s="97">
        <f>+MATCH(PROVEEDORES[[#This Row],[año facturado]],Retenciones!$1:$1,0)</f>
        <v>4</v>
      </c>
      <c r="X1637" s="98">
        <f>+VLOOKUP(PROVEEDORES[[#This Row],[ID RETENCION]],Retenciones!$A$1:$O$25,PROVEEDORES[[#This Row],[indicador de columna]],FALSE)</f>
        <v>980000</v>
      </c>
      <c r="Y1637" s="99">
        <f>+VLOOKUP(PROVEEDORES[[#This Row],[ID RETENCION]],Retenciones!$A$1:$O$25,2,FALSE)</f>
        <v>2.5000000000000001E-2</v>
      </c>
      <c r="Z1637" s="125" t="b">
        <f>OR(COUNTIF(PROVEEDORES[[#This Row],[PROVEEDOR]],"*"&amp;'Palabra no opera'!$A$2&amp;"*"))</f>
        <v>0</v>
      </c>
    </row>
    <row r="1638" spans="1:26" ht="22.2" customHeight="1" x14ac:dyDescent="0.3">
      <c r="A1638" s="72" t="str">
        <f>+IF(PROVEEDORES[[#This Row],[FECHA DE PAGO]]=PROVEEDORES[[#This Row],[FECHA DE FACTURACIÓN]],"DE CONTADO","CRÉDITO")</f>
        <v>DE CONTADO</v>
      </c>
      <c r="B1638" s="38" t="b">
        <f>+IF((PROVEEDORES[[#This Row],[FECHA DE PAGO]]-PROVEEDORES[[#This Row],[FECHA DE FACTURACIÓN]])&gt;PROVEEDORES[[#This Row],[PLAZO Días]],"PAGO VENCIDO")</f>
        <v>0</v>
      </c>
      <c r="C1638" s="20">
        <f>+VLOOKUP(PROVEEDORES[[#This Row],[PROVEEDOR]],TERCEROS_INFO[#All],2,FALSE)</f>
        <v>30</v>
      </c>
      <c r="D1638" s="25">
        <f>+SUMIFS(PROVEEDORES[Total],PROVEEDORES[PROVEEDOR],PROVEEDORES[[#This Row],[PROVEEDOR]],PROVEEDORES[FECHA DE PAGO],"")</f>
        <v>0</v>
      </c>
      <c r="E1638" s="25"/>
      <c r="F1638" s="58" t="str">
        <f>+VLOOKUP(PROVEEDORES[[#This Row],[PROVEEDOR]],
                       Terceros!$A:$F,
                       5,
                       FALSE)</f>
        <v/>
      </c>
      <c r="G1638" s="161">
        <v>44712</v>
      </c>
      <c r="H1638" s="26" t="s">
        <v>644</v>
      </c>
      <c r="I1638" s="161">
        <v>44712</v>
      </c>
      <c r="J1638" s="35" t="s">
        <v>595</v>
      </c>
      <c r="K1638" s="21">
        <v>2633897</v>
      </c>
      <c r="L1638" s="21"/>
      <c r="M1638" s="22">
        <f>(PROVEEDORES[[#This Row],[SUBTOTAL]]-PROVEEDORES[[#This Row],[descuento sobre subtotal]])*VLOOKUP(PROVEEDORES[[#This Row],[PROVEEDOR]],TERCEROS_INFO[#All],3,FALSE)</f>
        <v>0</v>
      </c>
      <c r="N1638" s="23"/>
      <c r="O1638" s="22">
        <f>+PROVEEDORES[[#This Row],[Descuento sobre subtotal %]]*(PROVEEDORES[[#This Row],[SUBTOTAL]]-PROVEEDORES[[#This Row],[descuento sobre subtotal]])</f>
        <v>0</v>
      </c>
      <c r="P1638" s="83">
        <f>+IF(PROVEEDORES[[#This Row],[SUBTOTAL]]&lt;PROVEEDORES[[#This Row],[base retencion]],0,PROVEEDORES[[#This Row],[retención aplicada]])</f>
        <v>0</v>
      </c>
      <c r="Q1638" s="22">
        <f>+PROVEEDORES[[#This Row],[Rete Fuente %]]*(PROVEEDORES[[#This Row],[SUBTOTAL]]-PROVEEDORES[[#This Row],[descuento sobre subtotal]])</f>
        <v>0</v>
      </c>
      <c r="R1638" s="21">
        <f>+PROVEEDORES[[#This Row],[SUBTOTAL]]+PROVEEDORES[[#This Row],[IVA 19%]]-PROVEEDORES[[#This Row],[descuento sobre subtotal]]-PROVEEDORES[[#This Row],[Descuento sobre subtotal $2]]-PROVEEDORES[[#This Row],[Rete Fuente $]]</f>
        <v>2633897</v>
      </c>
      <c r="S163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8" s="68">
        <f ca="1">IF(PROVEEDORES[[#This Row],[FECHA DE PAGO]]=0,TODAY()-PROVEEDORES[[#This Row],[FECHA DE FACTURACIÓN]]-PROVEEDORES[[#This Row],[PLAZO Días]],0)</f>
        <v>0</v>
      </c>
      <c r="U1638" s="113">
        <f>+VLOOKUP(PROVEEDORES[[#This Row],[PROVEEDOR]],Terceros!$A:$D,4,FALSE)</f>
        <v>0</v>
      </c>
      <c r="V1638" s="114">
        <f>+YEAR(PROVEEDORES[[#This Row],[FECHA DE FACTURACIÓN]])</f>
        <v>2022</v>
      </c>
      <c r="W1638" s="114">
        <f>+MATCH(PROVEEDORES[[#This Row],[año facturado]],Retenciones!$1:$1,0)</f>
        <v>5</v>
      </c>
      <c r="X1638" s="115">
        <f>+VLOOKUP(PROVEEDORES[[#This Row],[ID RETENCION]],Retenciones!$A$1:$O$25,PROVEEDORES[[#This Row],[indicador de columna]],FALSE)</f>
        <v>0</v>
      </c>
      <c r="Y1638" s="116">
        <f>+VLOOKUP(PROVEEDORES[[#This Row],[ID RETENCION]],Retenciones!$A$1:$O$25,2,FALSE)</f>
        <v>0</v>
      </c>
      <c r="Z1638" s="125" t="b">
        <f>OR(COUNTIF(PROVEEDORES[[#This Row],[PROVEEDOR]],"*"&amp;'Palabra no opera'!$A$2&amp;"*"))</f>
        <v>0</v>
      </c>
    </row>
    <row r="1639" spans="1:26" ht="22.2" customHeight="1" x14ac:dyDescent="0.3">
      <c r="A1639" s="72" t="str">
        <f>+IF(PROVEEDORES[[#This Row],[FECHA DE PAGO]]=PROVEEDORES[[#This Row],[FECHA DE FACTURACIÓN]],"DE CONTADO","CRÉDITO")</f>
        <v>CRÉDITO</v>
      </c>
      <c r="B1639" s="38" t="str">
        <f>+IF((PROVEEDORES[[#This Row],[FECHA DE PAGO]]-PROVEEDORES[[#This Row],[FECHA DE FACTURACIÓN]])&gt;PROVEEDORES[[#This Row],[PLAZO Días]],"PAGO VENCIDO")</f>
        <v>PAGO VENCIDO</v>
      </c>
      <c r="C1639" s="20">
        <f>+VLOOKUP(PROVEEDORES[[#This Row],[PROVEEDOR]],TERCEROS_INFO[#All],2,FALSE)</f>
        <v>30</v>
      </c>
      <c r="D1639" s="25">
        <f>+SUMIFS(PROVEEDORES[Total],PROVEEDORES[PROVEEDOR],PROVEEDORES[[#This Row],[PROVEEDOR]],PROVEEDORES[FECHA DE PAGO],"")</f>
        <v>23124164.219999999</v>
      </c>
      <c r="E1639" s="25"/>
      <c r="F163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39" s="161">
        <v>44867</v>
      </c>
      <c r="H1639" s="26" t="s">
        <v>18</v>
      </c>
      <c r="I1639" s="161">
        <v>44834</v>
      </c>
      <c r="J1639" s="35" t="s">
        <v>1761</v>
      </c>
      <c r="K1639" s="21">
        <v>2262854</v>
      </c>
      <c r="L1639" s="21"/>
      <c r="M1639" s="22">
        <f>(PROVEEDORES[[#This Row],[SUBTOTAL]]-PROVEEDORES[[#This Row],[descuento sobre subtotal]])*VLOOKUP(PROVEEDORES[[#This Row],[PROVEEDOR]],TERCEROS_INFO[#All],3,FALSE)</f>
        <v>429942.26</v>
      </c>
      <c r="N1639" s="23"/>
      <c r="O1639" s="22">
        <f>+PROVEEDORES[[#This Row],[Descuento sobre subtotal %]]*(PROVEEDORES[[#This Row],[SUBTOTAL]]-PROVEEDORES[[#This Row],[descuento sobre subtotal]])</f>
        <v>0</v>
      </c>
      <c r="P1639" s="83">
        <f>+IF(PROVEEDORES[[#This Row],[SUBTOTAL]]&lt;PROVEEDORES[[#This Row],[base retencion]],0,PROVEEDORES[[#This Row],[retención aplicada]])</f>
        <v>2.5000000000000001E-2</v>
      </c>
      <c r="Q1639" s="22">
        <f>+PROVEEDORES[[#This Row],[Rete Fuente %]]*(PROVEEDORES[[#This Row],[SUBTOTAL]]-PROVEEDORES[[#This Row],[descuento sobre subtotal]])</f>
        <v>56571.350000000006</v>
      </c>
      <c r="R1639" s="21">
        <f>+PROVEEDORES[[#This Row],[SUBTOTAL]]+PROVEEDORES[[#This Row],[IVA 19%]]-PROVEEDORES[[#This Row],[descuento sobre subtotal]]-PROVEEDORES[[#This Row],[Descuento sobre subtotal $2]]-PROVEEDORES[[#This Row],[Rete Fuente $]]</f>
        <v>2636224.9099999997</v>
      </c>
      <c r="S163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9" s="68">
        <f ca="1">IF(PROVEEDORES[[#This Row],[FECHA DE PAGO]]=0,TODAY()-PROVEEDORES[[#This Row],[FECHA DE FACTURACIÓN]]-PROVEEDORES[[#This Row],[PLAZO Días]],0)</f>
        <v>0</v>
      </c>
      <c r="U1639" s="113" t="str">
        <f>+VLOOKUP(PROVEEDORES[[#This Row],[PROVEEDOR]],Terceros!$A:$D,4,FALSE)</f>
        <v>2,5% con base</v>
      </c>
      <c r="V1639" s="114">
        <f>+YEAR(PROVEEDORES[[#This Row],[FECHA DE FACTURACIÓN]])</f>
        <v>2022</v>
      </c>
      <c r="W1639" s="114">
        <f>+MATCH(PROVEEDORES[[#This Row],[año facturado]],Retenciones!$1:$1,0)</f>
        <v>5</v>
      </c>
      <c r="X1639" s="115">
        <f>+VLOOKUP(PROVEEDORES[[#This Row],[ID RETENCION]],Retenciones!$A$1:$O$25,PROVEEDORES[[#This Row],[indicador de columna]],FALSE)</f>
        <v>1026000</v>
      </c>
      <c r="Y1639" s="116">
        <f>+VLOOKUP(PROVEEDORES[[#This Row],[ID RETENCION]],Retenciones!$A$1:$O$25,2,FALSE)</f>
        <v>2.5000000000000001E-2</v>
      </c>
      <c r="Z1639" s="125" t="b">
        <f>OR(COUNTIF(PROVEEDORES[[#This Row],[PROVEEDOR]],"*"&amp;'Palabra no opera'!$A$2&amp;"*"))</f>
        <v>0</v>
      </c>
    </row>
    <row r="1640" spans="1:26" ht="22.2" customHeight="1" x14ac:dyDescent="0.3">
      <c r="A1640" s="66" t="str">
        <f>+IF(PROVEEDORES[[#This Row],[FECHA DE PAGO]]=PROVEEDORES[[#This Row],[FECHA DE FACTURACIÓN]],"DE CONTADO","CRÉDITO")</f>
        <v>CRÉDITO</v>
      </c>
      <c r="B1640" s="38" t="str">
        <f>+IF((PROVEEDORES[[#This Row],[FECHA DE PAGO]]-PROVEEDORES[[#This Row],[FECHA DE FACTURACIÓN]])&gt;PROVEEDORES[[#This Row],[PLAZO Días]],"PAGO VENCIDO")</f>
        <v>PAGO VENCIDO</v>
      </c>
      <c r="C1640" s="20">
        <f>+VLOOKUP(PROVEEDORES[[#This Row],[PROVEEDOR]],TERCEROS_INFO[#All],2,FALSE)</f>
        <v>30</v>
      </c>
      <c r="D1640" s="25">
        <f>+SUMIFS(PROVEEDORES[Total],PROVEEDORES[PROVEEDOR],PROVEEDORES[[#This Row],[PROVEEDOR]],PROVEEDORES[FECHA DE PAGO],"")</f>
        <v>0</v>
      </c>
      <c r="E1640" s="25"/>
      <c r="F1640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40" s="161">
        <v>44335</v>
      </c>
      <c r="H1640" s="26" t="s">
        <v>49</v>
      </c>
      <c r="I1640" s="161">
        <v>44279</v>
      </c>
      <c r="J1640" s="35">
        <v>1908</v>
      </c>
      <c r="K1640" s="21">
        <v>2268906</v>
      </c>
      <c r="L1640" s="21"/>
      <c r="M1640" s="22">
        <f>(PROVEEDORES[[#This Row],[SUBTOTAL]]-PROVEEDORES[[#This Row],[descuento sobre subtotal]])*VLOOKUP(PROVEEDORES[[#This Row],[PROVEEDOR]],TERCEROS_INFO[#All],3,FALSE)</f>
        <v>431092.14</v>
      </c>
      <c r="N1640" s="23"/>
      <c r="O1640" s="22">
        <f>+PROVEEDORES[[#This Row],[Descuento sobre subtotal %]]*(PROVEEDORES[[#This Row],[SUBTOTAL]]-PROVEEDORES[[#This Row],[descuento sobre subtotal]])</f>
        <v>0</v>
      </c>
      <c r="P1640" s="83">
        <f>+IF(PROVEEDORES[[#This Row],[SUBTOTAL]]&lt;PROVEEDORES[[#This Row],[base retencion]],0,PROVEEDORES[[#This Row],[retención aplicada]])</f>
        <v>2.5000000000000001E-2</v>
      </c>
      <c r="Q1640" s="22">
        <f>+PROVEEDORES[[#This Row],[Rete Fuente %]]*(PROVEEDORES[[#This Row],[SUBTOTAL]]-PROVEEDORES[[#This Row],[descuento sobre subtotal]])</f>
        <v>56722.65</v>
      </c>
      <c r="R1640" s="21">
        <f>+PROVEEDORES[[#This Row],[SUBTOTAL]]+PROVEEDORES[[#This Row],[IVA 19%]]-PROVEEDORES[[#This Row],[descuento sobre subtotal]]-PROVEEDORES[[#This Row],[Descuento sobre subtotal $2]]-PROVEEDORES[[#This Row],[Rete Fuente $]]</f>
        <v>2643275.4900000002</v>
      </c>
      <c r="S16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0" s="68">
        <f ca="1">IF(PROVEEDORES[[#This Row],[FECHA DE PAGO]]=0,TODAY()-PROVEEDORES[[#This Row],[FECHA DE FACTURACIÓN]]-PROVEEDORES[[#This Row],[PLAZO Días]],0)</f>
        <v>0</v>
      </c>
      <c r="U1640" s="96" t="str">
        <f>+VLOOKUP(PROVEEDORES[[#This Row],[PROVEEDOR]],Terceros!$A:$D,4,FALSE)</f>
        <v>2,5% con base</v>
      </c>
      <c r="V1640" s="97">
        <f>+YEAR(PROVEEDORES[[#This Row],[FECHA DE FACTURACIÓN]])</f>
        <v>2021</v>
      </c>
      <c r="W1640" s="97">
        <f>+MATCH(PROVEEDORES[[#This Row],[año facturado]],Retenciones!$1:$1,0)</f>
        <v>4</v>
      </c>
      <c r="X1640" s="98">
        <f>+VLOOKUP(PROVEEDORES[[#This Row],[ID RETENCION]],Retenciones!$A$1:$O$25,PROVEEDORES[[#This Row],[indicador de columna]],FALSE)</f>
        <v>980000</v>
      </c>
      <c r="Y1640" s="99">
        <f>+VLOOKUP(PROVEEDORES[[#This Row],[ID RETENCION]],Retenciones!$A$1:$O$25,2,FALSE)</f>
        <v>2.5000000000000001E-2</v>
      </c>
      <c r="Z1640" s="125" t="b">
        <f>OR(COUNTIF(PROVEEDORES[[#This Row],[PROVEEDOR]],"*"&amp;'Palabra no opera'!$A$2&amp;"*"))</f>
        <v>0</v>
      </c>
    </row>
    <row r="1641" spans="1:26" ht="22.2" customHeight="1" x14ac:dyDescent="0.3">
      <c r="A1641" s="66" t="str">
        <f>+IF(PROVEEDORES[[#This Row],[FECHA DE PAGO]]=PROVEEDORES[[#This Row],[FECHA DE FACTURACIÓN]],"DE CONTADO","CRÉDITO")</f>
        <v>DE CONTADO</v>
      </c>
      <c r="B1641" s="38" t="b">
        <f>+IF((PROVEEDORES[[#This Row],[FECHA DE PAGO]]-PROVEEDORES[[#This Row],[FECHA DE FACTURACIÓN]])&gt;PROVEEDORES[[#This Row],[PLAZO Días]],"PAGO VENCIDO")</f>
        <v>0</v>
      </c>
      <c r="C1641" s="20">
        <f>+VLOOKUP(PROVEEDORES[[#This Row],[PROVEEDOR]],TERCEROS_INFO[#All],2,FALSE)</f>
        <v>30</v>
      </c>
      <c r="D1641" s="25">
        <f>+SUMIFS(PROVEEDORES[Total],PROVEEDORES[PROVEEDOR],PROVEEDORES[[#This Row],[PROVEEDOR]],PROVEEDORES[FECHA DE PAGO],"")</f>
        <v>0</v>
      </c>
      <c r="E1641" s="25"/>
      <c r="F1641" s="58" t="str">
        <f>+VLOOKUP(PROVEEDORES[[#This Row],[PROVEEDOR]],
                       Terceros!$A:$F,
                       5,
                       FALSE)</f>
        <v/>
      </c>
      <c r="G1641" s="161">
        <v>44223</v>
      </c>
      <c r="H1641" s="26" t="s">
        <v>638</v>
      </c>
      <c r="I1641" s="161">
        <v>44223</v>
      </c>
      <c r="J1641" s="35"/>
      <c r="K1641" s="21">
        <v>2645000</v>
      </c>
      <c r="L1641" s="21"/>
      <c r="M1641" s="22">
        <f>(PROVEEDORES[[#This Row],[SUBTOTAL]]-PROVEEDORES[[#This Row],[descuento sobre subtotal]])*VLOOKUP(PROVEEDORES[[#This Row],[PROVEEDOR]],TERCEROS_INFO[#All],3,FALSE)</f>
        <v>0</v>
      </c>
      <c r="N1641" s="23"/>
      <c r="O1641" s="22">
        <f>+PROVEEDORES[[#This Row],[Descuento sobre subtotal %]]*(PROVEEDORES[[#This Row],[SUBTOTAL]]-PROVEEDORES[[#This Row],[descuento sobre subtotal]])</f>
        <v>0</v>
      </c>
      <c r="P1641" s="83">
        <f>+IF(PROVEEDORES[[#This Row],[SUBTOTAL]]&lt;PROVEEDORES[[#This Row],[base retencion]],0,PROVEEDORES[[#This Row],[retención aplicada]])</f>
        <v>0</v>
      </c>
      <c r="Q1641" s="22">
        <f>+PROVEEDORES[[#This Row],[Rete Fuente %]]*(PROVEEDORES[[#This Row],[SUBTOTAL]]-PROVEEDORES[[#This Row],[descuento sobre subtotal]])</f>
        <v>0</v>
      </c>
      <c r="R1641" s="21">
        <f>+PROVEEDORES[[#This Row],[SUBTOTAL]]+PROVEEDORES[[#This Row],[IVA 19%]]-PROVEEDORES[[#This Row],[descuento sobre subtotal]]-PROVEEDORES[[#This Row],[Descuento sobre subtotal $2]]-PROVEEDORES[[#This Row],[Rete Fuente $]]</f>
        <v>2645000</v>
      </c>
      <c r="S16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1" s="68">
        <f ca="1">IF(PROVEEDORES[[#This Row],[FECHA DE PAGO]]=0,TODAY()-PROVEEDORES[[#This Row],[FECHA DE FACTURACIÓN]]-PROVEEDORES[[#This Row],[PLAZO Días]],0)</f>
        <v>0</v>
      </c>
      <c r="U1641" s="96">
        <f>+VLOOKUP(PROVEEDORES[[#This Row],[PROVEEDOR]],Terceros!$A:$D,4,FALSE)</f>
        <v>0</v>
      </c>
      <c r="V1641" s="97">
        <f>+YEAR(PROVEEDORES[[#This Row],[FECHA DE FACTURACIÓN]])</f>
        <v>2021</v>
      </c>
      <c r="W1641" s="97">
        <f>+MATCH(PROVEEDORES[[#This Row],[año facturado]],Retenciones!$1:$1,0)</f>
        <v>4</v>
      </c>
      <c r="X1641" s="98">
        <f>+VLOOKUP(PROVEEDORES[[#This Row],[ID RETENCION]],Retenciones!$A$1:$O$25,PROVEEDORES[[#This Row],[indicador de columna]],FALSE)</f>
        <v>0</v>
      </c>
      <c r="Y1641" s="99">
        <f>+VLOOKUP(PROVEEDORES[[#This Row],[ID RETENCION]],Retenciones!$A$1:$O$25,2,FALSE)</f>
        <v>0</v>
      </c>
      <c r="Z1641" s="125" t="b">
        <f>OR(COUNTIF(PROVEEDORES[[#This Row],[PROVEEDOR]],"*"&amp;'Palabra no opera'!$A$2&amp;"*"))</f>
        <v>0</v>
      </c>
    </row>
    <row r="1642" spans="1:26" ht="22.2" customHeight="1" x14ac:dyDescent="0.3">
      <c r="A1642" s="66" t="str">
        <f>+IF(PROVEEDORES[[#This Row],[FECHA DE PAGO]]=PROVEEDORES[[#This Row],[FECHA DE FACTURACIÓN]],"DE CONTADO","CRÉDITO")</f>
        <v>CRÉDITO</v>
      </c>
      <c r="B1642" s="38" t="str">
        <f>+IF((PROVEEDORES[[#This Row],[FECHA DE PAGO]]-PROVEEDORES[[#This Row],[FECHA DE FACTURACIÓN]])&gt;PROVEEDORES[[#This Row],[PLAZO Días]],"PAGO VENCIDO")</f>
        <v>PAGO VENCIDO</v>
      </c>
      <c r="C1642" s="20">
        <f>+VLOOKUP(PROVEEDORES[[#This Row],[PROVEEDOR]],TERCEROS_INFO[#All],2,FALSE)</f>
        <v>30</v>
      </c>
      <c r="D1642" s="25">
        <f>+SUMIFS(PROVEEDORES[Total],PROVEEDORES[PROVEEDOR],PROVEEDORES[[#This Row],[PROVEEDOR]],PROVEEDORES[FECHA DE PAGO],"")</f>
        <v>0</v>
      </c>
      <c r="E1642" s="25"/>
      <c r="F164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642" s="161">
        <v>44385</v>
      </c>
      <c r="H1642" s="26" t="s">
        <v>24</v>
      </c>
      <c r="I1642" s="161">
        <v>44328</v>
      </c>
      <c r="J1642" s="35" t="s">
        <v>330</v>
      </c>
      <c r="K1642" s="21">
        <v>2274202</v>
      </c>
      <c r="L1642" s="21"/>
      <c r="M1642" s="22">
        <f>(PROVEEDORES[[#This Row],[SUBTOTAL]]-PROVEEDORES[[#This Row],[descuento sobre subtotal]])*VLOOKUP(PROVEEDORES[[#This Row],[PROVEEDOR]],TERCEROS_INFO[#All],3,FALSE)</f>
        <v>432098.38</v>
      </c>
      <c r="N1642" s="23"/>
      <c r="O1642" s="22">
        <f>+PROVEEDORES[[#This Row],[Descuento sobre subtotal %]]*(PROVEEDORES[[#This Row],[SUBTOTAL]]-PROVEEDORES[[#This Row],[descuento sobre subtotal]])</f>
        <v>0</v>
      </c>
      <c r="P1642" s="83">
        <f>+IF(PROVEEDORES[[#This Row],[SUBTOTAL]]&lt;PROVEEDORES[[#This Row],[base retencion]],0,PROVEEDORES[[#This Row],[retención aplicada]])</f>
        <v>2.5000000000000001E-2</v>
      </c>
      <c r="Q1642" s="22">
        <f>+PROVEEDORES[[#This Row],[Rete Fuente %]]*(PROVEEDORES[[#This Row],[SUBTOTAL]]-PROVEEDORES[[#This Row],[descuento sobre subtotal]])</f>
        <v>56855.05</v>
      </c>
      <c r="R1642" s="21">
        <f>+PROVEEDORES[[#This Row],[SUBTOTAL]]+PROVEEDORES[[#This Row],[IVA 19%]]-PROVEEDORES[[#This Row],[descuento sobre subtotal]]-PROVEEDORES[[#This Row],[Descuento sobre subtotal $2]]-PROVEEDORES[[#This Row],[Rete Fuente $]]</f>
        <v>2649445.33</v>
      </c>
      <c r="S16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2" s="68">
        <f ca="1">IF(PROVEEDORES[[#This Row],[FECHA DE PAGO]]=0,TODAY()-PROVEEDORES[[#This Row],[FECHA DE FACTURACIÓN]]-PROVEEDORES[[#This Row],[PLAZO Días]],0)</f>
        <v>0</v>
      </c>
      <c r="U1642" s="96" t="str">
        <f>+VLOOKUP(PROVEEDORES[[#This Row],[PROVEEDOR]],Terceros!$A:$D,4,FALSE)</f>
        <v>2,5% con base</v>
      </c>
      <c r="V1642" s="97">
        <f>+YEAR(PROVEEDORES[[#This Row],[FECHA DE FACTURACIÓN]])</f>
        <v>2021</v>
      </c>
      <c r="W1642" s="97">
        <f>+MATCH(PROVEEDORES[[#This Row],[año facturado]],Retenciones!$1:$1,0)</f>
        <v>4</v>
      </c>
      <c r="X1642" s="98">
        <f>+VLOOKUP(PROVEEDORES[[#This Row],[ID RETENCION]],Retenciones!$A$1:$O$25,PROVEEDORES[[#This Row],[indicador de columna]],FALSE)</f>
        <v>980000</v>
      </c>
      <c r="Y1642" s="99">
        <f>+VLOOKUP(PROVEEDORES[[#This Row],[ID RETENCION]],Retenciones!$A$1:$O$25,2,FALSE)</f>
        <v>2.5000000000000001E-2</v>
      </c>
      <c r="Z1642" s="125" t="b">
        <f>OR(COUNTIF(PROVEEDORES[[#This Row],[PROVEEDOR]],"*"&amp;'Palabra no opera'!$A$2&amp;"*"))</f>
        <v>0</v>
      </c>
    </row>
    <row r="1643" spans="1:26" ht="22.2" customHeight="1" x14ac:dyDescent="0.3">
      <c r="A1643" s="185" t="str">
        <f>+IF(PROVEEDORES[[#This Row],[FECHA DE PAGO]]=PROVEEDORES[[#This Row],[FECHA DE FACTURACIÓN]],"DE CONTADO","CRÉDITO")</f>
        <v>CRÉDITO</v>
      </c>
      <c r="B1643" s="38" t="str">
        <f>+IF((PROVEEDORES[[#This Row],[FECHA DE PAGO]]-PROVEEDORES[[#This Row],[FECHA DE FACTURACIÓN]])&gt;PROVEEDORES[[#This Row],[PLAZO Días]],"PAGO VENCIDO")</f>
        <v>PAGO VENCIDO</v>
      </c>
      <c r="C1643" s="20">
        <f>+VLOOKUP(PROVEEDORES[[#This Row],[PROVEEDOR]],TERCEROS_INFO[#All],2,FALSE)</f>
        <v>30</v>
      </c>
      <c r="D1643" s="25">
        <f>+SUMIFS(PROVEEDORES[Total],PROVEEDORES[PROVEEDOR],PROVEEDORES[[#This Row],[PROVEEDOR]],PROVEEDORES[FECHA DE PAGO],"")</f>
        <v>2456000</v>
      </c>
      <c r="E1643" s="25"/>
      <c r="F1643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643" s="161">
        <v>44795</v>
      </c>
      <c r="H1643" s="26" t="s">
        <v>623</v>
      </c>
      <c r="I1643" s="161">
        <v>44743</v>
      </c>
      <c r="J1643" s="35" t="s">
        <v>1614</v>
      </c>
      <c r="K1643" s="21">
        <v>2659000</v>
      </c>
      <c r="L1643" s="21"/>
      <c r="M1643" s="22">
        <f>(PROVEEDORES[[#This Row],[SUBTOTAL]]-PROVEEDORES[[#This Row],[descuento sobre subtotal]])*VLOOKUP(PROVEEDORES[[#This Row],[PROVEEDOR]],TERCEROS_INFO[#All],3,FALSE)</f>
        <v>0</v>
      </c>
      <c r="N1643" s="23"/>
      <c r="O1643" s="22">
        <f>+PROVEEDORES[[#This Row],[Descuento sobre subtotal %]]*(PROVEEDORES[[#This Row],[SUBTOTAL]]-PROVEEDORES[[#This Row],[descuento sobre subtotal]])</f>
        <v>0</v>
      </c>
      <c r="P1643" s="83">
        <f>+IF(PROVEEDORES[[#This Row],[SUBTOTAL]]&lt;PROVEEDORES[[#This Row],[base retencion]],0,PROVEEDORES[[#This Row],[retención aplicada]])</f>
        <v>0</v>
      </c>
      <c r="Q1643" s="22">
        <f>+PROVEEDORES[[#This Row],[Rete Fuente %]]*(PROVEEDORES[[#This Row],[SUBTOTAL]]-PROVEEDORES[[#This Row],[descuento sobre subtotal]])</f>
        <v>0</v>
      </c>
      <c r="R1643" s="21">
        <f>+PROVEEDORES[[#This Row],[SUBTOTAL]]+PROVEEDORES[[#This Row],[IVA 19%]]-PROVEEDORES[[#This Row],[descuento sobre subtotal]]-PROVEEDORES[[#This Row],[Descuento sobre subtotal $2]]-PROVEEDORES[[#This Row],[Rete Fuente $]]</f>
        <v>2659000</v>
      </c>
      <c r="S1643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3" s="68">
        <f ca="1">IF(PROVEEDORES[[#This Row],[FECHA DE PAGO]]=0,TODAY()-PROVEEDORES[[#This Row],[FECHA DE FACTURACIÓN]]-PROVEEDORES[[#This Row],[PLAZO Días]],0)</f>
        <v>0</v>
      </c>
      <c r="U1643" s="113">
        <f>+VLOOKUP(PROVEEDORES[[#This Row],[PROVEEDOR]],Terceros!$A:$D,4,FALSE)</f>
        <v>0</v>
      </c>
      <c r="V1643" s="114">
        <f>+YEAR(PROVEEDORES[[#This Row],[FECHA DE FACTURACIÓN]])</f>
        <v>2022</v>
      </c>
      <c r="W1643" s="114">
        <f>+MATCH(PROVEEDORES[[#This Row],[año facturado]],Retenciones!$1:$1,0)</f>
        <v>5</v>
      </c>
      <c r="X1643" s="115">
        <f>+VLOOKUP(PROVEEDORES[[#This Row],[ID RETENCION]],Retenciones!$A$1:$O$25,PROVEEDORES[[#This Row],[indicador de columna]],FALSE)</f>
        <v>0</v>
      </c>
      <c r="Y1643" s="116">
        <f>+VLOOKUP(PROVEEDORES[[#This Row],[ID RETENCION]],Retenciones!$A$1:$O$25,2,FALSE)</f>
        <v>0</v>
      </c>
      <c r="Z1643" s="125" t="b">
        <f>OR(COUNTIF(PROVEEDORES[[#This Row],[PROVEEDOR]],"*"&amp;'Palabra no opera'!$A$2&amp;"*"))</f>
        <v>0</v>
      </c>
    </row>
    <row r="1644" spans="1:26" ht="22.2" customHeight="1" x14ac:dyDescent="0.3">
      <c r="A1644" s="66" t="str">
        <f>+IF(PROVEEDORES[[#This Row],[FECHA DE PAGO]]=PROVEEDORES[[#This Row],[FECHA DE FACTURACIÓN]],"DE CONTADO","CRÉDITO")</f>
        <v>CRÉDITO</v>
      </c>
      <c r="B1644" s="38" t="str">
        <f>+IF((PROVEEDORES[[#This Row],[FECHA DE PAGO]]-PROVEEDORES[[#This Row],[FECHA DE FACTURACIÓN]])&gt;PROVEEDORES[[#This Row],[PLAZO Días]],"PAGO VENCIDO")</f>
        <v>PAGO VENCIDO</v>
      </c>
      <c r="C1644" s="20">
        <f>+VLOOKUP(PROVEEDORES[[#This Row],[PROVEEDOR]],TERCEROS_INFO[#All],2,FALSE)</f>
        <v>30</v>
      </c>
      <c r="D1644" s="25">
        <f>+SUMIFS(PROVEEDORES[Total],PROVEEDORES[PROVEEDOR],PROVEEDORES[[#This Row],[PROVEEDOR]],PROVEEDORES[FECHA DE PAGO],"")</f>
        <v>2749000</v>
      </c>
      <c r="E1644" s="25"/>
      <c r="F1644" s="58">
        <f>+VLOOKUP(PROVEEDORES[[#This Row],[PROVEEDOR]],
                       Terceros!$A:$F,
                       5,
                       FALSE)</f>
        <v>0</v>
      </c>
      <c r="G1644" s="161">
        <v>44382</v>
      </c>
      <c r="H1644" s="26" t="s">
        <v>649</v>
      </c>
      <c r="I1644" s="161">
        <v>44273</v>
      </c>
      <c r="J1644" s="35" t="s">
        <v>1196</v>
      </c>
      <c r="K1644" s="21">
        <v>2668000</v>
      </c>
      <c r="L1644" s="21"/>
      <c r="M1644" s="22">
        <f>(PROVEEDORES[[#This Row],[SUBTOTAL]]-PROVEEDORES[[#This Row],[descuento sobre subtotal]])*VLOOKUP(PROVEEDORES[[#This Row],[PROVEEDOR]],TERCEROS_INFO[#All],3,FALSE)</f>
        <v>0</v>
      </c>
      <c r="N1644" s="23"/>
      <c r="O1644" s="22">
        <f>+PROVEEDORES[[#This Row],[Descuento sobre subtotal %]]*(PROVEEDORES[[#This Row],[SUBTOTAL]]-PROVEEDORES[[#This Row],[descuento sobre subtotal]])</f>
        <v>0</v>
      </c>
      <c r="P1644" s="83">
        <f>+IF(PROVEEDORES[[#This Row],[SUBTOTAL]]&lt;PROVEEDORES[[#This Row],[base retencion]],0,PROVEEDORES[[#This Row],[retención aplicada]])</f>
        <v>0</v>
      </c>
      <c r="Q1644" s="22">
        <f>+PROVEEDORES[[#This Row],[Rete Fuente %]]*(PROVEEDORES[[#This Row],[SUBTOTAL]]-PROVEEDORES[[#This Row],[descuento sobre subtotal]])</f>
        <v>0</v>
      </c>
      <c r="R1644" s="21">
        <f>+PROVEEDORES[[#This Row],[SUBTOTAL]]+PROVEEDORES[[#This Row],[IVA 19%]]-PROVEEDORES[[#This Row],[descuento sobre subtotal]]-PROVEEDORES[[#This Row],[Descuento sobre subtotal $2]]-PROVEEDORES[[#This Row],[Rete Fuente $]]</f>
        <v>2668000</v>
      </c>
      <c r="S16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4" s="68">
        <f ca="1">IF(PROVEEDORES[[#This Row],[FECHA DE PAGO]]=0,TODAY()-PROVEEDORES[[#This Row],[FECHA DE FACTURACIÓN]]-PROVEEDORES[[#This Row],[PLAZO Días]],0)</f>
        <v>0</v>
      </c>
      <c r="U1644" s="96">
        <f>+VLOOKUP(PROVEEDORES[[#This Row],[PROVEEDOR]],Terceros!$A:$D,4,FALSE)</f>
        <v>0</v>
      </c>
      <c r="V1644" s="97">
        <f>+YEAR(PROVEEDORES[[#This Row],[FECHA DE FACTURACIÓN]])</f>
        <v>2021</v>
      </c>
      <c r="W1644" s="97">
        <f>+MATCH(PROVEEDORES[[#This Row],[año facturado]],Retenciones!$1:$1,0)</f>
        <v>4</v>
      </c>
      <c r="X1644" s="98">
        <f>+VLOOKUP(PROVEEDORES[[#This Row],[ID RETENCION]],Retenciones!$A$1:$O$25,PROVEEDORES[[#This Row],[indicador de columna]],FALSE)</f>
        <v>0</v>
      </c>
      <c r="Y1644" s="99">
        <f>+VLOOKUP(PROVEEDORES[[#This Row],[ID RETENCION]],Retenciones!$A$1:$O$25,2,FALSE)</f>
        <v>0</v>
      </c>
      <c r="Z1644" s="125" t="b">
        <f>OR(COUNTIF(PROVEEDORES[[#This Row],[PROVEEDOR]],"*"&amp;'Palabra no opera'!$A$2&amp;"*"))</f>
        <v>0</v>
      </c>
    </row>
    <row r="1645" spans="1:26" ht="22.2" customHeight="1" x14ac:dyDescent="0.3">
      <c r="A1645" s="66" t="str">
        <f>+IF(PROVEEDORES[[#This Row],[FECHA DE PAGO]]=PROVEEDORES[[#This Row],[FECHA DE FACTURACIÓN]],"DE CONTADO","CRÉDITO")</f>
        <v>CRÉDITO</v>
      </c>
      <c r="B1645" s="38" t="str">
        <f>+IF((PROVEEDORES[[#This Row],[FECHA DE PAGO]]-PROVEEDORES[[#This Row],[FECHA DE FACTURACIÓN]])&gt;PROVEEDORES[[#This Row],[PLAZO Días]],"PAGO VENCIDO")</f>
        <v>PAGO VENCIDO</v>
      </c>
      <c r="C1645" s="20">
        <f>+VLOOKUP(PROVEEDORES[[#This Row],[PROVEEDOR]],TERCEROS_INFO[#All],2,FALSE)</f>
        <v>30</v>
      </c>
      <c r="D1645" s="25">
        <f>+SUMIFS(PROVEEDORES[Total],PROVEEDORES[PROVEEDOR],PROVEEDORES[[#This Row],[PROVEEDOR]],PROVEEDORES[FECHA DE PAGO],"")</f>
        <v>0</v>
      </c>
      <c r="E1645" s="25"/>
      <c r="F1645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645" s="161">
        <v>44537</v>
      </c>
      <c r="H1645" s="26" t="s">
        <v>33</v>
      </c>
      <c r="I1645" s="161">
        <v>44447</v>
      </c>
      <c r="J1645" s="35">
        <v>1408</v>
      </c>
      <c r="K1645" s="21">
        <v>2298000</v>
      </c>
      <c r="L1645" s="21"/>
      <c r="M1645" s="22">
        <f>(PROVEEDORES[[#This Row],[SUBTOTAL]]-PROVEEDORES[[#This Row],[descuento sobre subtotal]])*VLOOKUP(PROVEEDORES[[#This Row],[PROVEEDOR]],TERCEROS_INFO[#All],3,FALSE)</f>
        <v>436620</v>
      </c>
      <c r="N1645" s="23"/>
      <c r="O1645" s="22">
        <f>+PROVEEDORES[[#This Row],[Descuento sobre subtotal %]]*(PROVEEDORES[[#This Row],[SUBTOTAL]]-PROVEEDORES[[#This Row],[descuento sobre subtotal]])</f>
        <v>0</v>
      </c>
      <c r="P1645" s="83">
        <f>+IF(PROVEEDORES[[#This Row],[SUBTOTAL]]&lt;PROVEEDORES[[#This Row],[base retencion]],0,PROVEEDORES[[#This Row],[retención aplicada]])</f>
        <v>2.5000000000000001E-2</v>
      </c>
      <c r="Q1645" s="22">
        <f>+PROVEEDORES[[#This Row],[Rete Fuente %]]*(PROVEEDORES[[#This Row],[SUBTOTAL]]-PROVEEDORES[[#This Row],[descuento sobre subtotal]])</f>
        <v>57450</v>
      </c>
      <c r="R1645" s="21">
        <f>+PROVEEDORES[[#This Row],[SUBTOTAL]]+PROVEEDORES[[#This Row],[IVA 19%]]-PROVEEDORES[[#This Row],[descuento sobre subtotal]]-PROVEEDORES[[#This Row],[Descuento sobre subtotal $2]]-PROVEEDORES[[#This Row],[Rete Fuente $]]</f>
        <v>2677170</v>
      </c>
      <c r="S16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5" s="68">
        <f ca="1">IF(PROVEEDORES[[#This Row],[FECHA DE PAGO]]=0,TODAY()-PROVEEDORES[[#This Row],[FECHA DE FACTURACIÓN]]-PROVEEDORES[[#This Row],[PLAZO Días]],0)</f>
        <v>0</v>
      </c>
      <c r="U1645" s="96" t="str">
        <f>+VLOOKUP(PROVEEDORES[[#This Row],[PROVEEDOR]],Terceros!$A:$D,4,FALSE)</f>
        <v>2,5% con base</v>
      </c>
      <c r="V1645" s="97">
        <f>+YEAR(PROVEEDORES[[#This Row],[FECHA DE FACTURACIÓN]])</f>
        <v>2021</v>
      </c>
      <c r="W1645" s="97">
        <f>+MATCH(PROVEEDORES[[#This Row],[año facturado]],Retenciones!$1:$1,0)</f>
        <v>4</v>
      </c>
      <c r="X1645" s="98">
        <f>+VLOOKUP(PROVEEDORES[[#This Row],[ID RETENCION]],Retenciones!$A$1:$O$25,PROVEEDORES[[#This Row],[indicador de columna]],FALSE)</f>
        <v>980000</v>
      </c>
      <c r="Y1645" s="99">
        <f>+VLOOKUP(PROVEEDORES[[#This Row],[ID RETENCION]],Retenciones!$A$1:$O$25,2,FALSE)</f>
        <v>2.5000000000000001E-2</v>
      </c>
      <c r="Z1645" s="125" t="b">
        <f>OR(COUNTIF(PROVEEDORES[[#This Row],[PROVEEDOR]],"*"&amp;'Palabra no opera'!$A$2&amp;"*"))</f>
        <v>0</v>
      </c>
    </row>
    <row r="1646" spans="1:26" ht="22.2" customHeight="1" x14ac:dyDescent="0.3">
      <c r="A1646" s="66" t="str">
        <f>+IF(PROVEEDORES[[#This Row],[FECHA DE PAGO]]=PROVEEDORES[[#This Row],[FECHA DE FACTURACIÓN]],"DE CONTADO","CRÉDITO")</f>
        <v>CRÉDITO</v>
      </c>
      <c r="B1646" s="38" t="str">
        <f>+IF((PROVEEDORES[[#This Row],[FECHA DE PAGO]]-PROVEEDORES[[#This Row],[FECHA DE FACTURACIÓN]])&gt;PROVEEDORES[[#This Row],[PLAZO Días]],"PAGO VENCIDO")</f>
        <v>PAGO VENCIDO</v>
      </c>
      <c r="C1646" s="20">
        <f>+VLOOKUP(PROVEEDORES[[#This Row],[PROVEEDOR]],TERCEROS_INFO[#All],2,FALSE)</f>
        <v>30</v>
      </c>
      <c r="D1646" s="25">
        <f>+SUMIFS(PROVEEDORES[Total],PROVEEDORES[PROVEEDOR],PROVEEDORES[[#This Row],[PROVEEDOR]],PROVEEDORES[FECHA DE PAGO],"")</f>
        <v>0</v>
      </c>
      <c r="E1646" s="25"/>
      <c r="F164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646" s="161">
        <v>44523</v>
      </c>
      <c r="H1646" s="26" t="s">
        <v>746</v>
      </c>
      <c r="I1646" s="161">
        <v>44460</v>
      </c>
      <c r="J1646" s="35">
        <v>1759</v>
      </c>
      <c r="K1646" s="21">
        <v>2299075.62</v>
      </c>
      <c r="L1646" s="21"/>
      <c r="M1646" s="22">
        <f>(PROVEEDORES[[#This Row],[SUBTOTAL]]-PROVEEDORES[[#This Row],[descuento sobre subtotal]])*VLOOKUP(PROVEEDORES[[#This Row],[PROVEEDOR]],TERCEROS_INFO[#All],3,FALSE)</f>
        <v>436824.36780000001</v>
      </c>
      <c r="N1646" s="23"/>
      <c r="O1646" s="22">
        <f>+PROVEEDORES[[#This Row],[Descuento sobre subtotal %]]*(PROVEEDORES[[#This Row],[SUBTOTAL]]-PROVEEDORES[[#This Row],[descuento sobre subtotal]])</f>
        <v>0</v>
      </c>
      <c r="P1646" s="83">
        <f>+IF(PROVEEDORES[[#This Row],[SUBTOTAL]]&lt;PROVEEDORES[[#This Row],[base retencion]],0,PROVEEDORES[[#This Row],[retención aplicada]])</f>
        <v>2.5000000000000001E-2</v>
      </c>
      <c r="Q1646" s="22">
        <f>+PROVEEDORES[[#This Row],[Rete Fuente %]]*(PROVEEDORES[[#This Row],[SUBTOTAL]]-PROVEEDORES[[#This Row],[descuento sobre subtotal]])</f>
        <v>57476.890500000009</v>
      </c>
      <c r="R1646" s="21">
        <f>+PROVEEDORES[[#This Row],[SUBTOTAL]]+PROVEEDORES[[#This Row],[IVA 19%]]-PROVEEDORES[[#This Row],[descuento sobre subtotal]]-PROVEEDORES[[#This Row],[Descuento sobre subtotal $2]]-PROVEEDORES[[#This Row],[Rete Fuente $]]</f>
        <v>2678423.0973</v>
      </c>
      <c r="S16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6" s="68">
        <f ca="1">IF(PROVEEDORES[[#This Row],[FECHA DE PAGO]]=0,TODAY()-PROVEEDORES[[#This Row],[FECHA DE FACTURACIÓN]]-PROVEEDORES[[#This Row],[PLAZO Días]],0)</f>
        <v>0</v>
      </c>
      <c r="U1646" s="96" t="str">
        <f>+VLOOKUP(PROVEEDORES[[#This Row],[PROVEEDOR]],Terceros!$A:$D,4,FALSE)</f>
        <v>2,5% con base</v>
      </c>
      <c r="V1646" s="97">
        <f>+YEAR(PROVEEDORES[[#This Row],[FECHA DE FACTURACIÓN]])</f>
        <v>2021</v>
      </c>
      <c r="W1646" s="97">
        <f>+MATCH(PROVEEDORES[[#This Row],[año facturado]],Retenciones!$1:$1,0)</f>
        <v>4</v>
      </c>
      <c r="X1646" s="98">
        <f>+VLOOKUP(PROVEEDORES[[#This Row],[ID RETENCION]],Retenciones!$A$1:$O$25,PROVEEDORES[[#This Row],[indicador de columna]],FALSE)</f>
        <v>980000</v>
      </c>
      <c r="Y1646" s="99">
        <f>+VLOOKUP(PROVEEDORES[[#This Row],[ID RETENCION]],Retenciones!$A$1:$O$25,2,FALSE)</f>
        <v>2.5000000000000001E-2</v>
      </c>
      <c r="Z1646" s="125" t="b">
        <f>OR(COUNTIF(PROVEEDORES[[#This Row],[PROVEEDOR]],"*"&amp;'Palabra no opera'!$A$2&amp;"*"))</f>
        <v>0</v>
      </c>
    </row>
    <row r="1647" spans="1:26" ht="22.2" customHeight="1" x14ac:dyDescent="0.3">
      <c r="A1647" s="66" t="str">
        <f>+IF(PROVEEDORES[[#This Row],[FECHA DE PAGO]]=PROVEEDORES[[#This Row],[FECHA DE FACTURACIÓN]],"DE CONTADO","CRÉDITO")</f>
        <v>CRÉDITO</v>
      </c>
      <c r="B1647" s="38" t="str">
        <f>+IF((PROVEEDORES[[#This Row],[FECHA DE PAGO]]-PROVEEDORES[[#This Row],[FECHA DE FACTURACIÓN]])&gt;PROVEEDORES[[#This Row],[PLAZO Días]],"PAGO VENCIDO")</f>
        <v>PAGO VENCIDO</v>
      </c>
      <c r="C1647" s="20">
        <f>+VLOOKUP(PROVEEDORES[[#This Row],[PROVEEDOR]],TERCEROS_INFO[#All],2,FALSE)</f>
        <v>30</v>
      </c>
      <c r="D1647" s="25">
        <f>+SUMIFS(PROVEEDORES[Total],PROVEEDORES[PROVEEDOR],PROVEEDORES[[#This Row],[PROVEEDOR]],PROVEEDORES[FECHA DE PAGO],"")</f>
        <v>0</v>
      </c>
      <c r="E1647" s="25"/>
      <c r="F1647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1647" s="161">
        <v>44552</v>
      </c>
      <c r="H1647" s="26" t="s">
        <v>422</v>
      </c>
      <c r="I1647" s="161">
        <v>44518</v>
      </c>
      <c r="J1647" s="35">
        <v>10765</v>
      </c>
      <c r="K1647" s="21">
        <v>2304000</v>
      </c>
      <c r="L1647" s="21"/>
      <c r="M1647" s="22">
        <f>(PROVEEDORES[[#This Row],[SUBTOTAL]]-PROVEEDORES[[#This Row],[descuento sobre subtotal]])*VLOOKUP(PROVEEDORES[[#This Row],[PROVEEDOR]],TERCEROS_INFO[#All],3,FALSE)</f>
        <v>437760</v>
      </c>
      <c r="N1647" s="23"/>
      <c r="O1647" s="22">
        <f>+PROVEEDORES[[#This Row],[Descuento sobre subtotal %]]*(PROVEEDORES[[#This Row],[SUBTOTAL]]-PROVEEDORES[[#This Row],[descuento sobre subtotal]])</f>
        <v>0</v>
      </c>
      <c r="P1647" s="83">
        <f>+IF(PROVEEDORES[[#This Row],[SUBTOTAL]]&lt;PROVEEDORES[[#This Row],[base retencion]],0,PROVEEDORES[[#This Row],[retención aplicada]])</f>
        <v>2.5000000000000001E-2</v>
      </c>
      <c r="Q1647" s="22">
        <f>+PROVEEDORES[[#This Row],[Rete Fuente %]]*(PROVEEDORES[[#This Row],[SUBTOTAL]]-PROVEEDORES[[#This Row],[descuento sobre subtotal]])</f>
        <v>57600</v>
      </c>
      <c r="R1647" s="21">
        <f>+PROVEEDORES[[#This Row],[SUBTOTAL]]+PROVEEDORES[[#This Row],[IVA 19%]]-PROVEEDORES[[#This Row],[descuento sobre subtotal]]-PROVEEDORES[[#This Row],[Descuento sobre subtotal $2]]-PROVEEDORES[[#This Row],[Rete Fuente $]]</f>
        <v>2684160</v>
      </c>
      <c r="S16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7" s="68">
        <f ca="1">IF(PROVEEDORES[[#This Row],[FECHA DE PAGO]]=0,TODAY()-PROVEEDORES[[#This Row],[FECHA DE FACTURACIÓN]]-PROVEEDORES[[#This Row],[PLAZO Días]],0)</f>
        <v>0</v>
      </c>
      <c r="U1647" s="96" t="str">
        <f>+VLOOKUP(PROVEEDORES[[#This Row],[PROVEEDOR]],Terceros!$A:$D,4,FALSE)</f>
        <v>2,5% con base</v>
      </c>
      <c r="V1647" s="97">
        <f>+YEAR(PROVEEDORES[[#This Row],[FECHA DE FACTURACIÓN]])</f>
        <v>2021</v>
      </c>
      <c r="W1647" s="97">
        <f>+MATCH(PROVEEDORES[[#This Row],[año facturado]],Retenciones!$1:$1,0)</f>
        <v>4</v>
      </c>
      <c r="X1647" s="98">
        <f>+VLOOKUP(PROVEEDORES[[#This Row],[ID RETENCION]],Retenciones!$A$1:$O$25,PROVEEDORES[[#This Row],[indicador de columna]],FALSE)</f>
        <v>980000</v>
      </c>
      <c r="Y1647" s="99">
        <f>+VLOOKUP(PROVEEDORES[[#This Row],[ID RETENCION]],Retenciones!$A$1:$O$25,2,FALSE)</f>
        <v>2.5000000000000001E-2</v>
      </c>
      <c r="Z1647" s="125" t="b">
        <f>OR(COUNTIF(PROVEEDORES[[#This Row],[PROVEEDOR]],"*"&amp;'Palabra no opera'!$A$2&amp;"*"))</f>
        <v>0</v>
      </c>
    </row>
    <row r="1648" spans="1:26" ht="22.2" customHeight="1" x14ac:dyDescent="0.3">
      <c r="A1648" s="66" t="str">
        <f>+IF(PROVEEDORES[[#This Row],[FECHA DE PAGO]]=PROVEEDORES[[#This Row],[FECHA DE FACTURACIÓN]],"DE CONTADO","CRÉDITO")</f>
        <v>CRÉDITO</v>
      </c>
      <c r="B1648" s="38" t="b">
        <f>+IF((PROVEEDORES[[#This Row],[FECHA DE PAGO]]-PROVEEDORES[[#This Row],[FECHA DE FACTURACIÓN]])&gt;PROVEEDORES[[#This Row],[PLAZO Días]],"PAGO VENCIDO")</f>
        <v>0</v>
      </c>
      <c r="C1648" s="20">
        <f>+VLOOKUP(PROVEEDORES[[#This Row],[PROVEEDOR]],TERCEROS_INFO[#All],2,FALSE)</f>
        <v>30</v>
      </c>
      <c r="D1648" s="25">
        <f>+SUMIFS(PROVEEDORES[Total],PROVEEDORES[PROVEEDOR],PROVEEDORES[[#This Row],[PROVEEDOR]],PROVEEDORES[FECHA DE PAGO],"")</f>
        <v>0</v>
      </c>
      <c r="E1648" s="25"/>
      <c r="F164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48" s="161">
        <v>44250</v>
      </c>
      <c r="H1648" s="26" t="s">
        <v>925</v>
      </c>
      <c r="I1648" s="161">
        <v>44228</v>
      </c>
      <c r="J1648" s="35" t="s">
        <v>1191</v>
      </c>
      <c r="K1648" s="21">
        <v>2789636</v>
      </c>
      <c r="L1648" s="21"/>
      <c r="M1648" s="22">
        <f>(PROVEEDORES[[#This Row],[SUBTOTAL]]-PROVEEDORES[[#This Row],[descuento sobre subtotal]])*VLOOKUP(PROVEEDORES[[#This Row],[PROVEEDOR]],TERCEROS_INFO[#All],3,FALSE)</f>
        <v>0</v>
      </c>
      <c r="N1648" s="23"/>
      <c r="O1648" s="22">
        <f>+PROVEEDORES[[#This Row],[Descuento sobre subtotal %]]*(PROVEEDORES[[#This Row],[SUBTOTAL]]-PROVEEDORES[[#This Row],[descuento sobre subtotal]])</f>
        <v>0</v>
      </c>
      <c r="P1648" s="83">
        <f>+IF(PROVEEDORES[[#This Row],[SUBTOTAL]]&lt;PROVEEDORES[[#This Row],[base retencion]],0,PROVEEDORES[[#This Row],[retención aplicada]])</f>
        <v>3.5000000000000003E-2</v>
      </c>
      <c r="Q1648" s="22">
        <f>+PROVEEDORES[[#This Row],[Rete Fuente %]]*(PROVEEDORES[[#This Row],[SUBTOTAL]]-PROVEEDORES[[#This Row],[descuento sobre subtotal]])</f>
        <v>97637.260000000009</v>
      </c>
      <c r="R1648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8" s="68">
        <f ca="1">IF(PROVEEDORES[[#This Row],[FECHA DE PAGO]]=0,TODAY()-PROVEEDORES[[#This Row],[FECHA DE FACTURACIÓN]]-PROVEEDORES[[#This Row],[PLAZO Días]],0)</f>
        <v>0</v>
      </c>
      <c r="U1648" s="96" t="str">
        <f>+VLOOKUP(PROVEEDORES[[#This Row],[PROVEEDOR]],Terceros!$A:$D,4,FALSE)</f>
        <v>3,5% sin base</v>
      </c>
      <c r="V1648" s="97">
        <f>+YEAR(PROVEEDORES[[#This Row],[FECHA DE FACTURACIÓN]])</f>
        <v>2021</v>
      </c>
      <c r="W1648" s="97">
        <f>+MATCH(PROVEEDORES[[#This Row],[año facturado]],Retenciones!$1:$1,0)</f>
        <v>4</v>
      </c>
      <c r="X1648" s="98">
        <f>+VLOOKUP(PROVEEDORES[[#This Row],[ID RETENCION]],Retenciones!$A$1:$O$25,PROVEEDORES[[#This Row],[indicador de columna]],FALSE)</f>
        <v>0</v>
      </c>
      <c r="Y1648" s="99">
        <f>+VLOOKUP(PROVEEDORES[[#This Row],[ID RETENCION]],Retenciones!$A$1:$O$25,2,FALSE)</f>
        <v>3.5000000000000003E-2</v>
      </c>
      <c r="Z1648" s="125" t="b">
        <f>OR(COUNTIF(PROVEEDORES[[#This Row],[PROVEEDOR]],"*"&amp;'Palabra no opera'!$A$2&amp;"*"))</f>
        <v>1</v>
      </c>
    </row>
    <row r="1649" spans="1:26" ht="22.2" customHeight="1" x14ac:dyDescent="0.3">
      <c r="A1649" s="66" t="str">
        <f>+IF(PROVEEDORES[[#This Row],[FECHA DE PAGO]]=PROVEEDORES[[#This Row],[FECHA DE FACTURACIÓN]],"DE CONTADO","CRÉDITO")</f>
        <v>CRÉDITO</v>
      </c>
      <c r="B1649" s="38" t="b">
        <f>+IF((PROVEEDORES[[#This Row],[FECHA DE PAGO]]-PROVEEDORES[[#This Row],[FECHA DE FACTURACIÓN]])&gt;PROVEEDORES[[#This Row],[PLAZO Días]],"PAGO VENCIDO")</f>
        <v>0</v>
      </c>
      <c r="C1649" s="20">
        <f>+VLOOKUP(PROVEEDORES[[#This Row],[PROVEEDOR]],TERCEROS_INFO[#All],2,FALSE)</f>
        <v>30</v>
      </c>
      <c r="D1649" s="25">
        <f>+SUMIFS(PROVEEDORES[Total],PROVEEDORES[PROVEEDOR],PROVEEDORES[[#This Row],[PROVEEDOR]],PROVEEDORES[FECHA DE PAGO],"")</f>
        <v>0</v>
      </c>
      <c r="E1649" s="25"/>
      <c r="F164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49" s="161">
        <v>44284</v>
      </c>
      <c r="H1649" s="26" t="s">
        <v>925</v>
      </c>
      <c r="I1649" s="161">
        <v>44256</v>
      </c>
      <c r="J1649" s="35">
        <v>3831</v>
      </c>
      <c r="K1649" s="21">
        <v>2789636</v>
      </c>
      <c r="L1649" s="21"/>
      <c r="M1649" s="22">
        <f>(PROVEEDORES[[#This Row],[SUBTOTAL]]-PROVEEDORES[[#This Row],[descuento sobre subtotal]])*VLOOKUP(PROVEEDORES[[#This Row],[PROVEEDOR]],TERCEROS_INFO[#All],3,FALSE)</f>
        <v>0</v>
      </c>
      <c r="N1649" s="23"/>
      <c r="O1649" s="22">
        <f>+PROVEEDORES[[#This Row],[Descuento sobre subtotal %]]*(PROVEEDORES[[#This Row],[SUBTOTAL]]-PROVEEDORES[[#This Row],[descuento sobre subtotal]])</f>
        <v>0</v>
      </c>
      <c r="P1649" s="83">
        <f>+IF(PROVEEDORES[[#This Row],[SUBTOTAL]]&lt;PROVEEDORES[[#This Row],[base retencion]],0,PROVEEDORES[[#This Row],[retención aplicada]])</f>
        <v>3.5000000000000003E-2</v>
      </c>
      <c r="Q1649" s="22">
        <f>+PROVEEDORES[[#This Row],[Rete Fuente %]]*(PROVEEDORES[[#This Row],[SUBTOTAL]]-PROVEEDORES[[#This Row],[descuento sobre subtotal]])</f>
        <v>97637.260000000009</v>
      </c>
      <c r="R1649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9" s="68">
        <f ca="1">IF(PROVEEDORES[[#This Row],[FECHA DE PAGO]]=0,TODAY()-PROVEEDORES[[#This Row],[FECHA DE FACTURACIÓN]]-PROVEEDORES[[#This Row],[PLAZO Días]],0)</f>
        <v>0</v>
      </c>
      <c r="U1649" s="96" t="str">
        <f>+VLOOKUP(PROVEEDORES[[#This Row],[PROVEEDOR]],Terceros!$A:$D,4,FALSE)</f>
        <v>3,5% sin base</v>
      </c>
      <c r="V1649" s="97">
        <f>+YEAR(PROVEEDORES[[#This Row],[FECHA DE FACTURACIÓN]])</f>
        <v>2021</v>
      </c>
      <c r="W1649" s="97">
        <f>+MATCH(PROVEEDORES[[#This Row],[año facturado]],Retenciones!$1:$1,0)</f>
        <v>4</v>
      </c>
      <c r="X1649" s="98">
        <f>+VLOOKUP(PROVEEDORES[[#This Row],[ID RETENCION]],Retenciones!$A$1:$O$25,PROVEEDORES[[#This Row],[indicador de columna]],FALSE)</f>
        <v>0</v>
      </c>
      <c r="Y1649" s="99">
        <f>+VLOOKUP(PROVEEDORES[[#This Row],[ID RETENCION]],Retenciones!$A$1:$O$25,2,FALSE)</f>
        <v>3.5000000000000003E-2</v>
      </c>
      <c r="Z1649" s="125" t="b">
        <f>OR(COUNTIF(PROVEEDORES[[#This Row],[PROVEEDOR]],"*"&amp;'Palabra no opera'!$A$2&amp;"*"))</f>
        <v>1</v>
      </c>
    </row>
    <row r="1650" spans="1:26" ht="22.2" customHeight="1" x14ac:dyDescent="0.3">
      <c r="A1650" s="66" t="str">
        <f>+IF(PROVEEDORES[[#This Row],[FECHA DE PAGO]]=PROVEEDORES[[#This Row],[FECHA DE FACTURACIÓN]],"DE CONTADO","CRÉDITO")</f>
        <v>CRÉDITO</v>
      </c>
      <c r="B1650" s="38" t="b">
        <f>+IF((PROVEEDORES[[#This Row],[FECHA DE PAGO]]-PROVEEDORES[[#This Row],[FECHA DE FACTURACIÓN]])&gt;PROVEEDORES[[#This Row],[PLAZO Días]],"PAGO VENCIDO")</f>
        <v>0</v>
      </c>
      <c r="C1650" s="20">
        <f>+VLOOKUP(PROVEEDORES[[#This Row],[PROVEEDOR]],TERCEROS_INFO[#All],2,FALSE)</f>
        <v>30</v>
      </c>
      <c r="D1650" s="25">
        <f>+SUMIFS(PROVEEDORES[Total],PROVEEDORES[PROVEEDOR],PROVEEDORES[[#This Row],[PROVEEDOR]],PROVEEDORES[FECHA DE PAGO],"")</f>
        <v>0</v>
      </c>
      <c r="E1650" s="25"/>
      <c r="F165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0" s="161">
        <v>44369</v>
      </c>
      <c r="H1650" s="26" t="s">
        <v>925</v>
      </c>
      <c r="I1650" s="161">
        <v>44348</v>
      </c>
      <c r="J1650" s="35" t="s">
        <v>1243</v>
      </c>
      <c r="K1650" s="21">
        <v>2789636</v>
      </c>
      <c r="L1650" s="21"/>
      <c r="M1650" s="22">
        <f>(PROVEEDORES[[#This Row],[SUBTOTAL]]-PROVEEDORES[[#This Row],[descuento sobre subtotal]])*VLOOKUP(PROVEEDORES[[#This Row],[PROVEEDOR]],TERCEROS_INFO[#All],3,FALSE)</f>
        <v>0</v>
      </c>
      <c r="N1650" s="23"/>
      <c r="O1650" s="22">
        <f>+PROVEEDORES[[#This Row],[Descuento sobre subtotal %]]*(PROVEEDORES[[#This Row],[SUBTOTAL]]-PROVEEDORES[[#This Row],[descuento sobre subtotal]])</f>
        <v>0</v>
      </c>
      <c r="P1650" s="83">
        <f>+IF(PROVEEDORES[[#This Row],[SUBTOTAL]]&lt;PROVEEDORES[[#This Row],[base retencion]],0,PROVEEDORES[[#This Row],[retención aplicada]])</f>
        <v>3.5000000000000003E-2</v>
      </c>
      <c r="Q1650" s="22">
        <f>+PROVEEDORES[[#This Row],[Rete Fuente %]]*(PROVEEDORES[[#This Row],[SUBTOTAL]]-PROVEEDORES[[#This Row],[descuento sobre subtotal]])</f>
        <v>97637.260000000009</v>
      </c>
      <c r="R1650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0" s="68">
        <f ca="1">IF(PROVEEDORES[[#This Row],[FECHA DE PAGO]]=0,TODAY()-PROVEEDORES[[#This Row],[FECHA DE FACTURACIÓN]]-PROVEEDORES[[#This Row],[PLAZO Días]],0)</f>
        <v>0</v>
      </c>
      <c r="U1650" s="96" t="str">
        <f>+VLOOKUP(PROVEEDORES[[#This Row],[PROVEEDOR]],Terceros!$A:$D,4,FALSE)</f>
        <v>3,5% sin base</v>
      </c>
      <c r="V1650" s="97">
        <f>+YEAR(PROVEEDORES[[#This Row],[FECHA DE FACTURACIÓN]])</f>
        <v>2021</v>
      </c>
      <c r="W1650" s="97">
        <f>+MATCH(PROVEEDORES[[#This Row],[año facturado]],Retenciones!$1:$1,0)</f>
        <v>4</v>
      </c>
      <c r="X1650" s="98">
        <f>+VLOOKUP(PROVEEDORES[[#This Row],[ID RETENCION]],Retenciones!$A$1:$O$25,PROVEEDORES[[#This Row],[indicador de columna]],FALSE)</f>
        <v>0</v>
      </c>
      <c r="Y1650" s="99">
        <f>+VLOOKUP(PROVEEDORES[[#This Row],[ID RETENCION]],Retenciones!$A$1:$O$25,2,FALSE)</f>
        <v>3.5000000000000003E-2</v>
      </c>
      <c r="Z1650" s="125" t="b">
        <f>OR(COUNTIF(PROVEEDORES[[#This Row],[PROVEEDOR]],"*"&amp;'Palabra no opera'!$A$2&amp;"*"))</f>
        <v>1</v>
      </c>
    </row>
    <row r="1651" spans="1:26" ht="22.2" customHeight="1" x14ac:dyDescent="0.3">
      <c r="A1651" s="66" t="str">
        <f>+IF(PROVEEDORES[[#This Row],[FECHA DE PAGO]]=PROVEEDORES[[#This Row],[FECHA DE FACTURACIÓN]],"DE CONTADO","CRÉDITO")</f>
        <v>CRÉDITO</v>
      </c>
      <c r="B1651" s="38" t="b">
        <f>+IF((PROVEEDORES[[#This Row],[FECHA DE PAGO]]-PROVEEDORES[[#This Row],[FECHA DE FACTURACIÓN]])&gt;PROVEEDORES[[#This Row],[PLAZO Días]],"PAGO VENCIDO")</f>
        <v>0</v>
      </c>
      <c r="C1651" s="20">
        <f>+VLOOKUP(PROVEEDORES[[#This Row],[PROVEEDOR]],TERCEROS_INFO[#All],2,FALSE)</f>
        <v>30</v>
      </c>
      <c r="D1651" s="25">
        <f>+SUMIFS(PROVEEDORES[Total],PROVEEDORES[PROVEEDOR],PROVEEDORES[[#This Row],[PROVEEDOR]],PROVEEDORES[FECHA DE PAGO],"")</f>
        <v>0</v>
      </c>
      <c r="E1651" s="25"/>
      <c r="F165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1" s="161">
        <v>44396</v>
      </c>
      <c r="H1651" s="26" t="s">
        <v>925</v>
      </c>
      <c r="I1651" s="161">
        <v>44378</v>
      </c>
      <c r="J1651" s="35" t="s">
        <v>1264</v>
      </c>
      <c r="K1651" s="21">
        <v>2789636</v>
      </c>
      <c r="L1651" s="21"/>
      <c r="M1651" s="22">
        <f>(PROVEEDORES[[#This Row],[SUBTOTAL]]-PROVEEDORES[[#This Row],[descuento sobre subtotal]])*VLOOKUP(PROVEEDORES[[#This Row],[PROVEEDOR]],TERCEROS_INFO[#All],3,FALSE)</f>
        <v>0</v>
      </c>
      <c r="N1651" s="23"/>
      <c r="O1651" s="22">
        <f>+PROVEEDORES[[#This Row],[Descuento sobre subtotal %]]*(PROVEEDORES[[#This Row],[SUBTOTAL]]-PROVEEDORES[[#This Row],[descuento sobre subtotal]])</f>
        <v>0</v>
      </c>
      <c r="P1651" s="83">
        <f>+IF(PROVEEDORES[[#This Row],[SUBTOTAL]]&lt;PROVEEDORES[[#This Row],[base retencion]],0,PROVEEDORES[[#This Row],[retención aplicada]])</f>
        <v>3.5000000000000003E-2</v>
      </c>
      <c r="Q1651" s="22">
        <f>+PROVEEDORES[[#This Row],[Rete Fuente %]]*(PROVEEDORES[[#This Row],[SUBTOTAL]]-PROVEEDORES[[#This Row],[descuento sobre subtotal]])</f>
        <v>97637.260000000009</v>
      </c>
      <c r="R1651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1" s="68">
        <f ca="1">IF(PROVEEDORES[[#This Row],[FECHA DE PAGO]]=0,TODAY()-PROVEEDORES[[#This Row],[FECHA DE FACTURACIÓN]]-PROVEEDORES[[#This Row],[PLAZO Días]],0)</f>
        <v>0</v>
      </c>
      <c r="U1651" s="96" t="str">
        <f>+VLOOKUP(PROVEEDORES[[#This Row],[PROVEEDOR]],Terceros!$A:$D,4,FALSE)</f>
        <v>3,5% sin base</v>
      </c>
      <c r="V1651" s="97">
        <f>+YEAR(PROVEEDORES[[#This Row],[FECHA DE FACTURACIÓN]])</f>
        <v>2021</v>
      </c>
      <c r="W1651" s="97">
        <f>+MATCH(PROVEEDORES[[#This Row],[año facturado]],Retenciones!$1:$1,0)</f>
        <v>4</v>
      </c>
      <c r="X1651" s="98">
        <f>+VLOOKUP(PROVEEDORES[[#This Row],[ID RETENCION]],Retenciones!$A$1:$O$25,PROVEEDORES[[#This Row],[indicador de columna]],FALSE)</f>
        <v>0</v>
      </c>
      <c r="Y1651" s="99">
        <f>+VLOOKUP(PROVEEDORES[[#This Row],[ID RETENCION]],Retenciones!$A$1:$O$25,2,FALSE)</f>
        <v>3.5000000000000003E-2</v>
      </c>
      <c r="Z1651" s="125" t="b">
        <f>OR(COUNTIF(PROVEEDORES[[#This Row],[PROVEEDOR]],"*"&amp;'Palabra no opera'!$A$2&amp;"*"))</f>
        <v>1</v>
      </c>
    </row>
    <row r="1652" spans="1:26" ht="22.2" customHeight="1" x14ac:dyDescent="0.3">
      <c r="A1652" s="66" t="str">
        <f>+IF(PROVEEDORES[[#This Row],[FECHA DE PAGO]]=PROVEEDORES[[#This Row],[FECHA DE FACTURACIÓN]],"DE CONTADO","CRÉDITO")</f>
        <v>CRÉDITO</v>
      </c>
      <c r="B1652" s="38" t="str">
        <f>+IF((PROVEEDORES[[#This Row],[FECHA DE PAGO]]-PROVEEDORES[[#This Row],[FECHA DE FACTURACIÓN]])&gt;PROVEEDORES[[#This Row],[PLAZO Días]],"PAGO VENCIDO")</f>
        <v>PAGO VENCIDO</v>
      </c>
      <c r="C1652" s="20">
        <f>+VLOOKUP(PROVEEDORES[[#This Row],[PROVEEDOR]],TERCEROS_INFO[#All],2,FALSE)</f>
        <v>30</v>
      </c>
      <c r="D1652" s="25">
        <f>+SUMIFS(PROVEEDORES[Total],PROVEEDORES[PROVEEDOR],PROVEEDORES[[#This Row],[PROVEEDOR]],PROVEEDORES[FECHA DE PAGO],"")</f>
        <v>0</v>
      </c>
      <c r="E1652" s="25"/>
      <c r="F1652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2" s="161">
        <v>44432</v>
      </c>
      <c r="H1652" s="26" t="s">
        <v>925</v>
      </c>
      <c r="I1652" s="161">
        <v>44287</v>
      </c>
      <c r="J1652" s="35" t="s">
        <v>1202</v>
      </c>
      <c r="K1652" s="21">
        <v>2789636</v>
      </c>
      <c r="L1652" s="21"/>
      <c r="M1652" s="22">
        <f>(PROVEEDORES[[#This Row],[SUBTOTAL]]-PROVEEDORES[[#This Row],[descuento sobre subtotal]])*VLOOKUP(PROVEEDORES[[#This Row],[PROVEEDOR]],TERCEROS_INFO[#All],3,FALSE)</f>
        <v>0</v>
      </c>
      <c r="N1652" s="23"/>
      <c r="O1652" s="22">
        <f>+PROVEEDORES[[#This Row],[Descuento sobre subtotal %]]*(PROVEEDORES[[#This Row],[SUBTOTAL]]-PROVEEDORES[[#This Row],[descuento sobre subtotal]])</f>
        <v>0</v>
      </c>
      <c r="P1652" s="83">
        <f>+IF(PROVEEDORES[[#This Row],[SUBTOTAL]]&lt;PROVEEDORES[[#This Row],[base retencion]],0,PROVEEDORES[[#This Row],[retención aplicada]])</f>
        <v>3.5000000000000003E-2</v>
      </c>
      <c r="Q1652" s="22">
        <f>+PROVEEDORES[[#This Row],[Rete Fuente %]]*(PROVEEDORES[[#This Row],[SUBTOTAL]]-PROVEEDORES[[#This Row],[descuento sobre subtotal]])</f>
        <v>97637.260000000009</v>
      </c>
      <c r="R1652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2" s="68">
        <f ca="1">IF(PROVEEDORES[[#This Row],[FECHA DE PAGO]]=0,TODAY()-PROVEEDORES[[#This Row],[FECHA DE FACTURACIÓN]]-PROVEEDORES[[#This Row],[PLAZO Días]],0)</f>
        <v>0</v>
      </c>
      <c r="U1652" s="96" t="str">
        <f>+VLOOKUP(PROVEEDORES[[#This Row],[PROVEEDOR]],Terceros!$A:$D,4,FALSE)</f>
        <v>3,5% sin base</v>
      </c>
      <c r="V1652" s="97">
        <f>+YEAR(PROVEEDORES[[#This Row],[FECHA DE FACTURACIÓN]])</f>
        <v>2021</v>
      </c>
      <c r="W1652" s="97">
        <f>+MATCH(PROVEEDORES[[#This Row],[año facturado]],Retenciones!$1:$1,0)</f>
        <v>4</v>
      </c>
      <c r="X1652" s="98">
        <f>+VLOOKUP(PROVEEDORES[[#This Row],[ID RETENCION]],Retenciones!$A$1:$O$25,PROVEEDORES[[#This Row],[indicador de columna]],FALSE)</f>
        <v>0</v>
      </c>
      <c r="Y1652" s="99">
        <f>+VLOOKUP(PROVEEDORES[[#This Row],[ID RETENCION]],Retenciones!$A$1:$O$25,2,FALSE)</f>
        <v>3.5000000000000003E-2</v>
      </c>
      <c r="Z1652" s="125" t="b">
        <f>OR(COUNTIF(PROVEEDORES[[#This Row],[PROVEEDOR]],"*"&amp;'Palabra no opera'!$A$2&amp;"*"))</f>
        <v>1</v>
      </c>
    </row>
    <row r="1653" spans="1:26" ht="22.2" customHeight="1" x14ac:dyDescent="0.3">
      <c r="A1653" s="66" t="str">
        <f>+IF(PROVEEDORES[[#This Row],[FECHA DE PAGO]]=PROVEEDORES[[#This Row],[FECHA DE FACTURACIÓN]],"DE CONTADO","CRÉDITO")</f>
        <v>CRÉDITO</v>
      </c>
      <c r="B1653" s="38" t="b">
        <f>+IF((PROVEEDORES[[#This Row],[FECHA DE PAGO]]-PROVEEDORES[[#This Row],[FECHA DE FACTURACIÓN]])&gt;PROVEEDORES[[#This Row],[PLAZO Días]],"PAGO VENCIDO")</f>
        <v>0</v>
      </c>
      <c r="C1653" s="20">
        <f>+VLOOKUP(PROVEEDORES[[#This Row],[PROVEEDOR]],TERCEROS_INFO[#All],2,FALSE)</f>
        <v>30</v>
      </c>
      <c r="D1653" s="25">
        <f>+SUMIFS(PROVEEDORES[Total],PROVEEDORES[PROVEEDOR],PROVEEDORES[[#This Row],[PROVEEDOR]],PROVEEDORES[FECHA DE PAGO],"")</f>
        <v>0</v>
      </c>
      <c r="E1653" s="25"/>
      <c r="F165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3" s="161">
        <v>44432</v>
      </c>
      <c r="H1653" s="26" t="s">
        <v>925</v>
      </c>
      <c r="I1653" s="161">
        <v>44409</v>
      </c>
      <c r="J1653" s="35" t="s">
        <v>1277</v>
      </c>
      <c r="K1653" s="21">
        <v>2789636</v>
      </c>
      <c r="L1653" s="21"/>
      <c r="M1653" s="22">
        <f>(PROVEEDORES[[#This Row],[SUBTOTAL]]-PROVEEDORES[[#This Row],[descuento sobre subtotal]])*VLOOKUP(PROVEEDORES[[#This Row],[PROVEEDOR]],TERCEROS_INFO[#All],3,FALSE)</f>
        <v>0</v>
      </c>
      <c r="N1653" s="23"/>
      <c r="O1653" s="22">
        <f>+PROVEEDORES[[#This Row],[Descuento sobre subtotal %]]*(PROVEEDORES[[#This Row],[SUBTOTAL]]-PROVEEDORES[[#This Row],[descuento sobre subtotal]])</f>
        <v>0</v>
      </c>
      <c r="P1653" s="83">
        <f>+IF(PROVEEDORES[[#This Row],[SUBTOTAL]]&lt;PROVEEDORES[[#This Row],[base retencion]],0,PROVEEDORES[[#This Row],[retención aplicada]])</f>
        <v>3.5000000000000003E-2</v>
      </c>
      <c r="Q1653" s="22">
        <f>+PROVEEDORES[[#This Row],[Rete Fuente %]]*(PROVEEDORES[[#This Row],[SUBTOTAL]]-PROVEEDORES[[#This Row],[descuento sobre subtotal]])</f>
        <v>97637.260000000009</v>
      </c>
      <c r="R1653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3" s="68">
        <f ca="1">IF(PROVEEDORES[[#This Row],[FECHA DE PAGO]]=0,TODAY()-PROVEEDORES[[#This Row],[FECHA DE FACTURACIÓN]]-PROVEEDORES[[#This Row],[PLAZO Días]],0)</f>
        <v>0</v>
      </c>
      <c r="U1653" s="96" t="str">
        <f>+VLOOKUP(PROVEEDORES[[#This Row],[PROVEEDOR]],Terceros!$A:$D,4,FALSE)</f>
        <v>3,5% sin base</v>
      </c>
      <c r="V1653" s="97">
        <f>+YEAR(PROVEEDORES[[#This Row],[FECHA DE FACTURACIÓN]])</f>
        <v>2021</v>
      </c>
      <c r="W1653" s="97">
        <f>+MATCH(PROVEEDORES[[#This Row],[año facturado]],Retenciones!$1:$1,0)</f>
        <v>4</v>
      </c>
      <c r="X1653" s="98">
        <f>+VLOOKUP(PROVEEDORES[[#This Row],[ID RETENCION]],Retenciones!$A$1:$O$25,PROVEEDORES[[#This Row],[indicador de columna]],FALSE)</f>
        <v>0</v>
      </c>
      <c r="Y1653" s="99">
        <f>+VLOOKUP(PROVEEDORES[[#This Row],[ID RETENCION]],Retenciones!$A$1:$O$25,2,FALSE)</f>
        <v>3.5000000000000003E-2</v>
      </c>
      <c r="Z1653" s="125" t="b">
        <f>OR(COUNTIF(PROVEEDORES[[#This Row],[PROVEEDOR]],"*"&amp;'Palabra no opera'!$A$2&amp;"*"))</f>
        <v>1</v>
      </c>
    </row>
    <row r="1654" spans="1:26" ht="22.2" customHeight="1" x14ac:dyDescent="0.3">
      <c r="A1654" s="66" t="str">
        <f>+IF(PROVEEDORES[[#This Row],[FECHA DE PAGO]]=PROVEEDORES[[#This Row],[FECHA DE FACTURACIÓN]],"DE CONTADO","CRÉDITO")</f>
        <v>CRÉDITO</v>
      </c>
      <c r="B1654" s="38" t="b">
        <f>+IF((PROVEEDORES[[#This Row],[FECHA DE PAGO]]-PROVEEDORES[[#This Row],[FECHA DE FACTURACIÓN]])&gt;PROVEEDORES[[#This Row],[PLAZO Días]],"PAGO VENCIDO")</f>
        <v>0</v>
      </c>
      <c r="C1654" s="20">
        <f>+VLOOKUP(PROVEEDORES[[#This Row],[PROVEEDOR]],TERCEROS_INFO[#All],2,FALSE)</f>
        <v>30</v>
      </c>
      <c r="D1654" s="25">
        <f>+SUMIFS(PROVEEDORES[Total],PROVEEDORES[PROVEEDOR],PROVEEDORES[[#This Row],[PROVEEDOR]],PROVEEDORES[FECHA DE PAGO],"")</f>
        <v>0</v>
      </c>
      <c r="E1654" s="25"/>
      <c r="F165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4" s="161">
        <v>44461</v>
      </c>
      <c r="H1654" s="26" t="s">
        <v>925</v>
      </c>
      <c r="I1654" s="161">
        <v>44440</v>
      </c>
      <c r="J1654" s="35" t="s">
        <v>1301</v>
      </c>
      <c r="K1654" s="21">
        <v>2789636</v>
      </c>
      <c r="L1654" s="21"/>
      <c r="M1654" s="22">
        <f>(PROVEEDORES[[#This Row],[SUBTOTAL]]-PROVEEDORES[[#This Row],[descuento sobre subtotal]])*VLOOKUP(PROVEEDORES[[#This Row],[PROVEEDOR]],TERCEROS_INFO[#All],3,FALSE)</f>
        <v>0</v>
      </c>
      <c r="N1654" s="23"/>
      <c r="O1654" s="22">
        <f>+PROVEEDORES[[#This Row],[Descuento sobre subtotal %]]*(PROVEEDORES[[#This Row],[SUBTOTAL]]-PROVEEDORES[[#This Row],[descuento sobre subtotal]])</f>
        <v>0</v>
      </c>
      <c r="P1654" s="83">
        <f>+IF(PROVEEDORES[[#This Row],[SUBTOTAL]]&lt;PROVEEDORES[[#This Row],[base retencion]],0,PROVEEDORES[[#This Row],[retención aplicada]])</f>
        <v>3.5000000000000003E-2</v>
      </c>
      <c r="Q1654" s="22">
        <f>+PROVEEDORES[[#This Row],[Rete Fuente %]]*(PROVEEDORES[[#This Row],[SUBTOTAL]]-PROVEEDORES[[#This Row],[descuento sobre subtotal]])</f>
        <v>97637.260000000009</v>
      </c>
      <c r="R1654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4" s="68">
        <f ca="1">IF(PROVEEDORES[[#This Row],[FECHA DE PAGO]]=0,TODAY()-PROVEEDORES[[#This Row],[FECHA DE FACTURACIÓN]]-PROVEEDORES[[#This Row],[PLAZO Días]],0)</f>
        <v>0</v>
      </c>
      <c r="U1654" s="96" t="str">
        <f>+VLOOKUP(PROVEEDORES[[#This Row],[PROVEEDOR]],Terceros!$A:$D,4,FALSE)</f>
        <v>3,5% sin base</v>
      </c>
      <c r="V1654" s="97">
        <f>+YEAR(PROVEEDORES[[#This Row],[FECHA DE FACTURACIÓN]])</f>
        <v>2021</v>
      </c>
      <c r="W1654" s="97">
        <f>+MATCH(PROVEEDORES[[#This Row],[año facturado]],Retenciones!$1:$1,0)</f>
        <v>4</v>
      </c>
      <c r="X1654" s="98">
        <f>+VLOOKUP(PROVEEDORES[[#This Row],[ID RETENCION]],Retenciones!$A$1:$O$25,PROVEEDORES[[#This Row],[indicador de columna]],FALSE)</f>
        <v>0</v>
      </c>
      <c r="Y1654" s="99">
        <f>+VLOOKUP(PROVEEDORES[[#This Row],[ID RETENCION]],Retenciones!$A$1:$O$25,2,FALSE)</f>
        <v>3.5000000000000003E-2</v>
      </c>
      <c r="Z1654" s="125" t="b">
        <f>OR(COUNTIF(PROVEEDORES[[#This Row],[PROVEEDOR]],"*"&amp;'Palabra no opera'!$A$2&amp;"*"))</f>
        <v>1</v>
      </c>
    </row>
    <row r="1655" spans="1:26" ht="22.2" customHeight="1" x14ac:dyDescent="0.3">
      <c r="A1655" s="66" t="str">
        <f>+IF(PROVEEDORES[[#This Row],[FECHA DE PAGO]]=PROVEEDORES[[#This Row],[FECHA DE FACTURACIÓN]],"DE CONTADO","CRÉDITO")</f>
        <v>CRÉDITO</v>
      </c>
      <c r="B1655" s="38" t="b">
        <f>+IF((PROVEEDORES[[#This Row],[FECHA DE PAGO]]-PROVEEDORES[[#This Row],[FECHA DE FACTURACIÓN]])&gt;PROVEEDORES[[#This Row],[PLAZO Días]],"PAGO VENCIDO")</f>
        <v>0</v>
      </c>
      <c r="C1655" s="20">
        <f>+VLOOKUP(PROVEEDORES[[#This Row],[PROVEEDOR]],TERCEROS_INFO[#All],2,FALSE)</f>
        <v>30</v>
      </c>
      <c r="D1655" s="25">
        <f>+SUMIFS(PROVEEDORES[Total],PROVEEDORES[PROVEEDOR],PROVEEDORES[[#This Row],[PROVEEDOR]],PROVEEDORES[FECHA DE PAGO],"")</f>
        <v>0</v>
      </c>
      <c r="E1655" s="25"/>
      <c r="F1655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5" s="161">
        <v>44496</v>
      </c>
      <c r="H1655" s="26" t="s">
        <v>925</v>
      </c>
      <c r="I1655" s="161">
        <v>44470</v>
      </c>
      <c r="J1655" s="35" t="s">
        <v>1322</v>
      </c>
      <c r="K1655" s="21">
        <v>2789636</v>
      </c>
      <c r="L1655" s="21"/>
      <c r="M1655" s="22">
        <f>(PROVEEDORES[[#This Row],[SUBTOTAL]]-PROVEEDORES[[#This Row],[descuento sobre subtotal]])*VLOOKUP(PROVEEDORES[[#This Row],[PROVEEDOR]],TERCEROS_INFO[#All],3,FALSE)</f>
        <v>0</v>
      </c>
      <c r="N1655" s="23"/>
      <c r="O1655" s="22">
        <f>+PROVEEDORES[[#This Row],[Descuento sobre subtotal %]]*(PROVEEDORES[[#This Row],[SUBTOTAL]]-PROVEEDORES[[#This Row],[descuento sobre subtotal]])</f>
        <v>0</v>
      </c>
      <c r="P1655" s="83">
        <f>+IF(PROVEEDORES[[#This Row],[SUBTOTAL]]&lt;PROVEEDORES[[#This Row],[base retencion]],0,PROVEEDORES[[#This Row],[retención aplicada]])</f>
        <v>3.5000000000000003E-2</v>
      </c>
      <c r="Q1655" s="22">
        <f>+PROVEEDORES[[#This Row],[Rete Fuente %]]*(PROVEEDORES[[#This Row],[SUBTOTAL]]-PROVEEDORES[[#This Row],[descuento sobre subtotal]])</f>
        <v>97637.260000000009</v>
      </c>
      <c r="R1655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5" s="68">
        <f ca="1">IF(PROVEEDORES[[#This Row],[FECHA DE PAGO]]=0,TODAY()-PROVEEDORES[[#This Row],[FECHA DE FACTURACIÓN]]-PROVEEDORES[[#This Row],[PLAZO Días]],0)</f>
        <v>0</v>
      </c>
      <c r="U1655" s="96" t="str">
        <f>+VLOOKUP(PROVEEDORES[[#This Row],[PROVEEDOR]],Terceros!$A:$D,4,FALSE)</f>
        <v>3,5% sin base</v>
      </c>
      <c r="V1655" s="97">
        <f>+YEAR(PROVEEDORES[[#This Row],[FECHA DE FACTURACIÓN]])</f>
        <v>2021</v>
      </c>
      <c r="W1655" s="97">
        <f>+MATCH(PROVEEDORES[[#This Row],[año facturado]],Retenciones!$1:$1,0)</f>
        <v>4</v>
      </c>
      <c r="X1655" s="98">
        <f>+VLOOKUP(PROVEEDORES[[#This Row],[ID RETENCION]],Retenciones!$A$1:$O$25,PROVEEDORES[[#This Row],[indicador de columna]],FALSE)</f>
        <v>0</v>
      </c>
      <c r="Y1655" s="99">
        <f>+VLOOKUP(PROVEEDORES[[#This Row],[ID RETENCION]],Retenciones!$A$1:$O$25,2,FALSE)</f>
        <v>3.5000000000000003E-2</v>
      </c>
      <c r="Z1655" s="125" t="b">
        <f>OR(COUNTIF(PROVEEDORES[[#This Row],[PROVEEDOR]],"*"&amp;'Palabra no opera'!$A$2&amp;"*"))</f>
        <v>1</v>
      </c>
    </row>
    <row r="1656" spans="1:26" ht="22.2" customHeight="1" x14ac:dyDescent="0.3">
      <c r="A1656" s="66" t="str">
        <f>+IF(PROVEEDORES[[#This Row],[FECHA DE PAGO]]=PROVEEDORES[[#This Row],[FECHA DE FACTURACIÓN]],"DE CONTADO","CRÉDITO")</f>
        <v>CRÉDITO</v>
      </c>
      <c r="B1656" s="38" t="b">
        <f>+IF((PROVEEDORES[[#This Row],[FECHA DE PAGO]]-PROVEEDORES[[#This Row],[FECHA DE FACTURACIÓN]])&gt;PROVEEDORES[[#This Row],[PLAZO Días]],"PAGO VENCIDO")</f>
        <v>0</v>
      </c>
      <c r="C1656" s="20">
        <f>+VLOOKUP(PROVEEDORES[[#This Row],[PROVEEDOR]],TERCEROS_INFO[#All],2,FALSE)</f>
        <v>30</v>
      </c>
      <c r="D1656" s="25">
        <f>+SUMIFS(PROVEEDORES[Total],PROVEEDORES[PROVEEDOR],PROVEEDORES[[#This Row],[PROVEEDOR]],PROVEEDORES[FECHA DE PAGO],"")</f>
        <v>0</v>
      </c>
      <c r="E1656" s="25"/>
      <c r="F165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6" s="161">
        <v>44527</v>
      </c>
      <c r="H1656" s="26" t="s">
        <v>925</v>
      </c>
      <c r="I1656" s="161">
        <v>44501</v>
      </c>
      <c r="J1656" s="35" t="s">
        <v>1343</v>
      </c>
      <c r="K1656" s="21">
        <v>2789636</v>
      </c>
      <c r="L1656" s="21"/>
      <c r="M1656" s="22">
        <f>(PROVEEDORES[[#This Row],[SUBTOTAL]]-PROVEEDORES[[#This Row],[descuento sobre subtotal]])*VLOOKUP(PROVEEDORES[[#This Row],[PROVEEDOR]],TERCEROS_INFO[#All],3,FALSE)</f>
        <v>0</v>
      </c>
      <c r="N1656" s="23"/>
      <c r="O1656" s="22">
        <f>+PROVEEDORES[[#This Row],[Descuento sobre subtotal %]]*(PROVEEDORES[[#This Row],[SUBTOTAL]]-PROVEEDORES[[#This Row],[descuento sobre subtotal]])</f>
        <v>0</v>
      </c>
      <c r="P1656" s="83">
        <f>+IF(PROVEEDORES[[#This Row],[SUBTOTAL]]&lt;PROVEEDORES[[#This Row],[base retencion]],0,PROVEEDORES[[#This Row],[retención aplicada]])</f>
        <v>3.5000000000000003E-2</v>
      </c>
      <c r="Q1656" s="22">
        <f>+PROVEEDORES[[#This Row],[Rete Fuente %]]*(PROVEEDORES[[#This Row],[SUBTOTAL]]-PROVEEDORES[[#This Row],[descuento sobre subtotal]])</f>
        <v>97637.260000000009</v>
      </c>
      <c r="R1656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6" s="68">
        <f ca="1">IF(PROVEEDORES[[#This Row],[FECHA DE PAGO]]=0,TODAY()-PROVEEDORES[[#This Row],[FECHA DE FACTURACIÓN]]-PROVEEDORES[[#This Row],[PLAZO Días]],0)</f>
        <v>0</v>
      </c>
      <c r="U1656" s="96" t="str">
        <f>+VLOOKUP(PROVEEDORES[[#This Row],[PROVEEDOR]],Terceros!$A:$D,4,FALSE)</f>
        <v>3,5% sin base</v>
      </c>
      <c r="V1656" s="97">
        <f>+YEAR(PROVEEDORES[[#This Row],[FECHA DE FACTURACIÓN]])</f>
        <v>2021</v>
      </c>
      <c r="W1656" s="97">
        <f>+MATCH(PROVEEDORES[[#This Row],[año facturado]],Retenciones!$1:$1,0)</f>
        <v>4</v>
      </c>
      <c r="X1656" s="98">
        <f>+VLOOKUP(PROVEEDORES[[#This Row],[ID RETENCION]],Retenciones!$A$1:$O$25,PROVEEDORES[[#This Row],[indicador de columna]],FALSE)</f>
        <v>0</v>
      </c>
      <c r="Y1656" s="99">
        <f>+VLOOKUP(PROVEEDORES[[#This Row],[ID RETENCION]],Retenciones!$A$1:$O$25,2,FALSE)</f>
        <v>3.5000000000000003E-2</v>
      </c>
      <c r="Z1656" s="125" t="b">
        <f>OR(COUNTIF(PROVEEDORES[[#This Row],[PROVEEDOR]],"*"&amp;'Palabra no opera'!$A$2&amp;"*"))</f>
        <v>1</v>
      </c>
    </row>
    <row r="1657" spans="1:26" ht="22.2" customHeight="1" x14ac:dyDescent="0.3">
      <c r="A1657" s="66" t="str">
        <f>+IF(PROVEEDORES[[#This Row],[FECHA DE PAGO]]=PROVEEDORES[[#This Row],[FECHA DE FACTURACIÓN]],"DE CONTADO","CRÉDITO")</f>
        <v>CRÉDITO</v>
      </c>
      <c r="B1657" s="38" t="b">
        <f>+IF((PROVEEDORES[[#This Row],[FECHA DE PAGO]]-PROVEEDORES[[#This Row],[FECHA DE FACTURACIÓN]])&gt;PROVEEDORES[[#This Row],[PLAZO Días]],"PAGO VENCIDO")</f>
        <v>0</v>
      </c>
      <c r="C1657" s="20">
        <f>+VLOOKUP(PROVEEDORES[[#This Row],[PROVEEDOR]],TERCEROS_INFO[#All],2,FALSE)</f>
        <v>30</v>
      </c>
      <c r="D1657" s="25">
        <f>+SUMIFS(PROVEEDORES[Total],PROVEEDORES[PROVEEDOR],PROVEEDORES[[#This Row],[PROVEEDOR]],PROVEEDORES[FECHA DE PAGO],"")</f>
        <v>0</v>
      </c>
      <c r="E1657" s="25"/>
      <c r="F165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7" s="161">
        <v>44554</v>
      </c>
      <c r="H1657" s="26" t="s">
        <v>925</v>
      </c>
      <c r="I1657" s="161">
        <v>44531</v>
      </c>
      <c r="J1657" s="35" t="s">
        <v>1354</v>
      </c>
      <c r="K1657" s="21">
        <v>2789636</v>
      </c>
      <c r="L1657" s="21"/>
      <c r="M1657" s="22">
        <f>(PROVEEDORES[[#This Row],[SUBTOTAL]]-PROVEEDORES[[#This Row],[descuento sobre subtotal]])*VLOOKUP(PROVEEDORES[[#This Row],[PROVEEDOR]],TERCEROS_INFO[#All],3,FALSE)</f>
        <v>0</v>
      </c>
      <c r="N1657" s="23"/>
      <c r="O1657" s="22">
        <f>+PROVEEDORES[[#This Row],[Descuento sobre subtotal %]]*(PROVEEDORES[[#This Row],[SUBTOTAL]]-PROVEEDORES[[#This Row],[descuento sobre subtotal]])</f>
        <v>0</v>
      </c>
      <c r="P1657" s="83">
        <f>+IF(PROVEEDORES[[#This Row],[SUBTOTAL]]&lt;PROVEEDORES[[#This Row],[base retencion]],0,PROVEEDORES[[#This Row],[retención aplicada]])</f>
        <v>3.5000000000000003E-2</v>
      </c>
      <c r="Q1657" s="22">
        <f>+PROVEEDORES[[#This Row],[Rete Fuente %]]*(PROVEEDORES[[#This Row],[SUBTOTAL]]-PROVEEDORES[[#This Row],[descuento sobre subtotal]])</f>
        <v>97637.260000000009</v>
      </c>
      <c r="R1657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7" s="68">
        <f ca="1">IF(PROVEEDORES[[#This Row],[FECHA DE PAGO]]=0,TODAY()-PROVEEDORES[[#This Row],[FECHA DE FACTURACIÓN]]-PROVEEDORES[[#This Row],[PLAZO Días]],0)</f>
        <v>0</v>
      </c>
      <c r="U1657" s="96" t="str">
        <f>+VLOOKUP(PROVEEDORES[[#This Row],[PROVEEDOR]],Terceros!$A:$D,4,FALSE)</f>
        <v>3,5% sin base</v>
      </c>
      <c r="V1657" s="97">
        <f>+YEAR(PROVEEDORES[[#This Row],[FECHA DE FACTURACIÓN]])</f>
        <v>2021</v>
      </c>
      <c r="W1657" s="97">
        <f>+MATCH(PROVEEDORES[[#This Row],[año facturado]],Retenciones!$1:$1,0)</f>
        <v>4</v>
      </c>
      <c r="X1657" s="98">
        <f>+VLOOKUP(PROVEEDORES[[#This Row],[ID RETENCION]],Retenciones!$A$1:$O$25,PROVEEDORES[[#This Row],[indicador de columna]],FALSE)</f>
        <v>0</v>
      </c>
      <c r="Y1657" s="99">
        <f>+VLOOKUP(PROVEEDORES[[#This Row],[ID RETENCION]],Retenciones!$A$1:$O$25,2,FALSE)</f>
        <v>3.5000000000000003E-2</v>
      </c>
      <c r="Z1657" s="125" t="b">
        <f>OR(COUNTIF(PROVEEDORES[[#This Row],[PROVEEDOR]],"*"&amp;'Palabra no opera'!$A$2&amp;"*"))</f>
        <v>1</v>
      </c>
    </row>
    <row r="1658" spans="1:26" ht="22.2" customHeight="1" x14ac:dyDescent="0.3">
      <c r="A1658" s="66" t="str">
        <f>+IF(PROVEEDORES[[#This Row],[FECHA DE PAGO]]=PROVEEDORES[[#This Row],[FECHA DE FACTURACIÓN]],"DE CONTADO","CRÉDITO")</f>
        <v>CRÉDITO</v>
      </c>
      <c r="B1658" s="38" t="b">
        <f>+IF((PROVEEDORES[[#This Row],[FECHA DE PAGO]]-PROVEEDORES[[#This Row],[FECHA DE FACTURACIÓN]])&gt;PROVEEDORES[[#This Row],[PLAZO Días]],"PAGO VENCIDO")</f>
        <v>0</v>
      </c>
      <c r="C1658" s="20">
        <f>+VLOOKUP(PROVEEDORES[[#This Row],[PROVEEDOR]],TERCEROS_INFO[#All],2,FALSE)</f>
        <v>30</v>
      </c>
      <c r="D1658" s="25">
        <f>+SUMIFS(PROVEEDORES[Total],PROVEEDORES[PROVEEDOR],PROVEEDORES[[#This Row],[PROVEEDOR]],PROVEEDORES[FECHA DE PAGO],"")</f>
        <v>0</v>
      </c>
      <c r="E1658" s="25"/>
      <c r="F165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8" s="161">
        <v>44588</v>
      </c>
      <c r="H1658" s="26" t="s">
        <v>925</v>
      </c>
      <c r="I1658" s="161">
        <v>44562</v>
      </c>
      <c r="J1658" s="35" t="s">
        <v>1371</v>
      </c>
      <c r="K1658" s="21">
        <v>2789636</v>
      </c>
      <c r="L1658" s="21"/>
      <c r="M1658" s="22">
        <f>(PROVEEDORES[[#This Row],[SUBTOTAL]]-PROVEEDORES[[#This Row],[descuento sobre subtotal]])*VLOOKUP(PROVEEDORES[[#This Row],[PROVEEDOR]],TERCEROS_INFO[#All],3,FALSE)</f>
        <v>0</v>
      </c>
      <c r="N1658" s="23"/>
      <c r="O1658" s="22">
        <f>+PROVEEDORES[[#This Row],[Descuento sobre subtotal %]]*(PROVEEDORES[[#This Row],[SUBTOTAL]]-PROVEEDORES[[#This Row],[descuento sobre subtotal]])</f>
        <v>0</v>
      </c>
      <c r="P1658" s="83">
        <f>+IF(PROVEEDORES[[#This Row],[SUBTOTAL]]&lt;PROVEEDORES[[#This Row],[base retencion]],0,PROVEEDORES[[#This Row],[retención aplicada]])</f>
        <v>3.5000000000000003E-2</v>
      </c>
      <c r="Q1658" s="22">
        <f>+PROVEEDORES[[#This Row],[Rete Fuente %]]*(PROVEEDORES[[#This Row],[SUBTOTAL]]-PROVEEDORES[[#This Row],[descuento sobre subtotal]])</f>
        <v>97637.260000000009</v>
      </c>
      <c r="R1658" s="21">
        <v>2691998.74</v>
      </c>
      <c r="S16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8" s="68">
        <f ca="1">IF(PROVEEDORES[[#This Row],[FECHA DE PAGO]]=0,TODAY()-PROVEEDORES[[#This Row],[FECHA DE FACTURACIÓN]]-PROVEEDORES[[#This Row],[PLAZO Días]],0)</f>
        <v>0</v>
      </c>
      <c r="U1658" s="96" t="str">
        <f>+VLOOKUP(PROVEEDORES[[#This Row],[PROVEEDOR]],Terceros!$A:$D,4,FALSE)</f>
        <v>3,5% sin base</v>
      </c>
      <c r="V1658" s="97">
        <f>+YEAR(PROVEEDORES[[#This Row],[FECHA DE FACTURACIÓN]])</f>
        <v>2022</v>
      </c>
      <c r="W1658" s="97">
        <f>+MATCH(PROVEEDORES[[#This Row],[año facturado]],Retenciones!$1:$1,0)</f>
        <v>5</v>
      </c>
      <c r="X1658" s="98">
        <f>+VLOOKUP(PROVEEDORES[[#This Row],[ID RETENCION]],Retenciones!$A$1:$O$25,PROVEEDORES[[#This Row],[indicador de columna]],FALSE)</f>
        <v>0</v>
      </c>
      <c r="Y1658" s="99">
        <f>+VLOOKUP(PROVEEDORES[[#This Row],[ID RETENCION]],Retenciones!$A$1:$O$25,2,FALSE)</f>
        <v>3.5000000000000003E-2</v>
      </c>
      <c r="Z1658" s="125" t="b">
        <f>OR(COUNTIF(PROVEEDORES[[#This Row],[PROVEEDOR]],"*"&amp;'Palabra no opera'!$A$2&amp;"*"))</f>
        <v>1</v>
      </c>
    </row>
    <row r="1659" spans="1:26" ht="22.2" customHeight="1" x14ac:dyDescent="0.3">
      <c r="A1659" s="66" t="str">
        <f>+IF(PROVEEDORES[[#This Row],[FECHA DE PAGO]]=PROVEEDORES[[#This Row],[FECHA DE FACTURACIÓN]],"DE CONTADO","CRÉDITO")</f>
        <v>CRÉDITO</v>
      </c>
      <c r="B1659" s="38" t="b">
        <f>+IF((PROVEEDORES[[#This Row],[FECHA DE PAGO]]-PROVEEDORES[[#This Row],[FECHA DE FACTURACIÓN]])&gt;PROVEEDORES[[#This Row],[PLAZO Días]],"PAGO VENCIDO")</f>
        <v>0</v>
      </c>
      <c r="C1659" s="20">
        <f>+VLOOKUP(PROVEEDORES[[#This Row],[PROVEEDOR]],TERCEROS_INFO[#All],2,FALSE)</f>
        <v>30</v>
      </c>
      <c r="D1659" s="25">
        <f>+SUMIFS(PROVEEDORES[Total],PROVEEDORES[PROVEEDOR],PROVEEDORES[[#This Row],[PROVEEDOR]],PROVEEDORES[FECHA DE PAGO],"")</f>
        <v>0</v>
      </c>
      <c r="E1659" s="25"/>
      <c r="F165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9" s="161">
        <v>44617</v>
      </c>
      <c r="H1659" s="26" t="s">
        <v>925</v>
      </c>
      <c r="I1659" s="161">
        <v>44593</v>
      </c>
      <c r="J1659" s="35">
        <v>2200</v>
      </c>
      <c r="K1659" s="21">
        <v>2789636</v>
      </c>
      <c r="L1659" s="21"/>
      <c r="M1659" s="22">
        <f>(PROVEEDORES[[#This Row],[SUBTOTAL]]-PROVEEDORES[[#This Row],[descuento sobre subtotal]])*VLOOKUP(PROVEEDORES[[#This Row],[PROVEEDOR]],TERCEROS_INFO[#All],3,FALSE)</f>
        <v>0</v>
      </c>
      <c r="N1659" s="23"/>
      <c r="O1659" s="22">
        <f>+PROVEEDORES[[#This Row],[Descuento sobre subtotal %]]*(PROVEEDORES[[#This Row],[SUBTOTAL]]-PROVEEDORES[[#This Row],[descuento sobre subtotal]])</f>
        <v>0</v>
      </c>
      <c r="P1659" s="83">
        <f>+IF(PROVEEDORES[[#This Row],[SUBTOTAL]]&lt;PROVEEDORES[[#This Row],[base retencion]],0,PROVEEDORES[[#This Row],[retención aplicada]])</f>
        <v>3.5000000000000003E-2</v>
      </c>
      <c r="Q1659" s="22">
        <f>+PROVEEDORES[[#This Row],[Rete Fuente %]]*(PROVEEDORES[[#This Row],[SUBTOTAL]]-PROVEEDORES[[#This Row],[descuento sobre subtotal]])</f>
        <v>97637.260000000009</v>
      </c>
      <c r="R1659" s="21">
        <v>2691998.74</v>
      </c>
      <c r="S165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9" s="68">
        <f ca="1">IF(PROVEEDORES[[#This Row],[FECHA DE PAGO]]=0,TODAY()-PROVEEDORES[[#This Row],[FECHA DE FACTURACIÓN]]-PROVEEDORES[[#This Row],[PLAZO Días]],0)</f>
        <v>0</v>
      </c>
      <c r="U1659" s="96" t="str">
        <f>+VLOOKUP(PROVEEDORES[[#This Row],[PROVEEDOR]],Terceros!$A:$D,4,FALSE)</f>
        <v>3,5% sin base</v>
      </c>
      <c r="V1659" s="97">
        <f>+YEAR(PROVEEDORES[[#This Row],[FECHA DE FACTURACIÓN]])</f>
        <v>2022</v>
      </c>
      <c r="W1659" s="97">
        <f>+MATCH(PROVEEDORES[[#This Row],[año facturado]],Retenciones!$1:$1,0)</f>
        <v>5</v>
      </c>
      <c r="X1659" s="98">
        <f>+VLOOKUP(PROVEEDORES[[#This Row],[ID RETENCION]],Retenciones!$A$1:$O$25,PROVEEDORES[[#This Row],[indicador de columna]],FALSE)</f>
        <v>0</v>
      </c>
      <c r="Y1659" s="99">
        <f>+VLOOKUP(PROVEEDORES[[#This Row],[ID RETENCION]],Retenciones!$A$1:$O$25,2,FALSE)</f>
        <v>3.5000000000000003E-2</v>
      </c>
      <c r="Z1659" s="125" t="b">
        <f>OR(COUNTIF(PROVEEDORES[[#This Row],[PROVEEDOR]],"*"&amp;'Palabra no opera'!$A$2&amp;"*"))</f>
        <v>1</v>
      </c>
    </row>
    <row r="1660" spans="1:26" ht="22.2" customHeight="1" x14ac:dyDescent="0.3">
      <c r="A1660" s="66" t="str">
        <f>+IF(PROVEEDORES[[#This Row],[FECHA DE PAGO]]=PROVEEDORES[[#This Row],[FECHA DE FACTURACIÓN]],"DE CONTADO","CRÉDITO")</f>
        <v>CRÉDITO</v>
      </c>
      <c r="B1660" s="38" t="b">
        <f>+IF((PROVEEDORES[[#This Row],[FECHA DE PAGO]]-PROVEEDORES[[#This Row],[FECHA DE FACTURACIÓN]])&gt;PROVEEDORES[[#This Row],[PLAZO Días]],"PAGO VENCIDO")</f>
        <v>0</v>
      </c>
      <c r="C1660" s="20">
        <f>+VLOOKUP(PROVEEDORES[[#This Row],[PROVEEDOR]],TERCEROS_INFO[#All],2,FALSE)</f>
        <v>30</v>
      </c>
      <c r="D1660" s="25">
        <f>+SUMIFS(PROVEEDORES[Total],PROVEEDORES[PROVEEDOR],PROVEEDORES[[#This Row],[PROVEEDOR]],PROVEEDORES[FECHA DE PAGO],"")</f>
        <v>0</v>
      </c>
      <c r="E1660" s="25"/>
      <c r="F166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60" s="161">
        <v>44650</v>
      </c>
      <c r="H1660" s="26" t="s">
        <v>925</v>
      </c>
      <c r="I1660" s="161">
        <v>44621</v>
      </c>
      <c r="J1660" s="35">
        <v>2524</v>
      </c>
      <c r="K1660" s="21">
        <v>2789636</v>
      </c>
      <c r="L1660" s="21"/>
      <c r="M1660" s="22">
        <f>(PROVEEDORES[[#This Row],[SUBTOTAL]]-PROVEEDORES[[#This Row],[descuento sobre subtotal]])*VLOOKUP(PROVEEDORES[[#This Row],[PROVEEDOR]],TERCEROS_INFO[#All],3,FALSE)</f>
        <v>0</v>
      </c>
      <c r="N1660" s="23"/>
      <c r="O1660" s="22">
        <f>+PROVEEDORES[[#This Row],[Descuento sobre subtotal %]]*(PROVEEDORES[[#This Row],[SUBTOTAL]]-PROVEEDORES[[#This Row],[descuento sobre subtotal]])</f>
        <v>0</v>
      </c>
      <c r="P1660" s="83">
        <f>+IF(PROVEEDORES[[#This Row],[SUBTOTAL]]&lt;PROVEEDORES[[#This Row],[base retencion]],0,PROVEEDORES[[#This Row],[retención aplicada]])</f>
        <v>3.5000000000000003E-2</v>
      </c>
      <c r="Q1660" s="22">
        <f>+PROVEEDORES[[#This Row],[Rete Fuente %]]*(PROVEEDORES[[#This Row],[SUBTOTAL]]-PROVEEDORES[[#This Row],[descuento sobre subtotal]])</f>
        <v>97637.260000000009</v>
      </c>
      <c r="R1660" s="21">
        <v>2691998.74</v>
      </c>
      <c r="S16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0" s="68">
        <f ca="1">IF(PROVEEDORES[[#This Row],[FECHA DE PAGO]]=0,TODAY()-PROVEEDORES[[#This Row],[FECHA DE FACTURACIÓN]]-PROVEEDORES[[#This Row],[PLAZO Días]],0)</f>
        <v>0</v>
      </c>
      <c r="U1660" s="96" t="str">
        <f>+VLOOKUP(PROVEEDORES[[#This Row],[PROVEEDOR]],Terceros!$A:$D,4,FALSE)</f>
        <v>3,5% sin base</v>
      </c>
      <c r="V1660" s="97">
        <f>+YEAR(PROVEEDORES[[#This Row],[FECHA DE FACTURACIÓN]])</f>
        <v>2022</v>
      </c>
      <c r="W1660" s="97">
        <f>+MATCH(PROVEEDORES[[#This Row],[año facturado]],Retenciones!$1:$1,0)</f>
        <v>5</v>
      </c>
      <c r="X1660" s="98">
        <f>+VLOOKUP(PROVEEDORES[[#This Row],[ID RETENCION]],Retenciones!$A$1:$O$25,PROVEEDORES[[#This Row],[indicador de columna]],FALSE)</f>
        <v>0</v>
      </c>
      <c r="Y1660" s="99">
        <f>+VLOOKUP(PROVEEDORES[[#This Row],[ID RETENCION]],Retenciones!$A$1:$O$25,2,FALSE)</f>
        <v>3.5000000000000003E-2</v>
      </c>
      <c r="Z1660" s="125" t="b">
        <f>OR(COUNTIF(PROVEEDORES[[#This Row],[PROVEEDOR]],"*"&amp;'Palabra no opera'!$A$2&amp;"*"))</f>
        <v>1</v>
      </c>
    </row>
    <row r="1661" spans="1:26" ht="22.2" customHeight="1" x14ac:dyDescent="0.3">
      <c r="A1661" s="66" t="str">
        <f>+IF(PROVEEDORES[[#This Row],[FECHA DE PAGO]]=PROVEEDORES[[#This Row],[FECHA DE FACTURACIÓN]],"DE CONTADO","CRÉDITO")</f>
        <v>CRÉDITO</v>
      </c>
      <c r="B1661" s="38" t="str">
        <f>+IF((PROVEEDORES[[#This Row],[FECHA DE PAGO]]-PROVEEDORES[[#This Row],[FECHA DE FACTURACIÓN]])&gt;PROVEEDORES[[#This Row],[PLAZO Días]],"PAGO VENCIDO")</f>
        <v>PAGO VENCIDO</v>
      </c>
      <c r="C1661" s="20">
        <f>+VLOOKUP(PROVEEDORES[[#This Row],[PROVEEDOR]],TERCEROS_INFO[#All],2,FALSE)</f>
        <v>30</v>
      </c>
      <c r="D1661" s="25">
        <f>+SUMIFS(PROVEEDORES[Total],PROVEEDORES[PROVEEDOR],PROVEEDORES[[#This Row],[PROVEEDOR]],PROVEEDORES[FECHA DE PAGO],"")</f>
        <v>1333437.8400000001</v>
      </c>
      <c r="E1661" s="25"/>
      <c r="F166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61" s="161">
        <v>44502</v>
      </c>
      <c r="H1661" s="26" t="s">
        <v>905</v>
      </c>
      <c r="I1661" s="161">
        <v>44440</v>
      </c>
      <c r="J1661" s="35" t="s">
        <v>465</v>
      </c>
      <c r="K1661" s="21">
        <v>2267904</v>
      </c>
      <c r="L1661" s="21"/>
      <c r="M1661" s="22">
        <f>(PROVEEDORES[[#This Row],[SUBTOTAL]]-PROVEEDORES[[#This Row],[descuento sobre subtotal]])*VLOOKUP(PROVEEDORES[[#This Row],[PROVEEDOR]],TERCEROS_INFO[#All],3,FALSE)</f>
        <v>430901.76000000001</v>
      </c>
      <c r="N1661" s="23"/>
      <c r="O1661" s="22">
        <f>+PROVEEDORES[[#This Row],[Descuento sobre subtotal %]]*(PROVEEDORES[[#This Row],[SUBTOTAL]]-PROVEEDORES[[#This Row],[descuento sobre subtotal]])</f>
        <v>0</v>
      </c>
      <c r="P1661" s="83">
        <f>+IF(PROVEEDORES[[#This Row],[SUBTOTAL]]&lt;PROVEEDORES[[#This Row],[base retencion]],0,PROVEEDORES[[#This Row],[retención aplicada]])</f>
        <v>0</v>
      </c>
      <c r="Q1661" s="22">
        <f>+PROVEEDORES[[#This Row],[Rete Fuente %]]*(PROVEEDORES[[#This Row],[SUBTOTAL]]-PROVEEDORES[[#This Row],[descuento sobre subtotal]])</f>
        <v>0</v>
      </c>
      <c r="R1661" s="21">
        <f>+PROVEEDORES[[#This Row],[SUBTOTAL]]+PROVEEDORES[[#This Row],[IVA 19%]]-PROVEEDORES[[#This Row],[descuento sobre subtotal]]-PROVEEDORES[[#This Row],[Descuento sobre subtotal $2]]-PROVEEDORES[[#This Row],[Rete Fuente $]]</f>
        <v>2698805.76</v>
      </c>
      <c r="S16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1" s="68">
        <f ca="1">IF(PROVEEDORES[[#This Row],[FECHA DE PAGO]]=0,TODAY()-PROVEEDORES[[#This Row],[FECHA DE FACTURACIÓN]]-PROVEEDORES[[#This Row],[PLAZO Días]],0)</f>
        <v>0</v>
      </c>
      <c r="U1661" s="96">
        <f>+VLOOKUP(PROVEEDORES[[#This Row],[PROVEEDOR]],Terceros!$A:$D,4,FALSE)</f>
        <v>0</v>
      </c>
      <c r="V1661" s="97">
        <f>+YEAR(PROVEEDORES[[#This Row],[FECHA DE FACTURACIÓN]])</f>
        <v>2021</v>
      </c>
      <c r="W1661" s="97">
        <f>+MATCH(PROVEEDORES[[#This Row],[año facturado]],Retenciones!$1:$1,0)</f>
        <v>4</v>
      </c>
      <c r="X1661" s="98">
        <f>+VLOOKUP(PROVEEDORES[[#This Row],[ID RETENCION]],Retenciones!$A$1:$O$25,PROVEEDORES[[#This Row],[indicador de columna]],FALSE)</f>
        <v>0</v>
      </c>
      <c r="Y1661" s="99">
        <f>+VLOOKUP(PROVEEDORES[[#This Row],[ID RETENCION]],Retenciones!$A$1:$O$25,2,FALSE)</f>
        <v>0</v>
      </c>
      <c r="Z1661" s="125" t="b">
        <f>OR(COUNTIF(PROVEEDORES[[#This Row],[PROVEEDOR]],"*"&amp;'Palabra no opera'!$A$2&amp;"*"))</f>
        <v>1</v>
      </c>
    </row>
    <row r="1662" spans="1:26" ht="22.2" customHeight="1" x14ac:dyDescent="0.3">
      <c r="A1662" s="207" t="str">
        <f>+IF(PROVEEDORES[[#This Row],[FECHA DE PAGO]]=PROVEEDORES[[#This Row],[FECHA DE FACTURACIÓN]],"DE CONTADO","CRÉDITO")</f>
        <v>CRÉDITO</v>
      </c>
      <c r="B1662" s="38" t="str">
        <f>+IF((PROVEEDORES[[#This Row],[FECHA DE PAGO]]-PROVEEDORES[[#This Row],[FECHA DE FACTURACIÓN]])&gt;PROVEEDORES[[#This Row],[PLAZO Días]],"PAGO VENCIDO")</f>
        <v>PAGO VENCIDO</v>
      </c>
      <c r="C1662" s="20">
        <f>+VLOOKUP(PROVEEDORES[[#This Row],[PROVEEDOR]],TERCEROS_INFO[#All],2,FALSE)</f>
        <v>45</v>
      </c>
      <c r="D1662" s="25">
        <f>+SUMIFS(PROVEEDORES[Total],PROVEEDORES[PROVEEDOR],PROVEEDORES[[#This Row],[PROVEEDOR]],PROVEEDORES[FECHA DE PAGO],"")</f>
        <v>31891814.359999999</v>
      </c>
      <c r="E1662" s="25"/>
      <c r="F166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62" s="161">
        <v>44855</v>
      </c>
      <c r="H1662" s="26" t="s">
        <v>19</v>
      </c>
      <c r="I1662" s="161">
        <v>44797</v>
      </c>
      <c r="J1662" s="35" t="s">
        <v>1639</v>
      </c>
      <c r="K1662" s="21">
        <v>2271411</v>
      </c>
      <c r="L1662" s="21"/>
      <c r="M1662" s="22">
        <f>(PROVEEDORES[[#This Row],[SUBTOTAL]]-PROVEEDORES[[#This Row],[descuento sobre subtotal]])*VLOOKUP(PROVEEDORES[[#This Row],[PROVEEDOR]],TERCEROS_INFO[#All],3,FALSE)</f>
        <v>431568.09</v>
      </c>
      <c r="N1662" s="23"/>
      <c r="O1662" s="22">
        <f>+PROVEEDORES[[#This Row],[Descuento sobre subtotal %]]*(PROVEEDORES[[#This Row],[SUBTOTAL]]-PROVEEDORES[[#This Row],[descuento sobre subtotal]])</f>
        <v>0</v>
      </c>
      <c r="P1662" s="83">
        <f>+IF(PROVEEDORES[[#This Row],[SUBTOTAL]]&lt;PROVEEDORES[[#This Row],[base retencion]],0,PROVEEDORES[[#This Row],[retención aplicada]])</f>
        <v>0</v>
      </c>
      <c r="Q1662" s="22">
        <f>+PROVEEDORES[[#This Row],[Rete Fuente %]]*(PROVEEDORES[[#This Row],[SUBTOTAL]]-PROVEEDORES[[#This Row],[descuento sobre subtotal]])</f>
        <v>0</v>
      </c>
      <c r="R1662" s="21">
        <f>+PROVEEDORES[[#This Row],[SUBTOTAL]]+PROVEEDORES[[#This Row],[IVA 19%]]-PROVEEDORES[[#This Row],[descuento sobre subtotal]]-PROVEEDORES[[#This Row],[Descuento sobre subtotal $2]]-PROVEEDORES[[#This Row],[Rete Fuente $]]</f>
        <v>2702979.09</v>
      </c>
      <c r="S1662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2" s="68">
        <f ca="1">IF(PROVEEDORES[[#This Row],[FECHA DE PAGO]]=0,TODAY()-PROVEEDORES[[#This Row],[FECHA DE FACTURACIÓN]]-PROVEEDORES[[#This Row],[PLAZO Días]],0)</f>
        <v>0</v>
      </c>
      <c r="U1662" s="113">
        <f>+VLOOKUP(PROVEEDORES[[#This Row],[PROVEEDOR]],Terceros!$A:$D,4,FALSE)</f>
        <v>0</v>
      </c>
      <c r="V1662" s="114">
        <f>+YEAR(PROVEEDORES[[#This Row],[FECHA DE FACTURACIÓN]])</f>
        <v>2022</v>
      </c>
      <c r="W1662" s="114">
        <f>+MATCH(PROVEEDORES[[#This Row],[año facturado]],Retenciones!$1:$1,0)</f>
        <v>5</v>
      </c>
      <c r="X1662" s="115">
        <f>+VLOOKUP(PROVEEDORES[[#This Row],[ID RETENCION]],Retenciones!$A$1:$O$25,PROVEEDORES[[#This Row],[indicador de columna]],FALSE)</f>
        <v>0</v>
      </c>
      <c r="Y1662" s="116">
        <f>+VLOOKUP(PROVEEDORES[[#This Row],[ID RETENCION]],Retenciones!$A$1:$O$25,2,FALSE)</f>
        <v>0</v>
      </c>
      <c r="Z1662" s="125" t="b">
        <f>OR(COUNTIF(PROVEEDORES[[#This Row],[PROVEEDOR]],"*"&amp;'Palabra no opera'!$A$2&amp;"*"))</f>
        <v>0</v>
      </c>
    </row>
    <row r="1663" spans="1:26" ht="22.2" customHeight="1" x14ac:dyDescent="0.3">
      <c r="A1663" s="146" t="str">
        <f>+IF(PROVEEDORES[[#This Row],[FECHA DE PAGO]]=PROVEEDORES[[#This Row],[FECHA DE FACTURACIÓN]],"DE CONTADO","CRÉDITO")</f>
        <v>CRÉDITO</v>
      </c>
      <c r="B1663" s="38" t="str">
        <f>+IF((PROVEEDORES[[#This Row],[FECHA DE PAGO]]-PROVEEDORES[[#This Row],[FECHA DE FACTURACIÓN]])&gt;PROVEEDORES[[#This Row],[PLAZO Días]],"PAGO VENCIDO")</f>
        <v>PAGO VENCIDO</v>
      </c>
      <c r="C1663" s="20">
        <f>+VLOOKUP(PROVEEDORES[[#This Row],[PROVEEDOR]],TERCEROS_INFO[#All],2,FALSE)</f>
        <v>30</v>
      </c>
      <c r="D1663" s="25">
        <f>+SUMIFS(PROVEEDORES[Total],PROVEEDORES[PROVEEDOR],PROVEEDORES[[#This Row],[PROVEEDOR]],PROVEEDORES[FECHA DE PAGO],"")</f>
        <v>0</v>
      </c>
      <c r="E1663" s="25"/>
      <c r="F1663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663" s="161">
        <v>44767</v>
      </c>
      <c r="H1663" s="26" t="s">
        <v>688</v>
      </c>
      <c r="I1663" s="161">
        <v>44713</v>
      </c>
      <c r="J1663" s="35" t="s">
        <v>1609</v>
      </c>
      <c r="K1663" s="21">
        <v>2703000</v>
      </c>
      <c r="L1663" s="21"/>
      <c r="M1663" s="22">
        <f>(PROVEEDORES[[#This Row],[SUBTOTAL]]-PROVEEDORES[[#This Row],[descuento sobre subtotal]])*VLOOKUP(PROVEEDORES[[#This Row],[PROVEEDOR]],TERCEROS_INFO[#All],3,FALSE)</f>
        <v>0</v>
      </c>
      <c r="N1663" s="23"/>
      <c r="O1663" s="22">
        <f>+PROVEEDORES[[#This Row],[Descuento sobre subtotal %]]*(PROVEEDORES[[#This Row],[SUBTOTAL]]-PROVEEDORES[[#This Row],[descuento sobre subtotal]])</f>
        <v>0</v>
      </c>
      <c r="P1663" s="83">
        <f>+IF(PROVEEDORES[[#This Row],[SUBTOTAL]]&lt;PROVEEDORES[[#This Row],[base retencion]],0,PROVEEDORES[[#This Row],[retención aplicada]])</f>
        <v>0</v>
      </c>
      <c r="Q1663" s="22">
        <f>+PROVEEDORES[[#This Row],[Rete Fuente %]]*(PROVEEDORES[[#This Row],[SUBTOTAL]]-PROVEEDORES[[#This Row],[descuento sobre subtotal]])</f>
        <v>0</v>
      </c>
      <c r="R1663" s="21">
        <f>+PROVEEDORES[[#This Row],[SUBTOTAL]]+PROVEEDORES[[#This Row],[IVA 19%]]-PROVEEDORES[[#This Row],[descuento sobre subtotal]]-PROVEEDORES[[#This Row],[Descuento sobre subtotal $2]]-PROVEEDORES[[#This Row],[Rete Fuente $]]</f>
        <v>2703000</v>
      </c>
      <c r="S1663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3" s="68">
        <f ca="1">IF(PROVEEDORES[[#This Row],[FECHA DE PAGO]]=0,TODAY()-PROVEEDORES[[#This Row],[FECHA DE FACTURACIÓN]]-PROVEEDORES[[#This Row],[PLAZO Días]],0)</f>
        <v>0</v>
      </c>
      <c r="U1663" s="113">
        <f>+VLOOKUP(PROVEEDORES[[#This Row],[PROVEEDOR]],Terceros!$A:$D,4,FALSE)</f>
        <v>0</v>
      </c>
      <c r="V1663" s="114">
        <f>+YEAR(PROVEEDORES[[#This Row],[FECHA DE FACTURACIÓN]])</f>
        <v>2022</v>
      </c>
      <c r="W1663" s="114">
        <f>+MATCH(PROVEEDORES[[#This Row],[año facturado]],Retenciones!$1:$1,0)</f>
        <v>5</v>
      </c>
      <c r="X1663" s="115">
        <f>+VLOOKUP(PROVEEDORES[[#This Row],[ID RETENCION]],Retenciones!$A$1:$O$25,PROVEEDORES[[#This Row],[indicador de columna]],FALSE)</f>
        <v>0</v>
      </c>
      <c r="Y1663" s="116">
        <f>+VLOOKUP(PROVEEDORES[[#This Row],[ID RETENCION]],Retenciones!$A$1:$O$25,2,FALSE)</f>
        <v>0</v>
      </c>
      <c r="Z1663" s="125" t="b">
        <f>OR(COUNTIF(PROVEEDORES[[#This Row],[PROVEEDOR]],"*"&amp;'Palabra no opera'!$A$2&amp;"*"))</f>
        <v>0</v>
      </c>
    </row>
    <row r="1664" spans="1:26" ht="22.2" customHeight="1" x14ac:dyDescent="0.3">
      <c r="A1664" s="66" t="str">
        <f>+IF(PROVEEDORES[[#This Row],[FECHA DE PAGO]]=PROVEEDORES[[#This Row],[FECHA DE FACTURACIÓN]],"DE CONTADO","CRÉDITO")</f>
        <v>CRÉDITO</v>
      </c>
      <c r="B1664" s="38" t="b">
        <f>+IF((PROVEEDORES[[#This Row],[FECHA DE PAGO]]-PROVEEDORES[[#This Row],[FECHA DE FACTURACIÓN]])&gt;PROVEEDORES[[#This Row],[PLAZO Días]],"PAGO VENCIDO")</f>
        <v>0</v>
      </c>
      <c r="C1664" s="20">
        <f>+VLOOKUP(PROVEEDORES[[#This Row],[PROVEEDOR]],TERCEROS_INFO[#All],2,FALSE)</f>
        <v>45</v>
      </c>
      <c r="D1664" s="25">
        <f>+SUMIFS(PROVEEDORES[Total],PROVEEDORES[PROVEEDOR],PROVEEDORES[[#This Row],[PROVEEDOR]],PROVEEDORES[FECHA DE PAGO],"")</f>
        <v>0</v>
      </c>
      <c r="E1664" s="25"/>
      <c r="F166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664" s="161">
        <v>44623</v>
      </c>
      <c r="H1664" s="26" t="s">
        <v>529</v>
      </c>
      <c r="I1664" s="161">
        <v>44587</v>
      </c>
      <c r="J1664" s="35" t="s">
        <v>706</v>
      </c>
      <c r="K1664" s="21">
        <v>2706000</v>
      </c>
      <c r="L1664" s="21"/>
      <c r="M1664" s="22">
        <v>0</v>
      </c>
      <c r="N1664" s="23"/>
      <c r="O1664" s="22">
        <v>0</v>
      </c>
      <c r="P1664" s="83">
        <f>+IF(PROVEEDORES[[#This Row],[SUBTOTAL]]&lt;PROVEEDORES[[#This Row],[base retencion]],0,PROVEEDORES[[#This Row],[retención aplicada]])</f>
        <v>0</v>
      </c>
      <c r="Q1664" s="22">
        <f>+PROVEEDORES[[#This Row],[Rete Fuente %]]*(PROVEEDORES[[#This Row],[SUBTOTAL]]-PROVEEDORES[[#This Row],[descuento sobre subtotal]])</f>
        <v>0</v>
      </c>
      <c r="R1664" s="21">
        <v>2706000</v>
      </c>
      <c r="S16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4" s="68">
        <f ca="1">IF(PROVEEDORES[[#This Row],[FECHA DE PAGO]]=0,TODAY()-PROVEEDORES[[#This Row],[FECHA DE FACTURACIÓN]]-PROVEEDORES[[#This Row],[PLAZO Días]],0)</f>
        <v>0</v>
      </c>
      <c r="U1664" s="96">
        <f>+VLOOKUP(PROVEEDORES[[#This Row],[PROVEEDOR]],Terceros!$A:$D,4,FALSE)</f>
        <v>0</v>
      </c>
      <c r="V1664" s="97">
        <f>+YEAR(PROVEEDORES[[#This Row],[FECHA DE FACTURACIÓN]])</f>
        <v>2022</v>
      </c>
      <c r="W1664" s="97">
        <f>+MATCH(PROVEEDORES[[#This Row],[año facturado]],Retenciones!$1:$1,0)</f>
        <v>5</v>
      </c>
      <c r="X1664" s="98">
        <f>+VLOOKUP(PROVEEDORES[[#This Row],[ID RETENCION]],Retenciones!$A$1:$O$25,PROVEEDORES[[#This Row],[indicador de columna]],FALSE)</f>
        <v>0</v>
      </c>
      <c r="Y1664" s="99">
        <f>+VLOOKUP(PROVEEDORES[[#This Row],[ID RETENCION]],Retenciones!$A$1:$O$25,2,FALSE)</f>
        <v>0</v>
      </c>
      <c r="Z1664" s="125" t="b">
        <f>OR(COUNTIF(PROVEEDORES[[#This Row],[PROVEEDOR]],"*"&amp;'Palabra no opera'!$A$2&amp;"*"))</f>
        <v>0</v>
      </c>
    </row>
    <row r="1665" spans="1:26" ht="22.2" customHeight="1" x14ac:dyDescent="0.3">
      <c r="A1665" s="66" t="str">
        <f>+IF(PROVEEDORES[[#This Row],[FECHA DE PAGO]]=PROVEEDORES[[#This Row],[FECHA DE FACTURACIÓN]],"DE CONTADO","CRÉDITO")</f>
        <v>CRÉDITO</v>
      </c>
      <c r="B1665" s="38" t="b">
        <f>+IF((PROVEEDORES[[#This Row],[FECHA DE PAGO]]-PROVEEDORES[[#This Row],[FECHA DE FACTURACIÓN]])&gt;PROVEEDORES[[#This Row],[PLAZO Días]],"PAGO VENCIDO")</f>
        <v>0</v>
      </c>
      <c r="C1665" s="20">
        <f>+VLOOKUP(PROVEEDORES[[#This Row],[PROVEEDOR]],TERCEROS_INFO[#All],2,FALSE)</f>
        <v>30</v>
      </c>
      <c r="D1665" s="25">
        <f>+SUMIFS(PROVEEDORES[Total],PROVEEDORES[PROVEEDOR],PROVEEDORES[[#This Row],[PROVEEDOR]],PROVEEDORES[FECHA DE PAGO],"")</f>
        <v>0</v>
      </c>
      <c r="E1665" s="25"/>
      <c r="F166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65" s="161">
        <v>44435</v>
      </c>
      <c r="H1665" s="26" t="s">
        <v>510</v>
      </c>
      <c r="I1665" s="161">
        <v>44427</v>
      </c>
      <c r="J1665" s="35" t="s">
        <v>424</v>
      </c>
      <c r="K1665" s="21">
        <v>2278232</v>
      </c>
      <c r="L1665" s="21"/>
      <c r="M1665" s="22">
        <f>(PROVEEDORES[[#This Row],[SUBTOTAL]]-PROVEEDORES[[#This Row],[descuento sobre subtotal]])*VLOOKUP(PROVEEDORES[[#This Row],[PROVEEDOR]],TERCEROS_INFO[#All],3,FALSE)</f>
        <v>432864.08</v>
      </c>
      <c r="N1665" s="23"/>
      <c r="O1665" s="22">
        <f>+PROVEEDORES[[#This Row],[Descuento sobre subtotal %]]*(PROVEEDORES[[#This Row],[SUBTOTAL]]-PROVEEDORES[[#This Row],[descuento sobre subtotal]])</f>
        <v>0</v>
      </c>
      <c r="P1665" s="83">
        <f>+IF(PROVEEDORES[[#This Row],[SUBTOTAL]]&lt;PROVEEDORES[[#This Row],[base retencion]],0,PROVEEDORES[[#This Row],[retención aplicada]])</f>
        <v>0</v>
      </c>
      <c r="Q1665" s="22">
        <f>+PROVEEDORES[[#This Row],[Rete Fuente %]]*(PROVEEDORES[[#This Row],[SUBTOTAL]]-PROVEEDORES[[#This Row],[descuento sobre subtotal]])</f>
        <v>0</v>
      </c>
      <c r="R1665" s="21">
        <f>+PROVEEDORES[[#This Row],[SUBTOTAL]]+PROVEEDORES[[#This Row],[IVA 19%]]-PROVEEDORES[[#This Row],[descuento sobre subtotal]]-PROVEEDORES[[#This Row],[Descuento sobre subtotal $2]]-PROVEEDORES[[#This Row],[Rete Fuente $]]</f>
        <v>2711096.08</v>
      </c>
      <c r="S16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5" s="68">
        <f ca="1">IF(PROVEEDORES[[#This Row],[FECHA DE PAGO]]=0,TODAY()-PROVEEDORES[[#This Row],[FECHA DE FACTURACIÓN]]-PROVEEDORES[[#This Row],[PLAZO Días]],0)</f>
        <v>0</v>
      </c>
      <c r="U1665" s="96">
        <f>+VLOOKUP(PROVEEDORES[[#This Row],[PROVEEDOR]],Terceros!$A:$D,4,FALSE)</f>
        <v>0</v>
      </c>
      <c r="V1665" s="97">
        <f>+YEAR(PROVEEDORES[[#This Row],[FECHA DE FACTURACIÓN]])</f>
        <v>2021</v>
      </c>
      <c r="W1665" s="97">
        <f>+MATCH(PROVEEDORES[[#This Row],[año facturado]],Retenciones!$1:$1,0)</f>
        <v>4</v>
      </c>
      <c r="X1665" s="98">
        <f>+VLOOKUP(PROVEEDORES[[#This Row],[ID RETENCION]],Retenciones!$A$1:$O$25,PROVEEDORES[[#This Row],[indicador de columna]],FALSE)</f>
        <v>0</v>
      </c>
      <c r="Y1665" s="99">
        <f>+VLOOKUP(PROVEEDORES[[#This Row],[ID RETENCION]],Retenciones!$A$1:$O$25,2,FALSE)</f>
        <v>0</v>
      </c>
      <c r="Z1665" s="125" t="b">
        <f>OR(COUNTIF(PROVEEDORES[[#This Row],[PROVEEDOR]],"*"&amp;'Palabra no opera'!$A$2&amp;"*"))</f>
        <v>0</v>
      </c>
    </row>
    <row r="1666" spans="1:26" ht="22.2" customHeight="1" x14ac:dyDescent="0.3">
      <c r="A1666" s="66" t="str">
        <f>+IF(PROVEEDORES[[#This Row],[FECHA DE PAGO]]=PROVEEDORES[[#This Row],[FECHA DE FACTURACIÓN]],"DE CONTADO","CRÉDITO")</f>
        <v>CRÉDITO</v>
      </c>
      <c r="B1666" s="38" t="str">
        <f>+IF((PROVEEDORES[[#This Row],[FECHA DE PAGO]]-PROVEEDORES[[#This Row],[FECHA DE FACTURACIÓN]])&gt;PROVEEDORES[[#This Row],[PLAZO Días]],"PAGO VENCIDO")</f>
        <v>PAGO VENCIDO</v>
      </c>
      <c r="C1666" s="20">
        <f>+VLOOKUP(PROVEEDORES[[#This Row],[PROVEEDOR]],TERCEROS_INFO[#All],2,FALSE)</f>
        <v>30</v>
      </c>
      <c r="D1666" s="25">
        <f>+SUMIFS(PROVEEDORES[Total],PROVEEDORES[PROVEEDOR],PROVEEDORES[[#This Row],[PROVEEDOR]],PROVEEDORES[FECHA DE PAGO],"")</f>
        <v>4712021.58</v>
      </c>
      <c r="E1666" s="25"/>
      <c r="F166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66" s="161">
        <v>44208</v>
      </c>
      <c r="H1666" s="26" t="s">
        <v>17</v>
      </c>
      <c r="I1666" s="161">
        <v>44172</v>
      </c>
      <c r="J1666" s="35">
        <v>1700677</v>
      </c>
      <c r="K1666" s="21">
        <v>2284115.1260504201</v>
      </c>
      <c r="L1666" s="21"/>
      <c r="M1666" s="22">
        <f>(PROVEEDORES[[#This Row],[SUBTOTAL]]-PROVEEDORES[[#This Row],[descuento sobre subtotal]])*VLOOKUP(PROVEEDORES[[#This Row],[PROVEEDOR]],TERCEROS_INFO[#All],3,FALSE)</f>
        <v>433981.87394957984</v>
      </c>
      <c r="N1666" s="23"/>
      <c r="O1666" s="22">
        <f>+PROVEEDORES[[#This Row],[Descuento sobre subtotal %]]*(PROVEEDORES[[#This Row],[SUBTOTAL]]-PROVEEDORES[[#This Row],[descuento sobre subtotal]])</f>
        <v>0</v>
      </c>
      <c r="P1666" s="83">
        <f>+IF(PROVEEDORES[[#This Row],[SUBTOTAL]]&lt;PROVEEDORES[[#This Row],[base retencion]],0,PROVEEDORES[[#This Row],[retención aplicada]])</f>
        <v>0</v>
      </c>
      <c r="Q1666" s="22">
        <f>+PROVEEDORES[[#This Row],[Rete Fuente %]]*(PROVEEDORES[[#This Row],[SUBTOTAL]]-PROVEEDORES[[#This Row],[descuento sobre subtotal]])</f>
        <v>0</v>
      </c>
      <c r="R1666" s="21">
        <f>+PROVEEDORES[[#This Row],[SUBTOTAL]]+PROVEEDORES[[#This Row],[IVA 19%]]-PROVEEDORES[[#This Row],[descuento sobre subtotal]]-PROVEEDORES[[#This Row],[Descuento sobre subtotal $2]]-PROVEEDORES[[#This Row],[Rete Fuente $]]</f>
        <v>2718097</v>
      </c>
      <c r="S16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6" s="68">
        <f ca="1">IF(PROVEEDORES[[#This Row],[FECHA DE PAGO]]=0,TODAY()-PROVEEDORES[[#This Row],[FECHA DE FACTURACIÓN]]-PROVEEDORES[[#This Row],[PLAZO Días]],0)</f>
        <v>0</v>
      </c>
      <c r="U1666" s="96">
        <f>+VLOOKUP(PROVEEDORES[[#This Row],[PROVEEDOR]],Terceros!$A:$D,4,FALSE)</f>
        <v>0</v>
      </c>
      <c r="V1666" s="97">
        <f>+YEAR(PROVEEDORES[[#This Row],[FECHA DE FACTURACIÓN]])</f>
        <v>2020</v>
      </c>
      <c r="W1666" s="97">
        <f>+MATCH(PROVEEDORES[[#This Row],[año facturado]],Retenciones!$1:$1,0)</f>
        <v>3</v>
      </c>
      <c r="X1666" s="98">
        <f>+VLOOKUP(PROVEEDORES[[#This Row],[ID RETENCION]],Retenciones!$A$1:$O$25,PROVEEDORES[[#This Row],[indicador de columna]],FALSE)</f>
        <v>0</v>
      </c>
      <c r="Y1666" s="99">
        <f>+VLOOKUP(PROVEEDORES[[#This Row],[ID RETENCION]],Retenciones!$A$1:$O$25,2,FALSE)</f>
        <v>0</v>
      </c>
      <c r="Z1666" s="125" t="b">
        <f>OR(COUNTIF(PROVEEDORES[[#This Row],[PROVEEDOR]],"*"&amp;'Palabra no opera'!$A$2&amp;"*"))</f>
        <v>0</v>
      </c>
    </row>
    <row r="1667" spans="1:26" ht="22.2" customHeight="1" x14ac:dyDescent="0.3">
      <c r="A1667" s="66" t="str">
        <f>+IF(PROVEEDORES[[#This Row],[FECHA DE PAGO]]=PROVEEDORES[[#This Row],[FECHA DE FACTURACIÓN]],"DE CONTADO","CRÉDITO")</f>
        <v>CRÉDITO</v>
      </c>
      <c r="B1667" s="38" t="str">
        <f>+IF((PROVEEDORES[[#This Row],[FECHA DE PAGO]]-PROVEEDORES[[#This Row],[FECHA DE FACTURACIÓN]])&gt;PROVEEDORES[[#This Row],[PLAZO Días]],"PAGO VENCIDO")</f>
        <v>PAGO VENCIDO</v>
      </c>
      <c r="C1667" s="20">
        <f>+VLOOKUP(PROVEEDORES[[#This Row],[PROVEEDOR]],TERCEROS_INFO[#All],2,FALSE)</f>
        <v>30</v>
      </c>
      <c r="D1667" s="25">
        <f>+SUMIFS(PROVEEDORES[Total],PROVEEDORES[PROVEEDOR],PROVEEDORES[[#This Row],[PROVEEDOR]],PROVEEDORES[FECHA DE PAGO],"")</f>
        <v>0</v>
      </c>
      <c r="E1667" s="25"/>
      <c r="F166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667" s="161">
        <v>44442</v>
      </c>
      <c r="H1667" s="26" t="s">
        <v>746</v>
      </c>
      <c r="I1667" s="161">
        <v>44392</v>
      </c>
      <c r="J1667" s="35">
        <v>1416</v>
      </c>
      <c r="K1667" s="21">
        <v>2333613.44</v>
      </c>
      <c r="L1667" s="21"/>
      <c r="M1667" s="22">
        <f>(PROVEEDORES[[#This Row],[SUBTOTAL]]-PROVEEDORES[[#This Row],[descuento sobre subtotal]])*VLOOKUP(PROVEEDORES[[#This Row],[PROVEEDOR]],TERCEROS_INFO[#All],3,FALSE)</f>
        <v>443386.55359999998</v>
      </c>
      <c r="N1667" s="23"/>
      <c r="O1667" s="22">
        <f>+PROVEEDORES[[#This Row],[Descuento sobre subtotal %]]*(PROVEEDORES[[#This Row],[SUBTOTAL]]-PROVEEDORES[[#This Row],[descuento sobre subtotal]])</f>
        <v>0</v>
      </c>
      <c r="P1667" s="83">
        <f>+IF(PROVEEDORES[[#This Row],[SUBTOTAL]]&lt;PROVEEDORES[[#This Row],[base retencion]],0,PROVEEDORES[[#This Row],[retención aplicada]])</f>
        <v>2.5000000000000001E-2</v>
      </c>
      <c r="Q1667" s="22">
        <f>+PROVEEDORES[[#This Row],[Rete Fuente %]]*(PROVEEDORES[[#This Row],[SUBTOTAL]]-PROVEEDORES[[#This Row],[descuento sobre subtotal]])</f>
        <v>58340.336000000003</v>
      </c>
      <c r="R1667" s="21">
        <f>+PROVEEDORES[[#This Row],[SUBTOTAL]]+PROVEEDORES[[#This Row],[IVA 19%]]-PROVEEDORES[[#This Row],[descuento sobre subtotal]]-PROVEEDORES[[#This Row],[Descuento sobre subtotal $2]]-PROVEEDORES[[#This Row],[Rete Fuente $]]</f>
        <v>2718659.6575999996</v>
      </c>
      <c r="S16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7" s="68">
        <f ca="1">IF(PROVEEDORES[[#This Row],[FECHA DE PAGO]]=0,TODAY()-PROVEEDORES[[#This Row],[FECHA DE FACTURACIÓN]]-PROVEEDORES[[#This Row],[PLAZO Días]],0)</f>
        <v>0</v>
      </c>
      <c r="U1667" s="96" t="str">
        <f>+VLOOKUP(PROVEEDORES[[#This Row],[PROVEEDOR]],Terceros!$A:$D,4,FALSE)</f>
        <v>2,5% con base</v>
      </c>
      <c r="V1667" s="97">
        <f>+YEAR(PROVEEDORES[[#This Row],[FECHA DE FACTURACIÓN]])</f>
        <v>2021</v>
      </c>
      <c r="W1667" s="97">
        <f>+MATCH(PROVEEDORES[[#This Row],[año facturado]],Retenciones!$1:$1,0)</f>
        <v>4</v>
      </c>
      <c r="X1667" s="98">
        <f>+VLOOKUP(PROVEEDORES[[#This Row],[ID RETENCION]],Retenciones!$A$1:$O$25,PROVEEDORES[[#This Row],[indicador de columna]],FALSE)</f>
        <v>980000</v>
      </c>
      <c r="Y1667" s="99">
        <f>+VLOOKUP(PROVEEDORES[[#This Row],[ID RETENCION]],Retenciones!$A$1:$O$25,2,FALSE)</f>
        <v>2.5000000000000001E-2</v>
      </c>
      <c r="Z1667" s="125" t="b">
        <f>OR(COUNTIF(PROVEEDORES[[#This Row],[PROVEEDOR]],"*"&amp;'Palabra no opera'!$A$2&amp;"*"))</f>
        <v>0</v>
      </c>
    </row>
    <row r="1668" spans="1:26" ht="22.2" customHeight="1" x14ac:dyDescent="0.3">
      <c r="A1668" s="66" t="str">
        <f>+IF(PROVEEDORES[[#This Row],[FECHA DE PAGO]]=PROVEEDORES[[#This Row],[FECHA DE FACTURACIÓN]],"DE CONTADO","CRÉDITO")</f>
        <v>CRÉDITO</v>
      </c>
      <c r="B1668" s="38" t="str">
        <f>+IF((PROVEEDORES[[#This Row],[FECHA DE PAGO]]-PROVEEDORES[[#This Row],[FECHA DE FACTURACIÓN]])&gt;PROVEEDORES[[#This Row],[PLAZO Días]],"PAGO VENCIDO")</f>
        <v>PAGO VENCIDO</v>
      </c>
      <c r="C1668" s="20">
        <f>+VLOOKUP(PROVEEDORES[[#This Row],[PROVEEDOR]],TERCEROS_INFO[#All],2,FALSE)</f>
        <v>30</v>
      </c>
      <c r="D1668" s="25">
        <f>+SUMIFS(PROVEEDORES[Total],PROVEEDORES[PROVEEDOR],PROVEEDORES[[#This Row],[PROVEEDOR]],PROVEEDORES[FECHA DE PAGO],"")</f>
        <v>5430852.9800000004</v>
      </c>
      <c r="E1668" s="25"/>
      <c r="F166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68" s="161">
        <v>44690</v>
      </c>
      <c r="H1668" s="26" t="s">
        <v>408</v>
      </c>
      <c r="I1668" s="161">
        <v>44650</v>
      </c>
      <c r="J1668" s="35" t="s">
        <v>707</v>
      </c>
      <c r="K1668" s="21">
        <v>2285686.25</v>
      </c>
      <c r="L1668" s="21"/>
      <c r="M1668" s="22">
        <f>(PROVEEDORES[[#This Row],[SUBTOTAL]]-PROVEEDORES[[#This Row],[descuento sobre subtotal]])*VLOOKUP(PROVEEDORES[[#This Row],[PROVEEDOR]],TERCEROS_INFO[#All],3,FALSE)</f>
        <v>434280.38750000001</v>
      </c>
      <c r="N1668" s="23"/>
      <c r="O1668" s="22">
        <f>+PROVEEDORES[[#This Row],[Descuento sobre subtotal %]]*(PROVEEDORES[[#This Row],[SUBTOTAL]]-PROVEEDORES[[#This Row],[descuento sobre subtotal]])</f>
        <v>0</v>
      </c>
      <c r="P1668" s="83">
        <f>+IF(PROVEEDORES[[#This Row],[SUBTOTAL]]&lt;PROVEEDORES[[#This Row],[base retencion]],0,PROVEEDORES[[#This Row],[retención aplicada]])</f>
        <v>0</v>
      </c>
      <c r="Q1668" s="22">
        <f>+PROVEEDORES[[#This Row],[Rete Fuente %]]*(PROVEEDORES[[#This Row],[SUBTOTAL]]-PROVEEDORES[[#This Row],[descuento sobre subtotal]])</f>
        <v>0</v>
      </c>
      <c r="R1668" s="21">
        <f>+PROVEEDORES[[#This Row],[SUBTOTAL]]+PROVEEDORES[[#This Row],[IVA 19%]]-PROVEEDORES[[#This Row],[descuento sobre subtotal]]-PROVEEDORES[[#This Row],[Descuento sobre subtotal $2]]-PROVEEDORES[[#This Row],[Rete Fuente $]]</f>
        <v>2719966.6375000002</v>
      </c>
      <c r="S16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8" s="68">
        <f ca="1">IF(PROVEEDORES[[#This Row],[FECHA DE PAGO]]=0,TODAY()-PROVEEDORES[[#This Row],[FECHA DE FACTURACIÓN]]-PROVEEDORES[[#This Row],[PLAZO Días]],0)</f>
        <v>0</v>
      </c>
      <c r="U1668" s="96">
        <f>+VLOOKUP(PROVEEDORES[[#This Row],[PROVEEDOR]],Terceros!$A:$D,4,FALSE)</f>
        <v>0</v>
      </c>
      <c r="V1668" s="97">
        <f>+YEAR(PROVEEDORES[[#This Row],[FECHA DE FACTURACIÓN]])</f>
        <v>2022</v>
      </c>
      <c r="W1668" s="97">
        <f>+MATCH(PROVEEDORES[[#This Row],[año facturado]],Retenciones!$1:$1,0)</f>
        <v>5</v>
      </c>
      <c r="X1668" s="98">
        <f>+VLOOKUP(PROVEEDORES[[#This Row],[ID RETENCION]],Retenciones!$A$1:$O$25,PROVEEDORES[[#This Row],[indicador de columna]],FALSE)</f>
        <v>0</v>
      </c>
      <c r="Y1668" s="99">
        <f>+VLOOKUP(PROVEEDORES[[#This Row],[ID RETENCION]],Retenciones!$A$1:$O$25,2,FALSE)</f>
        <v>0</v>
      </c>
      <c r="Z1668" s="125" t="b">
        <f>OR(COUNTIF(PROVEEDORES[[#This Row],[PROVEEDOR]],"*"&amp;'Palabra no opera'!$A$2&amp;"*"))</f>
        <v>0</v>
      </c>
    </row>
    <row r="1669" spans="1:26" ht="22.2" customHeight="1" x14ac:dyDescent="0.3">
      <c r="A1669" s="66" t="str">
        <f>+IF(PROVEEDORES[[#This Row],[FECHA DE PAGO]]=PROVEEDORES[[#This Row],[FECHA DE FACTURACIÓN]],"DE CONTADO","CRÉDITO")</f>
        <v>CRÉDITO</v>
      </c>
      <c r="B1669" s="38" t="str">
        <f>+IF((PROVEEDORES[[#This Row],[FECHA DE PAGO]]-PROVEEDORES[[#This Row],[FECHA DE FACTURACIÓN]])&gt;PROVEEDORES[[#This Row],[PLAZO Días]],"PAGO VENCIDO")</f>
        <v>PAGO VENCIDO</v>
      </c>
      <c r="C1669" s="20">
        <f>+VLOOKUP(PROVEEDORES[[#This Row],[PROVEEDOR]],TERCEROS_INFO[#All],2,FALSE)</f>
        <v>30</v>
      </c>
      <c r="D1669" s="25">
        <f>+SUMIFS(PROVEEDORES[Total],PROVEEDORES[PROVEEDOR],PROVEEDORES[[#This Row],[PROVEEDOR]],PROVEEDORES[FECHA DE PAGO],"")</f>
        <v>0</v>
      </c>
      <c r="E1669" s="25"/>
      <c r="F1669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69" s="161">
        <v>44517</v>
      </c>
      <c r="H1669" s="26" t="s">
        <v>49</v>
      </c>
      <c r="I1669" s="161">
        <v>44474</v>
      </c>
      <c r="J1669" s="35" t="s">
        <v>490</v>
      </c>
      <c r="K1669" s="21">
        <v>2336134</v>
      </c>
      <c r="L1669" s="21"/>
      <c r="M1669" s="22">
        <f>(PROVEEDORES[[#This Row],[SUBTOTAL]]-PROVEEDORES[[#This Row],[descuento sobre subtotal]])*VLOOKUP(PROVEEDORES[[#This Row],[PROVEEDOR]],TERCEROS_INFO[#All],3,FALSE)</f>
        <v>443865.46</v>
      </c>
      <c r="N1669" s="23"/>
      <c r="O1669" s="22">
        <f>+PROVEEDORES[[#This Row],[Descuento sobre subtotal %]]*(PROVEEDORES[[#This Row],[SUBTOTAL]]-PROVEEDORES[[#This Row],[descuento sobre subtotal]])</f>
        <v>0</v>
      </c>
      <c r="P1669" s="83">
        <f>+IF(PROVEEDORES[[#This Row],[SUBTOTAL]]&lt;PROVEEDORES[[#This Row],[base retencion]],0,PROVEEDORES[[#This Row],[retención aplicada]])</f>
        <v>2.5000000000000001E-2</v>
      </c>
      <c r="Q1669" s="22">
        <f>+PROVEEDORES[[#This Row],[Rete Fuente %]]*(PROVEEDORES[[#This Row],[SUBTOTAL]]-PROVEEDORES[[#This Row],[descuento sobre subtotal]])</f>
        <v>58403.350000000006</v>
      </c>
      <c r="R1669" s="21">
        <f>+PROVEEDORES[[#This Row],[SUBTOTAL]]+PROVEEDORES[[#This Row],[IVA 19%]]-PROVEEDORES[[#This Row],[descuento sobre subtotal]]-PROVEEDORES[[#This Row],[Descuento sobre subtotal $2]]-PROVEEDORES[[#This Row],[Rete Fuente $]]</f>
        <v>2721596.11</v>
      </c>
      <c r="S16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9" s="68">
        <f ca="1">IF(PROVEEDORES[[#This Row],[FECHA DE PAGO]]=0,TODAY()-PROVEEDORES[[#This Row],[FECHA DE FACTURACIÓN]]-PROVEEDORES[[#This Row],[PLAZO Días]],0)</f>
        <v>0</v>
      </c>
      <c r="U1669" s="96" t="str">
        <f>+VLOOKUP(PROVEEDORES[[#This Row],[PROVEEDOR]],Terceros!$A:$D,4,FALSE)</f>
        <v>2,5% con base</v>
      </c>
      <c r="V1669" s="97">
        <f>+YEAR(PROVEEDORES[[#This Row],[FECHA DE FACTURACIÓN]])</f>
        <v>2021</v>
      </c>
      <c r="W1669" s="97">
        <f>+MATCH(PROVEEDORES[[#This Row],[año facturado]],Retenciones!$1:$1,0)</f>
        <v>4</v>
      </c>
      <c r="X1669" s="98">
        <f>+VLOOKUP(PROVEEDORES[[#This Row],[ID RETENCION]],Retenciones!$A$1:$O$25,PROVEEDORES[[#This Row],[indicador de columna]],FALSE)</f>
        <v>980000</v>
      </c>
      <c r="Y1669" s="99">
        <f>+VLOOKUP(PROVEEDORES[[#This Row],[ID RETENCION]],Retenciones!$A$1:$O$25,2,FALSE)</f>
        <v>2.5000000000000001E-2</v>
      </c>
      <c r="Z1669" s="125" t="b">
        <f>OR(COUNTIF(PROVEEDORES[[#This Row],[PROVEEDOR]],"*"&amp;'Palabra no opera'!$A$2&amp;"*"))</f>
        <v>0</v>
      </c>
    </row>
    <row r="1670" spans="1:26" ht="22.2" customHeight="1" x14ac:dyDescent="0.3">
      <c r="A1670" s="66" t="str">
        <f>+IF(PROVEEDORES[[#This Row],[FECHA DE PAGO]]=PROVEEDORES[[#This Row],[FECHA DE FACTURACIÓN]],"DE CONTADO","CRÉDITO")</f>
        <v>CRÉDITO</v>
      </c>
      <c r="B1670" s="38" t="str">
        <f>+IF((PROVEEDORES[[#This Row],[FECHA DE PAGO]]-PROVEEDORES[[#This Row],[FECHA DE FACTURACIÓN]])&gt;PROVEEDORES[[#This Row],[PLAZO Días]],"PAGO VENCIDO")</f>
        <v>PAGO VENCIDO</v>
      </c>
      <c r="C1670" s="20">
        <f>+VLOOKUP(PROVEEDORES[[#This Row],[PROVEEDOR]],TERCEROS_INFO[#All],2,FALSE)</f>
        <v>30</v>
      </c>
      <c r="D1670" s="25">
        <f>+SUMIFS(PROVEEDORES[Total],PROVEEDORES[PROVEEDOR],PROVEEDORES[[#This Row],[PROVEEDOR]],PROVEEDORES[FECHA DE PAGO],"")</f>
        <v>0</v>
      </c>
      <c r="E1670" s="25"/>
      <c r="F1670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70" s="161">
        <v>44552</v>
      </c>
      <c r="H1670" s="26" t="s">
        <v>49</v>
      </c>
      <c r="I1670" s="161">
        <v>44518</v>
      </c>
      <c r="J1670" s="35">
        <v>4887</v>
      </c>
      <c r="K1670" s="21">
        <v>2336200</v>
      </c>
      <c r="L1670" s="21"/>
      <c r="M1670" s="22">
        <f>(PROVEEDORES[[#This Row],[SUBTOTAL]]-PROVEEDORES[[#This Row],[descuento sobre subtotal]])*VLOOKUP(PROVEEDORES[[#This Row],[PROVEEDOR]],TERCEROS_INFO[#All],3,FALSE)</f>
        <v>443878</v>
      </c>
      <c r="N1670" s="23"/>
      <c r="O1670" s="22">
        <f>+PROVEEDORES[[#This Row],[Descuento sobre subtotal %]]*(PROVEEDORES[[#This Row],[SUBTOTAL]]-PROVEEDORES[[#This Row],[descuento sobre subtotal]])</f>
        <v>0</v>
      </c>
      <c r="P1670" s="83">
        <f>+IF(PROVEEDORES[[#This Row],[SUBTOTAL]]&lt;PROVEEDORES[[#This Row],[base retencion]],0,PROVEEDORES[[#This Row],[retención aplicada]])</f>
        <v>2.5000000000000001E-2</v>
      </c>
      <c r="Q1670" s="22">
        <f>+PROVEEDORES[[#This Row],[Rete Fuente %]]*(PROVEEDORES[[#This Row],[SUBTOTAL]]-PROVEEDORES[[#This Row],[descuento sobre subtotal]])</f>
        <v>58405</v>
      </c>
      <c r="R1670" s="21">
        <f>+PROVEEDORES[[#This Row],[SUBTOTAL]]+PROVEEDORES[[#This Row],[IVA 19%]]-PROVEEDORES[[#This Row],[descuento sobre subtotal]]-PROVEEDORES[[#This Row],[Descuento sobre subtotal $2]]-PROVEEDORES[[#This Row],[Rete Fuente $]]</f>
        <v>2721673</v>
      </c>
      <c r="S16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0" s="68">
        <f ca="1">IF(PROVEEDORES[[#This Row],[FECHA DE PAGO]]=0,TODAY()-PROVEEDORES[[#This Row],[FECHA DE FACTURACIÓN]]-PROVEEDORES[[#This Row],[PLAZO Días]],0)</f>
        <v>0</v>
      </c>
      <c r="U1670" s="96" t="str">
        <f>+VLOOKUP(PROVEEDORES[[#This Row],[PROVEEDOR]],Terceros!$A:$D,4,FALSE)</f>
        <v>2,5% con base</v>
      </c>
      <c r="V1670" s="97">
        <f>+YEAR(PROVEEDORES[[#This Row],[FECHA DE FACTURACIÓN]])</f>
        <v>2021</v>
      </c>
      <c r="W1670" s="97">
        <f>+MATCH(PROVEEDORES[[#This Row],[año facturado]],Retenciones!$1:$1,0)</f>
        <v>4</v>
      </c>
      <c r="X1670" s="98">
        <f>+VLOOKUP(PROVEEDORES[[#This Row],[ID RETENCION]],Retenciones!$A$1:$O$25,PROVEEDORES[[#This Row],[indicador de columna]],FALSE)</f>
        <v>980000</v>
      </c>
      <c r="Y1670" s="99">
        <f>+VLOOKUP(PROVEEDORES[[#This Row],[ID RETENCION]],Retenciones!$A$1:$O$25,2,FALSE)</f>
        <v>2.5000000000000001E-2</v>
      </c>
      <c r="Z1670" s="125" t="b">
        <f>OR(COUNTIF(PROVEEDORES[[#This Row],[PROVEEDOR]],"*"&amp;'Palabra no opera'!$A$2&amp;"*"))</f>
        <v>0</v>
      </c>
    </row>
    <row r="1671" spans="1:26" ht="22.2" customHeight="1" x14ac:dyDescent="0.3">
      <c r="A1671" s="66" t="str">
        <f>+IF(PROVEEDORES[[#This Row],[FECHA DE PAGO]]=PROVEEDORES[[#This Row],[FECHA DE FACTURACIÓN]],"DE CONTADO","CRÉDITO")</f>
        <v>CRÉDITO</v>
      </c>
      <c r="B1671" s="38" t="str">
        <f>+IF((PROVEEDORES[[#This Row],[FECHA DE PAGO]]-PROVEEDORES[[#This Row],[FECHA DE FACTURACIÓN]])&gt;PROVEEDORES[[#This Row],[PLAZO Días]],"PAGO VENCIDO")</f>
        <v>PAGO VENCIDO</v>
      </c>
      <c r="C1671" s="20">
        <f>+VLOOKUP(PROVEEDORES[[#This Row],[PROVEEDOR]],TERCEROS_INFO[#All],2,FALSE)</f>
        <v>45</v>
      </c>
      <c r="D1671" s="25">
        <f>+SUMIFS(PROVEEDORES[Total],PROVEEDORES[PROVEEDOR],PROVEEDORES[[#This Row],[PROVEEDOR]],PROVEEDORES[FECHA DE PAGO],"")</f>
        <v>2604910</v>
      </c>
      <c r="E1671" s="25"/>
      <c r="F167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71" s="161">
        <v>44229</v>
      </c>
      <c r="H1671" s="26" t="s">
        <v>10</v>
      </c>
      <c r="I1671" s="161">
        <v>44168</v>
      </c>
      <c r="J1671" s="35" t="s">
        <v>84</v>
      </c>
      <c r="K1671" s="21">
        <v>2291200</v>
      </c>
      <c r="L1671" s="21"/>
      <c r="M1671" s="22">
        <f>(PROVEEDORES[[#This Row],[SUBTOTAL]]-PROVEEDORES[[#This Row],[descuento sobre subtotal]])*VLOOKUP(PROVEEDORES[[#This Row],[PROVEEDOR]],TERCEROS_INFO[#All],3,FALSE)</f>
        <v>435328</v>
      </c>
      <c r="N1671" s="23"/>
      <c r="O1671" s="22">
        <f>+PROVEEDORES[[#This Row],[Descuento sobre subtotal %]]*(PROVEEDORES[[#This Row],[SUBTOTAL]]-PROVEEDORES[[#This Row],[descuento sobre subtotal]])</f>
        <v>0</v>
      </c>
      <c r="P1671" s="83">
        <f>+IF(PROVEEDORES[[#This Row],[SUBTOTAL]]&lt;PROVEEDORES[[#This Row],[base retencion]],0,PROVEEDORES[[#This Row],[retención aplicada]])</f>
        <v>0</v>
      </c>
      <c r="Q1671" s="22">
        <f>+PROVEEDORES[[#This Row],[Rete Fuente %]]*(PROVEEDORES[[#This Row],[SUBTOTAL]]-PROVEEDORES[[#This Row],[descuento sobre subtotal]])</f>
        <v>0</v>
      </c>
      <c r="R1671" s="21">
        <f>+PROVEEDORES[[#This Row],[SUBTOTAL]]+PROVEEDORES[[#This Row],[IVA 19%]]-PROVEEDORES[[#This Row],[descuento sobre subtotal]]-PROVEEDORES[[#This Row],[Descuento sobre subtotal $2]]-PROVEEDORES[[#This Row],[Rete Fuente $]]</f>
        <v>2726528</v>
      </c>
      <c r="S16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1" s="68">
        <f ca="1">IF(PROVEEDORES[[#This Row],[FECHA DE PAGO]]=0,TODAY()-PROVEEDORES[[#This Row],[FECHA DE FACTURACIÓN]]-PROVEEDORES[[#This Row],[PLAZO Días]],0)</f>
        <v>0</v>
      </c>
      <c r="U1671" s="96">
        <f>+VLOOKUP(PROVEEDORES[[#This Row],[PROVEEDOR]],Terceros!$A:$D,4,FALSE)</f>
        <v>0</v>
      </c>
      <c r="V1671" s="97">
        <f>+YEAR(PROVEEDORES[[#This Row],[FECHA DE FACTURACIÓN]])</f>
        <v>2020</v>
      </c>
      <c r="W1671" s="97">
        <f>+MATCH(PROVEEDORES[[#This Row],[año facturado]],Retenciones!$1:$1,0)</f>
        <v>3</v>
      </c>
      <c r="X1671" s="98">
        <f>+VLOOKUP(PROVEEDORES[[#This Row],[ID RETENCION]],Retenciones!$A$1:$O$25,PROVEEDORES[[#This Row],[indicador de columna]],FALSE)</f>
        <v>0</v>
      </c>
      <c r="Y1671" s="99">
        <f>+VLOOKUP(PROVEEDORES[[#This Row],[ID RETENCION]],Retenciones!$A$1:$O$25,2,FALSE)</f>
        <v>0</v>
      </c>
      <c r="Z1671" s="125" t="b">
        <f>OR(COUNTIF(PROVEEDORES[[#This Row],[PROVEEDOR]],"*"&amp;'Palabra no opera'!$A$2&amp;"*"))</f>
        <v>0</v>
      </c>
    </row>
    <row r="1672" spans="1:26" ht="22.2" customHeight="1" x14ac:dyDescent="0.3">
      <c r="A1672" s="66" t="str">
        <f>+IF(PROVEEDORES[[#This Row],[FECHA DE PAGO]]=PROVEEDORES[[#This Row],[FECHA DE FACTURACIÓN]],"DE CONTADO","CRÉDITO")</f>
        <v>CRÉDITO</v>
      </c>
      <c r="B1672" s="38" t="str">
        <f>+IF((PROVEEDORES[[#This Row],[FECHA DE PAGO]]-PROVEEDORES[[#This Row],[FECHA DE FACTURACIÓN]])&gt;PROVEEDORES[[#This Row],[PLAZO Días]],"PAGO VENCIDO")</f>
        <v>PAGO VENCIDO</v>
      </c>
      <c r="C1672" s="20">
        <f>+VLOOKUP(PROVEEDORES[[#This Row],[PROVEEDOR]],TERCEROS_INFO[#All],2,FALSE)</f>
        <v>30</v>
      </c>
      <c r="D1672" s="25">
        <f>+SUMIFS(PROVEEDORES[Total],PROVEEDORES[PROVEEDOR],PROVEEDORES[[#This Row],[PROVEEDOR]],PROVEEDORES[FECHA DE PAGO],"")</f>
        <v>3215000</v>
      </c>
      <c r="E1672" s="25"/>
      <c r="F1672" s="58" t="str">
        <f>+VLOOKUP(PROVEEDORES[[#This Row],[PROVEEDOR]],
                       Terceros!$A:$F,
                       5,
                       FALSE)</f>
        <v/>
      </c>
      <c r="G1672" s="161">
        <v>44382</v>
      </c>
      <c r="H1672" s="26" t="s">
        <v>671</v>
      </c>
      <c r="I1672" s="161">
        <v>44340</v>
      </c>
      <c r="J1672" s="35" t="s">
        <v>1234</v>
      </c>
      <c r="K1672" s="21">
        <v>2732000</v>
      </c>
      <c r="L1672" s="21"/>
      <c r="M1672" s="22">
        <f>(PROVEEDORES[[#This Row],[SUBTOTAL]]-PROVEEDORES[[#This Row],[descuento sobre subtotal]])*VLOOKUP(PROVEEDORES[[#This Row],[PROVEEDOR]],TERCEROS_INFO[#All],3,FALSE)</f>
        <v>0</v>
      </c>
      <c r="N1672" s="23"/>
      <c r="O1672" s="22">
        <f>+PROVEEDORES[[#This Row],[Descuento sobre subtotal %]]*(PROVEEDORES[[#This Row],[SUBTOTAL]]-PROVEEDORES[[#This Row],[descuento sobre subtotal]])</f>
        <v>0</v>
      </c>
      <c r="P1672" s="83">
        <f>+IF(PROVEEDORES[[#This Row],[SUBTOTAL]]&lt;PROVEEDORES[[#This Row],[base retencion]],0,PROVEEDORES[[#This Row],[retención aplicada]])</f>
        <v>0</v>
      </c>
      <c r="Q1672" s="22">
        <f>+PROVEEDORES[[#This Row],[Rete Fuente %]]*(PROVEEDORES[[#This Row],[SUBTOTAL]]-PROVEEDORES[[#This Row],[descuento sobre subtotal]])</f>
        <v>0</v>
      </c>
      <c r="R1672" s="21">
        <f>+PROVEEDORES[[#This Row],[SUBTOTAL]]+PROVEEDORES[[#This Row],[IVA 19%]]-PROVEEDORES[[#This Row],[descuento sobre subtotal]]-PROVEEDORES[[#This Row],[Descuento sobre subtotal $2]]-PROVEEDORES[[#This Row],[Rete Fuente $]]</f>
        <v>2732000</v>
      </c>
      <c r="S16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2" s="68">
        <f ca="1">IF(PROVEEDORES[[#This Row],[FECHA DE PAGO]]=0,TODAY()-PROVEEDORES[[#This Row],[FECHA DE FACTURACIÓN]]-PROVEEDORES[[#This Row],[PLAZO Días]],0)</f>
        <v>0</v>
      </c>
      <c r="U1672" s="96">
        <f>+VLOOKUP(PROVEEDORES[[#This Row],[PROVEEDOR]],Terceros!$A:$D,4,FALSE)</f>
        <v>0</v>
      </c>
      <c r="V1672" s="97">
        <f>+YEAR(PROVEEDORES[[#This Row],[FECHA DE FACTURACIÓN]])</f>
        <v>2021</v>
      </c>
      <c r="W1672" s="97">
        <f>+MATCH(PROVEEDORES[[#This Row],[año facturado]],Retenciones!$1:$1,0)</f>
        <v>4</v>
      </c>
      <c r="X1672" s="98">
        <f>+VLOOKUP(PROVEEDORES[[#This Row],[ID RETENCION]],Retenciones!$A$1:$O$25,PROVEEDORES[[#This Row],[indicador de columna]],FALSE)</f>
        <v>0</v>
      </c>
      <c r="Y1672" s="99">
        <f>+VLOOKUP(PROVEEDORES[[#This Row],[ID RETENCION]],Retenciones!$A$1:$O$25,2,FALSE)</f>
        <v>0</v>
      </c>
      <c r="Z1672" s="125" t="b">
        <f>OR(COUNTIF(PROVEEDORES[[#This Row],[PROVEEDOR]],"*"&amp;'Palabra no opera'!$A$2&amp;"*"))</f>
        <v>0</v>
      </c>
    </row>
    <row r="1673" spans="1:26" ht="22.2" customHeight="1" x14ac:dyDescent="0.3">
      <c r="A1673" s="66" t="str">
        <f>+IF(PROVEEDORES[[#This Row],[FECHA DE PAGO]]=PROVEEDORES[[#This Row],[FECHA DE FACTURACIÓN]],"DE CONTADO","CRÉDITO")</f>
        <v>CRÉDITO</v>
      </c>
      <c r="B1673" s="38" t="b">
        <f>+IF((PROVEEDORES[[#This Row],[FECHA DE PAGO]]-PROVEEDORES[[#This Row],[FECHA DE FACTURACIÓN]])&gt;PROVEEDORES[[#This Row],[PLAZO Días]],"PAGO VENCIDO")</f>
        <v>0</v>
      </c>
      <c r="C1673" s="20">
        <f>+VLOOKUP(PROVEEDORES[[#This Row],[PROVEEDOR]],TERCEROS_INFO[#All],2,FALSE)</f>
        <v>10</v>
      </c>
      <c r="D1673" s="25">
        <f>+SUMIFS(PROVEEDORES[Total],PROVEEDORES[PROVEEDOR],PROVEEDORES[[#This Row],[PROVEEDOR]],PROVEEDORES[FECHA DE PAGO],"")</f>
        <v>0</v>
      </c>
      <c r="E1673" s="25"/>
      <c r="F1673" s="58" t="str">
        <f>+VLOOKUP(PROVEEDORES[[#This Row],[PROVEEDOR]],
                       Terceros!$A:$F,
                       5,
                       FALSE)</f>
        <v>asistente@mslcorporate.com.co;girlesa.ruiz@servipilas.com;joriescobar64@gmail.com</v>
      </c>
      <c r="G1673" s="161">
        <v>44320</v>
      </c>
      <c r="H1673" s="26" t="s">
        <v>303</v>
      </c>
      <c r="I1673" s="161">
        <v>44319</v>
      </c>
      <c r="J1673" s="35">
        <v>114001</v>
      </c>
      <c r="K1673" s="21">
        <v>2739403.1313</v>
      </c>
      <c r="L1673" s="21"/>
      <c r="M1673" s="22">
        <f>(PROVEEDORES[[#This Row],[SUBTOTAL]]-PROVEEDORES[[#This Row],[descuento sobre subtotal]])*VLOOKUP(PROVEEDORES[[#This Row],[PROVEEDOR]],TERCEROS_INFO[#All],3,FALSE)</f>
        <v>0</v>
      </c>
      <c r="N1673" s="23"/>
      <c r="O1673" s="22">
        <f>+PROVEEDORES[[#This Row],[Descuento sobre subtotal %]]*(PROVEEDORES[[#This Row],[SUBTOTAL]]-PROVEEDORES[[#This Row],[descuento sobre subtotal]])</f>
        <v>0</v>
      </c>
      <c r="P1673" s="83">
        <f>+IF(PROVEEDORES[[#This Row],[SUBTOTAL]]&lt;PROVEEDORES[[#This Row],[base retencion]],0,PROVEEDORES[[#This Row],[retención aplicada]])</f>
        <v>0</v>
      </c>
      <c r="Q1673" s="22">
        <f>+PROVEEDORES[[#This Row],[Rete Fuente %]]*(PROVEEDORES[[#This Row],[SUBTOTAL]]-PROVEEDORES[[#This Row],[descuento sobre subtotal]])</f>
        <v>0</v>
      </c>
      <c r="R1673" s="21">
        <f>+PROVEEDORES[[#This Row],[SUBTOTAL]]+PROVEEDORES[[#This Row],[IVA 19%]]-PROVEEDORES[[#This Row],[descuento sobre subtotal]]-PROVEEDORES[[#This Row],[Descuento sobre subtotal $2]]-PROVEEDORES[[#This Row],[Rete Fuente $]]</f>
        <v>2739403.1313</v>
      </c>
      <c r="S16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3" s="68">
        <f ca="1">IF(PROVEEDORES[[#This Row],[FECHA DE PAGO]]=0,TODAY()-PROVEEDORES[[#This Row],[FECHA DE FACTURACIÓN]]-PROVEEDORES[[#This Row],[PLAZO Días]],0)</f>
        <v>0</v>
      </c>
      <c r="U1673" s="96">
        <f>+VLOOKUP(PROVEEDORES[[#This Row],[PROVEEDOR]],Terceros!$A:$D,4,FALSE)</f>
        <v>0</v>
      </c>
      <c r="V1673" s="97">
        <f>+YEAR(PROVEEDORES[[#This Row],[FECHA DE FACTURACIÓN]])</f>
        <v>2021</v>
      </c>
      <c r="W1673" s="97">
        <f>+MATCH(PROVEEDORES[[#This Row],[año facturado]],Retenciones!$1:$1,0)</f>
        <v>4</v>
      </c>
      <c r="X1673" s="98">
        <f>+VLOOKUP(PROVEEDORES[[#This Row],[ID RETENCION]],Retenciones!$A$1:$O$25,PROVEEDORES[[#This Row],[indicador de columna]],FALSE)</f>
        <v>0</v>
      </c>
      <c r="Y1673" s="99">
        <f>+VLOOKUP(PROVEEDORES[[#This Row],[ID RETENCION]],Retenciones!$A$1:$O$25,2,FALSE)</f>
        <v>0</v>
      </c>
      <c r="Z1673" s="125" t="b">
        <f>OR(COUNTIF(PROVEEDORES[[#This Row],[PROVEEDOR]],"*"&amp;'Palabra no opera'!$A$2&amp;"*"))</f>
        <v>0</v>
      </c>
    </row>
    <row r="1674" spans="1:26" ht="22.2" customHeight="1" x14ac:dyDescent="0.3">
      <c r="A1674" s="185" t="str">
        <f>+IF(PROVEEDORES[[#This Row],[FECHA DE PAGO]]=PROVEEDORES[[#This Row],[FECHA DE FACTURACIÓN]],"DE CONTADO","CRÉDITO")</f>
        <v>CRÉDITO</v>
      </c>
      <c r="B1674" s="38" t="str">
        <f>+IF((PROVEEDORES[[#This Row],[FECHA DE PAGO]]-PROVEEDORES[[#This Row],[FECHA DE FACTURACIÓN]])&gt;PROVEEDORES[[#This Row],[PLAZO Días]],"PAGO VENCIDO")</f>
        <v>PAGO VENCIDO</v>
      </c>
      <c r="C1674" s="20">
        <f>+VLOOKUP(PROVEEDORES[[#This Row],[PROVEEDOR]],TERCEROS_INFO[#All],2,FALSE)</f>
        <v>30</v>
      </c>
      <c r="D1674" s="25">
        <f>+SUMIFS(PROVEEDORES[Total],PROVEEDORES[PROVEEDOR],PROVEEDORES[[#This Row],[PROVEEDOR]],PROVEEDORES[FECHA DE PAGO],"")</f>
        <v>0</v>
      </c>
      <c r="E1674" s="25"/>
      <c r="F167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74" s="161">
        <v>44806</v>
      </c>
      <c r="H1674" s="26" t="s">
        <v>510</v>
      </c>
      <c r="I1674" s="161">
        <v>44748</v>
      </c>
      <c r="J1674" s="35" t="s">
        <v>1124</v>
      </c>
      <c r="K1674" s="21">
        <v>2616000</v>
      </c>
      <c r="L1674" s="21"/>
      <c r="M1674" s="22">
        <f>+PROVEEDORES[[#This Row],[SUBTOTAL]]*0.05</f>
        <v>130800</v>
      </c>
      <c r="N1674" s="23"/>
      <c r="O1674" s="22">
        <f>+PROVEEDORES[[#This Row],[Descuento sobre subtotal %]]*(PROVEEDORES[[#This Row],[SUBTOTAL]]-PROVEEDORES[[#This Row],[descuento sobre subtotal]])</f>
        <v>0</v>
      </c>
      <c r="P1674" s="83">
        <f>+IF(PROVEEDORES[[#This Row],[SUBTOTAL]]&lt;PROVEEDORES[[#This Row],[base retencion]],0,PROVEEDORES[[#This Row],[retención aplicada]])</f>
        <v>0</v>
      </c>
      <c r="Q1674" s="22">
        <f>+PROVEEDORES[[#This Row],[Rete Fuente %]]*(PROVEEDORES[[#This Row],[SUBTOTAL]]-PROVEEDORES[[#This Row],[descuento sobre subtotal]])</f>
        <v>0</v>
      </c>
      <c r="R1674" s="21">
        <f>+PROVEEDORES[[#This Row],[SUBTOTAL]]+PROVEEDORES[[#This Row],[IVA 19%]]-PROVEEDORES[[#This Row],[descuento sobre subtotal]]-PROVEEDORES[[#This Row],[Descuento sobre subtotal $2]]-PROVEEDORES[[#This Row],[Rete Fuente $]]</f>
        <v>2746800</v>
      </c>
      <c r="S1674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4" s="68">
        <f ca="1">IF(PROVEEDORES[[#This Row],[FECHA DE PAGO]]=0,TODAY()-PROVEEDORES[[#This Row],[FECHA DE FACTURACIÓN]]-PROVEEDORES[[#This Row],[PLAZO Días]],0)</f>
        <v>0</v>
      </c>
      <c r="U1674" s="113">
        <f>+VLOOKUP(PROVEEDORES[[#This Row],[PROVEEDOR]],Terceros!$A:$D,4,FALSE)</f>
        <v>0</v>
      </c>
      <c r="V1674" s="114">
        <f>+YEAR(PROVEEDORES[[#This Row],[FECHA DE FACTURACIÓN]])</f>
        <v>2022</v>
      </c>
      <c r="W1674" s="114">
        <f>+MATCH(PROVEEDORES[[#This Row],[año facturado]],Retenciones!$1:$1,0)</f>
        <v>5</v>
      </c>
      <c r="X1674" s="115">
        <f>+VLOOKUP(PROVEEDORES[[#This Row],[ID RETENCION]],Retenciones!$A$1:$O$25,PROVEEDORES[[#This Row],[indicador de columna]],FALSE)</f>
        <v>0</v>
      </c>
      <c r="Y1674" s="116">
        <f>+VLOOKUP(PROVEEDORES[[#This Row],[ID RETENCION]],Retenciones!$A$1:$O$25,2,FALSE)</f>
        <v>0</v>
      </c>
      <c r="Z1674" s="125" t="b">
        <f>OR(COUNTIF(PROVEEDORES[[#This Row],[PROVEEDOR]],"*"&amp;'Palabra no opera'!$A$2&amp;"*"))</f>
        <v>0</v>
      </c>
    </row>
    <row r="1675" spans="1:26" ht="22.2" customHeight="1" x14ac:dyDescent="0.3">
      <c r="A1675" s="159" t="str">
        <f>+IF(PROVEEDORES[[#This Row],[FECHA DE PAGO]]=PROVEEDORES[[#This Row],[FECHA DE FACTURACIÓN]],"DE CONTADO","CRÉDITO")</f>
        <v>CRÉDITO</v>
      </c>
      <c r="B1675" s="38" t="b">
        <f>+IF((PROVEEDORES[[#This Row],[FECHA DE PAGO]]-PROVEEDORES[[#This Row],[FECHA DE FACTURACIÓN]])&gt;PROVEEDORES[[#This Row],[PLAZO Días]],"PAGO VENCIDO")</f>
        <v>0</v>
      </c>
      <c r="C1675" s="20">
        <f>+VLOOKUP(PROVEEDORES[[#This Row],[PROVEEDOR]],TERCEROS_INFO[#All],2,FALSE)</f>
        <v>30</v>
      </c>
      <c r="D1675" s="25">
        <f>+SUMIFS(PROVEEDORES[Total],PROVEEDORES[PROVEEDOR],PROVEEDORES[[#This Row],[PROVEEDOR]],PROVEEDORES[FECHA DE PAGO],"")</f>
        <v>0</v>
      </c>
      <c r="E1675" s="25"/>
      <c r="F1675" s="58" t="str">
        <f>+VLOOKUP(PROVEEDORES[[#This Row],[PROVEEDOR]],
                       Terceros!$A:$F,
                       5,
                       FALSE)</f>
        <v/>
      </c>
      <c r="G1675" s="161">
        <v>44740</v>
      </c>
      <c r="H1675" s="26" t="s">
        <v>638</v>
      </c>
      <c r="I1675" s="161">
        <v>44737</v>
      </c>
      <c r="J1675" s="35" t="s">
        <v>1100</v>
      </c>
      <c r="K1675" s="21">
        <v>2749000</v>
      </c>
      <c r="L1675" s="21"/>
      <c r="M1675" s="22">
        <f>(PROVEEDORES[[#This Row],[SUBTOTAL]]-PROVEEDORES[[#This Row],[descuento sobre subtotal]])*VLOOKUP(PROVEEDORES[[#This Row],[PROVEEDOR]],TERCEROS_INFO[#All],3,FALSE)</f>
        <v>0</v>
      </c>
      <c r="N1675" s="23"/>
      <c r="O1675" s="22">
        <f>+PROVEEDORES[[#This Row],[Descuento sobre subtotal %]]*(PROVEEDORES[[#This Row],[SUBTOTAL]]-PROVEEDORES[[#This Row],[descuento sobre subtotal]])</f>
        <v>0</v>
      </c>
      <c r="P1675" s="83">
        <f>+IF(PROVEEDORES[[#This Row],[SUBTOTAL]]&lt;PROVEEDORES[[#This Row],[base retencion]],0,PROVEEDORES[[#This Row],[retención aplicada]])</f>
        <v>0</v>
      </c>
      <c r="Q1675" s="22">
        <f>+PROVEEDORES[[#This Row],[Rete Fuente %]]*(PROVEEDORES[[#This Row],[SUBTOTAL]]-PROVEEDORES[[#This Row],[descuento sobre subtotal]])</f>
        <v>0</v>
      </c>
      <c r="R1675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167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5" s="68">
        <f ca="1">IF(PROVEEDORES[[#This Row],[FECHA DE PAGO]]=0,TODAY()-PROVEEDORES[[#This Row],[FECHA DE FACTURACIÓN]]-PROVEEDORES[[#This Row],[PLAZO Días]],0)</f>
        <v>0</v>
      </c>
      <c r="U1675" s="113">
        <f>+VLOOKUP(PROVEEDORES[[#This Row],[PROVEEDOR]],Terceros!$A:$D,4,FALSE)</f>
        <v>0</v>
      </c>
      <c r="V1675" s="114">
        <f>+YEAR(PROVEEDORES[[#This Row],[FECHA DE FACTURACIÓN]])</f>
        <v>2022</v>
      </c>
      <c r="W1675" s="114">
        <f>+MATCH(PROVEEDORES[[#This Row],[año facturado]],Retenciones!$1:$1,0)</f>
        <v>5</v>
      </c>
      <c r="X1675" s="115">
        <f>+VLOOKUP(PROVEEDORES[[#This Row],[ID RETENCION]],Retenciones!$A$1:$O$25,PROVEEDORES[[#This Row],[indicador de columna]],FALSE)</f>
        <v>0</v>
      </c>
      <c r="Y1675" s="116">
        <f>+VLOOKUP(PROVEEDORES[[#This Row],[ID RETENCION]],Retenciones!$A$1:$O$25,2,FALSE)</f>
        <v>0</v>
      </c>
      <c r="Z1675" s="125" t="b">
        <f>OR(COUNTIF(PROVEEDORES[[#This Row],[PROVEEDOR]],"*"&amp;'Palabra no opera'!$A$2&amp;"*"))</f>
        <v>0</v>
      </c>
    </row>
    <row r="1676" spans="1:26" ht="22.2" customHeight="1" x14ac:dyDescent="0.3">
      <c r="A1676" s="72" t="str">
        <f>+IF(PROVEEDORES[[#This Row],[FECHA DE PAGO]]=PROVEEDORES[[#This Row],[FECHA DE FACTURACIÓN]],"DE CONTADO","CRÉDITO")</f>
        <v>CRÉDITO</v>
      </c>
      <c r="B1676" s="38" t="b">
        <f>+IF((PROVEEDORES[[#This Row],[FECHA DE PAGO]]-PROVEEDORES[[#This Row],[FECHA DE FACTURACIÓN]])&gt;PROVEEDORES[[#This Row],[PLAZO Días]],"PAGO VENCIDO")</f>
        <v>0</v>
      </c>
      <c r="C1676" s="20">
        <f>+VLOOKUP(PROVEEDORES[[#This Row],[PROVEEDOR]],TERCEROS_INFO[#All],2,FALSE)</f>
        <v>30</v>
      </c>
      <c r="D1676" s="25">
        <f>+SUMIFS(PROVEEDORES[Total],PROVEEDORES[PROVEEDOR],PROVEEDORES[[#This Row],[PROVEEDOR]],PROVEEDORES[FECHA DE PAGO],"")</f>
        <v>2749000</v>
      </c>
      <c r="E1676" s="25"/>
      <c r="F1676" s="58">
        <f>+VLOOKUP(PROVEEDORES[[#This Row],[PROVEEDOR]],
                       Terceros!$A:$F,
                       5,
                       FALSE)</f>
        <v>0</v>
      </c>
      <c r="H1676" s="267" t="s">
        <v>649</v>
      </c>
      <c r="I1676" s="161">
        <v>44819</v>
      </c>
      <c r="J1676" s="35" t="s">
        <v>1696</v>
      </c>
      <c r="K1676" s="21">
        <v>2749000</v>
      </c>
      <c r="L1676" s="21"/>
      <c r="M1676" s="22">
        <f>(PROVEEDORES[[#This Row],[SUBTOTAL]]-PROVEEDORES[[#This Row],[descuento sobre subtotal]])*VLOOKUP(PROVEEDORES[[#This Row],[PROVEEDOR]],TERCEROS_INFO[#All],3,FALSE)</f>
        <v>0</v>
      </c>
      <c r="N1676" s="23"/>
      <c r="O1676" s="22">
        <f>+PROVEEDORES[[#This Row],[Descuento sobre subtotal %]]*(PROVEEDORES[[#This Row],[SUBTOTAL]]-PROVEEDORES[[#This Row],[descuento sobre subtotal]])</f>
        <v>0</v>
      </c>
      <c r="P1676" s="83">
        <f>+IF(PROVEEDORES[[#This Row],[SUBTOTAL]]&lt;PROVEEDORES[[#This Row],[base retencion]],0,PROVEEDORES[[#This Row],[retención aplicada]])</f>
        <v>0</v>
      </c>
      <c r="Q1676" s="22">
        <f>+PROVEEDORES[[#This Row],[Rete Fuente %]]*(PROVEEDORES[[#This Row],[SUBTOTAL]]-PROVEEDORES[[#This Row],[descuento sobre subtotal]])</f>
        <v>0</v>
      </c>
      <c r="R1676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1676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76" s="68">
        <f ca="1">IF(PROVEEDORES[[#This Row],[FECHA DE PAGO]]=0,TODAY()-PROVEEDORES[[#This Row],[FECHA DE FACTURACIÓN]]-PROVEEDORES[[#This Row],[PLAZO Días]],0)</f>
        <v>26</v>
      </c>
      <c r="U1676" s="113">
        <f>+VLOOKUP(PROVEEDORES[[#This Row],[PROVEEDOR]],Terceros!$A:$D,4,FALSE)</f>
        <v>0</v>
      </c>
      <c r="V1676" s="114">
        <f>+YEAR(PROVEEDORES[[#This Row],[FECHA DE FACTURACIÓN]])</f>
        <v>2022</v>
      </c>
      <c r="W1676" s="114">
        <f>+MATCH(PROVEEDORES[[#This Row],[año facturado]],Retenciones!$1:$1,0)</f>
        <v>5</v>
      </c>
      <c r="X1676" s="115">
        <f>+VLOOKUP(PROVEEDORES[[#This Row],[ID RETENCION]],Retenciones!$A$1:$O$25,PROVEEDORES[[#This Row],[indicador de columna]],FALSE)</f>
        <v>0</v>
      </c>
      <c r="Y1676" s="116">
        <f>+VLOOKUP(PROVEEDORES[[#This Row],[ID RETENCION]],Retenciones!$A$1:$O$25,2,FALSE)</f>
        <v>0</v>
      </c>
      <c r="Z1676" s="125" t="b">
        <f>OR(COUNTIF(PROVEEDORES[[#This Row],[PROVEEDOR]],"*"&amp;'Palabra no opera'!$A$2&amp;"*"))</f>
        <v>0</v>
      </c>
    </row>
    <row r="1677" spans="1:26" ht="22.2" customHeight="1" x14ac:dyDescent="0.3">
      <c r="A1677" s="66" t="str">
        <f>+IF(PROVEEDORES[[#This Row],[FECHA DE PAGO]]=PROVEEDORES[[#This Row],[FECHA DE FACTURACIÓN]],"DE CONTADO","CRÉDITO")</f>
        <v>CRÉDITO</v>
      </c>
      <c r="B1677" s="38" t="str">
        <f>+IF((PROVEEDORES[[#This Row],[FECHA DE PAGO]]-PROVEEDORES[[#This Row],[FECHA DE FACTURACIÓN]])&gt;PROVEEDORES[[#This Row],[PLAZO Días]],"PAGO VENCIDO")</f>
        <v>PAGO VENCIDO</v>
      </c>
      <c r="C1677" s="20">
        <f>+VLOOKUP(PROVEEDORES[[#This Row],[PROVEEDOR]],TERCEROS_INFO[#All],2,FALSE)</f>
        <v>30</v>
      </c>
      <c r="D1677" s="25">
        <f>+SUMIFS(PROVEEDORES[Total],PROVEEDORES[PROVEEDOR],PROVEEDORES[[#This Row],[PROVEEDOR]],PROVEEDORES[FECHA DE PAGO],"")</f>
        <v>0</v>
      </c>
      <c r="E1677" s="25"/>
      <c r="F1677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77" s="161">
        <v>44510</v>
      </c>
      <c r="H1677" s="26" t="s">
        <v>510</v>
      </c>
      <c r="I1677" s="161">
        <v>44474</v>
      </c>
      <c r="J1677" s="35" t="s">
        <v>488</v>
      </c>
      <c r="K1677" s="21">
        <v>2312400</v>
      </c>
      <c r="L1677" s="21"/>
      <c r="M1677" s="22">
        <f>(PROVEEDORES[[#This Row],[SUBTOTAL]]-PROVEEDORES[[#This Row],[descuento sobre subtotal]])*VLOOKUP(PROVEEDORES[[#This Row],[PROVEEDOR]],TERCEROS_INFO[#All],3,FALSE)</f>
        <v>439356</v>
      </c>
      <c r="N1677" s="23"/>
      <c r="O1677" s="22">
        <f>+PROVEEDORES[[#This Row],[Descuento sobre subtotal %]]*(PROVEEDORES[[#This Row],[SUBTOTAL]]-PROVEEDORES[[#This Row],[descuento sobre subtotal]])</f>
        <v>0</v>
      </c>
      <c r="P1677" s="83">
        <f>+IF(PROVEEDORES[[#This Row],[SUBTOTAL]]&lt;PROVEEDORES[[#This Row],[base retencion]],0,PROVEEDORES[[#This Row],[retención aplicada]])</f>
        <v>0</v>
      </c>
      <c r="Q1677" s="22">
        <f>+PROVEEDORES[[#This Row],[Rete Fuente %]]*(PROVEEDORES[[#This Row],[SUBTOTAL]]-PROVEEDORES[[#This Row],[descuento sobre subtotal]])</f>
        <v>0</v>
      </c>
      <c r="R1677" s="21">
        <f>+PROVEEDORES[[#This Row],[SUBTOTAL]]+PROVEEDORES[[#This Row],[IVA 19%]]-PROVEEDORES[[#This Row],[descuento sobre subtotal]]-PROVEEDORES[[#This Row],[Descuento sobre subtotal $2]]-PROVEEDORES[[#This Row],[Rete Fuente $]]</f>
        <v>2751756</v>
      </c>
      <c r="S16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7" s="68">
        <f ca="1">IF(PROVEEDORES[[#This Row],[FECHA DE PAGO]]=0,TODAY()-PROVEEDORES[[#This Row],[FECHA DE FACTURACIÓN]]-PROVEEDORES[[#This Row],[PLAZO Días]],0)</f>
        <v>0</v>
      </c>
      <c r="U1677" s="96">
        <f>+VLOOKUP(PROVEEDORES[[#This Row],[PROVEEDOR]],Terceros!$A:$D,4,FALSE)</f>
        <v>0</v>
      </c>
      <c r="V1677" s="97">
        <f>+YEAR(PROVEEDORES[[#This Row],[FECHA DE FACTURACIÓN]])</f>
        <v>2021</v>
      </c>
      <c r="W1677" s="97">
        <f>+MATCH(PROVEEDORES[[#This Row],[año facturado]],Retenciones!$1:$1,0)</f>
        <v>4</v>
      </c>
      <c r="X1677" s="98">
        <f>+VLOOKUP(PROVEEDORES[[#This Row],[ID RETENCION]],Retenciones!$A$1:$O$25,PROVEEDORES[[#This Row],[indicador de columna]],FALSE)</f>
        <v>0</v>
      </c>
      <c r="Y1677" s="99">
        <f>+VLOOKUP(PROVEEDORES[[#This Row],[ID RETENCION]],Retenciones!$A$1:$O$25,2,FALSE)</f>
        <v>0</v>
      </c>
      <c r="Z1677" s="125" t="b">
        <f>OR(COUNTIF(PROVEEDORES[[#This Row],[PROVEEDOR]],"*"&amp;'Palabra no opera'!$A$2&amp;"*"))</f>
        <v>0</v>
      </c>
    </row>
    <row r="1678" spans="1:26" ht="22.2" customHeight="1" x14ac:dyDescent="0.3">
      <c r="A1678" s="207" t="str">
        <f>+IF(PROVEEDORES[[#This Row],[FECHA DE PAGO]]=PROVEEDORES[[#This Row],[FECHA DE FACTURACIÓN]],"DE CONTADO","CRÉDITO")</f>
        <v>CRÉDITO</v>
      </c>
      <c r="B1678" s="38" t="str">
        <f>+IF((PROVEEDORES[[#This Row],[FECHA DE PAGO]]-PROVEEDORES[[#This Row],[FECHA DE FACTURACIÓN]])&gt;PROVEEDORES[[#This Row],[PLAZO Días]],"PAGO VENCIDO")</f>
        <v>PAGO VENCIDO</v>
      </c>
      <c r="C1678" s="20">
        <f>+VLOOKUP(PROVEEDORES[[#This Row],[PROVEEDOR]],TERCEROS_INFO[#All],2,FALSE)</f>
        <v>30</v>
      </c>
      <c r="D1678" s="25">
        <f>+SUMIFS(PROVEEDORES[Total],PROVEEDORES[PROVEEDOR],PROVEEDORES[[#This Row],[PROVEEDOR]],PROVEEDORES[FECHA DE PAGO],"")</f>
        <v>5430852.9800000004</v>
      </c>
      <c r="E1678" s="25"/>
      <c r="F167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78" s="161">
        <v>44823</v>
      </c>
      <c r="H1678" s="26" t="s">
        <v>408</v>
      </c>
      <c r="I1678" s="161">
        <v>44791</v>
      </c>
      <c r="J1678" s="35" t="s">
        <v>1412</v>
      </c>
      <c r="K1678" s="21">
        <v>2818373.75</v>
      </c>
      <c r="L1678" s="21"/>
      <c r="M1678" s="22">
        <f>(PROVEEDORES[[#This Row],[SUBTOTAL]]-PROVEEDORES[[#This Row],[descuento sobre subtotal]])*VLOOKUP(PROVEEDORES[[#This Row],[PROVEEDOR]],TERCEROS_INFO[#All],3,FALSE)</f>
        <v>535491.01249999995</v>
      </c>
      <c r="N1678" s="23"/>
      <c r="O1678" s="22">
        <v>595000</v>
      </c>
      <c r="P1678" s="83">
        <f>+IF(PROVEEDORES[[#This Row],[SUBTOTAL]]&lt;PROVEEDORES[[#This Row],[base retencion]],0,PROVEEDORES[[#This Row],[retención aplicada]])</f>
        <v>0</v>
      </c>
      <c r="Q1678" s="22"/>
      <c r="R1678" s="21">
        <f>+PROVEEDORES[[#This Row],[SUBTOTAL]]+PROVEEDORES[[#This Row],[IVA 19%]]-PROVEEDORES[[#This Row],[descuento sobre subtotal]]-PROVEEDORES[[#This Row],[Descuento sobre subtotal $2]]-PROVEEDORES[[#This Row],[Rete Fuente $]]</f>
        <v>2758864.7625000002</v>
      </c>
      <c r="S1678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8" s="68">
        <f ca="1">IF(PROVEEDORES[[#This Row],[FECHA DE PAGO]]=0,TODAY()-PROVEEDORES[[#This Row],[FECHA DE FACTURACIÓN]]-PROVEEDORES[[#This Row],[PLAZO Días]],0)</f>
        <v>0</v>
      </c>
      <c r="U1678" s="113">
        <f>+VLOOKUP(PROVEEDORES[[#This Row],[PROVEEDOR]],Terceros!$A:$D,4,FALSE)</f>
        <v>0</v>
      </c>
      <c r="V1678" s="114">
        <f>+YEAR(PROVEEDORES[[#This Row],[FECHA DE FACTURACIÓN]])</f>
        <v>2022</v>
      </c>
      <c r="W1678" s="114">
        <f>+MATCH(PROVEEDORES[[#This Row],[año facturado]],Retenciones!$1:$1,0)</f>
        <v>5</v>
      </c>
      <c r="X1678" s="115">
        <f>+VLOOKUP(PROVEEDORES[[#This Row],[ID RETENCION]],Retenciones!$A$1:$O$25,PROVEEDORES[[#This Row],[indicador de columna]],FALSE)</f>
        <v>0</v>
      </c>
      <c r="Y1678" s="116">
        <f>+VLOOKUP(PROVEEDORES[[#This Row],[ID RETENCION]],Retenciones!$A$1:$O$25,2,FALSE)</f>
        <v>0</v>
      </c>
      <c r="Z1678" s="125" t="b">
        <f>OR(COUNTIF(PROVEEDORES[[#This Row],[PROVEEDOR]],"*"&amp;'Palabra no opera'!$A$2&amp;"*"))</f>
        <v>0</v>
      </c>
    </row>
    <row r="1679" spans="1:26" ht="22.2" customHeight="1" x14ac:dyDescent="0.3">
      <c r="A1679" s="66" t="str">
        <f>+IF(PROVEEDORES[[#This Row],[FECHA DE PAGO]]=PROVEEDORES[[#This Row],[FECHA DE FACTURACIÓN]],"DE CONTADO","CRÉDITO")</f>
        <v>CRÉDITO</v>
      </c>
      <c r="B1679" s="38" t="str">
        <f>+IF((PROVEEDORES[[#This Row],[FECHA DE PAGO]]-PROVEEDORES[[#This Row],[FECHA DE FACTURACIÓN]])&gt;PROVEEDORES[[#This Row],[PLAZO Días]],"PAGO VENCIDO")</f>
        <v>PAGO VENCIDO</v>
      </c>
      <c r="C1679" s="20">
        <f>+VLOOKUP(PROVEEDORES[[#This Row],[PROVEEDOR]],TERCEROS_INFO[#All],2,FALSE)</f>
        <v>30</v>
      </c>
      <c r="D1679" s="25">
        <f>+SUMIFS(PROVEEDORES[Total],PROVEEDORES[PROVEEDOR],PROVEEDORES[[#This Row],[PROVEEDOR]],PROVEEDORES[FECHA DE PAGO],"")</f>
        <v>2318500</v>
      </c>
      <c r="E1679" s="25"/>
      <c r="F1679" s="58" t="str">
        <f>+VLOOKUP(PROVEEDORES[[#This Row],[PROVEEDOR]],
                       Terceros!$A:$F,
                       5,
                       FALSE)</f>
        <v/>
      </c>
      <c r="G1679" s="161">
        <v>44290</v>
      </c>
      <c r="H1679" s="26" t="s">
        <v>629</v>
      </c>
      <c r="I1679" s="161">
        <v>44246</v>
      </c>
      <c r="J1679" s="35" t="s">
        <v>1193</v>
      </c>
      <c r="K1679" s="21">
        <v>2760000</v>
      </c>
      <c r="L1679" s="21"/>
      <c r="M1679" s="22">
        <f>(PROVEEDORES[[#This Row],[SUBTOTAL]]-PROVEEDORES[[#This Row],[descuento sobre subtotal]])*VLOOKUP(PROVEEDORES[[#This Row],[PROVEEDOR]],TERCEROS_INFO[#All],3,FALSE)</f>
        <v>0</v>
      </c>
      <c r="N1679" s="23"/>
      <c r="O1679" s="22">
        <f>+PROVEEDORES[[#This Row],[Descuento sobre subtotal %]]*(PROVEEDORES[[#This Row],[SUBTOTAL]]-PROVEEDORES[[#This Row],[descuento sobre subtotal]])</f>
        <v>0</v>
      </c>
      <c r="P1679" s="83">
        <f>+IF(PROVEEDORES[[#This Row],[SUBTOTAL]]&lt;PROVEEDORES[[#This Row],[base retencion]],0,PROVEEDORES[[#This Row],[retención aplicada]])</f>
        <v>0</v>
      </c>
      <c r="Q1679" s="22">
        <f>+PROVEEDORES[[#This Row],[Rete Fuente %]]*(PROVEEDORES[[#This Row],[SUBTOTAL]]-PROVEEDORES[[#This Row],[descuento sobre subtotal]])</f>
        <v>0</v>
      </c>
      <c r="R1679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16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9" s="68">
        <f ca="1">IF(PROVEEDORES[[#This Row],[FECHA DE PAGO]]=0,TODAY()-PROVEEDORES[[#This Row],[FECHA DE FACTURACIÓN]]-PROVEEDORES[[#This Row],[PLAZO Días]],0)</f>
        <v>0</v>
      </c>
      <c r="U1679" s="96">
        <f>+VLOOKUP(PROVEEDORES[[#This Row],[PROVEEDOR]],Terceros!$A:$D,4,FALSE)</f>
        <v>0</v>
      </c>
      <c r="V1679" s="97">
        <f>+YEAR(PROVEEDORES[[#This Row],[FECHA DE FACTURACIÓN]])</f>
        <v>2021</v>
      </c>
      <c r="W1679" s="97">
        <f>+MATCH(PROVEEDORES[[#This Row],[año facturado]],Retenciones!$1:$1,0)</f>
        <v>4</v>
      </c>
      <c r="X1679" s="98">
        <f>+VLOOKUP(PROVEEDORES[[#This Row],[ID RETENCION]],Retenciones!$A$1:$O$25,PROVEEDORES[[#This Row],[indicador de columna]],FALSE)</f>
        <v>0</v>
      </c>
      <c r="Y1679" s="99">
        <f>+VLOOKUP(PROVEEDORES[[#This Row],[ID RETENCION]],Retenciones!$A$1:$O$25,2,FALSE)</f>
        <v>0</v>
      </c>
      <c r="Z1679" s="125" t="b">
        <f>OR(COUNTIF(PROVEEDORES[[#This Row],[PROVEEDOR]],"*"&amp;'Palabra no opera'!$A$2&amp;"*"))</f>
        <v>0</v>
      </c>
    </row>
    <row r="1680" spans="1:26" ht="22.2" customHeight="1" x14ac:dyDescent="0.3">
      <c r="A1680" s="66" t="str">
        <f>+IF(PROVEEDORES[[#This Row],[FECHA DE PAGO]]=PROVEEDORES[[#This Row],[FECHA DE FACTURACIÓN]],"DE CONTADO","CRÉDITO")</f>
        <v>CRÉDITO</v>
      </c>
      <c r="B1680" s="38" t="str">
        <f>+IF((PROVEEDORES[[#This Row],[FECHA DE PAGO]]-PROVEEDORES[[#This Row],[FECHA DE FACTURACIÓN]])&gt;PROVEEDORES[[#This Row],[PLAZO Días]],"PAGO VENCIDO")</f>
        <v>PAGO VENCIDO</v>
      </c>
      <c r="C1680" s="20">
        <f>+VLOOKUP(PROVEEDORES[[#This Row],[PROVEEDOR]],TERCEROS_INFO[#All],2,FALSE)</f>
        <v>30</v>
      </c>
      <c r="D1680" s="25">
        <f>+SUMIFS(PROVEEDORES[Total],PROVEEDORES[PROVEEDOR],PROVEEDORES[[#This Row],[PROVEEDOR]],PROVEEDORES[FECHA DE PAGO],"")</f>
        <v>0</v>
      </c>
      <c r="E1680" s="25"/>
      <c r="F1680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680" s="161">
        <v>44686</v>
      </c>
      <c r="H1680" s="26" t="s">
        <v>688</v>
      </c>
      <c r="I1680" s="161">
        <v>44617</v>
      </c>
      <c r="J1680" s="35" t="s">
        <v>1574</v>
      </c>
      <c r="K1680" s="21">
        <v>2760000</v>
      </c>
      <c r="L1680" s="21"/>
      <c r="M1680" s="22">
        <f>(PROVEEDORES[[#This Row],[SUBTOTAL]]-PROVEEDORES[[#This Row],[descuento sobre subtotal]])*VLOOKUP(PROVEEDORES[[#This Row],[PROVEEDOR]],TERCEROS_INFO[#All],3,FALSE)</f>
        <v>0</v>
      </c>
      <c r="N1680" s="23"/>
      <c r="O1680" s="22">
        <f>+PROVEEDORES[[#This Row],[Descuento sobre subtotal %]]*(PROVEEDORES[[#This Row],[SUBTOTAL]]-PROVEEDORES[[#This Row],[descuento sobre subtotal]])</f>
        <v>0</v>
      </c>
      <c r="P1680" s="83">
        <f>+IF(PROVEEDORES[[#This Row],[SUBTOTAL]]&lt;PROVEEDORES[[#This Row],[base retencion]],0,PROVEEDORES[[#This Row],[retención aplicada]])</f>
        <v>0</v>
      </c>
      <c r="Q1680" s="22">
        <f>+PROVEEDORES[[#This Row],[Rete Fuente %]]*(PROVEEDORES[[#This Row],[SUBTOTAL]]-PROVEEDORES[[#This Row],[descuento sobre subtotal]])</f>
        <v>0</v>
      </c>
      <c r="R1680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16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0" s="68">
        <f ca="1">IF(PROVEEDORES[[#This Row],[FECHA DE PAGO]]=0,TODAY()-PROVEEDORES[[#This Row],[FECHA DE FACTURACIÓN]]-PROVEEDORES[[#This Row],[PLAZO Días]],0)</f>
        <v>0</v>
      </c>
      <c r="U1680" s="96">
        <f>+VLOOKUP(PROVEEDORES[[#This Row],[PROVEEDOR]],Terceros!$A:$D,4,FALSE)</f>
        <v>0</v>
      </c>
      <c r="V1680" s="97">
        <f>+YEAR(PROVEEDORES[[#This Row],[FECHA DE FACTURACIÓN]])</f>
        <v>2022</v>
      </c>
      <c r="W1680" s="97">
        <f>+MATCH(PROVEEDORES[[#This Row],[año facturado]],Retenciones!$1:$1,0)</f>
        <v>5</v>
      </c>
      <c r="X1680" s="98">
        <f>+VLOOKUP(PROVEEDORES[[#This Row],[ID RETENCION]],Retenciones!$A$1:$O$25,PROVEEDORES[[#This Row],[indicador de columna]],FALSE)</f>
        <v>0</v>
      </c>
      <c r="Y1680" s="99">
        <f>+VLOOKUP(PROVEEDORES[[#This Row],[ID RETENCION]],Retenciones!$A$1:$O$25,2,FALSE)</f>
        <v>0</v>
      </c>
      <c r="Z1680" s="125" t="b">
        <f>OR(COUNTIF(PROVEEDORES[[#This Row],[PROVEEDOR]],"*"&amp;'Palabra no opera'!$A$2&amp;"*"))</f>
        <v>0</v>
      </c>
    </row>
    <row r="1681" spans="1:26" ht="22.2" customHeight="1" x14ac:dyDescent="0.3">
      <c r="A1681" s="157" t="str">
        <f>+IF(PROVEEDORES[[#This Row],[FECHA DE PAGO]]=PROVEEDORES[[#This Row],[FECHA DE FACTURACIÓN]],"DE CONTADO","CRÉDITO")</f>
        <v>CRÉDITO</v>
      </c>
      <c r="B1681" s="38" t="b">
        <f>+IF((PROVEEDORES[[#This Row],[FECHA DE PAGO]]-PROVEEDORES[[#This Row],[FECHA DE FACTURACIÓN]])&gt;PROVEEDORES[[#This Row],[PLAZO Días]],"PAGO VENCIDO")</f>
        <v>0</v>
      </c>
      <c r="C1681" s="20">
        <f>+VLOOKUP(PROVEEDORES[[#This Row],[PROVEEDOR]],TERCEROS_INFO[#All],2,FALSE)</f>
        <v>30</v>
      </c>
      <c r="D1681" s="25">
        <f>+SUMIFS(PROVEEDORES[Total],PROVEEDORES[PROVEEDOR],PROVEEDORES[[#This Row],[PROVEEDOR]],PROVEEDORES[FECHA DE PAGO],"")</f>
        <v>0</v>
      </c>
      <c r="E1681" s="25"/>
      <c r="F1681" s="58" t="str">
        <f>+VLOOKUP(PROVEEDORES[[#This Row],[PROVEEDOR]],
                       Terceros!$A:$F,
                       5,
                       FALSE)</f>
        <v/>
      </c>
      <c r="G1681" s="161">
        <v>44726</v>
      </c>
      <c r="H1681" s="26" t="s">
        <v>53</v>
      </c>
      <c r="I1681" s="161">
        <v>44725</v>
      </c>
      <c r="J1681" s="35">
        <v>291706</v>
      </c>
      <c r="K1681" s="21">
        <v>2763000</v>
      </c>
      <c r="L1681" s="21"/>
      <c r="M1681" s="22">
        <f>(PROVEEDORES[[#This Row],[SUBTOTAL]]-PROVEEDORES[[#This Row],[descuento sobre subtotal]])*VLOOKUP(PROVEEDORES[[#This Row],[PROVEEDOR]],TERCEROS_INFO[#All],3,FALSE)</f>
        <v>0</v>
      </c>
      <c r="N1681" s="23"/>
      <c r="O1681" s="22">
        <f>+PROVEEDORES[[#This Row],[Descuento sobre subtotal %]]*(PROVEEDORES[[#This Row],[SUBTOTAL]]-PROVEEDORES[[#This Row],[descuento sobre subtotal]])</f>
        <v>0</v>
      </c>
      <c r="P1681" s="83">
        <f>+IF(PROVEEDORES[[#This Row],[SUBTOTAL]]&lt;PROVEEDORES[[#This Row],[base retencion]],0,PROVEEDORES[[#This Row],[retención aplicada]])</f>
        <v>0</v>
      </c>
      <c r="Q1681" s="22">
        <f>+PROVEEDORES[[#This Row],[Rete Fuente %]]*(PROVEEDORES[[#This Row],[SUBTOTAL]]-PROVEEDORES[[#This Row],[descuento sobre subtotal]])</f>
        <v>0</v>
      </c>
      <c r="R1681" s="21">
        <f>+PROVEEDORES[[#This Row],[SUBTOTAL]]+PROVEEDORES[[#This Row],[IVA 19%]]-PROVEEDORES[[#This Row],[descuento sobre subtotal]]-PROVEEDORES[[#This Row],[Descuento sobre subtotal $2]]-PROVEEDORES[[#This Row],[Rete Fuente $]]</f>
        <v>2763000</v>
      </c>
      <c r="S1681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1" s="68">
        <f ca="1">IF(PROVEEDORES[[#This Row],[FECHA DE PAGO]]=0,TODAY()-PROVEEDORES[[#This Row],[FECHA DE FACTURACIÓN]]-PROVEEDORES[[#This Row],[PLAZO Días]],0)</f>
        <v>0</v>
      </c>
      <c r="U1681" s="113">
        <f>+VLOOKUP(PROVEEDORES[[#This Row],[PROVEEDOR]],Terceros!$A:$D,4,FALSE)</f>
        <v>0</v>
      </c>
      <c r="V1681" s="114">
        <f>+YEAR(PROVEEDORES[[#This Row],[FECHA DE FACTURACIÓN]])</f>
        <v>2022</v>
      </c>
      <c r="W1681" s="114">
        <f>+MATCH(PROVEEDORES[[#This Row],[año facturado]],Retenciones!$1:$1,0)</f>
        <v>5</v>
      </c>
      <c r="X1681" s="115">
        <f>+VLOOKUP(PROVEEDORES[[#This Row],[ID RETENCION]],Retenciones!$A$1:$O$25,PROVEEDORES[[#This Row],[indicador de columna]],FALSE)</f>
        <v>0</v>
      </c>
      <c r="Y1681" s="116">
        <f>+VLOOKUP(PROVEEDORES[[#This Row],[ID RETENCION]],Retenciones!$A$1:$O$25,2,FALSE)</f>
        <v>0</v>
      </c>
      <c r="Z1681" s="125" t="b">
        <f>OR(COUNTIF(PROVEEDORES[[#This Row],[PROVEEDOR]],"*"&amp;'Palabra no opera'!$A$2&amp;"*"))</f>
        <v>0</v>
      </c>
    </row>
    <row r="1682" spans="1:26" ht="22.2" customHeight="1" x14ac:dyDescent="0.3">
      <c r="A1682" s="66" t="str">
        <f>+IF(PROVEEDORES[[#This Row],[FECHA DE PAGO]]=PROVEEDORES[[#This Row],[FECHA DE FACTURACIÓN]],"DE CONTADO","CRÉDITO")</f>
        <v>CRÉDITO</v>
      </c>
      <c r="B1682" s="38" t="b">
        <f>+IF((PROVEEDORES[[#This Row],[FECHA DE PAGO]]-PROVEEDORES[[#This Row],[FECHA DE FACTURACIÓN]])&gt;PROVEEDORES[[#This Row],[PLAZO Días]],"PAGO VENCIDO")</f>
        <v>0</v>
      </c>
      <c r="C1682" s="20">
        <f>+VLOOKUP(PROVEEDORES[[#This Row],[PROVEEDOR]],TERCEROS_INFO[#All],2,FALSE)</f>
        <v>30</v>
      </c>
      <c r="D1682" s="25">
        <f>+SUMIFS(PROVEEDORES[Total],PROVEEDORES[PROVEEDOR],PROVEEDORES[[#This Row],[PROVEEDOR]],PROVEEDORES[FECHA DE PAGO],"")</f>
        <v>0</v>
      </c>
      <c r="E1682" s="25"/>
      <c r="F1682" s="58" t="str">
        <f>+VLOOKUP(PROVEEDORES[[#This Row],[PROVEEDOR]],
                       Terceros!$A:$F,
                       5,
                       FALSE)</f>
        <v>mobiliariomasproyectos@gmail.com;girlesa.ruiz@servipilas.com;joriescobar64@gmail.com</v>
      </c>
      <c r="G1682" s="161">
        <v>44620</v>
      </c>
      <c r="H1682" s="26" t="s">
        <v>938</v>
      </c>
      <c r="I1682" s="161">
        <v>44616</v>
      </c>
      <c r="J1682" s="35" t="s">
        <v>722</v>
      </c>
      <c r="K1682" s="21">
        <v>2400000</v>
      </c>
      <c r="L1682" s="21"/>
      <c r="M1682" s="22">
        <f>(PROVEEDORES[[#This Row],[SUBTOTAL]]-PROVEEDORES[[#This Row],[descuento sobre subtotal]])*VLOOKUP(PROVEEDORES[[#This Row],[PROVEEDOR]],TERCEROS_INFO[#All],3,FALSE)</f>
        <v>456000</v>
      </c>
      <c r="N1682" s="23"/>
      <c r="O1682" s="22">
        <f>+PROVEEDORES[[#This Row],[Descuento sobre subtotal %]]*(PROVEEDORES[[#This Row],[SUBTOTAL]]-PROVEEDORES[[#This Row],[descuento sobre subtotal]])</f>
        <v>0</v>
      </c>
      <c r="P1682" s="83">
        <f>+IF(PROVEEDORES[[#This Row],[SUBTOTAL]]&lt;PROVEEDORES[[#This Row],[base retencion]],0,PROVEEDORES[[#This Row],[retención aplicada]])</f>
        <v>3.5000000000000003E-2</v>
      </c>
      <c r="Q1682" s="22">
        <f>+PROVEEDORES[[#This Row],[Rete Fuente %]]*(PROVEEDORES[[#This Row],[SUBTOTAL]]-PROVEEDORES[[#This Row],[descuento sobre subtotal]])</f>
        <v>84000.000000000015</v>
      </c>
      <c r="R1682" s="21">
        <f>+PROVEEDORES[[#This Row],[SUBTOTAL]]+PROVEEDORES[[#This Row],[IVA 19%]]-PROVEEDORES[[#This Row],[descuento sobre subtotal]]-PROVEEDORES[[#This Row],[Descuento sobre subtotal $2]]-PROVEEDORES[[#This Row],[Rete Fuente $]]</f>
        <v>2772000</v>
      </c>
      <c r="S16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2" s="68">
        <f ca="1">IF(PROVEEDORES[[#This Row],[FECHA DE PAGO]]=0,TODAY()-PROVEEDORES[[#This Row],[FECHA DE FACTURACIÓN]]-PROVEEDORES[[#This Row],[PLAZO Días]],0)</f>
        <v>0</v>
      </c>
      <c r="U1682" s="96" t="str">
        <f>+VLOOKUP(PROVEEDORES[[#This Row],[PROVEEDOR]],Terceros!$A:$D,4,FALSE)</f>
        <v>3,5% con base</v>
      </c>
      <c r="V1682" s="97">
        <f>+YEAR(PROVEEDORES[[#This Row],[FECHA DE FACTURACIÓN]])</f>
        <v>2022</v>
      </c>
      <c r="W1682" s="97">
        <f>+MATCH(PROVEEDORES[[#This Row],[año facturado]],Retenciones!$1:$1,0)</f>
        <v>5</v>
      </c>
      <c r="X1682" s="98">
        <f>+VLOOKUP(PROVEEDORES[[#This Row],[ID RETENCION]],Retenciones!$A$1:$O$25,PROVEEDORES[[#This Row],[indicador de columna]],FALSE)</f>
        <v>1026000</v>
      </c>
      <c r="Y1682" s="99">
        <f>+VLOOKUP(PROVEEDORES[[#This Row],[ID RETENCION]],Retenciones!$A$1:$O$25,2,FALSE)</f>
        <v>3.5000000000000003E-2</v>
      </c>
      <c r="Z1682" s="125" t="b">
        <f>OR(COUNTIF(PROVEEDORES[[#This Row],[PROVEEDOR]],"*"&amp;'Palabra no opera'!$A$2&amp;"*"))</f>
        <v>1</v>
      </c>
    </row>
    <row r="1683" spans="1:26" ht="22.2" customHeight="1" x14ac:dyDescent="0.3">
      <c r="A1683" s="66" t="str">
        <f>+IF(PROVEEDORES[[#This Row],[FECHA DE PAGO]]=PROVEEDORES[[#This Row],[FECHA DE FACTURACIÓN]],"DE CONTADO","CRÉDITO")</f>
        <v>CRÉDITO</v>
      </c>
      <c r="B1683" s="38" t="str">
        <f>+IF((PROVEEDORES[[#This Row],[FECHA DE PAGO]]-PROVEEDORES[[#This Row],[FECHA DE FACTURACIÓN]])&gt;PROVEEDORES[[#This Row],[PLAZO Días]],"PAGO VENCIDO")</f>
        <v>PAGO VENCIDO</v>
      </c>
      <c r="C1683" s="20">
        <f>+VLOOKUP(PROVEEDORES[[#This Row],[PROVEEDOR]],TERCEROS_INFO[#All],2,FALSE)</f>
        <v>30</v>
      </c>
      <c r="D1683" s="25">
        <f>+SUMIFS(PROVEEDORES[Total],PROVEEDORES[PROVEEDOR],PROVEEDORES[[#This Row],[PROVEEDOR]],PROVEEDORES[FECHA DE PAGO],"")</f>
        <v>1194849.25</v>
      </c>
      <c r="E1683" s="25"/>
      <c r="F1683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683" s="161">
        <v>44624</v>
      </c>
      <c r="H1683" s="26" t="s">
        <v>32</v>
      </c>
      <c r="I1683" s="161">
        <v>44579</v>
      </c>
      <c r="J1683" s="35" t="s">
        <v>619</v>
      </c>
      <c r="K1683" s="21">
        <v>2379411.12</v>
      </c>
      <c r="L1683" s="21"/>
      <c r="M1683" s="22">
        <f>(PROVEEDORES[[#This Row],[SUBTOTAL]]-PROVEEDORES[[#This Row],[descuento sobre subtotal]])*VLOOKUP(PROVEEDORES[[#This Row],[PROVEEDOR]],TERCEROS_INFO[#All],3,FALSE)</f>
        <v>452088.1128</v>
      </c>
      <c r="N1683" s="23"/>
      <c r="O1683" s="22">
        <f>+PROVEEDORES[[#This Row],[Descuento sobre subtotal %]]*(PROVEEDORES[[#This Row],[SUBTOTAL]]-PROVEEDORES[[#This Row],[descuento sobre subtotal]])</f>
        <v>0</v>
      </c>
      <c r="P1683" s="83">
        <f>+IF(PROVEEDORES[[#This Row],[SUBTOTAL]]&lt;PROVEEDORES[[#This Row],[base retencion]],0,PROVEEDORES[[#This Row],[retención aplicada]])</f>
        <v>2.5000000000000001E-2</v>
      </c>
      <c r="Q1683" s="22">
        <f>+PROVEEDORES[[#This Row],[Rete Fuente %]]*(PROVEEDORES[[#This Row],[SUBTOTAL]]-PROVEEDORES[[#This Row],[descuento sobre subtotal]])</f>
        <v>59485.278000000006</v>
      </c>
      <c r="R1683" s="21">
        <f>+PROVEEDORES[[#This Row],[SUBTOTAL]]+PROVEEDORES[[#This Row],[IVA 19%]]-PROVEEDORES[[#This Row],[descuento sobre subtotal]]-PROVEEDORES[[#This Row],[Descuento sobre subtotal $2]]-PROVEEDORES[[#This Row],[Rete Fuente $]]</f>
        <v>2772013.9548000004</v>
      </c>
      <c r="S16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3" s="68">
        <f ca="1">IF(PROVEEDORES[[#This Row],[FECHA DE PAGO]]=0,TODAY()-PROVEEDORES[[#This Row],[FECHA DE FACTURACIÓN]]-PROVEEDORES[[#This Row],[PLAZO Días]],0)</f>
        <v>0</v>
      </c>
      <c r="U1683" s="96" t="str">
        <f>+VLOOKUP(PROVEEDORES[[#This Row],[PROVEEDOR]],Terceros!$A:$D,4,FALSE)</f>
        <v>2,5% con base</v>
      </c>
      <c r="V1683" s="97">
        <f>+YEAR(PROVEEDORES[[#This Row],[FECHA DE FACTURACIÓN]])</f>
        <v>2022</v>
      </c>
      <c r="W1683" s="97">
        <f>+MATCH(PROVEEDORES[[#This Row],[año facturado]],Retenciones!$1:$1,0)</f>
        <v>5</v>
      </c>
      <c r="X1683" s="98">
        <f>+VLOOKUP(PROVEEDORES[[#This Row],[ID RETENCION]],Retenciones!$A$1:$O$25,PROVEEDORES[[#This Row],[indicador de columna]],FALSE)</f>
        <v>1026000</v>
      </c>
      <c r="Y1683" s="99">
        <f>+VLOOKUP(PROVEEDORES[[#This Row],[ID RETENCION]],Retenciones!$A$1:$O$25,2,FALSE)</f>
        <v>2.5000000000000001E-2</v>
      </c>
      <c r="Z1683" s="125" t="b">
        <f>OR(COUNTIF(PROVEEDORES[[#This Row],[PROVEEDOR]],"*"&amp;'Palabra no opera'!$A$2&amp;"*"))</f>
        <v>0</v>
      </c>
    </row>
    <row r="1684" spans="1:26" ht="22.2" customHeight="1" x14ac:dyDescent="0.3">
      <c r="A1684" s="213" t="str">
        <f>+IF(PROVEEDORES[[#This Row],[FECHA DE PAGO]]=PROVEEDORES[[#This Row],[FECHA DE FACTURACIÓN]],"DE CONTADO","CRÉDITO")</f>
        <v>DE CONTADO</v>
      </c>
      <c r="B1684" s="38" t="b">
        <f>+IF((PROVEEDORES[[#This Row],[FECHA DE PAGO]]-PROVEEDORES[[#This Row],[FECHA DE FACTURACIÓN]])&gt;PROVEEDORES[[#This Row],[PLAZO Días]],"PAGO VENCIDO")</f>
        <v>0</v>
      </c>
      <c r="C1684" s="20">
        <f>+VLOOKUP(PROVEEDORES[[#This Row],[PROVEEDOR]],TERCEROS_INFO[#All],2,FALSE)</f>
        <v>30</v>
      </c>
      <c r="D1684" s="25">
        <f>+SUMIFS(PROVEEDORES[Total],PROVEEDORES[PROVEEDOR],PROVEEDORES[[#This Row],[PROVEEDOR]],PROVEEDORES[FECHA DE PAGO],"")</f>
        <v>0</v>
      </c>
      <c r="E1684" s="25"/>
      <c r="F1684" s="58" t="str">
        <f>+VLOOKUP(PROVEEDORES[[#This Row],[PROVEEDOR]],
                       Terceros!$A:$F,
                       5,
                       FALSE)</f>
        <v/>
      </c>
      <c r="G1684" s="161">
        <v>44804</v>
      </c>
      <c r="H1684" s="26" t="s">
        <v>644</v>
      </c>
      <c r="I1684" s="161">
        <v>44804</v>
      </c>
      <c r="J1684" s="35" t="s">
        <v>595</v>
      </c>
      <c r="K1684" s="21">
        <v>2787750</v>
      </c>
      <c r="L1684" s="21"/>
      <c r="M1684" s="22">
        <f>(PROVEEDORES[[#This Row],[SUBTOTAL]]-PROVEEDORES[[#This Row],[descuento sobre subtotal]])*VLOOKUP(PROVEEDORES[[#This Row],[PROVEEDOR]],TERCEROS_INFO[#All],3,FALSE)</f>
        <v>0</v>
      </c>
      <c r="N1684" s="23"/>
      <c r="O1684" s="22">
        <f>+PROVEEDORES[[#This Row],[Descuento sobre subtotal %]]*(PROVEEDORES[[#This Row],[SUBTOTAL]]-PROVEEDORES[[#This Row],[descuento sobre subtotal]])</f>
        <v>0</v>
      </c>
      <c r="P1684" s="83">
        <f>+IF(PROVEEDORES[[#This Row],[SUBTOTAL]]&lt;PROVEEDORES[[#This Row],[base retencion]],0,PROVEEDORES[[#This Row],[retención aplicada]])</f>
        <v>0</v>
      </c>
      <c r="Q1684" s="22">
        <f>+PROVEEDORES[[#This Row],[Rete Fuente %]]*(PROVEEDORES[[#This Row],[SUBTOTAL]]-PROVEEDORES[[#This Row],[descuento sobre subtotal]])</f>
        <v>0</v>
      </c>
      <c r="R1684" s="21">
        <f>+PROVEEDORES[[#This Row],[SUBTOTAL]]+PROVEEDORES[[#This Row],[IVA 19%]]-PROVEEDORES[[#This Row],[descuento sobre subtotal]]-PROVEEDORES[[#This Row],[Descuento sobre subtotal $2]]-PROVEEDORES[[#This Row],[Rete Fuente $]]</f>
        <v>2787750</v>
      </c>
      <c r="S1684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4" s="68">
        <f ca="1">IF(PROVEEDORES[[#This Row],[FECHA DE PAGO]]=0,TODAY()-PROVEEDORES[[#This Row],[FECHA DE FACTURACIÓN]]-PROVEEDORES[[#This Row],[PLAZO Días]],0)</f>
        <v>0</v>
      </c>
      <c r="U1684" s="113">
        <f>+VLOOKUP(PROVEEDORES[[#This Row],[PROVEEDOR]],Terceros!$A:$D,4,FALSE)</f>
        <v>0</v>
      </c>
      <c r="V1684" s="114">
        <f>+YEAR(PROVEEDORES[[#This Row],[FECHA DE FACTURACIÓN]])</f>
        <v>2022</v>
      </c>
      <c r="W1684" s="114">
        <f>+MATCH(PROVEEDORES[[#This Row],[año facturado]],Retenciones!$1:$1,0)</f>
        <v>5</v>
      </c>
      <c r="X1684" s="115">
        <f>+VLOOKUP(PROVEEDORES[[#This Row],[ID RETENCION]],Retenciones!$A$1:$O$25,PROVEEDORES[[#This Row],[indicador de columna]],FALSE)</f>
        <v>0</v>
      </c>
      <c r="Y1684" s="116">
        <f>+VLOOKUP(PROVEEDORES[[#This Row],[ID RETENCION]],Retenciones!$A$1:$O$25,2,FALSE)</f>
        <v>0</v>
      </c>
      <c r="Z1684" s="125" t="b">
        <f>OR(COUNTIF(PROVEEDORES[[#This Row],[PROVEEDOR]],"*"&amp;'Palabra no opera'!$A$2&amp;"*"))</f>
        <v>0</v>
      </c>
    </row>
    <row r="1685" spans="1:26" ht="22.2" customHeight="1" x14ac:dyDescent="0.3">
      <c r="A1685" s="207" t="str">
        <f>+IF(PROVEEDORES[[#This Row],[FECHA DE PAGO]]=PROVEEDORES[[#This Row],[FECHA DE FACTURACIÓN]],"DE CONTADO","CRÉDITO")</f>
        <v>CRÉDITO</v>
      </c>
      <c r="B1685" s="38" t="str">
        <f>+IF((PROVEEDORES[[#This Row],[FECHA DE PAGO]]-PROVEEDORES[[#This Row],[FECHA DE FACTURACIÓN]])&gt;PROVEEDORES[[#This Row],[PLAZO Días]],"PAGO VENCIDO")</f>
        <v>PAGO VENCIDO</v>
      </c>
      <c r="C1685" s="20">
        <f>+VLOOKUP(PROVEEDORES[[#This Row],[PROVEEDOR]],TERCEROS_INFO[#All],2,FALSE)</f>
        <v>30</v>
      </c>
      <c r="D1685" s="25">
        <f>+SUMIFS(PROVEEDORES[Total],PROVEEDORES[PROVEEDOR],PROVEEDORES[[#This Row],[PROVEEDOR]],PROVEEDORES[FECHA DE PAGO],"")</f>
        <v>5430852.9800000004</v>
      </c>
      <c r="E1685" s="25"/>
      <c r="F168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85" s="161">
        <v>44833</v>
      </c>
      <c r="H1685" s="26" t="s">
        <v>408</v>
      </c>
      <c r="I1685" s="161">
        <v>44797</v>
      </c>
      <c r="J1685" s="35" t="s">
        <v>1635</v>
      </c>
      <c r="K1685" s="21">
        <v>2348644.75</v>
      </c>
      <c r="L1685" s="21"/>
      <c r="M1685" s="22">
        <f>(PROVEEDORES[[#This Row],[SUBTOTAL]]-PROVEEDORES[[#This Row],[descuento sobre subtotal]])*VLOOKUP(PROVEEDORES[[#This Row],[PROVEEDOR]],TERCEROS_INFO[#All],3,FALSE)</f>
        <v>446242.5025</v>
      </c>
      <c r="N1685" s="23"/>
      <c r="O1685" s="22">
        <f>+PROVEEDORES[[#This Row],[Descuento sobre subtotal %]]*(PROVEEDORES[[#This Row],[SUBTOTAL]]-PROVEEDORES[[#This Row],[descuento sobre subtotal]])</f>
        <v>0</v>
      </c>
      <c r="P1685" s="83">
        <f>+IF(PROVEEDORES[[#This Row],[SUBTOTAL]]&lt;PROVEEDORES[[#This Row],[base retencion]],0,PROVEEDORES[[#This Row],[retención aplicada]])</f>
        <v>0</v>
      </c>
      <c r="Q1685" s="22">
        <f>+PROVEEDORES[[#This Row],[Rete Fuente %]]*(PROVEEDORES[[#This Row],[SUBTOTAL]]-PROVEEDORES[[#This Row],[descuento sobre subtotal]])</f>
        <v>0</v>
      </c>
      <c r="R1685" s="21">
        <f>+PROVEEDORES[[#This Row],[SUBTOTAL]]+PROVEEDORES[[#This Row],[IVA 19%]]-PROVEEDORES[[#This Row],[descuento sobre subtotal]]-PROVEEDORES[[#This Row],[Descuento sobre subtotal $2]]-PROVEEDORES[[#This Row],[Rete Fuente $]]</f>
        <v>2794887.2524999999</v>
      </c>
      <c r="S1685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5" s="68">
        <f ca="1">IF(PROVEEDORES[[#This Row],[FECHA DE PAGO]]=0,TODAY()-PROVEEDORES[[#This Row],[FECHA DE FACTURACIÓN]]-PROVEEDORES[[#This Row],[PLAZO Días]],0)</f>
        <v>0</v>
      </c>
      <c r="U1685" s="113">
        <f>+VLOOKUP(PROVEEDORES[[#This Row],[PROVEEDOR]],Terceros!$A:$D,4,FALSE)</f>
        <v>0</v>
      </c>
      <c r="V1685" s="114">
        <f>+YEAR(PROVEEDORES[[#This Row],[FECHA DE FACTURACIÓN]])</f>
        <v>2022</v>
      </c>
      <c r="W1685" s="114">
        <f>+MATCH(PROVEEDORES[[#This Row],[año facturado]],Retenciones!$1:$1,0)</f>
        <v>5</v>
      </c>
      <c r="X1685" s="115">
        <f>+VLOOKUP(PROVEEDORES[[#This Row],[ID RETENCION]],Retenciones!$A$1:$O$25,PROVEEDORES[[#This Row],[indicador de columna]],FALSE)</f>
        <v>0</v>
      </c>
      <c r="Y1685" s="116">
        <f>+VLOOKUP(PROVEEDORES[[#This Row],[ID RETENCION]],Retenciones!$A$1:$O$25,2,FALSE)</f>
        <v>0</v>
      </c>
      <c r="Z1685" s="125" t="b">
        <f>OR(COUNTIF(PROVEEDORES[[#This Row],[PROVEEDOR]],"*"&amp;'Palabra no opera'!$A$2&amp;"*"))</f>
        <v>0</v>
      </c>
    </row>
    <row r="1686" spans="1:26" ht="22.2" customHeight="1" x14ac:dyDescent="0.3">
      <c r="A1686" s="66" t="str">
        <f>+IF(PROVEEDORES[[#This Row],[FECHA DE PAGO]]=PROVEEDORES[[#This Row],[FECHA DE FACTURACIÓN]],"DE CONTADO","CRÉDITO")</f>
        <v>CRÉDITO</v>
      </c>
      <c r="B1686" s="38" t="str">
        <f>+IF((PROVEEDORES[[#This Row],[FECHA DE PAGO]]-PROVEEDORES[[#This Row],[FECHA DE FACTURACIÓN]])&gt;PROVEEDORES[[#This Row],[PLAZO Días]],"PAGO VENCIDO")</f>
        <v>PAGO VENCIDO</v>
      </c>
      <c r="C1686" s="20">
        <f>+VLOOKUP(PROVEEDORES[[#This Row],[PROVEEDOR]],TERCEROS_INFO[#All],2,FALSE)</f>
        <v>45</v>
      </c>
      <c r="D1686" s="25">
        <f>+SUMIFS(PROVEEDORES[Total],PROVEEDORES[PROVEEDOR],PROVEEDORES[[#This Row],[PROVEEDOR]],PROVEEDORES[FECHA DE PAGO],"")</f>
        <v>2604910</v>
      </c>
      <c r="E1686" s="25"/>
      <c r="F168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86" s="161">
        <v>44376</v>
      </c>
      <c r="H1686" s="26" t="s">
        <v>10</v>
      </c>
      <c r="I1686" s="161">
        <v>44320</v>
      </c>
      <c r="J1686" s="35" t="s">
        <v>320</v>
      </c>
      <c r="K1686" s="21">
        <v>2354000</v>
      </c>
      <c r="L1686" s="21"/>
      <c r="M1686" s="22">
        <f>(PROVEEDORES[[#This Row],[SUBTOTAL]]-PROVEEDORES[[#This Row],[descuento sobre subtotal]])*VLOOKUP(PROVEEDORES[[#This Row],[PROVEEDOR]],TERCEROS_INFO[#All],3,FALSE)</f>
        <v>447260</v>
      </c>
      <c r="N1686" s="23"/>
      <c r="O1686" s="22">
        <f>+PROVEEDORES[[#This Row],[Descuento sobre subtotal %]]*(PROVEEDORES[[#This Row],[SUBTOTAL]]-PROVEEDORES[[#This Row],[descuento sobre subtotal]])</f>
        <v>0</v>
      </c>
      <c r="P1686" s="83">
        <f>+IF(PROVEEDORES[[#This Row],[SUBTOTAL]]&lt;PROVEEDORES[[#This Row],[base retencion]],0,PROVEEDORES[[#This Row],[retención aplicada]])</f>
        <v>0</v>
      </c>
      <c r="Q1686" s="22">
        <f>+PROVEEDORES[[#This Row],[Rete Fuente %]]*(PROVEEDORES[[#This Row],[SUBTOTAL]]-PROVEEDORES[[#This Row],[descuento sobre subtotal]])</f>
        <v>0</v>
      </c>
      <c r="R1686" s="21">
        <f>+PROVEEDORES[[#This Row],[SUBTOTAL]]+PROVEEDORES[[#This Row],[IVA 19%]]-PROVEEDORES[[#This Row],[descuento sobre subtotal]]-PROVEEDORES[[#This Row],[Descuento sobre subtotal $2]]-PROVEEDORES[[#This Row],[Rete Fuente $]]</f>
        <v>2801260</v>
      </c>
      <c r="S16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6" s="68">
        <f ca="1">IF(PROVEEDORES[[#This Row],[FECHA DE PAGO]]=0,TODAY()-PROVEEDORES[[#This Row],[FECHA DE FACTURACIÓN]]-PROVEEDORES[[#This Row],[PLAZO Días]],0)</f>
        <v>0</v>
      </c>
      <c r="U1686" s="96">
        <f>+VLOOKUP(PROVEEDORES[[#This Row],[PROVEEDOR]],Terceros!$A:$D,4,FALSE)</f>
        <v>0</v>
      </c>
      <c r="V1686" s="97">
        <f>+YEAR(PROVEEDORES[[#This Row],[FECHA DE FACTURACIÓN]])</f>
        <v>2021</v>
      </c>
      <c r="W1686" s="97">
        <f>+MATCH(PROVEEDORES[[#This Row],[año facturado]],Retenciones!$1:$1,0)</f>
        <v>4</v>
      </c>
      <c r="X1686" s="98">
        <f>+VLOOKUP(PROVEEDORES[[#This Row],[ID RETENCION]],Retenciones!$A$1:$O$25,PROVEEDORES[[#This Row],[indicador de columna]],FALSE)</f>
        <v>0</v>
      </c>
      <c r="Y1686" s="99">
        <f>+VLOOKUP(PROVEEDORES[[#This Row],[ID RETENCION]],Retenciones!$A$1:$O$25,2,FALSE)</f>
        <v>0</v>
      </c>
      <c r="Z1686" s="125" t="b">
        <f>OR(COUNTIF(PROVEEDORES[[#This Row],[PROVEEDOR]],"*"&amp;'Palabra no opera'!$A$2&amp;"*"))</f>
        <v>0</v>
      </c>
    </row>
    <row r="1687" spans="1:26" ht="22.2" customHeight="1" x14ac:dyDescent="0.3">
      <c r="A1687" s="66" t="str">
        <f>+IF(PROVEEDORES[[#This Row],[FECHA DE PAGO]]=PROVEEDORES[[#This Row],[FECHA DE FACTURACIÓN]],"DE CONTADO","CRÉDITO")</f>
        <v>CRÉDITO</v>
      </c>
      <c r="B1687" s="38" t="str">
        <f>+IF((PROVEEDORES[[#This Row],[FECHA DE PAGO]]-PROVEEDORES[[#This Row],[FECHA DE FACTURACIÓN]])&gt;PROVEEDORES[[#This Row],[PLAZO Días]],"PAGO VENCIDO")</f>
        <v>PAGO VENCIDO</v>
      </c>
      <c r="C1687" s="20">
        <f>+VLOOKUP(PROVEEDORES[[#This Row],[PROVEEDOR]],TERCEROS_INFO[#All],2,FALSE)</f>
        <v>30</v>
      </c>
      <c r="D1687" s="25">
        <f>+SUMIFS(PROVEEDORES[Total],PROVEEDORES[PROVEEDOR],PROVEEDORES[[#This Row],[PROVEEDOR]],PROVEEDORES[FECHA DE PAGO],"")</f>
        <v>0</v>
      </c>
      <c r="E1687" s="25"/>
      <c r="F168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687" s="161">
        <v>44298</v>
      </c>
      <c r="H1687" s="26" t="s">
        <v>26</v>
      </c>
      <c r="I1687" s="161">
        <v>44244</v>
      </c>
      <c r="J1687" s="35">
        <v>910</v>
      </c>
      <c r="K1687" s="21">
        <v>2410000</v>
      </c>
      <c r="L1687" s="21"/>
      <c r="M1687" s="22">
        <f>(PROVEEDORES[[#This Row],[SUBTOTAL]]-PROVEEDORES[[#This Row],[descuento sobre subtotal]])*VLOOKUP(PROVEEDORES[[#This Row],[PROVEEDOR]],TERCEROS_INFO[#All],3,FALSE)</f>
        <v>457900</v>
      </c>
      <c r="N1687" s="23"/>
      <c r="O1687" s="22">
        <f>+PROVEEDORES[[#This Row],[Descuento sobre subtotal %]]*(PROVEEDORES[[#This Row],[SUBTOTAL]]-PROVEEDORES[[#This Row],[descuento sobre subtotal]])</f>
        <v>0</v>
      </c>
      <c r="P1687" s="83">
        <f>+IF(PROVEEDORES[[#This Row],[SUBTOTAL]]&lt;PROVEEDORES[[#This Row],[base retencion]],0,PROVEEDORES[[#This Row],[retención aplicada]])</f>
        <v>2.5000000000000001E-2</v>
      </c>
      <c r="Q1687" s="22">
        <f>+PROVEEDORES[[#This Row],[Rete Fuente %]]*(PROVEEDORES[[#This Row],[SUBTOTAL]]-PROVEEDORES[[#This Row],[descuento sobre subtotal]])</f>
        <v>60250</v>
      </c>
      <c r="R1687" s="21">
        <f>+PROVEEDORES[[#This Row],[SUBTOTAL]]+PROVEEDORES[[#This Row],[IVA 19%]]-PROVEEDORES[[#This Row],[descuento sobre subtotal]]-PROVEEDORES[[#This Row],[Descuento sobre subtotal $2]]-PROVEEDORES[[#This Row],[Rete Fuente $]]</f>
        <v>2807650</v>
      </c>
      <c r="S16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7" s="68">
        <f ca="1">IF(PROVEEDORES[[#This Row],[FECHA DE PAGO]]=0,TODAY()-PROVEEDORES[[#This Row],[FECHA DE FACTURACIÓN]]-PROVEEDORES[[#This Row],[PLAZO Días]],0)</f>
        <v>0</v>
      </c>
      <c r="U1687" s="96" t="str">
        <f>+VLOOKUP(PROVEEDORES[[#This Row],[PROVEEDOR]],Terceros!$A:$D,4,FALSE)</f>
        <v>2,5% con base</v>
      </c>
      <c r="V1687" s="97">
        <f>+YEAR(PROVEEDORES[[#This Row],[FECHA DE FACTURACIÓN]])</f>
        <v>2021</v>
      </c>
      <c r="W1687" s="97">
        <f>+MATCH(PROVEEDORES[[#This Row],[año facturado]],Retenciones!$1:$1,0)</f>
        <v>4</v>
      </c>
      <c r="X1687" s="98">
        <f>+VLOOKUP(PROVEEDORES[[#This Row],[ID RETENCION]],Retenciones!$A$1:$O$25,PROVEEDORES[[#This Row],[indicador de columna]],FALSE)</f>
        <v>980000</v>
      </c>
      <c r="Y1687" s="99">
        <f>+VLOOKUP(PROVEEDORES[[#This Row],[ID RETENCION]],Retenciones!$A$1:$O$25,2,FALSE)</f>
        <v>2.5000000000000001E-2</v>
      </c>
      <c r="Z1687" s="125" t="b">
        <f>OR(COUNTIF(PROVEEDORES[[#This Row],[PROVEEDOR]],"*"&amp;'Palabra no opera'!$A$2&amp;"*"))</f>
        <v>0</v>
      </c>
    </row>
    <row r="1688" spans="1:26" ht="22.2" customHeight="1" x14ac:dyDescent="0.3">
      <c r="A1688" s="66" t="str">
        <f>+IF(PROVEEDORES[[#This Row],[FECHA DE PAGO]]=PROVEEDORES[[#This Row],[FECHA DE FACTURACIÓN]],"DE CONTADO","CRÉDITO")</f>
        <v>CRÉDITO</v>
      </c>
      <c r="B1688" s="38" t="str">
        <f>+IF((PROVEEDORES[[#This Row],[FECHA DE PAGO]]-PROVEEDORES[[#This Row],[FECHA DE FACTURACIÓN]])&gt;PROVEEDORES[[#This Row],[PLAZO Días]],"PAGO VENCIDO")</f>
        <v>PAGO VENCIDO</v>
      </c>
      <c r="C1688" s="20">
        <f>+VLOOKUP(PROVEEDORES[[#This Row],[PROVEEDOR]],TERCEROS_INFO[#All],2,FALSE)</f>
        <v>45</v>
      </c>
      <c r="D1688" s="25">
        <f>+SUMIFS(PROVEEDORES[Total],PROVEEDORES[PROVEEDOR],PROVEEDORES[[#This Row],[PROVEEDOR]],PROVEEDORES[FECHA DE PAGO],"")</f>
        <v>2604910</v>
      </c>
      <c r="E1688" s="25"/>
      <c r="F168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88" s="161">
        <v>44414</v>
      </c>
      <c r="H1688" s="26" t="s">
        <v>10</v>
      </c>
      <c r="I1688" s="161">
        <v>44363</v>
      </c>
      <c r="J1688" s="35" t="s">
        <v>354</v>
      </c>
      <c r="K1688" s="21">
        <v>2360000</v>
      </c>
      <c r="L1688" s="21"/>
      <c r="M1688" s="22">
        <f>(PROVEEDORES[[#This Row],[SUBTOTAL]]-PROVEEDORES[[#This Row],[descuento sobre subtotal]])*VLOOKUP(PROVEEDORES[[#This Row],[PROVEEDOR]],TERCEROS_INFO[#All],3,FALSE)</f>
        <v>448400</v>
      </c>
      <c r="N1688" s="23"/>
      <c r="O1688" s="22">
        <f>+PROVEEDORES[[#This Row],[Descuento sobre subtotal %]]*(PROVEEDORES[[#This Row],[SUBTOTAL]]-PROVEEDORES[[#This Row],[descuento sobre subtotal]])</f>
        <v>0</v>
      </c>
      <c r="P1688" s="83">
        <f>+IF(PROVEEDORES[[#This Row],[SUBTOTAL]]&lt;PROVEEDORES[[#This Row],[base retencion]],0,PROVEEDORES[[#This Row],[retención aplicada]])</f>
        <v>0</v>
      </c>
      <c r="Q1688" s="22">
        <f>+PROVEEDORES[[#This Row],[Rete Fuente %]]*(PROVEEDORES[[#This Row],[SUBTOTAL]]-PROVEEDORES[[#This Row],[descuento sobre subtotal]])</f>
        <v>0</v>
      </c>
      <c r="R1688" s="21">
        <f>+PROVEEDORES[[#This Row],[SUBTOTAL]]+PROVEEDORES[[#This Row],[IVA 19%]]-PROVEEDORES[[#This Row],[descuento sobre subtotal]]-PROVEEDORES[[#This Row],[Descuento sobre subtotal $2]]-PROVEEDORES[[#This Row],[Rete Fuente $]]</f>
        <v>2808400</v>
      </c>
      <c r="S16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8" s="68">
        <f ca="1">IF(PROVEEDORES[[#This Row],[FECHA DE PAGO]]=0,TODAY()-PROVEEDORES[[#This Row],[FECHA DE FACTURACIÓN]]-PROVEEDORES[[#This Row],[PLAZO Días]],0)</f>
        <v>0</v>
      </c>
      <c r="U1688" s="96">
        <f>+VLOOKUP(PROVEEDORES[[#This Row],[PROVEEDOR]],Terceros!$A:$D,4,FALSE)</f>
        <v>0</v>
      </c>
      <c r="V1688" s="97">
        <f>+YEAR(PROVEEDORES[[#This Row],[FECHA DE FACTURACIÓN]])</f>
        <v>2021</v>
      </c>
      <c r="W1688" s="97">
        <f>+MATCH(PROVEEDORES[[#This Row],[año facturado]],Retenciones!$1:$1,0)</f>
        <v>4</v>
      </c>
      <c r="X1688" s="98">
        <f>+VLOOKUP(PROVEEDORES[[#This Row],[ID RETENCION]],Retenciones!$A$1:$O$25,PROVEEDORES[[#This Row],[indicador de columna]],FALSE)</f>
        <v>0</v>
      </c>
      <c r="Y1688" s="99">
        <f>+VLOOKUP(PROVEEDORES[[#This Row],[ID RETENCION]],Retenciones!$A$1:$O$25,2,FALSE)</f>
        <v>0</v>
      </c>
      <c r="Z1688" s="125" t="b">
        <f>OR(COUNTIF(PROVEEDORES[[#This Row],[PROVEEDOR]],"*"&amp;'Palabra no opera'!$A$2&amp;"*"))</f>
        <v>0</v>
      </c>
    </row>
    <row r="1689" spans="1:26" ht="22.2" customHeight="1" x14ac:dyDescent="0.3">
      <c r="A1689" s="195" t="str">
        <f>+IF(PROVEEDORES[[#This Row],[FECHA DE PAGO]]=PROVEEDORES[[#This Row],[FECHA DE FACTURACIÓN]],"DE CONTADO","CRÉDITO")</f>
        <v>CRÉDITO</v>
      </c>
      <c r="B1689" s="38" t="str">
        <f>+IF((PROVEEDORES[[#This Row],[FECHA DE PAGO]]-PROVEEDORES[[#This Row],[FECHA DE FACTURACIÓN]])&gt;PROVEEDORES[[#This Row],[PLAZO Días]],"PAGO VENCIDO")</f>
        <v>PAGO VENCIDO</v>
      </c>
      <c r="C1689" s="20">
        <f>+VLOOKUP(PROVEEDORES[[#This Row],[PROVEEDOR]],TERCEROS_INFO[#All],2,FALSE)</f>
        <v>30</v>
      </c>
      <c r="D1689" s="25">
        <f>+SUMIFS(PROVEEDORES[Total],PROVEEDORES[PROVEEDOR],PROVEEDORES[[#This Row],[PROVEEDOR]],PROVEEDORES[FECHA DE PAGO],"")</f>
        <v>23124164.219999999</v>
      </c>
      <c r="E1689" s="25"/>
      <c r="F168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89" s="161">
        <v>44833</v>
      </c>
      <c r="H1689" s="26" t="s">
        <v>18</v>
      </c>
      <c r="I1689" s="161">
        <v>44778</v>
      </c>
      <c r="J1689" s="35">
        <v>1057445</v>
      </c>
      <c r="K1689" s="21">
        <v>2426648</v>
      </c>
      <c r="L1689" s="21"/>
      <c r="M1689" s="22">
        <f>(PROVEEDORES[[#This Row],[SUBTOTAL]]-PROVEEDORES[[#This Row],[descuento sobre subtotal]])*VLOOKUP(PROVEEDORES[[#This Row],[PROVEEDOR]],TERCEROS_INFO[#All],3,FALSE)</f>
        <v>461063.12</v>
      </c>
      <c r="N1689" s="23"/>
      <c r="O1689" s="22">
        <f>+PROVEEDORES[[#This Row],[Descuento sobre subtotal %]]*(PROVEEDORES[[#This Row],[SUBTOTAL]]-PROVEEDORES[[#This Row],[descuento sobre subtotal]])</f>
        <v>0</v>
      </c>
      <c r="P1689" s="83">
        <f>+IF(PROVEEDORES[[#This Row],[SUBTOTAL]]&lt;PROVEEDORES[[#This Row],[base retencion]],0,PROVEEDORES[[#This Row],[retención aplicada]])</f>
        <v>2.5000000000000001E-2</v>
      </c>
      <c r="Q1689" s="22">
        <f>+PROVEEDORES[[#This Row],[Rete Fuente %]]*(PROVEEDORES[[#This Row],[SUBTOTAL]]-PROVEEDORES[[#This Row],[descuento sobre subtotal]])</f>
        <v>60666.200000000004</v>
      </c>
      <c r="R1689" s="21">
        <f>+PROVEEDORES[[#This Row],[SUBTOTAL]]+PROVEEDORES[[#This Row],[IVA 19%]]-PROVEEDORES[[#This Row],[descuento sobre subtotal]]-PROVEEDORES[[#This Row],[Descuento sobre subtotal $2]]-PROVEEDORES[[#This Row],[Rete Fuente $]]</f>
        <v>2827044.92</v>
      </c>
      <c r="S1689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9" s="68">
        <f ca="1">IF(PROVEEDORES[[#This Row],[FECHA DE PAGO]]=0,TODAY()-PROVEEDORES[[#This Row],[FECHA DE FACTURACIÓN]]-PROVEEDORES[[#This Row],[PLAZO Días]],0)</f>
        <v>0</v>
      </c>
      <c r="U1689" s="113" t="str">
        <f>+VLOOKUP(PROVEEDORES[[#This Row],[PROVEEDOR]],Terceros!$A:$D,4,FALSE)</f>
        <v>2,5% con base</v>
      </c>
      <c r="V1689" s="114">
        <f>+YEAR(PROVEEDORES[[#This Row],[FECHA DE FACTURACIÓN]])</f>
        <v>2022</v>
      </c>
      <c r="W1689" s="114">
        <f>+MATCH(PROVEEDORES[[#This Row],[año facturado]],Retenciones!$1:$1,0)</f>
        <v>5</v>
      </c>
      <c r="X1689" s="115">
        <f>+VLOOKUP(PROVEEDORES[[#This Row],[ID RETENCION]],Retenciones!$A$1:$O$25,PROVEEDORES[[#This Row],[indicador de columna]],FALSE)</f>
        <v>1026000</v>
      </c>
      <c r="Y1689" s="116">
        <f>+VLOOKUP(PROVEEDORES[[#This Row],[ID RETENCION]],Retenciones!$A$1:$O$25,2,FALSE)</f>
        <v>2.5000000000000001E-2</v>
      </c>
      <c r="Z1689" s="125" t="b">
        <f>OR(COUNTIF(PROVEEDORES[[#This Row],[PROVEEDOR]],"*"&amp;'Palabra no opera'!$A$2&amp;"*"))</f>
        <v>0</v>
      </c>
    </row>
    <row r="1690" spans="1:26" ht="22.2" customHeight="1" x14ac:dyDescent="0.3">
      <c r="A1690" s="66" t="str">
        <f>+IF(PROVEEDORES[[#This Row],[FECHA DE PAGO]]=PROVEEDORES[[#This Row],[FECHA DE FACTURACIÓN]],"DE CONTADO","CRÉDITO")</f>
        <v>CRÉDITO</v>
      </c>
      <c r="B1690" s="38" t="str">
        <f>+IF((PROVEEDORES[[#This Row],[FECHA DE PAGO]]-PROVEEDORES[[#This Row],[FECHA DE FACTURACIÓN]])&gt;PROVEEDORES[[#This Row],[PLAZO Días]],"PAGO VENCIDO")</f>
        <v>PAGO VENCIDO</v>
      </c>
      <c r="C1690" s="20">
        <f>+VLOOKUP(PROVEEDORES[[#This Row],[PROVEEDOR]],TERCEROS_INFO[#All],2,FALSE)</f>
        <v>30</v>
      </c>
      <c r="D1690" s="25">
        <f>+SUMIFS(PROVEEDORES[Total],PROVEEDORES[PROVEEDOR],PROVEEDORES[[#This Row],[PROVEEDOR]],PROVEEDORES[FECHA DE PAGO],"")</f>
        <v>1333437.8400000001</v>
      </c>
      <c r="E1690" s="25"/>
      <c r="F169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90" s="161">
        <v>44429</v>
      </c>
      <c r="H1690" s="26" t="s">
        <v>905</v>
      </c>
      <c r="I1690" s="161">
        <v>44376</v>
      </c>
      <c r="J1690" s="35" t="s">
        <v>440</v>
      </c>
      <c r="K1690" s="21">
        <v>2378140</v>
      </c>
      <c r="L1690" s="21"/>
      <c r="M1690" s="22">
        <f>(PROVEEDORES[[#This Row],[SUBTOTAL]]-PROVEEDORES[[#This Row],[descuento sobre subtotal]])*VLOOKUP(PROVEEDORES[[#This Row],[PROVEEDOR]],TERCEROS_INFO[#All],3,FALSE)</f>
        <v>451846.6</v>
      </c>
      <c r="N1690" s="23"/>
      <c r="O1690" s="22">
        <f>+PROVEEDORES[[#This Row],[Descuento sobre subtotal %]]*(PROVEEDORES[[#This Row],[SUBTOTAL]]-PROVEEDORES[[#This Row],[descuento sobre subtotal]])</f>
        <v>0</v>
      </c>
      <c r="P1690" s="83">
        <f>+IF(PROVEEDORES[[#This Row],[SUBTOTAL]]&lt;PROVEEDORES[[#This Row],[base retencion]],0,PROVEEDORES[[#This Row],[retención aplicada]])</f>
        <v>0</v>
      </c>
      <c r="Q1690" s="22">
        <f>+PROVEEDORES[[#This Row],[Rete Fuente %]]*(PROVEEDORES[[#This Row],[SUBTOTAL]]-PROVEEDORES[[#This Row],[descuento sobre subtotal]])</f>
        <v>0</v>
      </c>
      <c r="R1690" s="21">
        <f>+PROVEEDORES[[#This Row],[SUBTOTAL]]+PROVEEDORES[[#This Row],[IVA 19%]]-PROVEEDORES[[#This Row],[descuento sobre subtotal]]-PROVEEDORES[[#This Row],[Descuento sobre subtotal $2]]-PROVEEDORES[[#This Row],[Rete Fuente $]]</f>
        <v>2829986.6</v>
      </c>
      <c r="S16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0" s="68">
        <f ca="1">IF(PROVEEDORES[[#This Row],[FECHA DE PAGO]]=0,TODAY()-PROVEEDORES[[#This Row],[FECHA DE FACTURACIÓN]]-PROVEEDORES[[#This Row],[PLAZO Días]],0)</f>
        <v>0</v>
      </c>
      <c r="U1690" s="96">
        <f>+VLOOKUP(PROVEEDORES[[#This Row],[PROVEEDOR]],Terceros!$A:$D,4,FALSE)</f>
        <v>0</v>
      </c>
      <c r="V1690" s="97">
        <f>+YEAR(PROVEEDORES[[#This Row],[FECHA DE FACTURACIÓN]])</f>
        <v>2021</v>
      </c>
      <c r="W1690" s="97">
        <f>+MATCH(PROVEEDORES[[#This Row],[año facturado]],Retenciones!$1:$1,0)</f>
        <v>4</v>
      </c>
      <c r="X1690" s="98">
        <f>+VLOOKUP(PROVEEDORES[[#This Row],[ID RETENCION]],Retenciones!$A$1:$O$25,PROVEEDORES[[#This Row],[indicador de columna]],FALSE)</f>
        <v>0</v>
      </c>
      <c r="Y1690" s="99">
        <f>+VLOOKUP(PROVEEDORES[[#This Row],[ID RETENCION]],Retenciones!$A$1:$O$25,2,FALSE)</f>
        <v>0</v>
      </c>
      <c r="Z1690" s="125" t="b">
        <f>OR(COUNTIF(PROVEEDORES[[#This Row],[PROVEEDOR]],"*"&amp;'Palabra no opera'!$A$2&amp;"*"))</f>
        <v>1</v>
      </c>
    </row>
    <row r="1691" spans="1:26" ht="22.2" customHeight="1" x14ac:dyDescent="0.3">
      <c r="A1691" s="66" t="str">
        <f>+IF(PROVEEDORES[[#This Row],[FECHA DE PAGO]]=PROVEEDORES[[#This Row],[FECHA DE FACTURACIÓN]],"DE CONTADO","CRÉDITO")</f>
        <v>DE CONTADO</v>
      </c>
      <c r="B1691" s="38" t="b">
        <f>+IF((PROVEEDORES[[#This Row],[FECHA DE PAGO]]-PROVEEDORES[[#This Row],[FECHA DE FACTURACIÓN]])&gt;PROVEEDORES[[#This Row],[PLAZO Días]],"PAGO VENCIDO")</f>
        <v>0</v>
      </c>
      <c r="C1691" s="20">
        <f>+VLOOKUP(PROVEEDORES[[#This Row],[PROVEEDOR]],TERCEROS_INFO[#All],2,FALSE)</f>
        <v>30</v>
      </c>
      <c r="D1691" s="25">
        <f>+SUMIFS(PROVEEDORES[Total],PROVEEDORES[PROVEEDOR],PROVEEDORES[[#This Row],[PROVEEDOR]],PROVEEDORES[FECHA DE PAGO],"")</f>
        <v>0</v>
      </c>
      <c r="E1691" s="25"/>
      <c r="F1691" s="58" t="str">
        <f>+VLOOKUP(PROVEEDORES[[#This Row],[PROVEEDOR]],
                       Terceros!$A:$F,
                       5,
                       FALSE)</f>
        <v/>
      </c>
      <c r="G1691" s="161">
        <v>44347</v>
      </c>
      <c r="H1691" s="26" t="s">
        <v>644</v>
      </c>
      <c r="I1691" s="161">
        <v>44347</v>
      </c>
      <c r="J1691" s="35" t="s">
        <v>595</v>
      </c>
      <c r="K1691" s="21">
        <v>2835922</v>
      </c>
      <c r="L1691" s="21"/>
      <c r="M1691" s="22">
        <f>(PROVEEDORES[[#This Row],[SUBTOTAL]]-PROVEEDORES[[#This Row],[descuento sobre subtotal]])*VLOOKUP(PROVEEDORES[[#This Row],[PROVEEDOR]],TERCEROS_INFO[#All],3,FALSE)</f>
        <v>0</v>
      </c>
      <c r="N1691" s="23"/>
      <c r="O1691" s="22">
        <f>+PROVEEDORES[[#This Row],[Descuento sobre subtotal %]]*(PROVEEDORES[[#This Row],[SUBTOTAL]]-PROVEEDORES[[#This Row],[descuento sobre subtotal]])</f>
        <v>0</v>
      </c>
      <c r="P1691" s="83">
        <f>+IF(PROVEEDORES[[#This Row],[SUBTOTAL]]&lt;PROVEEDORES[[#This Row],[base retencion]],0,PROVEEDORES[[#This Row],[retención aplicada]])</f>
        <v>0</v>
      </c>
      <c r="Q1691" s="22">
        <f>+PROVEEDORES[[#This Row],[Rete Fuente %]]*(PROVEEDORES[[#This Row],[SUBTOTAL]]-PROVEEDORES[[#This Row],[descuento sobre subtotal]])</f>
        <v>0</v>
      </c>
      <c r="R1691" s="21">
        <f>+PROVEEDORES[[#This Row],[SUBTOTAL]]+PROVEEDORES[[#This Row],[IVA 19%]]-PROVEEDORES[[#This Row],[descuento sobre subtotal]]-PROVEEDORES[[#This Row],[Descuento sobre subtotal $2]]-PROVEEDORES[[#This Row],[Rete Fuente $]]</f>
        <v>2835922</v>
      </c>
      <c r="S16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1" s="68">
        <f ca="1">IF(PROVEEDORES[[#This Row],[FECHA DE PAGO]]=0,TODAY()-PROVEEDORES[[#This Row],[FECHA DE FACTURACIÓN]]-PROVEEDORES[[#This Row],[PLAZO Días]],0)</f>
        <v>0</v>
      </c>
      <c r="U1691" s="96">
        <f>+VLOOKUP(PROVEEDORES[[#This Row],[PROVEEDOR]],Terceros!$A:$D,4,FALSE)</f>
        <v>0</v>
      </c>
      <c r="V1691" s="97">
        <f>+YEAR(PROVEEDORES[[#This Row],[FECHA DE FACTURACIÓN]])</f>
        <v>2021</v>
      </c>
      <c r="W1691" s="97">
        <f>+MATCH(PROVEEDORES[[#This Row],[año facturado]],Retenciones!$1:$1,0)</f>
        <v>4</v>
      </c>
      <c r="X1691" s="98">
        <f>+VLOOKUP(PROVEEDORES[[#This Row],[ID RETENCION]],Retenciones!$A$1:$O$25,PROVEEDORES[[#This Row],[indicador de columna]],FALSE)</f>
        <v>0</v>
      </c>
      <c r="Y1691" s="99">
        <f>+VLOOKUP(PROVEEDORES[[#This Row],[ID RETENCION]],Retenciones!$A$1:$O$25,2,FALSE)</f>
        <v>0</v>
      </c>
      <c r="Z1691" s="125" t="b">
        <f>OR(COUNTIF(PROVEEDORES[[#This Row],[PROVEEDOR]],"*"&amp;'Palabra no opera'!$A$2&amp;"*"))</f>
        <v>0</v>
      </c>
    </row>
    <row r="1692" spans="1:26" ht="22.2" customHeight="1" x14ac:dyDescent="0.3">
      <c r="A1692" s="66" t="str">
        <f>+IF(PROVEEDORES[[#This Row],[FECHA DE PAGO]]=PROVEEDORES[[#This Row],[FECHA DE FACTURACIÓN]],"DE CONTADO","CRÉDITO")</f>
        <v>CRÉDITO</v>
      </c>
      <c r="B1692" s="38" t="b">
        <f>+IF((PROVEEDORES[[#This Row],[FECHA DE PAGO]]-PROVEEDORES[[#This Row],[FECHA DE FACTURACIÓN]])&gt;PROVEEDORES[[#This Row],[PLAZO Días]],"PAGO VENCIDO")</f>
        <v>0</v>
      </c>
      <c r="C1692" s="20">
        <f>+VLOOKUP(PROVEEDORES[[#This Row],[PROVEEDOR]],TERCEROS_INFO[#All],2,FALSE)</f>
        <v>90</v>
      </c>
      <c r="D1692" s="25">
        <f>+SUMIFS(PROVEEDORES[Total],PROVEEDORES[PROVEEDOR],PROVEEDORES[[#This Row],[PROVEEDOR]],PROVEEDORES[FECHA DE PAGO],"")</f>
        <v>2410000</v>
      </c>
      <c r="E1692" s="25"/>
      <c r="F1692" s="58" t="str">
        <f>+VLOOKUP(PROVEEDORES[[#This Row],[PROVEEDOR]],
                       Terceros!$A:$F,
                       5,
                       FALSE)</f>
        <v/>
      </c>
      <c r="G1692" s="161">
        <v>44656</v>
      </c>
      <c r="H1692" s="26" t="s">
        <v>651</v>
      </c>
      <c r="I1692" s="161">
        <v>44582</v>
      </c>
      <c r="J1692" s="35" t="s">
        <v>1561</v>
      </c>
      <c r="K1692" s="21">
        <v>2842000</v>
      </c>
      <c r="L1692" s="21"/>
      <c r="M1692" s="22">
        <f>(PROVEEDORES[[#This Row],[SUBTOTAL]]-PROVEEDORES[[#This Row],[descuento sobre subtotal]])*VLOOKUP(PROVEEDORES[[#This Row],[PROVEEDOR]],TERCEROS_INFO[#All],3,FALSE)</f>
        <v>0</v>
      </c>
      <c r="N1692" s="23"/>
      <c r="O1692" s="22">
        <f>+PROVEEDORES[[#This Row],[Descuento sobre subtotal %]]*(PROVEEDORES[[#This Row],[SUBTOTAL]]-PROVEEDORES[[#This Row],[descuento sobre subtotal]])</f>
        <v>0</v>
      </c>
      <c r="P1692" s="83">
        <f>+IF(PROVEEDORES[[#This Row],[SUBTOTAL]]&lt;PROVEEDORES[[#This Row],[base retencion]],0,PROVEEDORES[[#This Row],[retención aplicada]])</f>
        <v>0</v>
      </c>
      <c r="Q1692" s="22">
        <f>+PROVEEDORES[[#This Row],[Rete Fuente %]]*(PROVEEDORES[[#This Row],[SUBTOTAL]]-PROVEEDORES[[#This Row],[descuento sobre subtotal]])</f>
        <v>0</v>
      </c>
      <c r="R1692" s="21">
        <v>2842000</v>
      </c>
      <c r="S16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2" s="68">
        <f ca="1">IF(PROVEEDORES[[#This Row],[FECHA DE PAGO]]=0,TODAY()-PROVEEDORES[[#This Row],[FECHA DE FACTURACIÓN]]-PROVEEDORES[[#This Row],[PLAZO Días]],0)</f>
        <v>0</v>
      </c>
      <c r="U1692" s="96">
        <f>+VLOOKUP(PROVEEDORES[[#This Row],[PROVEEDOR]],Terceros!$A:$D,4,FALSE)</f>
        <v>0</v>
      </c>
      <c r="V1692" s="97">
        <f>+YEAR(PROVEEDORES[[#This Row],[FECHA DE FACTURACIÓN]])</f>
        <v>2022</v>
      </c>
      <c r="W1692" s="97">
        <f>+MATCH(PROVEEDORES[[#This Row],[año facturado]],Retenciones!$1:$1,0)</f>
        <v>5</v>
      </c>
      <c r="X1692" s="98">
        <f>+VLOOKUP(PROVEEDORES[[#This Row],[ID RETENCION]],Retenciones!$A$1:$O$25,PROVEEDORES[[#This Row],[indicador de columna]],FALSE)</f>
        <v>0</v>
      </c>
      <c r="Y1692" s="99">
        <f>+VLOOKUP(PROVEEDORES[[#This Row],[ID RETENCION]],Retenciones!$A$1:$O$25,2,FALSE)</f>
        <v>0</v>
      </c>
      <c r="Z1692" s="125" t="b">
        <f>OR(COUNTIF(PROVEEDORES[[#This Row],[PROVEEDOR]],"*"&amp;'Palabra no opera'!$A$2&amp;"*"))</f>
        <v>0</v>
      </c>
    </row>
    <row r="1693" spans="1:26" ht="22.2" customHeight="1" x14ac:dyDescent="0.3">
      <c r="A1693" s="66" t="str">
        <f>+IF(PROVEEDORES[[#This Row],[FECHA DE PAGO]]=PROVEEDORES[[#This Row],[FECHA DE FACTURACIÓN]],"DE CONTADO","CRÉDITO")</f>
        <v>CRÉDITO</v>
      </c>
      <c r="B1693" s="38" t="str">
        <f>+IF((PROVEEDORES[[#This Row],[FECHA DE PAGO]]-PROVEEDORES[[#This Row],[FECHA DE FACTURACIÓN]])&gt;PROVEEDORES[[#This Row],[PLAZO Días]],"PAGO VENCIDO")</f>
        <v>PAGO VENCIDO</v>
      </c>
      <c r="C1693" s="20">
        <f>+VLOOKUP(PROVEEDORES[[#This Row],[PROVEEDOR]],TERCEROS_INFO[#All],2,FALSE)</f>
        <v>30</v>
      </c>
      <c r="D1693" s="25">
        <f>+SUMIFS(PROVEEDORES[Total],PROVEEDORES[PROVEEDOR],PROVEEDORES[[#This Row],[PROVEEDOR]],PROVEEDORES[FECHA DE PAGO],"")</f>
        <v>2121000</v>
      </c>
      <c r="E1693" s="25"/>
      <c r="F169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693" s="161">
        <v>44557</v>
      </c>
      <c r="H1693" s="26" t="s">
        <v>685</v>
      </c>
      <c r="I1693" s="161">
        <v>44525</v>
      </c>
      <c r="J1693" s="35" t="s">
        <v>1532</v>
      </c>
      <c r="K1693" s="21">
        <v>2880000</v>
      </c>
      <c r="L1693" s="21"/>
      <c r="M1693" s="22">
        <f>(PROVEEDORES[[#This Row],[SUBTOTAL]]-PROVEEDORES[[#This Row],[descuento sobre subtotal]])*VLOOKUP(PROVEEDORES[[#This Row],[PROVEEDOR]],TERCEROS_INFO[#All],3,FALSE)</f>
        <v>0</v>
      </c>
      <c r="N1693" s="23"/>
      <c r="O1693" s="22">
        <f>+PROVEEDORES[[#This Row],[Descuento sobre subtotal %]]*(PROVEEDORES[[#This Row],[SUBTOTAL]]-PROVEEDORES[[#This Row],[descuento sobre subtotal]])</f>
        <v>0</v>
      </c>
      <c r="P1693" s="83">
        <f>+IF(PROVEEDORES[[#This Row],[SUBTOTAL]]&lt;PROVEEDORES[[#This Row],[base retencion]],0,PROVEEDORES[[#This Row],[retención aplicada]])</f>
        <v>0</v>
      </c>
      <c r="Q1693" s="22">
        <f>+PROVEEDORES[[#This Row],[Rete Fuente %]]*(PROVEEDORES[[#This Row],[SUBTOTAL]]-PROVEEDORES[[#This Row],[descuento sobre subtotal]])</f>
        <v>0</v>
      </c>
      <c r="R1693" s="21">
        <f>+PROVEEDORES[[#This Row],[SUBTOTAL]]+PROVEEDORES[[#This Row],[IVA 19%]]-PROVEEDORES[[#This Row],[descuento sobre subtotal]]-PROVEEDORES[[#This Row],[Descuento sobre subtotal $2]]-PROVEEDORES[[#This Row],[Rete Fuente $]]</f>
        <v>2880000</v>
      </c>
      <c r="S16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3" s="68">
        <f ca="1">IF(PROVEEDORES[[#This Row],[FECHA DE PAGO]]=0,TODAY()-PROVEEDORES[[#This Row],[FECHA DE FACTURACIÓN]]-PROVEEDORES[[#This Row],[PLAZO Días]],0)</f>
        <v>0</v>
      </c>
      <c r="U1693" s="96">
        <f>+VLOOKUP(PROVEEDORES[[#This Row],[PROVEEDOR]],Terceros!$A:$D,4,FALSE)</f>
        <v>0</v>
      </c>
      <c r="V1693" s="97">
        <f>+YEAR(PROVEEDORES[[#This Row],[FECHA DE FACTURACIÓN]])</f>
        <v>2021</v>
      </c>
      <c r="W1693" s="97">
        <f>+MATCH(PROVEEDORES[[#This Row],[año facturado]],Retenciones!$1:$1,0)</f>
        <v>4</v>
      </c>
      <c r="X1693" s="98">
        <f>+VLOOKUP(PROVEEDORES[[#This Row],[ID RETENCION]],Retenciones!$A$1:$O$25,PROVEEDORES[[#This Row],[indicador de columna]],FALSE)</f>
        <v>0</v>
      </c>
      <c r="Y1693" s="99">
        <f>+VLOOKUP(PROVEEDORES[[#This Row],[ID RETENCION]],Retenciones!$A$1:$O$25,2,FALSE)</f>
        <v>0</v>
      </c>
      <c r="Z1693" s="125" t="b">
        <f>OR(COUNTIF(PROVEEDORES[[#This Row],[PROVEEDOR]],"*"&amp;'Palabra no opera'!$A$2&amp;"*"))</f>
        <v>0</v>
      </c>
    </row>
    <row r="1694" spans="1:26" ht="22.2" customHeight="1" x14ac:dyDescent="0.3">
      <c r="A1694" s="66" t="str">
        <f>+IF(PROVEEDORES[[#This Row],[FECHA DE PAGO]]=PROVEEDORES[[#This Row],[FECHA DE FACTURACIÓN]],"DE CONTADO","CRÉDITO")</f>
        <v>CRÉDITO</v>
      </c>
      <c r="B1694" s="38" t="str">
        <f>+IF((PROVEEDORES[[#This Row],[FECHA DE PAGO]]-PROVEEDORES[[#This Row],[FECHA DE FACTURACIÓN]])&gt;PROVEEDORES[[#This Row],[PLAZO Días]],"PAGO VENCIDO")</f>
        <v>PAGO VENCIDO</v>
      </c>
      <c r="C1694" s="20">
        <f>+VLOOKUP(PROVEEDORES[[#This Row],[PROVEEDOR]],TERCEROS_INFO[#All],2,FALSE)</f>
        <v>30</v>
      </c>
      <c r="D1694" s="25">
        <f>+SUMIFS(PROVEEDORES[Total],PROVEEDORES[PROVEEDOR],PROVEEDORES[[#This Row],[PROVEEDOR]],PROVEEDORES[FECHA DE PAGO],"")</f>
        <v>1333437.8400000001</v>
      </c>
      <c r="E1694" s="25"/>
      <c r="F169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94" s="161">
        <v>44519</v>
      </c>
      <c r="H1694" s="26" t="s">
        <v>905</v>
      </c>
      <c r="I1694" s="161">
        <v>44470</v>
      </c>
      <c r="J1694" s="35" t="s">
        <v>489</v>
      </c>
      <c r="K1694" s="21">
        <v>2433607</v>
      </c>
      <c r="L1694" s="21"/>
      <c r="M1694" s="22">
        <f>(PROVEEDORES[[#This Row],[SUBTOTAL]]-PROVEEDORES[[#This Row],[descuento sobre subtotal]])*VLOOKUP(PROVEEDORES[[#This Row],[PROVEEDOR]],TERCEROS_INFO[#All],3,FALSE)</f>
        <v>462385.33</v>
      </c>
      <c r="N1694" s="23"/>
      <c r="O1694" s="22">
        <f>+PROVEEDORES[[#This Row],[Descuento sobre subtotal %]]*(PROVEEDORES[[#This Row],[SUBTOTAL]]-PROVEEDORES[[#This Row],[descuento sobre subtotal]])</f>
        <v>0</v>
      </c>
      <c r="P1694" s="83">
        <f>+IF(PROVEEDORES[[#This Row],[SUBTOTAL]]&lt;PROVEEDORES[[#This Row],[base retencion]],0,PROVEEDORES[[#This Row],[retención aplicada]])</f>
        <v>0</v>
      </c>
      <c r="Q1694" s="22">
        <f>+PROVEEDORES[[#This Row],[Rete Fuente %]]*(PROVEEDORES[[#This Row],[SUBTOTAL]]-PROVEEDORES[[#This Row],[descuento sobre subtotal]])</f>
        <v>0</v>
      </c>
      <c r="R1694" s="21">
        <f>+PROVEEDORES[[#This Row],[SUBTOTAL]]+PROVEEDORES[[#This Row],[IVA 19%]]-PROVEEDORES[[#This Row],[descuento sobre subtotal]]-PROVEEDORES[[#This Row],[Descuento sobre subtotal $2]]-PROVEEDORES[[#This Row],[Rete Fuente $]]</f>
        <v>2895992.33</v>
      </c>
      <c r="S16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4" s="68">
        <f ca="1">IF(PROVEEDORES[[#This Row],[FECHA DE PAGO]]=0,TODAY()-PROVEEDORES[[#This Row],[FECHA DE FACTURACIÓN]]-PROVEEDORES[[#This Row],[PLAZO Días]],0)</f>
        <v>0</v>
      </c>
      <c r="U1694" s="96">
        <f>+VLOOKUP(PROVEEDORES[[#This Row],[PROVEEDOR]],Terceros!$A:$D,4,FALSE)</f>
        <v>0</v>
      </c>
      <c r="V1694" s="97">
        <f>+YEAR(PROVEEDORES[[#This Row],[FECHA DE FACTURACIÓN]])</f>
        <v>2021</v>
      </c>
      <c r="W1694" s="97">
        <f>+MATCH(PROVEEDORES[[#This Row],[año facturado]],Retenciones!$1:$1,0)</f>
        <v>4</v>
      </c>
      <c r="X1694" s="98">
        <f>+VLOOKUP(PROVEEDORES[[#This Row],[ID RETENCION]],Retenciones!$A$1:$O$25,PROVEEDORES[[#This Row],[indicador de columna]],FALSE)</f>
        <v>0</v>
      </c>
      <c r="Y1694" s="99">
        <f>+VLOOKUP(PROVEEDORES[[#This Row],[ID RETENCION]],Retenciones!$A$1:$O$25,2,FALSE)</f>
        <v>0</v>
      </c>
      <c r="Z1694" s="125" t="b">
        <f>OR(COUNTIF(PROVEEDORES[[#This Row],[PROVEEDOR]],"*"&amp;'Palabra no opera'!$A$2&amp;"*"))</f>
        <v>1</v>
      </c>
    </row>
    <row r="1695" spans="1:26" ht="22.2" customHeight="1" x14ac:dyDescent="0.3">
      <c r="A1695" s="72" t="str">
        <f>+IF(PROVEEDORES[[#This Row],[FECHA DE PAGO]]=PROVEEDORES[[#This Row],[FECHA DE FACTURACIÓN]],"DE CONTADO","CRÉDITO")</f>
        <v>CRÉDITO</v>
      </c>
      <c r="B1695" s="38" t="str">
        <f>+IF((PROVEEDORES[[#This Row],[FECHA DE PAGO]]-PROVEEDORES[[#This Row],[FECHA DE FACTURACIÓN]])&gt;PROVEEDORES[[#This Row],[PLAZO Días]],"PAGO VENCIDO")</f>
        <v>PAGO VENCIDO</v>
      </c>
      <c r="C1695" s="20">
        <f>+VLOOKUP(PROVEEDORES[[#This Row],[PROVEEDOR]],TERCEROS_INFO[#All],2,FALSE)</f>
        <v>30</v>
      </c>
      <c r="D1695" s="25">
        <f>+SUMIFS(PROVEEDORES[Total],PROVEEDORES[PROVEEDOR],PROVEEDORES[[#This Row],[PROVEEDOR]],PROVEEDORES[FECHA DE PAGO],"")</f>
        <v>0</v>
      </c>
      <c r="E1695" s="25"/>
      <c r="F1695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5" s="161">
        <v>44693</v>
      </c>
      <c r="H1695" s="26" t="s">
        <v>925</v>
      </c>
      <c r="I1695" s="161">
        <v>44652</v>
      </c>
      <c r="J1695" s="35">
        <v>2784</v>
      </c>
      <c r="K1695" s="21">
        <v>3002200</v>
      </c>
      <c r="L1695" s="21"/>
      <c r="M1695" s="22">
        <f>(PROVEEDORES[[#This Row],[SUBTOTAL]]-PROVEEDORES[[#This Row],[descuento sobre subtotal]])*VLOOKUP(PROVEEDORES[[#This Row],[PROVEEDOR]],TERCEROS_INFO[#All],3,FALSE)</f>
        <v>0</v>
      </c>
      <c r="N1695" s="23"/>
      <c r="O1695" s="22">
        <f>+PROVEEDORES[[#This Row],[Descuento sobre subtotal %]]*(PROVEEDORES[[#This Row],[SUBTOTAL]]-PROVEEDORES[[#This Row],[descuento sobre subtotal]])</f>
        <v>0</v>
      </c>
      <c r="P1695" s="83">
        <f>+IF(PROVEEDORES[[#This Row],[SUBTOTAL]]&lt;PROVEEDORES[[#This Row],[base retencion]],0,PROVEEDORES[[#This Row],[retención aplicada]])</f>
        <v>3.5000000000000003E-2</v>
      </c>
      <c r="Q1695" s="22">
        <f>+PROVEEDORES[[#This Row],[Rete Fuente %]]*(PROVEEDORES[[#This Row],[SUBTOTAL]]-PROVEEDORES[[#This Row],[descuento sobre subtotal]])</f>
        <v>105077.00000000001</v>
      </c>
      <c r="R1695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5" s="68">
        <f ca="1">IF(PROVEEDORES[[#This Row],[FECHA DE PAGO]]=0,TODAY()-PROVEEDORES[[#This Row],[FECHA DE FACTURACIÓN]]-PROVEEDORES[[#This Row],[PLAZO Días]],0)</f>
        <v>0</v>
      </c>
      <c r="U1695" s="113" t="str">
        <f>+VLOOKUP(PROVEEDORES[[#This Row],[PROVEEDOR]],Terceros!$A:$D,4,FALSE)</f>
        <v>3,5% sin base</v>
      </c>
      <c r="V1695" s="114">
        <f>+YEAR(PROVEEDORES[[#This Row],[FECHA DE FACTURACIÓN]])</f>
        <v>2022</v>
      </c>
      <c r="W1695" s="114">
        <f>+MATCH(PROVEEDORES[[#This Row],[año facturado]],Retenciones!$1:$1,0)</f>
        <v>5</v>
      </c>
      <c r="X1695" s="115">
        <f>+VLOOKUP(PROVEEDORES[[#This Row],[ID RETENCION]],Retenciones!$A$1:$O$25,PROVEEDORES[[#This Row],[indicador de columna]],FALSE)</f>
        <v>0</v>
      </c>
      <c r="Y1695" s="116">
        <f>+VLOOKUP(PROVEEDORES[[#This Row],[ID RETENCION]],Retenciones!$A$1:$O$25,2,FALSE)</f>
        <v>3.5000000000000003E-2</v>
      </c>
      <c r="Z1695" s="125" t="b">
        <f>OR(COUNTIF(PROVEEDORES[[#This Row],[PROVEEDOR]],"*"&amp;'Palabra no opera'!$A$2&amp;"*"))</f>
        <v>1</v>
      </c>
    </row>
    <row r="1696" spans="1:26" ht="22.2" customHeight="1" x14ac:dyDescent="0.3">
      <c r="A1696" s="140" t="str">
        <f>+IF(PROVEEDORES[[#This Row],[FECHA DE PAGO]]=PROVEEDORES[[#This Row],[FECHA DE FACTURACIÓN]],"DE CONTADO","CRÉDITO")</f>
        <v>CRÉDITO</v>
      </c>
      <c r="B1696" s="38" t="b">
        <f>+IF((PROVEEDORES[[#This Row],[FECHA DE PAGO]]-PROVEEDORES[[#This Row],[FECHA DE FACTURACIÓN]])&gt;PROVEEDORES[[#This Row],[PLAZO Días]],"PAGO VENCIDO")</f>
        <v>0</v>
      </c>
      <c r="C1696" s="20">
        <f>+VLOOKUP(PROVEEDORES[[#This Row],[PROVEEDOR]],TERCEROS_INFO[#All],2,FALSE)</f>
        <v>30</v>
      </c>
      <c r="D1696" s="25">
        <f>+SUMIFS(PROVEEDORES[Total],PROVEEDORES[PROVEEDOR],PROVEEDORES[[#This Row],[PROVEEDOR]],PROVEEDORES[FECHA DE PAGO],"")</f>
        <v>0</v>
      </c>
      <c r="E1696" s="25"/>
      <c r="F169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6" s="161">
        <v>44707</v>
      </c>
      <c r="H1696" s="26" t="s">
        <v>925</v>
      </c>
      <c r="I1696" s="161">
        <v>44682</v>
      </c>
      <c r="J1696" s="35">
        <v>3118</v>
      </c>
      <c r="K1696" s="21">
        <v>3002200</v>
      </c>
      <c r="L1696" s="21"/>
      <c r="M1696" s="22">
        <f>(PROVEEDORES[[#This Row],[SUBTOTAL]]-PROVEEDORES[[#This Row],[descuento sobre subtotal]])*VLOOKUP(PROVEEDORES[[#This Row],[PROVEEDOR]],TERCEROS_INFO[#All],3,FALSE)</f>
        <v>0</v>
      </c>
      <c r="N1696" s="23"/>
      <c r="O1696" s="22">
        <f>+PROVEEDORES[[#This Row],[Descuento sobre subtotal %]]*(PROVEEDORES[[#This Row],[SUBTOTAL]]-PROVEEDORES[[#This Row],[descuento sobre subtotal]])</f>
        <v>0</v>
      </c>
      <c r="P1696" s="83">
        <f>+IF(PROVEEDORES[[#This Row],[SUBTOTAL]]&lt;PROVEEDORES[[#This Row],[base retencion]],0,PROVEEDORES[[#This Row],[retención aplicada]])</f>
        <v>3.5000000000000003E-2</v>
      </c>
      <c r="Q1696" s="22">
        <f>+PROVEEDORES[[#This Row],[Rete Fuente %]]*(PROVEEDORES[[#This Row],[SUBTOTAL]]-PROVEEDORES[[#This Row],[descuento sobre subtotal]])</f>
        <v>105077.00000000001</v>
      </c>
      <c r="R1696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6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6" s="68">
        <f ca="1">IF(PROVEEDORES[[#This Row],[FECHA DE PAGO]]=0,TODAY()-PROVEEDORES[[#This Row],[FECHA DE FACTURACIÓN]]-PROVEEDORES[[#This Row],[PLAZO Días]],0)</f>
        <v>0</v>
      </c>
      <c r="U1696" s="113" t="str">
        <f>+VLOOKUP(PROVEEDORES[[#This Row],[PROVEEDOR]],Terceros!$A:$D,4,FALSE)</f>
        <v>3,5% sin base</v>
      </c>
      <c r="V1696" s="114">
        <f>+YEAR(PROVEEDORES[[#This Row],[FECHA DE FACTURACIÓN]])</f>
        <v>2022</v>
      </c>
      <c r="W1696" s="114">
        <f>+MATCH(PROVEEDORES[[#This Row],[año facturado]],Retenciones!$1:$1,0)</f>
        <v>5</v>
      </c>
      <c r="X1696" s="115">
        <f>+VLOOKUP(PROVEEDORES[[#This Row],[ID RETENCION]],Retenciones!$A$1:$O$25,PROVEEDORES[[#This Row],[indicador de columna]],FALSE)</f>
        <v>0</v>
      </c>
      <c r="Y1696" s="116">
        <f>+VLOOKUP(PROVEEDORES[[#This Row],[ID RETENCION]],Retenciones!$A$1:$O$25,2,FALSE)</f>
        <v>3.5000000000000003E-2</v>
      </c>
      <c r="Z1696" s="125" t="b">
        <f>OR(COUNTIF(PROVEEDORES[[#This Row],[PROVEEDOR]],"*"&amp;'Palabra no opera'!$A$2&amp;"*"))</f>
        <v>1</v>
      </c>
    </row>
    <row r="1697" spans="1:26" ht="22.2" customHeight="1" x14ac:dyDescent="0.3">
      <c r="A1697" s="159" t="str">
        <f>+IF(PROVEEDORES[[#This Row],[FECHA DE PAGO]]=PROVEEDORES[[#This Row],[FECHA DE FACTURACIÓN]],"DE CONTADO","CRÉDITO")</f>
        <v>CRÉDITO</v>
      </c>
      <c r="B1697" s="38" t="b">
        <f>+IF((PROVEEDORES[[#This Row],[FECHA DE PAGO]]-PROVEEDORES[[#This Row],[FECHA DE FACTURACIÓN]])&gt;PROVEEDORES[[#This Row],[PLAZO Días]],"PAGO VENCIDO")</f>
        <v>0</v>
      </c>
      <c r="C1697" s="20">
        <f>+VLOOKUP(PROVEEDORES[[#This Row],[PROVEEDOR]],TERCEROS_INFO[#All],2,FALSE)</f>
        <v>30</v>
      </c>
      <c r="D1697" s="25">
        <f>+SUMIFS(PROVEEDORES[Total],PROVEEDORES[PROVEEDOR],PROVEEDORES[[#This Row],[PROVEEDOR]],PROVEEDORES[FECHA DE PAGO],"")</f>
        <v>0</v>
      </c>
      <c r="E1697" s="25"/>
      <c r="F169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7" s="161">
        <v>44741</v>
      </c>
      <c r="H1697" s="26" t="s">
        <v>925</v>
      </c>
      <c r="I1697" s="161">
        <v>44713</v>
      </c>
      <c r="J1697" s="35">
        <v>3429</v>
      </c>
      <c r="K1697" s="21">
        <v>3002200</v>
      </c>
      <c r="L1697" s="21"/>
      <c r="M1697" s="22">
        <f>(PROVEEDORES[[#This Row],[SUBTOTAL]]-PROVEEDORES[[#This Row],[descuento sobre subtotal]])*VLOOKUP(PROVEEDORES[[#This Row],[PROVEEDOR]],TERCEROS_INFO[#All],3,FALSE)</f>
        <v>0</v>
      </c>
      <c r="N1697" s="23"/>
      <c r="O1697" s="22">
        <f>+PROVEEDORES[[#This Row],[Descuento sobre subtotal %]]*(PROVEEDORES[[#This Row],[SUBTOTAL]]-PROVEEDORES[[#This Row],[descuento sobre subtotal]])</f>
        <v>0</v>
      </c>
      <c r="P1697" s="83">
        <f>+IF(PROVEEDORES[[#This Row],[SUBTOTAL]]&lt;PROVEEDORES[[#This Row],[base retencion]],0,PROVEEDORES[[#This Row],[retención aplicada]])</f>
        <v>3.5000000000000003E-2</v>
      </c>
      <c r="Q1697" s="22">
        <f>+PROVEEDORES[[#This Row],[Rete Fuente %]]*(PROVEEDORES[[#This Row],[SUBTOTAL]]-PROVEEDORES[[#This Row],[descuento sobre subtotal]])</f>
        <v>105077.00000000001</v>
      </c>
      <c r="R1697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7" s="68">
        <f ca="1">IF(PROVEEDORES[[#This Row],[FECHA DE PAGO]]=0,TODAY()-PROVEEDORES[[#This Row],[FECHA DE FACTURACIÓN]]-PROVEEDORES[[#This Row],[PLAZO Días]],0)</f>
        <v>0</v>
      </c>
      <c r="U1697" s="113" t="str">
        <f>+VLOOKUP(PROVEEDORES[[#This Row],[PROVEEDOR]],Terceros!$A:$D,4,FALSE)</f>
        <v>3,5% sin base</v>
      </c>
      <c r="V1697" s="114">
        <f>+YEAR(PROVEEDORES[[#This Row],[FECHA DE FACTURACIÓN]])</f>
        <v>2022</v>
      </c>
      <c r="W1697" s="114">
        <f>+MATCH(PROVEEDORES[[#This Row],[año facturado]],Retenciones!$1:$1,0)</f>
        <v>5</v>
      </c>
      <c r="X1697" s="115">
        <f>+VLOOKUP(PROVEEDORES[[#This Row],[ID RETENCION]],Retenciones!$A$1:$O$25,PROVEEDORES[[#This Row],[indicador de columna]],FALSE)</f>
        <v>0</v>
      </c>
      <c r="Y1697" s="116">
        <f>+VLOOKUP(PROVEEDORES[[#This Row],[ID RETENCION]],Retenciones!$A$1:$O$25,2,FALSE)</f>
        <v>3.5000000000000003E-2</v>
      </c>
      <c r="Z1697" s="125" t="b">
        <f>OR(COUNTIF(PROVEEDORES[[#This Row],[PROVEEDOR]],"*"&amp;'Palabra no opera'!$A$2&amp;"*"))</f>
        <v>1</v>
      </c>
    </row>
    <row r="1698" spans="1:26" ht="22.2" customHeight="1" x14ac:dyDescent="0.3">
      <c r="A1698" s="185" t="str">
        <f>+IF(PROVEEDORES[[#This Row],[FECHA DE PAGO]]=PROVEEDORES[[#This Row],[FECHA DE FACTURACIÓN]],"DE CONTADO","CRÉDITO")</f>
        <v>CRÉDITO</v>
      </c>
      <c r="B1698" s="38" t="b">
        <f>+IF((PROVEEDORES[[#This Row],[FECHA DE PAGO]]-PROVEEDORES[[#This Row],[FECHA DE FACTURACIÓN]])&gt;PROVEEDORES[[#This Row],[PLAZO Días]],"PAGO VENCIDO")</f>
        <v>0</v>
      </c>
      <c r="C1698" s="20">
        <f>+VLOOKUP(PROVEEDORES[[#This Row],[PROVEEDOR]],TERCEROS_INFO[#All],2,FALSE)</f>
        <v>30</v>
      </c>
      <c r="D1698" s="25">
        <f>+SUMIFS(PROVEEDORES[Total],PROVEEDORES[PROVEEDOR],PROVEEDORES[[#This Row],[PROVEEDOR]],PROVEEDORES[FECHA DE PAGO],"")</f>
        <v>0</v>
      </c>
      <c r="E1698" s="25"/>
      <c r="F169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8" s="161">
        <v>44768</v>
      </c>
      <c r="H1698" s="26" t="s">
        <v>925</v>
      </c>
      <c r="I1698" s="161">
        <v>44743</v>
      </c>
      <c r="J1698" s="35">
        <v>3724</v>
      </c>
      <c r="K1698" s="21">
        <v>3002200</v>
      </c>
      <c r="L1698" s="21"/>
      <c r="M1698" s="22">
        <f>(PROVEEDORES[[#This Row],[SUBTOTAL]]-PROVEEDORES[[#This Row],[descuento sobre subtotal]])*VLOOKUP(PROVEEDORES[[#This Row],[PROVEEDOR]],TERCEROS_INFO[#All],3,FALSE)</f>
        <v>0</v>
      </c>
      <c r="N1698" s="23"/>
      <c r="O1698" s="22">
        <f>+PROVEEDORES[[#This Row],[Descuento sobre subtotal %]]*(PROVEEDORES[[#This Row],[SUBTOTAL]]-PROVEEDORES[[#This Row],[descuento sobre subtotal]])</f>
        <v>0</v>
      </c>
      <c r="P1698" s="83">
        <f>+IF(PROVEEDORES[[#This Row],[SUBTOTAL]]&lt;PROVEEDORES[[#This Row],[base retencion]],0,PROVEEDORES[[#This Row],[retención aplicada]])</f>
        <v>3.5000000000000003E-2</v>
      </c>
      <c r="Q1698" s="22">
        <f>+PROVEEDORES[[#This Row],[Rete Fuente %]]*(PROVEEDORES[[#This Row],[SUBTOTAL]]-PROVEEDORES[[#This Row],[descuento sobre subtotal]])</f>
        <v>105077.00000000001</v>
      </c>
      <c r="R1698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8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8" s="68">
        <f ca="1">IF(PROVEEDORES[[#This Row],[FECHA DE PAGO]]=0,TODAY()-PROVEEDORES[[#This Row],[FECHA DE FACTURACIÓN]]-PROVEEDORES[[#This Row],[PLAZO Días]],0)</f>
        <v>0</v>
      </c>
      <c r="U1698" s="113" t="str">
        <f>+VLOOKUP(PROVEEDORES[[#This Row],[PROVEEDOR]],Terceros!$A:$D,4,FALSE)</f>
        <v>3,5% sin base</v>
      </c>
      <c r="V1698" s="114">
        <f>+YEAR(PROVEEDORES[[#This Row],[FECHA DE FACTURACIÓN]])</f>
        <v>2022</v>
      </c>
      <c r="W1698" s="114">
        <f>+MATCH(PROVEEDORES[[#This Row],[año facturado]],Retenciones!$1:$1,0)</f>
        <v>5</v>
      </c>
      <c r="X1698" s="115">
        <f>+VLOOKUP(PROVEEDORES[[#This Row],[ID RETENCION]],Retenciones!$A$1:$O$25,PROVEEDORES[[#This Row],[indicador de columna]],FALSE)</f>
        <v>0</v>
      </c>
      <c r="Y1698" s="116">
        <f>+VLOOKUP(PROVEEDORES[[#This Row],[ID RETENCION]],Retenciones!$A$1:$O$25,2,FALSE)</f>
        <v>3.5000000000000003E-2</v>
      </c>
      <c r="Z1698" s="125" t="b">
        <f>OR(COUNTIF(PROVEEDORES[[#This Row],[PROVEEDOR]],"*"&amp;'Palabra no opera'!$A$2&amp;"*"))</f>
        <v>1</v>
      </c>
    </row>
    <row r="1699" spans="1:26" ht="22.2" customHeight="1" x14ac:dyDescent="0.3">
      <c r="A1699" s="193" t="str">
        <f>+IF(PROVEEDORES[[#This Row],[FECHA DE PAGO]]=PROVEEDORES[[#This Row],[FECHA DE FACTURACIÓN]],"DE CONTADO","CRÉDITO")</f>
        <v>CRÉDITO</v>
      </c>
      <c r="B1699" s="38" t="b">
        <f>+IF((PROVEEDORES[[#This Row],[FECHA DE PAGO]]-PROVEEDORES[[#This Row],[FECHA DE FACTURACIÓN]])&gt;PROVEEDORES[[#This Row],[PLAZO Días]],"PAGO VENCIDO")</f>
        <v>0</v>
      </c>
      <c r="C1699" s="20">
        <f>+VLOOKUP(PROVEEDORES[[#This Row],[PROVEEDOR]],TERCEROS_INFO[#All],2,FALSE)</f>
        <v>30</v>
      </c>
      <c r="D1699" s="25">
        <f>+SUMIFS(PROVEEDORES[Total],PROVEEDORES[PROVEEDOR],PROVEEDORES[[#This Row],[PROVEEDOR]],PROVEEDORES[FECHA DE PAGO],"")</f>
        <v>0</v>
      </c>
      <c r="E1699" s="25"/>
      <c r="F169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9" s="161">
        <v>44802</v>
      </c>
      <c r="H1699" s="26" t="s">
        <v>925</v>
      </c>
      <c r="I1699" s="161">
        <v>44774</v>
      </c>
      <c r="J1699" s="35">
        <v>3881</v>
      </c>
      <c r="K1699" s="21">
        <v>3002200</v>
      </c>
      <c r="L1699" s="21"/>
      <c r="M1699" s="22">
        <f>(PROVEEDORES[[#This Row],[SUBTOTAL]]-PROVEEDORES[[#This Row],[descuento sobre subtotal]])*VLOOKUP(PROVEEDORES[[#This Row],[PROVEEDOR]],TERCEROS_INFO[#All],3,FALSE)</f>
        <v>0</v>
      </c>
      <c r="N1699" s="23"/>
      <c r="O1699" s="22">
        <f>+PROVEEDORES[[#This Row],[Descuento sobre subtotal %]]*(PROVEEDORES[[#This Row],[SUBTOTAL]]-PROVEEDORES[[#This Row],[descuento sobre subtotal]])</f>
        <v>0</v>
      </c>
      <c r="P1699" s="83">
        <f>+IF(PROVEEDORES[[#This Row],[SUBTOTAL]]&lt;PROVEEDORES[[#This Row],[base retencion]],0,PROVEEDORES[[#This Row],[retención aplicada]])</f>
        <v>3.5000000000000003E-2</v>
      </c>
      <c r="Q1699" s="22">
        <f>+PROVEEDORES[[#This Row],[Rete Fuente %]]*(PROVEEDORES[[#This Row],[SUBTOTAL]]-PROVEEDORES[[#This Row],[descuento sobre subtotal]])</f>
        <v>105077.00000000001</v>
      </c>
      <c r="R1699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9" s="19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9" s="68">
        <f ca="1">IF(PROVEEDORES[[#This Row],[FECHA DE PAGO]]=0,TODAY()-PROVEEDORES[[#This Row],[FECHA DE FACTURACIÓN]]-PROVEEDORES[[#This Row],[PLAZO Días]],0)</f>
        <v>0</v>
      </c>
      <c r="U1699" s="113" t="str">
        <f>+VLOOKUP(PROVEEDORES[[#This Row],[PROVEEDOR]],Terceros!$A:$D,4,FALSE)</f>
        <v>3,5% sin base</v>
      </c>
      <c r="V1699" s="114">
        <f>+YEAR(PROVEEDORES[[#This Row],[FECHA DE FACTURACIÓN]])</f>
        <v>2022</v>
      </c>
      <c r="W1699" s="114">
        <f>+MATCH(PROVEEDORES[[#This Row],[año facturado]],Retenciones!$1:$1,0)</f>
        <v>5</v>
      </c>
      <c r="X1699" s="115">
        <f>+VLOOKUP(PROVEEDORES[[#This Row],[ID RETENCION]],Retenciones!$A$1:$O$25,PROVEEDORES[[#This Row],[indicador de columna]],FALSE)</f>
        <v>0</v>
      </c>
      <c r="Y1699" s="116">
        <f>+VLOOKUP(PROVEEDORES[[#This Row],[ID RETENCION]],Retenciones!$A$1:$O$25,2,FALSE)</f>
        <v>3.5000000000000003E-2</v>
      </c>
      <c r="Z1699" s="125" t="b">
        <f>OR(COUNTIF(PROVEEDORES[[#This Row],[PROVEEDOR]],"*"&amp;'Palabra no opera'!$A$2&amp;"*"))</f>
        <v>1</v>
      </c>
    </row>
    <row r="1700" spans="1:26" ht="22.2" customHeight="1" x14ac:dyDescent="0.3">
      <c r="A1700" s="221" t="str">
        <f>+IF(PROVEEDORES[[#This Row],[FECHA DE PAGO]]=PROVEEDORES[[#This Row],[FECHA DE FACTURACIÓN]],"DE CONTADO","CRÉDITO")</f>
        <v>CRÉDITO</v>
      </c>
      <c r="B1700" s="38" t="b">
        <f>+IF((PROVEEDORES[[#This Row],[FECHA DE PAGO]]-PROVEEDORES[[#This Row],[FECHA DE FACTURACIÓN]])&gt;PROVEEDORES[[#This Row],[PLAZO Días]],"PAGO VENCIDO")</f>
        <v>0</v>
      </c>
      <c r="C1700" s="20">
        <f>+VLOOKUP(PROVEEDORES[[#This Row],[PROVEEDOR]],TERCEROS_INFO[#All],2,FALSE)</f>
        <v>30</v>
      </c>
      <c r="D1700" s="25">
        <f>+SUMIFS(PROVEEDORES[Total],PROVEEDORES[PROVEEDOR],PROVEEDORES[[#This Row],[PROVEEDOR]],PROVEEDORES[FECHA DE PAGO],"")</f>
        <v>0</v>
      </c>
      <c r="E1700" s="25"/>
      <c r="F170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00" s="161">
        <v>44827</v>
      </c>
      <c r="H1700" s="26" t="s">
        <v>925</v>
      </c>
      <c r="I1700" s="161">
        <v>44805</v>
      </c>
      <c r="J1700" s="35" t="s">
        <v>1694</v>
      </c>
      <c r="K1700" s="21">
        <v>3002200</v>
      </c>
      <c r="L1700" s="21"/>
      <c r="M1700" s="22">
        <f>(PROVEEDORES[[#This Row],[SUBTOTAL]]-PROVEEDORES[[#This Row],[descuento sobre subtotal]])*VLOOKUP(PROVEEDORES[[#This Row],[PROVEEDOR]],TERCEROS_INFO[#All],3,FALSE)</f>
        <v>0</v>
      </c>
      <c r="N1700" s="23"/>
      <c r="O1700" s="22">
        <f>+PROVEEDORES[[#This Row],[Descuento sobre subtotal %]]*(PROVEEDORES[[#This Row],[SUBTOTAL]]-PROVEEDORES[[#This Row],[descuento sobre subtotal]])</f>
        <v>0</v>
      </c>
      <c r="P1700" s="83">
        <f>+IF(PROVEEDORES[[#This Row],[SUBTOTAL]]&lt;PROVEEDORES[[#This Row],[base retencion]],0,PROVEEDORES[[#This Row],[retención aplicada]])</f>
        <v>3.5000000000000003E-2</v>
      </c>
      <c r="Q1700" s="22">
        <f>+PROVEEDORES[[#This Row],[Rete Fuente %]]*(PROVEEDORES[[#This Row],[SUBTOTAL]]-PROVEEDORES[[#This Row],[descuento sobre subtotal]])</f>
        <v>105077.00000000001</v>
      </c>
      <c r="R1700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00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0" s="68">
        <f ca="1">IF(PROVEEDORES[[#This Row],[FECHA DE PAGO]]=0,TODAY()-PROVEEDORES[[#This Row],[FECHA DE FACTURACIÓN]]-PROVEEDORES[[#This Row],[PLAZO Días]],0)</f>
        <v>0</v>
      </c>
      <c r="U1700" s="113" t="str">
        <f>+VLOOKUP(PROVEEDORES[[#This Row],[PROVEEDOR]],Terceros!$A:$D,4,FALSE)</f>
        <v>3,5% sin base</v>
      </c>
      <c r="V1700" s="114">
        <f>+YEAR(PROVEEDORES[[#This Row],[FECHA DE FACTURACIÓN]])</f>
        <v>2022</v>
      </c>
      <c r="W1700" s="114">
        <f>+MATCH(PROVEEDORES[[#This Row],[año facturado]],Retenciones!$1:$1,0)</f>
        <v>5</v>
      </c>
      <c r="X1700" s="115">
        <f>+VLOOKUP(PROVEEDORES[[#This Row],[ID RETENCION]],Retenciones!$A$1:$O$25,PROVEEDORES[[#This Row],[indicador de columna]],FALSE)</f>
        <v>0</v>
      </c>
      <c r="Y1700" s="116">
        <f>+VLOOKUP(PROVEEDORES[[#This Row],[ID RETENCION]],Retenciones!$A$1:$O$25,2,FALSE)</f>
        <v>3.5000000000000003E-2</v>
      </c>
      <c r="Z1700" s="125" t="b">
        <f>OR(COUNTIF(PROVEEDORES[[#This Row],[PROVEEDOR]],"*"&amp;'Palabra no opera'!$A$2&amp;"*"))</f>
        <v>1</v>
      </c>
    </row>
    <row r="1701" spans="1:26" ht="22.2" customHeight="1" x14ac:dyDescent="0.3">
      <c r="A1701" s="72" t="str">
        <f>+IF(PROVEEDORES[[#This Row],[FECHA DE PAGO]]=PROVEEDORES[[#This Row],[FECHA DE FACTURACIÓN]],"DE CONTADO","CRÉDITO")</f>
        <v>CRÉDITO</v>
      </c>
      <c r="B1701" s="38" t="b">
        <f>+IF((PROVEEDORES[[#This Row],[FECHA DE PAGO]]-PROVEEDORES[[#This Row],[FECHA DE FACTURACIÓN]])&gt;PROVEEDORES[[#This Row],[PLAZO Días]],"PAGO VENCIDO")</f>
        <v>0</v>
      </c>
      <c r="C1701" s="20">
        <f>+VLOOKUP(PROVEEDORES[[#This Row],[PROVEEDOR]],TERCEROS_INFO[#All],2,FALSE)</f>
        <v>30</v>
      </c>
      <c r="D1701" s="25">
        <f>+SUMIFS(PROVEEDORES[Total],PROVEEDORES[PROVEEDOR],PROVEEDORES[[#This Row],[PROVEEDOR]],PROVEEDORES[FECHA DE PAGO],"")</f>
        <v>0</v>
      </c>
      <c r="E1701" s="25"/>
      <c r="F170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01" s="161">
        <v>44858</v>
      </c>
      <c r="H1701" s="26" t="s">
        <v>925</v>
      </c>
      <c r="I1701" s="161">
        <v>44854</v>
      </c>
      <c r="J1701" s="35">
        <v>4681</v>
      </c>
      <c r="K1701" s="21">
        <v>3002200</v>
      </c>
      <c r="L1701" s="21"/>
      <c r="M1701" s="22">
        <f>(PROVEEDORES[[#This Row],[SUBTOTAL]]-PROVEEDORES[[#This Row],[descuento sobre subtotal]])*VLOOKUP(PROVEEDORES[[#This Row],[PROVEEDOR]],TERCEROS_INFO[#All],3,FALSE)</f>
        <v>0</v>
      </c>
      <c r="N1701" s="23"/>
      <c r="O1701" s="22">
        <f>+PROVEEDORES[[#This Row],[Descuento sobre subtotal %]]*(PROVEEDORES[[#This Row],[SUBTOTAL]]-PROVEEDORES[[#This Row],[descuento sobre subtotal]])</f>
        <v>0</v>
      </c>
      <c r="P1701" s="83">
        <f>+IF(PROVEEDORES[[#This Row],[SUBTOTAL]]&lt;PROVEEDORES[[#This Row],[base retencion]],0,PROVEEDORES[[#This Row],[retención aplicada]])</f>
        <v>3.5000000000000003E-2</v>
      </c>
      <c r="Q1701" s="22">
        <f>+PROVEEDORES[[#This Row],[Rete Fuente %]]*(PROVEEDORES[[#This Row],[SUBTOTAL]]-PROVEEDORES[[#This Row],[descuento sobre subtotal]])</f>
        <v>105077.00000000001</v>
      </c>
      <c r="R1701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0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1" s="68">
        <f ca="1">IF(PROVEEDORES[[#This Row],[FECHA DE PAGO]]=0,TODAY()-PROVEEDORES[[#This Row],[FECHA DE FACTURACIÓN]]-PROVEEDORES[[#This Row],[PLAZO Días]],0)</f>
        <v>0</v>
      </c>
      <c r="U1701" s="113" t="str">
        <f>+VLOOKUP(PROVEEDORES[[#This Row],[PROVEEDOR]],Terceros!$A:$D,4,FALSE)</f>
        <v>3,5% sin base</v>
      </c>
      <c r="V1701" s="114">
        <f>+YEAR(PROVEEDORES[[#This Row],[FECHA DE FACTURACIÓN]])</f>
        <v>2022</v>
      </c>
      <c r="W1701" s="114">
        <f>+MATCH(PROVEEDORES[[#This Row],[año facturado]],Retenciones!$1:$1,0)</f>
        <v>5</v>
      </c>
      <c r="X1701" s="115">
        <f>+VLOOKUP(PROVEEDORES[[#This Row],[ID RETENCION]],Retenciones!$A$1:$O$25,PROVEEDORES[[#This Row],[indicador de columna]],FALSE)</f>
        <v>0</v>
      </c>
      <c r="Y1701" s="116">
        <f>+VLOOKUP(PROVEEDORES[[#This Row],[ID RETENCION]],Retenciones!$A$1:$O$25,2,FALSE)</f>
        <v>3.5000000000000003E-2</v>
      </c>
      <c r="Z1701" s="125" t="b">
        <f>OR(COUNTIF(PROVEEDORES[[#This Row],[PROVEEDOR]],"*"&amp;'Palabra no opera'!$A$2&amp;"*"))</f>
        <v>1</v>
      </c>
    </row>
    <row r="1702" spans="1:26" ht="22.2" customHeight="1" x14ac:dyDescent="0.3">
      <c r="A1702" s="123" t="str">
        <f>+IF(PROVEEDORES[[#This Row],[FECHA DE PAGO]]=PROVEEDORES[[#This Row],[FECHA DE FACTURACIÓN]],"DE CONTADO","CRÉDITO")</f>
        <v>CRÉDITO</v>
      </c>
      <c r="B1702" s="38" t="str">
        <f>+IF((PROVEEDORES[[#This Row],[FECHA DE PAGO]]-PROVEEDORES[[#This Row],[FECHA DE FACTURACIÓN]])&gt;PROVEEDORES[[#This Row],[PLAZO Días]],"PAGO VENCIDO")</f>
        <v>PAGO VENCIDO</v>
      </c>
      <c r="C1702" s="20">
        <f>+VLOOKUP(PROVEEDORES[[#This Row],[PROVEEDOR]],TERCEROS_INFO[#All],2,FALSE)</f>
        <v>30</v>
      </c>
      <c r="D1702" s="25">
        <f>+SUMIFS(PROVEEDORES[Total],PROVEEDORES[PROVEEDOR],PROVEEDORES[[#This Row],[PROVEEDOR]],PROVEEDORES[FECHA DE PAGO],"")</f>
        <v>0</v>
      </c>
      <c r="E1702" s="25"/>
      <c r="F170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702" s="161">
        <v>44725</v>
      </c>
      <c r="H1702" s="26" t="s">
        <v>691</v>
      </c>
      <c r="I1702" s="161">
        <v>44679</v>
      </c>
      <c r="J1702" s="35" t="s">
        <v>1441</v>
      </c>
      <c r="K1702" s="21">
        <v>2905300</v>
      </c>
      <c r="L1702" s="21"/>
      <c r="M1702" s="22">
        <f>(PROVEEDORES[[#This Row],[SUBTOTAL]]-PROVEEDORES[[#This Row],[descuento sobre subtotal]])*VLOOKUP(PROVEEDORES[[#This Row],[PROVEEDOR]],TERCEROS_INFO[#All],3,FALSE)</f>
        <v>0</v>
      </c>
      <c r="N1702" s="23"/>
      <c r="O1702" s="22">
        <f>+PROVEEDORES[[#This Row],[Descuento sobre subtotal %]]*(PROVEEDORES[[#This Row],[SUBTOTAL]]-PROVEEDORES[[#This Row],[descuento sobre subtotal]])</f>
        <v>0</v>
      </c>
      <c r="P1702" s="83">
        <f>+IF(PROVEEDORES[[#This Row],[SUBTOTAL]]&lt;PROVEEDORES[[#This Row],[base retencion]],0,PROVEEDORES[[#This Row],[retención aplicada]])</f>
        <v>0</v>
      </c>
      <c r="Q1702" s="22">
        <f>+PROVEEDORES[[#This Row],[Rete Fuente %]]*(PROVEEDORES[[#This Row],[SUBTOTAL]]-PROVEEDORES[[#This Row],[descuento sobre subtotal]])</f>
        <v>0</v>
      </c>
      <c r="R1702" s="21">
        <f>+PROVEEDORES[[#This Row],[SUBTOTAL]]+PROVEEDORES[[#This Row],[IVA 19%]]-PROVEEDORES[[#This Row],[descuento sobre subtotal]]-PROVEEDORES[[#This Row],[Descuento sobre subtotal $2]]-PROVEEDORES[[#This Row],[Rete Fuente $]]</f>
        <v>2905300</v>
      </c>
      <c r="S1702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2" s="68">
        <f ca="1">IF(PROVEEDORES[[#This Row],[FECHA DE PAGO]]=0,TODAY()-PROVEEDORES[[#This Row],[FECHA DE FACTURACIÓN]]-PROVEEDORES[[#This Row],[PLAZO Días]],0)</f>
        <v>0</v>
      </c>
      <c r="U1702" s="113">
        <f>+VLOOKUP(PROVEEDORES[[#This Row],[PROVEEDOR]],Terceros!$A:$D,4,FALSE)</f>
        <v>0</v>
      </c>
      <c r="V1702" s="114">
        <f>+YEAR(PROVEEDORES[[#This Row],[FECHA DE FACTURACIÓN]])</f>
        <v>2022</v>
      </c>
      <c r="W1702" s="114">
        <f>+MATCH(PROVEEDORES[[#This Row],[año facturado]],Retenciones!$1:$1,0)</f>
        <v>5</v>
      </c>
      <c r="X1702" s="115">
        <f>+VLOOKUP(PROVEEDORES[[#This Row],[ID RETENCION]],Retenciones!$A$1:$O$25,PROVEEDORES[[#This Row],[indicador de columna]],FALSE)</f>
        <v>0</v>
      </c>
      <c r="Y1702" s="116">
        <f>+VLOOKUP(PROVEEDORES[[#This Row],[ID RETENCION]],Retenciones!$A$1:$O$25,2,FALSE)</f>
        <v>0</v>
      </c>
      <c r="Z1702" s="125" t="b">
        <f>OR(COUNTIF(PROVEEDORES[[#This Row],[PROVEEDOR]],"*"&amp;'Palabra no opera'!$A$2&amp;"*"))</f>
        <v>0</v>
      </c>
    </row>
    <row r="1703" spans="1:26" ht="22.2" customHeight="1" x14ac:dyDescent="0.3">
      <c r="A1703" s="66" t="str">
        <f>+IF(PROVEEDORES[[#This Row],[FECHA DE PAGO]]=PROVEEDORES[[#This Row],[FECHA DE FACTURACIÓN]],"DE CONTADO","CRÉDITO")</f>
        <v>CRÉDITO</v>
      </c>
      <c r="B1703" s="38" t="b">
        <f>+IF((PROVEEDORES[[#This Row],[FECHA DE PAGO]]-PROVEEDORES[[#This Row],[FECHA DE FACTURACIÓN]])&gt;PROVEEDORES[[#This Row],[PLAZO Días]],"PAGO VENCIDO")</f>
        <v>0</v>
      </c>
      <c r="C1703" s="20">
        <f>+VLOOKUP(PROVEEDORES[[#This Row],[PROVEEDOR]],TERCEROS_INFO[#All],2,FALSE)</f>
        <v>30</v>
      </c>
      <c r="D1703" s="25">
        <f>+SUMIFS(PROVEEDORES[Total],PROVEEDORES[PROVEEDOR],PROVEEDORES[[#This Row],[PROVEEDOR]],PROVEEDORES[FECHA DE PAGO],"")</f>
        <v>0</v>
      </c>
      <c r="E1703" s="25"/>
      <c r="F170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3" s="161">
        <v>44264</v>
      </c>
      <c r="H1703" s="26" t="s">
        <v>928</v>
      </c>
      <c r="I1703" s="161">
        <v>44249</v>
      </c>
      <c r="J1703" s="35" t="s">
        <v>223</v>
      </c>
      <c r="K1703" s="21">
        <v>3023387</v>
      </c>
      <c r="L1703" s="21"/>
      <c r="M1703" s="22">
        <f>(PROVEEDORES[[#This Row],[SUBTOTAL]]-PROVEEDORES[[#This Row],[descuento sobre subtotal]])*VLOOKUP(PROVEEDORES[[#This Row],[PROVEEDOR]],TERCEROS_INFO[#All],3,FALSE)</f>
        <v>0</v>
      </c>
      <c r="N1703" s="23"/>
      <c r="O1703" s="22">
        <f>+PROVEEDORES[[#This Row],[Descuento sobre subtotal %]]*(PROVEEDORES[[#This Row],[SUBTOTAL]]-PROVEEDORES[[#This Row],[descuento sobre subtotal]])</f>
        <v>0</v>
      </c>
      <c r="P1703" s="83">
        <f>+IF(PROVEEDORES[[#This Row],[SUBTOTAL]]&lt;PROVEEDORES[[#This Row],[base retencion]],0,PROVEEDORES[[#This Row],[retención aplicada]])</f>
        <v>3.5000000000000003E-2</v>
      </c>
      <c r="Q1703" s="22">
        <f>+PROVEEDORES[[#This Row],[Rete Fuente %]]*(PROVEEDORES[[#This Row],[SUBTOTAL]]-PROVEEDORES[[#This Row],[descuento sobre subtotal]])</f>
        <v>105818.54500000001</v>
      </c>
      <c r="R1703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3" s="68">
        <f ca="1">IF(PROVEEDORES[[#This Row],[FECHA DE PAGO]]=0,TODAY()-PROVEEDORES[[#This Row],[FECHA DE FACTURACIÓN]]-PROVEEDORES[[#This Row],[PLAZO Días]],0)</f>
        <v>0</v>
      </c>
      <c r="U1703" s="96" t="str">
        <f>+VLOOKUP(PROVEEDORES[[#This Row],[PROVEEDOR]],Terceros!$A:$D,4,FALSE)</f>
        <v>3,5% sin base</v>
      </c>
      <c r="V1703" s="97">
        <f>+YEAR(PROVEEDORES[[#This Row],[FECHA DE FACTURACIÓN]])</f>
        <v>2021</v>
      </c>
      <c r="W1703" s="97">
        <f>+MATCH(PROVEEDORES[[#This Row],[año facturado]],Retenciones!$1:$1,0)</f>
        <v>4</v>
      </c>
      <c r="X1703" s="98">
        <f>+VLOOKUP(PROVEEDORES[[#This Row],[ID RETENCION]],Retenciones!$A$1:$O$25,PROVEEDORES[[#This Row],[indicador de columna]],FALSE)</f>
        <v>0</v>
      </c>
      <c r="Y1703" s="99">
        <f>+VLOOKUP(PROVEEDORES[[#This Row],[ID RETENCION]],Retenciones!$A$1:$O$25,2,FALSE)</f>
        <v>3.5000000000000003E-2</v>
      </c>
      <c r="Z1703" s="125" t="b">
        <f>OR(COUNTIF(PROVEEDORES[[#This Row],[PROVEEDOR]],"*"&amp;'Palabra no opera'!$A$2&amp;"*"))</f>
        <v>1</v>
      </c>
    </row>
    <row r="1704" spans="1:26" ht="22.2" customHeight="1" x14ac:dyDescent="0.3">
      <c r="A1704" s="66" t="str">
        <f>+IF(PROVEEDORES[[#This Row],[FECHA DE PAGO]]=PROVEEDORES[[#This Row],[FECHA DE FACTURACIÓN]],"DE CONTADO","CRÉDITO")</f>
        <v>CRÉDITO</v>
      </c>
      <c r="B1704" s="38" t="b">
        <f>+IF((PROVEEDORES[[#This Row],[FECHA DE PAGO]]-PROVEEDORES[[#This Row],[FECHA DE FACTURACIÓN]])&gt;PROVEEDORES[[#This Row],[PLAZO Días]],"PAGO VENCIDO")</f>
        <v>0</v>
      </c>
      <c r="C1704" s="20">
        <f>+VLOOKUP(PROVEEDORES[[#This Row],[PROVEEDOR]],TERCEROS_INFO[#All],2,FALSE)</f>
        <v>30</v>
      </c>
      <c r="D1704" s="25">
        <f>+SUMIFS(PROVEEDORES[Total],PROVEEDORES[PROVEEDOR],PROVEEDORES[[#This Row],[PROVEEDOR]],PROVEEDORES[FECHA DE PAGO],"")</f>
        <v>0</v>
      </c>
      <c r="E1704" s="25"/>
      <c r="F170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4" s="161">
        <v>44284</v>
      </c>
      <c r="H1704" s="26" t="s">
        <v>928</v>
      </c>
      <c r="I1704" s="161">
        <v>44256</v>
      </c>
      <c r="J1704" s="35" t="s">
        <v>228</v>
      </c>
      <c r="K1704" s="21">
        <v>3023387</v>
      </c>
      <c r="L1704" s="21"/>
      <c r="M1704" s="22">
        <f>(PROVEEDORES[[#This Row],[SUBTOTAL]]-PROVEEDORES[[#This Row],[descuento sobre subtotal]])*VLOOKUP(PROVEEDORES[[#This Row],[PROVEEDOR]],TERCEROS_INFO[#All],3,FALSE)</f>
        <v>0</v>
      </c>
      <c r="N1704" s="23"/>
      <c r="O1704" s="22">
        <f>+PROVEEDORES[[#This Row],[Descuento sobre subtotal %]]*(PROVEEDORES[[#This Row],[SUBTOTAL]]-PROVEEDORES[[#This Row],[descuento sobre subtotal]])</f>
        <v>0</v>
      </c>
      <c r="P1704" s="83">
        <f>+IF(PROVEEDORES[[#This Row],[SUBTOTAL]]&lt;PROVEEDORES[[#This Row],[base retencion]],0,PROVEEDORES[[#This Row],[retención aplicada]])</f>
        <v>3.5000000000000003E-2</v>
      </c>
      <c r="Q1704" s="22">
        <f>+PROVEEDORES[[#This Row],[Rete Fuente %]]*(PROVEEDORES[[#This Row],[SUBTOTAL]]-PROVEEDORES[[#This Row],[descuento sobre subtotal]])</f>
        <v>105818.54500000001</v>
      </c>
      <c r="R1704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4" s="68">
        <f ca="1">IF(PROVEEDORES[[#This Row],[FECHA DE PAGO]]=0,TODAY()-PROVEEDORES[[#This Row],[FECHA DE FACTURACIÓN]]-PROVEEDORES[[#This Row],[PLAZO Días]],0)</f>
        <v>0</v>
      </c>
      <c r="U1704" s="96" t="str">
        <f>+VLOOKUP(PROVEEDORES[[#This Row],[PROVEEDOR]],Terceros!$A:$D,4,FALSE)</f>
        <v>3,5% sin base</v>
      </c>
      <c r="V1704" s="97">
        <f>+YEAR(PROVEEDORES[[#This Row],[FECHA DE FACTURACIÓN]])</f>
        <v>2021</v>
      </c>
      <c r="W1704" s="97">
        <f>+MATCH(PROVEEDORES[[#This Row],[año facturado]],Retenciones!$1:$1,0)</f>
        <v>4</v>
      </c>
      <c r="X1704" s="98">
        <f>+VLOOKUP(PROVEEDORES[[#This Row],[ID RETENCION]],Retenciones!$A$1:$O$25,PROVEEDORES[[#This Row],[indicador de columna]],FALSE)</f>
        <v>0</v>
      </c>
      <c r="Y1704" s="99">
        <f>+VLOOKUP(PROVEEDORES[[#This Row],[ID RETENCION]],Retenciones!$A$1:$O$25,2,FALSE)</f>
        <v>3.5000000000000003E-2</v>
      </c>
      <c r="Z1704" s="125" t="b">
        <f>OR(COUNTIF(PROVEEDORES[[#This Row],[PROVEEDOR]],"*"&amp;'Palabra no opera'!$A$2&amp;"*"))</f>
        <v>1</v>
      </c>
    </row>
    <row r="1705" spans="1:26" ht="22.2" customHeight="1" x14ac:dyDescent="0.3">
      <c r="A1705" s="66" t="str">
        <f>+IF(PROVEEDORES[[#This Row],[FECHA DE PAGO]]=PROVEEDORES[[#This Row],[FECHA DE FACTURACIÓN]],"DE CONTADO","CRÉDITO")</f>
        <v>CRÉDITO</v>
      </c>
      <c r="B1705" s="38" t="b">
        <f>+IF((PROVEEDORES[[#This Row],[FECHA DE PAGO]]-PROVEEDORES[[#This Row],[FECHA DE FACTURACIÓN]])&gt;PROVEEDORES[[#This Row],[PLAZO Días]],"PAGO VENCIDO")</f>
        <v>0</v>
      </c>
      <c r="C1705" s="20">
        <f>+VLOOKUP(PROVEEDORES[[#This Row],[PROVEEDOR]],TERCEROS_INFO[#All],2,FALSE)</f>
        <v>30</v>
      </c>
      <c r="D1705" s="25">
        <f>+SUMIFS(PROVEEDORES[Total],PROVEEDORES[PROVEEDOR],PROVEEDORES[[#This Row],[PROVEEDOR]],PROVEEDORES[FECHA DE PAGO],"")</f>
        <v>0</v>
      </c>
      <c r="E1705" s="25"/>
      <c r="F170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5" s="161">
        <v>44369</v>
      </c>
      <c r="H1705" s="26" t="s">
        <v>928</v>
      </c>
      <c r="I1705" s="161">
        <v>44348</v>
      </c>
      <c r="J1705" s="35" t="s">
        <v>585</v>
      </c>
      <c r="K1705" s="21">
        <v>3023387</v>
      </c>
      <c r="L1705" s="21"/>
      <c r="M1705" s="22">
        <f>(PROVEEDORES[[#This Row],[SUBTOTAL]]-PROVEEDORES[[#This Row],[descuento sobre subtotal]])*VLOOKUP(PROVEEDORES[[#This Row],[PROVEEDOR]],TERCEROS_INFO[#All],3,FALSE)</f>
        <v>0</v>
      </c>
      <c r="N1705" s="23"/>
      <c r="O1705" s="22">
        <f>+PROVEEDORES[[#This Row],[Descuento sobre subtotal %]]*(PROVEEDORES[[#This Row],[SUBTOTAL]]-PROVEEDORES[[#This Row],[descuento sobre subtotal]])</f>
        <v>0</v>
      </c>
      <c r="P1705" s="83">
        <f>+IF(PROVEEDORES[[#This Row],[SUBTOTAL]]&lt;PROVEEDORES[[#This Row],[base retencion]],0,PROVEEDORES[[#This Row],[retención aplicada]])</f>
        <v>3.5000000000000003E-2</v>
      </c>
      <c r="Q1705" s="22">
        <f>+PROVEEDORES[[#This Row],[Rete Fuente %]]*(PROVEEDORES[[#This Row],[SUBTOTAL]]-PROVEEDORES[[#This Row],[descuento sobre subtotal]])</f>
        <v>105818.54500000001</v>
      </c>
      <c r="R1705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5" s="68">
        <f ca="1">IF(PROVEEDORES[[#This Row],[FECHA DE PAGO]]=0,TODAY()-PROVEEDORES[[#This Row],[FECHA DE FACTURACIÓN]]-PROVEEDORES[[#This Row],[PLAZO Días]],0)</f>
        <v>0</v>
      </c>
      <c r="U1705" s="96" t="str">
        <f>+VLOOKUP(PROVEEDORES[[#This Row],[PROVEEDOR]],Terceros!$A:$D,4,FALSE)</f>
        <v>3,5% sin base</v>
      </c>
      <c r="V1705" s="97">
        <f>+YEAR(PROVEEDORES[[#This Row],[FECHA DE FACTURACIÓN]])</f>
        <v>2021</v>
      </c>
      <c r="W1705" s="97">
        <f>+MATCH(PROVEEDORES[[#This Row],[año facturado]],Retenciones!$1:$1,0)</f>
        <v>4</v>
      </c>
      <c r="X1705" s="98">
        <f>+VLOOKUP(PROVEEDORES[[#This Row],[ID RETENCION]],Retenciones!$A$1:$O$25,PROVEEDORES[[#This Row],[indicador de columna]],FALSE)</f>
        <v>0</v>
      </c>
      <c r="Y1705" s="99">
        <f>+VLOOKUP(PROVEEDORES[[#This Row],[ID RETENCION]],Retenciones!$A$1:$O$25,2,FALSE)</f>
        <v>3.5000000000000003E-2</v>
      </c>
      <c r="Z1705" s="125" t="b">
        <f>OR(COUNTIF(PROVEEDORES[[#This Row],[PROVEEDOR]],"*"&amp;'Palabra no opera'!$A$2&amp;"*"))</f>
        <v>1</v>
      </c>
    </row>
    <row r="1706" spans="1:26" ht="22.2" customHeight="1" x14ac:dyDescent="0.3">
      <c r="A1706" s="66" t="str">
        <f>+IF(PROVEEDORES[[#This Row],[FECHA DE PAGO]]=PROVEEDORES[[#This Row],[FECHA DE FACTURACIÓN]],"DE CONTADO","CRÉDITO")</f>
        <v>CRÉDITO</v>
      </c>
      <c r="B1706" s="38" t="b">
        <f>+IF((PROVEEDORES[[#This Row],[FECHA DE PAGO]]-PROVEEDORES[[#This Row],[FECHA DE FACTURACIÓN]])&gt;PROVEEDORES[[#This Row],[PLAZO Días]],"PAGO VENCIDO")</f>
        <v>0</v>
      </c>
      <c r="C1706" s="20">
        <f>+VLOOKUP(PROVEEDORES[[#This Row],[PROVEEDOR]],TERCEROS_INFO[#All],2,FALSE)</f>
        <v>30</v>
      </c>
      <c r="D1706" s="25">
        <f>+SUMIFS(PROVEEDORES[Total],PROVEEDORES[PROVEEDOR],PROVEEDORES[[#This Row],[PROVEEDOR]],PROVEEDORES[FECHA DE PAGO],"")</f>
        <v>0</v>
      </c>
      <c r="E1706" s="25"/>
      <c r="F170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6" s="161">
        <v>44396</v>
      </c>
      <c r="H1706" s="26" t="s">
        <v>928</v>
      </c>
      <c r="I1706" s="161">
        <v>44378</v>
      </c>
      <c r="J1706" s="35" t="s">
        <v>587</v>
      </c>
      <c r="K1706" s="21">
        <v>3023387</v>
      </c>
      <c r="L1706" s="21"/>
      <c r="M1706" s="22">
        <f>(PROVEEDORES[[#This Row],[SUBTOTAL]]-PROVEEDORES[[#This Row],[descuento sobre subtotal]])*VLOOKUP(PROVEEDORES[[#This Row],[PROVEEDOR]],TERCEROS_INFO[#All],3,FALSE)</f>
        <v>0</v>
      </c>
      <c r="N1706" s="23"/>
      <c r="O1706" s="22">
        <f>+PROVEEDORES[[#This Row],[Descuento sobre subtotal %]]*(PROVEEDORES[[#This Row],[SUBTOTAL]]-PROVEEDORES[[#This Row],[descuento sobre subtotal]])</f>
        <v>0</v>
      </c>
      <c r="P1706" s="83">
        <f>+IF(PROVEEDORES[[#This Row],[SUBTOTAL]]&lt;PROVEEDORES[[#This Row],[base retencion]],0,PROVEEDORES[[#This Row],[retención aplicada]])</f>
        <v>3.5000000000000003E-2</v>
      </c>
      <c r="Q1706" s="22">
        <f>+PROVEEDORES[[#This Row],[Rete Fuente %]]*(PROVEEDORES[[#This Row],[SUBTOTAL]]-PROVEEDORES[[#This Row],[descuento sobre subtotal]])</f>
        <v>105818.54500000001</v>
      </c>
      <c r="R1706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6" s="68">
        <f ca="1">IF(PROVEEDORES[[#This Row],[FECHA DE PAGO]]=0,TODAY()-PROVEEDORES[[#This Row],[FECHA DE FACTURACIÓN]]-PROVEEDORES[[#This Row],[PLAZO Días]],0)</f>
        <v>0</v>
      </c>
      <c r="U1706" s="96" t="str">
        <f>+VLOOKUP(PROVEEDORES[[#This Row],[PROVEEDOR]],Terceros!$A:$D,4,FALSE)</f>
        <v>3,5% sin base</v>
      </c>
      <c r="V1706" s="97">
        <f>+YEAR(PROVEEDORES[[#This Row],[FECHA DE FACTURACIÓN]])</f>
        <v>2021</v>
      </c>
      <c r="W1706" s="97">
        <f>+MATCH(PROVEEDORES[[#This Row],[año facturado]],Retenciones!$1:$1,0)</f>
        <v>4</v>
      </c>
      <c r="X1706" s="98">
        <f>+VLOOKUP(PROVEEDORES[[#This Row],[ID RETENCION]],Retenciones!$A$1:$O$25,PROVEEDORES[[#This Row],[indicador de columna]],FALSE)</f>
        <v>0</v>
      </c>
      <c r="Y1706" s="99">
        <f>+VLOOKUP(PROVEEDORES[[#This Row],[ID RETENCION]],Retenciones!$A$1:$O$25,2,FALSE)</f>
        <v>3.5000000000000003E-2</v>
      </c>
      <c r="Z1706" s="125" t="b">
        <f>OR(COUNTIF(PROVEEDORES[[#This Row],[PROVEEDOR]],"*"&amp;'Palabra no opera'!$A$2&amp;"*"))</f>
        <v>1</v>
      </c>
    </row>
    <row r="1707" spans="1:26" ht="22.2" customHeight="1" x14ac:dyDescent="0.3">
      <c r="A1707" s="66" t="str">
        <f>+IF(PROVEEDORES[[#This Row],[FECHA DE PAGO]]=PROVEEDORES[[#This Row],[FECHA DE FACTURACIÓN]],"DE CONTADO","CRÉDITO")</f>
        <v>CRÉDITO</v>
      </c>
      <c r="B1707" s="38" t="b">
        <f>+IF((PROVEEDORES[[#This Row],[FECHA DE PAGO]]-PROVEEDORES[[#This Row],[FECHA DE FACTURACIÓN]])&gt;PROVEEDORES[[#This Row],[PLAZO Días]],"PAGO VENCIDO")</f>
        <v>0</v>
      </c>
      <c r="C1707" s="20">
        <f>+VLOOKUP(PROVEEDORES[[#This Row],[PROVEEDOR]],TERCEROS_INFO[#All],2,FALSE)</f>
        <v>30</v>
      </c>
      <c r="D1707" s="25">
        <f>+SUMIFS(PROVEEDORES[Total],PROVEEDORES[PROVEEDOR],PROVEEDORES[[#This Row],[PROVEEDOR]],PROVEEDORES[FECHA DE PAGO],"")</f>
        <v>0</v>
      </c>
      <c r="E1707" s="25"/>
      <c r="F170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7" s="161">
        <v>44432</v>
      </c>
      <c r="H1707" s="26" t="s">
        <v>928</v>
      </c>
      <c r="I1707" s="161">
        <v>44409</v>
      </c>
      <c r="J1707" s="35" t="s">
        <v>588</v>
      </c>
      <c r="K1707" s="21">
        <v>3023387</v>
      </c>
      <c r="L1707" s="21"/>
      <c r="M1707" s="22">
        <f>(PROVEEDORES[[#This Row],[SUBTOTAL]]-PROVEEDORES[[#This Row],[descuento sobre subtotal]])*VLOOKUP(PROVEEDORES[[#This Row],[PROVEEDOR]],TERCEROS_INFO[#All],3,FALSE)</f>
        <v>0</v>
      </c>
      <c r="N1707" s="23"/>
      <c r="O1707" s="22">
        <f>+PROVEEDORES[[#This Row],[Descuento sobre subtotal %]]*(PROVEEDORES[[#This Row],[SUBTOTAL]]-PROVEEDORES[[#This Row],[descuento sobre subtotal]])</f>
        <v>0</v>
      </c>
      <c r="P1707" s="83">
        <f>+IF(PROVEEDORES[[#This Row],[SUBTOTAL]]&lt;PROVEEDORES[[#This Row],[base retencion]],0,PROVEEDORES[[#This Row],[retención aplicada]])</f>
        <v>3.5000000000000003E-2</v>
      </c>
      <c r="Q1707" s="22">
        <f>+PROVEEDORES[[#This Row],[Rete Fuente %]]*(PROVEEDORES[[#This Row],[SUBTOTAL]]-PROVEEDORES[[#This Row],[descuento sobre subtotal]])</f>
        <v>105818.54500000001</v>
      </c>
      <c r="R1707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7" s="68">
        <f ca="1">IF(PROVEEDORES[[#This Row],[FECHA DE PAGO]]=0,TODAY()-PROVEEDORES[[#This Row],[FECHA DE FACTURACIÓN]]-PROVEEDORES[[#This Row],[PLAZO Días]],0)</f>
        <v>0</v>
      </c>
      <c r="U1707" s="96" t="str">
        <f>+VLOOKUP(PROVEEDORES[[#This Row],[PROVEEDOR]],Terceros!$A:$D,4,FALSE)</f>
        <v>3,5% sin base</v>
      </c>
      <c r="V1707" s="97">
        <f>+YEAR(PROVEEDORES[[#This Row],[FECHA DE FACTURACIÓN]])</f>
        <v>2021</v>
      </c>
      <c r="W1707" s="97">
        <f>+MATCH(PROVEEDORES[[#This Row],[año facturado]],Retenciones!$1:$1,0)</f>
        <v>4</v>
      </c>
      <c r="X1707" s="98">
        <f>+VLOOKUP(PROVEEDORES[[#This Row],[ID RETENCION]],Retenciones!$A$1:$O$25,PROVEEDORES[[#This Row],[indicador de columna]],FALSE)</f>
        <v>0</v>
      </c>
      <c r="Y1707" s="99">
        <f>+VLOOKUP(PROVEEDORES[[#This Row],[ID RETENCION]],Retenciones!$A$1:$O$25,2,FALSE)</f>
        <v>3.5000000000000003E-2</v>
      </c>
      <c r="Z1707" s="125" t="b">
        <f>OR(COUNTIF(PROVEEDORES[[#This Row],[PROVEEDOR]],"*"&amp;'Palabra no opera'!$A$2&amp;"*"))</f>
        <v>1</v>
      </c>
    </row>
    <row r="1708" spans="1:26" ht="22.2" customHeight="1" x14ac:dyDescent="0.3">
      <c r="A1708" s="66" t="str">
        <f>+IF(PROVEEDORES[[#This Row],[FECHA DE PAGO]]=PROVEEDORES[[#This Row],[FECHA DE FACTURACIÓN]],"DE CONTADO","CRÉDITO")</f>
        <v>CRÉDITO</v>
      </c>
      <c r="B1708" s="38" t="b">
        <f>+IF((PROVEEDORES[[#This Row],[FECHA DE PAGO]]-PROVEEDORES[[#This Row],[FECHA DE FACTURACIÓN]])&gt;PROVEEDORES[[#This Row],[PLAZO Días]],"PAGO VENCIDO")</f>
        <v>0</v>
      </c>
      <c r="C1708" s="20">
        <f>+VLOOKUP(PROVEEDORES[[#This Row],[PROVEEDOR]],TERCEROS_INFO[#All],2,FALSE)</f>
        <v>30</v>
      </c>
      <c r="D1708" s="25">
        <f>+SUMIFS(PROVEEDORES[Total],PROVEEDORES[PROVEEDOR],PROVEEDORES[[#This Row],[PROVEEDOR]],PROVEEDORES[FECHA DE PAGO],"")</f>
        <v>0</v>
      </c>
      <c r="E1708" s="25"/>
      <c r="F170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8" s="161">
        <v>44461</v>
      </c>
      <c r="H1708" s="26" t="s">
        <v>928</v>
      </c>
      <c r="I1708" s="161">
        <v>44440</v>
      </c>
      <c r="J1708" s="35" t="s">
        <v>589</v>
      </c>
      <c r="K1708" s="21">
        <v>3023387</v>
      </c>
      <c r="L1708" s="21"/>
      <c r="M1708" s="22">
        <f>(PROVEEDORES[[#This Row],[SUBTOTAL]]-PROVEEDORES[[#This Row],[descuento sobre subtotal]])*VLOOKUP(PROVEEDORES[[#This Row],[PROVEEDOR]],TERCEROS_INFO[#All],3,FALSE)</f>
        <v>0</v>
      </c>
      <c r="N1708" s="23"/>
      <c r="O1708" s="22">
        <f>+PROVEEDORES[[#This Row],[Descuento sobre subtotal %]]*(PROVEEDORES[[#This Row],[SUBTOTAL]]-PROVEEDORES[[#This Row],[descuento sobre subtotal]])</f>
        <v>0</v>
      </c>
      <c r="P1708" s="83">
        <f>+IF(PROVEEDORES[[#This Row],[SUBTOTAL]]&lt;PROVEEDORES[[#This Row],[base retencion]],0,PROVEEDORES[[#This Row],[retención aplicada]])</f>
        <v>3.5000000000000003E-2</v>
      </c>
      <c r="Q1708" s="22">
        <f>+PROVEEDORES[[#This Row],[Rete Fuente %]]*(PROVEEDORES[[#This Row],[SUBTOTAL]]-PROVEEDORES[[#This Row],[descuento sobre subtotal]])</f>
        <v>105818.54500000001</v>
      </c>
      <c r="R1708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8" s="68">
        <f ca="1">IF(PROVEEDORES[[#This Row],[FECHA DE PAGO]]=0,TODAY()-PROVEEDORES[[#This Row],[FECHA DE FACTURACIÓN]]-PROVEEDORES[[#This Row],[PLAZO Días]],0)</f>
        <v>0</v>
      </c>
      <c r="U1708" s="96" t="str">
        <f>+VLOOKUP(PROVEEDORES[[#This Row],[PROVEEDOR]],Terceros!$A:$D,4,FALSE)</f>
        <v>3,5% sin base</v>
      </c>
      <c r="V1708" s="97">
        <f>+YEAR(PROVEEDORES[[#This Row],[FECHA DE FACTURACIÓN]])</f>
        <v>2021</v>
      </c>
      <c r="W1708" s="97">
        <f>+MATCH(PROVEEDORES[[#This Row],[año facturado]],Retenciones!$1:$1,0)</f>
        <v>4</v>
      </c>
      <c r="X1708" s="98">
        <f>+VLOOKUP(PROVEEDORES[[#This Row],[ID RETENCION]],Retenciones!$A$1:$O$25,PROVEEDORES[[#This Row],[indicador de columna]],FALSE)</f>
        <v>0</v>
      </c>
      <c r="Y1708" s="99">
        <f>+VLOOKUP(PROVEEDORES[[#This Row],[ID RETENCION]],Retenciones!$A$1:$O$25,2,FALSE)</f>
        <v>3.5000000000000003E-2</v>
      </c>
      <c r="Z1708" s="125" t="b">
        <f>OR(COUNTIF(PROVEEDORES[[#This Row],[PROVEEDOR]],"*"&amp;'Palabra no opera'!$A$2&amp;"*"))</f>
        <v>1</v>
      </c>
    </row>
    <row r="1709" spans="1:26" ht="22.2" customHeight="1" x14ac:dyDescent="0.3">
      <c r="A1709" s="66" t="str">
        <f>+IF(PROVEEDORES[[#This Row],[FECHA DE PAGO]]=PROVEEDORES[[#This Row],[FECHA DE FACTURACIÓN]],"DE CONTADO","CRÉDITO")</f>
        <v>CRÉDITO</v>
      </c>
      <c r="B1709" s="38" t="str">
        <f>+IF((PROVEEDORES[[#This Row],[FECHA DE PAGO]]-PROVEEDORES[[#This Row],[FECHA DE FACTURACIÓN]])&gt;PROVEEDORES[[#This Row],[PLAZO Días]],"PAGO VENCIDO")</f>
        <v>PAGO VENCIDO</v>
      </c>
      <c r="C1709" s="20">
        <f>+VLOOKUP(PROVEEDORES[[#This Row],[PROVEEDOR]],TERCEROS_INFO[#All],2,FALSE)</f>
        <v>45</v>
      </c>
      <c r="D1709" s="25">
        <f>+SUMIFS(PROVEEDORES[Total],PROVEEDORES[PROVEEDOR],PROVEEDORES[[#This Row],[PROVEEDOR]],PROVEEDORES[FECHA DE PAGO],"")</f>
        <v>0</v>
      </c>
      <c r="E1709" s="25"/>
      <c r="F1709" s="58" t="str">
        <f>+VLOOKUP(PROVEEDORES[[#This Row],[PROVEEDOR]],
                       Terceros!$A:$F,
                       5,
                       FALSE)</f>
        <v>jessica.barrios@carpainternacional;girlesa.ruiz@servipilas.com;joriescobar64@gmail.com</v>
      </c>
      <c r="G1709" s="161">
        <v>44623</v>
      </c>
      <c r="H1709" s="26" t="s">
        <v>599</v>
      </c>
      <c r="I1709" s="161">
        <v>44557</v>
      </c>
      <c r="J1709" s="35" t="s">
        <v>600</v>
      </c>
      <c r="K1709" s="21">
        <v>2919000</v>
      </c>
      <c r="L1709" s="21"/>
      <c r="M1709" s="22">
        <v>0</v>
      </c>
      <c r="N1709" s="23"/>
      <c r="O1709" s="22">
        <v>0</v>
      </c>
      <c r="P1709" s="83">
        <f>+IF(PROVEEDORES[[#This Row],[SUBTOTAL]]&lt;PROVEEDORES[[#This Row],[base retencion]],0,PROVEEDORES[[#This Row],[retención aplicada]])</f>
        <v>0</v>
      </c>
      <c r="Q1709" s="22">
        <f>+PROVEEDORES[[#This Row],[Rete Fuente %]]*(PROVEEDORES[[#This Row],[SUBTOTAL]]-PROVEEDORES[[#This Row],[descuento sobre subtotal]])</f>
        <v>0</v>
      </c>
      <c r="R1709" s="21">
        <v>2919000</v>
      </c>
      <c r="S17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9" s="68">
        <f ca="1">IF(PROVEEDORES[[#This Row],[FECHA DE PAGO]]=0,TODAY()-PROVEEDORES[[#This Row],[FECHA DE FACTURACIÓN]]-PROVEEDORES[[#This Row],[PLAZO Días]],0)</f>
        <v>0</v>
      </c>
      <c r="U1709" s="96">
        <f>+VLOOKUP(PROVEEDORES[[#This Row],[PROVEEDOR]],Terceros!$A:$D,4,FALSE)</f>
        <v>0</v>
      </c>
      <c r="V1709" s="97">
        <f>+YEAR(PROVEEDORES[[#This Row],[FECHA DE FACTURACIÓN]])</f>
        <v>2021</v>
      </c>
      <c r="W1709" s="97">
        <f>+MATCH(PROVEEDORES[[#This Row],[año facturado]],Retenciones!$1:$1,0)</f>
        <v>4</v>
      </c>
      <c r="X1709" s="98">
        <f>+VLOOKUP(PROVEEDORES[[#This Row],[ID RETENCION]],Retenciones!$A$1:$O$25,PROVEEDORES[[#This Row],[indicador de columna]],FALSE)</f>
        <v>0</v>
      </c>
      <c r="Y1709" s="99">
        <f>+VLOOKUP(PROVEEDORES[[#This Row],[ID RETENCION]],Retenciones!$A$1:$O$25,2,FALSE)</f>
        <v>0</v>
      </c>
      <c r="Z1709" s="125" t="b">
        <f>OR(COUNTIF(PROVEEDORES[[#This Row],[PROVEEDOR]],"*"&amp;'Palabra no opera'!$A$2&amp;"*"))</f>
        <v>0</v>
      </c>
    </row>
    <row r="1710" spans="1:26" ht="22.2" customHeight="1" x14ac:dyDescent="0.3">
      <c r="A1710" s="66" t="str">
        <f>+IF(PROVEEDORES[[#This Row],[FECHA DE PAGO]]=PROVEEDORES[[#This Row],[FECHA DE FACTURACIÓN]],"DE CONTADO","CRÉDITO")</f>
        <v>CRÉDITO</v>
      </c>
      <c r="B1710" s="38" t="str">
        <f>+IF((PROVEEDORES[[#This Row],[FECHA DE PAGO]]-PROVEEDORES[[#This Row],[FECHA DE FACTURACIÓN]])&gt;PROVEEDORES[[#This Row],[PLAZO Días]],"PAGO VENCIDO")</f>
        <v>PAGO VENCIDO</v>
      </c>
      <c r="C1710" s="20">
        <f>+VLOOKUP(PROVEEDORES[[#This Row],[PROVEEDOR]],TERCEROS_INFO[#All],2,FALSE)</f>
        <v>30</v>
      </c>
      <c r="D1710" s="25">
        <f>+SUMIFS(PROVEEDORES[Total],PROVEEDORES[PROVEEDOR],PROVEEDORES[[#This Row],[PROVEEDOR]],PROVEEDORES[FECHA DE PAGO],"")</f>
        <v>2223034.2400000002</v>
      </c>
      <c r="E1710" s="25"/>
      <c r="F171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710" s="161">
        <v>44718</v>
      </c>
      <c r="H1710" s="26" t="s">
        <v>216</v>
      </c>
      <c r="I1710" s="161">
        <v>44636</v>
      </c>
      <c r="J1710" s="35">
        <v>544</v>
      </c>
      <c r="K1710" s="21">
        <v>2519329</v>
      </c>
      <c r="L1710" s="21"/>
      <c r="M1710" s="22">
        <f>(PROVEEDORES[[#This Row],[SUBTOTAL]]-PROVEEDORES[[#This Row],[descuento sobre subtotal]])*VLOOKUP(PROVEEDORES[[#This Row],[PROVEEDOR]],TERCEROS_INFO[#All],3,FALSE)</f>
        <v>478672.51</v>
      </c>
      <c r="N1710" s="23"/>
      <c r="O1710" s="22">
        <f>+PROVEEDORES[[#This Row],[Descuento sobre subtotal %]]*(PROVEEDORES[[#This Row],[SUBTOTAL]]-PROVEEDORES[[#This Row],[descuento sobre subtotal]])</f>
        <v>0</v>
      </c>
      <c r="P1710" s="83">
        <f>+IF(PROVEEDORES[[#This Row],[SUBTOTAL]]&lt;PROVEEDORES[[#This Row],[base retencion]],0,PROVEEDORES[[#This Row],[retención aplicada]])</f>
        <v>2.5000000000000001E-2</v>
      </c>
      <c r="Q1710" s="22">
        <f>+PROVEEDORES[[#This Row],[Rete Fuente %]]*(PROVEEDORES[[#This Row],[SUBTOTAL]]-PROVEEDORES[[#This Row],[descuento sobre subtotal]])</f>
        <v>62983.225000000006</v>
      </c>
      <c r="R1710" s="21">
        <f>+PROVEEDORES[[#This Row],[SUBTOTAL]]+PROVEEDORES[[#This Row],[IVA 19%]]-PROVEEDORES[[#This Row],[descuento sobre subtotal]]-PROVEEDORES[[#This Row],[Descuento sobre subtotal $2]]-PROVEEDORES[[#This Row],[Rete Fuente $]]</f>
        <v>2935018.2849999997</v>
      </c>
      <c r="S17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0" s="68">
        <f ca="1">IF(PROVEEDORES[[#This Row],[FECHA DE PAGO]]=0,TODAY()-PROVEEDORES[[#This Row],[FECHA DE FACTURACIÓN]]-PROVEEDORES[[#This Row],[PLAZO Días]],0)</f>
        <v>0</v>
      </c>
      <c r="U1710" s="96" t="str">
        <f>+VLOOKUP(PROVEEDORES[[#This Row],[PROVEEDOR]],Terceros!$A:$D,4,FALSE)</f>
        <v>2,5% con base</v>
      </c>
      <c r="V1710" s="97">
        <f>+YEAR(PROVEEDORES[[#This Row],[FECHA DE FACTURACIÓN]])</f>
        <v>2022</v>
      </c>
      <c r="W1710" s="97">
        <f>+MATCH(PROVEEDORES[[#This Row],[año facturado]],Retenciones!$1:$1,0)</f>
        <v>5</v>
      </c>
      <c r="X1710" s="98">
        <f>+VLOOKUP(PROVEEDORES[[#This Row],[ID RETENCION]],Retenciones!$A$1:$O$25,PROVEEDORES[[#This Row],[indicador de columna]],FALSE)</f>
        <v>1026000</v>
      </c>
      <c r="Y1710" s="99">
        <f>+VLOOKUP(PROVEEDORES[[#This Row],[ID RETENCION]],Retenciones!$A$1:$O$25,2,FALSE)</f>
        <v>2.5000000000000001E-2</v>
      </c>
      <c r="Z1710" s="125" t="b">
        <f>OR(COUNTIF(PROVEEDORES[[#This Row],[PROVEEDOR]],"*"&amp;'Palabra no opera'!$A$2&amp;"*"))</f>
        <v>0</v>
      </c>
    </row>
    <row r="1711" spans="1:26" ht="22.2" customHeight="1" x14ac:dyDescent="0.3">
      <c r="A1711" s="72" t="str">
        <f>+IF(PROVEEDORES[[#This Row],[FECHA DE PAGO]]=PROVEEDORES[[#This Row],[FECHA DE FACTURACIÓN]],"DE CONTADO","CRÉDITO")</f>
        <v>CRÉDITO</v>
      </c>
      <c r="B1711" s="38" t="str">
        <f>+IF((PROVEEDORES[[#This Row],[FECHA DE PAGO]]-PROVEEDORES[[#This Row],[FECHA DE FACTURACIÓN]])&gt;PROVEEDORES[[#This Row],[PLAZO Días]],"PAGO VENCIDO")</f>
        <v>PAGO VENCIDO</v>
      </c>
      <c r="C1711" s="20">
        <f>+VLOOKUP(PROVEEDORES[[#This Row],[PROVEEDOR]],TERCEROS_INFO[#All],2,FALSE)</f>
        <v>30</v>
      </c>
      <c r="D1711" s="25">
        <f>+SUMIFS(PROVEEDORES[Total],PROVEEDORES[PROVEEDOR],PROVEEDORES[[#This Row],[PROVEEDOR]],PROVEEDORES[FECHA DE PAGO],"")</f>
        <v>0</v>
      </c>
      <c r="E1711" s="25"/>
      <c r="F171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11" s="161">
        <v>44853</v>
      </c>
      <c r="H1711" s="26" t="s">
        <v>1637</v>
      </c>
      <c r="I1711" s="161">
        <v>44760</v>
      </c>
      <c r="J1711" s="35">
        <v>26699</v>
      </c>
      <c r="K1711" s="21">
        <v>2520000</v>
      </c>
      <c r="L1711" s="21"/>
      <c r="M1711" s="22">
        <f>(PROVEEDORES[[#This Row],[SUBTOTAL]]-PROVEEDORES[[#This Row],[descuento sobre subtotal]])*VLOOKUP(PROVEEDORES[[#This Row],[PROVEEDOR]],TERCEROS_INFO[#All],3,FALSE)</f>
        <v>478800</v>
      </c>
      <c r="N1711" s="23"/>
      <c r="O1711" s="22">
        <f>+PROVEEDORES[[#This Row],[Descuento sobre subtotal %]]*(PROVEEDORES[[#This Row],[SUBTOTAL]]-PROVEEDORES[[#This Row],[descuento sobre subtotal]])</f>
        <v>0</v>
      </c>
      <c r="P1711" s="83">
        <f>+IF(PROVEEDORES[[#This Row],[SUBTOTAL]]&lt;PROVEEDORES[[#This Row],[base retencion]],0,PROVEEDORES[[#This Row],[retención aplicada]])</f>
        <v>2.5000000000000001E-2</v>
      </c>
      <c r="Q1711" s="22">
        <f>+PROVEEDORES[[#This Row],[Rete Fuente %]]*(PROVEEDORES[[#This Row],[SUBTOTAL]]-PROVEEDORES[[#This Row],[descuento sobre subtotal]])</f>
        <v>63000</v>
      </c>
      <c r="R1711" s="21">
        <f>+PROVEEDORES[[#This Row],[SUBTOTAL]]+PROVEEDORES[[#This Row],[IVA 19%]]-PROVEEDORES[[#This Row],[descuento sobre subtotal]]-PROVEEDORES[[#This Row],[Descuento sobre subtotal $2]]-PROVEEDORES[[#This Row],[Rete Fuente $]]</f>
        <v>2935800</v>
      </c>
      <c r="S171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1" s="68">
        <f ca="1">IF(PROVEEDORES[[#This Row],[FECHA DE PAGO]]=0,TODAY()-PROVEEDORES[[#This Row],[FECHA DE FACTURACIÓN]]-PROVEEDORES[[#This Row],[PLAZO Días]],0)</f>
        <v>0</v>
      </c>
      <c r="U1711" s="113" t="str">
        <f>+VLOOKUP(PROVEEDORES[[#This Row],[PROVEEDOR]],Terceros!$A:$D,4,FALSE)</f>
        <v>2,5% con base</v>
      </c>
      <c r="V1711" s="114">
        <f>+YEAR(PROVEEDORES[[#This Row],[FECHA DE FACTURACIÓN]])</f>
        <v>2022</v>
      </c>
      <c r="W1711" s="114">
        <f>+MATCH(PROVEEDORES[[#This Row],[año facturado]],Retenciones!$1:$1,0)</f>
        <v>5</v>
      </c>
      <c r="X1711" s="115">
        <f>+VLOOKUP(PROVEEDORES[[#This Row],[ID RETENCION]],Retenciones!$A$1:$O$25,PROVEEDORES[[#This Row],[indicador de columna]],FALSE)</f>
        <v>1026000</v>
      </c>
      <c r="Y1711" s="116">
        <f>+VLOOKUP(PROVEEDORES[[#This Row],[ID RETENCION]],Retenciones!$A$1:$O$25,2,FALSE)</f>
        <v>2.5000000000000001E-2</v>
      </c>
      <c r="Z1711" s="125" t="b">
        <f>OR(COUNTIF(PROVEEDORES[[#This Row],[PROVEEDOR]],"*"&amp;'Palabra no opera'!$A$2&amp;"*"))</f>
        <v>0</v>
      </c>
    </row>
    <row r="1712" spans="1:26" ht="22.2" customHeight="1" x14ac:dyDescent="0.3">
      <c r="A1712" s="66" t="str">
        <f>+IF(PROVEEDORES[[#This Row],[FECHA DE PAGO]]=PROVEEDORES[[#This Row],[FECHA DE FACTURACIÓN]],"DE CONTADO","CRÉDITO")</f>
        <v>CRÉDITO</v>
      </c>
      <c r="B1712" s="38" t="str">
        <f>+IF((PROVEEDORES[[#This Row],[FECHA DE PAGO]]-PROVEEDORES[[#This Row],[FECHA DE FACTURACIÓN]])&gt;PROVEEDORES[[#This Row],[PLAZO Días]],"PAGO VENCIDO")</f>
        <v>PAGO VENCIDO</v>
      </c>
      <c r="C1712" s="20">
        <f>+VLOOKUP(PROVEEDORES[[#This Row],[PROVEEDOR]],TERCEROS_INFO[#All],2,FALSE)</f>
        <v>45</v>
      </c>
      <c r="D1712" s="25">
        <f>+SUMIFS(PROVEEDORES[Total],PROVEEDORES[PROVEEDOR],PROVEEDORES[[#This Row],[PROVEEDOR]],PROVEEDORES[FECHA DE PAGO],"")</f>
        <v>31891814.359999999</v>
      </c>
      <c r="E1712" s="25"/>
      <c r="F171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2" s="161">
        <v>44537</v>
      </c>
      <c r="H1712" s="26" t="s">
        <v>19</v>
      </c>
      <c r="I1712" s="161">
        <v>44481</v>
      </c>
      <c r="J1712" s="35" t="s">
        <v>491</v>
      </c>
      <c r="K1712" s="21">
        <v>2475375</v>
      </c>
      <c r="L1712" s="21"/>
      <c r="M1712" s="22">
        <f>(PROVEEDORES[[#This Row],[SUBTOTAL]]-PROVEEDORES[[#This Row],[descuento sobre subtotal]])*VLOOKUP(PROVEEDORES[[#This Row],[PROVEEDOR]],TERCEROS_INFO[#All],3,FALSE)</f>
        <v>470321.25</v>
      </c>
      <c r="N1712" s="23"/>
      <c r="O1712" s="22">
        <f>+PROVEEDORES[[#This Row],[Descuento sobre subtotal %]]*(PROVEEDORES[[#This Row],[SUBTOTAL]]-PROVEEDORES[[#This Row],[descuento sobre subtotal]])</f>
        <v>0</v>
      </c>
      <c r="P1712" s="83">
        <f>+IF(PROVEEDORES[[#This Row],[SUBTOTAL]]&lt;PROVEEDORES[[#This Row],[base retencion]],0,PROVEEDORES[[#This Row],[retención aplicada]])</f>
        <v>0</v>
      </c>
      <c r="Q1712" s="22">
        <f>+PROVEEDORES[[#This Row],[Rete Fuente %]]*(PROVEEDORES[[#This Row],[SUBTOTAL]]-PROVEEDORES[[#This Row],[descuento sobre subtotal]])</f>
        <v>0</v>
      </c>
      <c r="R1712" s="21">
        <f>+PROVEEDORES[[#This Row],[SUBTOTAL]]+PROVEEDORES[[#This Row],[IVA 19%]]-PROVEEDORES[[#This Row],[descuento sobre subtotal]]-PROVEEDORES[[#This Row],[Descuento sobre subtotal $2]]-PROVEEDORES[[#This Row],[Rete Fuente $]]</f>
        <v>2945696.25</v>
      </c>
      <c r="S17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2" s="68">
        <f ca="1">IF(PROVEEDORES[[#This Row],[FECHA DE PAGO]]=0,TODAY()-PROVEEDORES[[#This Row],[FECHA DE FACTURACIÓN]]-PROVEEDORES[[#This Row],[PLAZO Días]],0)</f>
        <v>0</v>
      </c>
      <c r="U1712" s="96">
        <f>+VLOOKUP(PROVEEDORES[[#This Row],[PROVEEDOR]],Terceros!$A:$D,4,FALSE)</f>
        <v>0</v>
      </c>
      <c r="V1712" s="97">
        <f>+YEAR(PROVEEDORES[[#This Row],[FECHA DE FACTURACIÓN]])</f>
        <v>2021</v>
      </c>
      <c r="W1712" s="97">
        <f>+MATCH(PROVEEDORES[[#This Row],[año facturado]],Retenciones!$1:$1,0)</f>
        <v>4</v>
      </c>
      <c r="X1712" s="98">
        <f>+VLOOKUP(PROVEEDORES[[#This Row],[ID RETENCION]],Retenciones!$A$1:$O$25,PROVEEDORES[[#This Row],[indicador de columna]],FALSE)</f>
        <v>0</v>
      </c>
      <c r="Y1712" s="99">
        <f>+VLOOKUP(PROVEEDORES[[#This Row],[ID RETENCION]],Retenciones!$A$1:$O$25,2,FALSE)</f>
        <v>0</v>
      </c>
      <c r="Z1712" s="125" t="b">
        <f>OR(COUNTIF(PROVEEDORES[[#This Row],[PROVEEDOR]],"*"&amp;'Palabra no opera'!$A$2&amp;"*"))</f>
        <v>0</v>
      </c>
    </row>
    <row r="1713" spans="1:26" ht="22.2" customHeight="1" x14ac:dyDescent="0.3">
      <c r="A1713" s="120" t="str">
        <f>+IF(PROVEEDORES[[#This Row],[FECHA DE PAGO]]=PROVEEDORES[[#This Row],[FECHA DE FACTURACIÓN]],"DE CONTADO","CRÉDITO")</f>
        <v>CRÉDITO</v>
      </c>
      <c r="B1713" s="38" t="b">
        <f>+IF((PROVEEDORES[[#This Row],[FECHA DE PAGO]]-PROVEEDORES[[#This Row],[FECHA DE FACTURACIÓN]])&gt;PROVEEDORES[[#This Row],[PLAZO Días]],"PAGO VENCIDO")</f>
        <v>0</v>
      </c>
      <c r="C1713" s="20">
        <f>+VLOOKUP(PROVEEDORES[[#This Row],[PROVEEDOR]],TERCEROS_INFO[#All],2,FALSE)</f>
        <v>90</v>
      </c>
      <c r="D1713" s="25">
        <f>+SUMIFS(PROVEEDORES[Total],PROVEEDORES[PROVEEDOR],PROVEEDORES[[#This Row],[PROVEEDOR]],PROVEEDORES[FECHA DE PAGO],"")</f>
        <v>75241004.385000005</v>
      </c>
      <c r="E1713" s="25"/>
      <c r="F171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713" s="161">
        <v>44712</v>
      </c>
      <c r="H1713" s="26" t="s">
        <v>77</v>
      </c>
      <c r="I1713" s="161">
        <v>44669</v>
      </c>
      <c r="J1713" s="35" t="s">
        <v>890</v>
      </c>
      <c r="K1713" s="21">
        <v>2642854</v>
      </c>
      <c r="L1713" s="21"/>
      <c r="M1713" s="22">
        <f>(PROVEEDORES[[#This Row],[SUBTOTAL]]-PROVEEDORES[[#This Row],[descuento sobre subtotal]])*VLOOKUP(PROVEEDORES[[#This Row],[PROVEEDOR]],TERCEROS_INFO[#All],3,FALSE)</f>
        <v>502142.26</v>
      </c>
      <c r="N1713" s="23">
        <v>0.05</v>
      </c>
      <c r="O1713" s="22">
        <f>+PROVEEDORES[[#This Row],[Descuento sobre subtotal %]]*(PROVEEDORES[[#This Row],[SUBTOTAL]]-PROVEEDORES[[#This Row],[descuento sobre subtotal]])</f>
        <v>132142.70000000001</v>
      </c>
      <c r="P1713" s="83">
        <f>+IF(PROVEEDORES[[#This Row],[SUBTOTAL]]&lt;PROVEEDORES[[#This Row],[base retencion]],0,PROVEEDORES[[#This Row],[retención aplicada]])</f>
        <v>2.5000000000000001E-2</v>
      </c>
      <c r="Q1713" s="22">
        <f>+PROVEEDORES[[#This Row],[Rete Fuente %]]*(PROVEEDORES[[#This Row],[SUBTOTAL]]-PROVEEDORES[[#This Row],[descuento sobre subtotal]])</f>
        <v>66071.350000000006</v>
      </c>
      <c r="R1713" s="21">
        <f>+PROVEEDORES[[#This Row],[SUBTOTAL]]+PROVEEDORES[[#This Row],[IVA 19%]]-PROVEEDORES[[#This Row],[descuento sobre subtotal]]-PROVEEDORES[[#This Row],[Descuento sobre subtotal $2]]-PROVEEDORES[[#This Row],[Rete Fuente $]]</f>
        <v>2946782.2099999995</v>
      </c>
      <c r="S17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3" s="68">
        <f ca="1">IF(PROVEEDORES[[#This Row],[FECHA DE PAGO]]=0,TODAY()-PROVEEDORES[[#This Row],[FECHA DE FACTURACIÓN]]-PROVEEDORES[[#This Row],[PLAZO Días]],0)</f>
        <v>0</v>
      </c>
      <c r="U1713" s="113" t="str">
        <f>+VLOOKUP(PROVEEDORES[[#This Row],[PROVEEDOR]],Terceros!$A:$D,4,FALSE)</f>
        <v>2,5% con base</v>
      </c>
      <c r="V1713" s="114">
        <f>+YEAR(PROVEEDORES[[#This Row],[FECHA DE FACTURACIÓN]])</f>
        <v>2022</v>
      </c>
      <c r="W1713" s="114">
        <f>+MATCH(PROVEEDORES[[#This Row],[año facturado]],Retenciones!$1:$1,0)</f>
        <v>5</v>
      </c>
      <c r="X1713" s="115">
        <f>+VLOOKUP(PROVEEDORES[[#This Row],[ID RETENCION]],Retenciones!$A$1:$O$25,PROVEEDORES[[#This Row],[indicador de columna]],FALSE)</f>
        <v>1026000</v>
      </c>
      <c r="Y1713" s="116">
        <f>+VLOOKUP(PROVEEDORES[[#This Row],[ID RETENCION]],Retenciones!$A$1:$O$25,2,FALSE)</f>
        <v>2.5000000000000001E-2</v>
      </c>
      <c r="Z1713" s="125" t="b">
        <f>OR(COUNTIF(PROVEEDORES[[#This Row],[PROVEEDOR]],"*"&amp;'Palabra no opera'!$A$2&amp;"*"))</f>
        <v>0</v>
      </c>
    </row>
    <row r="1714" spans="1:26" ht="22.2" customHeight="1" x14ac:dyDescent="0.3">
      <c r="A1714" s="195" t="str">
        <f>+IF(PROVEEDORES[[#This Row],[FECHA DE PAGO]]=PROVEEDORES[[#This Row],[FECHA DE FACTURACIÓN]],"DE CONTADO","CRÉDITO")</f>
        <v>DE CONTADO</v>
      </c>
      <c r="B1714" s="38" t="b">
        <f>+IF((PROVEEDORES[[#This Row],[FECHA DE PAGO]]-PROVEEDORES[[#This Row],[FECHA DE FACTURACIÓN]])&gt;PROVEEDORES[[#This Row],[PLAZO Días]],"PAGO VENCIDO")</f>
        <v>0</v>
      </c>
      <c r="C1714" s="20">
        <f>+VLOOKUP(PROVEEDORES[[#This Row],[PROVEEDOR]],TERCEROS_INFO[#All],2,FALSE)</f>
        <v>30</v>
      </c>
      <c r="D1714" s="25">
        <f>+SUMIFS(PROVEEDORES[Total],PROVEEDORES[PROVEEDOR],PROVEEDORES[[#This Row],[PROVEEDOR]],PROVEEDORES[FECHA DE PAGO],"")</f>
        <v>0</v>
      </c>
      <c r="E1714" s="25"/>
      <c r="F1714" s="58" t="str">
        <f>+VLOOKUP(PROVEEDORES[[#This Row],[PROVEEDOR]],
                       Terceros!$A:$F,
                       5,
                       FALSE)</f>
        <v/>
      </c>
      <c r="G1714" s="161">
        <v>44773</v>
      </c>
      <c r="H1714" s="26" t="s">
        <v>644</v>
      </c>
      <c r="I1714" s="161">
        <v>44773</v>
      </c>
      <c r="J1714" s="35" t="s">
        <v>595</v>
      </c>
      <c r="K1714" s="21">
        <v>2950000</v>
      </c>
      <c r="L1714" s="21"/>
      <c r="M1714" s="22">
        <f>(PROVEEDORES[[#This Row],[SUBTOTAL]]-PROVEEDORES[[#This Row],[descuento sobre subtotal]])*VLOOKUP(PROVEEDORES[[#This Row],[PROVEEDOR]],TERCEROS_INFO[#All],3,FALSE)</f>
        <v>0</v>
      </c>
      <c r="N1714" s="23"/>
      <c r="O1714" s="22">
        <f>+PROVEEDORES[[#This Row],[Descuento sobre subtotal %]]*(PROVEEDORES[[#This Row],[SUBTOTAL]]-PROVEEDORES[[#This Row],[descuento sobre subtotal]])</f>
        <v>0</v>
      </c>
      <c r="P1714" s="83">
        <f>+IF(PROVEEDORES[[#This Row],[SUBTOTAL]]&lt;PROVEEDORES[[#This Row],[base retencion]],0,PROVEEDORES[[#This Row],[retención aplicada]])</f>
        <v>0</v>
      </c>
      <c r="Q1714" s="22">
        <f>+PROVEEDORES[[#This Row],[Rete Fuente %]]*(PROVEEDORES[[#This Row],[SUBTOTAL]]-PROVEEDORES[[#This Row],[descuento sobre subtotal]])</f>
        <v>0</v>
      </c>
      <c r="R1714" s="21">
        <f>+PROVEEDORES[[#This Row],[SUBTOTAL]]+PROVEEDORES[[#This Row],[IVA 19%]]-PROVEEDORES[[#This Row],[descuento sobre subtotal]]-PROVEEDORES[[#This Row],[Descuento sobre subtotal $2]]-PROVEEDORES[[#This Row],[Rete Fuente $]]</f>
        <v>2950000</v>
      </c>
      <c r="S1714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4" s="68">
        <f ca="1">IF(PROVEEDORES[[#This Row],[FECHA DE PAGO]]=0,TODAY()-PROVEEDORES[[#This Row],[FECHA DE FACTURACIÓN]]-PROVEEDORES[[#This Row],[PLAZO Días]],0)</f>
        <v>0</v>
      </c>
      <c r="U1714" s="113">
        <f>+VLOOKUP(PROVEEDORES[[#This Row],[PROVEEDOR]],Terceros!$A:$D,4,FALSE)</f>
        <v>0</v>
      </c>
      <c r="V1714" s="114">
        <f>+YEAR(PROVEEDORES[[#This Row],[FECHA DE FACTURACIÓN]])</f>
        <v>2022</v>
      </c>
      <c r="W1714" s="114">
        <f>+MATCH(PROVEEDORES[[#This Row],[año facturado]],Retenciones!$1:$1,0)</f>
        <v>5</v>
      </c>
      <c r="X1714" s="115">
        <f>+VLOOKUP(PROVEEDORES[[#This Row],[ID RETENCION]],Retenciones!$A$1:$O$25,PROVEEDORES[[#This Row],[indicador de columna]],FALSE)</f>
        <v>0</v>
      </c>
      <c r="Y1714" s="116">
        <f>+VLOOKUP(PROVEEDORES[[#This Row],[ID RETENCION]],Retenciones!$A$1:$O$25,2,FALSE)</f>
        <v>0</v>
      </c>
      <c r="Z1714" s="125" t="b">
        <f>OR(COUNTIF(PROVEEDORES[[#This Row],[PROVEEDOR]],"*"&amp;'Palabra no opera'!$A$2&amp;"*"))</f>
        <v>0</v>
      </c>
    </row>
    <row r="1715" spans="1:26" ht="22.2" customHeight="1" x14ac:dyDescent="0.3">
      <c r="A1715" s="66" t="str">
        <f>+IF(PROVEEDORES[[#This Row],[FECHA DE PAGO]]=PROVEEDORES[[#This Row],[FECHA DE FACTURACIÓN]],"DE CONTADO","CRÉDITO")</f>
        <v>CRÉDITO</v>
      </c>
      <c r="B1715" s="38" t="str">
        <f>+IF((PROVEEDORES[[#This Row],[FECHA DE PAGO]]-PROVEEDORES[[#This Row],[FECHA DE FACTURACIÓN]])&gt;PROVEEDORES[[#This Row],[PLAZO Días]],"PAGO VENCIDO")</f>
        <v>PAGO VENCIDO</v>
      </c>
      <c r="C1715" s="20">
        <f>+VLOOKUP(PROVEEDORES[[#This Row],[PROVEEDOR]],TERCEROS_INFO[#All],2,FALSE)</f>
        <v>30</v>
      </c>
      <c r="D1715" s="25">
        <f>+SUMIFS(PROVEEDORES[Total],PROVEEDORES[PROVEEDOR],PROVEEDORES[[#This Row],[PROVEEDOR]],PROVEEDORES[FECHA DE PAGO],"")</f>
        <v>0</v>
      </c>
      <c r="E1715" s="25"/>
      <c r="F1715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715" s="161">
        <v>44321</v>
      </c>
      <c r="H1715" s="26" t="s">
        <v>46</v>
      </c>
      <c r="I1715" s="161">
        <v>44277</v>
      </c>
      <c r="J1715" s="35">
        <v>160216236</v>
      </c>
      <c r="K1715" s="21">
        <v>2479248</v>
      </c>
      <c r="L1715" s="21"/>
      <c r="M1715" s="22">
        <f>(PROVEEDORES[[#This Row],[SUBTOTAL]]-PROVEEDORES[[#This Row],[descuento sobre subtotal]])*VLOOKUP(PROVEEDORES[[#This Row],[PROVEEDOR]],TERCEROS_INFO[#All],3,FALSE)</f>
        <v>471057.12</v>
      </c>
      <c r="N1715" s="23"/>
      <c r="O1715" s="22">
        <f>+PROVEEDORES[[#This Row],[Descuento sobre subtotal %]]*(PROVEEDORES[[#This Row],[SUBTOTAL]]-PROVEEDORES[[#This Row],[descuento sobre subtotal]])</f>
        <v>0</v>
      </c>
      <c r="P1715" s="83">
        <f>+IF(PROVEEDORES[[#This Row],[SUBTOTAL]]&lt;PROVEEDORES[[#This Row],[base retencion]],0,PROVEEDORES[[#This Row],[retención aplicada]])</f>
        <v>0</v>
      </c>
      <c r="Q1715" s="22">
        <f>+PROVEEDORES[[#This Row],[Rete Fuente %]]*(PROVEEDORES[[#This Row],[SUBTOTAL]]-PROVEEDORES[[#This Row],[descuento sobre subtotal]])</f>
        <v>0</v>
      </c>
      <c r="R1715" s="21">
        <f>+PROVEEDORES[[#This Row],[SUBTOTAL]]+PROVEEDORES[[#This Row],[IVA 19%]]-PROVEEDORES[[#This Row],[descuento sobre subtotal]]-PROVEEDORES[[#This Row],[Descuento sobre subtotal $2]]-PROVEEDORES[[#This Row],[Rete Fuente $]]</f>
        <v>2950305.12</v>
      </c>
      <c r="S17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5" s="68">
        <f ca="1">IF(PROVEEDORES[[#This Row],[FECHA DE PAGO]]=0,TODAY()-PROVEEDORES[[#This Row],[FECHA DE FACTURACIÓN]]-PROVEEDORES[[#This Row],[PLAZO Días]],0)</f>
        <v>0</v>
      </c>
      <c r="U1715" s="96">
        <f>+VLOOKUP(PROVEEDORES[[#This Row],[PROVEEDOR]],Terceros!$A:$D,4,FALSE)</f>
        <v>0</v>
      </c>
      <c r="V1715" s="97">
        <f>+YEAR(PROVEEDORES[[#This Row],[FECHA DE FACTURACIÓN]])</f>
        <v>2021</v>
      </c>
      <c r="W1715" s="97">
        <f>+MATCH(PROVEEDORES[[#This Row],[año facturado]],Retenciones!$1:$1,0)</f>
        <v>4</v>
      </c>
      <c r="X1715" s="98">
        <f>+VLOOKUP(PROVEEDORES[[#This Row],[ID RETENCION]],Retenciones!$A$1:$O$25,PROVEEDORES[[#This Row],[indicador de columna]],FALSE)</f>
        <v>0</v>
      </c>
      <c r="Y1715" s="99">
        <f>+VLOOKUP(PROVEEDORES[[#This Row],[ID RETENCION]],Retenciones!$A$1:$O$25,2,FALSE)</f>
        <v>0</v>
      </c>
      <c r="Z1715" s="125" t="b">
        <f>OR(COUNTIF(PROVEEDORES[[#This Row],[PROVEEDOR]],"*"&amp;'Palabra no opera'!$A$2&amp;"*"))</f>
        <v>0</v>
      </c>
    </row>
    <row r="1716" spans="1:26" ht="22.2" customHeight="1" x14ac:dyDescent="0.3">
      <c r="A1716" s="195" t="str">
        <f>+IF(PROVEEDORES[[#This Row],[FECHA DE PAGO]]=PROVEEDORES[[#This Row],[FECHA DE FACTURACIÓN]],"DE CONTADO","CRÉDITO")</f>
        <v>CRÉDITO</v>
      </c>
      <c r="B1716" s="38" t="str">
        <f>+IF((PROVEEDORES[[#This Row],[FECHA DE PAGO]]-PROVEEDORES[[#This Row],[FECHA DE FACTURACIÓN]])&gt;PROVEEDORES[[#This Row],[PLAZO Días]],"PAGO VENCIDO")</f>
        <v>PAGO VENCIDO</v>
      </c>
      <c r="C1716" s="20">
        <f>+VLOOKUP(PROVEEDORES[[#This Row],[PROVEEDOR]],TERCEROS_INFO[#All],2,FALSE)</f>
        <v>45</v>
      </c>
      <c r="D1716" s="25">
        <f>+SUMIFS(PROVEEDORES[Total],PROVEEDORES[PROVEEDOR],PROVEEDORES[[#This Row],[PROVEEDOR]],PROVEEDORES[FECHA DE PAGO],"")</f>
        <v>2604910</v>
      </c>
      <c r="E1716" s="25"/>
      <c r="F1716" s="25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716" s="161">
        <v>44845</v>
      </c>
      <c r="H1716" s="26" t="s">
        <v>10</v>
      </c>
      <c r="I1716" s="161">
        <v>44783</v>
      </c>
      <c r="J1716" s="35" t="s">
        <v>1741</v>
      </c>
      <c r="K1716" s="21">
        <v>2490000</v>
      </c>
      <c r="L1716" s="21"/>
      <c r="M1716" s="22">
        <f>(PROVEEDORES[[#This Row],[SUBTOTAL]]-PROVEEDORES[[#This Row],[descuento sobre subtotal]])*VLOOKUP(PROVEEDORES[[#This Row],[PROVEEDOR]],TERCEROS_INFO[#All],3,FALSE)</f>
        <v>473100</v>
      </c>
      <c r="N1716" s="22"/>
      <c r="O1716" s="22">
        <f>+PROVEEDORES[[#This Row],[Descuento sobre subtotal %]]*(PROVEEDORES[[#This Row],[SUBTOTAL]]-PROVEEDORES[[#This Row],[descuento sobre subtotal]])</f>
        <v>0</v>
      </c>
      <c r="P1716" s="83">
        <f>+IF(PROVEEDORES[[#This Row],[SUBTOTAL]]&lt;PROVEEDORES[[#This Row],[base retencion]],0,PROVEEDORES[[#This Row],[retención aplicada]])</f>
        <v>0</v>
      </c>
      <c r="Q1716" s="22">
        <f>+PROVEEDORES[[#This Row],[Rete Fuente %]]*(PROVEEDORES[[#This Row],[SUBTOTAL]]-PROVEEDORES[[#This Row],[descuento sobre subtotal]])</f>
        <v>0</v>
      </c>
      <c r="R1716" s="21">
        <f>+PROVEEDORES[[#This Row],[SUBTOTAL]]+PROVEEDORES[[#This Row],[IVA 19%]]-PROVEEDORES[[#This Row],[descuento sobre subtotal]]-PROVEEDORES[[#This Row],[Descuento sobre subtotal $2]]-PROVEEDORES[[#This Row],[Rete Fuente $]]</f>
        <v>2963100</v>
      </c>
      <c r="S1716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6" s="68">
        <f ca="1">IF(PROVEEDORES[[#This Row],[FECHA DE PAGO]]=0,TODAY()-PROVEEDORES[[#This Row],[FECHA DE FACTURACIÓN]]-PROVEEDORES[[#This Row],[PLAZO Días]],0)</f>
        <v>0</v>
      </c>
      <c r="U1716" s="196">
        <f>+VLOOKUP(PROVEEDORES[[#This Row],[PROVEEDOR]],Terceros!$A:$D,4,FALSE)</f>
        <v>0</v>
      </c>
      <c r="V1716" s="196">
        <f>+YEAR(PROVEEDORES[[#This Row],[FECHA DE FACTURACIÓN]])</f>
        <v>2022</v>
      </c>
      <c r="W1716" s="196">
        <f>+MATCH(PROVEEDORES[[#This Row],[año facturado]],Retenciones!$1:$1,0)</f>
        <v>5</v>
      </c>
      <c r="X1716" s="196">
        <f>+VLOOKUP(PROVEEDORES[[#This Row],[ID RETENCION]],Retenciones!$A$1:$O$25,PROVEEDORES[[#This Row],[indicador de columna]],FALSE)</f>
        <v>0</v>
      </c>
      <c r="Y1716" s="116">
        <f>+VLOOKUP(PROVEEDORES[[#This Row],[ID RETENCION]],Retenciones!$A$1:$O$25,2,FALSE)</f>
        <v>0</v>
      </c>
      <c r="Z1716" s="125" t="b">
        <f>OR(COUNTIF(PROVEEDORES[[#This Row],[PROVEEDOR]],"*"&amp;'Palabra no opera'!$A$2&amp;"*"))</f>
        <v>0</v>
      </c>
    </row>
    <row r="1717" spans="1:26" ht="22.2" customHeight="1" x14ac:dyDescent="0.3">
      <c r="A1717" s="66" t="str">
        <f>+IF(PROVEEDORES[[#This Row],[FECHA DE PAGO]]=PROVEEDORES[[#This Row],[FECHA DE FACTURACIÓN]],"DE CONTADO","CRÉDITO")</f>
        <v>CRÉDITO</v>
      </c>
      <c r="B1717" s="38" t="str">
        <f>+IF((PROVEEDORES[[#This Row],[FECHA DE PAGO]]-PROVEEDORES[[#This Row],[FECHA DE FACTURACIÓN]])&gt;PROVEEDORES[[#This Row],[PLAZO Días]],"PAGO VENCIDO")</f>
        <v>PAGO VENCIDO</v>
      </c>
      <c r="C1717" s="20">
        <f>+VLOOKUP(PROVEEDORES[[#This Row],[PROVEEDOR]],TERCEROS_INFO[#All],2,FALSE)</f>
        <v>30</v>
      </c>
      <c r="D1717" s="25">
        <f>+SUMIFS(PROVEEDORES[Total],PROVEEDORES[PROVEEDOR],PROVEEDORES[[#This Row],[PROVEEDOR]],PROVEEDORES[FECHA DE PAGO],"")</f>
        <v>0</v>
      </c>
      <c r="E1717" s="25"/>
      <c r="F171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717" s="161">
        <v>44328</v>
      </c>
      <c r="H1717" s="26" t="s">
        <v>746</v>
      </c>
      <c r="I1717" s="161">
        <v>44225</v>
      </c>
      <c r="J1717" s="35">
        <v>769</v>
      </c>
      <c r="K1717" s="21">
        <v>2547058.81</v>
      </c>
      <c r="L1717" s="21"/>
      <c r="M1717" s="22">
        <f>(PROVEEDORES[[#This Row],[SUBTOTAL]]-PROVEEDORES[[#This Row],[descuento sobre subtotal]])*VLOOKUP(PROVEEDORES[[#This Row],[PROVEEDOR]],TERCEROS_INFO[#All],3,FALSE)</f>
        <v>483941.17389999999</v>
      </c>
      <c r="N1717" s="23"/>
      <c r="O1717" s="22">
        <f>+PROVEEDORES[[#This Row],[Descuento sobre subtotal %]]*(PROVEEDORES[[#This Row],[SUBTOTAL]]-PROVEEDORES[[#This Row],[descuento sobre subtotal]])</f>
        <v>0</v>
      </c>
      <c r="P1717" s="83">
        <f>+IF(PROVEEDORES[[#This Row],[SUBTOTAL]]&lt;PROVEEDORES[[#This Row],[base retencion]],0,PROVEEDORES[[#This Row],[retención aplicada]])</f>
        <v>2.5000000000000001E-2</v>
      </c>
      <c r="Q1717" s="22">
        <f>+PROVEEDORES[[#This Row],[Rete Fuente %]]*(PROVEEDORES[[#This Row],[SUBTOTAL]]-PROVEEDORES[[#This Row],[descuento sobre subtotal]])</f>
        <v>63676.470250000006</v>
      </c>
      <c r="R1717" s="21">
        <f>+PROVEEDORES[[#This Row],[SUBTOTAL]]+PROVEEDORES[[#This Row],[IVA 19%]]-PROVEEDORES[[#This Row],[descuento sobre subtotal]]-PROVEEDORES[[#This Row],[Descuento sobre subtotal $2]]-PROVEEDORES[[#This Row],[Rete Fuente $]]</f>
        <v>2967323.5136500001</v>
      </c>
      <c r="S17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7" s="68">
        <f ca="1">IF(PROVEEDORES[[#This Row],[FECHA DE PAGO]]=0,TODAY()-PROVEEDORES[[#This Row],[FECHA DE FACTURACIÓN]]-PROVEEDORES[[#This Row],[PLAZO Días]],0)</f>
        <v>0</v>
      </c>
      <c r="U1717" s="96" t="str">
        <f>+VLOOKUP(PROVEEDORES[[#This Row],[PROVEEDOR]],Terceros!$A:$D,4,FALSE)</f>
        <v>2,5% con base</v>
      </c>
      <c r="V1717" s="97">
        <f>+YEAR(PROVEEDORES[[#This Row],[FECHA DE FACTURACIÓN]])</f>
        <v>2021</v>
      </c>
      <c r="W1717" s="97">
        <f>+MATCH(PROVEEDORES[[#This Row],[año facturado]],Retenciones!$1:$1,0)</f>
        <v>4</v>
      </c>
      <c r="X1717" s="98">
        <f>+VLOOKUP(PROVEEDORES[[#This Row],[ID RETENCION]],Retenciones!$A$1:$O$25,PROVEEDORES[[#This Row],[indicador de columna]],FALSE)</f>
        <v>980000</v>
      </c>
      <c r="Y1717" s="99">
        <f>+VLOOKUP(PROVEEDORES[[#This Row],[ID RETENCION]],Retenciones!$A$1:$O$25,2,FALSE)</f>
        <v>2.5000000000000001E-2</v>
      </c>
      <c r="Z1717" s="125" t="b">
        <f>OR(COUNTIF(PROVEEDORES[[#This Row],[PROVEEDOR]],"*"&amp;'Palabra no opera'!$A$2&amp;"*"))</f>
        <v>0</v>
      </c>
    </row>
    <row r="1718" spans="1:26" ht="22.2" customHeight="1" x14ac:dyDescent="0.3">
      <c r="A1718" s="66" t="str">
        <f>+IF(PROVEEDORES[[#This Row],[FECHA DE PAGO]]=PROVEEDORES[[#This Row],[FECHA DE FACTURACIÓN]],"DE CONTADO","CRÉDITO")</f>
        <v>CRÉDITO</v>
      </c>
      <c r="B1718" s="38" t="b">
        <f>+IF((PROVEEDORES[[#This Row],[FECHA DE PAGO]]-PROVEEDORES[[#This Row],[FECHA DE FACTURACIÓN]])&gt;PROVEEDORES[[#This Row],[PLAZO Días]],"PAGO VENCIDO")</f>
        <v>0</v>
      </c>
      <c r="C1718" s="20">
        <f>+VLOOKUP(PROVEEDORES[[#This Row],[PROVEEDOR]],TERCEROS_INFO[#All],2,FALSE)</f>
        <v>30</v>
      </c>
      <c r="D1718" s="25">
        <f>+SUMIFS(PROVEEDORES[Total],PROVEEDORES[PROVEEDOR],PROVEEDORES[[#This Row],[PROVEEDOR]],PROVEEDORES[FECHA DE PAGO],"")</f>
        <v>1645455.6614999999</v>
      </c>
      <c r="E1718" s="25"/>
      <c r="F1718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718" s="161">
        <v>44363</v>
      </c>
      <c r="H1718" s="26" t="s">
        <v>79</v>
      </c>
      <c r="I1718" s="161">
        <v>44358</v>
      </c>
      <c r="J1718" s="35" t="s">
        <v>350</v>
      </c>
      <c r="K1718" s="21">
        <v>2549700</v>
      </c>
      <c r="L1718" s="21"/>
      <c r="M1718" s="22">
        <f>(PROVEEDORES[[#This Row],[SUBTOTAL]]-PROVEEDORES[[#This Row],[descuento sobre subtotal]])*VLOOKUP(PROVEEDORES[[#This Row],[PROVEEDOR]],TERCEROS_INFO[#All],3,FALSE)</f>
        <v>484443</v>
      </c>
      <c r="N1718" s="23"/>
      <c r="O1718" s="22">
        <f>+PROVEEDORES[[#This Row],[Descuento sobre subtotal %]]*(PROVEEDORES[[#This Row],[SUBTOTAL]]-PROVEEDORES[[#This Row],[descuento sobre subtotal]])</f>
        <v>0</v>
      </c>
      <c r="P1718" s="83">
        <f>+IF(PROVEEDORES[[#This Row],[SUBTOTAL]]&lt;PROVEEDORES[[#This Row],[base retencion]],0,PROVEEDORES[[#This Row],[retención aplicada]])</f>
        <v>2.5000000000000001E-2</v>
      </c>
      <c r="Q1718" s="22">
        <f>+PROVEEDORES[[#This Row],[Rete Fuente %]]*(PROVEEDORES[[#This Row],[SUBTOTAL]]-PROVEEDORES[[#This Row],[descuento sobre subtotal]])</f>
        <v>63742.5</v>
      </c>
      <c r="R1718" s="21">
        <f>+PROVEEDORES[[#This Row],[SUBTOTAL]]+PROVEEDORES[[#This Row],[IVA 19%]]-PROVEEDORES[[#This Row],[descuento sobre subtotal]]-PROVEEDORES[[#This Row],[Descuento sobre subtotal $2]]-PROVEEDORES[[#This Row],[Rete Fuente $]]</f>
        <v>2970400.5</v>
      </c>
      <c r="S17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8" s="68">
        <f ca="1">IF(PROVEEDORES[[#This Row],[FECHA DE PAGO]]=0,TODAY()-PROVEEDORES[[#This Row],[FECHA DE FACTURACIÓN]]-PROVEEDORES[[#This Row],[PLAZO Días]],0)</f>
        <v>0</v>
      </c>
      <c r="U1718" s="96" t="str">
        <f>+VLOOKUP(PROVEEDORES[[#This Row],[PROVEEDOR]],Terceros!$A:$D,4,FALSE)</f>
        <v>2,5% con base</v>
      </c>
      <c r="V1718" s="97">
        <f>+YEAR(PROVEEDORES[[#This Row],[FECHA DE FACTURACIÓN]])</f>
        <v>2021</v>
      </c>
      <c r="W1718" s="97">
        <f>+MATCH(PROVEEDORES[[#This Row],[año facturado]],Retenciones!$1:$1,0)</f>
        <v>4</v>
      </c>
      <c r="X1718" s="98">
        <f>+VLOOKUP(PROVEEDORES[[#This Row],[ID RETENCION]],Retenciones!$A$1:$O$25,PROVEEDORES[[#This Row],[indicador de columna]],FALSE)</f>
        <v>980000</v>
      </c>
      <c r="Y1718" s="99">
        <f>+VLOOKUP(PROVEEDORES[[#This Row],[ID RETENCION]],Retenciones!$A$1:$O$25,2,FALSE)</f>
        <v>2.5000000000000001E-2</v>
      </c>
      <c r="Z1718" s="125" t="b">
        <f>OR(COUNTIF(PROVEEDORES[[#This Row],[PROVEEDOR]],"*"&amp;'Palabra no opera'!$A$2&amp;"*"))</f>
        <v>0</v>
      </c>
    </row>
    <row r="1719" spans="1:26" ht="22.2" customHeight="1" x14ac:dyDescent="0.3">
      <c r="A1719" s="66" t="str">
        <f>+IF(PROVEEDORES[[#This Row],[FECHA DE PAGO]]=PROVEEDORES[[#This Row],[FECHA DE FACTURACIÓN]],"DE CONTADO","CRÉDITO")</f>
        <v>DE CONTADO</v>
      </c>
      <c r="B1719" s="38" t="b">
        <f>+IF((PROVEEDORES[[#This Row],[FECHA DE PAGO]]-PROVEEDORES[[#This Row],[FECHA DE FACTURACIÓN]])&gt;PROVEEDORES[[#This Row],[PLAZO Días]],"PAGO VENCIDO")</f>
        <v>0</v>
      </c>
      <c r="C1719" s="20">
        <f>+VLOOKUP(PROVEEDORES[[#This Row],[PROVEEDOR]],TERCEROS_INFO[#All],2,FALSE)</f>
        <v>30</v>
      </c>
      <c r="D1719" s="25">
        <f>+SUMIFS(PROVEEDORES[Total],PROVEEDORES[PROVEEDOR],PROVEEDORES[[#This Row],[PROVEEDOR]],PROVEEDORES[FECHA DE PAGO],"")</f>
        <v>0</v>
      </c>
      <c r="E1719" s="25"/>
      <c r="F1719" s="58" t="str">
        <f>+VLOOKUP(PROVEEDORES[[#This Row],[PROVEEDOR]],
                       Terceros!$A:$F,
                       5,
                       FALSE)</f>
        <v/>
      </c>
      <c r="G1719" s="161">
        <v>44500</v>
      </c>
      <c r="H1719" s="26" t="s">
        <v>644</v>
      </c>
      <c r="I1719" s="161">
        <v>44500</v>
      </c>
      <c r="J1719" s="35" t="s">
        <v>1188</v>
      </c>
      <c r="K1719" s="21">
        <v>2991750</v>
      </c>
      <c r="L1719" s="21"/>
      <c r="M1719" s="22">
        <f>(PROVEEDORES[[#This Row],[SUBTOTAL]]-PROVEEDORES[[#This Row],[descuento sobre subtotal]])*VLOOKUP(PROVEEDORES[[#This Row],[PROVEEDOR]],TERCEROS_INFO[#All],3,FALSE)</f>
        <v>0</v>
      </c>
      <c r="N1719" s="23"/>
      <c r="O1719" s="22">
        <f>+PROVEEDORES[[#This Row],[Descuento sobre subtotal %]]*(PROVEEDORES[[#This Row],[SUBTOTAL]]-PROVEEDORES[[#This Row],[descuento sobre subtotal]])</f>
        <v>0</v>
      </c>
      <c r="P1719" s="83">
        <f>+IF(PROVEEDORES[[#This Row],[SUBTOTAL]]&lt;PROVEEDORES[[#This Row],[base retencion]],0,PROVEEDORES[[#This Row],[retención aplicada]])</f>
        <v>0</v>
      </c>
      <c r="Q1719" s="22">
        <f>+PROVEEDORES[[#This Row],[Rete Fuente %]]*(PROVEEDORES[[#This Row],[SUBTOTAL]]-PROVEEDORES[[#This Row],[descuento sobre subtotal]])</f>
        <v>0</v>
      </c>
      <c r="R1719" s="21">
        <f>+PROVEEDORES[[#This Row],[SUBTOTAL]]+PROVEEDORES[[#This Row],[IVA 19%]]-PROVEEDORES[[#This Row],[descuento sobre subtotal]]-PROVEEDORES[[#This Row],[Descuento sobre subtotal $2]]-PROVEEDORES[[#This Row],[Rete Fuente $]]</f>
        <v>2991750</v>
      </c>
      <c r="S17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9" s="68">
        <f ca="1">IF(PROVEEDORES[[#This Row],[FECHA DE PAGO]]=0,TODAY()-PROVEEDORES[[#This Row],[FECHA DE FACTURACIÓN]]-PROVEEDORES[[#This Row],[PLAZO Días]],0)</f>
        <v>0</v>
      </c>
      <c r="U1719" s="96">
        <f>+VLOOKUP(PROVEEDORES[[#This Row],[PROVEEDOR]],Terceros!$A:$D,4,FALSE)</f>
        <v>0</v>
      </c>
      <c r="V1719" s="97">
        <f>+YEAR(PROVEEDORES[[#This Row],[FECHA DE FACTURACIÓN]])</f>
        <v>2021</v>
      </c>
      <c r="W1719" s="97">
        <f>+MATCH(PROVEEDORES[[#This Row],[año facturado]],Retenciones!$1:$1,0)</f>
        <v>4</v>
      </c>
      <c r="X1719" s="98">
        <f>+VLOOKUP(PROVEEDORES[[#This Row],[ID RETENCION]],Retenciones!$A$1:$O$25,PROVEEDORES[[#This Row],[indicador de columna]],FALSE)</f>
        <v>0</v>
      </c>
      <c r="Y1719" s="99">
        <f>+VLOOKUP(PROVEEDORES[[#This Row],[ID RETENCION]],Retenciones!$A$1:$O$25,2,FALSE)</f>
        <v>0</v>
      </c>
      <c r="Z1719" s="125" t="b">
        <f>OR(COUNTIF(PROVEEDORES[[#This Row],[PROVEEDOR]],"*"&amp;'Palabra no opera'!$A$2&amp;"*"))</f>
        <v>0</v>
      </c>
    </row>
    <row r="1720" spans="1:26" ht="22.2" customHeight="1" x14ac:dyDescent="0.3">
      <c r="A1720" s="185" t="str">
        <f>+IF(PROVEEDORES[[#This Row],[FECHA DE PAGO]]=PROVEEDORES[[#This Row],[FECHA DE FACTURACIÓN]],"DE CONTADO","CRÉDITO")</f>
        <v>CRÉDITO</v>
      </c>
      <c r="B1720" s="38" t="str">
        <f>+IF((PROVEEDORES[[#This Row],[FECHA DE PAGO]]-PROVEEDORES[[#This Row],[FECHA DE FACTURACIÓN]])&gt;PROVEEDORES[[#This Row],[PLAZO Días]],"PAGO VENCIDO")</f>
        <v>PAGO VENCIDO</v>
      </c>
      <c r="C1720" s="20">
        <f>+VLOOKUP(PROVEEDORES[[#This Row],[PROVEEDOR]],TERCEROS_INFO[#All],2,FALSE)</f>
        <v>0</v>
      </c>
      <c r="D1720" s="25">
        <f>+SUMIFS(PROVEEDORES[Total],PROVEEDORES[PROVEEDOR],PROVEEDORES[[#This Row],[PROVEEDOR]],PROVEEDORES[FECHA DE PAGO],"")</f>
        <v>0</v>
      </c>
      <c r="E1720" s="25"/>
      <c r="F1720" s="58">
        <f>+VLOOKUP(PROVEEDORES[[#This Row],[PROVEEDOR]],
                       Terceros!$A:$F,
                       5,
                       FALSE)</f>
        <v>0</v>
      </c>
      <c r="G1720" s="161">
        <v>44730</v>
      </c>
      <c r="H1720" s="26" t="s">
        <v>1050</v>
      </c>
      <c r="I1720" s="161">
        <v>44713</v>
      </c>
      <c r="J1720" s="35" t="s">
        <v>1385</v>
      </c>
      <c r="K1720" s="21">
        <v>3000000</v>
      </c>
      <c r="L1720" s="21"/>
      <c r="M1720" s="22">
        <f>(PROVEEDORES[[#This Row],[SUBTOTAL]]-PROVEEDORES[[#This Row],[descuento sobre subtotal]])*VLOOKUP(PROVEEDORES[[#This Row],[PROVEEDOR]],TERCEROS_INFO[#All],3,FALSE)</f>
        <v>0</v>
      </c>
      <c r="N1720" s="23"/>
      <c r="O1720" s="22">
        <f>+PROVEEDORES[[#This Row],[Descuento sobre subtotal %]]*(PROVEEDORES[[#This Row],[SUBTOTAL]]-PROVEEDORES[[#This Row],[descuento sobre subtotal]])</f>
        <v>0</v>
      </c>
      <c r="P1720" s="83">
        <f>+IF(PROVEEDORES[[#This Row],[SUBTOTAL]]&lt;PROVEEDORES[[#This Row],[base retencion]],0,PROVEEDORES[[#This Row],[retención aplicada]])</f>
        <v>0</v>
      </c>
      <c r="Q1720" s="22">
        <f>+PROVEEDORES[[#This Row],[Rete Fuente %]]*(PROVEEDORES[[#This Row],[SUBTOTAL]]-PROVEEDORES[[#This Row],[descuento sobre subtotal]])</f>
        <v>0</v>
      </c>
      <c r="R1720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720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0" s="68">
        <f ca="1">IF(PROVEEDORES[[#This Row],[FECHA DE PAGO]]=0,TODAY()-PROVEEDORES[[#This Row],[FECHA DE FACTURACIÓN]]-PROVEEDORES[[#This Row],[PLAZO Días]],0)</f>
        <v>0</v>
      </c>
      <c r="U1720" s="113">
        <f>+VLOOKUP(PROVEEDORES[[#This Row],[PROVEEDOR]],Terceros!$A:$D,4,FALSE)</f>
        <v>0</v>
      </c>
      <c r="V1720" s="114">
        <f>+YEAR(PROVEEDORES[[#This Row],[FECHA DE FACTURACIÓN]])</f>
        <v>2022</v>
      </c>
      <c r="W1720" s="114">
        <f>+MATCH(PROVEEDORES[[#This Row],[año facturado]],Retenciones!$1:$1,0)</f>
        <v>5</v>
      </c>
      <c r="X1720" s="115">
        <f>+VLOOKUP(PROVEEDORES[[#This Row],[ID RETENCION]],Retenciones!$A$1:$O$25,PROVEEDORES[[#This Row],[indicador de columna]],FALSE)</f>
        <v>0</v>
      </c>
      <c r="Y1720" s="116">
        <f>+VLOOKUP(PROVEEDORES[[#This Row],[ID RETENCION]],Retenciones!$A$1:$O$25,2,FALSE)</f>
        <v>0</v>
      </c>
      <c r="Z1720" s="125" t="b">
        <f>OR(COUNTIF(PROVEEDORES[[#This Row],[PROVEEDOR]],"*"&amp;'Palabra no opera'!$A$2&amp;"*"))</f>
        <v>1</v>
      </c>
    </row>
    <row r="1721" spans="1:26" ht="22.2" customHeight="1" x14ac:dyDescent="0.3">
      <c r="A1721" s="185" t="str">
        <f>+IF(PROVEEDORES[[#This Row],[FECHA DE PAGO]]=PROVEEDORES[[#This Row],[FECHA DE FACTURACIÓN]],"DE CONTADO","CRÉDITO")</f>
        <v>CRÉDITO</v>
      </c>
      <c r="B1721" s="38" t="str">
        <f>+IF((PROVEEDORES[[#This Row],[FECHA DE PAGO]]-PROVEEDORES[[#This Row],[FECHA DE FACTURACIÓN]])&gt;PROVEEDORES[[#This Row],[PLAZO Días]],"PAGO VENCIDO")</f>
        <v>PAGO VENCIDO</v>
      </c>
      <c r="C1721" s="20">
        <f>+VLOOKUP(PROVEEDORES[[#This Row],[PROVEEDOR]],TERCEROS_INFO[#All],2,FALSE)</f>
        <v>0</v>
      </c>
      <c r="D1721" s="25">
        <f>+SUMIFS(PROVEEDORES[Total],PROVEEDORES[PROVEEDOR],PROVEEDORES[[#This Row],[PROVEEDOR]],PROVEEDORES[FECHA DE PAGO],"")</f>
        <v>0</v>
      </c>
      <c r="E1721" s="25"/>
      <c r="F1721" s="58">
        <f>+VLOOKUP(PROVEEDORES[[#This Row],[PROVEEDOR]],
                       Terceros!$A:$F,
                       5,
                       FALSE)</f>
        <v>0</v>
      </c>
      <c r="G1721" s="161">
        <v>44747</v>
      </c>
      <c r="H1721" s="26" t="s">
        <v>1050</v>
      </c>
      <c r="I1721" s="161">
        <v>44743</v>
      </c>
      <c r="J1721" s="35" t="s">
        <v>1385</v>
      </c>
      <c r="K1721" s="21">
        <v>3000000</v>
      </c>
      <c r="L1721" s="21"/>
      <c r="M1721" s="22">
        <f>(PROVEEDORES[[#This Row],[SUBTOTAL]]-PROVEEDORES[[#This Row],[descuento sobre subtotal]])*VLOOKUP(PROVEEDORES[[#This Row],[PROVEEDOR]],TERCEROS_INFO[#All],3,FALSE)</f>
        <v>0</v>
      </c>
      <c r="N1721" s="23"/>
      <c r="O1721" s="22">
        <f>+PROVEEDORES[[#This Row],[Descuento sobre subtotal %]]*(PROVEEDORES[[#This Row],[SUBTOTAL]]-PROVEEDORES[[#This Row],[descuento sobre subtotal]])</f>
        <v>0</v>
      </c>
      <c r="P1721" s="83">
        <f>+IF(PROVEEDORES[[#This Row],[SUBTOTAL]]&lt;PROVEEDORES[[#This Row],[base retencion]],0,PROVEEDORES[[#This Row],[retención aplicada]])</f>
        <v>0</v>
      </c>
      <c r="Q1721" s="22">
        <f>+PROVEEDORES[[#This Row],[Rete Fuente %]]*(PROVEEDORES[[#This Row],[SUBTOTAL]]-PROVEEDORES[[#This Row],[descuento sobre subtotal]])</f>
        <v>0</v>
      </c>
      <c r="R1721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721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1" s="68">
        <f ca="1">IF(PROVEEDORES[[#This Row],[FECHA DE PAGO]]=0,TODAY()-PROVEEDORES[[#This Row],[FECHA DE FACTURACIÓN]]-PROVEEDORES[[#This Row],[PLAZO Días]],0)</f>
        <v>0</v>
      </c>
      <c r="U1721" s="113">
        <f>+VLOOKUP(PROVEEDORES[[#This Row],[PROVEEDOR]],Terceros!$A:$D,4,FALSE)</f>
        <v>0</v>
      </c>
      <c r="V1721" s="114">
        <f>+YEAR(PROVEEDORES[[#This Row],[FECHA DE FACTURACIÓN]])</f>
        <v>2022</v>
      </c>
      <c r="W1721" s="114">
        <f>+MATCH(PROVEEDORES[[#This Row],[año facturado]],Retenciones!$1:$1,0)</f>
        <v>5</v>
      </c>
      <c r="X1721" s="115">
        <f>+VLOOKUP(PROVEEDORES[[#This Row],[ID RETENCION]],Retenciones!$A$1:$O$25,PROVEEDORES[[#This Row],[indicador de columna]],FALSE)</f>
        <v>0</v>
      </c>
      <c r="Y1721" s="116">
        <f>+VLOOKUP(PROVEEDORES[[#This Row],[ID RETENCION]],Retenciones!$A$1:$O$25,2,FALSE)</f>
        <v>0</v>
      </c>
      <c r="Z1721" s="125" t="b">
        <f>OR(COUNTIF(PROVEEDORES[[#This Row],[PROVEEDOR]],"*"&amp;'Palabra no opera'!$A$2&amp;"*"))</f>
        <v>1</v>
      </c>
    </row>
    <row r="1722" spans="1:26" ht="22.2" customHeight="1" x14ac:dyDescent="0.3">
      <c r="A1722" s="185" t="str">
        <f>+IF(PROVEEDORES[[#This Row],[FECHA DE PAGO]]=PROVEEDORES[[#This Row],[FECHA DE FACTURACIÓN]],"DE CONTADO","CRÉDITO")</f>
        <v>CRÉDITO</v>
      </c>
      <c r="B1722" s="38" t="str">
        <f>+IF((PROVEEDORES[[#This Row],[FECHA DE PAGO]]-PROVEEDORES[[#This Row],[FECHA DE FACTURACIÓN]])&gt;PROVEEDORES[[#This Row],[PLAZO Días]],"PAGO VENCIDO")</f>
        <v>PAGO VENCIDO</v>
      </c>
      <c r="C1722" s="20">
        <f>+VLOOKUP(PROVEEDORES[[#This Row],[PROVEEDOR]],TERCEROS_INFO[#All],2,FALSE)</f>
        <v>0</v>
      </c>
      <c r="D1722" s="25">
        <f>+SUMIFS(PROVEEDORES[Total],PROVEEDORES[PROVEEDOR],PROVEEDORES[[#This Row],[PROVEEDOR]],PROVEEDORES[FECHA DE PAGO],"")</f>
        <v>0</v>
      </c>
      <c r="E1722" s="25"/>
      <c r="F1722" s="58">
        <f>+VLOOKUP(PROVEEDORES[[#This Row],[PROVEEDOR]],
                       Terceros!$A:$F,
                       5,
                       FALSE)</f>
        <v>0</v>
      </c>
      <c r="G1722" s="161">
        <v>44747</v>
      </c>
      <c r="H1722" s="26" t="s">
        <v>1050</v>
      </c>
      <c r="I1722" s="161">
        <v>44743</v>
      </c>
      <c r="J1722" s="35" t="s">
        <v>1385</v>
      </c>
      <c r="K1722" s="21">
        <v>3000000</v>
      </c>
      <c r="L1722" s="21"/>
      <c r="M1722" s="22">
        <f>(PROVEEDORES[[#This Row],[SUBTOTAL]]-PROVEEDORES[[#This Row],[descuento sobre subtotal]])*VLOOKUP(PROVEEDORES[[#This Row],[PROVEEDOR]],TERCEROS_INFO[#All],3,FALSE)</f>
        <v>0</v>
      </c>
      <c r="N1722" s="23"/>
      <c r="O1722" s="22">
        <f>+PROVEEDORES[[#This Row],[Descuento sobre subtotal %]]*(PROVEEDORES[[#This Row],[SUBTOTAL]]-PROVEEDORES[[#This Row],[descuento sobre subtotal]])</f>
        <v>0</v>
      </c>
      <c r="P1722" s="83">
        <f>+IF(PROVEEDORES[[#This Row],[SUBTOTAL]]&lt;PROVEEDORES[[#This Row],[base retencion]],0,PROVEEDORES[[#This Row],[retención aplicada]])</f>
        <v>0</v>
      </c>
      <c r="Q1722" s="22">
        <f>+PROVEEDORES[[#This Row],[Rete Fuente %]]*(PROVEEDORES[[#This Row],[SUBTOTAL]]-PROVEEDORES[[#This Row],[descuento sobre subtotal]])</f>
        <v>0</v>
      </c>
      <c r="R1722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722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2" s="68">
        <f ca="1">IF(PROVEEDORES[[#This Row],[FECHA DE PAGO]]=0,TODAY()-PROVEEDORES[[#This Row],[FECHA DE FACTURACIÓN]]-PROVEEDORES[[#This Row],[PLAZO Días]],0)</f>
        <v>0</v>
      </c>
      <c r="U1722" s="113">
        <f>+VLOOKUP(PROVEEDORES[[#This Row],[PROVEEDOR]],Terceros!$A:$D,4,FALSE)</f>
        <v>0</v>
      </c>
      <c r="V1722" s="114">
        <f>+YEAR(PROVEEDORES[[#This Row],[FECHA DE FACTURACIÓN]])</f>
        <v>2022</v>
      </c>
      <c r="W1722" s="114">
        <f>+MATCH(PROVEEDORES[[#This Row],[año facturado]],Retenciones!$1:$1,0)</f>
        <v>5</v>
      </c>
      <c r="X1722" s="115">
        <f>+VLOOKUP(PROVEEDORES[[#This Row],[ID RETENCION]],Retenciones!$A$1:$O$25,PROVEEDORES[[#This Row],[indicador de columna]],FALSE)</f>
        <v>0</v>
      </c>
      <c r="Y1722" s="116">
        <f>+VLOOKUP(PROVEEDORES[[#This Row],[ID RETENCION]],Retenciones!$A$1:$O$25,2,FALSE)</f>
        <v>0</v>
      </c>
      <c r="Z1722" s="125" t="b">
        <f>OR(COUNTIF(PROVEEDORES[[#This Row],[PROVEEDOR]],"*"&amp;'Palabra no opera'!$A$2&amp;"*"))</f>
        <v>1</v>
      </c>
    </row>
    <row r="1723" spans="1:26" ht="22.2" customHeight="1" x14ac:dyDescent="0.3">
      <c r="A1723" s="199" t="str">
        <f>+IF(PROVEEDORES[[#This Row],[FECHA DE PAGO]]=PROVEEDORES[[#This Row],[FECHA DE FACTURACIÓN]],"DE CONTADO","CRÉDITO")</f>
        <v>CRÉDITO</v>
      </c>
      <c r="B1723" s="38" t="str">
        <f>+IF((PROVEEDORES[[#This Row],[FECHA DE PAGO]]-PROVEEDORES[[#This Row],[FECHA DE FACTURACIÓN]])&gt;PROVEEDORES[[#This Row],[PLAZO Días]],"PAGO VENCIDO")</f>
        <v>PAGO VENCIDO</v>
      </c>
      <c r="C1723" s="20">
        <f>+VLOOKUP(PROVEEDORES[[#This Row],[PROVEEDOR]],TERCEROS_INFO[#All],2,FALSE)</f>
        <v>30</v>
      </c>
      <c r="D1723" s="25">
        <f>+SUMIFS(PROVEEDORES[Total],PROVEEDORES[PROVEEDOR],PROVEEDORES[[#This Row],[PROVEEDOR]],PROVEEDORES[FECHA DE PAGO],"")</f>
        <v>0</v>
      </c>
      <c r="E1723" s="25"/>
      <c r="F172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23" s="161">
        <v>44867</v>
      </c>
      <c r="H1723" s="26" t="s">
        <v>1637</v>
      </c>
      <c r="I1723" s="161">
        <v>44783</v>
      </c>
      <c r="J1723" s="35">
        <v>26977</v>
      </c>
      <c r="K1723" s="21">
        <v>2580000</v>
      </c>
      <c r="L1723" s="21"/>
      <c r="M1723" s="22">
        <f>(PROVEEDORES[[#This Row],[SUBTOTAL]]-PROVEEDORES[[#This Row],[descuento sobre subtotal]])*VLOOKUP(PROVEEDORES[[#This Row],[PROVEEDOR]],TERCEROS_INFO[#All],3,FALSE)</f>
        <v>490200</v>
      </c>
      <c r="N1723" s="23"/>
      <c r="O1723" s="22">
        <f>+PROVEEDORES[[#This Row],[Descuento sobre subtotal %]]*(PROVEEDORES[[#This Row],[SUBTOTAL]]-PROVEEDORES[[#This Row],[descuento sobre subtotal]])</f>
        <v>0</v>
      </c>
      <c r="P1723" s="83">
        <f>+IF(PROVEEDORES[[#This Row],[SUBTOTAL]]&lt;PROVEEDORES[[#This Row],[base retencion]],0,PROVEEDORES[[#This Row],[retención aplicada]])</f>
        <v>2.5000000000000001E-2</v>
      </c>
      <c r="Q1723" s="22">
        <f>+PROVEEDORES[[#This Row],[Rete Fuente %]]*(PROVEEDORES[[#This Row],[SUBTOTAL]]-PROVEEDORES[[#This Row],[descuento sobre subtotal]])</f>
        <v>64500</v>
      </c>
      <c r="R1723" s="21">
        <f>+PROVEEDORES[[#This Row],[SUBTOTAL]]+PROVEEDORES[[#This Row],[IVA 19%]]-PROVEEDORES[[#This Row],[descuento sobre subtotal]]-PROVEEDORES[[#This Row],[Descuento sobre subtotal $2]]-PROVEEDORES[[#This Row],[Rete Fuente $]]</f>
        <v>3005700</v>
      </c>
      <c r="S1723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3" s="68">
        <f ca="1">IF(PROVEEDORES[[#This Row],[FECHA DE PAGO]]=0,TODAY()-PROVEEDORES[[#This Row],[FECHA DE FACTURACIÓN]]-PROVEEDORES[[#This Row],[PLAZO Días]],0)</f>
        <v>0</v>
      </c>
      <c r="U1723" s="113" t="str">
        <f>+VLOOKUP(PROVEEDORES[[#This Row],[PROVEEDOR]],Terceros!$A:$D,4,FALSE)</f>
        <v>2,5% con base</v>
      </c>
      <c r="V1723" s="114">
        <f>+YEAR(PROVEEDORES[[#This Row],[FECHA DE FACTURACIÓN]])</f>
        <v>2022</v>
      </c>
      <c r="W1723" s="114">
        <f>+MATCH(PROVEEDORES[[#This Row],[año facturado]],Retenciones!$1:$1,0)</f>
        <v>5</v>
      </c>
      <c r="X1723" s="115">
        <f>+VLOOKUP(PROVEEDORES[[#This Row],[ID RETENCION]],Retenciones!$A$1:$O$25,PROVEEDORES[[#This Row],[indicador de columna]],FALSE)</f>
        <v>1026000</v>
      </c>
      <c r="Y1723" s="116">
        <f>+VLOOKUP(PROVEEDORES[[#This Row],[ID RETENCION]],Retenciones!$A$1:$O$25,2,FALSE)</f>
        <v>2.5000000000000001E-2</v>
      </c>
      <c r="Z1723" s="125" t="b">
        <f>OR(COUNTIF(PROVEEDORES[[#This Row],[PROVEEDOR]],"*"&amp;'Palabra no opera'!$A$2&amp;"*"))</f>
        <v>0</v>
      </c>
    </row>
    <row r="1724" spans="1:26" ht="22.2" customHeight="1" x14ac:dyDescent="0.3">
      <c r="A1724" s="66" t="str">
        <f>+IF(PROVEEDORES[[#This Row],[FECHA DE PAGO]]=PROVEEDORES[[#This Row],[FECHA DE FACTURACIÓN]],"DE CONTADO","CRÉDITO")</f>
        <v>CRÉDITO</v>
      </c>
      <c r="B1724" s="38" t="b">
        <f>+IF((PROVEEDORES[[#This Row],[FECHA DE PAGO]]-PROVEEDORES[[#This Row],[FECHA DE FACTURACIÓN]])&gt;PROVEEDORES[[#This Row],[PLAZO Días]],"PAGO VENCIDO")</f>
        <v>0</v>
      </c>
      <c r="C1724" s="20">
        <f>+VLOOKUP(PROVEEDORES[[#This Row],[PROVEEDOR]],TERCEROS_INFO[#All],2,FALSE)</f>
        <v>30</v>
      </c>
      <c r="D1724" s="25">
        <f>+SUMIFS(PROVEEDORES[Total],PROVEEDORES[PROVEEDOR],PROVEEDORES[[#This Row],[PROVEEDOR]],PROVEEDORES[FECHA DE PAGO],"")</f>
        <v>0</v>
      </c>
      <c r="E1724" s="25"/>
      <c r="F172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24" s="161">
        <v>44496</v>
      </c>
      <c r="H1724" s="26" t="s">
        <v>928</v>
      </c>
      <c r="I1724" s="161">
        <v>44470</v>
      </c>
      <c r="J1724" s="35" t="s">
        <v>590</v>
      </c>
      <c r="K1724" s="21">
        <v>3124305</v>
      </c>
      <c r="L1724" s="21"/>
      <c r="M1724" s="22">
        <f>(PROVEEDORES[[#This Row],[SUBTOTAL]]-PROVEEDORES[[#This Row],[descuento sobre subtotal]])*VLOOKUP(PROVEEDORES[[#This Row],[PROVEEDOR]],TERCEROS_INFO[#All],3,FALSE)</f>
        <v>0</v>
      </c>
      <c r="N1724" s="23"/>
      <c r="O1724" s="22">
        <f>+PROVEEDORES[[#This Row],[Descuento sobre subtotal %]]*(PROVEEDORES[[#This Row],[SUBTOTAL]]-PROVEEDORES[[#This Row],[descuento sobre subtotal]])</f>
        <v>0</v>
      </c>
      <c r="P1724" s="83">
        <f>+IF(PROVEEDORES[[#This Row],[SUBTOTAL]]&lt;PROVEEDORES[[#This Row],[base retencion]],0,PROVEEDORES[[#This Row],[retención aplicada]])</f>
        <v>3.5000000000000003E-2</v>
      </c>
      <c r="Q1724" s="22">
        <f>+PROVEEDORES[[#This Row],[Rete Fuente %]]*(PROVEEDORES[[#This Row],[SUBTOTAL]]-PROVEEDORES[[#This Row],[descuento sobre subtotal]])</f>
        <v>109350.67500000002</v>
      </c>
      <c r="R1724" s="21">
        <f>+PROVEEDORES[[#This Row],[SUBTOTAL]]+PROVEEDORES[[#This Row],[IVA 19%]]-PROVEEDORES[[#This Row],[descuento sobre subtotal]]-PROVEEDORES[[#This Row],[Descuento sobre subtotal $2]]-PROVEEDORES[[#This Row],[Rete Fuente $]]</f>
        <v>3014954.3250000002</v>
      </c>
      <c r="S17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4" s="68">
        <f ca="1">IF(PROVEEDORES[[#This Row],[FECHA DE PAGO]]=0,TODAY()-PROVEEDORES[[#This Row],[FECHA DE FACTURACIÓN]]-PROVEEDORES[[#This Row],[PLAZO Días]],0)</f>
        <v>0</v>
      </c>
      <c r="U1724" s="96" t="str">
        <f>+VLOOKUP(PROVEEDORES[[#This Row],[PROVEEDOR]],Terceros!$A:$D,4,FALSE)</f>
        <v>3,5% sin base</v>
      </c>
      <c r="V1724" s="97">
        <f>+YEAR(PROVEEDORES[[#This Row],[FECHA DE FACTURACIÓN]])</f>
        <v>2021</v>
      </c>
      <c r="W1724" s="97">
        <f>+MATCH(PROVEEDORES[[#This Row],[año facturado]],Retenciones!$1:$1,0)</f>
        <v>4</v>
      </c>
      <c r="X1724" s="98">
        <f>+VLOOKUP(PROVEEDORES[[#This Row],[ID RETENCION]],Retenciones!$A$1:$O$25,PROVEEDORES[[#This Row],[indicador de columna]],FALSE)</f>
        <v>0</v>
      </c>
      <c r="Y1724" s="99">
        <f>+VLOOKUP(PROVEEDORES[[#This Row],[ID RETENCION]],Retenciones!$A$1:$O$25,2,FALSE)</f>
        <v>3.5000000000000003E-2</v>
      </c>
      <c r="Z1724" s="125" t="b">
        <f>OR(COUNTIF(PROVEEDORES[[#This Row],[PROVEEDOR]],"*"&amp;'Palabra no opera'!$A$2&amp;"*"))</f>
        <v>1</v>
      </c>
    </row>
    <row r="1725" spans="1:26" ht="22.2" customHeight="1" x14ac:dyDescent="0.3">
      <c r="A1725" s="66" t="str">
        <f>+IF(PROVEEDORES[[#This Row],[FECHA DE PAGO]]=PROVEEDORES[[#This Row],[FECHA DE FACTURACIÓN]],"DE CONTADO","CRÉDITO")</f>
        <v>CRÉDITO</v>
      </c>
      <c r="B1725" s="38" t="b">
        <f>+IF((PROVEEDORES[[#This Row],[FECHA DE PAGO]]-PROVEEDORES[[#This Row],[FECHA DE FACTURACIÓN]])&gt;PROVEEDORES[[#This Row],[PLAZO Días]],"PAGO VENCIDO")</f>
        <v>0</v>
      </c>
      <c r="C1725" s="20">
        <f>+VLOOKUP(PROVEEDORES[[#This Row],[PROVEEDOR]],TERCEROS_INFO[#All],2,FALSE)</f>
        <v>30</v>
      </c>
      <c r="D1725" s="25">
        <f>+SUMIFS(PROVEEDORES[Total],PROVEEDORES[PROVEEDOR],PROVEEDORES[[#This Row],[PROVEEDOR]],PROVEEDORES[FECHA DE PAGO],"")</f>
        <v>0</v>
      </c>
      <c r="E1725" s="25"/>
      <c r="F172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25" s="161">
        <v>44527</v>
      </c>
      <c r="H1725" s="26" t="s">
        <v>928</v>
      </c>
      <c r="I1725" s="161">
        <v>44501</v>
      </c>
      <c r="J1725" s="35" t="s">
        <v>591</v>
      </c>
      <c r="K1725" s="21">
        <v>3124305</v>
      </c>
      <c r="L1725" s="21"/>
      <c r="M1725" s="22">
        <f>(PROVEEDORES[[#This Row],[SUBTOTAL]]-PROVEEDORES[[#This Row],[descuento sobre subtotal]])*VLOOKUP(PROVEEDORES[[#This Row],[PROVEEDOR]],TERCEROS_INFO[#All],3,FALSE)</f>
        <v>0</v>
      </c>
      <c r="N1725" s="23"/>
      <c r="O1725" s="22">
        <f>+PROVEEDORES[[#This Row],[Descuento sobre subtotal %]]*(PROVEEDORES[[#This Row],[SUBTOTAL]]-PROVEEDORES[[#This Row],[descuento sobre subtotal]])</f>
        <v>0</v>
      </c>
      <c r="P1725" s="83">
        <f>+IF(PROVEEDORES[[#This Row],[SUBTOTAL]]&lt;PROVEEDORES[[#This Row],[base retencion]],0,PROVEEDORES[[#This Row],[retención aplicada]])</f>
        <v>3.5000000000000003E-2</v>
      </c>
      <c r="Q1725" s="22">
        <f>+PROVEEDORES[[#This Row],[Rete Fuente %]]*(PROVEEDORES[[#This Row],[SUBTOTAL]]-PROVEEDORES[[#This Row],[descuento sobre subtotal]])</f>
        <v>109350.67500000002</v>
      </c>
      <c r="R1725" s="21">
        <f>+PROVEEDORES[[#This Row],[SUBTOTAL]]+PROVEEDORES[[#This Row],[IVA 19%]]-PROVEEDORES[[#This Row],[descuento sobre subtotal]]-PROVEEDORES[[#This Row],[Descuento sobre subtotal $2]]-PROVEEDORES[[#This Row],[Rete Fuente $]]</f>
        <v>3014954.3250000002</v>
      </c>
      <c r="S17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5" s="68">
        <f ca="1">IF(PROVEEDORES[[#This Row],[FECHA DE PAGO]]=0,TODAY()-PROVEEDORES[[#This Row],[FECHA DE FACTURACIÓN]]-PROVEEDORES[[#This Row],[PLAZO Días]],0)</f>
        <v>0</v>
      </c>
      <c r="U1725" s="96" t="str">
        <f>+VLOOKUP(PROVEEDORES[[#This Row],[PROVEEDOR]],Terceros!$A:$D,4,FALSE)</f>
        <v>3,5% sin base</v>
      </c>
      <c r="V1725" s="97">
        <f>+YEAR(PROVEEDORES[[#This Row],[FECHA DE FACTURACIÓN]])</f>
        <v>2021</v>
      </c>
      <c r="W1725" s="97">
        <f>+MATCH(PROVEEDORES[[#This Row],[año facturado]],Retenciones!$1:$1,0)</f>
        <v>4</v>
      </c>
      <c r="X1725" s="98">
        <f>+VLOOKUP(PROVEEDORES[[#This Row],[ID RETENCION]],Retenciones!$A$1:$O$25,PROVEEDORES[[#This Row],[indicador de columna]],FALSE)</f>
        <v>0</v>
      </c>
      <c r="Y1725" s="99">
        <f>+VLOOKUP(PROVEEDORES[[#This Row],[ID RETENCION]],Retenciones!$A$1:$O$25,2,FALSE)</f>
        <v>3.5000000000000003E-2</v>
      </c>
      <c r="Z1725" s="125" t="b">
        <f>OR(COUNTIF(PROVEEDORES[[#This Row],[PROVEEDOR]],"*"&amp;'Palabra no opera'!$A$2&amp;"*"))</f>
        <v>1</v>
      </c>
    </row>
    <row r="1726" spans="1:26" ht="22.2" customHeight="1" x14ac:dyDescent="0.3">
      <c r="A1726" s="66" t="str">
        <f>+IF(PROVEEDORES[[#This Row],[FECHA DE PAGO]]=PROVEEDORES[[#This Row],[FECHA DE FACTURACIÓN]],"DE CONTADO","CRÉDITO")</f>
        <v>CRÉDITO</v>
      </c>
      <c r="B1726" s="38" t="str">
        <f>+IF((PROVEEDORES[[#This Row],[FECHA DE PAGO]]-PROVEEDORES[[#This Row],[FECHA DE FACTURACIÓN]])&gt;PROVEEDORES[[#This Row],[PLAZO Días]],"PAGO VENCIDO")</f>
        <v>PAGO VENCIDO</v>
      </c>
      <c r="C1726" s="20">
        <f>+VLOOKUP(PROVEEDORES[[#This Row],[PROVEEDOR]],TERCEROS_INFO[#All],2,FALSE)</f>
        <v>30</v>
      </c>
      <c r="D1726" s="25">
        <f>+SUMIFS(PROVEEDORES[Total],PROVEEDORES[PROVEEDOR],PROVEEDORES[[#This Row],[PROVEEDOR]],PROVEEDORES[FECHA DE PAGO],"")</f>
        <v>0</v>
      </c>
      <c r="E1726" s="25"/>
      <c r="F1726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726" s="161">
        <v>44432</v>
      </c>
      <c r="H1726" s="26" t="s">
        <v>33</v>
      </c>
      <c r="I1726" s="161">
        <v>44387</v>
      </c>
      <c r="J1726" s="35">
        <v>1180</v>
      </c>
      <c r="K1726" s="21">
        <v>2594000</v>
      </c>
      <c r="L1726" s="21"/>
      <c r="M1726" s="22">
        <f>(PROVEEDORES[[#This Row],[SUBTOTAL]]-PROVEEDORES[[#This Row],[descuento sobre subtotal]])*VLOOKUP(PROVEEDORES[[#This Row],[PROVEEDOR]],TERCEROS_INFO[#All],3,FALSE)</f>
        <v>492860</v>
      </c>
      <c r="N1726" s="23"/>
      <c r="O1726" s="22">
        <f>+PROVEEDORES[[#This Row],[Descuento sobre subtotal %]]*(PROVEEDORES[[#This Row],[SUBTOTAL]]-PROVEEDORES[[#This Row],[descuento sobre subtotal]])</f>
        <v>0</v>
      </c>
      <c r="P1726" s="83">
        <f>+IF(PROVEEDORES[[#This Row],[SUBTOTAL]]&lt;PROVEEDORES[[#This Row],[base retencion]],0,PROVEEDORES[[#This Row],[retención aplicada]])</f>
        <v>2.5000000000000001E-2</v>
      </c>
      <c r="Q1726" s="22">
        <f>+PROVEEDORES[[#This Row],[Rete Fuente %]]*(PROVEEDORES[[#This Row],[SUBTOTAL]]-PROVEEDORES[[#This Row],[descuento sobre subtotal]])</f>
        <v>64850</v>
      </c>
      <c r="R1726" s="21">
        <f>+PROVEEDORES[[#This Row],[SUBTOTAL]]+PROVEEDORES[[#This Row],[IVA 19%]]-PROVEEDORES[[#This Row],[descuento sobre subtotal]]-PROVEEDORES[[#This Row],[Descuento sobre subtotal $2]]-PROVEEDORES[[#This Row],[Rete Fuente $]]</f>
        <v>3022010</v>
      </c>
      <c r="S17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6" s="68">
        <f ca="1">IF(PROVEEDORES[[#This Row],[FECHA DE PAGO]]=0,TODAY()-PROVEEDORES[[#This Row],[FECHA DE FACTURACIÓN]]-PROVEEDORES[[#This Row],[PLAZO Días]],0)</f>
        <v>0</v>
      </c>
      <c r="U1726" s="96" t="str">
        <f>+VLOOKUP(PROVEEDORES[[#This Row],[PROVEEDOR]],Terceros!$A:$D,4,FALSE)</f>
        <v>2,5% con base</v>
      </c>
      <c r="V1726" s="97">
        <f>+YEAR(PROVEEDORES[[#This Row],[FECHA DE FACTURACIÓN]])</f>
        <v>2021</v>
      </c>
      <c r="W1726" s="97">
        <f>+MATCH(PROVEEDORES[[#This Row],[año facturado]],Retenciones!$1:$1,0)</f>
        <v>4</v>
      </c>
      <c r="X1726" s="98">
        <f>+VLOOKUP(PROVEEDORES[[#This Row],[ID RETENCION]],Retenciones!$A$1:$O$25,PROVEEDORES[[#This Row],[indicador de columna]],FALSE)</f>
        <v>980000</v>
      </c>
      <c r="Y1726" s="99">
        <f>+VLOOKUP(PROVEEDORES[[#This Row],[ID RETENCION]],Retenciones!$A$1:$O$25,2,FALSE)</f>
        <v>2.5000000000000001E-2</v>
      </c>
      <c r="Z1726" s="125" t="b">
        <f>OR(COUNTIF(PROVEEDORES[[#This Row],[PROVEEDOR]],"*"&amp;'Palabra no opera'!$A$2&amp;"*"))</f>
        <v>0</v>
      </c>
    </row>
    <row r="1727" spans="1:26" ht="22.2" customHeight="1" x14ac:dyDescent="0.3">
      <c r="A1727" s="66" t="str">
        <f>+IF(PROVEEDORES[[#This Row],[FECHA DE PAGO]]=PROVEEDORES[[#This Row],[FECHA DE FACTURACIÓN]],"DE CONTADO","CRÉDITO")</f>
        <v>CRÉDITO</v>
      </c>
      <c r="B1727" s="38" t="str">
        <f>+IF((PROVEEDORES[[#This Row],[FECHA DE PAGO]]-PROVEEDORES[[#This Row],[FECHA DE FACTURACIÓN]])&gt;PROVEEDORES[[#This Row],[PLAZO Días]],"PAGO VENCIDO")</f>
        <v>PAGO VENCIDO</v>
      </c>
      <c r="C1727" s="20">
        <f>+VLOOKUP(PROVEEDORES[[#This Row],[PROVEEDOR]],TERCEROS_INFO[#All],2,FALSE)</f>
        <v>30</v>
      </c>
      <c r="D1727" s="25">
        <f>+SUMIFS(PROVEEDORES[Total],PROVEEDORES[PROVEEDOR],PROVEEDORES[[#This Row],[PROVEEDOR]],PROVEEDORES[FECHA DE PAGO],"")</f>
        <v>2121000</v>
      </c>
      <c r="E1727" s="25"/>
      <c r="F172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27" s="161">
        <v>44560</v>
      </c>
      <c r="H1727" s="26" t="s">
        <v>685</v>
      </c>
      <c r="I1727" s="161">
        <v>44513</v>
      </c>
      <c r="J1727" s="35" t="s">
        <v>1525</v>
      </c>
      <c r="K1727" s="21">
        <v>3024000</v>
      </c>
      <c r="L1727" s="21"/>
      <c r="M1727" s="22">
        <f>(PROVEEDORES[[#This Row],[SUBTOTAL]]-PROVEEDORES[[#This Row],[descuento sobre subtotal]])*VLOOKUP(PROVEEDORES[[#This Row],[PROVEEDOR]],TERCEROS_INFO[#All],3,FALSE)</f>
        <v>0</v>
      </c>
      <c r="N1727" s="23"/>
      <c r="O1727" s="22">
        <f>+PROVEEDORES[[#This Row],[Descuento sobre subtotal %]]*(PROVEEDORES[[#This Row],[SUBTOTAL]]-PROVEEDORES[[#This Row],[descuento sobre subtotal]])</f>
        <v>0</v>
      </c>
      <c r="P1727" s="83">
        <f>+IF(PROVEEDORES[[#This Row],[SUBTOTAL]]&lt;PROVEEDORES[[#This Row],[base retencion]],0,PROVEEDORES[[#This Row],[retención aplicada]])</f>
        <v>0</v>
      </c>
      <c r="Q1727" s="22">
        <f>+PROVEEDORES[[#This Row],[Rete Fuente %]]*(PROVEEDORES[[#This Row],[SUBTOTAL]]-PROVEEDORES[[#This Row],[descuento sobre subtotal]])</f>
        <v>0</v>
      </c>
      <c r="R1727" s="21">
        <f>+PROVEEDORES[[#This Row],[SUBTOTAL]]+PROVEEDORES[[#This Row],[IVA 19%]]-PROVEEDORES[[#This Row],[descuento sobre subtotal]]-PROVEEDORES[[#This Row],[Descuento sobre subtotal $2]]-PROVEEDORES[[#This Row],[Rete Fuente $]]</f>
        <v>3024000</v>
      </c>
      <c r="S17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7" s="68">
        <f ca="1">IF(PROVEEDORES[[#This Row],[FECHA DE PAGO]]=0,TODAY()-PROVEEDORES[[#This Row],[FECHA DE FACTURACIÓN]]-PROVEEDORES[[#This Row],[PLAZO Días]],0)</f>
        <v>0</v>
      </c>
      <c r="U1727" s="96">
        <f>+VLOOKUP(PROVEEDORES[[#This Row],[PROVEEDOR]],Terceros!$A:$D,4,FALSE)</f>
        <v>0</v>
      </c>
      <c r="V1727" s="97">
        <f>+YEAR(PROVEEDORES[[#This Row],[FECHA DE FACTURACIÓN]])</f>
        <v>2021</v>
      </c>
      <c r="W1727" s="97">
        <f>+MATCH(PROVEEDORES[[#This Row],[año facturado]],Retenciones!$1:$1,0)</f>
        <v>4</v>
      </c>
      <c r="X1727" s="98">
        <f>+VLOOKUP(PROVEEDORES[[#This Row],[ID RETENCION]],Retenciones!$A$1:$O$25,PROVEEDORES[[#This Row],[indicador de columna]],FALSE)</f>
        <v>0</v>
      </c>
      <c r="Y1727" s="99">
        <f>+VLOOKUP(PROVEEDORES[[#This Row],[ID RETENCION]],Retenciones!$A$1:$O$25,2,FALSE)</f>
        <v>0</v>
      </c>
      <c r="Z1727" s="125" t="b">
        <f>OR(COUNTIF(PROVEEDORES[[#This Row],[PROVEEDOR]],"*"&amp;'Palabra no opera'!$A$2&amp;"*"))</f>
        <v>0</v>
      </c>
    </row>
    <row r="1728" spans="1:26" ht="22.2" customHeight="1" x14ac:dyDescent="0.3">
      <c r="A1728" s="66" t="str">
        <f>+IF(PROVEEDORES[[#This Row],[FECHA DE PAGO]]=PROVEEDORES[[#This Row],[FECHA DE FACTURACIÓN]],"DE CONTADO","CRÉDITO")</f>
        <v>CRÉDITO</v>
      </c>
      <c r="B1728" s="38" t="b">
        <f>+IF((PROVEEDORES[[#This Row],[FECHA DE PAGO]]-PROVEEDORES[[#This Row],[FECHA DE FACTURACIÓN]])&gt;PROVEEDORES[[#This Row],[PLAZO Días]],"PAGO VENCIDO")</f>
        <v>0</v>
      </c>
      <c r="C1728" s="20">
        <f>+VLOOKUP(PROVEEDORES[[#This Row],[PROVEEDOR]],TERCEROS_INFO[#All],2,FALSE)</f>
        <v>20</v>
      </c>
      <c r="D1728" s="25">
        <f>+SUMIFS(PROVEEDORES[Total],PROVEEDORES[PROVEEDOR],PROVEEDORES[[#This Row],[PROVEEDOR]],PROVEEDORES[FECHA DE PAGO],"")</f>
        <v>0</v>
      </c>
      <c r="E1728" s="25"/>
      <c r="F1728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28" s="161">
        <v>44351</v>
      </c>
      <c r="H1728" s="26" t="s">
        <v>331</v>
      </c>
      <c r="I1728" s="161">
        <v>44347</v>
      </c>
      <c r="J1728" s="35" t="s">
        <v>444</v>
      </c>
      <c r="K1728" s="21">
        <v>2629762.6722689075</v>
      </c>
      <c r="L1728" s="21"/>
      <c r="M1728" s="22">
        <f>(PROVEEDORES[[#This Row],[SUBTOTAL]]-PROVEEDORES[[#This Row],[descuento sobre subtotal]])*VLOOKUP(PROVEEDORES[[#This Row],[PROVEEDOR]],TERCEROS_INFO[#All],3,FALSE)</f>
        <v>499654.90773109242</v>
      </c>
      <c r="N1728" s="23"/>
      <c r="O1728" s="22">
        <f>+PROVEEDORES[[#This Row],[Descuento sobre subtotal %]]*(PROVEEDORES[[#This Row],[SUBTOTAL]]-PROVEEDORES[[#This Row],[descuento sobre subtotal]])</f>
        <v>0</v>
      </c>
      <c r="P1728" s="83">
        <f>+IF(PROVEEDORES[[#This Row],[SUBTOTAL]]&lt;PROVEEDORES[[#This Row],[base retencion]],0,PROVEEDORES[[#This Row],[retención aplicada]])</f>
        <v>0.04</v>
      </c>
      <c r="Q1728" s="22">
        <f>+PROVEEDORES[[#This Row],[Rete Fuente %]]*(PROVEEDORES[[#This Row],[SUBTOTAL]]-PROVEEDORES[[#This Row],[descuento sobre subtotal]])</f>
        <v>105190.50689075631</v>
      </c>
      <c r="R1728" s="21">
        <f>+PROVEEDORES[[#This Row],[SUBTOTAL]]+PROVEEDORES[[#This Row],[IVA 19%]]-PROVEEDORES[[#This Row],[descuento sobre subtotal]]-PROVEEDORES[[#This Row],[Descuento sobre subtotal $2]]-PROVEEDORES[[#This Row],[Rete Fuente $]]</f>
        <v>3024227.073109244</v>
      </c>
      <c r="S17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8" s="68">
        <f ca="1">IF(PROVEEDORES[[#This Row],[FECHA DE PAGO]]=0,TODAY()-PROVEEDORES[[#This Row],[FECHA DE FACTURACIÓN]]-PROVEEDORES[[#This Row],[PLAZO Días]],0)</f>
        <v>0</v>
      </c>
      <c r="U1728" s="96" t="str">
        <f>+VLOOKUP(PROVEEDORES[[#This Row],[PROVEEDOR]],Terceros!$A:$D,4,FALSE)</f>
        <v>4% sin base</v>
      </c>
      <c r="V1728" s="97">
        <f>+YEAR(PROVEEDORES[[#This Row],[FECHA DE FACTURACIÓN]])</f>
        <v>2021</v>
      </c>
      <c r="W1728" s="97">
        <f>+MATCH(PROVEEDORES[[#This Row],[año facturado]],Retenciones!$1:$1,0)</f>
        <v>4</v>
      </c>
      <c r="X1728" s="98">
        <f>+VLOOKUP(PROVEEDORES[[#This Row],[ID RETENCION]],Retenciones!$A$1:$O$25,PROVEEDORES[[#This Row],[indicador de columna]],FALSE)</f>
        <v>0</v>
      </c>
      <c r="Y1728" s="99">
        <f>+VLOOKUP(PROVEEDORES[[#This Row],[ID RETENCION]],Retenciones!$A$1:$O$25,2,FALSE)</f>
        <v>0.04</v>
      </c>
      <c r="Z1728" s="125" t="b">
        <f>OR(COUNTIF(PROVEEDORES[[#This Row],[PROVEEDOR]],"*"&amp;'Palabra no opera'!$A$2&amp;"*"))</f>
        <v>0</v>
      </c>
    </row>
    <row r="1729" spans="1:26" ht="22.2" customHeight="1" x14ac:dyDescent="0.3">
      <c r="A1729" s="135" t="str">
        <f>+IF(PROVEEDORES[[#This Row],[FECHA DE PAGO]]=PROVEEDORES[[#This Row],[FECHA DE FACTURACIÓN]],"DE CONTADO","CRÉDITO")</f>
        <v>CRÉDITO</v>
      </c>
      <c r="B1729" s="38" t="b">
        <f>+IF((PROVEEDORES[[#This Row],[FECHA DE PAGO]]-PROVEEDORES[[#This Row],[FECHA DE FACTURACIÓN]])&gt;PROVEEDORES[[#This Row],[PLAZO Días]],"PAGO VENCIDO")</f>
        <v>0</v>
      </c>
      <c r="C1729" s="20">
        <f>+VLOOKUP(PROVEEDORES[[#This Row],[PROVEEDOR]],TERCEROS_INFO[#All],2,FALSE)</f>
        <v>90</v>
      </c>
      <c r="D1729" s="25">
        <f>+SUMIFS(PROVEEDORES[Total],PROVEEDORES[PROVEEDOR],PROVEEDORES[[#This Row],[PROVEEDOR]],PROVEEDORES[FECHA DE PAGO],"")</f>
        <v>2410000</v>
      </c>
      <c r="E1729" s="25"/>
      <c r="F1729" s="58" t="str">
        <f>+VLOOKUP(PROVEEDORES[[#This Row],[PROVEEDOR]],
                       Terceros!$A:$F,
                       5,
                       FALSE)</f>
        <v/>
      </c>
      <c r="G1729" s="161">
        <v>44772</v>
      </c>
      <c r="H1729" s="26" t="s">
        <v>651</v>
      </c>
      <c r="I1729" s="161">
        <v>44685</v>
      </c>
      <c r="J1729" s="35" t="s">
        <v>1591</v>
      </c>
      <c r="K1729" s="21">
        <v>3044000</v>
      </c>
      <c r="L1729" s="21"/>
      <c r="M1729" s="22">
        <f>(PROVEEDORES[[#This Row],[SUBTOTAL]]-PROVEEDORES[[#This Row],[descuento sobre subtotal]])*VLOOKUP(PROVEEDORES[[#This Row],[PROVEEDOR]],TERCEROS_INFO[#All],3,FALSE)</f>
        <v>0</v>
      </c>
      <c r="N1729" s="23"/>
      <c r="O1729" s="22">
        <f>+PROVEEDORES[[#This Row],[Descuento sobre subtotal %]]*(PROVEEDORES[[#This Row],[SUBTOTAL]]-PROVEEDORES[[#This Row],[descuento sobre subtotal]])</f>
        <v>0</v>
      </c>
      <c r="P1729" s="83">
        <f>+IF(PROVEEDORES[[#This Row],[SUBTOTAL]]&lt;PROVEEDORES[[#This Row],[base retencion]],0,PROVEEDORES[[#This Row],[retención aplicada]])</f>
        <v>0</v>
      </c>
      <c r="Q1729" s="22">
        <f>+PROVEEDORES[[#This Row],[Rete Fuente %]]*(PROVEEDORES[[#This Row],[SUBTOTAL]]-PROVEEDORES[[#This Row],[descuento sobre subtotal]])</f>
        <v>0</v>
      </c>
      <c r="R1729" s="21">
        <f>+PROVEEDORES[[#This Row],[SUBTOTAL]]+PROVEEDORES[[#This Row],[IVA 19%]]-PROVEEDORES[[#This Row],[descuento sobre subtotal]]-PROVEEDORES[[#This Row],[Descuento sobre subtotal $2]]-PROVEEDORES[[#This Row],[Rete Fuente $]]</f>
        <v>3044000</v>
      </c>
      <c r="S1729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9" s="68">
        <f ca="1">IF(PROVEEDORES[[#This Row],[FECHA DE PAGO]]=0,TODAY()-PROVEEDORES[[#This Row],[FECHA DE FACTURACIÓN]]-PROVEEDORES[[#This Row],[PLAZO Días]],0)</f>
        <v>0</v>
      </c>
      <c r="U1729" s="113">
        <f>+VLOOKUP(PROVEEDORES[[#This Row],[PROVEEDOR]],Terceros!$A:$D,4,FALSE)</f>
        <v>0</v>
      </c>
      <c r="V1729" s="114">
        <f>+YEAR(PROVEEDORES[[#This Row],[FECHA DE FACTURACIÓN]])</f>
        <v>2022</v>
      </c>
      <c r="W1729" s="114">
        <f>+MATCH(PROVEEDORES[[#This Row],[año facturado]],Retenciones!$1:$1,0)</f>
        <v>5</v>
      </c>
      <c r="X1729" s="115">
        <f>+VLOOKUP(PROVEEDORES[[#This Row],[ID RETENCION]],Retenciones!$A$1:$O$25,PROVEEDORES[[#This Row],[indicador de columna]],FALSE)</f>
        <v>0</v>
      </c>
      <c r="Y1729" s="116">
        <f>+VLOOKUP(PROVEEDORES[[#This Row],[ID RETENCION]],Retenciones!$A$1:$O$25,2,FALSE)</f>
        <v>0</v>
      </c>
      <c r="Z1729" s="125" t="b">
        <f>OR(COUNTIF(PROVEEDORES[[#This Row],[PROVEEDOR]],"*"&amp;'Palabra no opera'!$A$2&amp;"*"))</f>
        <v>0</v>
      </c>
    </row>
    <row r="1730" spans="1:26" ht="22.2" customHeight="1" x14ac:dyDescent="0.3">
      <c r="A1730" s="207" t="str">
        <f>+IF(PROVEEDORES[[#This Row],[FECHA DE PAGO]]=PROVEEDORES[[#This Row],[FECHA DE FACTURACIÓN]],"DE CONTADO","CRÉDITO")</f>
        <v>CRÉDITO</v>
      </c>
      <c r="B1730" s="38" t="str">
        <f>+IF((PROVEEDORES[[#This Row],[FECHA DE PAGO]]-PROVEEDORES[[#This Row],[FECHA DE FACTURACIÓN]])&gt;PROVEEDORES[[#This Row],[PLAZO Días]],"PAGO VENCIDO")</f>
        <v>PAGO VENCIDO</v>
      </c>
      <c r="C1730" s="20">
        <f>+VLOOKUP(PROVEEDORES[[#This Row],[PROVEEDOR]],TERCEROS_INFO[#All],2,FALSE)</f>
        <v>30</v>
      </c>
      <c r="D1730" s="25">
        <f>+SUMIFS(PROVEEDORES[Total],PROVEEDORES[PROVEEDOR],PROVEEDORES[[#This Row],[PROVEEDOR]],PROVEEDORES[FECHA DE PAGO],"")</f>
        <v>0</v>
      </c>
      <c r="E1730" s="25"/>
      <c r="F173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730" s="161">
        <v>44867</v>
      </c>
      <c r="H1730" s="267" t="s">
        <v>691</v>
      </c>
      <c r="I1730" s="161">
        <v>44781</v>
      </c>
      <c r="J1730" s="35" t="s">
        <v>1444</v>
      </c>
      <c r="K1730" s="21">
        <v>3047250</v>
      </c>
      <c r="L1730" s="21"/>
      <c r="M1730" s="22">
        <f>(PROVEEDORES[[#This Row],[SUBTOTAL]]-PROVEEDORES[[#This Row],[descuento sobre subtotal]])*VLOOKUP(PROVEEDORES[[#This Row],[PROVEEDOR]],TERCEROS_INFO[#All],3,FALSE)</f>
        <v>0</v>
      </c>
      <c r="N1730" s="23"/>
      <c r="O1730" s="22">
        <f>+PROVEEDORES[[#This Row],[Descuento sobre subtotal %]]*(PROVEEDORES[[#This Row],[SUBTOTAL]]-PROVEEDORES[[#This Row],[descuento sobre subtotal]])</f>
        <v>0</v>
      </c>
      <c r="P1730" s="83">
        <f>+IF(PROVEEDORES[[#This Row],[SUBTOTAL]]&lt;PROVEEDORES[[#This Row],[base retencion]],0,PROVEEDORES[[#This Row],[retención aplicada]])</f>
        <v>0</v>
      </c>
      <c r="Q1730" s="22">
        <f>+PROVEEDORES[[#This Row],[Rete Fuente %]]*(PROVEEDORES[[#This Row],[SUBTOTAL]]-PROVEEDORES[[#This Row],[descuento sobre subtotal]])</f>
        <v>0</v>
      </c>
      <c r="R1730" s="21">
        <f>+PROVEEDORES[[#This Row],[SUBTOTAL]]+PROVEEDORES[[#This Row],[IVA 19%]]-PROVEEDORES[[#This Row],[descuento sobre subtotal]]-PROVEEDORES[[#This Row],[Descuento sobre subtotal $2]]-PROVEEDORES[[#This Row],[Rete Fuente $]]</f>
        <v>3047250</v>
      </c>
      <c r="S173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0" s="68">
        <f ca="1">IF(PROVEEDORES[[#This Row],[FECHA DE PAGO]]=0,TODAY()-PROVEEDORES[[#This Row],[FECHA DE FACTURACIÓN]]-PROVEEDORES[[#This Row],[PLAZO Días]],0)</f>
        <v>0</v>
      </c>
      <c r="U1730" s="113">
        <f>+VLOOKUP(PROVEEDORES[[#This Row],[PROVEEDOR]],Terceros!$A:$D,4,FALSE)</f>
        <v>0</v>
      </c>
      <c r="V1730" s="114">
        <f>+YEAR(PROVEEDORES[[#This Row],[FECHA DE FACTURACIÓN]])</f>
        <v>2022</v>
      </c>
      <c r="W1730" s="114">
        <f>+MATCH(PROVEEDORES[[#This Row],[año facturado]],Retenciones!$1:$1,0)</f>
        <v>5</v>
      </c>
      <c r="X1730" s="115">
        <f>+VLOOKUP(PROVEEDORES[[#This Row],[ID RETENCION]],Retenciones!$A$1:$O$25,PROVEEDORES[[#This Row],[indicador de columna]],FALSE)</f>
        <v>0</v>
      </c>
      <c r="Y1730" s="116">
        <f>+VLOOKUP(PROVEEDORES[[#This Row],[ID RETENCION]],Retenciones!$A$1:$O$25,2,FALSE)</f>
        <v>0</v>
      </c>
      <c r="Z1730" s="125" t="b">
        <f>OR(COUNTIF(PROVEEDORES[[#This Row],[PROVEEDOR]],"*"&amp;'Palabra no opera'!$A$2&amp;"*"))</f>
        <v>0</v>
      </c>
    </row>
    <row r="1731" spans="1:26" ht="22.2" customHeight="1" x14ac:dyDescent="0.3">
      <c r="A1731" s="185" t="str">
        <f>+IF(PROVEEDORES[[#This Row],[FECHA DE PAGO]]=PROVEEDORES[[#This Row],[FECHA DE FACTURACIÓN]],"DE CONTADO","CRÉDITO")</f>
        <v>CRÉDITO</v>
      </c>
      <c r="B1731" s="38" t="str">
        <f>+IF((PROVEEDORES[[#This Row],[FECHA DE PAGO]]-PROVEEDORES[[#This Row],[FECHA DE FACTURACIÓN]])&gt;PROVEEDORES[[#This Row],[PLAZO Días]],"PAGO VENCIDO")</f>
        <v>PAGO VENCIDO</v>
      </c>
      <c r="C1731" s="20">
        <f>+VLOOKUP(PROVEEDORES[[#This Row],[PROVEEDOR]],TERCEROS_INFO[#All],2,FALSE)</f>
        <v>30</v>
      </c>
      <c r="D1731" s="25">
        <f>+SUMIFS(PROVEEDORES[Total],PROVEEDORES[PROVEEDOR],PROVEEDORES[[#This Row],[PROVEEDOR]],PROVEEDORES[FECHA DE PAGO],"")</f>
        <v>5430852.9800000004</v>
      </c>
      <c r="E1731" s="25"/>
      <c r="F1731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31" s="161">
        <v>44783</v>
      </c>
      <c r="H1731" s="26" t="s">
        <v>408</v>
      </c>
      <c r="I1731" s="161">
        <v>44751</v>
      </c>
      <c r="J1731" s="35" t="s">
        <v>1122</v>
      </c>
      <c r="K1731" s="21">
        <v>2562110.2599999998</v>
      </c>
      <c r="L1731" s="21"/>
      <c r="M1731" s="22">
        <f>(PROVEEDORES[[#This Row],[SUBTOTAL]]-PROVEEDORES[[#This Row],[descuento sobre subtotal]])*VLOOKUP(PROVEEDORES[[#This Row],[PROVEEDOR]],TERCEROS_INFO[#All],3,FALSE)</f>
        <v>486800.94939999998</v>
      </c>
      <c r="N1731" s="23"/>
      <c r="O1731" s="22">
        <f>+PROVEEDORES[[#This Row],[Descuento sobre subtotal %]]*(PROVEEDORES[[#This Row],[SUBTOTAL]]-PROVEEDORES[[#This Row],[descuento sobre subtotal]])</f>
        <v>0</v>
      </c>
      <c r="P1731" s="83">
        <f>+IF(PROVEEDORES[[#This Row],[SUBTOTAL]]&lt;PROVEEDORES[[#This Row],[base retencion]],0,PROVEEDORES[[#This Row],[retención aplicada]])</f>
        <v>0</v>
      </c>
      <c r="Q1731" s="22">
        <f>+PROVEEDORES[[#This Row],[Rete Fuente %]]*(PROVEEDORES[[#This Row],[SUBTOTAL]]-PROVEEDORES[[#This Row],[descuento sobre subtotal]])</f>
        <v>0</v>
      </c>
      <c r="R1731" s="21">
        <f>+PROVEEDORES[[#This Row],[SUBTOTAL]]+PROVEEDORES[[#This Row],[IVA 19%]]-PROVEEDORES[[#This Row],[descuento sobre subtotal]]-PROVEEDORES[[#This Row],[Descuento sobre subtotal $2]]-PROVEEDORES[[#This Row],[Rete Fuente $]]</f>
        <v>3048911.2093999996</v>
      </c>
      <c r="S1731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1" s="68">
        <f ca="1">IF(PROVEEDORES[[#This Row],[FECHA DE PAGO]]=0,TODAY()-PROVEEDORES[[#This Row],[FECHA DE FACTURACIÓN]]-PROVEEDORES[[#This Row],[PLAZO Días]],0)</f>
        <v>0</v>
      </c>
      <c r="U1731" s="113">
        <f>+VLOOKUP(PROVEEDORES[[#This Row],[PROVEEDOR]],Terceros!$A:$D,4,FALSE)</f>
        <v>0</v>
      </c>
      <c r="V1731" s="114">
        <f>+YEAR(PROVEEDORES[[#This Row],[FECHA DE FACTURACIÓN]])</f>
        <v>2022</v>
      </c>
      <c r="W1731" s="114">
        <f>+MATCH(PROVEEDORES[[#This Row],[año facturado]],Retenciones!$1:$1,0)</f>
        <v>5</v>
      </c>
      <c r="X1731" s="115">
        <f>+VLOOKUP(PROVEEDORES[[#This Row],[ID RETENCION]],Retenciones!$A$1:$O$25,PROVEEDORES[[#This Row],[indicador de columna]],FALSE)</f>
        <v>0</v>
      </c>
      <c r="Y1731" s="116">
        <f>+VLOOKUP(PROVEEDORES[[#This Row],[ID RETENCION]],Retenciones!$A$1:$O$25,2,FALSE)</f>
        <v>0</v>
      </c>
      <c r="Z1731" s="125" t="b">
        <f>OR(COUNTIF(PROVEEDORES[[#This Row],[PROVEEDOR]],"*"&amp;'Palabra no opera'!$A$2&amp;"*"))</f>
        <v>0</v>
      </c>
    </row>
    <row r="1732" spans="1:26" ht="22.2" customHeight="1" x14ac:dyDescent="0.3">
      <c r="A1732" s="66" t="str">
        <f>+IF(PROVEEDORES[[#This Row],[FECHA DE PAGO]]=PROVEEDORES[[#This Row],[FECHA DE FACTURACIÓN]],"DE CONTADO","CRÉDITO")</f>
        <v>CRÉDITO</v>
      </c>
      <c r="B1732" s="38" t="b">
        <f>+IF((PROVEEDORES[[#This Row],[FECHA DE PAGO]]-PROVEEDORES[[#This Row],[FECHA DE FACTURACIÓN]])&gt;PROVEEDORES[[#This Row],[PLAZO Días]],"PAGO VENCIDO")</f>
        <v>0</v>
      </c>
      <c r="C1732" s="20">
        <f>+VLOOKUP(PROVEEDORES[[#This Row],[PROVEEDOR]],TERCEROS_INFO[#All],2,FALSE)</f>
        <v>30</v>
      </c>
      <c r="D1732" s="25">
        <f>+SUMIFS(PROVEEDORES[Total],PROVEEDORES[PROVEEDOR],PROVEEDORES[[#This Row],[PROVEEDOR]],PROVEEDORES[FECHA DE PAGO],"")</f>
        <v>0</v>
      </c>
      <c r="E1732" s="25"/>
      <c r="F1732" s="58">
        <f>+VLOOKUP(PROVEEDORES[[#This Row],[PROVEEDOR]],
                       Terceros!$A:$F,
                       5,
                       FALSE)</f>
        <v>0</v>
      </c>
      <c r="G1732" s="161">
        <v>44334</v>
      </c>
      <c r="H1732" s="26" t="s">
        <v>931</v>
      </c>
      <c r="I1732" s="161">
        <v>44317</v>
      </c>
      <c r="J1732" s="35" t="s">
        <v>1219</v>
      </c>
      <c r="K1732" s="21">
        <v>2643860</v>
      </c>
      <c r="L1732" s="21"/>
      <c r="M1732" s="22">
        <f>(PROVEEDORES[[#This Row],[SUBTOTAL]]-PROVEEDORES[[#This Row],[descuento sobre subtotal]])*VLOOKUP(PROVEEDORES[[#This Row],[PROVEEDOR]],TERCEROS_INFO[#All],3,FALSE)</f>
        <v>502333.4</v>
      </c>
      <c r="N1732" s="23"/>
      <c r="O1732" s="22">
        <f>+PROVEEDORES[[#This Row],[Descuento sobre subtotal %]]*(PROVEEDORES[[#This Row],[SUBTOTAL]]-PROVEEDORES[[#This Row],[descuento sobre subtotal]])</f>
        <v>0</v>
      </c>
      <c r="P1732" s="83">
        <f>+IF(PROVEEDORES[[#This Row],[SUBTOTAL]]&lt;PROVEEDORES[[#This Row],[base retencion]],0,PROVEEDORES[[#This Row],[retención aplicada]])</f>
        <v>3.5000000000000003E-2</v>
      </c>
      <c r="Q1732" s="22">
        <f>+PROVEEDORES[[#This Row],[Rete Fuente %]]*(PROVEEDORES[[#This Row],[SUBTOTAL]]-PROVEEDORES[[#This Row],[descuento sobre subtotal]])</f>
        <v>92535.1</v>
      </c>
      <c r="R1732" s="21">
        <f>+PROVEEDORES[[#This Row],[SUBTOTAL]]+PROVEEDORES[[#This Row],[IVA 19%]]-PROVEEDORES[[#This Row],[descuento sobre subtotal]]-PROVEEDORES[[#This Row],[Descuento sobre subtotal $2]]-PROVEEDORES[[#This Row],[Rete Fuente $]]</f>
        <v>3053658.3</v>
      </c>
      <c r="S17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2" s="68">
        <f ca="1">IF(PROVEEDORES[[#This Row],[FECHA DE PAGO]]=0,TODAY()-PROVEEDORES[[#This Row],[FECHA DE FACTURACIÓN]]-PROVEEDORES[[#This Row],[PLAZO Días]],0)</f>
        <v>0</v>
      </c>
      <c r="U1732" s="96" t="str">
        <f>+VLOOKUP(PROVEEDORES[[#This Row],[PROVEEDOR]],Terceros!$A:$D,4,FALSE)</f>
        <v>3,5% sin base</v>
      </c>
      <c r="V1732" s="97">
        <f>+YEAR(PROVEEDORES[[#This Row],[FECHA DE FACTURACIÓN]])</f>
        <v>2021</v>
      </c>
      <c r="W1732" s="97">
        <f>+MATCH(PROVEEDORES[[#This Row],[año facturado]],Retenciones!$1:$1,0)</f>
        <v>4</v>
      </c>
      <c r="X1732" s="98">
        <f>+VLOOKUP(PROVEEDORES[[#This Row],[ID RETENCION]],Retenciones!$A$1:$O$25,PROVEEDORES[[#This Row],[indicador de columna]],FALSE)</f>
        <v>0</v>
      </c>
      <c r="Y1732" s="99">
        <f>+VLOOKUP(PROVEEDORES[[#This Row],[ID RETENCION]],Retenciones!$A$1:$O$25,2,FALSE)</f>
        <v>3.5000000000000003E-2</v>
      </c>
      <c r="Z1732" s="125" t="b">
        <f>OR(COUNTIF(PROVEEDORES[[#This Row],[PROVEEDOR]],"*"&amp;'Palabra no opera'!$A$2&amp;"*"))</f>
        <v>1</v>
      </c>
    </row>
    <row r="1733" spans="1:26" ht="22.2" customHeight="1" x14ac:dyDescent="0.3">
      <c r="A1733" s="66" t="str">
        <f>+IF(PROVEEDORES[[#This Row],[FECHA DE PAGO]]=PROVEEDORES[[#This Row],[FECHA DE FACTURACIÓN]],"DE CONTADO","CRÉDITO")</f>
        <v>DE CONTADO</v>
      </c>
      <c r="B1733" s="38" t="b">
        <f>+IF((PROVEEDORES[[#This Row],[FECHA DE PAGO]]-PROVEEDORES[[#This Row],[FECHA DE FACTURACIÓN]])&gt;PROVEEDORES[[#This Row],[PLAZO Días]],"PAGO VENCIDO")</f>
        <v>0</v>
      </c>
      <c r="C1733" s="20">
        <f>+VLOOKUP(PROVEEDORES[[#This Row],[PROVEEDOR]],TERCEROS_INFO[#All],2,FALSE)</f>
        <v>30</v>
      </c>
      <c r="D1733" s="25">
        <f>+SUMIFS(PROVEEDORES[Total],PROVEEDORES[PROVEEDOR],PROVEEDORES[[#This Row],[PROVEEDOR]],PROVEEDORES[FECHA DE PAGO],"")</f>
        <v>0</v>
      </c>
      <c r="E1733" s="25"/>
      <c r="F1733" s="58" t="str">
        <f>+VLOOKUP(PROVEEDORES[[#This Row],[PROVEEDOR]],
                       Terceros!$A:$F,
                       5,
                       FALSE)</f>
        <v/>
      </c>
      <c r="G1733" s="161">
        <v>44370</v>
      </c>
      <c r="H1733" s="26" t="s">
        <v>638</v>
      </c>
      <c r="I1733" s="161">
        <v>44370</v>
      </c>
      <c r="J1733" s="35" t="s">
        <v>1257</v>
      </c>
      <c r="K1733" s="21">
        <v>3057000</v>
      </c>
      <c r="L1733" s="21"/>
      <c r="M1733" s="22">
        <f>(PROVEEDORES[[#This Row],[SUBTOTAL]]-PROVEEDORES[[#This Row],[descuento sobre subtotal]])*VLOOKUP(PROVEEDORES[[#This Row],[PROVEEDOR]],TERCEROS_INFO[#All],3,FALSE)</f>
        <v>0</v>
      </c>
      <c r="N1733" s="23"/>
      <c r="O1733" s="22">
        <f>+PROVEEDORES[[#This Row],[Descuento sobre subtotal %]]*(PROVEEDORES[[#This Row],[SUBTOTAL]]-PROVEEDORES[[#This Row],[descuento sobre subtotal]])</f>
        <v>0</v>
      </c>
      <c r="P1733" s="83">
        <f>+IF(PROVEEDORES[[#This Row],[SUBTOTAL]]&lt;PROVEEDORES[[#This Row],[base retencion]],0,PROVEEDORES[[#This Row],[retención aplicada]])</f>
        <v>0</v>
      </c>
      <c r="Q1733" s="22">
        <f>+PROVEEDORES[[#This Row],[Rete Fuente %]]*(PROVEEDORES[[#This Row],[SUBTOTAL]]-PROVEEDORES[[#This Row],[descuento sobre subtotal]])</f>
        <v>0</v>
      </c>
      <c r="R1733" s="21">
        <f>+PROVEEDORES[[#This Row],[SUBTOTAL]]+PROVEEDORES[[#This Row],[IVA 19%]]-PROVEEDORES[[#This Row],[descuento sobre subtotal]]-PROVEEDORES[[#This Row],[Descuento sobre subtotal $2]]-PROVEEDORES[[#This Row],[Rete Fuente $]]</f>
        <v>3057000</v>
      </c>
      <c r="S17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3" s="68">
        <f ca="1">IF(PROVEEDORES[[#This Row],[FECHA DE PAGO]]=0,TODAY()-PROVEEDORES[[#This Row],[FECHA DE FACTURACIÓN]]-PROVEEDORES[[#This Row],[PLAZO Días]],0)</f>
        <v>0</v>
      </c>
      <c r="U1733" s="96">
        <f>+VLOOKUP(PROVEEDORES[[#This Row],[PROVEEDOR]],Terceros!$A:$D,4,FALSE)</f>
        <v>0</v>
      </c>
      <c r="V1733" s="97">
        <f>+YEAR(PROVEEDORES[[#This Row],[FECHA DE FACTURACIÓN]])</f>
        <v>2021</v>
      </c>
      <c r="W1733" s="97">
        <f>+MATCH(PROVEEDORES[[#This Row],[año facturado]],Retenciones!$1:$1,0)</f>
        <v>4</v>
      </c>
      <c r="X1733" s="98">
        <f>+VLOOKUP(PROVEEDORES[[#This Row],[ID RETENCION]],Retenciones!$A$1:$O$25,PROVEEDORES[[#This Row],[indicador de columna]],FALSE)</f>
        <v>0</v>
      </c>
      <c r="Y1733" s="99">
        <f>+VLOOKUP(PROVEEDORES[[#This Row],[ID RETENCION]],Retenciones!$A$1:$O$25,2,FALSE)</f>
        <v>0</v>
      </c>
      <c r="Z1733" s="125" t="b">
        <f>OR(COUNTIF(PROVEEDORES[[#This Row],[PROVEEDOR]],"*"&amp;'Palabra no opera'!$A$2&amp;"*"))</f>
        <v>0</v>
      </c>
    </row>
    <row r="1734" spans="1:26" ht="22.2" customHeight="1" x14ac:dyDescent="0.3">
      <c r="A1734" s="66" t="str">
        <f>+IF(PROVEEDORES[[#This Row],[FECHA DE PAGO]]=PROVEEDORES[[#This Row],[FECHA DE FACTURACIÓN]],"DE CONTADO","CRÉDITO")</f>
        <v>CRÉDITO</v>
      </c>
      <c r="B1734" s="38" t="str">
        <f>+IF((PROVEEDORES[[#This Row],[FECHA DE PAGO]]-PROVEEDORES[[#This Row],[FECHA DE FACTURACIÓN]])&gt;PROVEEDORES[[#This Row],[PLAZO Días]],"PAGO VENCIDO")</f>
        <v>PAGO VENCIDO</v>
      </c>
      <c r="C1734" s="20">
        <f>+VLOOKUP(PROVEEDORES[[#This Row],[PROVEEDOR]],TERCEROS_INFO[#All],2,FALSE)</f>
        <v>30</v>
      </c>
      <c r="D1734" s="25">
        <f>+SUMIFS(PROVEEDORES[Total],PROVEEDORES[PROVEEDOR],PROVEEDORES[[#This Row],[PROVEEDOR]],PROVEEDORES[FECHA DE PAGO],"")</f>
        <v>1333437.8400000001</v>
      </c>
      <c r="E1734" s="25"/>
      <c r="F173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34" s="161">
        <v>44575</v>
      </c>
      <c r="H1734" s="26" t="s">
        <v>905</v>
      </c>
      <c r="I1734" s="161">
        <v>44516</v>
      </c>
      <c r="J1734" s="35" t="s">
        <v>541</v>
      </c>
      <c r="K1734" s="21">
        <v>2576302</v>
      </c>
      <c r="L1734" s="21"/>
      <c r="M1734" s="22">
        <v>489497.38</v>
      </c>
      <c r="N1734" s="23"/>
      <c r="O1734" s="22">
        <v>0</v>
      </c>
      <c r="P1734" s="83">
        <f>+IF(PROVEEDORES[[#This Row],[SUBTOTAL]]&lt;PROVEEDORES[[#This Row],[base retencion]],0,PROVEEDORES[[#This Row],[retención aplicada]])</f>
        <v>0</v>
      </c>
      <c r="Q1734" s="22">
        <f>+PROVEEDORES[[#This Row],[Rete Fuente %]]*(PROVEEDORES[[#This Row],[SUBTOTAL]]-PROVEEDORES[[#This Row],[descuento sobre subtotal]])</f>
        <v>0</v>
      </c>
      <c r="R1734" s="21">
        <v>3065799.38</v>
      </c>
      <c r="S17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4" s="68">
        <f ca="1">IF(PROVEEDORES[[#This Row],[FECHA DE PAGO]]=0,TODAY()-PROVEEDORES[[#This Row],[FECHA DE FACTURACIÓN]]-PROVEEDORES[[#This Row],[PLAZO Días]],0)</f>
        <v>0</v>
      </c>
      <c r="U1734" s="96">
        <f>+VLOOKUP(PROVEEDORES[[#This Row],[PROVEEDOR]],Terceros!$A:$D,4,FALSE)</f>
        <v>0</v>
      </c>
      <c r="V1734" s="97">
        <f>+YEAR(PROVEEDORES[[#This Row],[FECHA DE FACTURACIÓN]])</f>
        <v>2021</v>
      </c>
      <c r="W1734" s="97">
        <f>+MATCH(PROVEEDORES[[#This Row],[año facturado]],Retenciones!$1:$1,0)</f>
        <v>4</v>
      </c>
      <c r="X1734" s="98">
        <f>+VLOOKUP(PROVEEDORES[[#This Row],[ID RETENCION]],Retenciones!$A$1:$O$25,PROVEEDORES[[#This Row],[indicador de columna]],FALSE)</f>
        <v>0</v>
      </c>
      <c r="Y1734" s="99">
        <f>+VLOOKUP(PROVEEDORES[[#This Row],[ID RETENCION]],Retenciones!$A$1:$O$25,2,FALSE)</f>
        <v>0</v>
      </c>
      <c r="Z1734" s="125" t="b">
        <f>OR(COUNTIF(PROVEEDORES[[#This Row],[PROVEEDOR]],"*"&amp;'Palabra no opera'!$A$2&amp;"*"))</f>
        <v>1</v>
      </c>
    </row>
    <row r="1735" spans="1:26" ht="22.2" customHeight="1" x14ac:dyDescent="0.3">
      <c r="A1735" s="159" t="str">
        <f>+IF(PROVEEDORES[[#This Row],[FECHA DE PAGO]]=PROVEEDORES[[#This Row],[FECHA DE FACTURACIÓN]],"DE CONTADO","CRÉDITO")</f>
        <v>CRÉDITO</v>
      </c>
      <c r="B1735" s="38" t="str">
        <f>+IF((PROVEEDORES[[#This Row],[FECHA DE PAGO]]-PROVEEDORES[[#This Row],[FECHA DE FACTURACIÓN]])&gt;PROVEEDORES[[#This Row],[PLAZO Días]],"PAGO VENCIDO")</f>
        <v>PAGO VENCIDO</v>
      </c>
      <c r="C1735" s="20">
        <f>+VLOOKUP(PROVEEDORES[[#This Row],[PROVEEDOR]],TERCEROS_INFO[#All],2,FALSE)</f>
        <v>30</v>
      </c>
      <c r="D1735" s="25">
        <f>+SUMIFS(PROVEEDORES[Total],PROVEEDORES[PROVEEDOR],PROVEEDORES[[#This Row],[PROVEEDOR]],PROVEEDORES[FECHA DE PAGO],"")</f>
        <v>0</v>
      </c>
      <c r="E1735" s="25"/>
      <c r="F173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35" s="161">
        <v>44792</v>
      </c>
      <c r="H1735" s="26" t="s">
        <v>510</v>
      </c>
      <c r="I1735" s="161">
        <v>44726</v>
      </c>
      <c r="J1735" s="35" t="s">
        <v>1049</v>
      </c>
      <c r="K1735" s="21">
        <v>2578500</v>
      </c>
      <c r="L1735" s="21"/>
      <c r="M1735" s="22">
        <f>(PROVEEDORES[[#This Row],[SUBTOTAL]]-PROVEEDORES[[#This Row],[descuento sobre subtotal]])*VLOOKUP(PROVEEDORES[[#This Row],[PROVEEDOR]],TERCEROS_INFO[#All],3,FALSE)</f>
        <v>489915</v>
      </c>
      <c r="N1735" s="23"/>
      <c r="O1735" s="22">
        <f>+PROVEEDORES[[#This Row],[Descuento sobre subtotal %]]*(PROVEEDORES[[#This Row],[SUBTOTAL]]-PROVEEDORES[[#This Row],[descuento sobre subtotal]])</f>
        <v>0</v>
      </c>
      <c r="P1735" s="83">
        <f>+IF(PROVEEDORES[[#This Row],[SUBTOTAL]]&lt;PROVEEDORES[[#This Row],[base retencion]],0,PROVEEDORES[[#This Row],[retención aplicada]])</f>
        <v>0</v>
      </c>
      <c r="Q1735" s="22">
        <f>+PROVEEDORES[[#This Row],[Rete Fuente %]]*(PROVEEDORES[[#This Row],[SUBTOTAL]]-PROVEEDORES[[#This Row],[descuento sobre subtotal]])</f>
        <v>0</v>
      </c>
      <c r="R1735" s="21">
        <f>+PROVEEDORES[[#This Row],[SUBTOTAL]]+PROVEEDORES[[#This Row],[IVA 19%]]-PROVEEDORES[[#This Row],[descuento sobre subtotal]]-PROVEEDORES[[#This Row],[Descuento sobre subtotal $2]]-PROVEEDORES[[#This Row],[Rete Fuente $]]</f>
        <v>3068415</v>
      </c>
      <c r="S1735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5" s="68">
        <f ca="1">IF(PROVEEDORES[[#This Row],[FECHA DE PAGO]]=0,TODAY()-PROVEEDORES[[#This Row],[FECHA DE FACTURACIÓN]]-PROVEEDORES[[#This Row],[PLAZO Días]],0)</f>
        <v>0</v>
      </c>
      <c r="U1735" s="113">
        <f>+VLOOKUP(PROVEEDORES[[#This Row],[PROVEEDOR]],Terceros!$A:$D,4,FALSE)</f>
        <v>0</v>
      </c>
      <c r="V1735" s="114">
        <f>+YEAR(PROVEEDORES[[#This Row],[FECHA DE FACTURACIÓN]])</f>
        <v>2022</v>
      </c>
      <c r="W1735" s="114">
        <f>+MATCH(PROVEEDORES[[#This Row],[año facturado]],Retenciones!$1:$1,0)</f>
        <v>5</v>
      </c>
      <c r="X1735" s="115">
        <f>+VLOOKUP(PROVEEDORES[[#This Row],[ID RETENCION]],Retenciones!$A$1:$O$25,PROVEEDORES[[#This Row],[indicador de columna]],FALSE)</f>
        <v>0</v>
      </c>
      <c r="Y1735" s="116">
        <f>+VLOOKUP(PROVEEDORES[[#This Row],[ID RETENCION]],Retenciones!$A$1:$O$25,2,FALSE)</f>
        <v>0</v>
      </c>
      <c r="Z1735" s="125" t="b">
        <f>OR(COUNTIF(PROVEEDORES[[#This Row],[PROVEEDOR]],"*"&amp;'Palabra no opera'!$A$2&amp;"*"))</f>
        <v>0</v>
      </c>
    </row>
    <row r="1736" spans="1:26" ht="22.2" customHeight="1" x14ac:dyDescent="0.3">
      <c r="A1736" s="66" t="str">
        <f>+IF(PROVEEDORES[[#This Row],[FECHA DE PAGO]]=PROVEEDORES[[#This Row],[FECHA DE FACTURACIÓN]],"DE CONTADO","CRÉDITO")</f>
        <v>CRÉDITO</v>
      </c>
      <c r="B1736" s="38" t="str">
        <f>+IF((PROVEEDORES[[#This Row],[FECHA DE PAGO]]-PROVEEDORES[[#This Row],[FECHA DE FACTURACIÓN]])&gt;PROVEEDORES[[#This Row],[PLAZO Días]],"PAGO VENCIDO")</f>
        <v>PAGO VENCIDO</v>
      </c>
      <c r="C1736" s="20">
        <f>+VLOOKUP(PROVEEDORES[[#This Row],[PROVEEDOR]],TERCEROS_INFO[#All],2,FALSE)</f>
        <v>30</v>
      </c>
      <c r="D1736" s="25">
        <f>+SUMIFS(PROVEEDORES[Total],PROVEEDORES[PROVEEDOR],PROVEEDORES[[#This Row],[PROVEEDOR]],PROVEEDORES[FECHA DE PAGO],"")</f>
        <v>5272763.2050000001</v>
      </c>
      <c r="E1736" s="25"/>
      <c r="F173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36" s="161">
        <v>44385</v>
      </c>
      <c r="H1736" s="26" t="s">
        <v>11</v>
      </c>
      <c r="I1736" s="161">
        <v>44336</v>
      </c>
      <c r="J1736" s="35" t="s">
        <v>335</v>
      </c>
      <c r="K1736" s="21">
        <v>2640000</v>
      </c>
      <c r="L1736" s="21"/>
      <c r="M1736" s="22">
        <f>(PROVEEDORES[[#This Row],[SUBTOTAL]]-PROVEEDORES[[#This Row],[descuento sobre subtotal]])*VLOOKUP(PROVEEDORES[[#This Row],[PROVEEDOR]],TERCEROS_INFO[#All],3,FALSE)</f>
        <v>501600</v>
      </c>
      <c r="N1736" s="23"/>
      <c r="O1736" s="22">
        <f>+PROVEEDORES[[#This Row],[Descuento sobre subtotal %]]*(PROVEEDORES[[#This Row],[SUBTOTAL]]-PROVEEDORES[[#This Row],[descuento sobre subtotal]])</f>
        <v>0</v>
      </c>
      <c r="P1736" s="83">
        <f>+IF(PROVEEDORES[[#This Row],[SUBTOTAL]]&lt;PROVEEDORES[[#This Row],[base retencion]],0,PROVEEDORES[[#This Row],[retención aplicada]])</f>
        <v>2.5000000000000001E-2</v>
      </c>
      <c r="Q1736" s="22">
        <f>+PROVEEDORES[[#This Row],[Rete Fuente %]]*(PROVEEDORES[[#This Row],[SUBTOTAL]]-PROVEEDORES[[#This Row],[descuento sobre subtotal]])</f>
        <v>66000</v>
      </c>
      <c r="R1736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7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6" s="68">
        <f ca="1">IF(PROVEEDORES[[#This Row],[FECHA DE PAGO]]=0,TODAY()-PROVEEDORES[[#This Row],[FECHA DE FACTURACIÓN]]-PROVEEDORES[[#This Row],[PLAZO Días]],0)</f>
        <v>0</v>
      </c>
      <c r="U1736" s="96" t="str">
        <f>+VLOOKUP(PROVEEDORES[[#This Row],[PROVEEDOR]],Terceros!$A:$D,4,FALSE)</f>
        <v>2,5% con base</v>
      </c>
      <c r="V1736" s="97">
        <f>+YEAR(PROVEEDORES[[#This Row],[FECHA DE FACTURACIÓN]])</f>
        <v>2021</v>
      </c>
      <c r="W1736" s="97">
        <f>+MATCH(PROVEEDORES[[#This Row],[año facturado]],Retenciones!$1:$1,0)</f>
        <v>4</v>
      </c>
      <c r="X1736" s="98">
        <f>+VLOOKUP(PROVEEDORES[[#This Row],[ID RETENCION]],Retenciones!$A$1:$O$25,PROVEEDORES[[#This Row],[indicador de columna]],FALSE)</f>
        <v>980000</v>
      </c>
      <c r="Y1736" s="99">
        <f>+VLOOKUP(PROVEEDORES[[#This Row],[ID RETENCION]],Retenciones!$A$1:$O$25,2,FALSE)</f>
        <v>2.5000000000000001E-2</v>
      </c>
      <c r="Z1736" s="127" t="b">
        <f>OR(COUNTIF(PROVEEDORES[[#This Row],[PROVEEDOR]],"*"&amp;'Palabra no opera'!$A$2&amp;"*"))</f>
        <v>0</v>
      </c>
    </row>
    <row r="1737" spans="1:26" ht="22.2" customHeight="1" x14ac:dyDescent="0.3">
      <c r="A1737" s="66" t="str">
        <f>+IF(PROVEEDORES[[#This Row],[FECHA DE PAGO]]=PROVEEDORES[[#This Row],[FECHA DE FACTURACIÓN]],"DE CONTADO","CRÉDITO")</f>
        <v>CRÉDITO</v>
      </c>
      <c r="B1737" s="38" t="str">
        <f>+IF((PROVEEDORES[[#This Row],[FECHA DE PAGO]]-PROVEEDORES[[#This Row],[FECHA DE FACTURACIÓN]])&gt;PROVEEDORES[[#This Row],[PLAZO Días]],"PAGO VENCIDO")</f>
        <v>PAGO VENCIDO</v>
      </c>
      <c r="C1737" s="20">
        <f>+VLOOKUP(PROVEEDORES[[#This Row],[PROVEEDOR]],TERCEROS_INFO[#All],2,FALSE)</f>
        <v>30</v>
      </c>
      <c r="D1737" s="25">
        <f>+SUMIFS(PROVEEDORES[Total],PROVEEDORES[PROVEEDOR],PROVEEDORES[[#This Row],[PROVEEDOR]],PROVEEDORES[FECHA DE PAGO],"")</f>
        <v>5272763.2050000001</v>
      </c>
      <c r="E1737" s="25"/>
      <c r="F173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37" s="161">
        <v>44442</v>
      </c>
      <c r="H1737" s="26" t="s">
        <v>11</v>
      </c>
      <c r="I1737" s="161">
        <v>44404</v>
      </c>
      <c r="J1737" s="35" t="s">
        <v>391</v>
      </c>
      <c r="K1737" s="21">
        <v>2640000</v>
      </c>
      <c r="L1737" s="21"/>
      <c r="M1737" s="22">
        <f>(PROVEEDORES[[#This Row],[SUBTOTAL]]-PROVEEDORES[[#This Row],[descuento sobre subtotal]])*VLOOKUP(PROVEEDORES[[#This Row],[PROVEEDOR]],TERCEROS_INFO[#All],3,FALSE)</f>
        <v>501600</v>
      </c>
      <c r="N1737" s="23"/>
      <c r="O1737" s="22">
        <f>+PROVEEDORES[[#This Row],[Descuento sobre subtotal %]]*(PROVEEDORES[[#This Row],[SUBTOTAL]]-PROVEEDORES[[#This Row],[descuento sobre subtotal]])</f>
        <v>0</v>
      </c>
      <c r="P1737" s="83">
        <f>+IF(PROVEEDORES[[#This Row],[SUBTOTAL]]&lt;PROVEEDORES[[#This Row],[base retencion]],0,PROVEEDORES[[#This Row],[retención aplicada]])</f>
        <v>2.5000000000000001E-2</v>
      </c>
      <c r="Q1737" s="22">
        <f>+PROVEEDORES[[#This Row],[Rete Fuente %]]*(PROVEEDORES[[#This Row],[SUBTOTAL]]-PROVEEDORES[[#This Row],[descuento sobre subtotal]])</f>
        <v>66000</v>
      </c>
      <c r="R1737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7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7" s="68">
        <f ca="1">IF(PROVEEDORES[[#This Row],[FECHA DE PAGO]]=0,TODAY()-PROVEEDORES[[#This Row],[FECHA DE FACTURACIÓN]]-PROVEEDORES[[#This Row],[PLAZO Días]],0)</f>
        <v>0</v>
      </c>
      <c r="U1737" s="96" t="str">
        <f>+VLOOKUP(PROVEEDORES[[#This Row],[PROVEEDOR]],Terceros!$A:$D,4,FALSE)</f>
        <v>2,5% con base</v>
      </c>
      <c r="V1737" s="97">
        <f>+YEAR(PROVEEDORES[[#This Row],[FECHA DE FACTURACIÓN]])</f>
        <v>2021</v>
      </c>
      <c r="W1737" s="97">
        <f>+MATCH(PROVEEDORES[[#This Row],[año facturado]],Retenciones!$1:$1,0)</f>
        <v>4</v>
      </c>
      <c r="X1737" s="98">
        <f>+VLOOKUP(PROVEEDORES[[#This Row],[ID RETENCION]],Retenciones!$A$1:$O$25,PROVEEDORES[[#This Row],[indicador de columna]],FALSE)</f>
        <v>980000</v>
      </c>
      <c r="Y1737" s="99">
        <f>+VLOOKUP(PROVEEDORES[[#This Row],[ID RETENCION]],Retenciones!$A$1:$O$25,2,FALSE)</f>
        <v>2.5000000000000001E-2</v>
      </c>
      <c r="Z1737" s="127" t="b">
        <f>OR(COUNTIF(PROVEEDORES[[#This Row],[PROVEEDOR]],"*"&amp;'Palabra no opera'!$A$2&amp;"*"))</f>
        <v>0</v>
      </c>
    </row>
    <row r="1738" spans="1:26" ht="22.2" customHeight="1" x14ac:dyDescent="0.3">
      <c r="A1738" s="157" t="str">
        <f>+IF(PROVEEDORES[[#This Row],[FECHA DE PAGO]]=PROVEEDORES[[#This Row],[FECHA DE FACTURACIÓN]],"DE CONTADO","CRÉDITO")</f>
        <v>CRÉDITO</v>
      </c>
      <c r="B1738" s="38" t="str">
        <f>+IF((PROVEEDORES[[#This Row],[FECHA DE PAGO]]-PROVEEDORES[[#This Row],[FECHA DE FACTURACIÓN]])&gt;PROVEEDORES[[#This Row],[PLAZO Días]],"PAGO VENCIDO")</f>
        <v>PAGO VENCIDO</v>
      </c>
      <c r="C1738" s="20">
        <f>+VLOOKUP(PROVEEDORES[[#This Row],[PROVEEDOR]],TERCEROS_INFO[#All],2,FALSE)</f>
        <v>30</v>
      </c>
      <c r="D1738" s="25">
        <f>+SUMIFS(PROVEEDORES[Total],PROVEEDORES[PROVEEDOR],PROVEEDORES[[#This Row],[PROVEEDOR]],PROVEEDORES[FECHA DE PAGO],"")</f>
        <v>5272763.2050000001</v>
      </c>
      <c r="E1738" s="25"/>
      <c r="F173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38" s="161">
        <v>44750</v>
      </c>
      <c r="H1738" s="26" t="s">
        <v>11</v>
      </c>
      <c r="I1738" s="161">
        <v>44715</v>
      </c>
      <c r="J1738" s="35" t="s">
        <v>1026</v>
      </c>
      <c r="K1738" s="21">
        <v>2640000</v>
      </c>
      <c r="L1738" s="21"/>
      <c r="M1738" s="22">
        <f>(PROVEEDORES[[#This Row],[SUBTOTAL]]-PROVEEDORES[[#This Row],[descuento sobre subtotal]])*VLOOKUP(PROVEEDORES[[#This Row],[PROVEEDOR]],TERCEROS_INFO[#All],3,FALSE)</f>
        <v>501600</v>
      </c>
      <c r="N1738" s="23"/>
      <c r="O1738" s="22">
        <f>+PROVEEDORES[[#This Row],[Descuento sobre subtotal %]]*(PROVEEDORES[[#This Row],[SUBTOTAL]]-PROVEEDORES[[#This Row],[descuento sobre subtotal]])</f>
        <v>0</v>
      </c>
      <c r="P1738" s="83">
        <f>+IF(PROVEEDORES[[#This Row],[SUBTOTAL]]&lt;PROVEEDORES[[#This Row],[base retencion]],0,PROVEEDORES[[#This Row],[retención aplicada]])</f>
        <v>2.5000000000000001E-2</v>
      </c>
      <c r="Q1738" s="22">
        <f>+PROVEEDORES[[#This Row],[Rete Fuente %]]*(PROVEEDORES[[#This Row],[SUBTOTAL]]-PROVEEDORES[[#This Row],[descuento sobre subtotal]])</f>
        <v>66000</v>
      </c>
      <c r="R1738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738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8" s="68">
        <f ca="1">IF(PROVEEDORES[[#This Row],[FECHA DE PAGO]]=0,TODAY()-PROVEEDORES[[#This Row],[FECHA DE FACTURACIÓN]]-PROVEEDORES[[#This Row],[PLAZO Días]],0)</f>
        <v>0</v>
      </c>
      <c r="U1738" s="113" t="str">
        <f>+VLOOKUP(PROVEEDORES[[#This Row],[PROVEEDOR]],Terceros!$A:$D,4,FALSE)</f>
        <v>2,5% con base</v>
      </c>
      <c r="V1738" s="114">
        <f>+YEAR(PROVEEDORES[[#This Row],[FECHA DE FACTURACIÓN]])</f>
        <v>2022</v>
      </c>
      <c r="W1738" s="114">
        <f>+MATCH(PROVEEDORES[[#This Row],[año facturado]],Retenciones!$1:$1,0)</f>
        <v>5</v>
      </c>
      <c r="X1738" s="115">
        <f>+VLOOKUP(PROVEEDORES[[#This Row],[ID RETENCION]],Retenciones!$A$1:$O$25,PROVEEDORES[[#This Row],[indicador de columna]],FALSE)</f>
        <v>1026000</v>
      </c>
      <c r="Y1738" s="116">
        <f>+VLOOKUP(PROVEEDORES[[#This Row],[ID RETENCION]],Retenciones!$A$1:$O$25,2,FALSE)</f>
        <v>2.5000000000000001E-2</v>
      </c>
      <c r="Z1738" s="125" t="b">
        <f>OR(COUNTIF(PROVEEDORES[[#This Row],[PROVEEDOR]],"*"&amp;'Palabra no opera'!$A$2&amp;"*"))</f>
        <v>0</v>
      </c>
    </row>
    <row r="1739" spans="1:26" ht="22.2" customHeight="1" x14ac:dyDescent="0.3">
      <c r="A1739" s="159" t="str">
        <f>+IF(PROVEEDORES[[#This Row],[FECHA DE PAGO]]=PROVEEDORES[[#This Row],[FECHA DE FACTURACIÓN]],"DE CONTADO","CRÉDITO")</f>
        <v>CRÉDITO</v>
      </c>
      <c r="B1739" s="38" t="str">
        <f>+IF((PROVEEDORES[[#This Row],[FECHA DE PAGO]]-PROVEEDORES[[#This Row],[FECHA DE FACTURACIÓN]])&gt;PROVEEDORES[[#This Row],[PLAZO Días]],"PAGO VENCIDO")</f>
        <v>PAGO VENCIDO</v>
      </c>
      <c r="C1739" s="20">
        <f>+VLOOKUP(PROVEEDORES[[#This Row],[PROVEEDOR]],TERCEROS_INFO[#All],2,FALSE)</f>
        <v>30</v>
      </c>
      <c r="D1739" s="25">
        <f>+SUMIFS(PROVEEDORES[Total],PROVEEDORES[PROVEEDOR],PROVEEDORES[[#This Row],[PROVEEDOR]],PROVEEDORES[FECHA DE PAGO],"")</f>
        <v>5272763.2050000001</v>
      </c>
      <c r="E1739" s="25"/>
      <c r="F173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39" s="161">
        <v>44776</v>
      </c>
      <c r="H1739" s="26" t="s">
        <v>11</v>
      </c>
      <c r="I1739" s="161">
        <v>44724</v>
      </c>
      <c r="J1739" s="35" t="s">
        <v>1044</v>
      </c>
      <c r="K1739" s="21">
        <v>2640000</v>
      </c>
      <c r="L1739" s="21"/>
      <c r="M1739" s="22">
        <f>(PROVEEDORES[[#This Row],[SUBTOTAL]]-PROVEEDORES[[#This Row],[descuento sobre subtotal]])*VLOOKUP(PROVEEDORES[[#This Row],[PROVEEDOR]],TERCEROS_INFO[#All],3,FALSE)</f>
        <v>501600</v>
      </c>
      <c r="N1739" s="23"/>
      <c r="O1739" s="22">
        <f>+PROVEEDORES[[#This Row],[Descuento sobre subtotal %]]*(PROVEEDORES[[#This Row],[SUBTOTAL]]-PROVEEDORES[[#This Row],[descuento sobre subtotal]])</f>
        <v>0</v>
      </c>
      <c r="P1739" s="83">
        <f>+IF(PROVEEDORES[[#This Row],[SUBTOTAL]]&lt;PROVEEDORES[[#This Row],[base retencion]],0,PROVEEDORES[[#This Row],[retención aplicada]])</f>
        <v>2.5000000000000001E-2</v>
      </c>
      <c r="Q1739" s="22">
        <f>+PROVEEDORES[[#This Row],[Rete Fuente %]]*(PROVEEDORES[[#This Row],[SUBTOTAL]]-PROVEEDORES[[#This Row],[descuento sobre subtotal]])</f>
        <v>66000</v>
      </c>
      <c r="R1739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73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9" s="68">
        <f ca="1">IF(PROVEEDORES[[#This Row],[FECHA DE PAGO]]=0,TODAY()-PROVEEDORES[[#This Row],[FECHA DE FACTURACIÓN]]-PROVEEDORES[[#This Row],[PLAZO Días]],0)</f>
        <v>0</v>
      </c>
      <c r="U1739" s="113" t="str">
        <f>+VLOOKUP(PROVEEDORES[[#This Row],[PROVEEDOR]],Terceros!$A:$D,4,FALSE)</f>
        <v>2,5% con base</v>
      </c>
      <c r="V1739" s="114">
        <f>+YEAR(PROVEEDORES[[#This Row],[FECHA DE FACTURACIÓN]])</f>
        <v>2022</v>
      </c>
      <c r="W1739" s="114">
        <f>+MATCH(PROVEEDORES[[#This Row],[año facturado]],Retenciones!$1:$1,0)</f>
        <v>5</v>
      </c>
      <c r="X1739" s="115">
        <f>+VLOOKUP(PROVEEDORES[[#This Row],[ID RETENCION]],Retenciones!$A$1:$O$25,PROVEEDORES[[#This Row],[indicador de columna]],FALSE)</f>
        <v>1026000</v>
      </c>
      <c r="Y1739" s="116">
        <f>+VLOOKUP(PROVEEDORES[[#This Row],[ID RETENCION]],Retenciones!$A$1:$O$25,2,FALSE)</f>
        <v>2.5000000000000001E-2</v>
      </c>
      <c r="Z1739" s="125" t="b">
        <f>OR(COUNTIF(PROVEEDORES[[#This Row],[PROVEEDOR]],"*"&amp;'Palabra no opera'!$A$2&amp;"*"))</f>
        <v>0</v>
      </c>
    </row>
    <row r="1740" spans="1:26" ht="22.2" customHeight="1" x14ac:dyDescent="0.3">
      <c r="A1740" s="66" t="str">
        <f>+IF(PROVEEDORES[[#This Row],[FECHA DE PAGO]]=PROVEEDORES[[#This Row],[FECHA DE FACTURACIÓN]],"DE CONTADO","CRÉDITO")</f>
        <v>DE CONTADO</v>
      </c>
      <c r="B1740" s="38" t="b">
        <f>+IF((PROVEEDORES[[#This Row],[FECHA DE PAGO]]-PROVEEDORES[[#This Row],[FECHA DE FACTURACIÓN]])&gt;PROVEEDORES[[#This Row],[PLAZO Días]],"PAGO VENCIDO")</f>
        <v>0</v>
      </c>
      <c r="C1740" s="20">
        <f>+VLOOKUP(PROVEEDORES[[#This Row],[PROVEEDOR]],TERCEROS_INFO[#All],2,FALSE)</f>
        <v>30</v>
      </c>
      <c r="D1740" s="25">
        <f>+SUMIFS(PROVEEDORES[Total],PROVEEDORES[PROVEEDOR],PROVEEDORES[[#This Row],[PROVEEDOR]],PROVEEDORES[FECHA DE PAGO],"")</f>
        <v>0</v>
      </c>
      <c r="E1740" s="25"/>
      <c r="F1740" s="58" t="str">
        <f>+VLOOKUP(PROVEEDORES[[#This Row],[PROVEEDOR]],
                       Terceros!$A:$F,
                       5,
                       FALSE)</f>
        <v/>
      </c>
      <c r="G1740" s="161">
        <v>44469</v>
      </c>
      <c r="H1740" s="26" t="s">
        <v>644</v>
      </c>
      <c r="I1740" s="161">
        <v>44469</v>
      </c>
      <c r="J1740" s="35" t="s">
        <v>1188</v>
      </c>
      <c r="K1740" s="21">
        <v>3116500</v>
      </c>
      <c r="L1740" s="21"/>
      <c r="M1740" s="22">
        <f>(PROVEEDORES[[#This Row],[SUBTOTAL]]-PROVEEDORES[[#This Row],[descuento sobre subtotal]])*VLOOKUP(PROVEEDORES[[#This Row],[PROVEEDOR]],TERCEROS_INFO[#All],3,FALSE)</f>
        <v>0</v>
      </c>
      <c r="N1740" s="23"/>
      <c r="O1740" s="22">
        <f>+PROVEEDORES[[#This Row],[Descuento sobre subtotal %]]*(PROVEEDORES[[#This Row],[SUBTOTAL]]-PROVEEDORES[[#This Row],[descuento sobre subtotal]])</f>
        <v>0</v>
      </c>
      <c r="P1740" s="83">
        <f>+IF(PROVEEDORES[[#This Row],[SUBTOTAL]]&lt;PROVEEDORES[[#This Row],[base retencion]],0,PROVEEDORES[[#This Row],[retención aplicada]])</f>
        <v>0</v>
      </c>
      <c r="Q1740" s="22">
        <f>+PROVEEDORES[[#This Row],[Rete Fuente %]]*(PROVEEDORES[[#This Row],[SUBTOTAL]]-PROVEEDORES[[#This Row],[descuento sobre subtotal]])</f>
        <v>0</v>
      </c>
      <c r="R1740" s="21">
        <f>+PROVEEDORES[[#This Row],[SUBTOTAL]]+PROVEEDORES[[#This Row],[IVA 19%]]-PROVEEDORES[[#This Row],[descuento sobre subtotal]]-PROVEEDORES[[#This Row],[Descuento sobre subtotal $2]]-PROVEEDORES[[#This Row],[Rete Fuente $]]</f>
        <v>3116500</v>
      </c>
      <c r="S17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0" s="68">
        <f ca="1">IF(PROVEEDORES[[#This Row],[FECHA DE PAGO]]=0,TODAY()-PROVEEDORES[[#This Row],[FECHA DE FACTURACIÓN]]-PROVEEDORES[[#This Row],[PLAZO Días]],0)</f>
        <v>0</v>
      </c>
      <c r="U1740" s="96">
        <f>+VLOOKUP(PROVEEDORES[[#This Row],[PROVEEDOR]],Terceros!$A:$D,4,FALSE)</f>
        <v>0</v>
      </c>
      <c r="V1740" s="97">
        <f>+YEAR(PROVEEDORES[[#This Row],[FECHA DE FACTURACIÓN]])</f>
        <v>2021</v>
      </c>
      <c r="W1740" s="97">
        <f>+MATCH(PROVEEDORES[[#This Row],[año facturado]],Retenciones!$1:$1,0)</f>
        <v>4</v>
      </c>
      <c r="X1740" s="98">
        <f>+VLOOKUP(PROVEEDORES[[#This Row],[ID RETENCION]],Retenciones!$A$1:$O$25,PROVEEDORES[[#This Row],[indicador de columna]],FALSE)</f>
        <v>0</v>
      </c>
      <c r="Y1740" s="99">
        <f>+VLOOKUP(PROVEEDORES[[#This Row],[ID RETENCION]],Retenciones!$A$1:$O$25,2,FALSE)</f>
        <v>0</v>
      </c>
      <c r="Z1740" s="125" t="b">
        <f>OR(COUNTIF(PROVEEDORES[[#This Row],[PROVEEDOR]],"*"&amp;'Palabra no opera'!$A$2&amp;"*"))</f>
        <v>0</v>
      </c>
    </row>
    <row r="1741" spans="1:26" ht="22.2" customHeight="1" x14ac:dyDescent="0.3">
      <c r="A1741" s="66" t="str">
        <f>+IF(PROVEEDORES[[#This Row],[FECHA DE PAGO]]=PROVEEDORES[[#This Row],[FECHA DE FACTURACIÓN]],"DE CONTADO","CRÉDITO")</f>
        <v>CRÉDITO</v>
      </c>
      <c r="B1741" s="38" t="str">
        <f>+IF((PROVEEDORES[[#This Row],[FECHA DE PAGO]]-PROVEEDORES[[#This Row],[FECHA DE FACTURACIÓN]])&gt;PROVEEDORES[[#This Row],[PLAZO Días]],"PAGO VENCIDO")</f>
        <v>PAGO VENCIDO</v>
      </c>
      <c r="C1741" s="20">
        <f>+VLOOKUP(PROVEEDORES[[#This Row],[PROVEEDOR]],TERCEROS_INFO[#All],2,FALSE)</f>
        <v>30</v>
      </c>
      <c r="D1741" s="25">
        <f>+SUMIFS(PROVEEDORES[Total],PROVEEDORES[PROVEEDOR],PROVEEDORES[[#This Row],[PROVEEDOR]],PROVEEDORES[FECHA DE PAGO],"")</f>
        <v>0</v>
      </c>
      <c r="E1741" s="25"/>
      <c r="F174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41" s="161">
        <v>44537</v>
      </c>
      <c r="H1741" s="26" t="s">
        <v>1637</v>
      </c>
      <c r="I1741" s="161">
        <v>44490</v>
      </c>
      <c r="J1741" s="35">
        <v>23042</v>
      </c>
      <c r="K1741" s="21">
        <v>2798870</v>
      </c>
      <c r="L1741" s="21">
        <v>110990</v>
      </c>
      <c r="M1741" s="22">
        <f>(PROVEEDORES[[#This Row],[SUBTOTAL]]-PROVEEDORES[[#This Row],[descuento sobre subtotal]])*VLOOKUP(PROVEEDORES[[#This Row],[PROVEEDOR]],TERCEROS_INFO[#All],3,FALSE)</f>
        <v>510697.2</v>
      </c>
      <c r="N1741" s="23"/>
      <c r="O1741" s="22">
        <f>+PROVEEDORES[[#This Row],[Descuento sobre subtotal %]]*(PROVEEDORES[[#This Row],[SUBTOTAL]]-PROVEEDORES[[#This Row],[descuento sobre subtotal]])</f>
        <v>0</v>
      </c>
      <c r="P1741" s="83">
        <f>+IF(PROVEEDORES[[#This Row],[SUBTOTAL]]&lt;PROVEEDORES[[#This Row],[base retencion]],0,PROVEEDORES[[#This Row],[retención aplicada]])</f>
        <v>2.5000000000000001E-2</v>
      </c>
      <c r="Q1741" s="22">
        <f>+PROVEEDORES[[#This Row],[Rete Fuente %]]*(PROVEEDORES[[#This Row],[SUBTOTAL]]-PROVEEDORES[[#This Row],[descuento sobre subtotal]])</f>
        <v>67197</v>
      </c>
      <c r="R1741" s="21">
        <f>+PROVEEDORES[[#This Row],[SUBTOTAL]]+PROVEEDORES[[#This Row],[IVA 19%]]-PROVEEDORES[[#This Row],[descuento sobre subtotal]]-PROVEEDORES[[#This Row],[Descuento sobre subtotal $2]]-PROVEEDORES[[#This Row],[Rete Fuente $]]</f>
        <v>3131380.2</v>
      </c>
      <c r="S17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1" s="68">
        <f ca="1">IF(PROVEEDORES[[#This Row],[FECHA DE PAGO]]=0,TODAY()-PROVEEDORES[[#This Row],[FECHA DE FACTURACIÓN]]-PROVEEDORES[[#This Row],[PLAZO Días]],0)</f>
        <v>0</v>
      </c>
      <c r="U1741" s="96" t="str">
        <f>+VLOOKUP(PROVEEDORES[[#This Row],[PROVEEDOR]],Terceros!$A:$D,4,FALSE)</f>
        <v>2,5% con base</v>
      </c>
      <c r="V1741" s="97">
        <f>+YEAR(PROVEEDORES[[#This Row],[FECHA DE FACTURACIÓN]])</f>
        <v>2021</v>
      </c>
      <c r="W1741" s="97">
        <f>+MATCH(PROVEEDORES[[#This Row],[año facturado]],Retenciones!$1:$1,0)</f>
        <v>4</v>
      </c>
      <c r="X1741" s="98">
        <f>+VLOOKUP(PROVEEDORES[[#This Row],[ID RETENCION]],Retenciones!$A$1:$O$25,PROVEEDORES[[#This Row],[indicador de columna]],FALSE)</f>
        <v>980000</v>
      </c>
      <c r="Y1741" s="99">
        <f>+VLOOKUP(PROVEEDORES[[#This Row],[ID RETENCION]],Retenciones!$A$1:$O$25,2,FALSE)</f>
        <v>2.5000000000000001E-2</v>
      </c>
      <c r="Z1741" s="125" t="b">
        <f>OR(COUNTIF(PROVEEDORES[[#This Row],[PROVEEDOR]],"*"&amp;'Palabra no opera'!$A$2&amp;"*"))</f>
        <v>0</v>
      </c>
    </row>
    <row r="1742" spans="1:26" ht="22.2" customHeight="1" x14ac:dyDescent="0.3">
      <c r="A1742" s="66" t="str">
        <f>+IF(PROVEEDORES[[#This Row],[FECHA DE PAGO]]=PROVEEDORES[[#This Row],[FECHA DE FACTURACIÓN]],"DE CONTADO","CRÉDITO")</f>
        <v>CRÉDITO</v>
      </c>
      <c r="B1742" s="38" t="str">
        <f>+IF((PROVEEDORES[[#This Row],[FECHA DE PAGO]]-PROVEEDORES[[#This Row],[FECHA DE FACTURACIÓN]])&gt;PROVEEDORES[[#This Row],[PLAZO Días]],"PAGO VENCIDO")</f>
        <v>PAGO VENCIDO</v>
      </c>
      <c r="C1742" s="20">
        <f>+VLOOKUP(PROVEEDORES[[#This Row],[PROVEEDOR]],TERCEROS_INFO[#All],2,FALSE)</f>
        <v>30</v>
      </c>
      <c r="D1742" s="25">
        <f>+SUMIFS(PROVEEDORES[Total],PROVEEDORES[PROVEEDOR],PROVEEDORES[[#This Row],[PROVEEDOR]],PROVEEDORES[FECHA DE PAGO],"")</f>
        <v>5272763.2050000001</v>
      </c>
      <c r="E1742" s="25"/>
      <c r="F174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42" s="161">
        <v>44558</v>
      </c>
      <c r="H1742" s="26" t="s">
        <v>11</v>
      </c>
      <c r="I1742" s="161">
        <v>44526</v>
      </c>
      <c r="J1742" s="35" t="s">
        <v>548</v>
      </c>
      <c r="K1742" s="21">
        <v>2700504</v>
      </c>
      <c r="L1742" s="21"/>
      <c r="M1742" s="22">
        <f>(PROVEEDORES[[#This Row],[SUBTOTAL]]-PROVEEDORES[[#This Row],[descuento sobre subtotal]])*VLOOKUP(PROVEEDORES[[#This Row],[PROVEEDOR]],TERCEROS_INFO[#All],3,FALSE)</f>
        <v>513095.76</v>
      </c>
      <c r="N1742" s="23"/>
      <c r="O1742" s="22">
        <f>+PROVEEDORES[[#This Row],[Descuento sobre subtotal %]]*(PROVEEDORES[[#This Row],[SUBTOTAL]]-PROVEEDORES[[#This Row],[descuento sobre subtotal]])</f>
        <v>0</v>
      </c>
      <c r="P1742" s="83">
        <f>+IF(PROVEEDORES[[#This Row],[SUBTOTAL]]&lt;PROVEEDORES[[#This Row],[base retencion]],0,PROVEEDORES[[#This Row],[retención aplicada]])</f>
        <v>2.5000000000000001E-2</v>
      </c>
      <c r="Q1742" s="22">
        <f>+PROVEEDORES[[#This Row],[Rete Fuente %]]*(PROVEEDORES[[#This Row],[SUBTOTAL]]-PROVEEDORES[[#This Row],[descuento sobre subtotal]])</f>
        <v>67512.600000000006</v>
      </c>
      <c r="R1742" s="21">
        <f>+PROVEEDORES[[#This Row],[SUBTOTAL]]+PROVEEDORES[[#This Row],[IVA 19%]]-PROVEEDORES[[#This Row],[descuento sobre subtotal]]-PROVEEDORES[[#This Row],[Descuento sobre subtotal $2]]-PROVEEDORES[[#This Row],[Rete Fuente $]]</f>
        <v>3146087.1599999997</v>
      </c>
      <c r="S17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2" s="68">
        <f ca="1">IF(PROVEEDORES[[#This Row],[FECHA DE PAGO]]=0,TODAY()-PROVEEDORES[[#This Row],[FECHA DE FACTURACIÓN]]-PROVEEDORES[[#This Row],[PLAZO Días]],0)</f>
        <v>0</v>
      </c>
      <c r="U1742" s="96" t="str">
        <f>+VLOOKUP(PROVEEDORES[[#This Row],[PROVEEDOR]],Terceros!$A:$D,4,FALSE)</f>
        <v>2,5% con base</v>
      </c>
      <c r="V1742" s="97">
        <f>+YEAR(PROVEEDORES[[#This Row],[FECHA DE FACTURACIÓN]])</f>
        <v>2021</v>
      </c>
      <c r="W1742" s="97">
        <f>+MATCH(PROVEEDORES[[#This Row],[año facturado]],Retenciones!$1:$1,0)</f>
        <v>4</v>
      </c>
      <c r="X1742" s="98">
        <f>+VLOOKUP(PROVEEDORES[[#This Row],[ID RETENCION]],Retenciones!$A$1:$O$25,PROVEEDORES[[#This Row],[indicador de columna]],FALSE)</f>
        <v>980000</v>
      </c>
      <c r="Y1742" s="99">
        <f>+VLOOKUP(PROVEEDORES[[#This Row],[ID RETENCION]],Retenciones!$A$1:$O$25,2,FALSE)</f>
        <v>2.5000000000000001E-2</v>
      </c>
      <c r="Z1742" s="127" t="b">
        <f>OR(COUNTIF(PROVEEDORES[[#This Row],[PROVEEDOR]],"*"&amp;'Palabra no opera'!$A$2&amp;"*"))</f>
        <v>0</v>
      </c>
    </row>
    <row r="1743" spans="1:26" ht="22.2" customHeight="1" x14ac:dyDescent="0.3">
      <c r="A1743" s="66" t="str">
        <f>+IF(PROVEEDORES[[#This Row],[FECHA DE PAGO]]=PROVEEDORES[[#This Row],[FECHA DE FACTURACIÓN]],"DE CONTADO","CRÉDITO")</f>
        <v>DE CONTADO</v>
      </c>
      <c r="B1743" s="38" t="b">
        <f>+IF((PROVEEDORES[[#This Row],[FECHA DE PAGO]]-PROVEEDORES[[#This Row],[FECHA DE FACTURACIÓN]])&gt;PROVEEDORES[[#This Row],[PLAZO Días]],"PAGO VENCIDO")</f>
        <v>0</v>
      </c>
      <c r="C1743" s="20">
        <f>+VLOOKUP(PROVEEDORES[[#This Row],[PROVEEDOR]],TERCEROS_INFO[#All],2,FALSE)</f>
        <v>30</v>
      </c>
      <c r="D1743" s="25">
        <f>+SUMIFS(PROVEEDORES[Total],PROVEEDORES[PROVEEDOR],PROVEEDORES[[#This Row],[PROVEEDOR]],PROVEEDORES[FECHA DE PAGO],"")</f>
        <v>0</v>
      </c>
      <c r="E1743" s="25"/>
      <c r="F1743" s="58" t="str">
        <f>+VLOOKUP(PROVEEDORES[[#This Row],[PROVEEDOR]],
                       Terceros!$A:$F,
                       5,
                       FALSE)</f>
        <v/>
      </c>
      <c r="G1743" s="161">
        <v>44530</v>
      </c>
      <c r="H1743" s="26" t="s">
        <v>644</v>
      </c>
      <c r="I1743" s="161">
        <v>44530</v>
      </c>
      <c r="J1743" s="35" t="s">
        <v>1188</v>
      </c>
      <c r="K1743" s="21">
        <v>3153500</v>
      </c>
      <c r="L1743" s="21"/>
      <c r="M1743" s="22">
        <f>(PROVEEDORES[[#This Row],[SUBTOTAL]]-PROVEEDORES[[#This Row],[descuento sobre subtotal]])*VLOOKUP(PROVEEDORES[[#This Row],[PROVEEDOR]],TERCEROS_INFO[#All],3,FALSE)</f>
        <v>0</v>
      </c>
      <c r="N1743" s="23"/>
      <c r="O1743" s="22">
        <f>+PROVEEDORES[[#This Row],[Descuento sobre subtotal %]]*(PROVEEDORES[[#This Row],[SUBTOTAL]]-PROVEEDORES[[#This Row],[descuento sobre subtotal]])</f>
        <v>0</v>
      </c>
      <c r="P1743" s="83">
        <f>+IF(PROVEEDORES[[#This Row],[SUBTOTAL]]&lt;PROVEEDORES[[#This Row],[base retencion]],0,PROVEEDORES[[#This Row],[retención aplicada]])</f>
        <v>0</v>
      </c>
      <c r="Q1743" s="22">
        <f>+PROVEEDORES[[#This Row],[Rete Fuente %]]*(PROVEEDORES[[#This Row],[SUBTOTAL]]-PROVEEDORES[[#This Row],[descuento sobre subtotal]])</f>
        <v>0</v>
      </c>
      <c r="R1743" s="21">
        <f>+PROVEEDORES[[#This Row],[SUBTOTAL]]+PROVEEDORES[[#This Row],[IVA 19%]]-PROVEEDORES[[#This Row],[descuento sobre subtotal]]-PROVEEDORES[[#This Row],[Descuento sobre subtotal $2]]-PROVEEDORES[[#This Row],[Rete Fuente $]]</f>
        <v>3153500</v>
      </c>
      <c r="S174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3" s="68">
        <f ca="1">IF(PROVEEDORES[[#This Row],[FECHA DE PAGO]]=0,TODAY()-PROVEEDORES[[#This Row],[FECHA DE FACTURACIÓN]]-PROVEEDORES[[#This Row],[PLAZO Días]],0)</f>
        <v>0</v>
      </c>
      <c r="U1743" s="96">
        <f>+VLOOKUP(PROVEEDORES[[#This Row],[PROVEEDOR]],Terceros!$A:$D,4,FALSE)</f>
        <v>0</v>
      </c>
      <c r="V1743" s="97">
        <f>+YEAR(PROVEEDORES[[#This Row],[FECHA DE FACTURACIÓN]])</f>
        <v>2021</v>
      </c>
      <c r="W1743" s="97">
        <f>+MATCH(PROVEEDORES[[#This Row],[año facturado]],Retenciones!$1:$1,0)</f>
        <v>4</v>
      </c>
      <c r="X1743" s="98">
        <f>+VLOOKUP(PROVEEDORES[[#This Row],[ID RETENCION]],Retenciones!$A$1:$O$25,PROVEEDORES[[#This Row],[indicador de columna]],FALSE)</f>
        <v>0</v>
      </c>
      <c r="Y1743" s="99">
        <f>+VLOOKUP(PROVEEDORES[[#This Row],[ID RETENCION]],Retenciones!$A$1:$O$25,2,FALSE)</f>
        <v>0</v>
      </c>
      <c r="Z1743" s="125" t="b">
        <f>OR(COUNTIF(PROVEEDORES[[#This Row],[PROVEEDOR]],"*"&amp;'Palabra no opera'!$A$2&amp;"*"))</f>
        <v>0</v>
      </c>
    </row>
    <row r="1744" spans="1:26" ht="22.2" customHeight="1" x14ac:dyDescent="0.3">
      <c r="A1744" s="66" t="str">
        <f>+IF(PROVEEDORES[[#This Row],[FECHA DE PAGO]]=PROVEEDORES[[#This Row],[FECHA DE FACTURACIÓN]],"DE CONTADO","CRÉDITO")</f>
        <v>CRÉDITO</v>
      </c>
      <c r="B1744" s="38" t="str">
        <f>+IF((PROVEEDORES[[#This Row],[FECHA DE PAGO]]-PROVEEDORES[[#This Row],[FECHA DE FACTURACIÓN]])&gt;PROVEEDORES[[#This Row],[PLAZO Días]],"PAGO VENCIDO")</f>
        <v>PAGO VENCIDO</v>
      </c>
      <c r="C1744" s="20">
        <f>+VLOOKUP(PROVEEDORES[[#This Row],[PROVEEDOR]],TERCEROS_INFO[#All],2,FALSE)</f>
        <v>30</v>
      </c>
      <c r="D1744" s="25">
        <f>+SUMIFS(PROVEEDORES[Total],PROVEEDORES[PROVEEDOR],PROVEEDORES[[#This Row],[PROVEEDOR]],PROVEEDORES[FECHA DE PAGO],"")</f>
        <v>0</v>
      </c>
      <c r="E1744" s="25"/>
      <c r="F174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44" s="161">
        <v>44496</v>
      </c>
      <c r="H1744" s="26" t="s">
        <v>26</v>
      </c>
      <c r="I1744" s="161">
        <v>44449</v>
      </c>
      <c r="J1744" s="35" t="s">
        <v>472</v>
      </c>
      <c r="K1744" s="21">
        <v>2720000</v>
      </c>
      <c r="L1744" s="21"/>
      <c r="M1744" s="22">
        <f>(PROVEEDORES[[#This Row],[SUBTOTAL]]-PROVEEDORES[[#This Row],[descuento sobre subtotal]])*VLOOKUP(PROVEEDORES[[#This Row],[PROVEEDOR]],TERCEROS_INFO[#All],3,FALSE)</f>
        <v>516800</v>
      </c>
      <c r="N1744" s="23"/>
      <c r="O1744" s="22">
        <f>+PROVEEDORES[[#This Row],[Descuento sobre subtotal %]]*(PROVEEDORES[[#This Row],[SUBTOTAL]]-PROVEEDORES[[#This Row],[descuento sobre subtotal]])</f>
        <v>0</v>
      </c>
      <c r="P1744" s="83">
        <f>+IF(PROVEEDORES[[#This Row],[SUBTOTAL]]&lt;PROVEEDORES[[#This Row],[base retencion]],0,PROVEEDORES[[#This Row],[retención aplicada]])</f>
        <v>2.5000000000000001E-2</v>
      </c>
      <c r="Q1744" s="22">
        <f>+PROVEEDORES[[#This Row],[Rete Fuente %]]*(PROVEEDORES[[#This Row],[SUBTOTAL]]-PROVEEDORES[[#This Row],[descuento sobre subtotal]])</f>
        <v>68000</v>
      </c>
      <c r="R1744" s="21">
        <f>+PROVEEDORES[[#This Row],[SUBTOTAL]]+PROVEEDORES[[#This Row],[IVA 19%]]-PROVEEDORES[[#This Row],[descuento sobre subtotal]]-PROVEEDORES[[#This Row],[Descuento sobre subtotal $2]]-PROVEEDORES[[#This Row],[Rete Fuente $]]</f>
        <v>3168800</v>
      </c>
      <c r="S17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4" s="68">
        <f ca="1">IF(PROVEEDORES[[#This Row],[FECHA DE PAGO]]=0,TODAY()-PROVEEDORES[[#This Row],[FECHA DE FACTURACIÓN]]-PROVEEDORES[[#This Row],[PLAZO Días]],0)</f>
        <v>0</v>
      </c>
      <c r="U1744" s="96" t="str">
        <f>+VLOOKUP(PROVEEDORES[[#This Row],[PROVEEDOR]],Terceros!$A:$D,4,FALSE)</f>
        <v>2,5% con base</v>
      </c>
      <c r="V1744" s="97">
        <f>+YEAR(PROVEEDORES[[#This Row],[FECHA DE FACTURACIÓN]])</f>
        <v>2021</v>
      </c>
      <c r="W1744" s="97">
        <f>+MATCH(PROVEEDORES[[#This Row],[año facturado]],Retenciones!$1:$1,0)</f>
        <v>4</v>
      </c>
      <c r="X1744" s="98">
        <f>+VLOOKUP(PROVEEDORES[[#This Row],[ID RETENCION]],Retenciones!$A$1:$O$25,PROVEEDORES[[#This Row],[indicador de columna]],FALSE)</f>
        <v>980000</v>
      </c>
      <c r="Y1744" s="99">
        <f>+VLOOKUP(PROVEEDORES[[#This Row],[ID RETENCION]],Retenciones!$A$1:$O$25,2,FALSE)</f>
        <v>2.5000000000000001E-2</v>
      </c>
      <c r="Z1744" s="125" t="b">
        <f>OR(COUNTIF(PROVEEDORES[[#This Row],[PROVEEDOR]],"*"&amp;'Palabra no opera'!$A$2&amp;"*"))</f>
        <v>0</v>
      </c>
    </row>
    <row r="1745" spans="1:26" ht="22.2" customHeight="1" x14ac:dyDescent="0.3">
      <c r="A1745" s="66" t="str">
        <f>+IF(PROVEEDORES[[#This Row],[FECHA DE PAGO]]=PROVEEDORES[[#This Row],[FECHA DE FACTURACIÓN]],"DE CONTADO","CRÉDITO")</f>
        <v>CRÉDITO</v>
      </c>
      <c r="B1745" s="38" t="str">
        <f>+IF((PROVEEDORES[[#This Row],[FECHA DE PAGO]]-PROVEEDORES[[#This Row],[FECHA DE FACTURACIÓN]])&gt;PROVEEDORES[[#This Row],[PLAZO Días]],"PAGO VENCIDO")</f>
        <v>PAGO VENCIDO</v>
      </c>
      <c r="C1745" s="20">
        <f>+VLOOKUP(PROVEEDORES[[#This Row],[PROVEEDOR]],TERCEROS_INFO[#All],2,FALSE)</f>
        <v>45</v>
      </c>
      <c r="D1745" s="25">
        <f>+SUMIFS(PROVEEDORES[Total],PROVEEDORES[PROVEEDOR],PROVEEDORES[[#This Row],[PROVEEDOR]],PROVEEDORES[FECHA DE PAGO],"")</f>
        <v>2604910</v>
      </c>
      <c r="E1745" s="25"/>
      <c r="F174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745" s="161">
        <v>44411</v>
      </c>
      <c r="H1745" s="26" t="s">
        <v>10</v>
      </c>
      <c r="I1745" s="161">
        <v>44348</v>
      </c>
      <c r="J1745" s="35" t="s">
        <v>341</v>
      </c>
      <c r="K1745" s="21">
        <v>2682000</v>
      </c>
      <c r="L1745" s="21"/>
      <c r="M1745" s="22">
        <f>(PROVEEDORES[[#This Row],[SUBTOTAL]]-PROVEEDORES[[#This Row],[descuento sobre subtotal]])*VLOOKUP(PROVEEDORES[[#This Row],[PROVEEDOR]],TERCEROS_INFO[#All],3,FALSE)</f>
        <v>509580</v>
      </c>
      <c r="N1745" s="23"/>
      <c r="O1745" s="22">
        <f>+PROVEEDORES[[#This Row],[Descuento sobre subtotal %]]*(PROVEEDORES[[#This Row],[SUBTOTAL]]-PROVEEDORES[[#This Row],[descuento sobre subtotal]])</f>
        <v>0</v>
      </c>
      <c r="P1745" s="83">
        <f>+IF(PROVEEDORES[[#This Row],[SUBTOTAL]]&lt;PROVEEDORES[[#This Row],[base retencion]],0,PROVEEDORES[[#This Row],[retención aplicada]])</f>
        <v>0</v>
      </c>
      <c r="Q1745" s="22">
        <f>+PROVEEDORES[[#This Row],[Rete Fuente %]]*(PROVEEDORES[[#This Row],[SUBTOTAL]]-PROVEEDORES[[#This Row],[descuento sobre subtotal]])</f>
        <v>0</v>
      </c>
      <c r="R1745" s="21">
        <f>+PROVEEDORES[[#This Row],[SUBTOTAL]]+PROVEEDORES[[#This Row],[IVA 19%]]-PROVEEDORES[[#This Row],[descuento sobre subtotal]]-PROVEEDORES[[#This Row],[Descuento sobre subtotal $2]]-PROVEEDORES[[#This Row],[Rete Fuente $]]</f>
        <v>3191580</v>
      </c>
      <c r="S17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5" s="68">
        <f ca="1">IF(PROVEEDORES[[#This Row],[FECHA DE PAGO]]=0,TODAY()-PROVEEDORES[[#This Row],[FECHA DE FACTURACIÓN]]-PROVEEDORES[[#This Row],[PLAZO Días]],0)</f>
        <v>0</v>
      </c>
      <c r="U1745" s="96">
        <f>+VLOOKUP(PROVEEDORES[[#This Row],[PROVEEDOR]],Terceros!$A:$D,4,FALSE)</f>
        <v>0</v>
      </c>
      <c r="V1745" s="97">
        <f>+YEAR(PROVEEDORES[[#This Row],[FECHA DE FACTURACIÓN]])</f>
        <v>2021</v>
      </c>
      <c r="W1745" s="97">
        <f>+MATCH(PROVEEDORES[[#This Row],[año facturado]],Retenciones!$1:$1,0)</f>
        <v>4</v>
      </c>
      <c r="X1745" s="98">
        <f>+VLOOKUP(PROVEEDORES[[#This Row],[ID RETENCION]],Retenciones!$A$1:$O$25,PROVEEDORES[[#This Row],[indicador de columna]],FALSE)</f>
        <v>0</v>
      </c>
      <c r="Y1745" s="99">
        <f>+VLOOKUP(PROVEEDORES[[#This Row],[ID RETENCION]],Retenciones!$A$1:$O$25,2,FALSE)</f>
        <v>0</v>
      </c>
      <c r="Z1745" s="125" t="b">
        <f>OR(COUNTIF(PROVEEDORES[[#This Row],[PROVEEDOR]],"*"&amp;'Palabra no opera'!$A$2&amp;"*"))</f>
        <v>0</v>
      </c>
    </row>
    <row r="1746" spans="1:26" ht="22.2" customHeight="1" x14ac:dyDescent="0.3">
      <c r="A1746" s="66" t="str">
        <f>+IF(PROVEEDORES[[#This Row],[FECHA DE PAGO]]=PROVEEDORES[[#This Row],[FECHA DE FACTURACIÓN]],"DE CONTADO","CRÉDITO")</f>
        <v>CRÉDITO</v>
      </c>
      <c r="B1746" s="38" t="str">
        <f>+IF((PROVEEDORES[[#This Row],[FECHA DE PAGO]]-PROVEEDORES[[#This Row],[FECHA DE FACTURACIÓN]])&gt;PROVEEDORES[[#This Row],[PLAZO Días]],"PAGO VENCIDO")</f>
        <v>PAGO VENCIDO</v>
      </c>
      <c r="C1746" s="20">
        <f>+VLOOKUP(PROVEEDORES[[#This Row],[PROVEEDOR]],TERCEROS_INFO[#All],2,FALSE)</f>
        <v>30</v>
      </c>
      <c r="D1746" s="25">
        <f>+SUMIFS(PROVEEDORES[Total],PROVEEDORES[PROVEEDOR],PROVEEDORES[[#This Row],[PROVEEDOR]],PROVEEDORES[FECHA DE PAGO],"")</f>
        <v>5272763.2050000001</v>
      </c>
      <c r="E1746" s="25"/>
      <c r="F174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46" s="161">
        <v>44624</v>
      </c>
      <c r="H1746" s="26" t="s">
        <v>11</v>
      </c>
      <c r="I1746" s="161">
        <v>44579</v>
      </c>
      <c r="J1746" s="35" t="s">
        <v>616</v>
      </c>
      <c r="K1746" s="21">
        <v>2740840</v>
      </c>
      <c r="L1746" s="21"/>
      <c r="M1746" s="22">
        <v>520759.60000000003</v>
      </c>
      <c r="N1746" s="23"/>
      <c r="O1746" s="22">
        <f>+PROVEEDORES[[#This Row],[Descuento sobre subtotal %]]*(PROVEEDORES[[#This Row],[SUBTOTAL]]-PROVEEDORES[[#This Row],[descuento sobre subtotal]])</f>
        <v>0</v>
      </c>
      <c r="P1746" s="83">
        <f>+IF(PROVEEDORES[[#This Row],[SUBTOTAL]]&lt;PROVEEDORES[[#This Row],[base retencion]],0,PROVEEDORES[[#This Row],[retención aplicada]])</f>
        <v>2.5000000000000001E-2</v>
      </c>
      <c r="Q1746" s="22">
        <f>+PROVEEDORES[[#This Row],[Rete Fuente %]]*(PROVEEDORES[[#This Row],[SUBTOTAL]]-PROVEEDORES[[#This Row],[descuento sobre subtotal]])</f>
        <v>68521</v>
      </c>
      <c r="R1746" s="21">
        <v>3193078.6</v>
      </c>
      <c r="S174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6" s="68">
        <f ca="1">IF(PROVEEDORES[[#This Row],[FECHA DE PAGO]]=0,TODAY()-PROVEEDORES[[#This Row],[FECHA DE FACTURACIÓN]]-PROVEEDORES[[#This Row],[PLAZO Días]],0)</f>
        <v>0</v>
      </c>
      <c r="U1746" s="96" t="str">
        <f>+VLOOKUP(PROVEEDORES[[#This Row],[PROVEEDOR]],Terceros!$A:$D,4,FALSE)</f>
        <v>2,5% con base</v>
      </c>
      <c r="V1746" s="97">
        <f>+YEAR(PROVEEDORES[[#This Row],[FECHA DE FACTURACIÓN]])</f>
        <v>2022</v>
      </c>
      <c r="W1746" s="97">
        <f>+MATCH(PROVEEDORES[[#This Row],[año facturado]],Retenciones!$1:$1,0)</f>
        <v>5</v>
      </c>
      <c r="X1746" s="98">
        <f>+VLOOKUP(PROVEEDORES[[#This Row],[ID RETENCION]],Retenciones!$A$1:$O$25,PROVEEDORES[[#This Row],[indicador de columna]],FALSE)</f>
        <v>1026000</v>
      </c>
      <c r="Y1746" s="99">
        <f>+VLOOKUP(PROVEEDORES[[#This Row],[ID RETENCION]],Retenciones!$A$1:$O$25,2,FALSE)</f>
        <v>2.5000000000000001E-2</v>
      </c>
      <c r="Z1746" s="127" t="b">
        <f>OR(COUNTIF(PROVEEDORES[[#This Row],[PROVEEDOR]],"*"&amp;'Palabra no opera'!$A$2&amp;"*"))</f>
        <v>0</v>
      </c>
    </row>
    <row r="1747" spans="1:26" ht="22.2" customHeight="1" x14ac:dyDescent="0.3">
      <c r="A1747" s="66" t="str">
        <f>+IF(PROVEEDORES[[#This Row],[FECHA DE PAGO]]=PROVEEDORES[[#This Row],[FECHA DE FACTURACIÓN]],"DE CONTADO","CRÉDITO")</f>
        <v>CRÉDITO</v>
      </c>
      <c r="B1747" s="38" t="b">
        <f>+IF((PROVEEDORES[[#This Row],[FECHA DE PAGO]]-PROVEEDORES[[#This Row],[FECHA DE FACTURACIÓN]])&gt;PROVEEDORES[[#This Row],[PLAZO Días]],"PAGO VENCIDO")</f>
        <v>0</v>
      </c>
      <c r="C1747" s="20">
        <f>+VLOOKUP(PROVEEDORES[[#This Row],[PROVEEDOR]],TERCEROS_INFO[#All],2,FALSE)</f>
        <v>20</v>
      </c>
      <c r="D1747" s="25">
        <f>+SUMIFS(PROVEEDORES[Total],PROVEEDORES[PROVEEDOR],PROVEEDORES[[#This Row],[PROVEEDOR]],PROVEEDORES[FECHA DE PAGO],"")</f>
        <v>0</v>
      </c>
      <c r="E1747" s="25"/>
      <c r="F1747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47" s="161">
        <v>44363</v>
      </c>
      <c r="H1747" s="26" t="s">
        <v>351</v>
      </c>
      <c r="I1747" s="161">
        <v>44356</v>
      </c>
      <c r="J1747" s="35" t="s">
        <v>443</v>
      </c>
      <c r="K1747" s="21">
        <v>2780307.3756302525</v>
      </c>
      <c r="L1747" s="21"/>
      <c r="M1747" s="22">
        <f>(PROVEEDORES[[#This Row],[SUBTOTAL]]-PROVEEDORES[[#This Row],[descuento sobre subtotal]])*VLOOKUP(PROVEEDORES[[#This Row],[PROVEEDOR]],TERCEROS_INFO[#All],3,FALSE)</f>
        <v>528258.40136974794</v>
      </c>
      <c r="N1747" s="23"/>
      <c r="O1747" s="22">
        <f>+PROVEEDORES[[#This Row],[Descuento sobre subtotal %]]*(PROVEEDORES[[#This Row],[SUBTOTAL]]-PROVEEDORES[[#This Row],[descuento sobre subtotal]])</f>
        <v>0</v>
      </c>
      <c r="P1747" s="83">
        <f>+IF(PROVEEDORES[[#This Row],[SUBTOTAL]]&lt;PROVEEDORES[[#This Row],[base retencion]],0,PROVEEDORES[[#This Row],[retención aplicada]])</f>
        <v>0.04</v>
      </c>
      <c r="Q1747" s="22">
        <f>+PROVEEDORES[[#This Row],[Rete Fuente %]]*(PROVEEDORES[[#This Row],[SUBTOTAL]]-PROVEEDORES[[#This Row],[descuento sobre subtotal]])</f>
        <v>111212.2950252101</v>
      </c>
      <c r="R1747" s="21">
        <f>+PROVEEDORES[[#This Row],[SUBTOTAL]]+PROVEEDORES[[#This Row],[IVA 19%]]-PROVEEDORES[[#This Row],[descuento sobre subtotal]]-PROVEEDORES[[#This Row],[Descuento sobre subtotal $2]]-PROVEEDORES[[#This Row],[Rete Fuente $]]</f>
        <v>3197353.4819747908</v>
      </c>
      <c r="S17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7" s="68">
        <f ca="1">IF(PROVEEDORES[[#This Row],[FECHA DE PAGO]]=0,TODAY()-PROVEEDORES[[#This Row],[FECHA DE FACTURACIÓN]]-PROVEEDORES[[#This Row],[PLAZO Días]],0)</f>
        <v>0</v>
      </c>
      <c r="U1747" s="96" t="str">
        <f>+VLOOKUP(PROVEEDORES[[#This Row],[PROVEEDOR]],Terceros!$A:$D,4,FALSE)</f>
        <v>4% sin base</v>
      </c>
      <c r="V1747" s="97">
        <f>+YEAR(PROVEEDORES[[#This Row],[FECHA DE FACTURACIÓN]])</f>
        <v>2021</v>
      </c>
      <c r="W1747" s="97">
        <f>+MATCH(PROVEEDORES[[#This Row],[año facturado]],Retenciones!$1:$1,0)</f>
        <v>4</v>
      </c>
      <c r="X1747" s="98">
        <f>+VLOOKUP(PROVEEDORES[[#This Row],[ID RETENCION]],Retenciones!$A$1:$O$25,PROVEEDORES[[#This Row],[indicador de columna]],FALSE)</f>
        <v>0</v>
      </c>
      <c r="Y1747" s="99">
        <f>+VLOOKUP(PROVEEDORES[[#This Row],[ID RETENCION]],Retenciones!$A$1:$O$25,2,FALSE)</f>
        <v>0.04</v>
      </c>
      <c r="Z1747" s="125" t="b">
        <f>OR(COUNTIF(PROVEEDORES[[#This Row],[PROVEEDOR]],"*"&amp;'Palabra no opera'!$A$2&amp;"*"))</f>
        <v>0</v>
      </c>
    </row>
    <row r="1748" spans="1:26" ht="22.2" customHeight="1" x14ac:dyDescent="0.3">
      <c r="A1748" s="185" t="str">
        <f>+IF(PROVEEDORES[[#This Row],[FECHA DE PAGO]]=PROVEEDORES[[#This Row],[FECHA DE FACTURACIÓN]],"DE CONTADO","CRÉDITO")</f>
        <v>CRÉDITO</v>
      </c>
      <c r="B1748" s="38" t="b">
        <f>+IF((PROVEEDORES[[#This Row],[FECHA DE PAGO]]-PROVEEDORES[[#This Row],[FECHA DE FACTURACIÓN]])&gt;PROVEEDORES[[#This Row],[PLAZO Días]],"PAGO VENCIDO")</f>
        <v>0</v>
      </c>
      <c r="C1748" s="20">
        <f>+VLOOKUP(PROVEEDORES[[#This Row],[PROVEEDOR]],TERCEROS_INFO[#All],2,FALSE)</f>
        <v>45</v>
      </c>
      <c r="D1748" s="25">
        <f>+SUMIFS(PROVEEDORES[Total],PROVEEDORES[PROVEEDOR],PROVEEDORES[[#This Row],[PROVEEDOR]],PROVEEDORES[FECHA DE PAGO],"")</f>
        <v>0</v>
      </c>
      <c r="E1748" s="25"/>
      <c r="F174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748" s="161">
        <v>44761</v>
      </c>
      <c r="H1748" s="26" t="s">
        <v>530</v>
      </c>
      <c r="I1748" s="161">
        <v>44733</v>
      </c>
      <c r="J1748" s="35" t="s">
        <v>1067</v>
      </c>
      <c r="K1748" s="21">
        <v>3209010</v>
      </c>
      <c r="L1748" s="21"/>
      <c r="M1748" s="22">
        <f>(PROVEEDORES[[#This Row],[SUBTOTAL]]-PROVEEDORES[[#This Row],[descuento sobre subtotal]])*VLOOKUP(PROVEEDORES[[#This Row],[PROVEEDOR]],TERCEROS_INFO[#All],3,FALSE)</f>
        <v>0</v>
      </c>
      <c r="N1748" s="23"/>
      <c r="O1748" s="22">
        <f>+PROVEEDORES[[#This Row],[Descuento sobre subtotal %]]*(PROVEEDORES[[#This Row],[SUBTOTAL]]-PROVEEDORES[[#This Row],[descuento sobre subtotal]])</f>
        <v>0</v>
      </c>
      <c r="P1748" s="83">
        <f>+IF(PROVEEDORES[[#This Row],[SUBTOTAL]]&lt;PROVEEDORES[[#This Row],[base retencion]],0,PROVEEDORES[[#This Row],[retención aplicada]])</f>
        <v>0</v>
      </c>
      <c r="Q1748" s="22">
        <f>+PROVEEDORES[[#This Row],[Rete Fuente %]]*(PROVEEDORES[[#This Row],[SUBTOTAL]]-PROVEEDORES[[#This Row],[descuento sobre subtotal]])</f>
        <v>0</v>
      </c>
      <c r="R1748" s="21">
        <f>+PROVEEDORES[[#This Row],[SUBTOTAL]]+PROVEEDORES[[#This Row],[IVA 19%]]-PROVEEDORES[[#This Row],[descuento sobre subtotal]]-PROVEEDORES[[#This Row],[Descuento sobre subtotal $2]]-PROVEEDORES[[#This Row],[Rete Fuente $]]</f>
        <v>3209010</v>
      </c>
      <c r="S1748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8" s="68">
        <f ca="1">IF(PROVEEDORES[[#This Row],[FECHA DE PAGO]]=0,TODAY()-PROVEEDORES[[#This Row],[FECHA DE FACTURACIÓN]]-PROVEEDORES[[#This Row],[PLAZO Días]],0)</f>
        <v>0</v>
      </c>
      <c r="U1748" s="113">
        <f>+VLOOKUP(PROVEEDORES[[#This Row],[PROVEEDOR]],Terceros!$A:$D,4,FALSE)</f>
        <v>0</v>
      </c>
      <c r="V1748" s="114">
        <f>+YEAR(PROVEEDORES[[#This Row],[FECHA DE FACTURACIÓN]])</f>
        <v>2022</v>
      </c>
      <c r="W1748" s="114">
        <f>+MATCH(PROVEEDORES[[#This Row],[año facturado]],Retenciones!$1:$1,0)</f>
        <v>5</v>
      </c>
      <c r="X1748" s="115">
        <f>+VLOOKUP(PROVEEDORES[[#This Row],[ID RETENCION]],Retenciones!$A$1:$O$25,PROVEEDORES[[#This Row],[indicador de columna]],FALSE)</f>
        <v>0</v>
      </c>
      <c r="Y1748" s="116">
        <f>+VLOOKUP(PROVEEDORES[[#This Row],[ID RETENCION]],Retenciones!$A$1:$O$25,2,FALSE)</f>
        <v>0</v>
      </c>
      <c r="Z1748" s="125" t="b">
        <f>OR(COUNTIF(PROVEEDORES[[#This Row],[PROVEEDOR]],"*"&amp;'Palabra no opera'!$A$2&amp;"*"))</f>
        <v>0</v>
      </c>
    </row>
    <row r="1749" spans="1:26" ht="22.2" customHeight="1" x14ac:dyDescent="0.3">
      <c r="A1749" s="269" t="str">
        <f>+IF(PROVEEDORES[[#This Row],[FECHA DE PAGO]]=PROVEEDORES[[#This Row],[FECHA DE FACTURACIÓN]],"DE CONTADO","CRÉDITO")</f>
        <v>CRÉDITO</v>
      </c>
      <c r="B1749" s="38" t="b">
        <f>+IF((PROVEEDORES[[#This Row],[FECHA DE PAGO]]-PROVEEDORES[[#This Row],[FECHA DE FACTURACIÓN]])&gt;PROVEEDORES[[#This Row],[PLAZO Días]],"PAGO VENCIDO")</f>
        <v>0</v>
      </c>
      <c r="C1749" s="20">
        <f>+VLOOKUP(PROVEEDORES[[#This Row],[PROVEEDOR]],TERCEROS_INFO[#All],2,FALSE)</f>
        <v>30</v>
      </c>
      <c r="D1749" s="25">
        <f>+SUMIFS(PROVEEDORES[Total],PROVEEDORES[PROVEEDOR],PROVEEDORES[[#This Row],[PROVEEDOR]],PROVEEDORES[FECHA DE PAGO],"")</f>
        <v>3215000</v>
      </c>
      <c r="E1749" s="25"/>
      <c r="F1749" s="58" t="str">
        <f>+VLOOKUP(PROVEEDORES[[#This Row],[PROVEEDOR]],
                       Terceros!$A:$F,
                       5,
                       FALSE)</f>
        <v/>
      </c>
      <c r="H1749" s="26" t="s">
        <v>671</v>
      </c>
      <c r="I1749" s="161">
        <v>44841</v>
      </c>
      <c r="J1749" s="35" t="s">
        <v>1797</v>
      </c>
      <c r="K1749" s="21">
        <v>3215000</v>
      </c>
      <c r="L1749" s="21"/>
      <c r="M1749" s="22">
        <f>(PROVEEDORES[[#This Row],[SUBTOTAL]]-PROVEEDORES[[#This Row],[descuento sobre subtotal]])*VLOOKUP(PROVEEDORES[[#This Row],[PROVEEDOR]],TERCEROS_INFO[#All],3,FALSE)</f>
        <v>0</v>
      </c>
      <c r="N1749" s="23"/>
      <c r="O1749" s="22">
        <f>+PROVEEDORES[[#This Row],[Descuento sobre subtotal %]]*(PROVEEDORES[[#This Row],[SUBTOTAL]]-PROVEEDORES[[#This Row],[descuento sobre subtotal]])</f>
        <v>0</v>
      </c>
      <c r="P1749" s="83">
        <f>+IF(PROVEEDORES[[#This Row],[SUBTOTAL]]&lt;PROVEEDORES[[#This Row],[base retencion]],0,PROVEEDORES[[#This Row],[retención aplicada]])</f>
        <v>0</v>
      </c>
      <c r="Q1749" s="22">
        <f>+PROVEEDORES[[#This Row],[Rete Fuente %]]*(PROVEEDORES[[#This Row],[SUBTOTAL]]-PROVEEDORES[[#This Row],[descuento sobre subtotal]])</f>
        <v>0</v>
      </c>
      <c r="R1749" s="21">
        <f>+PROVEEDORES[[#This Row],[SUBTOTAL]]+PROVEEDORES[[#This Row],[IVA 19%]]-PROVEEDORES[[#This Row],[descuento sobre subtotal]]-PROVEEDORES[[#This Row],[Descuento sobre subtotal $2]]-PROVEEDORES[[#This Row],[Rete Fuente $]]</f>
        <v>3215000</v>
      </c>
      <c r="S1749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749" s="68">
        <f ca="1">IF(PROVEEDORES[[#This Row],[FECHA DE PAGO]]=0,TODAY()-PROVEEDORES[[#This Row],[FECHA DE FACTURACIÓN]]-PROVEEDORES[[#This Row],[PLAZO Días]],0)</f>
        <v>4</v>
      </c>
      <c r="U1749" s="113">
        <f>+VLOOKUP(PROVEEDORES[[#This Row],[PROVEEDOR]],Terceros!$A:$D,4,FALSE)</f>
        <v>0</v>
      </c>
      <c r="V1749" s="114">
        <f>+YEAR(PROVEEDORES[[#This Row],[FECHA DE FACTURACIÓN]])</f>
        <v>2022</v>
      </c>
      <c r="W1749" s="114">
        <f>+MATCH(PROVEEDORES[[#This Row],[año facturado]],Retenciones!$1:$1,0)</f>
        <v>5</v>
      </c>
      <c r="X1749" s="115">
        <f>+VLOOKUP(PROVEEDORES[[#This Row],[ID RETENCION]],Retenciones!$A$1:$O$25,PROVEEDORES[[#This Row],[indicador de columna]],FALSE)</f>
        <v>0</v>
      </c>
      <c r="Y1749" s="116">
        <f>+VLOOKUP(PROVEEDORES[[#This Row],[ID RETENCION]],Retenciones!$A$1:$O$25,2,FALSE)</f>
        <v>0</v>
      </c>
      <c r="Z1749" s="125" t="b">
        <f>OR(COUNTIF(PROVEEDORES[[#This Row],[PROVEEDOR]],"*"&amp;'Palabra no opera'!$A$2&amp;"*"))</f>
        <v>0</v>
      </c>
    </row>
    <row r="1750" spans="1:26" ht="22.2" customHeight="1" x14ac:dyDescent="0.3">
      <c r="A1750" s="66" t="str">
        <f>+IF(PROVEEDORES[[#This Row],[FECHA DE PAGO]]=PROVEEDORES[[#This Row],[FECHA DE FACTURACIÓN]],"DE CONTADO","CRÉDITO")</f>
        <v>CRÉDITO</v>
      </c>
      <c r="B1750" s="38" t="str">
        <f>+IF((PROVEEDORES[[#This Row],[FECHA DE PAGO]]-PROVEEDORES[[#This Row],[FECHA DE FACTURACIÓN]])&gt;PROVEEDORES[[#This Row],[PLAZO Días]],"PAGO VENCIDO")</f>
        <v>PAGO VENCIDO</v>
      </c>
      <c r="C1750" s="20">
        <f>+VLOOKUP(PROVEEDORES[[#This Row],[PROVEEDOR]],TERCEROS_INFO[#All],2,FALSE)</f>
        <v>30</v>
      </c>
      <c r="D1750" s="25">
        <f>+SUMIFS(PROVEEDORES[Total],PROVEEDORES[PROVEEDOR],PROVEEDORES[[#This Row],[PROVEEDOR]],PROVEEDORES[FECHA DE PAGO],"")</f>
        <v>2318500</v>
      </c>
      <c r="E1750" s="25"/>
      <c r="F1750" s="58" t="str">
        <f>+VLOOKUP(PROVEEDORES[[#This Row],[PROVEEDOR]],
                       Terceros!$A:$F,
                       5,
                       FALSE)</f>
        <v/>
      </c>
      <c r="G1750" s="161">
        <v>44342</v>
      </c>
      <c r="H1750" s="26" t="s">
        <v>629</v>
      </c>
      <c r="I1750" s="161">
        <v>44291</v>
      </c>
      <c r="J1750" s="35" t="s">
        <v>1203</v>
      </c>
      <c r="K1750" s="21">
        <v>3216000</v>
      </c>
      <c r="L1750" s="21"/>
      <c r="M1750" s="22">
        <f>(PROVEEDORES[[#This Row],[SUBTOTAL]]-PROVEEDORES[[#This Row],[descuento sobre subtotal]])*VLOOKUP(PROVEEDORES[[#This Row],[PROVEEDOR]],TERCEROS_INFO[#All],3,FALSE)</f>
        <v>0</v>
      </c>
      <c r="N1750" s="23"/>
      <c r="O1750" s="22">
        <f>+PROVEEDORES[[#This Row],[Descuento sobre subtotal %]]*(PROVEEDORES[[#This Row],[SUBTOTAL]]-PROVEEDORES[[#This Row],[descuento sobre subtotal]])</f>
        <v>0</v>
      </c>
      <c r="P1750" s="83">
        <f>+IF(PROVEEDORES[[#This Row],[SUBTOTAL]]&lt;PROVEEDORES[[#This Row],[base retencion]],0,PROVEEDORES[[#This Row],[retención aplicada]])</f>
        <v>0</v>
      </c>
      <c r="Q1750" s="22">
        <f>+PROVEEDORES[[#This Row],[Rete Fuente %]]*(PROVEEDORES[[#This Row],[SUBTOTAL]]-PROVEEDORES[[#This Row],[descuento sobre subtotal]])</f>
        <v>0</v>
      </c>
      <c r="R1750" s="21">
        <f>+PROVEEDORES[[#This Row],[SUBTOTAL]]+PROVEEDORES[[#This Row],[IVA 19%]]-PROVEEDORES[[#This Row],[descuento sobre subtotal]]-PROVEEDORES[[#This Row],[Descuento sobre subtotal $2]]-PROVEEDORES[[#This Row],[Rete Fuente $]]</f>
        <v>3216000</v>
      </c>
      <c r="S17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0" s="68">
        <f ca="1">IF(PROVEEDORES[[#This Row],[FECHA DE PAGO]]=0,TODAY()-PROVEEDORES[[#This Row],[FECHA DE FACTURACIÓN]]-PROVEEDORES[[#This Row],[PLAZO Días]],0)</f>
        <v>0</v>
      </c>
      <c r="U1750" s="96">
        <f>+VLOOKUP(PROVEEDORES[[#This Row],[PROVEEDOR]],Terceros!$A:$D,4,FALSE)</f>
        <v>0</v>
      </c>
      <c r="V1750" s="97">
        <f>+YEAR(PROVEEDORES[[#This Row],[FECHA DE FACTURACIÓN]])</f>
        <v>2021</v>
      </c>
      <c r="W1750" s="97">
        <f>+MATCH(PROVEEDORES[[#This Row],[año facturado]],Retenciones!$1:$1,0)</f>
        <v>4</v>
      </c>
      <c r="X1750" s="98">
        <f>+VLOOKUP(PROVEEDORES[[#This Row],[ID RETENCION]],Retenciones!$A$1:$O$25,PROVEEDORES[[#This Row],[indicador de columna]],FALSE)</f>
        <v>0</v>
      </c>
      <c r="Y1750" s="99">
        <f>+VLOOKUP(PROVEEDORES[[#This Row],[ID RETENCION]],Retenciones!$A$1:$O$25,2,FALSE)</f>
        <v>0</v>
      </c>
      <c r="Z1750" s="125" t="b">
        <f>OR(COUNTIF(PROVEEDORES[[#This Row],[PROVEEDOR]],"*"&amp;'Palabra no opera'!$A$2&amp;"*"))</f>
        <v>0</v>
      </c>
    </row>
    <row r="1751" spans="1:26" ht="22.2" customHeight="1" x14ac:dyDescent="0.3">
      <c r="A1751" s="66" t="str">
        <f>+IF(PROVEEDORES[[#This Row],[FECHA DE PAGO]]=PROVEEDORES[[#This Row],[FECHA DE FACTURACIÓN]],"DE CONTADO","CRÉDITO")</f>
        <v>CRÉDITO</v>
      </c>
      <c r="B1751" s="38" t="str">
        <f>+IF((PROVEEDORES[[#This Row],[FECHA DE PAGO]]-PROVEEDORES[[#This Row],[FECHA DE FACTURACIÓN]])&gt;PROVEEDORES[[#This Row],[PLAZO Días]],"PAGO VENCIDO")</f>
        <v>PAGO VENCIDO</v>
      </c>
      <c r="C1751" s="20">
        <f>+VLOOKUP(PROVEEDORES[[#This Row],[PROVEEDOR]],TERCEROS_INFO[#All],2,FALSE)</f>
        <v>30</v>
      </c>
      <c r="D1751" s="25">
        <f>+SUMIFS(PROVEEDORES[Total],PROVEEDORES[PROVEEDOR],PROVEEDORES[[#This Row],[PROVEEDOR]],PROVEEDORES[FECHA DE PAGO],"")</f>
        <v>5272763.2050000001</v>
      </c>
      <c r="E1751" s="25"/>
      <c r="F175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51" s="161">
        <v>44602</v>
      </c>
      <c r="H1751" s="26" t="s">
        <v>11</v>
      </c>
      <c r="I1751" s="161">
        <v>44567</v>
      </c>
      <c r="J1751" s="35" t="s">
        <v>617</v>
      </c>
      <c r="K1751" s="21">
        <v>2776134</v>
      </c>
      <c r="L1751" s="21"/>
      <c r="M1751" s="22">
        <v>527465.46</v>
      </c>
      <c r="N1751" s="23"/>
      <c r="O1751" s="22">
        <f>+PROVEEDORES[[#This Row],[Descuento sobre subtotal %]]*(PROVEEDORES[[#This Row],[SUBTOTAL]]-PROVEEDORES[[#This Row],[descuento sobre subtotal]])</f>
        <v>0</v>
      </c>
      <c r="P1751" s="83">
        <f>+IF(PROVEEDORES[[#This Row],[SUBTOTAL]]&lt;PROVEEDORES[[#This Row],[base retencion]],0,PROVEEDORES[[#This Row],[retención aplicada]])</f>
        <v>2.5000000000000001E-2</v>
      </c>
      <c r="Q1751" s="22">
        <f>+PROVEEDORES[[#This Row],[Rete Fuente %]]*(PROVEEDORES[[#This Row],[SUBTOTAL]]-PROVEEDORES[[#This Row],[descuento sobre subtotal]])</f>
        <v>69403.350000000006</v>
      </c>
      <c r="R1751" s="21">
        <v>3234196.11</v>
      </c>
      <c r="S17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1" s="68">
        <f ca="1">IF(PROVEEDORES[[#This Row],[FECHA DE PAGO]]=0,TODAY()-PROVEEDORES[[#This Row],[FECHA DE FACTURACIÓN]]-PROVEEDORES[[#This Row],[PLAZO Días]],0)</f>
        <v>0</v>
      </c>
      <c r="U1751" s="96" t="str">
        <f>+VLOOKUP(PROVEEDORES[[#This Row],[PROVEEDOR]],Terceros!$A:$D,4,FALSE)</f>
        <v>2,5% con base</v>
      </c>
      <c r="V1751" s="97">
        <f>+YEAR(PROVEEDORES[[#This Row],[FECHA DE FACTURACIÓN]])</f>
        <v>2022</v>
      </c>
      <c r="W1751" s="97">
        <f>+MATCH(PROVEEDORES[[#This Row],[año facturado]],Retenciones!$1:$1,0)</f>
        <v>5</v>
      </c>
      <c r="X1751" s="98">
        <f>+VLOOKUP(PROVEEDORES[[#This Row],[ID RETENCION]],Retenciones!$A$1:$O$25,PROVEEDORES[[#This Row],[indicador de columna]],FALSE)</f>
        <v>1026000</v>
      </c>
      <c r="Y1751" s="99">
        <f>+VLOOKUP(PROVEEDORES[[#This Row],[ID RETENCION]],Retenciones!$A$1:$O$25,2,FALSE)</f>
        <v>2.5000000000000001E-2</v>
      </c>
      <c r="Z1751" s="127" t="b">
        <f>OR(COUNTIF(PROVEEDORES[[#This Row],[PROVEEDOR]],"*"&amp;'Palabra no opera'!$A$2&amp;"*"))</f>
        <v>0</v>
      </c>
    </row>
    <row r="1752" spans="1:26" ht="22.2" customHeight="1" x14ac:dyDescent="0.3">
      <c r="A1752" s="269" t="str">
        <f>+IF(PROVEEDORES[[#This Row],[FECHA DE PAGO]]=PROVEEDORES[[#This Row],[FECHA DE FACTURACIÓN]],"DE CONTADO","CRÉDITO")</f>
        <v>CRÉDITO</v>
      </c>
      <c r="B1752" s="38" t="b">
        <f>+IF((PROVEEDORES[[#This Row],[FECHA DE PAGO]]-PROVEEDORES[[#This Row],[FECHA DE FACTURACIÓN]])&gt;PROVEEDORES[[#This Row],[PLAZO Días]],"PAGO VENCIDO")</f>
        <v>0</v>
      </c>
      <c r="C1752" s="20">
        <f>+VLOOKUP(PROVEEDORES[[#This Row],[PROVEEDOR]],TERCEROS_INFO[#All],2,FALSE)</f>
        <v>30</v>
      </c>
      <c r="D1752" s="25">
        <f>+SUMIFS(PROVEEDORES[Total],PROVEEDORES[PROVEEDOR],PROVEEDORES[[#This Row],[PROVEEDOR]],PROVEEDORES[FECHA DE PAGO],"")</f>
        <v>3236000</v>
      </c>
      <c r="E1752" s="25"/>
      <c r="F175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H1752" s="26" t="s">
        <v>677</v>
      </c>
      <c r="I1752" s="161">
        <v>44852</v>
      </c>
      <c r="J1752" s="35">
        <v>1741</v>
      </c>
      <c r="K1752" s="21">
        <v>3236000</v>
      </c>
      <c r="L1752" s="21"/>
      <c r="M1752" s="22">
        <f>(PROVEEDORES[[#This Row],[SUBTOTAL]]-PROVEEDORES[[#This Row],[descuento sobre subtotal]])*VLOOKUP(PROVEEDORES[[#This Row],[PROVEEDOR]],TERCEROS_INFO[#All],3,FALSE)</f>
        <v>0</v>
      </c>
      <c r="N1752" s="23"/>
      <c r="O1752" s="22">
        <f>+PROVEEDORES[[#This Row],[Descuento sobre subtotal %]]*(PROVEEDORES[[#This Row],[SUBTOTAL]]-PROVEEDORES[[#This Row],[descuento sobre subtotal]])</f>
        <v>0</v>
      </c>
      <c r="P1752" s="83">
        <f>+IF(PROVEEDORES[[#This Row],[SUBTOTAL]]&lt;PROVEEDORES[[#This Row],[base retencion]],0,PROVEEDORES[[#This Row],[retención aplicada]])</f>
        <v>0</v>
      </c>
      <c r="Q1752" s="22">
        <f>+PROVEEDORES[[#This Row],[Rete Fuente %]]*(PROVEEDORES[[#This Row],[SUBTOTAL]]-PROVEEDORES[[#This Row],[descuento sobre subtotal]])</f>
        <v>0</v>
      </c>
      <c r="R1752" s="21">
        <f>+PROVEEDORES[[#This Row],[SUBTOTAL]]+PROVEEDORES[[#This Row],[IVA 19%]]-PROVEEDORES[[#This Row],[descuento sobre subtotal]]-PROVEEDORES[[#This Row],[Descuento sobre subtotal $2]]-PROVEEDORES[[#This Row],[Rete Fuente $]]</f>
        <v>3236000</v>
      </c>
      <c r="S1752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752" s="68">
        <f ca="1">IF(PROVEEDORES[[#This Row],[FECHA DE PAGO]]=0,TODAY()-PROVEEDORES[[#This Row],[FECHA DE FACTURACIÓN]]-PROVEEDORES[[#This Row],[PLAZO Días]],0)</f>
        <v>-7</v>
      </c>
      <c r="U1752" s="113">
        <f>+VLOOKUP(PROVEEDORES[[#This Row],[PROVEEDOR]],Terceros!$A:$D,4,FALSE)</f>
        <v>0</v>
      </c>
      <c r="V1752" s="114">
        <f>+YEAR(PROVEEDORES[[#This Row],[FECHA DE FACTURACIÓN]])</f>
        <v>2022</v>
      </c>
      <c r="W1752" s="114">
        <f>+MATCH(PROVEEDORES[[#This Row],[año facturado]],Retenciones!$1:$1,0)</f>
        <v>5</v>
      </c>
      <c r="X1752" s="115">
        <f>+VLOOKUP(PROVEEDORES[[#This Row],[ID RETENCION]],Retenciones!$A$1:$O$25,PROVEEDORES[[#This Row],[indicador de columna]],FALSE)</f>
        <v>0</v>
      </c>
      <c r="Y1752" s="116">
        <f>+VLOOKUP(PROVEEDORES[[#This Row],[ID RETENCION]],Retenciones!$A$1:$O$25,2,FALSE)</f>
        <v>0</v>
      </c>
      <c r="Z1752" s="125" t="b">
        <f>OR(COUNTIF(PROVEEDORES[[#This Row],[PROVEEDOR]],"*"&amp;'Palabra no opera'!$A$2&amp;"*"))</f>
        <v>0</v>
      </c>
    </row>
    <row r="1753" spans="1:26" ht="22.2" customHeight="1" x14ac:dyDescent="0.3">
      <c r="A1753" s="159" t="str">
        <f>+IF(PROVEEDORES[[#This Row],[FECHA DE PAGO]]=PROVEEDORES[[#This Row],[FECHA DE FACTURACIÓN]],"DE CONTADO","CRÉDITO")</f>
        <v>CRÉDITO</v>
      </c>
      <c r="B1753" s="38" t="b">
        <f>+IF((PROVEEDORES[[#This Row],[FECHA DE PAGO]]-PROVEEDORES[[#This Row],[FECHA DE FACTURACIÓN]])&gt;PROVEEDORES[[#This Row],[PLAZO Días]],"PAGO VENCIDO")</f>
        <v>0</v>
      </c>
      <c r="C1753" s="20">
        <f>+VLOOKUP(PROVEEDORES[[#This Row],[PROVEEDOR]],TERCEROS_INFO[#All],2,FALSE)</f>
        <v>30</v>
      </c>
      <c r="D1753" s="25">
        <f>+SUMIFS(PROVEEDORES[Total],PROVEEDORES[PROVEEDOR],PROVEEDORES[[#This Row],[PROVEEDOR]],PROVEEDORES[FECHA DE PAGO],"")</f>
        <v>0</v>
      </c>
      <c r="E1753" s="25"/>
      <c r="F1753" s="58" t="str">
        <f>+VLOOKUP(PROVEEDORES[[#This Row],[PROVEEDOR]],
                       Terceros!$A:$F,
                       5,
                       FALSE)</f>
        <v/>
      </c>
      <c r="G1753" s="161">
        <v>44742</v>
      </c>
      <c r="H1753" s="26" t="s">
        <v>689</v>
      </c>
      <c r="I1753" s="161">
        <v>44717</v>
      </c>
      <c r="J1753" s="35" t="s">
        <v>1096</v>
      </c>
      <c r="K1753" s="21">
        <f>736.35*4400</f>
        <v>3239940</v>
      </c>
      <c r="L1753" s="21"/>
      <c r="M1753" s="22">
        <f>(PROVEEDORES[[#This Row],[SUBTOTAL]]-PROVEEDORES[[#This Row],[descuento sobre subtotal]])*VLOOKUP(PROVEEDORES[[#This Row],[PROVEEDOR]],TERCEROS_INFO[#All],3,FALSE)</f>
        <v>0</v>
      </c>
      <c r="N1753" s="23"/>
      <c r="O1753" s="22">
        <f>+PROVEEDORES[[#This Row],[Descuento sobre subtotal %]]*(PROVEEDORES[[#This Row],[SUBTOTAL]]-PROVEEDORES[[#This Row],[descuento sobre subtotal]])</f>
        <v>0</v>
      </c>
      <c r="P1753" s="83">
        <f>+IF(PROVEEDORES[[#This Row],[SUBTOTAL]]&lt;PROVEEDORES[[#This Row],[base retencion]],0,PROVEEDORES[[#This Row],[retención aplicada]])</f>
        <v>0</v>
      </c>
      <c r="Q1753" s="22">
        <f>+PROVEEDORES[[#This Row],[Rete Fuente %]]*(PROVEEDORES[[#This Row],[SUBTOTAL]]-PROVEEDORES[[#This Row],[descuento sobre subtotal]])</f>
        <v>0</v>
      </c>
      <c r="R1753" s="21">
        <f>+PROVEEDORES[[#This Row],[SUBTOTAL]]+PROVEEDORES[[#This Row],[IVA 19%]]-PROVEEDORES[[#This Row],[descuento sobre subtotal]]-PROVEEDORES[[#This Row],[Descuento sobre subtotal $2]]-PROVEEDORES[[#This Row],[Rete Fuente $]]</f>
        <v>3239940</v>
      </c>
      <c r="S175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3" s="68">
        <f ca="1">IF(PROVEEDORES[[#This Row],[FECHA DE PAGO]]=0,TODAY()-PROVEEDORES[[#This Row],[FECHA DE FACTURACIÓN]]-PROVEEDORES[[#This Row],[PLAZO Días]],0)</f>
        <v>0</v>
      </c>
      <c r="U1753" s="113">
        <f>+VLOOKUP(PROVEEDORES[[#This Row],[PROVEEDOR]],Terceros!$A:$D,4,FALSE)</f>
        <v>0</v>
      </c>
      <c r="V1753" s="114">
        <f>+YEAR(PROVEEDORES[[#This Row],[FECHA DE FACTURACIÓN]])</f>
        <v>2022</v>
      </c>
      <c r="W1753" s="114">
        <f>+MATCH(PROVEEDORES[[#This Row],[año facturado]],Retenciones!$1:$1,0)</f>
        <v>5</v>
      </c>
      <c r="X1753" s="115">
        <f>+VLOOKUP(PROVEEDORES[[#This Row],[ID RETENCION]],Retenciones!$A$1:$O$25,PROVEEDORES[[#This Row],[indicador de columna]],FALSE)</f>
        <v>0</v>
      </c>
      <c r="Y1753" s="116">
        <f>+VLOOKUP(PROVEEDORES[[#This Row],[ID RETENCION]],Retenciones!$A$1:$O$25,2,FALSE)</f>
        <v>0</v>
      </c>
      <c r="Z1753" s="125" t="b">
        <f>OR(COUNTIF(PROVEEDORES[[#This Row],[PROVEEDOR]],"*"&amp;'Palabra no opera'!$A$2&amp;"*"))</f>
        <v>0</v>
      </c>
    </row>
    <row r="1754" spans="1:26" ht="22.2" customHeight="1" x14ac:dyDescent="0.3">
      <c r="A1754" s="66" t="str">
        <f>+IF(PROVEEDORES[[#This Row],[FECHA DE PAGO]]=PROVEEDORES[[#This Row],[FECHA DE FACTURACIÓN]],"DE CONTADO","CRÉDITO")</f>
        <v>CRÉDITO</v>
      </c>
      <c r="B1754" s="38" t="str">
        <f>+IF((PROVEEDORES[[#This Row],[FECHA DE PAGO]]-PROVEEDORES[[#This Row],[FECHA DE FACTURACIÓN]])&gt;PROVEEDORES[[#This Row],[PLAZO Días]],"PAGO VENCIDO")</f>
        <v>PAGO VENCIDO</v>
      </c>
      <c r="C1754" s="20">
        <f>+VLOOKUP(PROVEEDORES[[#This Row],[PROVEEDOR]],TERCEROS_INFO[#All],2,FALSE)</f>
        <v>30</v>
      </c>
      <c r="D1754" s="25">
        <f>+SUMIFS(PROVEEDORES[Total],PROVEEDORES[PROVEEDOR],PROVEEDORES[[#This Row],[PROVEEDOR]],PROVEEDORES[FECHA DE PAGO],"")</f>
        <v>0</v>
      </c>
      <c r="E1754" s="25"/>
      <c r="F1754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754" s="161">
        <v>44410</v>
      </c>
      <c r="H1754" s="26" t="s">
        <v>46</v>
      </c>
      <c r="I1754" s="161">
        <v>44368</v>
      </c>
      <c r="J1754" s="35">
        <v>160217927</v>
      </c>
      <c r="K1754" s="21">
        <v>2730150</v>
      </c>
      <c r="L1754" s="21"/>
      <c r="M1754" s="22">
        <f>(PROVEEDORES[[#This Row],[SUBTOTAL]]-PROVEEDORES[[#This Row],[descuento sobre subtotal]])*VLOOKUP(PROVEEDORES[[#This Row],[PROVEEDOR]],TERCEROS_INFO[#All],3,FALSE)</f>
        <v>518728.5</v>
      </c>
      <c r="N1754" s="23"/>
      <c r="O1754" s="22">
        <f>+PROVEEDORES[[#This Row],[Descuento sobre subtotal %]]*(PROVEEDORES[[#This Row],[SUBTOTAL]]-PROVEEDORES[[#This Row],[descuento sobre subtotal]])</f>
        <v>0</v>
      </c>
      <c r="P1754" s="83">
        <f>+IF(PROVEEDORES[[#This Row],[SUBTOTAL]]&lt;PROVEEDORES[[#This Row],[base retencion]],0,PROVEEDORES[[#This Row],[retención aplicada]])</f>
        <v>0</v>
      </c>
      <c r="Q1754" s="22">
        <f>+PROVEEDORES[[#This Row],[Rete Fuente %]]*(PROVEEDORES[[#This Row],[SUBTOTAL]]-PROVEEDORES[[#This Row],[descuento sobre subtotal]])</f>
        <v>0</v>
      </c>
      <c r="R1754" s="21">
        <f>+PROVEEDORES[[#This Row],[SUBTOTAL]]+PROVEEDORES[[#This Row],[IVA 19%]]-PROVEEDORES[[#This Row],[descuento sobre subtotal]]-PROVEEDORES[[#This Row],[Descuento sobre subtotal $2]]-PROVEEDORES[[#This Row],[Rete Fuente $]]</f>
        <v>3248878.5</v>
      </c>
      <c r="S17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4" s="68">
        <f ca="1">IF(PROVEEDORES[[#This Row],[FECHA DE PAGO]]=0,TODAY()-PROVEEDORES[[#This Row],[FECHA DE FACTURACIÓN]]-PROVEEDORES[[#This Row],[PLAZO Días]],0)</f>
        <v>0</v>
      </c>
      <c r="U1754" s="96">
        <f>+VLOOKUP(PROVEEDORES[[#This Row],[PROVEEDOR]],Terceros!$A:$D,4,FALSE)</f>
        <v>0</v>
      </c>
      <c r="V1754" s="97">
        <f>+YEAR(PROVEEDORES[[#This Row],[FECHA DE FACTURACIÓN]])</f>
        <v>2021</v>
      </c>
      <c r="W1754" s="97">
        <f>+MATCH(PROVEEDORES[[#This Row],[año facturado]],Retenciones!$1:$1,0)</f>
        <v>4</v>
      </c>
      <c r="X1754" s="98">
        <f>+VLOOKUP(PROVEEDORES[[#This Row],[ID RETENCION]],Retenciones!$A$1:$O$25,PROVEEDORES[[#This Row],[indicador de columna]],FALSE)</f>
        <v>0</v>
      </c>
      <c r="Y1754" s="99">
        <f>+VLOOKUP(PROVEEDORES[[#This Row],[ID RETENCION]],Retenciones!$A$1:$O$25,2,FALSE)</f>
        <v>0</v>
      </c>
      <c r="Z1754" s="125" t="b">
        <f>OR(COUNTIF(PROVEEDORES[[#This Row],[PROVEEDOR]],"*"&amp;'Palabra no opera'!$A$2&amp;"*"))</f>
        <v>0</v>
      </c>
    </row>
    <row r="1755" spans="1:26" ht="22.2" customHeight="1" x14ac:dyDescent="0.3">
      <c r="A1755" s="66" t="str">
        <f>+IF(PROVEEDORES[[#This Row],[FECHA DE PAGO]]=PROVEEDORES[[#This Row],[FECHA DE FACTURACIÓN]],"DE CONTADO","CRÉDITO")</f>
        <v>CRÉDITO</v>
      </c>
      <c r="B1755" s="38" t="str">
        <f>+IF((PROVEEDORES[[#This Row],[FECHA DE PAGO]]-PROVEEDORES[[#This Row],[FECHA DE FACTURACIÓN]])&gt;PROVEEDORES[[#This Row],[PLAZO Días]],"PAGO VENCIDO")</f>
        <v>PAGO VENCIDO</v>
      </c>
      <c r="C1755" s="20">
        <f>+VLOOKUP(PROVEEDORES[[#This Row],[PROVEEDOR]],TERCEROS_INFO[#All],2,FALSE)</f>
        <v>30</v>
      </c>
      <c r="D1755" s="25">
        <f>+SUMIFS(PROVEEDORES[Total],PROVEEDORES[PROVEEDOR],PROVEEDORES[[#This Row],[PROVEEDOR]],PROVEEDORES[FECHA DE PAGO],"")</f>
        <v>2318500</v>
      </c>
      <c r="E1755" s="25"/>
      <c r="F1755" s="58" t="str">
        <f>+VLOOKUP(PROVEEDORES[[#This Row],[PROVEEDOR]],
                       Terceros!$A:$F,
                       5,
                       FALSE)</f>
        <v/>
      </c>
      <c r="G1755" s="161">
        <v>44539</v>
      </c>
      <c r="H1755" s="26" t="s">
        <v>629</v>
      </c>
      <c r="I1755" s="161">
        <v>44496</v>
      </c>
      <c r="J1755" s="35" t="s">
        <v>1334</v>
      </c>
      <c r="K1755" s="21">
        <v>3265000</v>
      </c>
      <c r="L1755" s="21"/>
      <c r="M1755" s="22">
        <f>(PROVEEDORES[[#This Row],[SUBTOTAL]]-PROVEEDORES[[#This Row],[descuento sobre subtotal]])*VLOOKUP(PROVEEDORES[[#This Row],[PROVEEDOR]],TERCEROS_INFO[#All],3,FALSE)</f>
        <v>0</v>
      </c>
      <c r="N1755" s="23"/>
      <c r="O1755" s="22">
        <f>+PROVEEDORES[[#This Row],[Descuento sobre subtotal %]]*(PROVEEDORES[[#This Row],[SUBTOTAL]]-PROVEEDORES[[#This Row],[descuento sobre subtotal]])</f>
        <v>0</v>
      </c>
      <c r="P1755" s="83">
        <f>+IF(PROVEEDORES[[#This Row],[SUBTOTAL]]&lt;PROVEEDORES[[#This Row],[base retencion]],0,PROVEEDORES[[#This Row],[retención aplicada]])</f>
        <v>0</v>
      </c>
      <c r="Q1755" s="22">
        <f>+PROVEEDORES[[#This Row],[Rete Fuente %]]*(PROVEEDORES[[#This Row],[SUBTOTAL]]-PROVEEDORES[[#This Row],[descuento sobre subtotal]])</f>
        <v>0</v>
      </c>
      <c r="R1755" s="21">
        <f>+PROVEEDORES[[#This Row],[SUBTOTAL]]+PROVEEDORES[[#This Row],[IVA 19%]]-PROVEEDORES[[#This Row],[descuento sobre subtotal]]-PROVEEDORES[[#This Row],[Descuento sobre subtotal $2]]-PROVEEDORES[[#This Row],[Rete Fuente $]]</f>
        <v>3265000</v>
      </c>
      <c r="S17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5" s="68">
        <f ca="1">IF(PROVEEDORES[[#This Row],[FECHA DE PAGO]]=0,TODAY()-PROVEEDORES[[#This Row],[FECHA DE FACTURACIÓN]]-PROVEEDORES[[#This Row],[PLAZO Días]],0)</f>
        <v>0</v>
      </c>
      <c r="U1755" s="96">
        <f>+VLOOKUP(PROVEEDORES[[#This Row],[PROVEEDOR]],Terceros!$A:$D,4,FALSE)</f>
        <v>0</v>
      </c>
      <c r="V1755" s="97">
        <f>+YEAR(PROVEEDORES[[#This Row],[FECHA DE FACTURACIÓN]])</f>
        <v>2021</v>
      </c>
      <c r="W1755" s="97">
        <f>+MATCH(PROVEEDORES[[#This Row],[año facturado]],Retenciones!$1:$1,0)</f>
        <v>4</v>
      </c>
      <c r="X1755" s="98">
        <f>+VLOOKUP(PROVEEDORES[[#This Row],[ID RETENCION]],Retenciones!$A$1:$O$25,PROVEEDORES[[#This Row],[indicador de columna]],FALSE)</f>
        <v>0</v>
      </c>
      <c r="Y1755" s="99">
        <f>+VLOOKUP(PROVEEDORES[[#This Row],[ID RETENCION]],Retenciones!$A$1:$O$25,2,FALSE)</f>
        <v>0</v>
      </c>
      <c r="Z1755" s="125" t="b">
        <f>OR(COUNTIF(PROVEEDORES[[#This Row],[PROVEEDOR]],"*"&amp;'Palabra no opera'!$A$2&amp;"*"))</f>
        <v>0</v>
      </c>
    </row>
    <row r="1756" spans="1:26" ht="22.2" customHeight="1" x14ac:dyDescent="0.3">
      <c r="A1756" s="269" t="str">
        <f>+IF(PROVEEDORES[[#This Row],[FECHA DE PAGO]]=PROVEEDORES[[#This Row],[FECHA DE FACTURACIÓN]],"DE CONTADO","CRÉDITO")</f>
        <v>CRÉDITO</v>
      </c>
      <c r="B1756" s="38" t="b">
        <f>+IF((PROVEEDORES[[#This Row],[FECHA DE PAGO]]-PROVEEDORES[[#This Row],[FECHA DE FACTURACIÓN]])&gt;PROVEEDORES[[#This Row],[PLAZO Días]],"PAGO VENCIDO")</f>
        <v>0</v>
      </c>
      <c r="C1756" s="20">
        <f>+VLOOKUP(PROVEEDORES[[#This Row],[PROVEEDOR]],TERCEROS_INFO[#All],2,FALSE)</f>
        <v>30</v>
      </c>
      <c r="D1756" s="25">
        <f>+SUMIFS(PROVEEDORES[Total],PROVEEDORES[PROVEEDOR],PROVEEDORES[[#This Row],[PROVEEDOR]],PROVEEDORES[FECHA DE PAGO],"")</f>
        <v>5272763.2050000001</v>
      </c>
      <c r="E1756" s="25"/>
      <c r="F175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1756" s="26" t="s">
        <v>11</v>
      </c>
      <c r="I1756" s="161">
        <v>44868</v>
      </c>
      <c r="J1756" s="35" t="s">
        <v>1827</v>
      </c>
      <c r="K1756" s="21">
        <v>2803032</v>
      </c>
      <c r="L1756" s="21"/>
      <c r="M1756" s="22">
        <f>(PROVEEDORES[[#This Row],[SUBTOTAL]]-PROVEEDORES[[#This Row],[descuento sobre subtotal]])*VLOOKUP(PROVEEDORES[[#This Row],[PROVEEDOR]],TERCEROS_INFO[#All],3,FALSE)</f>
        <v>532576.07999999996</v>
      </c>
      <c r="N1756" s="23"/>
      <c r="O1756" s="22">
        <f>+PROVEEDORES[[#This Row],[Descuento sobre subtotal %]]*(PROVEEDORES[[#This Row],[SUBTOTAL]]-PROVEEDORES[[#This Row],[descuento sobre subtotal]])</f>
        <v>0</v>
      </c>
      <c r="P1756" s="83">
        <f>+IF(PROVEEDORES[[#This Row],[SUBTOTAL]]&lt;PROVEEDORES[[#This Row],[base retencion]],0,PROVEEDORES[[#This Row],[retención aplicada]])</f>
        <v>2.5000000000000001E-2</v>
      </c>
      <c r="Q1756" s="22">
        <f>+PROVEEDORES[[#This Row],[Rete Fuente %]]*(PROVEEDORES[[#This Row],[SUBTOTAL]]-PROVEEDORES[[#This Row],[descuento sobre subtotal]])</f>
        <v>70075.8</v>
      </c>
      <c r="R1756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1756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756" s="68">
        <f ca="1">IF(PROVEEDORES[[#This Row],[FECHA DE PAGO]]=0,TODAY()-PROVEEDORES[[#This Row],[FECHA DE FACTURACIÓN]]-PROVEEDORES[[#This Row],[PLAZO Días]],0)</f>
        <v>-23</v>
      </c>
      <c r="U1756" s="113" t="str">
        <f>+VLOOKUP(PROVEEDORES[[#This Row],[PROVEEDOR]],Terceros!$A:$D,4,FALSE)</f>
        <v>2,5% con base</v>
      </c>
      <c r="V1756" s="114">
        <f>+YEAR(PROVEEDORES[[#This Row],[FECHA DE FACTURACIÓN]])</f>
        <v>2022</v>
      </c>
      <c r="W1756" s="114">
        <f>+MATCH(PROVEEDORES[[#This Row],[año facturado]],Retenciones!$1:$1,0)</f>
        <v>5</v>
      </c>
      <c r="X1756" s="115">
        <f>+VLOOKUP(PROVEEDORES[[#This Row],[ID RETENCION]],Retenciones!$A$1:$O$25,PROVEEDORES[[#This Row],[indicador de columna]],FALSE)</f>
        <v>1026000</v>
      </c>
      <c r="Y1756" s="116">
        <f>+VLOOKUP(PROVEEDORES[[#This Row],[ID RETENCION]],Retenciones!$A$1:$O$25,2,FALSE)</f>
        <v>2.5000000000000001E-2</v>
      </c>
      <c r="Z1756" s="125" t="b">
        <f>OR(COUNTIF(PROVEEDORES[[#This Row],[PROVEEDOR]],"*"&amp;'Palabra no opera'!$A$2&amp;"*"))</f>
        <v>0</v>
      </c>
    </row>
    <row r="1757" spans="1:26" ht="22.2" customHeight="1" x14ac:dyDescent="0.3">
      <c r="A1757" s="66" t="str">
        <f>+IF(PROVEEDORES[[#This Row],[FECHA DE PAGO]]=PROVEEDORES[[#This Row],[FECHA DE FACTURACIÓN]],"DE CONTADO","CRÉDITO")</f>
        <v>CRÉDITO</v>
      </c>
      <c r="B1757" s="38" t="str">
        <f>+IF((PROVEEDORES[[#This Row],[FECHA DE PAGO]]-PROVEEDORES[[#This Row],[FECHA DE FACTURACIÓN]])&gt;PROVEEDORES[[#This Row],[PLAZO Días]],"PAGO VENCIDO")</f>
        <v>PAGO VENCIDO</v>
      </c>
      <c r="C1757" s="20">
        <f>+VLOOKUP(PROVEEDORES[[#This Row],[PROVEEDOR]],TERCEROS_INFO[#All],2,FALSE)</f>
        <v>30</v>
      </c>
      <c r="D1757" s="25">
        <f>+SUMIFS(PROVEEDORES[Total],PROVEEDORES[PROVEEDOR],PROVEEDORES[[#This Row],[PROVEEDOR]],PROVEEDORES[FECHA DE PAGO],"")</f>
        <v>2456000</v>
      </c>
      <c r="E1757" s="25"/>
      <c r="F175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757" s="161">
        <v>44271</v>
      </c>
      <c r="H1757" s="26" t="s">
        <v>623</v>
      </c>
      <c r="I1757" s="161">
        <v>44183</v>
      </c>
      <c r="J1757" s="35">
        <v>538</v>
      </c>
      <c r="K1757" s="21">
        <v>3268500</v>
      </c>
      <c r="L1757" s="21"/>
      <c r="M1757" s="22">
        <f>(PROVEEDORES[[#This Row],[SUBTOTAL]]-PROVEEDORES[[#This Row],[descuento sobre subtotal]])*VLOOKUP(PROVEEDORES[[#This Row],[PROVEEDOR]],TERCEROS_INFO[#All],3,FALSE)</f>
        <v>0</v>
      </c>
      <c r="N1757" s="23"/>
      <c r="O1757" s="22">
        <f>+PROVEEDORES[[#This Row],[Descuento sobre subtotal %]]*(PROVEEDORES[[#This Row],[SUBTOTAL]]-PROVEEDORES[[#This Row],[descuento sobre subtotal]])</f>
        <v>0</v>
      </c>
      <c r="P1757" s="83">
        <f>+IF(PROVEEDORES[[#This Row],[SUBTOTAL]]&lt;PROVEEDORES[[#This Row],[base retencion]],0,PROVEEDORES[[#This Row],[retención aplicada]])</f>
        <v>0</v>
      </c>
      <c r="Q1757" s="22">
        <f>+PROVEEDORES[[#This Row],[Rete Fuente %]]*(PROVEEDORES[[#This Row],[SUBTOTAL]]-PROVEEDORES[[#This Row],[descuento sobre subtotal]])</f>
        <v>0</v>
      </c>
      <c r="R1757" s="21">
        <f>+PROVEEDORES[[#This Row],[SUBTOTAL]]+PROVEEDORES[[#This Row],[IVA 19%]]-PROVEEDORES[[#This Row],[descuento sobre subtotal]]-PROVEEDORES[[#This Row],[Descuento sobre subtotal $2]]-PROVEEDORES[[#This Row],[Rete Fuente $]]</f>
        <v>3268500</v>
      </c>
      <c r="S17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7" s="68">
        <f ca="1">IF(PROVEEDORES[[#This Row],[FECHA DE PAGO]]=0,TODAY()-PROVEEDORES[[#This Row],[FECHA DE FACTURACIÓN]]-PROVEEDORES[[#This Row],[PLAZO Días]],0)</f>
        <v>0</v>
      </c>
      <c r="U1757" s="96">
        <f>+VLOOKUP(PROVEEDORES[[#This Row],[PROVEEDOR]],Terceros!$A:$D,4,FALSE)</f>
        <v>0</v>
      </c>
      <c r="V1757" s="97">
        <f>+YEAR(PROVEEDORES[[#This Row],[FECHA DE FACTURACIÓN]])</f>
        <v>2020</v>
      </c>
      <c r="W1757" s="97">
        <f>+MATCH(PROVEEDORES[[#This Row],[año facturado]],Retenciones!$1:$1,0)</f>
        <v>3</v>
      </c>
      <c r="X1757" s="98">
        <f>+VLOOKUP(PROVEEDORES[[#This Row],[ID RETENCION]],Retenciones!$A$1:$O$25,PROVEEDORES[[#This Row],[indicador de columna]],FALSE)</f>
        <v>0</v>
      </c>
      <c r="Y1757" s="99">
        <f>+VLOOKUP(PROVEEDORES[[#This Row],[ID RETENCION]],Retenciones!$A$1:$O$25,2,FALSE)</f>
        <v>0</v>
      </c>
      <c r="Z1757" s="125" t="b">
        <f>OR(COUNTIF(PROVEEDORES[[#This Row],[PROVEEDOR]],"*"&amp;'Palabra no opera'!$A$2&amp;"*"))</f>
        <v>0</v>
      </c>
    </row>
    <row r="1758" spans="1:26" ht="22.2" customHeight="1" x14ac:dyDescent="0.3">
      <c r="A1758" s="66" t="str">
        <f>+IF(PROVEEDORES[[#This Row],[FECHA DE PAGO]]=PROVEEDORES[[#This Row],[FECHA DE FACTURACIÓN]],"DE CONTADO","CRÉDITO")</f>
        <v>CRÉDITO</v>
      </c>
      <c r="B1758" s="38" t="str">
        <f>+IF((PROVEEDORES[[#This Row],[FECHA DE PAGO]]-PROVEEDORES[[#This Row],[FECHA DE FACTURACIÓN]])&gt;PROVEEDORES[[#This Row],[PLAZO Días]],"PAGO VENCIDO")</f>
        <v>PAGO VENCIDO</v>
      </c>
      <c r="C1758" s="20">
        <f>+VLOOKUP(PROVEEDORES[[#This Row],[PROVEEDOR]],TERCEROS_INFO[#All],2,FALSE)</f>
        <v>45</v>
      </c>
      <c r="D1758" s="25">
        <f>+SUMIFS(PROVEEDORES[Total],PROVEEDORES[PROVEEDOR],PROVEEDORES[[#This Row],[PROVEEDOR]],PROVEEDORES[FECHA DE PAGO],"")</f>
        <v>31891814.359999999</v>
      </c>
      <c r="E1758" s="25"/>
      <c r="F175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58" s="161">
        <v>44690</v>
      </c>
      <c r="H1758" s="26" t="s">
        <v>19</v>
      </c>
      <c r="I1758" s="161">
        <v>44638</v>
      </c>
      <c r="J1758" s="35" t="s">
        <v>733</v>
      </c>
      <c r="K1758" s="21">
        <v>2756160</v>
      </c>
      <c r="L1758" s="21"/>
      <c r="M1758" s="22">
        <f>(PROVEEDORES[[#This Row],[SUBTOTAL]]-PROVEEDORES[[#This Row],[descuento sobre subtotal]])*VLOOKUP(PROVEEDORES[[#This Row],[PROVEEDOR]],TERCEROS_INFO[#All],3,FALSE)</f>
        <v>523670.4</v>
      </c>
      <c r="N1758" s="23"/>
      <c r="O1758" s="22">
        <f>+PROVEEDORES[[#This Row],[Descuento sobre subtotal %]]*(PROVEEDORES[[#This Row],[SUBTOTAL]]-PROVEEDORES[[#This Row],[descuento sobre subtotal]])</f>
        <v>0</v>
      </c>
      <c r="P1758" s="83">
        <f>+IF(PROVEEDORES[[#This Row],[SUBTOTAL]]&lt;PROVEEDORES[[#This Row],[base retencion]],0,PROVEEDORES[[#This Row],[retención aplicada]])</f>
        <v>0</v>
      </c>
      <c r="Q1758" s="22">
        <f>+PROVEEDORES[[#This Row],[Rete Fuente %]]*(PROVEEDORES[[#This Row],[SUBTOTAL]]-PROVEEDORES[[#This Row],[descuento sobre subtotal]])</f>
        <v>0</v>
      </c>
      <c r="R1758" s="21">
        <f>+PROVEEDORES[[#This Row],[SUBTOTAL]]+PROVEEDORES[[#This Row],[IVA 19%]]-PROVEEDORES[[#This Row],[descuento sobre subtotal]]-PROVEEDORES[[#This Row],[Descuento sobre subtotal $2]]-PROVEEDORES[[#This Row],[Rete Fuente $]]</f>
        <v>3279830.4</v>
      </c>
      <c r="S17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8" s="68">
        <f ca="1">IF(PROVEEDORES[[#This Row],[FECHA DE PAGO]]=0,TODAY()-PROVEEDORES[[#This Row],[FECHA DE FACTURACIÓN]]-PROVEEDORES[[#This Row],[PLAZO Días]],0)</f>
        <v>0</v>
      </c>
      <c r="U1758" s="96">
        <f>+VLOOKUP(PROVEEDORES[[#This Row],[PROVEEDOR]],Terceros!$A:$D,4,FALSE)</f>
        <v>0</v>
      </c>
      <c r="V1758" s="97">
        <f>+YEAR(PROVEEDORES[[#This Row],[FECHA DE FACTURACIÓN]])</f>
        <v>2022</v>
      </c>
      <c r="W1758" s="97">
        <f>+MATCH(PROVEEDORES[[#This Row],[año facturado]],Retenciones!$1:$1,0)</f>
        <v>5</v>
      </c>
      <c r="X1758" s="98">
        <f>+VLOOKUP(PROVEEDORES[[#This Row],[ID RETENCION]],Retenciones!$A$1:$O$25,PROVEEDORES[[#This Row],[indicador de columna]],FALSE)</f>
        <v>0</v>
      </c>
      <c r="Y1758" s="99">
        <f>+VLOOKUP(PROVEEDORES[[#This Row],[ID RETENCION]],Retenciones!$A$1:$O$25,2,FALSE)</f>
        <v>0</v>
      </c>
      <c r="Z1758" s="125" t="b">
        <f>OR(COUNTIF(PROVEEDORES[[#This Row],[PROVEEDOR]],"*"&amp;'Palabra no opera'!$A$2&amp;"*"))</f>
        <v>0</v>
      </c>
    </row>
    <row r="1759" spans="1:26" ht="22.2" customHeight="1" x14ac:dyDescent="0.3">
      <c r="A1759" s="66" t="str">
        <f>+IF(PROVEEDORES[[#This Row],[FECHA DE PAGO]]=PROVEEDORES[[#This Row],[FECHA DE FACTURACIÓN]],"DE CONTADO","CRÉDITO")</f>
        <v>CRÉDITO</v>
      </c>
      <c r="B1759" s="38" t="b">
        <f>+IF((PROVEEDORES[[#This Row],[FECHA DE PAGO]]-PROVEEDORES[[#This Row],[FECHA DE FACTURACIÓN]])&gt;PROVEEDORES[[#This Row],[PLAZO Días]],"PAGO VENCIDO")</f>
        <v>0</v>
      </c>
      <c r="C1759" s="20">
        <f>+VLOOKUP(PROVEEDORES[[#This Row],[PROVEEDOR]],TERCEROS_INFO[#All],2,FALSE)</f>
        <v>30</v>
      </c>
      <c r="D1759" s="25">
        <f>+SUMIFS(PROVEEDORES[Total],PROVEEDORES[PROVEEDOR],PROVEEDORES[[#This Row],[PROVEEDOR]],PROVEEDORES[FECHA DE PAGO],"")</f>
        <v>0</v>
      </c>
      <c r="E1759" s="25"/>
      <c r="F1759" s="58" t="str">
        <f>+VLOOKUP(PROVEEDORES[[#This Row],[PROVEEDOR]],
                       Terceros!$A:$F,
                       5,
                       FALSE)</f>
        <v/>
      </c>
      <c r="G1759" s="161">
        <v>44237</v>
      </c>
      <c r="H1759" s="26" t="s">
        <v>638</v>
      </c>
      <c r="I1759" s="161">
        <v>44228</v>
      </c>
      <c r="J1759" s="35" t="s">
        <v>1189</v>
      </c>
      <c r="K1759" s="21">
        <v>3313000</v>
      </c>
      <c r="L1759" s="21"/>
      <c r="M1759" s="22">
        <f>(PROVEEDORES[[#This Row],[SUBTOTAL]]-PROVEEDORES[[#This Row],[descuento sobre subtotal]])*VLOOKUP(PROVEEDORES[[#This Row],[PROVEEDOR]],TERCEROS_INFO[#All],3,FALSE)</f>
        <v>0</v>
      </c>
      <c r="N1759" s="23"/>
      <c r="O1759" s="22">
        <f>+PROVEEDORES[[#This Row],[Descuento sobre subtotal %]]*(PROVEEDORES[[#This Row],[SUBTOTAL]]-PROVEEDORES[[#This Row],[descuento sobre subtotal]])</f>
        <v>0</v>
      </c>
      <c r="P1759" s="83">
        <f>+IF(PROVEEDORES[[#This Row],[SUBTOTAL]]&lt;PROVEEDORES[[#This Row],[base retencion]],0,PROVEEDORES[[#This Row],[retención aplicada]])</f>
        <v>0</v>
      </c>
      <c r="Q1759" s="22">
        <f>+PROVEEDORES[[#This Row],[Rete Fuente %]]*(PROVEEDORES[[#This Row],[SUBTOTAL]]-PROVEEDORES[[#This Row],[descuento sobre subtotal]])</f>
        <v>0</v>
      </c>
      <c r="R1759" s="21">
        <f>+PROVEEDORES[[#This Row],[SUBTOTAL]]+PROVEEDORES[[#This Row],[IVA 19%]]-PROVEEDORES[[#This Row],[descuento sobre subtotal]]-PROVEEDORES[[#This Row],[Descuento sobre subtotal $2]]-PROVEEDORES[[#This Row],[Rete Fuente $]]</f>
        <v>3313000</v>
      </c>
      <c r="S175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9" s="68">
        <f ca="1">IF(PROVEEDORES[[#This Row],[FECHA DE PAGO]]=0,TODAY()-PROVEEDORES[[#This Row],[FECHA DE FACTURACIÓN]]-PROVEEDORES[[#This Row],[PLAZO Días]],0)</f>
        <v>0</v>
      </c>
      <c r="U1759" s="96">
        <f>+VLOOKUP(PROVEEDORES[[#This Row],[PROVEEDOR]],Terceros!$A:$D,4,FALSE)</f>
        <v>0</v>
      </c>
      <c r="V1759" s="97">
        <f>+YEAR(PROVEEDORES[[#This Row],[FECHA DE FACTURACIÓN]])</f>
        <v>2021</v>
      </c>
      <c r="W1759" s="97">
        <f>+MATCH(PROVEEDORES[[#This Row],[año facturado]],Retenciones!$1:$1,0)</f>
        <v>4</v>
      </c>
      <c r="X1759" s="98">
        <f>+VLOOKUP(PROVEEDORES[[#This Row],[ID RETENCION]],Retenciones!$A$1:$O$25,PROVEEDORES[[#This Row],[indicador de columna]],FALSE)</f>
        <v>0</v>
      </c>
      <c r="Y1759" s="99">
        <f>+VLOOKUP(PROVEEDORES[[#This Row],[ID RETENCION]],Retenciones!$A$1:$O$25,2,FALSE)</f>
        <v>0</v>
      </c>
      <c r="Z1759" s="125" t="b">
        <f>OR(COUNTIF(PROVEEDORES[[#This Row],[PROVEEDOR]],"*"&amp;'Palabra no opera'!$A$2&amp;"*"))</f>
        <v>0</v>
      </c>
    </row>
    <row r="1760" spans="1:26" ht="22.2" customHeight="1" x14ac:dyDescent="0.3">
      <c r="A1760" s="66" t="str">
        <f>+IF(PROVEEDORES[[#This Row],[FECHA DE PAGO]]=PROVEEDORES[[#This Row],[FECHA DE FACTURACIÓN]],"DE CONTADO","CRÉDITO")</f>
        <v>CRÉDITO</v>
      </c>
      <c r="B1760" s="38" t="str">
        <f>+IF((PROVEEDORES[[#This Row],[FECHA DE PAGO]]-PROVEEDORES[[#This Row],[FECHA DE FACTURACIÓN]])&gt;PROVEEDORES[[#This Row],[PLAZO Días]],"PAGO VENCIDO")</f>
        <v>PAGO VENCIDO</v>
      </c>
      <c r="C1760" s="20">
        <f>+VLOOKUP(PROVEEDORES[[#This Row],[PROVEEDOR]],TERCEROS_INFO[#All],2,FALSE)</f>
        <v>30</v>
      </c>
      <c r="D1760" s="25">
        <f>+SUMIFS(PROVEEDORES[Total],PROVEEDORES[PROVEEDOR],PROVEEDORES[[#This Row],[PROVEEDOR]],PROVEEDORES[FECHA DE PAGO],"")</f>
        <v>2121000</v>
      </c>
      <c r="E1760" s="25"/>
      <c r="F1760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60" s="161">
        <v>44688</v>
      </c>
      <c r="H1760" s="26" t="s">
        <v>685</v>
      </c>
      <c r="I1760" s="161">
        <v>44632</v>
      </c>
      <c r="J1760" s="35" t="s">
        <v>740</v>
      </c>
      <c r="K1760" s="21">
        <v>3320000</v>
      </c>
      <c r="L1760" s="21"/>
      <c r="M1760" s="22">
        <f>(PROVEEDORES[[#This Row],[SUBTOTAL]]-PROVEEDORES[[#This Row],[descuento sobre subtotal]])*VLOOKUP(PROVEEDORES[[#This Row],[PROVEEDOR]],TERCEROS_INFO[#All],3,FALSE)</f>
        <v>0</v>
      </c>
      <c r="N1760" s="23"/>
      <c r="O1760" s="22">
        <f>+PROVEEDORES[[#This Row],[Descuento sobre subtotal %]]*(PROVEEDORES[[#This Row],[SUBTOTAL]]-PROVEEDORES[[#This Row],[descuento sobre subtotal]])</f>
        <v>0</v>
      </c>
      <c r="P1760" s="83">
        <f>+IF(PROVEEDORES[[#This Row],[SUBTOTAL]]&lt;PROVEEDORES[[#This Row],[base retencion]],0,PROVEEDORES[[#This Row],[retención aplicada]])</f>
        <v>0</v>
      </c>
      <c r="Q1760" s="22">
        <f>+PROVEEDORES[[#This Row],[Rete Fuente %]]*(PROVEEDORES[[#This Row],[SUBTOTAL]]-PROVEEDORES[[#This Row],[descuento sobre subtotal]])</f>
        <v>0</v>
      </c>
      <c r="R1760" s="21">
        <f>+PROVEEDORES[[#This Row],[SUBTOTAL]]+PROVEEDORES[[#This Row],[IVA 19%]]-PROVEEDORES[[#This Row],[descuento sobre subtotal]]-PROVEEDORES[[#This Row],[Descuento sobre subtotal $2]]-PROVEEDORES[[#This Row],[Rete Fuente $]]</f>
        <v>3320000</v>
      </c>
      <c r="S17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0" s="68">
        <f ca="1">IF(PROVEEDORES[[#This Row],[FECHA DE PAGO]]=0,TODAY()-PROVEEDORES[[#This Row],[FECHA DE FACTURACIÓN]]-PROVEEDORES[[#This Row],[PLAZO Días]],0)</f>
        <v>0</v>
      </c>
      <c r="U1760" s="96">
        <f>+VLOOKUP(PROVEEDORES[[#This Row],[PROVEEDOR]],Terceros!$A:$D,4,FALSE)</f>
        <v>0</v>
      </c>
      <c r="V1760" s="97">
        <f>+YEAR(PROVEEDORES[[#This Row],[FECHA DE FACTURACIÓN]])</f>
        <v>2022</v>
      </c>
      <c r="W1760" s="97">
        <f>+MATCH(PROVEEDORES[[#This Row],[año facturado]],Retenciones!$1:$1,0)</f>
        <v>5</v>
      </c>
      <c r="X1760" s="98">
        <f>+VLOOKUP(PROVEEDORES[[#This Row],[ID RETENCION]],Retenciones!$A$1:$O$25,PROVEEDORES[[#This Row],[indicador de columna]],FALSE)</f>
        <v>0</v>
      </c>
      <c r="Y1760" s="99">
        <f>+VLOOKUP(PROVEEDORES[[#This Row],[ID RETENCION]],Retenciones!$A$1:$O$25,2,FALSE)</f>
        <v>0</v>
      </c>
      <c r="Z1760" s="125" t="b">
        <f>OR(COUNTIF(PROVEEDORES[[#This Row],[PROVEEDOR]],"*"&amp;'Palabra no opera'!$A$2&amp;"*"))</f>
        <v>0</v>
      </c>
    </row>
    <row r="1761" spans="1:26" ht="22.2" customHeight="1" x14ac:dyDescent="0.3">
      <c r="A1761" s="144" t="str">
        <f>+IF(PROVEEDORES[[#This Row],[FECHA DE PAGO]]=PROVEEDORES[[#This Row],[FECHA DE FACTURACIÓN]],"DE CONTADO","CRÉDITO")</f>
        <v>CRÉDITO</v>
      </c>
      <c r="B1761" s="38" t="str">
        <f>+IF((PROVEEDORES[[#This Row],[FECHA DE PAGO]]-PROVEEDORES[[#This Row],[FECHA DE FACTURACIÓN]])&gt;PROVEEDORES[[#This Row],[PLAZO Días]],"PAGO VENCIDO")</f>
        <v>PAGO VENCIDO</v>
      </c>
      <c r="C1761" s="20">
        <f>+VLOOKUP(PROVEEDORES[[#This Row],[PROVEEDOR]],TERCEROS_INFO[#All],2,FALSE)</f>
        <v>30</v>
      </c>
      <c r="D1761" s="25">
        <f>+SUMIFS(PROVEEDORES[Total],PROVEEDORES[PROVEEDOR],PROVEEDORES[[#This Row],[PROVEEDOR]],PROVEEDORES[FECHA DE PAGO],"")</f>
        <v>5430852.9800000004</v>
      </c>
      <c r="E1761" s="25"/>
      <c r="F1761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61" s="161">
        <v>44733</v>
      </c>
      <c r="H1761" s="26" t="s">
        <v>408</v>
      </c>
      <c r="I1761" s="161">
        <v>44700</v>
      </c>
      <c r="J1761" s="35" t="s">
        <v>987</v>
      </c>
      <c r="K1761" s="21">
        <v>2800056</v>
      </c>
      <c r="L1761" s="21"/>
      <c r="M1761" s="22">
        <f>(PROVEEDORES[[#This Row],[SUBTOTAL]]-PROVEEDORES[[#This Row],[descuento sobre subtotal]])*VLOOKUP(PROVEEDORES[[#This Row],[PROVEEDOR]],TERCEROS_INFO[#All],3,FALSE)</f>
        <v>532010.64</v>
      </c>
      <c r="N1761" s="23"/>
      <c r="O1761" s="22">
        <f>+PROVEEDORES[[#This Row],[Descuento sobre subtotal %]]*(PROVEEDORES[[#This Row],[SUBTOTAL]]-PROVEEDORES[[#This Row],[descuento sobre subtotal]])</f>
        <v>0</v>
      </c>
      <c r="P1761" s="83">
        <f>+IF(PROVEEDORES[[#This Row],[SUBTOTAL]]&lt;PROVEEDORES[[#This Row],[base retencion]],0,PROVEEDORES[[#This Row],[retención aplicada]])</f>
        <v>0</v>
      </c>
      <c r="Q1761" s="22">
        <f>+PROVEEDORES[[#This Row],[Rete Fuente %]]*(PROVEEDORES[[#This Row],[SUBTOTAL]]-PROVEEDORES[[#This Row],[descuento sobre subtotal]])</f>
        <v>0</v>
      </c>
      <c r="R1761" s="21">
        <f>+PROVEEDORES[[#This Row],[SUBTOTAL]]+PROVEEDORES[[#This Row],[IVA 19%]]-PROVEEDORES[[#This Row],[descuento sobre subtotal]]-PROVEEDORES[[#This Row],[Descuento sobre subtotal $2]]-PROVEEDORES[[#This Row],[Rete Fuente $]]</f>
        <v>3332066.64</v>
      </c>
      <c r="S1761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1" s="68">
        <f ca="1">IF(PROVEEDORES[[#This Row],[FECHA DE PAGO]]=0,TODAY()-PROVEEDORES[[#This Row],[FECHA DE FACTURACIÓN]]-PROVEEDORES[[#This Row],[PLAZO Días]],0)</f>
        <v>0</v>
      </c>
      <c r="U1761" s="113">
        <f>+VLOOKUP(PROVEEDORES[[#This Row],[PROVEEDOR]],Terceros!$A:$D,4,FALSE)</f>
        <v>0</v>
      </c>
      <c r="V1761" s="114">
        <f>+YEAR(PROVEEDORES[[#This Row],[FECHA DE FACTURACIÓN]])</f>
        <v>2022</v>
      </c>
      <c r="W1761" s="114">
        <f>+MATCH(PROVEEDORES[[#This Row],[año facturado]],Retenciones!$1:$1,0)</f>
        <v>5</v>
      </c>
      <c r="X1761" s="115">
        <f>+VLOOKUP(PROVEEDORES[[#This Row],[ID RETENCION]],Retenciones!$A$1:$O$25,PROVEEDORES[[#This Row],[indicador de columna]],FALSE)</f>
        <v>0</v>
      </c>
      <c r="Y1761" s="116">
        <f>+VLOOKUP(PROVEEDORES[[#This Row],[ID RETENCION]],Retenciones!$A$1:$O$25,2,FALSE)</f>
        <v>0</v>
      </c>
      <c r="Z1761" s="125" t="b">
        <f>OR(COUNTIF(PROVEEDORES[[#This Row],[PROVEEDOR]],"*"&amp;'Palabra no opera'!$A$2&amp;"*"))</f>
        <v>0</v>
      </c>
    </row>
    <row r="1762" spans="1:26" ht="22.2" customHeight="1" x14ac:dyDescent="0.3">
      <c r="A1762" s="66" t="str">
        <f>+IF(PROVEEDORES[[#This Row],[FECHA DE PAGO]]=PROVEEDORES[[#This Row],[FECHA DE FACTURACIÓN]],"DE CONTADO","CRÉDITO")</f>
        <v>CRÉDITO</v>
      </c>
      <c r="B1762" s="38" t="str">
        <f>+IF((PROVEEDORES[[#This Row],[FECHA DE PAGO]]-PROVEEDORES[[#This Row],[FECHA DE FACTURACIÓN]])&gt;PROVEEDORES[[#This Row],[PLAZO Días]],"PAGO VENCIDO")</f>
        <v>PAGO VENCIDO</v>
      </c>
      <c r="C1762" s="20">
        <f>+VLOOKUP(PROVEEDORES[[#This Row],[PROVEEDOR]],TERCEROS_INFO[#All],2,FALSE)</f>
        <v>30</v>
      </c>
      <c r="D1762" s="25">
        <f>+SUMIFS(PROVEEDORES[Total],PROVEEDORES[PROVEEDOR],PROVEEDORES[[#This Row],[PROVEEDOR]],PROVEEDORES[FECHA DE PAGO],"")</f>
        <v>2456000</v>
      </c>
      <c r="E1762" s="25"/>
      <c r="F1762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762" s="161">
        <v>44551</v>
      </c>
      <c r="H1762" s="26" t="s">
        <v>623</v>
      </c>
      <c r="I1762" s="161">
        <v>44495</v>
      </c>
      <c r="J1762" s="35" t="s">
        <v>1511</v>
      </c>
      <c r="K1762" s="21">
        <v>3345300</v>
      </c>
      <c r="L1762" s="21"/>
      <c r="M1762" s="22">
        <f>(PROVEEDORES[[#This Row],[SUBTOTAL]]-PROVEEDORES[[#This Row],[descuento sobre subtotal]])*VLOOKUP(PROVEEDORES[[#This Row],[PROVEEDOR]],TERCEROS_INFO[#All],3,FALSE)</f>
        <v>0</v>
      </c>
      <c r="N1762" s="23"/>
      <c r="O1762" s="22">
        <f>+PROVEEDORES[[#This Row],[Descuento sobre subtotal %]]*(PROVEEDORES[[#This Row],[SUBTOTAL]]-PROVEEDORES[[#This Row],[descuento sobre subtotal]])</f>
        <v>0</v>
      </c>
      <c r="P1762" s="83">
        <f>+IF(PROVEEDORES[[#This Row],[SUBTOTAL]]&lt;PROVEEDORES[[#This Row],[base retencion]],0,PROVEEDORES[[#This Row],[retención aplicada]])</f>
        <v>0</v>
      </c>
      <c r="Q1762" s="22">
        <f>+PROVEEDORES[[#This Row],[Rete Fuente %]]*(PROVEEDORES[[#This Row],[SUBTOTAL]]-PROVEEDORES[[#This Row],[descuento sobre subtotal]])</f>
        <v>0</v>
      </c>
      <c r="R1762" s="21">
        <f>+PROVEEDORES[[#This Row],[SUBTOTAL]]+PROVEEDORES[[#This Row],[IVA 19%]]-PROVEEDORES[[#This Row],[descuento sobre subtotal]]-PROVEEDORES[[#This Row],[Descuento sobre subtotal $2]]-PROVEEDORES[[#This Row],[Rete Fuente $]]</f>
        <v>3345300</v>
      </c>
      <c r="S17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2" s="68">
        <f ca="1">IF(PROVEEDORES[[#This Row],[FECHA DE PAGO]]=0,TODAY()-PROVEEDORES[[#This Row],[FECHA DE FACTURACIÓN]]-PROVEEDORES[[#This Row],[PLAZO Días]],0)</f>
        <v>0</v>
      </c>
      <c r="U1762" s="96">
        <f>+VLOOKUP(PROVEEDORES[[#This Row],[PROVEEDOR]],Terceros!$A:$D,4,FALSE)</f>
        <v>0</v>
      </c>
      <c r="V1762" s="97">
        <f>+YEAR(PROVEEDORES[[#This Row],[FECHA DE FACTURACIÓN]])</f>
        <v>2021</v>
      </c>
      <c r="W1762" s="97">
        <f>+MATCH(PROVEEDORES[[#This Row],[año facturado]],Retenciones!$1:$1,0)</f>
        <v>4</v>
      </c>
      <c r="X1762" s="98">
        <f>+VLOOKUP(PROVEEDORES[[#This Row],[ID RETENCION]],Retenciones!$A$1:$O$25,PROVEEDORES[[#This Row],[indicador de columna]],FALSE)</f>
        <v>0</v>
      </c>
      <c r="Y1762" s="99">
        <f>+VLOOKUP(PROVEEDORES[[#This Row],[ID RETENCION]],Retenciones!$A$1:$O$25,2,FALSE)</f>
        <v>0</v>
      </c>
      <c r="Z1762" s="125" t="b">
        <f>OR(COUNTIF(PROVEEDORES[[#This Row],[PROVEEDOR]],"*"&amp;'Palabra no opera'!$A$2&amp;"*"))</f>
        <v>0</v>
      </c>
    </row>
    <row r="1763" spans="1:26" ht="22.2" customHeight="1" x14ac:dyDescent="0.3">
      <c r="A1763" s="66" t="str">
        <f>+IF(PROVEEDORES[[#This Row],[FECHA DE PAGO]]=PROVEEDORES[[#This Row],[FECHA DE FACTURACIÓN]],"DE CONTADO","CRÉDITO")</f>
        <v>CRÉDITO</v>
      </c>
      <c r="B1763" s="38" t="b">
        <f>+IF((PROVEEDORES[[#This Row],[FECHA DE PAGO]]-PROVEEDORES[[#This Row],[FECHA DE FACTURACIÓN]])&gt;PROVEEDORES[[#This Row],[PLAZO Días]],"PAGO VENCIDO")</f>
        <v>0</v>
      </c>
      <c r="C1763" s="20">
        <f>+VLOOKUP(PROVEEDORES[[#This Row],[PROVEEDOR]],TERCEROS_INFO[#All],2,FALSE)</f>
        <v>30</v>
      </c>
      <c r="D1763" s="25">
        <f>+SUMIFS(PROVEEDORES[Total],PROVEEDORES[PROVEEDOR],PROVEEDORES[[#This Row],[PROVEEDOR]],PROVEEDORES[FECHA DE PAGO],"")</f>
        <v>0</v>
      </c>
      <c r="E1763" s="25"/>
      <c r="F1763" s="58" t="str">
        <f>+VLOOKUP(PROVEEDORES[[#This Row],[PROVEEDOR]],
                       Terceros!$A:$F,
                       5,
                       FALSE)</f>
        <v/>
      </c>
      <c r="G1763" s="161">
        <v>44306</v>
      </c>
      <c r="H1763" s="26" t="s">
        <v>638</v>
      </c>
      <c r="I1763" s="161">
        <v>44305</v>
      </c>
      <c r="J1763" s="35" t="s">
        <v>1209</v>
      </c>
      <c r="K1763" s="21">
        <v>3351000</v>
      </c>
      <c r="L1763" s="21"/>
      <c r="M1763" s="22">
        <f>(PROVEEDORES[[#This Row],[SUBTOTAL]]-PROVEEDORES[[#This Row],[descuento sobre subtotal]])*VLOOKUP(PROVEEDORES[[#This Row],[PROVEEDOR]],TERCEROS_INFO[#All],3,FALSE)</f>
        <v>0</v>
      </c>
      <c r="N1763" s="23"/>
      <c r="O1763" s="22">
        <f>+PROVEEDORES[[#This Row],[Descuento sobre subtotal %]]*(PROVEEDORES[[#This Row],[SUBTOTAL]]-PROVEEDORES[[#This Row],[descuento sobre subtotal]])</f>
        <v>0</v>
      </c>
      <c r="P1763" s="83">
        <f>+IF(PROVEEDORES[[#This Row],[SUBTOTAL]]&lt;PROVEEDORES[[#This Row],[base retencion]],0,PROVEEDORES[[#This Row],[retención aplicada]])</f>
        <v>0</v>
      </c>
      <c r="Q1763" s="22">
        <f>+PROVEEDORES[[#This Row],[Rete Fuente %]]*(PROVEEDORES[[#This Row],[SUBTOTAL]]-PROVEEDORES[[#This Row],[descuento sobre subtotal]])</f>
        <v>0</v>
      </c>
      <c r="R1763" s="21">
        <f>+PROVEEDORES[[#This Row],[SUBTOTAL]]+PROVEEDORES[[#This Row],[IVA 19%]]-PROVEEDORES[[#This Row],[descuento sobre subtotal]]-PROVEEDORES[[#This Row],[Descuento sobre subtotal $2]]-PROVEEDORES[[#This Row],[Rete Fuente $]]</f>
        <v>3351000</v>
      </c>
      <c r="S17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3" s="68">
        <f ca="1">IF(PROVEEDORES[[#This Row],[FECHA DE PAGO]]=0,TODAY()-PROVEEDORES[[#This Row],[FECHA DE FACTURACIÓN]]-PROVEEDORES[[#This Row],[PLAZO Días]],0)</f>
        <v>0</v>
      </c>
      <c r="U1763" s="96">
        <f>+VLOOKUP(PROVEEDORES[[#This Row],[PROVEEDOR]],Terceros!$A:$D,4,FALSE)</f>
        <v>0</v>
      </c>
      <c r="V1763" s="97">
        <f>+YEAR(PROVEEDORES[[#This Row],[FECHA DE FACTURACIÓN]])</f>
        <v>2021</v>
      </c>
      <c r="W1763" s="97">
        <f>+MATCH(PROVEEDORES[[#This Row],[año facturado]],Retenciones!$1:$1,0)</f>
        <v>4</v>
      </c>
      <c r="X1763" s="98">
        <f>+VLOOKUP(PROVEEDORES[[#This Row],[ID RETENCION]],Retenciones!$A$1:$O$25,PROVEEDORES[[#This Row],[indicador de columna]],FALSE)</f>
        <v>0</v>
      </c>
      <c r="Y1763" s="99">
        <f>+VLOOKUP(PROVEEDORES[[#This Row],[ID RETENCION]],Retenciones!$A$1:$O$25,2,FALSE)</f>
        <v>0</v>
      </c>
      <c r="Z1763" s="125" t="b">
        <f>OR(COUNTIF(PROVEEDORES[[#This Row],[PROVEEDOR]],"*"&amp;'Palabra no opera'!$A$2&amp;"*"))</f>
        <v>0</v>
      </c>
    </row>
    <row r="1764" spans="1:26" ht="22.2" customHeight="1" x14ac:dyDescent="0.3">
      <c r="A1764" s="66" t="str">
        <f>+IF(PROVEEDORES[[#This Row],[FECHA DE PAGO]]=PROVEEDORES[[#This Row],[FECHA DE FACTURACIÓN]],"DE CONTADO","CRÉDITO")</f>
        <v>CRÉDITO</v>
      </c>
      <c r="B1764" s="38" t="str">
        <f>+IF((PROVEEDORES[[#This Row],[FECHA DE PAGO]]-PROVEEDORES[[#This Row],[FECHA DE FACTURACIÓN]])&gt;PROVEEDORES[[#This Row],[PLAZO Días]],"PAGO VENCIDO")</f>
        <v>PAGO VENCIDO</v>
      </c>
      <c r="C1764" s="20">
        <f>+VLOOKUP(PROVEEDORES[[#This Row],[PROVEEDOR]],TERCEROS_INFO[#All],2,FALSE)</f>
        <v>30</v>
      </c>
      <c r="D1764" s="25">
        <f>+SUMIFS(PROVEEDORES[Total],PROVEEDORES[PROVEEDOR],PROVEEDORES[[#This Row],[PROVEEDOR]],PROVEEDORES[FECHA DE PAGO],"")</f>
        <v>0</v>
      </c>
      <c r="E1764" s="25"/>
      <c r="F176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64" s="161">
        <v>44614</v>
      </c>
      <c r="H1764" s="26" t="s">
        <v>1637</v>
      </c>
      <c r="I1764" s="161">
        <v>44550</v>
      </c>
      <c r="J1764" s="35">
        <v>24019</v>
      </c>
      <c r="K1764" s="21">
        <v>2885740</v>
      </c>
      <c r="L1764" s="21"/>
      <c r="M1764" s="22">
        <f>(PROVEEDORES[[#This Row],[SUBTOTAL]]-PROVEEDORES[[#This Row],[descuento sobre subtotal]])*VLOOKUP(PROVEEDORES[[#This Row],[PROVEEDOR]],TERCEROS_INFO[#All],3,FALSE)</f>
        <v>548290.6</v>
      </c>
      <c r="N1764" s="23"/>
      <c r="O1764" s="22">
        <f>+PROVEEDORES[[#This Row],[Descuento sobre subtotal %]]*(PROVEEDORES[[#This Row],[SUBTOTAL]]-PROVEEDORES[[#This Row],[descuento sobre subtotal]])</f>
        <v>0</v>
      </c>
      <c r="P1764" s="83">
        <f>+IF(PROVEEDORES[[#This Row],[SUBTOTAL]]&lt;PROVEEDORES[[#This Row],[base retencion]],0,PROVEEDORES[[#This Row],[retención aplicada]])</f>
        <v>2.5000000000000001E-2</v>
      </c>
      <c r="Q1764" s="22">
        <f>+PROVEEDORES[[#This Row],[Rete Fuente %]]*(PROVEEDORES[[#This Row],[SUBTOTAL]]-PROVEEDORES[[#This Row],[descuento sobre subtotal]])</f>
        <v>72143.5</v>
      </c>
      <c r="R1764" s="21">
        <v>3361887.1</v>
      </c>
      <c r="S17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4" s="68">
        <f ca="1">IF(PROVEEDORES[[#This Row],[FECHA DE PAGO]]=0,TODAY()-PROVEEDORES[[#This Row],[FECHA DE FACTURACIÓN]]-PROVEEDORES[[#This Row],[PLAZO Días]],0)</f>
        <v>0</v>
      </c>
      <c r="U1764" s="96" t="str">
        <f>+VLOOKUP(PROVEEDORES[[#This Row],[PROVEEDOR]],Terceros!$A:$D,4,FALSE)</f>
        <v>2,5% con base</v>
      </c>
      <c r="V1764" s="97">
        <f>+YEAR(PROVEEDORES[[#This Row],[FECHA DE FACTURACIÓN]])</f>
        <v>2021</v>
      </c>
      <c r="W1764" s="97">
        <f>+MATCH(PROVEEDORES[[#This Row],[año facturado]],Retenciones!$1:$1,0)</f>
        <v>4</v>
      </c>
      <c r="X1764" s="98">
        <f>+VLOOKUP(PROVEEDORES[[#This Row],[ID RETENCION]],Retenciones!$A$1:$O$25,PROVEEDORES[[#This Row],[indicador de columna]],FALSE)</f>
        <v>980000</v>
      </c>
      <c r="Y1764" s="99">
        <f>+VLOOKUP(PROVEEDORES[[#This Row],[ID RETENCION]],Retenciones!$A$1:$O$25,2,FALSE)</f>
        <v>2.5000000000000001E-2</v>
      </c>
      <c r="Z1764" s="125" t="b">
        <f>OR(COUNTIF(PROVEEDORES[[#This Row],[PROVEEDOR]],"*"&amp;'Palabra no opera'!$A$2&amp;"*"))</f>
        <v>0</v>
      </c>
    </row>
    <row r="1765" spans="1:26" ht="22.2" customHeight="1" x14ac:dyDescent="0.3">
      <c r="A1765" s="66" t="str">
        <f>+IF(PROVEEDORES[[#This Row],[FECHA DE PAGO]]=PROVEEDORES[[#This Row],[FECHA DE FACTURACIÓN]],"DE CONTADO","CRÉDITO")</f>
        <v>CRÉDITO</v>
      </c>
      <c r="B1765" s="38" t="str">
        <f>+IF((PROVEEDORES[[#This Row],[FECHA DE PAGO]]-PROVEEDORES[[#This Row],[FECHA DE FACTURACIÓN]])&gt;PROVEEDORES[[#This Row],[PLAZO Días]],"PAGO VENCIDO")</f>
        <v>PAGO VENCIDO</v>
      </c>
      <c r="C1765" s="20">
        <f>+VLOOKUP(PROVEEDORES[[#This Row],[PROVEEDOR]],TERCEROS_INFO[#All],2,FALSE)</f>
        <v>30</v>
      </c>
      <c r="D1765" s="25">
        <f>+SUMIFS(PROVEEDORES[Total],PROVEEDORES[PROVEEDOR],PROVEEDORES[[#This Row],[PROVEEDOR]],PROVEEDORES[FECHA DE PAGO],"")</f>
        <v>0</v>
      </c>
      <c r="E1765" s="25"/>
      <c r="F1765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765" s="161">
        <v>44344</v>
      </c>
      <c r="H1765" s="26" t="s">
        <v>49</v>
      </c>
      <c r="I1765" s="161">
        <v>44299</v>
      </c>
      <c r="J1765" s="35">
        <v>2131</v>
      </c>
      <c r="K1765" s="21">
        <v>2891700</v>
      </c>
      <c r="L1765" s="21"/>
      <c r="M1765" s="22">
        <f>(PROVEEDORES[[#This Row],[SUBTOTAL]]-PROVEEDORES[[#This Row],[descuento sobre subtotal]])*VLOOKUP(PROVEEDORES[[#This Row],[PROVEEDOR]],TERCEROS_INFO[#All],3,FALSE)</f>
        <v>549423</v>
      </c>
      <c r="N1765" s="23"/>
      <c r="O1765" s="22">
        <f>+PROVEEDORES[[#This Row],[Descuento sobre subtotal %]]*(PROVEEDORES[[#This Row],[SUBTOTAL]]-PROVEEDORES[[#This Row],[descuento sobre subtotal]])</f>
        <v>0</v>
      </c>
      <c r="P1765" s="83">
        <f>+IF(PROVEEDORES[[#This Row],[SUBTOTAL]]&lt;PROVEEDORES[[#This Row],[base retencion]],0,PROVEEDORES[[#This Row],[retención aplicada]])</f>
        <v>2.5000000000000001E-2</v>
      </c>
      <c r="Q1765" s="22">
        <f>+PROVEEDORES[[#This Row],[Rete Fuente %]]*(PROVEEDORES[[#This Row],[SUBTOTAL]]-PROVEEDORES[[#This Row],[descuento sobre subtotal]])</f>
        <v>72292.5</v>
      </c>
      <c r="R1765" s="21">
        <f>+PROVEEDORES[[#This Row],[SUBTOTAL]]+PROVEEDORES[[#This Row],[IVA 19%]]-PROVEEDORES[[#This Row],[descuento sobre subtotal]]-PROVEEDORES[[#This Row],[Descuento sobre subtotal $2]]-PROVEEDORES[[#This Row],[Rete Fuente $]]</f>
        <v>3368830.5</v>
      </c>
      <c r="S17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5" s="68">
        <f ca="1">IF(PROVEEDORES[[#This Row],[FECHA DE PAGO]]=0,TODAY()-PROVEEDORES[[#This Row],[FECHA DE FACTURACIÓN]]-PROVEEDORES[[#This Row],[PLAZO Días]],0)</f>
        <v>0</v>
      </c>
      <c r="U1765" s="96" t="str">
        <f>+VLOOKUP(PROVEEDORES[[#This Row],[PROVEEDOR]],Terceros!$A:$D,4,FALSE)</f>
        <v>2,5% con base</v>
      </c>
      <c r="V1765" s="97">
        <f>+YEAR(PROVEEDORES[[#This Row],[FECHA DE FACTURACIÓN]])</f>
        <v>2021</v>
      </c>
      <c r="W1765" s="97">
        <f>+MATCH(PROVEEDORES[[#This Row],[año facturado]],Retenciones!$1:$1,0)</f>
        <v>4</v>
      </c>
      <c r="X1765" s="98">
        <f>+VLOOKUP(PROVEEDORES[[#This Row],[ID RETENCION]],Retenciones!$A$1:$O$25,PROVEEDORES[[#This Row],[indicador de columna]],FALSE)</f>
        <v>980000</v>
      </c>
      <c r="Y1765" s="99">
        <f>+VLOOKUP(PROVEEDORES[[#This Row],[ID RETENCION]],Retenciones!$A$1:$O$25,2,FALSE)</f>
        <v>2.5000000000000001E-2</v>
      </c>
      <c r="Z1765" s="125" t="b">
        <f>OR(COUNTIF(PROVEEDORES[[#This Row],[PROVEEDOR]],"*"&amp;'Palabra no opera'!$A$2&amp;"*"))</f>
        <v>0</v>
      </c>
    </row>
    <row r="1766" spans="1:26" ht="22.2" customHeight="1" x14ac:dyDescent="0.3">
      <c r="A1766" s="66" t="str">
        <f>+IF(PROVEEDORES[[#This Row],[FECHA DE PAGO]]=PROVEEDORES[[#This Row],[FECHA DE FACTURACIÓN]],"DE CONTADO","CRÉDITO")</f>
        <v>CRÉDITO</v>
      </c>
      <c r="B1766" s="38" t="b">
        <f>+IF((PROVEEDORES[[#This Row],[FECHA DE PAGO]]-PROVEEDORES[[#This Row],[FECHA DE FACTURACIÓN]])&gt;PROVEEDORES[[#This Row],[PLAZO Días]],"PAGO VENCIDO")</f>
        <v>0</v>
      </c>
      <c r="C1766" s="20">
        <f>+VLOOKUP(PROVEEDORES[[#This Row],[PROVEEDOR]],TERCEROS_INFO[#All],2,FALSE)</f>
        <v>90</v>
      </c>
      <c r="D1766" s="25">
        <f>+SUMIFS(PROVEEDORES[Total],PROVEEDORES[PROVEEDOR],PROVEEDORES[[#This Row],[PROVEEDOR]],PROVEEDORES[FECHA DE PAGO],"")</f>
        <v>26350422.770000003</v>
      </c>
      <c r="E1766" s="25"/>
      <c r="F176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766" s="161">
        <v>44624</v>
      </c>
      <c r="H1766" s="26" t="s">
        <v>12</v>
      </c>
      <c r="I1766" s="161">
        <v>44541</v>
      </c>
      <c r="J1766" s="35" t="s">
        <v>564</v>
      </c>
      <c r="K1766" s="21">
        <v>2907563</v>
      </c>
      <c r="L1766" s="21"/>
      <c r="M1766" s="22">
        <v>552436.97</v>
      </c>
      <c r="N1766" s="23"/>
      <c r="O1766" s="22">
        <v>0</v>
      </c>
      <c r="P1766" s="83">
        <f>+IF(PROVEEDORES[[#This Row],[SUBTOTAL]]&lt;PROVEEDORES[[#This Row],[base retencion]],0,PROVEEDORES[[#This Row],[retención aplicada]])</f>
        <v>2.5000000000000001E-2</v>
      </c>
      <c r="Q1766" s="22">
        <f>+PROVEEDORES[[#This Row],[Rete Fuente %]]*(PROVEEDORES[[#This Row],[SUBTOTAL]]-PROVEEDORES[[#This Row],[descuento sobre subtotal]])</f>
        <v>72689.074999999997</v>
      </c>
      <c r="R1766" s="21">
        <v>3387310.8949999996</v>
      </c>
      <c r="S176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6" s="68">
        <f ca="1">IF(PROVEEDORES[[#This Row],[FECHA DE PAGO]]=0,TODAY()-PROVEEDORES[[#This Row],[FECHA DE FACTURACIÓN]]-PROVEEDORES[[#This Row],[PLAZO Días]],0)</f>
        <v>0</v>
      </c>
      <c r="U1766" s="96" t="str">
        <f>+VLOOKUP(PROVEEDORES[[#This Row],[PROVEEDOR]],Terceros!$A:$D,4,FALSE)</f>
        <v>2,5% con base</v>
      </c>
      <c r="V1766" s="97">
        <f>+YEAR(PROVEEDORES[[#This Row],[FECHA DE FACTURACIÓN]])</f>
        <v>2021</v>
      </c>
      <c r="W1766" s="97">
        <f>+MATCH(PROVEEDORES[[#This Row],[año facturado]],Retenciones!$1:$1,0)</f>
        <v>4</v>
      </c>
      <c r="X1766" s="98">
        <f>+VLOOKUP(PROVEEDORES[[#This Row],[ID RETENCION]],Retenciones!$A$1:$O$25,PROVEEDORES[[#This Row],[indicador de columna]],FALSE)</f>
        <v>980000</v>
      </c>
      <c r="Y1766" s="99">
        <f>+VLOOKUP(PROVEEDORES[[#This Row],[ID RETENCION]],Retenciones!$A$1:$O$25,2,FALSE)</f>
        <v>2.5000000000000001E-2</v>
      </c>
      <c r="Z1766" s="125" t="b">
        <f>OR(COUNTIF(PROVEEDORES[[#This Row],[PROVEEDOR]],"*"&amp;'Palabra no opera'!$A$2&amp;"*"))</f>
        <v>0</v>
      </c>
    </row>
    <row r="1767" spans="1:26" ht="22.2" customHeight="1" x14ac:dyDescent="0.3">
      <c r="A1767" s="66" t="str">
        <f>+IF(PROVEEDORES[[#This Row],[FECHA DE PAGO]]=PROVEEDORES[[#This Row],[FECHA DE FACTURACIÓN]],"DE CONTADO","CRÉDITO")</f>
        <v>CRÉDITO</v>
      </c>
      <c r="B1767" s="38" t="str">
        <f>+IF((PROVEEDORES[[#This Row],[FECHA DE PAGO]]-PROVEEDORES[[#This Row],[FECHA DE FACTURACIÓN]])&gt;PROVEEDORES[[#This Row],[PLAZO Días]],"PAGO VENCIDO")</f>
        <v>PAGO VENCIDO</v>
      </c>
      <c r="C1767" s="20">
        <f>+VLOOKUP(PROVEEDORES[[#This Row],[PROVEEDOR]],TERCEROS_INFO[#All],2,FALSE)</f>
        <v>30</v>
      </c>
      <c r="D1767" s="25">
        <f>+SUMIFS(PROVEEDORES[Total],PROVEEDORES[PROVEEDOR],PROVEEDORES[[#This Row],[PROVEEDOR]],PROVEEDORES[FECHA DE PAGO],"")</f>
        <v>0</v>
      </c>
      <c r="E1767" s="25"/>
      <c r="F176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67" s="161">
        <v>44517</v>
      </c>
      <c r="H1767" s="26" t="s">
        <v>20</v>
      </c>
      <c r="I1767" s="161">
        <v>44477</v>
      </c>
      <c r="J1767" s="35">
        <v>5290</v>
      </c>
      <c r="K1767" s="21">
        <v>2908629</v>
      </c>
      <c r="L1767" s="21"/>
      <c r="M1767" s="22">
        <f>(PROVEEDORES[[#This Row],[SUBTOTAL]]-PROVEEDORES[[#This Row],[descuento sobre subtotal]])*VLOOKUP(PROVEEDORES[[#This Row],[PROVEEDOR]],TERCEROS_INFO[#All],3,FALSE)</f>
        <v>552639.51</v>
      </c>
      <c r="N1767" s="23"/>
      <c r="O1767" s="22">
        <f>+PROVEEDORES[[#This Row],[Descuento sobre subtotal %]]*(PROVEEDORES[[#This Row],[SUBTOTAL]]-PROVEEDORES[[#This Row],[descuento sobre subtotal]])</f>
        <v>0</v>
      </c>
      <c r="P1767" s="83">
        <f>+IF(PROVEEDORES[[#This Row],[SUBTOTAL]]&lt;PROVEEDORES[[#This Row],[base retencion]],0,PROVEEDORES[[#This Row],[retención aplicada]])</f>
        <v>2.5000000000000001E-2</v>
      </c>
      <c r="Q1767" s="22">
        <f>+PROVEEDORES[[#This Row],[Rete Fuente %]]*(PROVEEDORES[[#This Row],[SUBTOTAL]]-PROVEEDORES[[#This Row],[descuento sobre subtotal]])</f>
        <v>72715.725000000006</v>
      </c>
      <c r="R1767" s="21">
        <f>+PROVEEDORES[[#This Row],[SUBTOTAL]]+PROVEEDORES[[#This Row],[IVA 19%]]-PROVEEDORES[[#This Row],[descuento sobre subtotal]]-PROVEEDORES[[#This Row],[Descuento sobre subtotal $2]]-PROVEEDORES[[#This Row],[Rete Fuente $]]</f>
        <v>3388552.7849999997</v>
      </c>
      <c r="S17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7" s="68">
        <f ca="1">IF(PROVEEDORES[[#This Row],[FECHA DE PAGO]]=0,TODAY()-PROVEEDORES[[#This Row],[FECHA DE FACTURACIÓN]]-PROVEEDORES[[#This Row],[PLAZO Días]],0)</f>
        <v>0</v>
      </c>
      <c r="U1767" s="96" t="str">
        <f>+VLOOKUP(PROVEEDORES[[#This Row],[PROVEEDOR]],Terceros!$A:$D,4,FALSE)</f>
        <v>2,5% con base</v>
      </c>
      <c r="V1767" s="97">
        <f>+YEAR(PROVEEDORES[[#This Row],[FECHA DE FACTURACIÓN]])</f>
        <v>2021</v>
      </c>
      <c r="W1767" s="97">
        <f>+MATCH(PROVEEDORES[[#This Row],[año facturado]],Retenciones!$1:$1,0)</f>
        <v>4</v>
      </c>
      <c r="X1767" s="98">
        <f>+VLOOKUP(PROVEEDORES[[#This Row],[ID RETENCION]],Retenciones!$A$1:$O$25,PROVEEDORES[[#This Row],[indicador de columna]],FALSE)</f>
        <v>980000</v>
      </c>
      <c r="Y1767" s="99">
        <f>+VLOOKUP(PROVEEDORES[[#This Row],[ID RETENCION]],Retenciones!$A$1:$O$25,2,FALSE)</f>
        <v>2.5000000000000001E-2</v>
      </c>
      <c r="Z1767" s="125" t="b">
        <f>OR(COUNTIF(PROVEEDORES[[#This Row],[PROVEEDOR]],"*"&amp;'Palabra no opera'!$A$2&amp;"*"))</f>
        <v>0</v>
      </c>
    </row>
    <row r="1768" spans="1:26" ht="22.2" customHeight="1" x14ac:dyDescent="0.3">
      <c r="A1768" s="66" t="str">
        <f>+IF(PROVEEDORES[[#This Row],[FECHA DE PAGO]]=PROVEEDORES[[#This Row],[FECHA DE FACTURACIÓN]],"DE CONTADO","CRÉDITO")</f>
        <v>CRÉDITO</v>
      </c>
      <c r="B1768" s="38" t="str">
        <f>+IF((PROVEEDORES[[#This Row],[FECHA DE PAGO]]-PROVEEDORES[[#This Row],[FECHA DE FACTURACIÓN]])&gt;PROVEEDORES[[#This Row],[PLAZO Días]],"PAGO VENCIDO")</f>
        <v>PAGO VENCIDO</v>
      </c>
      <c r="C1768" s="20">
        <f>+VLOOKUP(PROVEEDORES[[#This Row],[PROVEEDOR]],TERCEROS_INFO[#All],2,FALSE)</f>
        <v>30</v>
      </c>
      <c r="D1768" s="25">
        <f>+SUMIFS(PROVEEDORES[Total],PROVEEDORES[PROVEEDOR],PROVEEDORES[[#This Row],[PROVEEDOR]],PROVEEDORES[FECHA DE PAGO],"")</f>
        <v>3215000</v>
      </c>
      <c r="E1768" s="25"/>
      <c r="F1768" s="58" t="str">
        <f>+VLOOKUP(PROVEEDORES[[#This Row],[PROVEEDOR]],
                       Terceros!$A:$F,
                       5,
                       FALSE)</f>
        <v/>
      </c>
      <c r="G1768" s="161">
        <v>44418</v>
      </c>
      <c r="H1768" s="26" t="s">
        <v>671</v>
      </c>
      <c r="I1768" s="161">
        <v>44369</v>
      </c>
      <c r="J1768" s="35" t="s">
        <v>1464</v>
      </c>
      <c r="K1768" s="21">
        <v>3400000</v>
      </c>
      <c r="L1768" s="21"/>
      <c r="M1768" s="22">
        <f>(PROVEEDORES[[#This Row],[SUBTOTAL]]-PROVEEDORES[[#This Row],[descuento sobre subtotal]])*VLOOKUP(PROVEEDORES[[#This Row],[PROVEEDOR]],TERCEROS_INFO[#All],3,FALSE)</f>
        <v>0</v>
      </c>
      <c r="N1768" s="23"/>
      <c r="O1768" s="22">
        <f>+PROVEEDORES[[#This Row],[Descuento sobre subtotal %]]*(PROVEEDORES[[#This Row],[SUBTOTAL]]-PROVEEDORES[[#This Row],[descuento sobre subtotal]])</f>
        <v>0</v>
      </c>
      <c r="P1768" s="83">
        <f>+IF(PROVEEDORES[[#This Row],[SUBTOTAL]]&lt;PROVEEDORES[[#This Row],[base retencion]],0,PROVEEDORES[[#This Row],[retención aplicada]])</f>
        <v>0</v>
      </c>
      <c r="Q1768" s="22">
        <f>+PROVEEDORES[[#This Row],[Rete Fuente %]]*(PROVEEDORES[[#This Row],[SUBTOTAL]]-PROVEEDORES[[#This Row],[descuento sobre subtotal]])</f>
        <v>0</v>
      </c>
      <c r="R1768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17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8" s="68">
        <f ca="1">IF(PROVEEDORES[[#This Row],[FECHA DE PAGO]]=0,TODAY()-PROVEEDORES[[#This Row],[FECHA DE FACTURACIÓN]]-PROVEEDORES[[#This Row],[PLAZO Días]],0)</f>
        <v>0</v>
      </c>
      <c r="U1768" s="96">
        <f>+VLOOKUP(PROVEEDORES[[#This Row],[PROVEEDOR]],Terceros!$A:$D,4,FALSE)</f>
        <v>0</v>
      </c>
      <c r="V1768" s="97">
        <f>+YEAR(PROVEEDORES[[#This Row],[FECHA DE FACTURACIÓN]])</f>
        <v>2021</v>
      </c>
      <c r="W1768" s="97">
        <f>+MATCH(PROVEEDORES[[#This Row],[año facturado]],Retenciones!$1:$1,0)</f>
        <v>4</v>
      </c>
      <c r="X1768" s="98">
        <f>+VLOOKUP(PROVEEDORES[[#This Row],[ID RETENCION]],Retenciones!$A$1:$O$25,PROVEEDORES[[#This Row],[indicador de columna]],FALSE)</f>
        <v>0</v>
      </c>
      <c r="Y1768" s="99">
        <f>+VLOOKUP(PROVEEDORES[[#This Row],[ID RETENCION]],Retenciones!$A$1:$O$25,2,FALSE)</f>
        <v>0</v>
      </c>
      <c r="Z1768" s="125" t="b">
        <f>OR(COUNTIF(PROVEEDORES[[#This Row],[PROVEEDOR]],"*"&amp;'Palabra no opera'!$A$2&amp;"*"))</f>
        <v>0</v>
      </c>
    </row>
    <row r="1769" spans="1:26" ht="22.2" customHeight="1" x14ac:dyDescent="0.3">
      <c r="A1769" s="66" t="str">
        <f>+IF(PROVEEDORES[[#This Row],[FECHA DE PAGO]]=PROVEEDORES[[#This Row],[FECHA DE FACTURACIÓN]],"DE CONTADO","CRÉDITO")</f>
        <v>CRÉDITO</v>
      </c>
      <c r="B1769" s="38" t="str">
        <f>+IF((PROVEEDORES[[#This Row],[FECHA DE PAGO]]-PROVEEDORES[[#This Row],[FECHA DE FACTURACIÓN]])&gt;PROVEEDORES[[#This Row],[PLAZO Días]],"PAGO VENCIDO")</f>
        <v>PAGO VENCIDO</v>
      </c>
      <c r="C1769" s="20">
        <f>+VLOOKUP(PROVEEDORES[[#This Row],[PROVEEDOR]],TERCEROS_INFO[#All],2,FALSE)</f>
        <v>30</v>
      </c>
      <c r="D1769" s="25">
        <f>+SUMIFS(PROVEEDORES[Total],PROVEEDORES[PROVEEDOR],PROVEEDORES[[#This Row],[PROVEEDOR]],PROVEEDORES[FECHA DE PAGO],"")</f>
        <v>0</v>
      </c>
      <c r="E1769" s="25"/>
      <c r="F176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69" s="161">
        <v>44685</v>
      </c>
      <c r="H1769" s="26" t="s">
        <v>20</v>
      </c>
      <c r="I1769" s="161">
        <v>44636</v>
      </c>
      <c r="J1769" s="35">
        <v>6577</v>
      </c>
      <c r="K1769" s="21">
        <v>2918615.3</v>
      </c>
      <c r="L1769" s="21"/>
      <c r="M1769" s="22">
        <f>(PROVEEDORES[[#This Row],[SUBTOTAL]]-PROVEEDORES[[#This Row],[descuento sobre subtotal]])*VLOOKUP(PROVEEDORES[[#This Row],[PROVEEDOR]],TERCEROS_INFO[#All],3,FALSE)</f>
        <v>554536.90700000001</v>
      </c>
      <c r="N1769" s="23"/>
      <c r="O1769" s="22">
        <f>+PROVEEDORES[[#This Row],[Descuento sobre subtotal %]]*(PROVEEDORES[[#This Row],[SUBTOTAL]]-PROVEEDORES[[#This Row],[descuento sobre subtotal]])</f>
        <v>0</v>
      </c>
      <c r="P1769" s="83">
        <f>+IF(PROVEEDORES[[#This Row],[SUBTOTAL]]&lt;PROVEEDORES[[#This Row],[base retencion]],0,PROVEEDORES[[#This Row],[retención aplicada]])</f>
        <v>2.5000000000000001E-2</v>
      </c>
      <c r="Q1769" s="22">
        <f>+PROVEEDORES[[#This Row],[Rete Fuente %]]*(PROVEEDORES[[#This Row],[SUBTOTAL]]-PROVEEDORES[[#This Row],[descuento sobre subtotal]])</f>
        <v>72965.382499999992</v>
      </c>
      <c r="R1769" s="21">
        <f>+PROVEEDORES[[#This Row],[SUBTOTAL]]+PROVEEDORES[[#This Row],[IVA 19%]]-PROVEEDORES[[#This Row],[descuento sobre subtotal]]-PROVEEDORES[[#This Row],[Descuento sobre subtotal $2]]-PROVEEDORES[[#This Row],[Rete Fuente $]]</f>
        <v>3400186.8245000001</v>
      </c>
      <c r="S17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9" s="68">
        <f ca="1">IF(PROVEEDORES[[#This Row],[FECHA DE PAGO]]=0,TODAY()-PROVEEDORES[[#This Row],[FECHA DE FACTURACIÓN]]-PROVEEDORES[[#This Row],[PLAZO Días]],0)</f>
        <v>0</v>
      </c>
      <c r="U1769" s="96" t="str">
        <f>+VLOOKUP(PROVEEDORES[[#This Row],[PROVEEDOR]],Terceros!$A:$D,4,FALSE)</f>
        <v>2,5% con base</v>
      </c>
      <c r="V1769" s="97">
        <f>+YEAR(PROVEEDORES[[#This Row],[FECHA DE FACTURACIÓN]])</f>
        <v>2022</v>
      </c>
      <c r="W1769" s="97">
        <f>+MATCH(PROVEEDORES[[#This Row],[año facturado]],Retenciones!$1:$1,0)</f>
        <v>5</v>
      </c>
      <c r="X1769" s="98">
        <f>+VLOOKUP(PROVEEDORES[[#This Row],[ID RETENCION]],Retenciones!$A$1:$O$25,PROVEEDORES[[#This Row],[indicador de columna]],FALSE)</f>
        <v>1026000</v>
      </c>
      <c r="Y1769" s="99">
        <f>+VLOOKUP(PROVEEDORES[[#This Row],[ID RETENCION]],Retenciones!$A$1:$O$25,2,FALSE)</f>
        <v>2.5000000000000001E-2</v>
      </c>
      <c r="Z1769" s="125" t="b">
        <f>OR(COUNTIF(PROVEEDORES[[#This Row],[PROVEEDOR]],"*"&amp;'Palabra no opera'!$A$2&amp;"*"))</f>
        <v>0</v>
      </c>
    </row>
    <row r="1770" spans="1:26" ht="22.2" customHeight="1" x14ac:dyDescent="0.3">
      <c r="A1770" s="66" t="str">
        <f>+IF(PROVEEDORES[[#This Row],[FECHA DE PAGO]]=PROVEEDORES[[#This Row],[FECHA DE FACTURACIÓN]],"DE CONTADO","CRÉDITO")</f>
        <v>CRÉDITO</v>
      </c>
      <c r="B1770" s="38" t="b">
        <f>+IF((PROVEEDORES[[#This Row],[FECHA DE PAGO]]-PROVEEDORES[[#This Row],[FECHA DE FACTURACIÓN]])&gt;PROVEEDORES[[#This Row],[PLAZO Días]],"PAGO VENCIDO")</f>
        <v>0</v>
      </c>
      <c r="C1770" s="20">
        <f>+VLOOKUP(PROVEEDORES[[#This Row],[PROVEEDOR]],TERCEROS_INFO[#All],2,FALSE)</f>
        <v>30</v>
      </c>
      <c r="D1770" s="25">
        <f>+SUMIFS(PROVEEDORES[Total],PROVEEDORES[PROVEEDOR],PROVEEDORES[[#This Row],[PROVEEDOR]],PROVEEDORES[FECHA DE PAGO],"")</f>
        <v>0</v>
      </c>
      <c r="E1770" s="25"/>
      <c r="F1770" s="58">
        <f>+VLOOKUP(PROVEEDORES[[#This Row],[PROVEEDOR]],
                       Terceros!$A:$F,
                       5,
                       FALSE)</f>
        <v>0</v>
      </c>
      <c r="G1770" s="161">
        <v>44594</v>
      </c>
      <c r="H1770" s="26" t="s">
        <v>700</v>
      </c>
      <c r="I1770" s="161">
        <v>44589</v>
      </c>
      <c r="J1770" s="35" t="s">
        <v>1567</v>
      </c>
      <c r="K1770" s="21">
        <v>3418000</v>
      </c>
      <c r="L1770" s="21"/>
      <c r="M1770" s="22">
        <v>0</v>
      </c>
      <c r="N1770" s="23"/>
      <c r="O1770" s="22">
        <v>0</v>
      </c>
      <c r="P1770" s="83">
        <f>+IF(PROVEEDORES[[#This Row],[SUBTOTAL]]&lt;PROVEEDORES[[#This Row],[base retencion]],0,PROVEEDORES[[#This Row],[retención aplicada]])</f>
        <v>0</v>
      </c>
      <c r="Q1770" s="22">
        <f>+PROVEEDORES[[#This Row],[Rete Fuente %]]*(PROVEEDORES[[#This Row],[SUBTOTAL]]-PROVEEDORES[[#This Row],[descuento sobre subtotal]])</f>
        <v>0</v>
      </c>
      <c r="R1770" s="21">
        <v>3418000</v>
      </c>
      <c r="S17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0" s="68">
        <f ca="1">IF(PROVEEDORES[[#This Row],[FECHA DE PAGO]]=0,TODAY()-PROVEEDORES[[#This Row],[FECHA DE FACTURACIÓN]]-PROVEEDORES[[#This Row],[PLAZO Días]],0)</f>
        <v>0</v>
      </c>
      <c r="U1770" s="96">
        <f>+VLOOKUP(PROVEEDORES[[#This Row],[PROVEEDOR]],Terceros!$A:$D,4,FALSE)</f>
        <v>0</v>
      </c>
      <c r="V1770" s="97">
        <f>+YEAR(PROVEEDORES[[#This Row],[FECHA DE FACTURACIÓN]])</f>
        <v>2022</v>
      </c>
      <c r="W1770" s="97">
        <f>+MATCH(PROVEEDORES[[#This Row],[año facturado]],Retenciones!$1:$1,0)</f>
        <v>5</v>
      </c>
      <c r="X1770" s="98">
        <f>+VLOOKUP(PROVEEDORES[[#This Row],[ID RETENCION]],Retenciones!$A$1:$O$25,PROVEEDORES[[#This Row],[indicador de columna]],FALSE)</f>
        <v>0</v>
      </c>
      <c r="Y1770" s="99">
        <f>+VLOOKUP(PROVEEDORES[[#This Row],[ID RETENCION]],Retenciones!$A$1:$O$25,2,FALSE)</f>
        <v>0</v>
      </c>
      <c r="Z1770" s="125" t="b">
        <f>OR(COUNTIF(PROVEEDORES[[#This Row],[PROVEEDOR]],"*"&amp;'Palabra no opera'!$A$2&amp;"*"))</f>
        <v>0</v>
      </c>
    </row>
    <row r="1771" spans="1:26" ht="22.2" customHeight="1" x14ac:dyDescent="0.3">
      <c r="A1771" s="269" t="str">
        <f>+IF(PROVEEDORES[[#This Row],[FECHA DE PAGO]]=PROVEEDORES[[#This Row],[FECHA DE FACTURACIÓN]],"DE CONTADO","CRÉDITO")</f>
        <v>CRÉDITO</v>
      </c>
      <c r="B1771" s="38" t="b">
        <f>+IF((PROVEEDORES[[#This Row],[FECHA DE PAGO]]-PROVEEDORES[[#This Row],[FECHA DE FACTURACIÓN]])&gt;PROVEEDORES[[#This Row],[PLAZO Días]],"PAGO VENCIDO")</f>
        <v>0</v>
      </c>
      <c r="C1771" s="20">
        <f>+VLOOKUP(PROVEEDORES[[#This Row],[PROVEEDOR]],TERCEROS_INFO[#All],2,FALSE)</f>
        <v>30</v>
      </c>
      <c r="D1771" s="25">
        <f>+SUMIFS(PROVEEDORES[Total],PROVEEDORES[PROVEEDOR],PROVEEDORES[[#This Row],[PROVEEDOR]],PROVEEDORES[FECHA DE PAGO],"")</f>
        <v>3430770</v>
      </c>
      <c r="E1771" s="25"/>
      <c r="F177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H1771" s="26" t="s">
        <v>1448</v>
      </c>
      <c r="I1771" s="161">
        <v>44853</v>
      </c>
      <c r="J1771" s="35">
        <v>37181</v>
      </c>
      <c r="K1771" s="21">
        <v>2883000</v>
      </c>
      <c r="L1771" s="21"/>
      <c r="M1771" s="22">
        <f>(PROVEEDORES[[#This Row],[SUBTOTAL]]-PROVEEDORES[[#This Row],[descuento sobre subtotal]])*VLOOKUP(PROVEEDORES[[#This Row],[PROVEEDOR]],TERCEROS_INFO[#All],3,FALSE)</f>
        <v>547770</v>
      </c>
      <c r="N1771" s="23"/>
      <c r="O1771" s="22">
        <f>+PROVEEDORES[[#This Row],[Descuento sobre subtotal %]]*(PROVEEDORES[[#This Row],[SUBTOTAL]]-PROVEEDORES[[#This Row],[descuento sobre subtotal]])</f>
        <v>0</v>
      </c>
      <c r="P1771" s="83">
        <f>+IF(PROVEEDORES[[#This Row],[SUBTOTAL]]&lt;PROVEEDORES[[#This Row],[base retencion]],0,PROVEEDORES[[#This Row],[retención aplicada]])</f>
        <v>0</v>
      </c>
      <c r="Q1771" s="22">
        <f>+PROVEEDORES[[#This Row],[Rete Fuente %]]*(PROVEEDORES[[#This Row],[SUBTOTAL]]-PROVEEDORES[[#This Row],[descuento sobre subtotal]])</f>
        <v>0</v>
      </c>
      <c r="R1771" s="21">
        <f>+PROVEEDORES[[#This Row],[SUBTOTAL]]+PROVEEDORES[[#This Row],[IVA 19%]]-PROVEEDORES[[#This Row],[descuento sobre subtotal]]-PROVEEDORES[[#This Row],[Descuento sobre subtotal $2]]-PROVEEDORES[[#This Row],[Rete Fuente $]]</f>
        <v>3430770</v>
      </c>
      <c r="S1771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771" s="68">
        <f ca="1">IF(PROVEEDORES[[#This Row],[FECHA DE PAGO]]=0,TODAY()-PROVEEDORES[[#This Row],[FECHA DE FACTURACIÓN]]-PROVEEDORES[[#This Row],[PLAZO Días]],0)</f>
        <v>-8</v>
      </c>
      <c r="U1771" s="113">
        <f>+VLOOKUP(PROVEEDORES[[#This Row],[PROVEEDOR]],Terceros!$A:$D,4,FALSE)</f>
        <v>0</v>
      </c>
      <c r="V1771" s="114">
        <f>+YEAR(PROVEEDORES[[#This Row],[FECHA DE FACTURACIÓN]])</f>
        <v>2022</v>
      </c>
      <c r="W1771" s="114">
        <f>+MATCH(PROVEEDORES[[#This Row],[año facturado]],Retenciones!$1:$1,0)</f>
        <v>5</v>
      </c>
      <c r="X1771" s="115">
        <f>+VLOOKUP(PROVEEDORES[[#This Row],[ID RETENCION]],Retenciones!$A$1:$O$25,PROVEEDORES[[#This Row],[indicador de columna]],FALSE)</f>
        <v>0</v>
      </c>
      <c r="Y1771" s="116">
        <f>+VLOOKUP(PROVEEDORES[[#This Row],[ID RETENCION]],Retenciones!$A$1:$O$25,2,FALSE)</f>
        <v>0</v>
      </c>
      <c r="Z1771" s="125" t="b">
        <f>OR(COUNTIF(PROVEEDORES[[#This Row],[PROVEEDOR]],"*"&amp;'Palabra no opera'!$A$2&amp;"*"))</f>
        <v>0</v>
      </c>
    </row>
    <row r="1772" spans="1:26" ht="22.2" customHeight="1" x14ac:dyDescent="0.3">
      <c r="A1772" s="66" t="str">
        <f>+IF(PROVEEDORES[[#This Row],[FECHA DE PAGO]]=PROVEEDORES[[#This Row],[FECHA DE FACTURACIÓN]],"DE CONTADO","CRÉDITO")</f>
        <v>CRÉDITO</v>
      </c>
      <c r="B1772" s="38" t="b">
        <f>+IF((PROVEEDORES[[#This Row],[FECHA DE PAGO]]-PROVEEDORES[[#This Row],[FECHA DE FACTURACIÓN]])&gt;PROVEEDORES[[#This Row],[PLAZO Días]],"PAGO VENCIDO")</f>
        <v>0</v>
      </c>
      <c r="C1772" s="20">
        <f>+VLOOKUP(PROVEEDORES[[#This Row],[PROVEEDOR]],TERCEROS_INFO[#All],2,FALSE)</f>
        <v>30</v>
      </c>
      <c r="D1772" s="25">
        <f>+SUMIFS(PROVEEDORES[Total],PROVEEDORES[PROVEEDOR],PROVEEDORES[[#This Row],[PROVEEDOR]],PROVEEDORES[FECHA DE PAGO],"")</f>
        <v>1333437.8400000001</v>
      </c>
      <c r="E1772" s="25"/>
      <c r="F177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72" s="161">
        <v>44377</v>
      </c>
      <c r="H1772" s="26" t="s">
        <v>905</v>
      </c>
      <c r="I1772" s="161">
        <v>44369</v>
      </c>
      <c r="J1772" s="35" t="s">
        <v>438</v>
      </c>
      <c r="K1772" s="21">
        <v>2888005</v>
      </c>
      <c r="L1772" s="21"/>
      <c r="M1772" s="22">
        <f>(PROVEEDORES[[#This Row],[SUBTOTAL]]-PROVEEDORES[[#This Row],[descuento sobre subtotal]])*VLOOKUP(PROVEEDORES[[#This Row],[PROVEEDOR]],TERCEROS_INFO[#All],3,FALSE)</f>
        <v>548720.94999999995</v>
      </c>
      <c r="N1772" s="23"/>
      <c r="O1772" s="22">
        <f>+PROVEEDORES[[#This Row],[Descuento sobre subtotal %]]*(PROVEEDORES[[#This Row],[SUBTOTAL]]-PROVEEDORES[[#This Row],[descuento sobre subtotal]])</f>
        <v>0</v>
      </c>
      <c r="P1772" s="83">
        <f>+IF(PROVEEDORES[[#This Row],[SUBTOTAL]]&lt;PROVEEDORES[[#This Row],[base retencion]],0,PROVEEDORES[[#This Row],[retención aplicada]])</f>
        <v>0</v>
      </c>
      <c r="Q1772" s="22">
        <f>+PROVEEDORES[[#This Row],[Rete Fuente %]]*(PROVEEDORES[[#This Row],[SUBTOTAL]]-PROVEEDORES[[#This Row],[descuento sobre subtotal]])</f>
        <v>0</v>
      </c>
      <c r="R1772" s="21">
        <f>+PROVEEDORES[[#This Row],[SUBTOTAL]]+PROVEEDORES[[#This Row],[IVA 19%]]-PROVEEDORES[[#This Row],[descuento sobre subtotal]]-PROVEEDORES[[#This Row],[Descuento sobre subtotal $2]]-PROVEEDORES[[#This Row],[Rete Fuente $]]</f>
        <v>3436725.95</v>
      </c>
      <c r="S17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2" s="68">
        <f ca="1">IF(PROVEEDORES[[#This Row],[FECHA DE PAGO]]=0,TODAY()-PROVEEDORES[[#This Row],[FECHA DE FACTURACIÓN]]-PROVEEDORES[[#This Row],[PLAZO Días]],0)</f>
        <v>0</v>
      </c>
      <c r="U1772" s="96">
        <f>+VLOOKUP(PROVEEDORES[[#This Row],[PROVEEDOR]],Terceros!$A:$D,4,FALSE)</f>
        <v>0</v>
      </c>
      <c r="V1772" s="97">
        <f>+YEAR(PROVEEDORES[[#This Row],[FECHA DE FACTURACIÓN]])</f>
        <v>2021</v>
      </c>
      <c r="W1772" s="97">
        <f>+MATCH(PROVEEDORES[[#This Row],[año facturado]],Retenciones!$1:$1,0)</f>
        <v>4</v>
      </c>
      <c r="X1772" s="98">
        <f>+VLOOKUP(PROVEEDORES[[#This Row],[ID RETENCION]],Retenciones!$A$1:$O$25,PROVEEDORES[[#This Row],[indicador de columna]],FALSE)</f>
        <v>0</v>
      </c>
      <c r="Y1772" s="99">
        <f>+VLOOKUP(PROVEEDORES[[#This Row],[ID RETENCION]],Retenciones!$A$1:$O$25,2,FALSE)</f>
        <v>0</v>
      </c>
      <c r="Z1772" s="125" t="b">
        <f>OR(COUNTIF(PROVEEDORES[[#This Row],[PROVEEDOR]],"*"&amp;'Palabra no opera'!$A$2&amp;"*"))</f>
        <v>1</v>
      </c>
    </row>
    <row r="1773" spans="1:26" ht="22.2" customHeight="1" x14ac:dyDescent="0.3">
      <c r="A1773" s="72" t="str">
        <f>+IF(PROVEEDORES[[#This Row],[FECHA DE PAGO]]=PROVEEDORES[[#This Row],[FECHA DE FACTURACIÓN]],"DE CONTADO","CRÉDITO")</f>
        <v>CRÉDITO</v>
      </c>
      <c r="B1773" s="38" t="str">
        <f>+IF((PROVEEDORES[[#This Row],[FECHA DE PAGO]]-PROVEEDORES[[#This Row],[FECHA DE FACTURACIÓN]])&gt;PROVEEDORES[[#This Row],[PLAZO Días]],"PAGO VENCIDO")</f>
        <v>PAGO VENCIDO</v>
      </c>
      <c r="C1773" s="20">
        <f>+VLOOKUP(PROVEEDORES[[#This Row],[PROVEEDOR]],TERCEROS_INFO[#All],2,FALSE)</f>
        <v>30</v>
      </c>
      <c r="D1773" s="25">
        <f>+SUMIFS(PROVEEDORES[Total],PROVEEDORES[PROVEEDOR],PROVEEDORES[[#This Row],[PROVEEDOR]],PROVEEDORES[FECHA DE PAGO],"")</f>
        <v>2318500</v>
      </c>
      <c r="E1773" s="25"/>
      <c r="F1773" s="58" t="str">
        <f>+VLOOKUP(PROVEEDORES[[#This Row],[PROVEEDOR]],
                       Terceros!$A:$F,
                       5,
                       FALSE)</f>
        <v/>
      </c>
      <c r="G1773" s="161">
        <v>44804</v>
      </c>
      <c r="H1773" s="26" t="s">
        <v>629</v>
      </c>
      <c r="I1773" s="161">
        <v>44760</v>
      </c>
      <c r="J1773" s="35" t="s">
        <v>1390</v>
      </c>
      <c r="K1773" s="21">
        <v>3443000</v>
      </c>
      <c r="L1773" s="21"/>
      <c r="M1773" s="22">
        <f>(PROVEEDORES[[#This Row],[SUBTOTAL]]-PROVEEDORES[[#This Row],[descuento sobre subtotal]])*VLOOKUP(PROVEEDORES[[#This Row],[PROVEEDOR]],TERCEROS_INFO[#All],3,FALSE)</f>
        <v>0</v>
      </c>
      <c r="N1773" s="23"/>
      <c r="O1773" s="22">
        <f>+PROVEEDORES[[#This Row],[Descuento sobre subtotal %]]*(PROVEEDORES[[#This Row],[SUBTOTAL]]-PROVEEDORES[[#This Row],[descuento sobre subtotal]])</f>
        <v>0</v>
      </c>
      <c r="P1773" s="83">
        <f>+IF(PROVEEDORES[[#This Row],[SUBTOTAL]]&lt;PROVEEDORES[[#This Row],[base retencion]],0,PROVEEDORES[[#This Row],[retención aplicada]])</f>
        <v>0</v>
      </c>
      <c r="Q1773" s="22">
        <f>+PROVEEDORES[[#This Row],[Rete Fuente %]]*(PROVEEDORES[[#This Row],[SUBTOTAL]]-PROVEEDORES[[#This Row],[descuento sobre subtotal]])</f>
        <v>0</v>
      </c>
      <c r="R1773" s="21">
        <f>+PROVEEDORES[[#This Row],[SUBTOTAL]]+PROVEEDORES[[#This Row],[IVA 19%]]-PROVEEDORES[[#This Row],[descuento sobre subtotal]]-PROVEEDORES[[#This Row],[Descuento sobre subtotal $2]]-PROVEEDORES[[#This Row],[Rete Fuente $]]</f>
        <v>3443000</v>
      </c>
      <c r="S177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3" s="68">
        <f ca="1">IF(PROVEEDORES[[#This Row],[FECHA DE PAGO]]=0,TODAY()-PROVEEDORES[[#This Row],[FECHA DE FACTURACIÓN]]-PROVEEDORES[[#This Row],[PLAZO Días]],0)</f>
        <v>0</v>
      </c>
      <c r="U1773" s="113">
        <f>+VLOOKUP(PROVEEDORES[[#This Row],[PROVEEDOR]],Terceros!$A:$D,4,FALSE)</f>
        <v>0</v>
      </c>
      <c r="V1773" s="114">
        <f>+YEAR(PROVEEDORES[[#This Row],[FECHA DE FACTURACIÓN]])</f>
        <v>2022</v>
      </c>
      <c r="W1773" s="114">
        <f>+MATCH(PROVEEDORES[[#This Row],[año facturado]],Retenciones!$1:$1,0)</f>
        <v>5</v>
      </c>
      <c r="X1773" s="115">
        <f>+VLOOKUP(PROVEEDORES[[#This Row],[ID RETENCION]],Retenciones!$A$1:$O$25,PROVEEDORES[[#This Row],[indicador de columna]],FALSE)</f>
        <v>0</v>
      </c>
      <c r="Y1773" s="116">
        <f>+VLOOKUP(PROVEEDORES[[#This Row],[ID RETENCION]],Retenciones!$A$1:$O$25,2,FALSE)</f>
        <v>0</v>
      </c>
      <c r="Z1773" s="125" t="b">
        <f>OR(COUNTIF(PROVEEDORES[[#This Row],[PROVEEDOR]],"*"&amp;'Palabra no opera'!$A$2&amp;"*"))</f>
        <v>0</v>
      </c>
    </row>
    <row r="1774" spans="1:26" ht="22.2" customHeight="1" x14ac:dyDescent="0.3">
      <c r="A1774" s="66" t="str">
        <f>+IF(PROVEEDORES[[#This Row],[FECHA DE PAGO]]=PROVEEDORES[[#This Row],[FECHA DE FACTURACIÓN]],"DE CONTADO","CRÉDITO")</f>
        <v>CRÉDITO</v>
      </c>
      <c r="B1774" s="38" t="str">
        <f>+IF((PROVEEDORES[[#This Row],[FECHA DE PAGO]]-PROVEEDORES[[#This Row],[FECHA DE FACTURACIÓN]])&gt;PROVEEDORES[[#This Row],[PLAZO Días]],"PAGO VENCIDO")</f>
        <v>PAGO VENCIDO</v>
      </c>
      <c r="C1774" s="20">
        <f>+VLOOKUP(PROVEEDORES[[#This Row],[PROVEEDOR]],TERCEROS_INFO[#All],2,FALSE)</f>
        <v>30</v>
      </c>
      <c r="D1774" s="25">
        <f>+SUMIFS(PROVEEDORES[Total],PROVEEDORES[PROVEEDOR],PROVEEDORES[[#This Row],[PROVEEDOR]],PROVEEDORES[FECHA DE PAGO],"")</f>
        <v>0</v>
      </c>
      <c r="E1774" s="25"/>
      <c r="F177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774" s="161">
        <v>44278</v>
      </c>
      <c r="H1774" s="26" t="s">
        <v>49</v>
      </c>
      <c r="I1774" s="161">
        <v>44236</v>
      </c>
      <c r="J1774" s="35">
        <v>1405</v>
      </c>
      <c r="K1774" s="21">
        <v>2956953</v>
      </c>
      <c r="L1774" s="21"/>
      <c r="M1774" s="22">
        <f>(PROVEEDORES[[#This Row],[SUBTOTAL]]-PROVEEDORES[[#This Row],[descuento sobre subtotal]])*VLOOKUP(PROVEEDORES[[#This Row],[PROVEEDOR]],TERCEROS_INFO[#All],3,FALSE)</f>
        <v>561821.06999999995</v>
      </c>
      <c r="N1774" s="23"/>
      <c r="O1774" s="22">
        <f>+PROVEEDORES[[#This Row],[Descuento sobre subtotal %]]*(PROVEEDORES[[#This Row],[SUBTOTAL]]-PROVEEDORES[[#This Row],[descuento sobre subtotal]])</f>
        <v>0</v>
      </c>
      <c r="P1774" s="83">
        <f>+IF(PROVEEDORES[[#This Row],[SUBTOTAL]]&lt;PROVEEDORES[[#This Row],[base retencion]],0,PROVEEDORES[[#This Row],[retención aplicada]])</f>
        <v>2.5000000000000001E-2</v>
      </c>
      <c r="Q1774" s="22">
        <f>+PROVEEDORES[[#This Row],[Rete Fuente %]]*(PROVEEDORES[[#This Row],[SUBTOTAL]]-PROVEEDORES[[#This Row],[descuento sobre subtotal]])</f>
        <v>73923.824999999997</v>
      </c>
      <c r="R1774" s="21">
        <f>+PROVEEDORES[[#This Row],[SUBTOTAL]]+PROVEEDORES[[#This Row],[IVA 19%]]-PROVEEDORES[[#This Row],[descuento sobre subtotal]]-PROVEEDORES[[#This Row],[Descuento sobre subtotal $2]]-PROVEEDORES[[#This Row],[Rete Fuente $]]</f>
        <v>3444850.2449999996</v>
      </c>
      <c r="S17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4" s="68">
        <f ca="1">IF(PROVEEDORES[[#This Row],[FECHA DE PAGO]]=0,TODAY()-PROVEEDORES[[#This Row],[FECHA DE FACTURACIÓN]]-PROVEEDORES[[#This Row],[PLAZO Días]],0)</f>
        <v>0</v>
      </c>
      <c r="U1774" s="96" t="str">
        <f>+VLOOKUP(PROVEEDORES[[#This Row],[PROVEEDOR]],Terceros!$A:$D,4,FALSE)</f>
        <v>2,5% con base</v>
      </c>
      <c r="V1774" s="97">
        <f>+YEAR(PROVEEDORES[[#This Row],[FECHA DE FACTURACIÓN]])</f>
        <v>2021</v>
      </c>
      <c r="W1774" s="97">
        <f>+MATCH(PROVEEDORES[[#This Row],[año facturado]],Retenciones!$1:$1,0)</f>
        <v>4</v>
      </c>
      <c r="X1774" s="98">
        <f>+VLOOKUP(PROVEEDORES[[#This Row],[ID RETENCION]],Retenciones!$A$1:$O$25,PROVEEDORES[[#This Row],[indicador de columna]],FALSE)</f>
        <v>980000</v>
      </c>
      <c r="Y1774" s="99">
        <f>+VLOOKUP(PROVEEDORES[[#This Row],[ID RETENCION]],Retenciones!$A$1:$O$25,2,FALSE)</f>
        <v>2.5000000000000001E-2</v>
      </c>
      <c r="Z1774" s="125" t="b">
        <f>OR(COUNTIF(PROVEEDORES[[#This Row],[PROVEEDOR]],"*"&amp;'Palabra no opera'!$A$2&amp;"*"))</f>
        <v>0</v>
      </c>
    </row>
    <row r="1775" spans="1:26" ht="22.2" customHeight="1" x14ac:dyDescent="0.3">
      <c r="A1775" s="66" t="str">
        <f>+IF(PROVEEDORES[[#This Row],[FECHA DE PAGO]]=PROVEEDORES[[#This Row],[FECHA DE FACTURACIÓN]],"DE CONTADO","CRÉDITO")</f>
        <v>CRÉDITO</v>
      </c>
      <c r="B1775" s="38" t="b">
        <f>+IF((PROVEEDORES[[#This Row],[FECHA DE PAGO]]-PROVEEDORES[[#This Row],[FECHA DE FACTURACIÓN]])&gt;PROVEEDORES[[#This Row],[PLAZO Días]],"PAGO VENCIDO")</f>
        <v>0</v>
      </c>
      <c r="C1775" s="20">
        <f>+VLOOKUP(PROVEEDORES[[#This Row],[PROVEEDOR]],TERCEROS_INFO[#All],2,FALSE)</f>
        <v>30</v>
      </c>
      <c r="D1775" s="25">
        <f>+SUMIFS(PROVEEDORES[Total],PROVEEDORES[PROVEEDOR],PROVEEDORES[[#This Row],[PROVEEDOR]],PROVEEDORES[FECHA DE PAGO],"")</f>
        <v>0</v>
      </c>
      <c r="E1775" s="25"/>
      <c r="F1775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775" s="161">
        <v>44631</v>
      </c>
      <c r="H1775" s="26" t="s">
        <v>56</v>
      </c>
      <c r="I1775" s="161">
        <v>44630</v>
      </c>
      <c r="J1775" s="35" t="s">
        <v>702</v>
      </c>
      <c r="K1775" s="21">
        <v>404189</v>
      </c>
      <c r="L1775" s="21"/>
      <c r="M1775" s="22">
        <v>33232</v>
      </c>
      <c r="N1775" s="23"/>
      <c r="O1775" s="22">
        <v>0</v>
      </c>
      <c r="P1775" s="83">
        <f>+IF(PROVEEDORES[[#This Row],[SUBTOTAL]]&lt;PROVEEDORES[[#This Row],[base retencion]],0,PROVEEDORES[[#This Row],[retención aplicada]])</f>
        <v>0</v>
      </c>
      <c r="Q1775" s="22">
        <f>+PROVEEDORES[[#This Row],[Rete Fuente %]]*(PROVEEDORES[[#This Row],[SUBTOTAL]]-PROVEEDORES[[#This Row],[descuento sobre subtotal]])</f>
        <v>0</v>
      </c>
      <c r="R1775" s="21">
        <v>3505560</v>
      </c>
      <c r="S17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5" s="68">
        <f ca="1">IF(PROVEEDORES[[#This Row],[FECHA DE PAGO]]=0,TODAY()-PROVEEDORES[[#This Row],[FECHA DE FACTURACIÓN]]-PROVEEDORES[[#This Row],[PLAZO Días]],0)</f>
        <v>0</v>
      </c>
      <c r="U1775" s="96">
        <f>+VLOOKUP(PROVEEDORES[[#This Row],[PROVEEDOR]],Terceros!$A:$D,4,FALSE)</f>
        <v>0</v>
      </c>
      <c r="V1775" s="97">
        <f>+YEAR(PROVEEDORES[[#This Row],[FECHA DE FACTURACIÓN]])</f>
        <v>2022</v>
      </c>
      <c r="W1775" s="97">
        <f>+MATCH(PROVEEDORES[[#This Row],[año facturado]],Retenciones!$1:$1,0)</f>
        <v>5</v>
      </c>
      <c r="X1775" s="98">
        <f>+VLOOKUP(PROVEEDORES[[#This Row],[ID RETENCION]],Retenciones!$A$1:$O$25,PROVEEDORES[[#This Row],[indicador de columna]],FALSE)</f>
        <v>0</v>
      </c>
      <c r="Y1775" s="99">
        <f>+VLOOKUP(PROVEEDORES[[#This Row],[ID RETENCION]],Retenciones!$A$1:$O$25,2,FALSE)</f>
        <v>0</v>
      </c>
      <c r="Z1775" s="125" t="b">
        <f>OR(COUNTIF(PROVEEDORES[[#This Row],[PROVEEDOR]],"*"&amp;'Palabra no opera'!$A$2&amp;"*"))</f>
        <v>0</v>
      </c>
    </row>
    <row r="1776" spans="1:26" ht="22.2" customHeight="1" x14ac:dyDescent="0.3">
      <c r="A1776" s="66" t="str">
        <f>+IF(PROVEEDORES[[#This Row],[FECHA DE PAGO]]=PROVEEDORES[[#This Row],[FECHA DE FACTURACIÓN]],"DE CONTADO","CRÉDITO")</f>
        <v>CRÉDITO</v>
      </c>
      <c r="B1776" s="38" t="b">
        <f>+IF((PROVEEDORES[[#This Row],[FECHA DE PAGO]]-PROVEEDORES[[#This Row],[FECHA DE FACTURACIÓN]])&gt;PROVEEDORES[[#This Row],[PLAZO Días]],"PAGO VENCIDO")</f>
        <v>0</v>
      </c>
      <c r="C1776" s="20">
        <f>+VLOOKUP(PROVEEDORES[[#This Row],[PROVEEDOR]],TERCEROS_INFO[#All],2,FALSE)</f>
        <v>20</v>
      </c>
      <c r="D1776" s="25">
        <f>+SUMIFS(PROVEEDORES[Total],PROVEEDORES[PROVEEDOR],PROVEEDORES[[#This Row],[PROVEEDOR]],PROVEEDORES[FECHA DE PAGO],"")</f>
        <v>0</v>
      </c>
      <c r="E1776" s="25"/>
      <c r="F1776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76" s="161">
        <v>44380</v>
      </c>
      <c r="H1776" s="26" t="s">
        <v>331</v>
      </c>
      <c r="I1776" s="161">
        <v>44377</v>
      </c>
      <c r="J1776" s="35" t="s">
        <v>371</v>
      </c>
      <c r="K1776" s="21">
        <v>3071327.5</v>
      </c>
      <c r="L1776" s="21"/>
      <c r="M1776" s="22">
        <f>(PROVEEDORES[[#This Row],[SUBTOTAL]]-PROVEEDORES[[#This Row],[descuento sobre subtotal]])*VLOOKUP(PROVEEDORES[[#This Row],[PROVEEDOR]],TERCEROS_INFO[#All],3,FALSE)</f>
        <v>583552.22499999998</v>
      </c>
      <c r="N1776" s="23"/>
      <c r="O1776" s="22">
        <f>+PROVEEDORES[[#This Row],[Descuento sobre subtotal %]]*(PROVEEDORES[[#This Row],[SUBTOTAL]]-PROVEEDORES[[#This Row],[descuento sobre subtotal]])</f>
        <v>0</v>
      </c>
      <c r="P1776" s="83">
        <f>+IF(PROVEEDORES[[#This Row],[SUBTOTAL]]&lt;PROVEEDORES[[#This Row],[base retencion]],0,PROVEEDORES[[#This Row],[retención aplicada]])</f>
        <v>0.04</v>
      </c>
      <c r="Q1776" s="22">
        <f>+PROVEEDORES[[#This Row],[Rete Fuente %]]*(PROVEEDORES[[#This Row],[SUBTOTAL]]-PROVEEDORES[[#This Row],[descuento sobre subtotal]])</f>
        <v>122853.1</v>
      </c>
      <c r="R1776" s="21">
        <f>+PROVEEDORES[[#This Row],[SUBTOTAL]]+PROVEEDORES[[#This Row],[IVA 19%]]-PROVEEDORES[[#This Row],[descuento sobre subtotal]]-PROVEEDORES[[#This Row],[Descuento sobre subtotal $2]]-PROVEEDORES[[#This Row],[Rete Fuente $]]</f>
        <v>3532026.625</v>
      </c>
      <c r="S17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6" s="68">
        <f ca="1">IF(PROVEEDORES[[#This Row],[FECHA DE PAGO]]=0,TODAY()-PROVEEDORES[[#This Row],[FECHA DE FACTURACIÓN]]-PROVEEDORES[[#This Row],[PLAZO Días]],0)</f>
        <v>0</v>
      </c>
      <c r="U1776" s="96" t="str">
        <f>+VLOOKUP(PROVEEDORES[[#This Row],[PROVEEDOR]],Terceros!$A:$D,4,FALSE)</f>
        <v>4% sin base</v>
      </c>
      <c r="V1776" s="97">
        <f>+YEAR(PROVEEDORES[[#This Row],[FECHA DE FACTURACIÓN]])</f>
        <v>2021</v>
      </c>
      <c r="W1776" s="97">
        <f>+MATCH(PROVEEDORES[[#This Row],[año facturado]],Retenciones!$1:$1,0)</f>
        <v>4</v>
      </c>
      <c r="X1776" s="98">
        <f>+VLOOKUP(PROVEEDORES[[#This Row],[ID RETENCION]],Retenciones!$A$1:$O$25,PROVEEDORES[[#This Row],[indicador de columna]],FALSE)</f>
        <v>0</v>
      </c>
      <c r="Y1776" s="99">
        <f>+VLOOKUP(PROVEEDORES[[#This Row],[ID RETENCION]],Retenciones!$A$1:$O$25,2,FALSE)</f>
        <v>0.04</v>
      </c>
      <c r="Z1776" s="125" t="b">
        <f>OR(COUNTIF(PROVEEDORES[[#This Row],[PROVEEDOR]],"*"&amp;'Palabra no opera'!$A$2&amp;"*"))</f>
        <v>0</v>
      </c>
    </row>
    <row r="1777" spans="1:26" ht="22.2" customHeight="1" x14ac:dyDescent="0.3">
      <c r="A1777" s="66" t="str">
        <f>+IF(PROVEEDORES[[#This Row],[FECHA DE PAGO]]=PROVEEDORES[[#This Row],[FECHA DE FACTURACIÓN]],"DE CONTADO","CRÉDITO")</f>
        <v>CRÉDITO</v>
      </c>
      <c r="B1777" s="38" t="str">
        <f>+IF((PROVEEDORES[[#This Row],[FECHA DE PAGO]]-PROVEEDORES[[#This Row],[FECHA DE FACTURACIÓN]])&gt;PROVEEDORES[[#This Row],[PLAZO Días]],"PAGO VENCIDO")</f>
        <v>PAGO VENCIDO</v>
      </c>
      <c r="C1777" s="20">
        <f>+VLOOKUP(PROVEEDORES[[#This Row],[PROVEEDOR]],TERCEROS_INFO[#All],2,FALSE)</f>
        <v>30</v>
      </c>
      <c r="D1777" s="25">
        <f>+SUMIFS(PROVEEDORES[Total],PROVEEDORES[PROVEEDOR],PROVEEDORES[[#This Row],[PROVEEDOR]],PROVEEDORES[FECHA DE PAGO],"")</f>
        <v>23124164.219999999</v>
      </c>
      <c r="E1777" s="25"/>
      <c r="F177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77" s="161">
        <v>44482</v>
      </c>
      <c r="H1777" s="26" t="s">
        <v>18</v>
      </c>
      <c r="I1777" s="161">
        <v>44435</v>
      </c>
      <c r="J1777" s="35">
        <v>1042278</v>
      </c>
      <c r="K1777" s="21">
        <v>3032560.8</v>
      </c>
      <c r="L1777" s="21"/>
      <c r="M1777" s="22">
        <f>(PROVEEDORES[[#This Row],[SUBTOTAL]]-PROVEEDORES[[#This Row],[descuento sobre subtotal]])*VLOOKUP(PROVEEDORES[[#This Row],[PROVEEDOR]],TERCEROS_INFO[#All],3,FALSE)</f>
        <v>576186.55200000003</v>
      </c>
      <c r="N1777" s="23"/>
      <c r="O1777" s="22">
        <f>+PROVEEDORES[[#This Row],[Descuento sobre subtotal %]]*(PROVEEDORES[[#This Row],[SUBTOTAL]]-PROVEEDORES[[#This Row],[descuento sobre subtotal]])</f>
        <v>0</v>
      </c>
      <c r="P1777" s="83">
        <f>+IF(PROVEEDORES[[#This Row],[SUBTOTAL]]&lt;PROVEEDORES[[#This Row],[base retencion]],0,PROVEEDORES[[#This Row],[retención aplicada]])</f>
        <v>2.5000000000000001E-2</v>
      </c>
      <c r="Q1777" s="22">
        <f>+PROVEEDORES[[#This Row],[Rete Fuente %]]*(PROVEEDORES[[#This Row],[SUBTOTAL]]-PROVEEDORES[[#This Row],[descuento sobre subtotal]])</f>
        <v>75814.02</v>
      </c>
      <c r="R1777" s="21">
        <f>+PROVEEDORES[[#This Row],[SUBTOTAL]]+PROVEEDORES[[#This Row],[IVA 19%]]-PROVEEDORES[[#This Row],[descuento sobre subtotal]]-PROVEEDORES[[#This Row],[Descuento sobre subtotal $2]]-PROVEEDORES[[#This Row],[Rete Fuente $]]</f>
        <v>3532933.3319999999</v>
      </c>
      <c r="S177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7" s="68">
        <f ca="1">IF(PROVEEDORES[[#This Row],[FECHA DE PAGO]]=0,TODAY()-PROVEEDORES[[#This Row],[FECHA DE FACTURACIÓN]]-PROVEEDORES[[#This Row],[PLAZO Días]],0)</f>
        <v>0</v>
      </c>
      <c r="U1777" s="96" t="str">
        <f>+VLOOKUP(PROVEEDORES[[#This Row],[PROVEEDOR]],Terceros!$A:$D,4,FALSE)</f>
        <v>2,5% con base</v>
      </c>
      <c r="V1777" s="97">
        <f>+YEAR(PROVEEDORES[[#This Row],[FECHA DE FACTURACIÓN]])</f>
        <v>2021</v>
      </c>
      <c r="W1777" s="97">
        <f>+MATCH(PROVEEDORES[[#This Row],[año facturado]],Retenciones!$1:$1,0)</f>
        <v>4</v>
      </c>
      <c r="X1777" s="98">
        <f>+VLOOKUP(PROVEEDORES[[#This Row],[ID RETENCION]],Retenciones!$A$1:$O$25,PROVEEDORES[[#This Row],[indicador de columna]],FALSE)</f>
        <v>980000</v>
      </c>
      <c r="Y1777" s="99">
        <f>+VLOOKUP(PROVEEDORES[[#This Row],[ID RETENCION]],Retenciones!$A$1:$O$25,2,FALSE)</f>
        <v>2.5000000000000001E-2</v>
      </c>
      <c r="Z1777" s="125" t="b">
        <f>OR(COUNTIF(PROVEEDORES[[#This Row],[PROVEEDOR]],"*"&amp;'Palabra no opera'!$A$2&amp;"*"))</f>
        <v>0</v>
      </c>
    </row>
    <row r="1778" spans="1:26" ht="22.2" customHeight="1" x14ac:dyDescent="0.3">
      <c r="A1778" s="66" t="str">
        <f>+IF(PROVEEDORES[[#This Row],[FECHA DE PAGO]]=PROVEEDORES[[#This Row],[FECHA DE FACTURACIÓN]],"DE CONTADO","CRÉDITO")</f>
        <v>CRÉDITO</v>
      </c>
      <c r="B1778" s="38" t="str">
        <f>+IF((PROVEEDORES[[#This Row],[FECHA DE PAGO]]-PROVEEDORES[[#This Row],[FECHA DE FACTURACIÓN]])&gt;PROVEEDORES[[#This Row],[PLAZO Días]],"PAGO VENCIDO")</f>
        <v>PAGO VENCIDO</v>
      </c>
      <c r="C1778" s="20">
        <f>+VLOOKUP(PROVEEDORES[[#This Row],[PROVEEDOR]],TERCEROS_INFO[#All],2,FALSE)</f>
        <v>30</v>
      </c>
      <c r="D1778" s="25">
        <f>+SUMIFS(PROVEEDORES[Total],PROVEEDORES[PROVEEDOR],PROVEEDORES[[#This Row],[PROVEEDOR]],PROVEEDORES[FECHA DE PAGO],"")</f>
        <v>23124164.219999999</v>
      </c>
      <c r="E1778" s="25"/>
      <c r="F177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78" s="161">
        <v>44363</v>
      </c>
      <c r="H1778" s="26" t="s">
        <v>318</v>
      </c>
      <c r="I1778" s="161">
        <v>44323</v>
      </c>
      <c r="J1778" s="35">
        <v>1037614</v>
      </c>
      <c r="K1778" s="21">
        <v>3032760.12</v>
      </c>
      <c r="L1778" s="21"/>
      <c r="M1778" s="22">
        <f>(PROVEEDORES[[#This Row],[SUBTOTAL]]-PROVEEDORES[[#This Row],[descuento sobre subtotal]])*VLOOKUP(PROVEEDORES[[#This Row],[PROVEEDOR]],TERCEROS_INFO[#All],3,FALSE)</f>
        <v>576224.42280000006</v>
      </c>
      <c r="N1778" s="23"/>
      <c r="O1778" s="22">
        <f>+PROVEEDORES[[#This Row],[Descuento sobre subtotal %]]*(PROVEEDORES[[#This Row],[SUBTOTAL]]-PROVEEDORES[[#This Row],[descuento sobre subtotal]])</f>
        <v>0</v>
      </c>
      <c r="P1778" s="83">
        <f>+IF(PROVEEDORES[[#This Row],[SUBTOTAL]]&lt;PROVEEDORES[[#This Row],[base retencion]],0,PROVEEDORES[[#This Row],[retención aplicada]])</f>
        <v>2.5000000000000001E-2</v>
      </c>
      <c r="Q1778" s="22">
        <f>+PROVEEDORES[[#This Row],[Rete Fuente %]]*(PROVEEDORES[[#This Row],[SUBTOTAL]]-PROVEEDORES[[#This Row],[descuento sobre subtotal]])</f>
        <v>75819.003000000012</v>
      </c>
      <c r="R1778" s="21">
        <f>+PROVEEDORES[[#This Row],[SUBTOTAL]]+PROVEEDORES[[#This Row],[IVA 19%]]-PROVEEDORES[[#This Row],[descuento sobre subtotal]]-PROVEEDORES[[#This Row],[Descuento sobre subtotal $2]]-PROVEEDORES[[#This Row],[Rete Fuente $]]</f>
        <v>3533165.5397999999</v>
      </c>
      <c r="S17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8" s="68">
        <f ca="1">IF(PROVEEDORES[[#This Row],[FECHA DE PAGO]]=0,TODAY()-PROVEEDORES[[#This Row],[FECHA DE FACTURACIÓN]]-PROVEEDORES[[#This Row],[PLAZO Días]],0)</f>
        <v>0</v>
      </c>
      <c r="U1778" s="96" t="str">
        <f>+VLOOKUP(PROVEEDORES[[#This Row],[PROVEEDOR]],Terceros!$A:$D,4,FALSE)</f>
        <v>2,5% con base</v>
      </c>
      <c r="V1778" s="97">
        <f>+YEAR(PROVEEDORES[[#This Row],[FECHA DE FACTURACIÓN]])</f>
        <v>2021</v>
      </c>
      <c r="W1778" s="97">
        <f>+MATCH(PROVEEDORES[[#This Row],[año facturado]],Retenciones!$1:$1,0)</f>
        <v>4</v>
      </c>
      <c r="X1778" s="98">
        <f>+VLOOKUP(PROVEEDORES[[#This Row],[ID RETENCION]],Retenciones!$A$1:$O$25,PROVEEDORES[[#This Row],[indicador de columna]],FALSE)</f>
        <v>980000</v>
      </c>
      <c r="Y1778" s="99">
        <f>+VLOOKUP(PROVEEDORES[[#This Row],[ID RETENCION]],Retenciones!$A$1:$O$25,2,FALSE)</f>
        <v>2.5000000000000001E-2</v>
      </c>
      <c r="Z1778" s="125" t="b">
        <f>OR(COUNTIF(PROVEEDORES[[#This Row],[PROVEEDOR]],"*"&amp;'Palabra no opera'!$A$2&amp;"*"))</f>
        <v>0</v>
      </c>
    </row>
    <row r="1779" spans="1:26" ht="22.2" customHeight="1" x14ac:dyDescent="0.3">
      <c r="A1779" s="66" t="str">
        <f>+IF(PROVEEDORES[[#This Row],[FECHA DE PAGO]]=PROVEEDORES[[#This Row],[FECHA DE FACTURACIÓN]],"DE CONTADO","CRÉDITO")</f>
        <v>CRÉDITO</v>
      </c>
      <c r="B1779" s="38" t="str">
        <f>+IF((PROVEEDORES[[#This Row],[FECHA DE PAGO]]-PROVEEDORES[[#This Row],[FECHA DE FACTURACIÓN]])&gt;PROVEEDORES[[#This Row],[PLAZO Días]],"PAGO VENCIDO")</f>
        <v>PAGO VENCIDO</v>
      </c>
      <c r="C1779" s="20">
        <f>+VLOOKUP(PROVEEDORES[[#This Row],[PROVEEDOR]],TERCEROS_INFO[#All],2,FALSE)</f>
        <v>90</v>
      </c>
      <c r="D1779" s="25">
        <f>+SUMIFS(PROVEEDORES[Total],PROVEEDORES[PROVEEDOR],PROVEEDORES[[#This Row],[PROVEEDOR]],PROVEEDORES[FECHA DE PAGO],"")</f>
        <v>26350422.770000003</v>
      </c>
      <c r="E1779" s="25"/>
      <c r="F177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779" s="161">
        <v>44488</v>
      </c>
      <c r="H1779" s="26" t="s">
        <v>12</v>
      </c>
      <c r="I1779" s="161">
        <v>44383</v>
      </c>
      <c r="J1779" s="35" t="s">
        <v>378</v>
      </c>
      <c r="K1779" s="21">
        <v>3039496</v>
      </c>
      <c r="L1779" s="21"/>
      <c r="M1779" s="22">
        <f>(PROVEEDORES[[#This Row],[SUBTOTAL]]-PROVEEDORES[[#This Row],[descuento sobre subtotal]])*VLOOKUP(PROVEEDORES[[#This Row],[PROVEEDOR]],TERCEROS_INFO[#All],3,FALSE)</f>
        <v>577504.24</v>
      </c>
      <c r="N1779" s="23"/>
      <c r="O1779" s="22">
        <f>+PROVEEDORES[[#This Row],[Descuento sobre subtotal %]]*(PROVEEDORES[[#This Row],[SUBTOTAL]]-PROVEEDORES[[#This Row],[descuento sobre subtotal]])</f>
        <v>0</v>
      </c>
      <c r="P1779" s="83">
        <f>+IF(PROVEEDORES[[#This Row],[SUBTOTAL]]&lt;PROVEEDORES[[#This Row],[base retencion]],0,PROVEEDORES[[#This Row],[retención aplicada]])</f>
        <v>2.5000000000000001E-2</v>
      </c>
      <c r="Q1779" s="22">
        <f>+PROVEEDORES[[#This Row],[Rete Fuente %]]*(PROVEEDORES[[#This Row],[SUBTOTAL]]-PROVEEDORES[[#This Row],[descuento sobre subtotal]])</f>
        <v>75987.400000000009</v>
      </c>
      <c r="R1779" s="21">
        <f>+PROVEEDORES[[#This Row],[SUBTOTAL]]+PROVEEDORES[[#This Row],[IVA 19%]]-PROVEEDORES[[#This Row],[descuento sobre subtotal]]-PROVEEDORES[[#This Row],[Descuento sobre subtotal $2]]-PROVEEDORES[[#This Row],[Rete Fuente $]]</f>
        <v>3541012.8400000003</v>
      </c>
      <c r="S17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9" s="68">
        <f ca="1">IF(PROVEEDORES[[#This Row],[FECHA DE PAGO]]=0,TODAY()-PROVEEDORES[[#This Row],[FECHA DE FACTURACIÓN]]-PROVEEDORES[[#This Row],[PLAZO Días]],0)</f>
        <v>0</v>
      </c>
      <c r="U1779" s="96" t="str">
        <f>+VLOOKUP(PROVEEDORES[[#This Row],[PROVEEDOR]],Terceros!$A:$D,4,FALSE)</f>
        <v>2,5% con base</v>
      </c>
      <c r="V1779" s="97">
        <f>+YEAR(PROVEEDORES[[#This Row],[FECHA DE FACTURACIÓN]])</f>
        <v>2021</v>
      </c>
      <c r="W1779" s="97">
        <f>+MATCH(PROVEEDORES[[#This Row],[año facturado]],Retenciones!$1:$1,0)</f>
        <v>4</v>
      </c>
      <c r="X1779" s="98">
        <f>+VLOOKUP(PROVEEDORES[[#This Row],[ID RETENCION]],Retenciones!$A$1:$O$25,PROVEEDORES[[#This Row],[indicador de columna]],FALSE)</f>
        <v>980000</v>
      </c>
      <c r="Y1779" s="99">
        <f>+VLOOKUP(PROVEEDORES[[#This Row],[ID RETENCION]],Retenciones!$A$1:$O$25,2,FALSE)</f>
        <v>2.5000000000000001E-2</v>
      </c>
      <c r="Z1779" s="125" t="b">
        <f>OR(COUNTIF(PROVEEDORES[[#This Row],[PROVEEDOR]],"*"&amp;'Palabra no opera'!$A$2&amp;"*"))</f>
        <v>0</v>
      </c>
    </row>
    <row r="1780" spans="1:26" ht="22.2" customHeight="1" x14ac:dyDescent="0.3">
      <c r="A1780" s="66" t="str">
        <f>+IF(PROVEEDORES[[#This Row],[FECHA DE PAGO]]=PROVEEDORES[[#This Row],[FECHA DE FACTURACIÓN]],"DE CONTADO","CRÉDITO")</f>
        <v>CRÉDITO</v>
      </c>
      <c r="B1780" s="38" t="str">
        <f>+IF((PROVEEDORES[[#This Row],[FECHA DE PAGO]]-PROVEEDORES[[#This Row],[FECHA DE FACTURACIÓN]])&gt;PROVEEDORES[[#This Row],[PLAZO Días]],"PAGO VENCIDO")</f>
        <v>PAGO VENCIDO</v>
      </c>
      <c r="C1780" s="20">
        <f>+VLOOKUP(PROVEEDORES[[#This Row],[PROVEEDOR]],TERCEROS_INFO[#All],2,FALSE)</f>
        <v>30</v>
      </c>
      <c r="D1780" s="25">
        <f>+SUMIFS(PROVEEDORES[Total],PROVEEDORES[PROVEEDOR],PROVEEDORES[[#This Row],[PROVEEDOR]],PROVEEDORES[FECHA DE PAGO],"")</f>
        <v>2318500</v>
      </c>
      <c r="E1780" s="25"/>
      <c r="F1780" s="58" t="str">
        <f>+VLOOKUP(PROVEEDORES[[#This Row],[PROVEEDOR]],
                       Terceros!$A:$F,
                       5,
                       FALSE)</f>
        <v/>
      </c>
      <c r="G1780" s="161">
        <v>44445</v>
      </c>
      <c r="H1780" s="26" t="s">
        <v>629</v>
      </c>
      <c r="I1780" s="161">
        <v>44410</v>
      </c>
      <c r="J1780" s="35" t="s">
        <v>1278</v>
      </c>
      <c r="K1780" s="21">
        <v>3560300</v>
      </c>
      <c r="L1780" s="21"/>
      <c r="M1780" s="22">
        <f>(PROVEEDORES[[#This Row],[SUBTOTAL]]-PROVEEDORES[[#This Row],[descuento sobre subtotal]])*VLOOKUP(PROVEEDORES[[#This Row],[PROVEEDOR]],TERCEROS_INFO[#All],3,FALSE)</f>
        <v>0</v>
      </c>
      <c r="N1780" s="23"/>
      <c r="O1780" s="22">
        <f>+PROVEEDORES[[#This Row],[Descuento sobre subtotal %]]*(PROVEEDORES[[#This Row],[SUBTOTAL]]-PROVEEDORES[[#This Row],[descuento sobre subtotal]])</f>
        <v>0</v>
      </c>
      <c r="P1780" s="83">
        <f>+IF(PROVEEDORES[[#This Row],[SUBTOTAL]]&lt;PROVEEDORES[[#This Row],[base retencion]],0,PROVEEDORES[[#This Row],[retención aplicada]])</f>
        <v>0</v>
      </c>
      <c r="Q1780" s="22">
        <f>+PROVEEDORES[[#This Row],[Rete Fuente %]]*(PROVEEDORES[[#This Row],[SUBTOTAL]]-PROVEEDORES[[#This Row],[descuento sobre subtotal]])</f>
        <v>0</v>
      </c>
      <c r="R1780" s="21">
        <f>+PROVEEDORES[[#This Row],[SUBTOTAL]]+PROVEEDORES[[#This Row],[IVA 19%]]-PROVEEDORES[[#This Row],[descuento sobre subtotal]]-PROVEEDORES[[#This Row],[Descuento sobre subtotal $2]]-PROVEEDORES[[#This Row],[Rete Fuente $]]</f>
        <v>3560300</v>
      </c>
      <c r="S17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0" s="68">
        <f ca="1">IF(PROVEEDORES[[#This Row],[FECHA DE PAGO]]=0,TODAY()-PROVEEDORES[[#This Row],[FECHA DE FACTURACIÓN]]-PROVEEDORES[[#This Row],[PLAZO Días]],0)</f>
        <v>0</v>
      </c>
      <c r="U1780" s="96">
        <f>+VLOOKUP(PROVEEDORES[[#This Row],[PROVEEDOR]],Terceros!$A:$D,4,FALSE)</f>
        <v>0</v>
      </c>
      <c r="V1780" s="97">
        <f>+YEAR(PROVEEDORES[[#This Row],[FECHA DE FACTURACIÓN]])</f>
        <v>2021</v>
      </c>
      <c r="W1780" s="97">
        <f>+MATCH(PROVEEDORES[[#This Row],[año facturado]],Retenciones!$1:$1,0)</f>
        <v>4</v>
      </c>
      <c r="X1780" s="98">
        <f>+VLOOKUP(PROVEEDORES[[#This Row],[ID RETENCION]],Retenciones!$A$1:$O$25,PROVEEDORES[[#This Row],[indicador de columna]],FALSE)</f>
        <v>0</v>
      </c>
      <c r="Y1780" s="99">
        <f>+VLOOKUP(PROVEEDORES[[#This Row],[ID RETENCION]],Retenciones!$A$1:$O$25,2,FALSE)</f>
        <v>0</v>
      </c>
      <c r="Z1780" s="125" t="b">
        <f>OR(COUNTIF(PROVEEDORES[[#This Row],[PROVEEDOR]],"*"&amp;'Palabra no opera'!$A$2&amp;"*"))</f>
        <v>0</v>
      </c>
    </row>
    <row r="1781" spans="1:26" ht="22.2" customHeight="1" x14ac:dyDescent="0.3">
      <c r="A1781" s="66" t="str">
        <f>+IF(PROVEEDORES[[#This Row],[FECHA DE PAGO]]=PROVEEDORES[[#This Row],[FECHA DE FACTURACIÓN]],"DE CONTADO","CRÉDITO")</f>
        <v>CRÉDITO</v>
      </c>
      <c r="B1781" s="38" t="str">
        <f>+IF((PROVEEDORES[[#This Row],[FECHA DE PAGO]]-PROVEEDORES[[#This Row],[FECHA DE FACTURACIÓN]])&gt;PROVEEDORES[[#This Row],[PLAZO Días]],"PAGO VENCIDO")</f>
        <v>PAGO VENCIDO</v>
      </c>
      <c r="C1781" s="20">
        <f>+VLOOKUP(PROVEEDORES[[#This Row],[PROVEEDOR]],TERCEROS_INFO[#All],2,FALSE)</f>
        <v>30</v>
      </c>
      <c r="D1781" s="25">
        <f>+SUMIFS(PROVEEDORES[Total],PROVEEDORES[PROVEEDOR],PROVEEDORES[[#This Row],[PROVEEDOR]],PROVEEDORES[FECHA DE PAGO],"")</f>
        <v>2318500</v>
      </c>
      <c r="E1781" s="25"/>
      <c r="F1781" s="58" t="str">
        <f>+VLOOKUP(PROVEEDORES[[#This Row],[PROVEEDOR]],
                       Terceros!$A:$F,
                       5,
                       FALSE)</f>
        <v/>
      </c>
      <c r="G1781" s="161">
        <v>44448</v>
      </c>
      <c r="H1781" s="26" t="s">
        <v>629</v>
      </c>
      <c r="I1781" s="161">
        <v>44410</v>
      </c>
      <c r="J1781" s="35" t="s">
        <v>1278</v>
      </c>
      <c r="K1781" s="21">
        <v>3560300</v>
      </c>
      <c r="L1781" s="21"/>
      <c r="M1781" s="22">
        <f>(PROVEEDORES[[#This Row],[SUBTOTAL]]-PROVEEDORES[[#This Row],[descuento sobre subtotal]])*VLOOKUP(PROVEEDORES[[#This Row],[PROVEEDOR]],TERCEROS_INFO[#All],3,FALSE)</f>
        <v>0</v>
      </c>
      <c r="N1781" s="23"/>
      <c r="O1781" s="22">
        <f>+PROVEEDORES[[#This Row],[Descuento sobre subtotal %]]*(PROVEEDORES[[#This Row],[SUBTOTAL]]-PROVEEDORES[[#This Row],[descuento sobre subtotal]])</f>
        <v>0</v>
      </c>
      <c r="P1781" s="83">
        <f>+IF(PROVEEDORES[[#This Row],[SUBTOTAL]]&lt;PROVEEDORES[[#This Row],[base retencion]],0,PROVEEDORES[[#This Row],[retención aplicada]])</f>
        <v>0</v>
      </c>
      <c r="Q1781" s="22">
        <f>+PROVEEDORES[[#This Row],[Rete Fuente %]]*(PROVEEDORES[[#This Row],[SUBTOTAL]]-PROVEEDORES[[#This Row],[descuento sobre subtotal]])</f>
        <v>0</v>
      </c>
      <c r="R1781" s="21">
        <f>+PROVEEDORES[[#This Row],[SUBTOTAL]]+PROVEEDORES[[#This Row],[IVA 19%]]-PROVEEDORES[[#This Row],[descuento sobre subtotal]]-PROVEEDORES[[#This Row],[Descuento sobre subtotal $2]]-PROVEEDORES[[#This Row],[Rete Fuente $]]</f>
        <v>3560300</v>
      </c>
      <c r="S17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1" s="68">
        <f ca="1">IF(PROVEEDORES[[#This Row],[FECHA DE PAGO]]=0,TODAY()-PROVEEDORES[[#This Row],[FECHA DE FACTURACIÓN]]-PROVEEDORES[[#This Row],[PLAZO Días]],0)</f>
        <v>0</v>
      </c>
      <c r="U1781" s="96">
        <f>+VLOOKUP(PROVEEDORES[[#This Row],[PROVEEDOR]],Terceros!$A:$D,4,FALSE)</f>
        <v>0</v>
      </c>
      <c r="V1781" s="97">
        <f>+YEAR(PROVEEDORES[[#This Row],[FECHA DE FACTURACIÓN]])</f>
        <v>2021</v>
      </c>
      <c r="W1781" s="97">
        <f>+MATCH(PROVEEDORES[[#This Row],[año facturado]],Retenciones!$1:$1,0)</f>
        <v>4</v>
      </c>
      <c r="X1781" s="98">
        <f>+VLOOKUP(PROVEEDORES[[#This Row],[ID RETENCION]],Retenciones!$A$1:$O$25,PROVEEDORES[[#This Row],[indicador de columna]],FALSE)</f>
        <v>0</v>
      </c>
      <c r="Y1781" s="99">
        <f>+VLOOKUP(PROVEEDORES[[#This Row],[ID RETENCION]],Retenciones!$A$1:$O$25,2,FALSE)</f>
        <v>0</v>
      </c>
      <c r="Z1781" s="125" t="b">
        <f>OR(COUNTIF(PROVEEDORES[[#This Row],[PROVEEDOR]],"*"&amp;'Palabra no opera'!$A$2&amp;"*"))</f>
        <v>0</v>
      </c>
    </row>
    <row r="1782" spans="1:26" ht="22.2" customHeight="1" x14ac:dyDescent="0.3">
      <c r="A1782" s="66" t="str">
        <f>+IF(PROVEEDORES[[#This Row],[FECHA DE PAGO]]=PROVEEDORES[[#This Row],[FECHA DE FACTURACIÓN]],"DE CONTADO","CRÉDITO")</f>
        <v>DE CONTADO</v>
      </c>
      <c r="B1782" s="38" t="b">
        <f>+IF((PROVEEDORES[[#This Row],[FECHA DE PAGO]]-PROVEEDORES[[#This Row],[FECHA DE FACTURACIÓN]])&gt;PROVEEDORES[[#This Row],[PLAZO Días]],"PAGO VENCIDO")</f>
        <v>0</v>
      </c>
      <c r="C1782" s="20">
        <f>+VLOOKUP(PROVEEDORES[[#This Row],[PROVEEDOR]],TERCEROS_INFO[#All],2,FALSE)</f>
        <v>30</v>
      </c>
      <c r="D1782" s="25">
        <f>+SUMIFS(PROVEEDORES[Total],PROVEEDORES[PROVEEDOR],PROVEEDORES[[#This Row],[PROVEEDOR]],PROVEEDORES[FECHA DE PAGO],"")</f>
        <v>1645455.6614999999</v>
      </c>
      <c r="E1782" s="25"/>
      <c r="F1782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782" s="161">
        <v>44425</v>
      </c>
      <c r="H1782" s="26" t="s">
        <v>79</v>
      </c>
      <c r="I1782" s="161">
        <v>44425</v>
      </c>
      <c r="J1782" s="35" t="s">
        <v>426</v>
      </c>
      <c r="K1782" s="21">
        <v>3424000</v>
      </c>
      <c r="L1782" s="21">
        <v>342400</v>
      </c>
      <c r="M1782" s="22">
        <f>(PROVEEDORES[[#This Row],[SUBTOTAL]]-PROVEEDORES[[#This Row],[descuento sobre subtotal]])*VLOOKUP(PROVEEDORES[[#This Row],[PROVEEDOR]],TERCEROS_INFO[#All],3,FALSE)</f>
        <v>585504</v>
      </c>
      <c r="N1782" s="23"/>
      <c r="O1782" s="22">
        <f>+PROVEEDORES[[#This Row],[Descuento sobre subtotal %]]*(PROVEEDORES[[#This Row],[SUBTOTAL]]-PROVEEDORES[[#This Row],[descuento sobre subtotal]])</f>
        <v>0</v>
      </c>
      <c r="P1782" s="83">
        <f>+IF(PROVEEDORES[[#This Row],[SUBTOTAL]]&lt;PROVEEDORES[[#This Row],[base retencion]],0,PROVEEDORES[[#This Row],[retención aplicada]])</f>
        <v>2.5000000000000001E-2</v>
      </c>
      <c r="Q1782" s="22">
        <f>+PROVEEDORES[[#This Row],[Rete Fuente %]]*(PROVEEDORES[[#This Row],[SUBTOTAL]]-PROVEEDORES[[#This Row],[descuento sobre subtotal]])</f>
        <v>77040</v>
      </c>
      <c r="R1782" s="21">
        <f>+PROVEEDORES[[#This Row],[SUBTOTAL]]+PROVEEDORES[[#This Row],[IVA 19%]]-PROVEEDORES[[#This Row],[descuento sobre subtotal]]-PROVEEDORES[[#This Row],[Descuento sobre subtotal $2]]-PROVEEDORES[[#This Row],[Rete Fuente $]]</f>
        <v>3590064</v>
      </c>
      <c r="S17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2" s="68">
        <f ca="1">IF(PROVEEDORES[[#This Row],[FECHA DE PAGO]]=0,TODAY()-PROVEEDORES[[#This Row],[FECHA DE FACTURACIÓN]]-PROVEEDORES[[#This Row],[PLAZO Días]],0)</f>
        <v>0</v>
      </c>
      <c r="U1782" s="96" t="str">
        <f>+VLOOKUP(PROVEEDORES[[#This Row],[PROVEEDOR]],Terceros!$A:$D,4,FALSE)</f>
        <v>2,5% con base</v>
      </c>
      <c r="V1782" s="97">
        <f>+YEAR(PROVEEDORES[[#This Row],[FECHA DE FACTURACIÓN]])</f>
        <v>2021</v>
      </c>
      <c r="W1782" s="97">
        <f>+MATCH(PROVEEDORES[[#This Row],[año facturado]],Retenciones!$1:$1,0)</f>
        <v>4</v>
      </c>
      <c r="X1782" s="98">
        <f>+VLOOKUP(PROVEEDORES[[#This Row],[ID RETENCION]],Retenciones!$A$1:$O$25,PROVEEDORES[[#This Row],[indicador de columna]],FALSE)</f>
        <v>980000</v>
      </c>
      <c r="Y1782" s="99">
        <f>+VLOOKUP(PROVEEDORES[[#This Row],[ID RETENCION]],Retenciones!$A$1:$O$25,2,FALSE)</f>
        <v>2.5000000000000001E-2</v>
      </c>
      <c r="Z1782" s="125" t="b">
        <f>OR(COUNTIF(PROVEEDORES[[#This Row],[PROVEEDOR]],"*"&amp;'Palabra no opera'!$A$2&amp;"*"))</f>
        <v>0</v>
      </c>
    </row>
    <row r="1783" spans="1:26" ht="22.2" customHeight="1" x14ac:dyDescent="0.3">
      <c r="A1783" s="66" t="str">
        <f>+IF(PROVEEDORES[[#This Row],[FECHA DE PAGO]]=PROVEEDORES[[#This Row],[FECHA DE FACTURACIÓN]],"DE CONTADO","CRÉDITO")</f>
        <v>CRÉDITO</v>
      </c>
      <c r="B1783" s="38" t="str">
        <f>+IF((PROVEEDORES[[#This Row],[FECHA DE PAGO]]-PROVEEDORES[[#This Row],[FECHA DE FACTURACIÓN]])&gt;PROVEEDORES[[#This Row],[PLAZO Días]],"PAGO VENCIDO")</f>
        <v>PAGO VENCIDO</v>
      </c>
      <c r="C1783" s="20">
        <f>+VLOOKUP(PROVEEDORES[[#This Row],[PROVEEDOR]],TERCEROS_INFO[#All],2,FALSE)</f>
        <v>30</v>
      </c>
      <c r="D1783" s="25">
        <f>+SUMIFS(PROVEEDORES[Total],PROVEEDORES[PROVEEDOR],PROVEEDORES[[#This Row],[PROVEEDOR]],PROVEEDORES[FECHA DE PAGO],"")</f>
        <v>0</v>
      </c>
      <c r="E1783" s="25"/>
      <c r="F178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783" s="161">
        <v>44485</v>
      </c>
      <c r="H1783" s="26" t="s">
        <v>24</v>
      </c>
      <c r="I1783" s="161">
        <v>44435</v>
      </c>
      <c r="J1783" s="35" t="s">
        <v>454</v>
      </c>
      <c r="K1783" s="21">
        <v>3096632</v>
      </c>
      <c r="L1783" s="21"/>
      <c r="M1783" s="22">
        <f>(PROVEEDORES[[#This Row],[SUBTOTAL]]-PROVEEDORES[[#This Row],[descuento sobre subtotal]])*VLOOKUP(PROVEEDORES[[#This Row],[PROVEEDOR]],TERCEROS_INFO[#All],3,FALSE)</f>
        <v>588360.07999999996</v>
      </c>
      <c r="N1783" s="23"/>
      <c r="O1783" s="22">
        <f>+PROVEEDORES[[#This Row],[Descuento sobre subtotal %]]*(PROVEEDORES[[#This Row],[SUBTOTAL]]-PROVEEDORES[[#This Row],[descuento sobre subtotal]])</f>
        <v>0</v>
      </c>
      <c r="P1783" s="83">
        <f>+IF(PROVEEDORES[[#This Row],[SUBTOTAL]]&lt;PROVEEDORES[[#This Row],[base retencion]],0,PROVEEDORES[[#This Row],[retención aplicada]])</f>
        <v>2.5000000000000001E-2</v>
      </c>
      <c r="Q1783" s="22">
        <f>+PROVEEDORES[[#This Row],[Rete Fuente %]]*(PROVEEDORES[[#This Row],[SUBTOTAL]]-PROVEEDORES[[#This Row],[descuento sobre subtotal]])</f>
        <v>77415.8</v>
      </c>
      <c r="R1783" s="21">
        <f>+PROVEEDORES[[#This Row],[SUBTOTAL]]+PROVEEDORES[[#This Row],[IVA 19%]]-PROVEEDORES[[#This Row],[descuento sobre subtotal]]-PROVEEDORES[[#This Row],[Descuento sobre subtotal $2]]-PROVEEDORES[[#This Row],[Rete Fuente $]]</f>
        <v>3607576.2800000003</v>
      </c>
      <c r="S17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3" s="68">
        <f ca="1">IF(PROVEEDORES[[#This Row],[FECHA DE PAGO]]=0,TODAY()-PROVEEDORES[[#This Row],[FECHA DE FACTURACIÓN]]-PROVEEDORES[[#This Row],[PLAZO Días]],0)</f>
        <v>0</v>
      </c>
      <c r="U1783" s="96" t="str">
        <f>+VLOOKUP(PROVEEDORES[[#This Row],[PROVEEDOR]],Terceros!$A:$D,4,FALSE)</f>
        <v>2,5% con base</v>
      </c>
      <c r="V1783" s="97">
        <f>+YEAR(PROVEEDORES[[#This Row],[FECHA DE FACTURACIÓN]])</f>
        <v>2021</v>
      </c>
      <c r="W1783" s="97">
        <f>+MATCH(PROVEEDORES[[#This Row],[año facturado]],Retenciones!$1:$1,0)</f>
        <v>4</v>
      </c>
      <c r="X1783" s="98">
        <f>+VLOOKUP(PROVEEDORES[[#This Row],[ID RETENCION]],Retenciones!$A$1:$O$25,PROVEEDORES[[#This Row],[indicador de columna]],FALSE)</f>
        <v>980000</v>
      </c>
      <c r="Y1783" s="99">
        <f>+VLOOKUP(PROVEEDORES[[#This Row],[ID RETENCION]],Retenciones!$A$1:$O$25,2,FALSE)</f>
        <v>2.5000000000000001E-2</v>
      </c>
      <c r="Z1783" s="125" t="b">
        <f>OR(COUNTIF(PROVEEDORES[[#This Row],[PROVEEDOR]],"*"&amp;'Palabra no opera'!$A$2&amp;"*"))</f>
        <v>0</v>
      </c>
    </row>
    <row r="1784" spans="1:26" ht="22.2" customHeight="1" x14ac:dyDescent="0.3">
      <c r="A1784" s="66" t="str">
        <f>+IF(PROVEEDORES[[#This Row],[FECHA DE PAGO]]=PROVEEDORES[[#This Row],[FECHA DE FACTURACIÓN]],"DE CONTADO","CRÉDITO")</f>
        <v>DE CONTADO</v>
      </c>
      <c r="B1784" s="38" t="b">
        <f>+IF((PROVEEDORES[[#This Row],[FECHA DE PAGO]]-PROVEEDORES[[#This Row],[FECHA DE FACTURACIÓN]])&gt;PROVEEDORES[[#This Row],[PLAZO Días]],"PAGO VENCIDO")</f>
        <v>0</v>
      </c>
      <c r="C1784" s="20">
        <f>+VLOOKUP(PROVEEDORES[[#This Row],[PROVEEDOR]],TERCEROS_INFO[#All],2,FALSE)</f>
        <v>30</v>
      </c>
      <c r="D1784" s="25">
        <f>+SUMIFS(PROVEEDORES[Total],PROVEEDORES[PROVEEDOR],PROVEEDORES[[#This Row],[PROVEEDOR]],PROVEEDORES[FECHA DE PAGO],"")</f>
        <v>0</v>
      </c>
      <c r="E1784" s="25"/>
      <c r="F1784" s="58" t="str">
        <f>+VLOOKUP(PROVEEDORES[[#This Row],[PROVEEDOR]],
                       Terceros!$A:$F,
                       5,
                       FALSE)</f>
        <v/>
      </c>
      <c r="G1784" s="161">
        <v>44651</v>
      </c>
      <c r="H1784" s="26" t="s">
        <v>644</v>
      </c>
      <c r="I1784" s="161">
        <v>44651</v>
      </c>
      <c r="J1784" s="35" t="s">
        <v>595</v>
      </c>
      <c r="K1784" s="21">
        <v>3637200</v>
      </c>
      <c r="L1784" s="21"/>
      <c r="M1784" s="22">
        <f>(PROVEEDORES[[#This Row],[SUBTOTAL]]-PROVEEDORES[[#This Row],[descuento sobre subtotal]])*VLOOKUP(PROVEEDORES[[#This Row],[PROVEEDOR]],TERCEROS_INFO[#All],3,FALSE)</f>
        <v>0</v>
      </c>
      <c r="N1784" s="23"/>
      <c r="O1784" s="22">
        <f>+PROVEEDORES[[#This Row],[Descuento sobre subtotal %]]*(PROVEEDORES[[#This Row],[SUBTOTAL]]-PROVEEDORES[[#This Row],[descuento sobre subtotal]])</f>
        <v>0</v>
      </c>
      <c r="P1784" s="83">
        <f>+IF(PROVEEDORES[[#This Row],[SUBTOTAL]]&lt;PROVEEDORES[[#This Row],[base retencion]],0,PROVEEDORES[[#This Row],[retención aplicada]])</f>
        <v>0</v>
      </c>
      <c r="Q1784" s="22">
        <f>+PROVEEDORES[[#This Row],[Rete Fuente %]]*(PROVEEDORES[[#This Row],[SUBTOTAL]]-PROVEEDORES[[#This Row],[descuento sobre subtotal]])</f>
        <v>0</v>
      </c>
      <c r="R1784" s="21">
        <v>3637200</v>
      </c>
      <c r="S17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4" s="68">
        <f ca="1">IF(PROVEEDORES[[#This Row],[FECHA DE PAGO]]=0,TODAY()-PROVEEDORES[[#This Row],[FECHA DE FACTURACIÓN]]-PROVEEDORES[[#This Row],[PLAZO Días]],0)</f>
        <v>0</v>
      </c>
      <c r="U1784" s="96">
        <f>+VLOOKUP(PROVEEDORES[[#This Row],[PROVEEDOR]],Terceros!$A:$D,4,FALSE)</f>
        <v>0</v>
      </c>
      <c r="V1784" s="97">
        <f>+YEAR(PROVEEDORES[[#This Row],[FECHA DE FACTURACIÓN]])</f>
        <v>2022</v>
      </c>
      <c r="W1784" s="97">
        <f>+MATCH(PROVEEDORES[[#This Row],[año facturado]],Retenciones!$1:$1,0)</f>
        <v>5</v>
      </c>
      <c r="X1784" s="98">
        <f>+VLOOKUP(PROVEEDORES[[#This Row],[ID RETENCION]],Retenciones!$A$1:$O$25,PROVEEDORES[[#This Row],[indicador de columna]],FALSE)</f>
        <v>0</v>
      </c>
      <c r="Y1784" s="99">
        <f>+VLOOKUP(PROVEEDORES[[#This Row],[ID RETENCION]],Retenciones!$A$1:$O$25,2,FALSE)</f>
        <v>0</v>
      </c>
      <c r="Z1784" s="125" t="b">
        <f>OR(COUNTIF(PROVEEDORES[[#This Row],[PROVEEDOR]],"*"&amp;'Palabra no opera'!$A$2&amp;"*"))</f>
        <v>0</v>
      </c>
    </row>
    <row r="1785" spans="1:26" ht="22.2" customHeight="1" x14ac:dyDescent="0.3">
      <c r="A1785" s="66" t="str">
        <f>+IF(PROVEEDORES[[#This Row],[FECHA DE PAGO]]=PROVEEDORES[[#This Row],[FECHA DE FACTURACIÓN]],"DE CONTADO","CRÉDITO")</f>
        <v>CRÉDITO</v>
      </c>
      <c r="B1785" s="38" t="b">
        <f>+IF((PROVEEDORES[[#This Row],[FECHA DE PAGO]]-PROVEEDORES[[#This Row],[FECHA DE FACTURACIÓN]])&gt;PROVEEDORES[[#This Row],[PLAZO Días]],"PAGO VENCIDO")</f>
        <v>0</v>
      </c>
      <c r="C1785" s="20">
        <f>+VLOOKUP(PROVEEDORES[[#This Row],[PROVEEDOR]],TERCEROS_INFO[#All],2,FALSE)</f>
        <v>30</v>
      </c>
      <c r="D1785" s="25">
        <f>+SUMIFS(PROVEEDORES[Total],PROVEEDORES[PROVEEDOR],PROVEEDORES[[#This Row],[PROVEEDOR]],PROVEEDORES[FECHA DE PAGO],"")</f>
        <v>0</v>
      </c>
      <c r="E1785" s="25"/>
      <c r="F178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5" s="161">
        <v>44250</v>
      </c>
      <c r="H1785" s="26" t="s">
        <v>913</v>
      </c>
      <c r="I1785" s="161">
        <v>44228</v>
      </c>
      <c r="J1785" s="35">
        <v>5070</v>
      </c>
      <c r="K1785" s="21">
        <v>3061166</v>
      </c>
      <c r="L1785" s="21"/>
      <c r="M1785" s="22">
        <f>(PROVEEDORES[[#This Row],[SUBTOTAL]]-PROVEEDORES[[#This Row],[descuento sobre subtotal]])*VLOOKUP(PROVEEDORES[[#This Row],[PROVEEDOR]],TERCEROS_INFO[#All],3,FALSE)</f>
        <v>581621.54</v>
      </c>
      <c r="N1785" s="23"/>
      <c r="O1785" s="22">
        <f>+PROVEEDORES[[#This Row],[Descuento sobre subtotal %]]*(PROVEEDORES[[#This Row],[SUBTOTAL]]-PROVEEDORES[[#This Row],[descuento sobre subtotal]])</f>
        <v>0</v>
      </c>
      <c r="P1785" s="83">
        <f>+IF(PROVEEDORES[[#This Row],[SUBTOTAL]]&lt;PROVEEDORES[[#This Row],[base retencion]],0,PROVEEDORES[[#This Row],[retención aplicada]])</f>
        <v>0</v>
      </c>
      <c r="Q1785" s="22">
        <f>+PROVEEDORES[[#This Row],[Rete Fuente %]]*(PROVEEDORES[[#This Row],[SUBTOTAL]]-PROVEEDORES[[#This Row],[descuento sobre subtotal]])</f>
        <v>0</v>
      </c>
      <c r="R1785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5" s="68">
        <f ca="1">IF(PROVEEDORES[[#This Row],[FECHA DE PAGO]]=0,TODAY()-PROVEEDORES[[#This Row],[FECHA DE FACTURACIÓN]]-PROVEEDORES[[#This Row],[PLAZO Días]],0)</f>
        <v>0</v>
      </c>
      <c r="U1785" s="96">
        <f>+VLOOKUP(PROVEEDORES[[#This Row],[PROVEEDOR]],Terceros!$A:$D,4,FALSE)</f>
        <v>0</v>
      </c>
      <c r="V1785" s="97">
        <f>+YEAR(PROVEEDORES[[#This Row],[FECHA DE FACTURACIÓN]])</f>
        <v>2021</v>
      </c>
      <c r="W1785" s="97">
        <f>+MATCH(PROVEEDORES[[#This Row],[año facturado]],Retenciones!$1:$1,0)</f>
        <v>4</v>
      </c>
      <c r="X1785" s="98">
        <f>+VLOOKUP(PROVEEDORES[[#This Row],[ID RETENCION]],Retenciones!$A$1:$O$25,PROVEEDORES[[#This Row],[indicador de columna]],FALSE)</f>
        <v>0</v>
      </c>
      <c r="Y1785" s="99">
        <f>+VLOOKUP(PROVEEDORES[[#This Row],[ID RETENCION]],Retenciones!$A$1:$O$25,2,FALSE)</f>
        <v>0</v>
      </c>
      <c r="Z1785" s="125" t="b">
        <f>OR(COUNTIF(PROVEEDORES[[#This Row],[PROVEEDOR]],"*"&amp;'Palabra no opera'!$A$2&amp;"*"))</f>
        <v>1</v>
      </c>
    </row>
    <row r="1786" spans="1:26" ht="22.2" customHeight="1" x14ac:dyDescent="0.3">
      <c r="A1786" s="66" t="str">
        <f>+IF(PROVEEDORES[[#This Row],[FECHA DE PAGO]]=PROVEEDORES[[#This Row],[FECHA DE FACTURACIÓN]],"DE CONTADO","CRÉDITO")</f>
        <v>CRÉDITO</v>
      </c>
      <c r="B1786" s="38" t="b">
        <f>+IF((PROVEEDORES[[#This Row],[FECHA DE PAGO]]-PROVEEDORES[[#This Row],[FECHA DE FACTURACIÓN]])&gt;PROVEEDORES[[#This Row],[PLAZO Días]],"PAGO VENCIDO")</f>
        <v>0</v>
      </c>
      <c r="C1786" s="20">
        <f>+VLOOKUP(PROVEEDORES[[#This Row],[PROVEEDOR]],TERCEROS_INFO[#All],2,FALSE)</f>
        <v>30</v>
      </c>
      <c r="D1786" s="25">
        <f>+SUMIFS(PROVEEDORES[Total],PROVEEDORES[PROVEEDOR],PROVEEDORES[[#This Row],[PROVEEDOR]],PROVEEDORES[FECHA DE PAGO],"")</f>
        <v>0</v>
      </c>
      <c r="E1786" s="25"/>
      <c r="F178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6" s="161">
        <v>44284</v>
      </c>
      <c r="H1786" s="26" t="s">
        <v>913</v>
      </c>
      <c r="I1786" s="161">
        <v>44256</v>
      </c>
      <c r="J1786" s="35">
        <v>486</v>
      </c>
      <c r="K1786" s="21">
        <v>3061166</v>
      </c>
      <c r="L1786" s="21"/>
      <c r="M1786" s="22">
        <f>(PROVEEDORES[[#This Row],[SUBTOTAL]]-PROVEEDORES[[#This Row],[descuento sobre subtotal]])*VLOOKUP(PROVEEDORES[[#This Row],[PROVEEDOR]],TERCEROS_INFO[#All],3,FALSE)</f>
        <v>581621.54</v>
      </c>
      <c r="N1786" s="23"/>
      <c r="O1786" s="22">
        <f>+PROVEEDORES[[#This Row],[Descuento sobre subtotal %]]*(PROVEEDORES[[#This Row],[SUBTOTAL]]-PROVEEDORES[[#This Row],[descuento sobre subtotal]])</f>
        <v>0</v>
      </c>
      <c r="P1786" s="83">
        <f>+IF(PROVEEDORES[[#This Row],[SUBTOTAL]]&lt;PROVEEDORES[[#This Row],[base retencion]],0,PROVEEDORES[[#This Row],[retención aplicada]])</f>
        <v>0</v>
      </c>
      <c r="Q1786" s="22">
        <f>+PROVEEDORES[[#This Row],[Rete Fuente %]]*(PROVEEDORES[[#This Row],[SUBTOTAL]]-PROVEEDORES[[#This Row],[descuento sobre subtotal]])</f>
        <v>0</v>
      </c>
      <c r="R1786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6" s="68">
        <f ca="1">IF(PROVEEDORES[[#This Row],[FECHA DE PAGO]]=0,TODAY()-PROVEEDORES[[#This Row],[FECHA DE FACTURACIÓN]]-PROVEEDORES[[#This Row],[PLAZO Días]],0)</f>
        <v>0</v>
      </c>
      <c r="U1786" s="96">
        <f>+VLOOKUP(PROVEEDORES[[#This Row],[PROVEEDOR]],Terceros!$A:$D,4,FALSE)</f>
        <v>0</v>
      </c>
      <c r="V1786" s="97">
        <f>+YEAR(PROVEEDORES[[#This Row],[FECHA DE FACTURACIÓN]])</f>
        <v>2021</v>
      </c>
      <c r="W1786" s="97">
        <f>+MATCH(PROVEEDORES[[#This Row],[año facturado]],Retenciones!$1:$1,0)</f>
        <v>4</v>
      </c>
      <c r="X1786" s="98">
        <f>+VLOOKUP(PROVEEDORES[[#This Row],[ID RETENCION]],Retenciones!$A$1:$O$25,PROVEEDORES[[#This Row],[indicador de columna]],FALSE)</f>
        <v>0</v>
      </c>
      <c r="Y1786" s="99">
        <f>+VLOOKUP(PROVEEDORES[[#This Row],[ID RETENCION]],Retenciones!$A$1:$O$25,2,FALSE)</f>
        <v>0</v>
      </c>
      <c r="Z1786" s="125" t="b">
        <f>OR(COUNTIF(PROVEEDORES[[#This Row],[PROVEEDOR]],"*"&amp;'Palabra no opera'!$A$2&amp;"*"))</f>
        <v>1</v>
      </c>
    </row>
    <row r="1787" spans="1:26" ht="22.2" customHeight="1" x14ac:dyDescent="0.3">
      <c r="A1787" s="66" t="str">
        <f>+IF(PROVEEDORES[[#This Row],[FECHA DE PAGO]]=PROVEEDORES[[#This Row],[FECHA DE FACTURACIÓN]],"DE CONTADO","CRÉDITO")</f>
        <v>CRÉDITO</v>
      </c>
      <c r="B1787" s="38" t="str">
        <f>+IF((PROVEEDORES[[#This Row],[FECHA DE PAGO]]-PROVEEDORES[[#This Row],[FECHA DE FACTURACIÓN]])&gt;PROVEEDORES[[#This Row],[PLAZO Días]],"PAGO VENCIDO")</f>
        <v>PAGO VENCIDO</v>
      </c>
      <c r="C1787" s="20">
        <f>+VLOOKUP(PROVEEDORES[[#This Row],[PROVEEDOR]],TERCEROS_INFO[#All],2,FALSE)</f>
        <v>30</v>
      </c>
      <c r="D1787" s="25">
        <f>+SUMIFS(PROVEEDORES[Total],PROVEEDORES[PROVEEDOR],PROVEEDORES[[#This Row],[PROVEEDOR]],PROVEEDORES[FECHA DE PAGO],"")</f>
        <v>0</v>
      </c>
      <c r="E1787" s="25"/>
      <c r="F178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7" s="161">
        <v>44341</v>
      </c>
      <c r="H1787" s="26" t="s">
        <v>913</v>
      </c>
      <c r="I1787" s="161">
        <v>44287</v>
      </c>
      <c r="J1787" s="35" t="s">
        <v>1199</v>
      </c>
      <c r="K1787" s="21">
        <v>3061166</v>
      </c>
      <c r="L1787" s="21"/>
      <c r="M1787" s="22">
        <f>(PROVEEDORES[[#This Row],[SUBTOTAL]]-PROVEEDORES[[#This Row],[descuento sobre subtotal]])*VLOOKUP(PROVEEDORES[[#This Row],[PROVEEDOR]],TERCEROS_INFO[#All],3,FALSE)</f>
        <v>581621.54</v>
      </c>
      <c r="N1787" s="23"/>
      <c r="O1787" s="22">
        <f>+PROVEEDORES[[#This Row],[Descuento sobre subtotal %]]*(PROVEEDORES[[#This Row],[SUBTOTAL]]-PROVEEDORES[[#This Row],[descuento sobre subtotal]])</f>
        <v>0</v>
      </c>
      <c r="P1787" s="83">
        <f>+IF(PROVEEDORES[[#This Row],[SUBTOTAL]]&lt;PROVEEDORES[[#This Row],[base retencion]],0,PROVEEDORES[[#This Row],[retención aplicada]])</f>
        <v>0</v>
      </c>
      <c r="Q1787" s="22">
        <f>+PROVEEDORES[[#This Row],[Rete Fuente %]]*(PROVEEDORES[[#This Row],[SUBTOTAL]]-PROVEEDORES[[#This Row],[descuento sobre subtotal]])</f>
        <v>0</v>
      </c>
      <c r="R1787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7" s="68">
        <f ca="1">IF(PROVEEDORES[[#This Row],[FECHA DE PAGO]]=0,TODAY()-PROVEEDORES[[#This Row],[FECHA DE FACTURACIÓN]]-PROVEEDORES[[#This Row],[PLAZO Días]],0)</f>
        <v>0</v>
      </c>
      <c r="U1787" s="96">
        <f>+VLOOKUP(PROVEEDORES[[#This Row],[PROVEEDOR]],Terceros!$A:$D,4,FALSE)</f>
        <v>0</v>
      </c>
      <c r="V1787" s="97">
        <f>+YEAR(PROVEEDORES[[#This Row],[FECHA DE FACTURACIÓN]])</f>
        <v>2021</v>
      </c>
      <c r="W1787" s="97">
        <f>+MATCH(PROVEEDORES[[#This Row],[año facturado]],Retenciones!$1:$1,0)</f>
        <v>4</v>
      </c>
      <c r="X1787" s="98">
        <f>+VLOOKUP(PROVEEDORES[[#This Row],[ID RETENCION]],Retenciones!$A$1:$O$25,PROVEEDORES[[#This Row],[indicador de columna]],FALSE)</f>
        <v>0</v>
      </c>
      <c r="Y1787" s="99">
        <f>+VLOOKUP(PROVEEDORES[[#This Row],[ID RETENCION]],Retenciones!$A$1:$O$25,2,FALSE)</f>
        <v>0</v>
      </c>
      <c r="Z1787" s="125" t="b">
        <f>OR(COUNTIF(PROVEEDORES[[#This Row],[PROVEEDOR]],"*"&amp;'Palabra no opera'!$A$2&amp;"*"))</f>
        <v>1</v>
      </c>
    </row>
    <row r="1788" spans="1:26" ht="22.2" customHeight="1" x14ac:dyDescent="0.3">
      <c r="A1788" s="66" t="str">
        <f>+IF(PROVEEDORES[[#This Row],[FECHA DE PAGO]]=PROVEEDORES[[#This Row],[FECHA DE FACTURACIÓN]],"DE CONTADO","CRÉDITO")</f>
        <v>CRÉDITO</v>
      </c>
      <c r="B1788" s="38" t="b">
        <f>+IF((PROVEEDORES[[#This Row],[FECHA DE PAGO]]-PROVEEDORES[[#This Row],[FECHA DE FACTURACIÓN]])&gt;PROVEEDORES[[#This Row],[PLAZO Días]],"PAGO VENCIDO")</f>
        <v>0</v>
      </c>
      <c r="C1788" s="20">
        <f>+VLOOKUP(PROVEEDORES[[#This Row],[PROVEEDOR]],TERCEROS_INFO[#All],2,FALSE)</f>
        <v>30</v>
      </c>
      <c r="D1788" s="25">
        <f>+SUMIFS(PROVEEDORES[Total],PROVEEDORES[PROVEEDOR],PROVEEDORES[[#This Row],[PROVEEDOR]],PROVEEDORES[FECHA DE PAGO],"")</f>
        <v>0</v>
      </c>
      <c r="E1788" s="25"/>
      <c r="F178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8" s="161">
        <v>44369</v>
      </c>
      <c r="H1788" s="26" t="s">
        <v>913</v>
      </c>
      <c r="I1788" s="161">
        <v>44348</v>
      </c>
      <c r="J1788" s="35" t="s">
        <v>1241</v>
      </c>
      <c r="K1788" s="21">
        <v>3061166</v>
      </c>
      <c r="L1788" s="21"/>
      <c r="M1788" s="22">
        <f>(PROVEEDORES[[#This Row],[SUBTOTAL]]-PROVEEDORES[[#This Row],[descuento sobre subtotal]])*VLOOKUP(PROVEEDORES[[#This Row],[PROVEEDOR]],TERCEROS_INFO[#All],3,FALSE)</f>
        <v>581621.54</v>
      </c>
      <c r="N1788" s="23"/>
      <c r="O1788" s="22">
        <f>+PROVEEDORES[[#This Row],[Descuento sobre subtotal %]]*(PROVEEDORES[[#This Row],[SUBTOTAL]]-PROVEEDORES[[#This Row],[descuento sobre subtotal]])</f>
        <v>0</v>
      </c>
      <c r="P1788" s="83">
        <f>+IF(PROVEEDORES[[#This Row],[SUBTOTAL]]&lt;PROVEEDORES[[#This Row],[base retencion]],0,PROVEEDORES[[#This Row],[retención aplicada]])</f>
        <v>0</v>
      </c>
      <c r="Q1788" s="22">
        <f>+PROVEEDORES[[#This Row],[Rete Fuente %]]*(PROVEEDORES[[#This Row],[SUBTOTAL]]-PROVEEDORES[[#This Row],[descuento sobre subtotal]])</f>
        <v>0</v>
      </c>
      <c r="R1788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8" s="68">
        <f ca="1">IF(PROVEEDORES[[#This Row],[FECHA DE PAGO]]=0,TODAY()-PROVEEDORES[[#This Row],[FECHA DE FACTURACIÓN]]-PROVEEDORES[[#This Row],[PLAZO Días]],0)</f>
        <v>0</v>
      </c>
      <c r="U1788" s="96">
        <f>+VLOOKUP(PROVEEDORES[[#This Row],[PROVEEDOR]],Terceros!$A:$D,4,FALSE)</f>
        <v>0</v>
      </c>
      <c r="V1788" s="97">
        <f>+YEAR(PROVEEDORES[[#This Row],[FECHA DE FACTURACIÓN]])</f>
        <v>2021</v>
      </c>
      <c r="W1788" s="97">
        <f>+MATCH(PROVEEDORES[[#This Row],[año facturado]],Retenciones!$1:$1,0)</f>
        <v>4</v>
      </c>
      <c r="X1788" s="98">
        <f>+VLOOKUP(PROVEEDORES[[#This Row],[ID RETENCION]],Retenciones!$A$1:$O$25,PROVEEDORES[[#This Row],[indicador de columna]],FALSE)</f>
        <v>0</v>
      </c>
      <c r="Y1788" s="99">
        <f>+VLOOKUP(PROVEEDORES[[#This Row],[ID RETENCION]],Retenciones!$A$1:$O$25,2,FALSE)</f>
        <v>0</v>
      </c>
      <c r="Z1788" s="125" t="b">
        <f>OR(COUNTIF(PROVEEDORES[[#This Row],[PROVEEDOR]],"*"&amp;'Palabra no opera'!$A$2&amp;"*"))</f>
        <v>1</v>
      </c>
    </row>
    <row r="1789" spans="1:26" ht="22.2" customHeight="1" x14ac:dyDescent="0.3">
      <c r="A1789" s="66" t="str">
        <f>+IF(PROVEEDORES[[#This Row],[FECHA DE PAGO]]=PROVEEDORES[[#This Row],[FECHA DE FACTURACIÓN]],"DE CONTADO","CRÉDITO")</f>
        <v>CRÉDITO</v>
      </c>
      <c r="B1789" s="38" t="b">
        <f>+IF((PROVEEDORES[[#This Row],[FECHA DE PAGO]]-PROVEEDORES[[#This Row],[FECHA DE FACTURACIÓN]])&gt;PROVEEDORES[[#This Row],[PLAZO Días]],"PAGO VENCIDO")</f>
        <v>0</v>
      </c>
      <c r="C1789" s="20">
        <f>+VLOOKUP(PROVEEDORES[[#This Row],[PROVEEDOR]],TERCEROS_INFO[#All],2,FALSE)</f>
        <v>30</v>
      </c>
      <c r="D1789" s="25">
        <f>+SUMIFS(PROVEEDORES[Total],PROVEEDORES[PROVEEDOR],PROVEEDORES[[#This Row],[PROVEEDOR]],PROVEEDORES[FECHA DE PAGO],"")</f>
        <v>0</v>
      </c>
      <c r="E1789" s="25"/>
      <c r="F178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9" s="161">
        <v>44396</v>
      </c>
      <c r="H1789" s="26" t="s">
        <v>913</v>
      </c>
      <c r="I1789" s="161">
        <v>44378</v>
      </c>
      <c r="J1789" s="35" t="s">
        <v>1261</v>
      </c>
      <c r="K1789" s="21">
        <v>3061166</v>
      </c>
      <c r="L1789" s="21"/>
      <c r="M1789" s="22">
        <f>(PROVEEDORES[[#This Row],[SUBTOTAL]]-PROVEEDORES[[#This Row],[descuento sobre subtotal]])*VLOOKUP(PROVEEDORES[[#This Row],[PROVEEDOR]],TERCEROS_INFO[#All],3,FALSE)</f>
        <v>581621.54</v>
      </c>
      <c r="N1789" s="23"/>
      <c r="O1789" s="22">
        <f>+PROVEEDORES[[#This Row],[Descuento sobre subtotal %]]*(PROVEEDORES[[#This Row],[SUBTOTAL]]-PROVEEDORES[[#This Row],[descuento sobre subtotal]])</f>
        <v>0</v>
      </c>
      <c r="P1789" s="83">
        <f>+IF(PROVEEDORES[[#This Row],[SUBTOTAL]]&lt;PROVEEDORES[[#This Row],[base retencion]],0,PROVEEDORES[[#This Row],[retención aplicada]])</f>
        <v>0</v>
      </c>
      <c r="Q1789" s="22">
        <f>+PROVEEDORES[[#This Row],[Rete Fuente %]]*(PROVEEDORES[[#This Row],[SUBTOTAL]]-PROVEEDORES[[#This Row],[descuento sobre subtotal]])</f>
        <v>0</v>
      </c>
      <c r="R1789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9" s="68">
        <f ca="1">IF(PROVEEDORES[[#This Row],[FECHA DE PAGO]]=0,TODAY()-PROVEEDORES[[#This Row],[FECHA DE FACTURACIÓN]]-PROVEEDORES[[#This Row],[PLAZO Días]],0)</f>
        <v>0</v>
      </c>
      <c r="U1789" s="96">
        <f>+VLOOKUP(PROVEEDORES[[#This Row],[PROVEEDOR]],Terceros!$A:$D,4,FALSE)</f>
        <v>0</v>
      </c>
      <c r="V1789" s="97">
        <f>+YEAR(PROVEEDORES[[#This Row],[FECHA DE FACTURACIÓN]])</f>
        <v>2021</v>
      </c>
      <c r="W1789" s="97">
        <f>+MATCH(PROVEEDORES[[#This Row],[año facturado]],Retenciones!$1:$1,0)</f>
        <v>4</v>
      </c>
      <c r="X1789" s="98">
        <f>+VLOOKUP(PROVEEDORES[[#This Row],[ID RETENCION]],Retenciones!$A$1:$O$25,PROVEEDORES[[#This Row],[indicador de columna]],FALSE)</f>
        <v>0</v>
      </c>
      <c r="Y1789" s="99">
        <f>+VLOOKUP(PROVEEDORES[[#This Row],[ID RETENCION]],Retenciones!$A$1:$O$25,2,FALSE)</f>
        <v>0</v>
      </c>
      <c r="Z1789" s="125" t="b">
        <f>OR(COUNTIF(PROVEEDORES[[#This Row],[PROVEEDOR]],"*"&amp;'Palabra no opera'!$A$2&amp;"*"))</f>
        <v>1</v>
      </c>
    </row>
    <row r="1790" spans="1:26" ht="22.2" customHeight="1" x14ac:dyDescent="0.3">
      <c r="A1790" s="66" t="str">
        <f>+IF(PROVEEDORES[[#This Row],[FECHA DE PAGO]]=PROVEEDORES[[#This Row],[FECHA DE FACTURACIÓN]],"DE CONTADO","CRÉDITO")</f>
        <v>CRÉDITO</v>
      </c>
      <c r="B1790" s="38" t="b">
        <f>+IF((PROVEEDORES[[#This Row],[FECHA DE PAGO]]-PROVEEDORES[[#This Row],[FECHA DE FACTURACIÓN]])&gt;PROVEEDORES[[#This Row],[PLAZO Días]],"PAGO VENCIDO")</f>
        <v>0</v>
      </c>
      <c r="C1790" s="20">
        <f>+VLOOKUP(PROVEEDORES[[#This Row],[PROVEEDOR]],TERCEROS_INFO[#All],2,FALSE)</f>
        <v>30</v>
      </c>
      <c r="D1790" s="25">
        <f>+SUMIFS(PROVEEDORES[Total],PROVEEDORES[PROVEEDOR],PROVEEDORES[[#This Row],[PROVEEDOR]],PROVEEDORES[FECHA DE PAGO],"")</f>
        <v>0</v>
      </c>
      <c r="E1790" s="25"/>
      <c r="F179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0" s="161">
        <v>44432</v>
      </c>
      <c r="H1790" s="26" t="s">
        <v>913</v>
      </c>
      <c r="I1790" s="161">
        <v>44409</v>
      </c>
      <c r="J1790" s="35" t="s">
        <v>1275</v>
      </c>
      <c r="K1790" s="21">
        <v>3061166</v>
      </c>
      <c r="L1790" s="21"/>
      <c r="M1790" s="22">
        <f>(PROVEEDORES[[#This Row],[SUBTOTAL]]-PROVEEDORES[[#This Row],[descuento sobre subtotal]])*VLOOKUP(PROVEEDORES[[#This Row],[PROVEEDOR]],TERCEROS_INFO[#All],3,FALSE)</f>
        <v>581621.54</v>
      </c>
      <c r="N1790" s="23"/>
      <c r="O1790" s="22">
        <f>+PROVEEDORES[[#This Row],[Descuento sobre subtotal %]]*(PROVEEDORES[[#This Row],[SUBTOTAL]]-PROVEEDORES[[#This Row],[descuento sobre subtotal]])</f>
        <v>0</v>
      </c>
      <c r="P1790" s="83">
        <f>+IF(PROVEEDORES[[#This Row],[SUBTOTAL]]&lt;PROVEEDORES[[#This Row],[base retencion]],0,PROVEEDORES[[#This Row],[retención aplicada]])</f>
        <v>0</v>
      </c>
      <c r="Q1790" s="22">
        <f>+PROVEEDORES[[#This Row],[Rete Fuente %]]*(PROVEEDORES[[#This Row],[SUBTOTAL]]-PROVEEDORES[[#This Row],[descuento sobre subtotal]])</f>
        <v>0</v>
      </c>
      <c r="R1790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0" s="68">
        <f ca="1">IF(PROVEEDORES[[#This Row],[FECHA DE PAGO]]=0,TODAY()-PROVEEDORES[[#This Row],[FECHA DE FACTURACIÓN]]-PROVEEDORES[[#This Row],[PLAZO Días]],0)</f>
        <v>0</v>
      </c>
      <c r="U1790" s="96">
        <f>+VLOOKUP(PROVEEDORES[[#This Row],[PROVEEDOR]],Terceros!$A:$D,4,FALSE)</f>
        <v>0</v>
      </c>
      <c r="V1790" s="97">
        <f>+YEAR(PROVEEDORES[[#This Row],[FECHA DE FACTURACIÓN]])</f>
        <v>2021</v>
      </c>
      <c r="W1790" s="97">
        <f>+MATCH(PROVEEDORES[[#This Row],[año facturado]],Retenciones!$1:$1,0)</f>
        <v>4</v>
      </c>
      <c r="X1790" s="98">
        <f>+VLOOKUP(PROVEEDORES[[#This Row],[ID RETENCION]],Retenciones!$A$1:$O$25,PROVEEDORES[[#This Row],[indicador de columna]],FALSE)</f>
        <v>0</v>
      </c>
      <c r="Y1790" s="99">
        <f>+VLOOKUP(PROVEEDORES[[#This Row],[ID RETENCION]],Retenciones!$A$1:$O$25,2,FALSE)</f>
        <v>0</v>
      </c>
      <c r="Z1790" s="125" t="b">
        <f>OR(COUNTIF(PROVEEDORES[[#This Row],[PROVEEDOR]],"*"&amp;'Palabra no opera'!$A$2&amp;"*"))</f>
        <v>1</v>
      </c>
    </row>
    <row r="1791" spans="1:26" ht="22.2" customHeight="1" x14ac:dyDescent="0.3">
      <c r="A1791" s="66" t="str">
        <f>+IF(PROVEEDORES[[#This Row],[FECHA DE PAGO]]=PROVEEDORES[[#This Row],[FECHA DE FACTURACIÓN]],"DE CONTADO","CRÉDITO")</f>
        <v>CRÉDITO</v>
      </c>
      <c r="B1791" s="38" t="str">
        <f>+IF((PROVEEDORES[[#This Row],[FECHA DE PAGO]]-PROVEEDORES[[#This Row],[FECHA DE FACTURACIÓN]])&gt;PROVEEDORES[[#This Row],[PLAZO Días]],"PAGO VENCIDO")</f>
        <v>PAGO VENCIDO</v>
      </c>
      <c r="C1791" s="20">
        <f>+VLOOKUP(PROVEEDORES[[#This Row],[PROVEEDOR]],TERCEROS_INFO[#All],2,FALSE)</f>
        <v>30</v>
      </c>
      <c r="D1791" s="25">
        <f>+SUMIFS(PROVEEDORES[Total],PROVEEDORES[PROVEEDOR],PROVEEDORES[[#This Row],[PROVEEDOR]],PROVEEDORES[FECHA DE PAGO],"")</f>
        <v>0</v>
      </c>
      <c r="E1791" s="25"/>
      <c r="F179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1" s="161">
        <v>44461</v>
      </c>
      <c r="H1791" s="26" t="s">
        <v>913</v>
      </c>
      <c r="I1791" s="161">
        <v>44317</v>
      </c>
      <c r="J1791" s="35" t="s">
        <v>1215</v>
      </c>
      <c r="K1791" s="21">
        <v>3061166</v>
      </c>
      <c r="L1791" s="21"/>
      <c r="M1791" s="22">
        <f>(PROVEEDORES[[#This Row],[SUBTOTAL]]-PROVEEDORES[[#This Row],[descuento sobre subtotal]])*VLOOKUP(PROVEEDORES[[#This Row],[PROVEEDOR]],TERCEROS_INFO[#All],3,FALSE)</f>
        <v>581621.54</v>
      </c>
      <c r="N1791" s="23"/>
      <c r="O1791" s="22">
        <f>+PROVEEDORES[[#This Row],[Descuento sobre subtotal %]]*(PROVEEDORES[[#This Row],[SUBTOTAL]]-PROVEEDORES[[#This Row],[descuento sobre subtotal]])</f>
        <v>0</v>
      </c>
      <c r="P1791" s="83">
        <f>+IF(PROVEEDORES[[#This Row],[SUBTOTAL]]&lt;PROVEEDORES[[#This Row],[base retencion]],0,PROVEEDORES[[#This Row],[retención aplicada]])</f>
        <v>0</v>
      </c>
      <c r="Q1791" s="22">
        <f>+PROVEEDORES[[#This Row],[Rete Fuente %]]*(PROVEEDORES[[#This Row],[SUBTOTAL]]-PROVEEDORES[[#This Row],[descuento sobre subtotal]])</f>
        <v>0</v>
      </c>
      <c r="R1791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1" s="68">
        <f ca="1">IF(PROVEEDORES[[#This Row],[FECHA DE PAGO]]=0,TODAY()-PROVEEDORES[[#This Row],[FECHA DE FACTURACIÓN]]-PROVEEDORES[[#This Row],[PLAZO Días]],0)</f>
        <v>0</v>
      </c>
      <c r="U1791" s="96">
        <f>+VLOOKUP(PROVEEDORES[[#This Row],[PROVEEDOR]],Terceros!$A:$D,4,FALSE)</f>
        <v>0</v>
      </c>
      <c r="V1791" s="97">
        <f>+YEAR(PROVEEDORES[[#This Row],[FECHA DE FACTURACIÓN]])</f>
        <v>2021</v>
      </c>
      <c r="W1791" s="97">
        <f>+MATCH(PROVEEDORES[[#This Row],[año facturado]],Retenciones!$1:$1,0)</f>
        <v>4</v>
      </c>
      <c r="X1791" s="98">
        <f>+VLOOKUP(PROVEEDORES[[#This Row],[ID RETENCION]],Retenciones!$A$1:$O$25,PROVEEDORES[[#This Row],[indicador de columna]],FALSE)</f>
        <v>0</v>
      </c>
      <c r="Y1791" s="99">
        <f>+VLOOKUP(PROVEEDORES[[#This Row],[ID RETENCION]],Retenciones!$A$1:$O$25,2,FALSE)</f>
        <v>0</v>
      </c>
      <c r="Z1791" s="125" t="b">
        <f>OR(COUNTIF(PROVEEDORES[[#This Row],[PROVEEDOR]],"*"&amp;'Palabra no opera'!$A$2&amp;"*"))</f>
        <v>1</v>
      </c>
    </row>
    <row r="1792" spans="1:26" ht="22.2" customHeight="1" x14ac:dyDescent="0.3">
      <c r="A1792" s="66" t="str">
        <f>+IF(PROVEEDORES[[#This Row],[FECHA DE PAGO]]=PROVEEDORES[[#This Row],[FECHA DE FACTURACIÓN]],"DE CONTADO","CRÉDITO")</f>
        <v>CRÉDITO</v>
      </c>
      <c r="B1792" s="38" t="b">
        <f>+IF((PROVEEDORES[[#This Row],[FECHA DE PAGO]]-PROVEEDORES[[#This Row],[FECHA DE FACTURACIÓN]])&gt;PROVEEDORES[[#This Row],[PLAZO Días]],"PAGO VENCIDO")</f>
        <v>0</v>
      </c>
      <c r="C1792" s="20">
        <f>+VLOOKUP(PROVEEDORES[[#This Row],[PROVEEDOR]],TERCEROS_INFO[#All],2,FALSE)</f>
        <v>30</v>
      </c>
      <c r="D1792" s="25">
        <f>+SUMIFS(PROVEEDORES[Total],PROVEEDORES[PROVEEDOR],PROVEEDORES[[#This Row],[PROVEEDOR]],PROVEEDORES[FECHA DE PAGO],"")</f>
        <v>0</v>
      </c>
      <c r="E1792" s="25"/>
      <c r="F179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2" s="161">
        <v>44461</v>
      </c>
      <c r="H1792" s="26" t="s">
        <v>913</v>
      </c>
      <c r="I1792" s="161">
        <v>44440</v>
      </c>
      <c r="J1792" s="35" t="s">
        <v>1299</v>
      </c>
      <c r="K1792" s="21">
        <v>3061166</v>
      </c>
      <c r="L1792" s="21"/>
      <c r="M1792" s="22">
        <f>(PROVEEDORES[[#This Row],[SUBTOTAL]]-PROVEEDORES[[#This Row],[descuento sobre subtotal]])*VLOOKUP(PROVEEDORES[[#This Row],[PROVEEDOR]],TERCEROS_INFO[#All],3,FALSE)</f>
        <v>581621.54</v>
      </c>
      <c r="N1792" s="23"/>
      <c r="O1792" s="22">
        <f>+PROVEEDORES[[#This Row],[Descuento sobre subtotal %]]*(PROVEEDORES[[#This Row],[SUBTOTAL]]-PROVEEDORES[[#This Row],[descuento sobre subtotal]])</f>
        <v>0</v>
      </c>
      <c r="P1792" s="83">
        <f>+IF(PROVEEDORES[[#This Row],[SUBTOTAL]]&lt;PROVEEDORES[[#This Row],[base retencion]],0,PROVEEDORES[[#This Row],[retención aplicada]])</f>
        <v>0</v>
      </c>
      <c r="Q1792" s="22">
        <f>+PROVEEDORES[[#This Row],[Rete Fuente %]]*(PROVEEDORES[[#This Row],[SUBTOTAL]]-PROVEEDORES[[#This Row],[descuento sobre subtotal]])</f>
        <v>0</v>
      </c>
      <c r="R1792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2" s="68">
        <f ca="1">IF(PROVEEDORES[[#This Row],[FECHA DE PAGO]]=0,TODAY()-PROVEEDORES[[#This Row],[FECHA DE FACTURACIÓN]]-PROVEEDORES[[#This Row],[PLAZO Días]],0)</f>
        <v>0</v>
      </c>
      <c r="U1792" s="96">
        <f>+VLOOKUP(PROVEEDORES[[#This Row],[PROVEEDOR]],Terceros!$A:$D,4,FALSE)</f>
        <v>0</v>
      </c>
      <c r="V1792" s="97">
        <f>+YEAR(PROVEEDORES[[#This Row],[FECHA DE FACTURACIÓN]])</f>
        <v>2021</v>
      </c>
      <c r="W1792" s="97">
        <f>+MATCH(PROVEEDORES[[#This Row],[año facturado]],Retenciones!$1:$1,0)</f>
        <v>4</v>
      </c>
      <c r="X1792" s="98">
        <f>+VLOOKUP(PROVEEDORES[[#This Row],[ID RETENCION]],Retenciones!$A$1:$O$25,PROVEEDORES[[#This Row],[indicador de columna]],FALSE)</f>
        <v>0</v>
      </c>
      <c r="Y1792" s="99">
        <f>+VLOOKUP(PROVEEDORES[[#This Row],[ID RETENCION]],Retenciones!$A$1:$O$25,2,FALSE)</f>
        <v>0</v>
      </c>
      <c r="Z1792" s="125" t="b">
        <f>OR(COUNTIF(PROVEEDORES[[#This Row],[PROVEEDOR]],"*"&amp;'Palabra no opera'!$A$2&amp;"*"))</f>
        <v>1</v>
      </c>
    </row>
    <row r="1793" spans="1:26" ht="22.2" customHeight="1" x14ac:dyDescent="0.3">
      <c r="A1793" s="66" t="str">
        <f>+IF(PROVEEDORES[[#This Row],[FECHA DE PAGO]]=PROVEEDORES[[#This Row],[FECHA DE FACTURACIÓN]],"DE CONTADO","CRÉDITO")</f>
        <v>CRÉDITO</v>
      </c>
      <c r="B1793" s="38" t="b">
        <f>+IF((PROVEEDORES[[#This Row],[FECHA DE PAGO]]-PROVEEDORES[[#This Row],[FECHA DE FACTURACIÓN]])&gt;PROVEEDORES[[#This Row],[PLAZO Días]],"PAGO VENCIDO")</f>
        <v>0</v>
      </c>
      <c r="C1793" s="20">
        <f>+VLOOKUP(PROVEEDORES[[#This Row],[PROVEEDOR]],TERCEROS_INFO[#All],2,FALSE)</f>
        <v>30</v>
      </c>
      <c r="D1793" s="25">
        <f>+SUMIFS(PROVEEDORES[Total],PROVEEDORES[PROVEEDOR],PROVEEDORES[[#This Row],[PROVEEDOR]],PROVEEDORES[FECHA DE PAGO],"")</f>
        <v>0</v>
      </c>
      <c r="E1793" s="25"/>
      <c r="F179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3" s="161">
        <v>44496</v>
      </c>
      <c r="H1793" s="26" t="s">
        <v>913</v>
      </c>
      <c r="I1793" s="161">
        <v>44470</v>
      </c>
      <c r="J1793" s="35" t="s">
        <v>1318</v>
      </c>
      <c r="K1793" s="21">
        <v>3061166</v>
      </c>
      <c r="L1793" s="21"/>
      <c r="M1793" s="22">
        <f>(PROVEEDORES[[#This Row],[SUBTOTAL]]-PROVEEDORES[[#This Row],[descuento sobre subtotal]])*VLOOKUP(PROVEEDORES[[#This Row],[PROVEEDOR]],TERCEROS_INFO[#All],3,FALSE)</f>
        <v>581621.54</v>
      </c>
      <c r="N1793" s="23"/>
      <c r="O1793" s="22">
        <f>+PROVEEDORES[[#This Row],[Descuento sobre subtotal %]]*(PROVEEDORES[[#This Row],[SUBTOTAL]]-PROVEEDORES[[#This Row],[descuento sobre subtotal]])</f>
        <v>0</v>
      </c>
      <c r="P1793" s="83">
        <f>+IF(PROVEEDORES[[#This Row],[SUBTOTAL]]&lt;PROVEEDORES[[#This Row],[base retencion]],0,PROVEEDORES[[#This Row],[retención aplicada]])</f>
        <v>0</v>
      </c>
      <c r="Q1793" s="22">
        <f>+PROVEEDORES[[#This Row],[Rete Fuente %]]*(PROVEEDORES[[#This Row],[SUBTOTAL]]-PROVEEDORES[[#This Row],[descuento sobre subtotal]])</f>
        <v>0</v>
      </c>
      <c r="R1793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3" s="68">
        <f ca="1">IF(PROVEEDORES[[#This Row],[FECHA DE PAGO]]=0,TODAY()-PROVEEDORES[[#This Row],[FECHA DE FACTURACIÓN]]-PROVEEDORES[[#This Row],[PLAZO Días]],0)</f>
        <v>0</v>
      </c>
      <c r="U1793" s="96">
        <f>+VLOOKUP(PROVEEDORES[[#This Row],[PROVEEDOR]],Terceros!$A:$D,4,FALSE)</f>
        <v>0</v>
      </c>
      <c r="V1793" s="97">
        <f>+YEAR(PROVEEDORES[[#This Row],[FECHA DE FACTURACIÓN]])</f>
        <v>2021</v>
      </c>
      <c r="W1793" s="97">
        <f>+MATCH(PROVEEDORES[[#This Row],[año facturado]],Retenciones!$1:$1,0)</f>
        <v>4</v>
      </c>
      <c r="X1793" s="98">
        <f>+VLOOKUP(PROVEEDORES[[#This Row],[ID RETENCION]],Retenciones!$A$1:$O$25,PROVEEDORES[[#This Row],[indicador de columna]],FALSE)</f>
        <v>0</v>
      </c>
      <c r="Y1793" s="99">
        <f>+VLOOKUP(PROVEEDORES[[#This Row],[ID RETENCION]],Retenciones!$A$1:$O$25,2,FALSE)</f>
        <v>0</v>
      </c>
      <c r="Z1793" s="125" t="b">
        <f>OR(COUNTIF(PROVEEDORES[[#This Row],[PROVEEDOR]],"*"&amp;'Palabra no opera'!$A$2&amp;"*"))</f>
        <v>1</v>
      </c>
    </row>
    <row r="1794" spans="1:26" ht="22.2" customHeight="1" x14ac:dyDescent="0.3">
      <c r="A1794" s="66" t="str">
        <f>+IF(PROVEEDORES[[#This Row],[FECHA DE PAGO]]=PROVEEDORES[[#This Row],[FECHA DE FACTURACIÓN]],"DE CONTADO","CRÉDITO")</f>
        <v>CRÉDITO</v>
      </c>
      <c r="B1794" s="38" t="b">
        <f>+IF((PROVEEDORES[[#This Row],[FECHA DE PAGO]]-PROVEEDORES[[#This Row],[FECHA DE FACTURACIÓN]])&gt;PROVEEDORES[[#This Row],[PLAZO Días]],"PAGO VENCIDO")</f>
        <v>0</v>
      </c>
      <c r="C1794" s="20">
        <f>+VLOOKUP(PROVEEDORES[[#This Row],[PROVEEDOR]],TERCEROS_INFO[#All],2,FALSE)</f>
        <v>30</v>
      </c>
      <c r="D1794" s="25">
        <f>+SUMIFS(PROVEEDORES[Total],PROVEEDORES[PROVEEDOR],PROVEEDORES[[#This Row],[PROVEEDOR]],PROVEEDORES[FECHA DE PAGO],"")</f>
        <v>0</v>
      </c>
      <c r="E1794" s="25"/>
      <c r="F179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4" s="161">
        <v>44527</v>
      </c>
      <c r="H1794" s="26" t="s">
        <v>913</v>
      </c>
      <c r="I1794" s="161">
        <v>44501</v>
      </c>
      <c r="J1794" s="35" t="s">
        <v>1340</v>
      </c>
      <c r="K1794" s="21">
        <v>3061166</v>
      </c>
      <c r="L1794" s="21"/>
      <c r="M1794" s="22">
        <f>(PROVEEDORES[[#This Row],[SUBTOTAL]]-PROVEEDORES[[#This Row],[descuento sobre subtotal]])*VLOOKUP(PROVEEDORES[[#This Row],[PROVEEDOR]],TERCEROS_INFO[#All],3,FALSE)</f>
        <v>581621.54</v>
      </c>
      <c r="N1794" s="23"/>
      <c r="O1794" s="22">
        <f>+PROVEEDORES[[#This Row],[Descuento sobre subtotal %]]*(PROVEEDORES[[#This Row],[SUBTOTAL]]-PROVEEDORES[[#This Row],[descuento sobre subtotal]])</f>
        <v>0</v>
      </c>
      <c r="P1794" s="83">
        <f>+IF(PROVEEDORES[[#This Row],[SUBTOTAL]]&lt;PROVEEDORES[[#This Row],[base retencion]],0,PROVEEDORES[[#This Row],[retención aplicada]])</f>
        <v>0</v>
      </c>
      <c r="Q1794" s="22">
        <f>+PROVEEDORES[[#This Row],[Rete Fuente %]]*(PROVEEDORES[[#This Row],[SUBTOTAL]]-PROVEEDORES[[#This Row],[descuento sobre subtotal]])</f>
        <v>0</v>
      </c>
      <c r="R1794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4" s="68">
        <f ca="1">IF(PROVEEDORES[[#This Row],[FECHA DE PAGO]]=0,TODAY()-PROVEEDORES[[#This Row],[FECHA DE FACTURACIÓN]]-PROVEEDORES[[#This Row],[PLAZO Días]],0)</f>
        <v>0</v>
      </c>
      <c r="U1794" s="96">
        <f>+VLOOKUP(PROVEEDORES[[#This Row],[PROVEEDOR]],Terceros!$A:$D,4,FALSE)</f>
        <v>0</v>
      </c>
      <c r="V1794" s="97">
        <f>+YEAR(PROVEEDORES[[#This Row],[FECHA DE FACTURACIÓN]])</f>
        <v>2021</v>
      </c>
      <c r="W1794" s="97">
        <f>+MATCH(PROVEEDORES[[#This Row],[año facturado]],Retenciones!$1:$1,0)</f>
        <v>4</v>
      </c>
      <c r="X1794" s="98">
        <f>+VLOOKUP(PROVEEDORES[[#This Row],[ID RETENCION]],Retenciones!$A$1:$O$25,PROVEEDORES[[#This Row],[indicador de columna]],FALSE)</f>
        <v>0</v>
      </c>
      <c r="Y1794" s="99">
        <f>+VLOOKUP(PROVEEDORES[[#This Row],[ID RETENCION]],Retenciones!$A$1:$O$25,2,FALSE)</f>
        <v>0</v>
      </c>
      <c r="Z1794" s="125" t="b">
        <f>OR(COUNTIF(PROVEEDORES[[#This Row],[PROVEEDOR]],"*"&amp;'Palabra no opera'!$A$2&amp;"*"))</f>
        <v>1</v>
      </c>
    </row>
    <row r="1795" spans="1:26" ht="22.2" customHeight="1" x14ac:dyDescent="0.3">
      <c r="A1795" s="66" t="str">
        <f>+IF(PROVEEDORES[[#This Row],[FECHA DE PAGO]]=PROVEEDORES[[#This Row],[FECHA DE FACTURACIÓN]],"DE CONTADO","CRÉDITO")</f>
        <v>CRÉDITO</v>
      </c>
      <c r="B1795" s="38" t="b">
        <f>+IF((PROVEEDORES[[#This Row],[FECHA DE PAGO]]-PROVEEDORES[[#This Row],[FECHA DE FACTURACIÓN]])&gt;PROVEEDORES[[#This Row],[PLAZO Días]],"PAGO VENCIDO")</f>
        <v>0</v>
      </c>
      <c r="C1795" s="20">
        <f>+VLOOKUP(PROVEEDORES[[#This Row],[PROVEEDOR]],TERCEROS_INFO[#All],2,FALSE)</f>
        <v>30</v>
      </c>
      <c r="D1795" s="25">
        <f>+SUMIFS(PROVEEDORES[Total],PROVEEDORES[PROVEEDOR],PROVEEDORES[[#This Row],[PROVEEDOR]],PROVEEDORES[FECHA DE PAGO],"")</f>
        <v>0</v>
      </c>
      <c r="E1795" s="25"/>
      <c r="F179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5" s="161">
        <v>44554</v>
      </c>
      <c r="H1795" s="26" t="s">
        <v>913</v>
      </c>
      <c r="I1795" s="161">
        <v>44531</v>
      </c>
      <c r="J1795" s="35" t="s">
        <v>1352</v>
      </c>
      <c r="K1795" s="21">
        <v>3061166</v>
      </c>
      <c r="L1795" s="21"/>
      <c r="M1795" s="22">
        <f>(PROVEEDORES[[#This Row],[SUBTOTAL]]-PROVEEDORES[[#This Row],[descuento sobre subtotal]])*VLOOKUP(PROVEEDORES[[#This Row],[PROVEEDOR]],TERCEROS_INFO[#All],3,FALSE)</f>
        <v>581621.54</v>
      </c>
      <c r="N1795" s="23"/>
      <c r="O1795" s="22">
        <f>+PROVEEDORES[[#This Row],[Descuento sobre subtotal %]]*(PROVEEDORES[[#This Row],[SUBTOTAL]]-PROVEEDORES[[#This Row],[descuento sobre subtotal]])</f>
        <v>0</v>
      </c>
      <c r="P1795" s="83">
        <f>+IF(PROVEEDORES[[#This Row],[SUBTOTAL]]&lt;PROVEEDORES[[#This Row],[base retencion]],0,PROVEEDORES[[#This Row],[retención aplicada]])</f>
        <v>0</v>
      </c>
      <c r="Q1795" s="22">
        <f>+PROVEEDORES[[#This Row],[Rete Fuente %]]*(PROVEEDORES[[#This Row],[SUBTOTAL]]-PROVEEDORES[[#This Row],[descuento sobre subtotal]])</f>
        <v>0</v>
      </c>
      <c r="R1795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5" s="68">
        <f ca="1">IF(PROVEEDORES[[#This Row],[FECHA DE PAGO]]=0,TODAY()-PROVEEDORES[[#This Row],[FECHA DE FACTURACIÓN]]-PROVEEDORES[[#This Row],[PLAZO Días]],0)</f>
        <v>0</v>
      </c>
      <c r="U1795" s="96">
        <f>+VLOOKUP(PROVEEDORES[[#This Row],[PROVEEDOR]],Terceros!$A:$D,4,FALSE)</f>
        <v>0</v>
      </c>
      <c r="V1795" s="97">
        <f>+YEAR(PROVEEDORES[[#This Row],[FECHA DE FACTURACIÓN]])</f>
        <v>2021</v>
      </c>
      <c r="W1795" s="97">
        <f>+MATCH(PROVEEDORES[[#This Row],[año facturado]],Retenciones!$1:$1,0)</f>
        <v>4</v>
      </c>
      <c r="X1795" s="98">
        <f>+VLOOKUP(PROVEEDORES[[#This Row],[ID RETENCION]],Retenciones!$A$1:$O$25,PROVEEDORES[[#This Row],[indicador de columna]],FALSE)</f>
        <v>0</v>
      </c>
      <c r="Y1795" s="99">
        <f>+VLOOKUP(PROVEEDORES[[#This Row],[ID RETENCION]],Retenciones!$A$1:$O$25,2,FALSE)</f>
        <v>0</v>
      </c>
      <c r="Z1795" s="125" t="b">
        <f>OR(COUNTIF(PROVEEDORES[[#This Row],[PROVEEDOR]],"*"&amp;'Palabra no opera'!$A$2&amp;"*"))</f>
        <v>1</v>
      </c>
    </row>
    <row r="1796" spans="1:26" ht="22.2" customHeight="1" x14ac:dyDescent="0.3">
      <c r="A1796" s="66" t="str">
        <f>+IF(PROVEEDORES[[#This Row],[FECHA DE PAGO]]=PROVEEDORES[[#This Row],[FECHA DE FACTURACIÓN]],"DE CONTADO","CRÉDITO")</f>
        <v>CRÉDITO</v>
      </c>
      <c r="B1796" s="38" t="b">
        <f>+IF((PROVEEDORES[[#This Row],[FECHA DE PAGO]]-PROVEEDORES[[#This Row],[FECHA DE FACTURACIÓN]])&gt;PROVEEDORES[[#This Row],[PLAZO Días]],"PAGO VENCIDO")</f>
        <v>0</v>
      </c>
      <c r="C1796" s="20">
        <f>+VLOOKUP(PROVEEDORES[[#This Row],[PROVEEDOR]],TERCEROS_INFO[#All],2,FALSE)</f>
        <v>30</v>
      </c>
      <c r="D1796" s="25">
        <f>+SUMIFS(PROVEEDORES[Total],PROVEEDORES[PROVEEDOR],PROVEEDORES[[#This Row],[PROVEEDOR]],PROVEEDORES[FECHA DE PAGO],"")</f>
        <v>0</v>
      </c>
      <c r="E1796" s="25"/>
      <c r="F179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6" s="161">
        <v>44588</v>
      </c>
      <c r="H1796" s="26" t="s">
        <v>913</v>
      </c>
      <c r="I1796" s="161">
        <v>44562</v>
      </c>
      <c r="J1796" s="35" t="s">
        <v>1369</v>
      </c>
      <c r="K1796" s="21">
        <v>3061166</v>
      </c>
      <c r="L1796" s="21"/>
      <c r="M1796" s="22">
        <v>581621.54</v>
      </c>
      <c r="N1796" s="23"/>
      <c r="O1796" s="22">
        <v>0</v>
      </c>
      <c r="P1796" s="83">
        <f>+IF(PROVEEDORES[[#This Row],[SUBTOTAL]]&lt;PROVEEDORES[[#This Row],[base retencion]],0,PROVEEDORES[[#This Row],[retención aplicada]])</f>
        <v>0</v>
      </c>
      <c r="Q1796" s="22">
        <f>+PROVEEDORES[[#This Row],[Rete Fuente %]]*(PROVEEDORES[[#This Row],[SUBTOTAL]]-PROVEEDORES[[#This Row],[descuento sobre subtotal]])</f>
        <v>0</v>
      </c>
      <c r="R1796" s="21">
        <v>3642787.54</v>
      </c>
      <c r="S17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6" s="68">
        <f ca="1">IF(PROVEEDORES[[#This Row],[FECHA DE PAGO]]=0,TODAY()-PROVEEDORES[[#This Row],[FECHA DE FACTURACIÓN]]-PROVEEDORES[[#This Row],[PLAZO Días]],0)</f>
        <v>0</v>
      </c>
      <c r="U1796" s="96">
        <f>+VLOOKUP(PROVEEDORES[[#This Row],[PROVEEDOR]],Terceros!$A:$D,4,FALSE)</f>
        <v>0</v>
      </c>
      <c r="V1796" s="97">
        <f>+YEAR(PROVEEDORES[[#This Row],[FECHA DE FACTURACIÓN]])</f>
        <v>2022</v>
      </c>
      <c r="W1796" s="97">
        <f>+MATCH(PROVEEDORES[[#This Row],[año facturado]],Retenciones!$1:$1,0)</f>
        <v>5</v>
      </c>
      <c r="X1796" s="98">
        <f>+VLOOKUP(PROVEEDORES[[#This Row],[ID RETENCION]],Retenciones!$A$1:$O$25,PROVEEDORES[[#This Row],[indicador de columna]],FALSE)</f>
        <v>0</v>
      </c>
      <c r="Y1796" s="99">
        <f>+VLOOKUP(PROVEEDORES[[#This Row],[ID RETENCION]],Retenciones!$A$1:$O$25,2,FALSE)</f>
        <v>0</v>
      </c>
      <c r="Z1796" s="125" t="b">
        <f>OR(COUNTIF(PROVEEDORES[[#This Row],[PROVEEDOR]],"*"&amp;'Palabra no opera'!$A$2&amp;"*"))</f>
        <v>1</v>
      </c>
    </row>
    <row r="1797" spans="1:26" ht="22.2" customHeight="1" x14ac:dyDescent="0.3">
      <c r="A1797" s="66" t="str">
        <f>+IF(PROVEEDORES[[#This Row],[FECHA DE PAGO]]=PROVEEDORES[[#This Row],[FECHA DE FACTURACIÓN]],"DE CONTADO","CRÉDITO")</f>
        <v>CRÉDITO</v>
      </c>
      <c r="B1797" s="38" t="b">
        <f>+IF((PROVEEDORES[[#This Row],[FECHA DE PAGO]]-PROVEEDORES[[#This Row],[FECHA DE FACTURACIÓN]])&gt;PROVEEDORES[[#This Row],[PLAZO Días]],"PAGO VENCIDO")</f>
        <v>0</v>
      </c>
      <c r="C1797" s="20">
        <f>+VLOOKUP(PROVEEDORES[[#This Row],[PROVEEDOR]],TERCEROS_INFO[#All],2,FALSE)</f>
        <v>30</v>
      </c>
      <c r="D1797" s="25">
        <f>+SUMIFS(PROVEEDORES[Total],PROVEEDORES[PROVEEDOR],PROVEEDORES[[#This Row],[PROVEEDOR]],PROVEEDORES[FECHA DE PAGO],"")</f>
        <v>0</v>
      </c>
      <c r="E1797" s="25"/>
      <c r="F179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7" s="161">
        <v>44650</v>
      </c>
      <c r="H1797" s="26" t="s">
        <v>913</v>
      </c>
      <c r="I1797" s="161">
        <v>44621</v>
      </c>
      <c r="J1797" s="35" t="s">
        <v>957</v>
      </c>
      <c r="K1797" s="21">
        <v>3061166</v>
      </c>
      <c r="L1797" s="21"/>
      <c r="M1797" s="22">
        <v>581621.54</v>
      </c>
      <c r="N1797" s="23"/>
      <c r="O1797" s="22">
        <v>0</v>
      </c>
      <c r="P1797" s="83">
        <f>+IF(PROVEEDORES[[#This Row],[SUBTOTAL]]&lt;PROVEEDORES[[#This Row],[base retencion]],0,PROVEEDORES[[#This Row],[retención aplicada]])</f>
        <v>0</v>
      </c>
      <c r="Q1797" s="22">
        <f>+PROVEEDORES[[#This Row],[Rete Fuente %]]*(PROVEEDORES[[#This Row],[SUBTOTAL]]-PROVEEDORES[[#This Row],[descuento sobre subtotal]])</f>
        <v>0</v>
      </c>
      <c r="R1797" s="21">
        <v>3642787.54</v>
      </c>
      <c r="S17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7" s="68">
        <f ca="1">IF(PROVEEDORES[[#This Row],[FECHA DE PAGO]]=0,TODAY()-PROVEEDORES[[#This Row],[FECHA DE FACTURACIÓN]]-PROVEEDORES[[#This Row],[PLAZO Días]],0)</f>
        <v>0</v>
      </c>
      <c r="U1797" s="96">
        <f>+VLOOKUP(PROVEEDORES[[#This Row],[PROVEEDOR]],Terceros!$A:$D,4,FALSE)</f>
        <v>0</v>
      </c>
      <c r="V1797" s="97">
        <f>+YEAR(PROVEEDORES[[#This Row],[FECHA DE FACTURACIÓN]])</f>
        <v>2022</v>
      </c>
      <c r="W1797" s="97">
        <f>+MATCH(PROVEEDORES[[#This Row],[año facturado]],Retenciones!$1:$1,0)</f>
        <v>5</v>
      </c>
      <c r="X1797" s="98">
        <f>+VLOOKUP(PROVEEDORES[[#This Row],[ID RETENCION]],Retenciones!$A$1:$O$25,PROVEEDORES[[#This Row],[indicador de columna]],FALSE)</f>
        <v>0</v>
      </c>
      <c r="Y1797" s="99">
        <f>+VLOOKUP(PROVEEDORES[[#This Row],[ID RETENCION]],Retenciones!$A$1:$O$25,2,FALSE)</f>
        <v>0</v>
      </c>
      <c r="Z1797" s="125" t="b">
        <f>OR(COUNTIF(PROVEEDORES[[#This Row],[PROVEEDOR]],"*"&amp;'Palabra no opera'!$A$2&amp;"*"))</f>
        <v>1</v>
      </c>
    </row>
    <row r="1798" spans="1:26" ht="22.2" customHeight="1" x14ac:dyDescent="0.3">
      <c r="A1798" s="159" t="str">
        <f>+IF(PROVEEDORES[[#This Row],[FECHA DE PAGO]]=PROVEEDORES[[#This Row],[FECHA DE FACTURACIÓN]],"DE CONTADO","CRÉDITO")</f>
        <v>CRÉDITO</v>
      </c>
      <c r="B1798" s="38" t="str">
        <f>+IF((PROVEEDORES[[#This Row],[FECHA DE PAGO]]-PROVEEDORES[[#This Row],[FECHA DE FACTURACIÓN]])&gt;PROVEEDORES[[#This Row],[PLAZO Días]],"PAGO VENCIDO")</f>
        <v>PAGO VENCIDO</v>
      </c>
      <c r="C1798" s="20">
        <f>+VLOOKUP(PROVEEDORES[[#This Row],[PROVEEDOR]],TERCEROS_INFO[#All],2,FALSE)</f>
        <v>30</v>
      </c>
      <c r="D1798" s="25">
        <f>+SUMIFS(PROVEEDORES[Total],PROVEEDORES[PROVEEDOR],PROVEEDORES[[#This Row],[PROVEEDOR]],PROVEEDORES[FECHA DE PAGO],"")</f>
        <v>0</v>
      </c>
      <c r="E1798" s="25"/>
      <c r="F179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98" s="161">
        <v>44776</v>
      </c>
      <c r="H1798" s="26" t="s">
        <v>1637</v>
      </c>
      <c r="I1798" s="161">
        <v>44721</v>
      </c>
      <c r="J1798" s="35">
        <v>26161</v>
      </c>
      <c r="K1798" s="21">
        <v>3457080</v>
      </c>
      <c r="L1798" s="21">
        <v>314280</v>
      </c>
      <c r="M1798" s="22">
        <f>(PROVEEDORES[[#This Row],[SUBTOTAL]]-PROVEEDORES[[#This Row],[descuento sobre subtotal]])*VLOOKUP(PROVEEDORES[[#This Row],[PROVEEDOR]],TERCEROS_INFO[#All],3,FALSE)</f>
        <v>597132</v>
      </c>
      <c r="N1798" s="23"/>
      <c r="O1798" s="22">
        <f>+PROVEEDORES[[#This Row],[Descuento sobre subtotal %]]*(PROVEEDORES[[#This Row],[SUBTOTAL]]-PROVEEDORES[[#This Row],[descuento sobre subtotal]])</f>
        <v>0</v>
      </c>
      <c r="P1798" s="83">
        <f>+IF(PROVEEDORES[[#This Row],[SUBTOTAL]]&lt;PROVEEDORES[[#This Row],[base retencion]],0,PROVEEDORES[[#This Row],[retención aplicada]])</f>
        <v>2.5000000000000001E-2</v>
      </c>
      <c r="Q1798" s="22">
        <f>+PROVEEDORES[[#This Row],[Rete Fuente %]]*(PROVEEDORES[[#This Row],[SUBTOTAL]]-PROVEEDORES[[#This Row],[descuento sobre subtotal]])</f>
        <v>78570</v>
      </c>
      <c r="R1798" s="21">
        <f>+PROVEEDORES[[#This Row],[SUBTOTAL]]+PROVEEDORES[[#This Row],[IVA 19%]]-PROVEEDORES[[#This Row],[descuento sobre subtotal]]-PROVEEDORES[[#This Row],[Descuento sobre subtotal $2]]-PROVEEDORES[[#This Row],[Rete Fuente $]]</f>
        <v>3661362</v>
      </c>
      <c r="S1798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8" s="68">
        <f ca="1">IF(PROVEEDORES[[#This Row],[FECHA DE PAGO]]=0,TODAY()-PROVEEDORES[[#This Row],[FECHA DE FACTURACIÓN]]-PROVEEDORES[[#This Row],[PLAZO Días]],0)</f>
        <v>0</v>
      </c>
      <c r="U1798" s="113" t="str">
        <f>+VLOOKUP(PROVEEDORES[[#This Row],[PROVEEDOR]],Terceros!$A:$D,4,FALSE)</f>
        <v>2,5% con base</v>
      </c>
      <c r="V1798" s="114">
        <f>+YEAR(PROVEEDORES[[#This Row],[FECHA DE FACTURACIÓN]])</f>
        <v>2022</v>
      </c>
      <c r="W1798" s="114">
        <f>+MATCH(PROVEEDORES[[#This Row],[año facturado]],Retenciones!$1:$1,0)</f>
        <v>5</v>
      </c>
      <c r="X1798" s="115">
        <f>+VLOOKUP(PROVEEDORES[[#This Row],[ID RETENCION]],Retenciones!$A$1:$O$25,PROVEEDORES[[#This Row],[indicador de columna]],FALSE)</f>
        <v>1026000</v>
      </c>
      <c r="Y1798" s="116">
        <f>+VLOOKUP(PROVEEDORES[[#This Row],[ID RETENCION]],Retenciones!$A$1:$O$25,2,FALSE)</f>
        <v>2.5000000000000001E-2</v>
      </c>
      <c r="Z1798" s="125" t="b">
        <f>OR(COUNTIF(PROVEEDORES[[#This Row],[PROVEEDOR]],"*"&amp;'Palabra no opera'!$A$2&amp;"*"))</f>
        <v>0</v>
      </c>
    </row>
    <row r="1799" spans="1:26" ht="22.2" customHeight="1" x14ac:dyDescent="0.3">
      <c r="A1799" s="66" t="str">
        <f>+IF(PROVEEDORES[[#This Row],[FECHA DE PAGO]]=PROVEEDORES[[#This Row],[FECHA DE FACTURACIÓN]],"DE CONTADO","CRÉDITO")</f>
        <v>CRÉDITO</v>
      </c>
      <c r="B1799" s="38" t="b">
        <f>+IF((PROVEEDORES[[#This Row],[FECHA DE PAGO]]-PROVEEDORES[[#This Row],[FECHA DE FACTURACIÓN]])&gt;PROVEEDORES[[#This Row],[PLAZO Días]],"PAGO VENCIDO")</f>
        <v>0</v>
      </c>
      <c r="C1799" s="20">
        <f>+VLOOKUP(PROVEEDORES[[#This Row],[PROVEEDOR]],TERCEROS_INFO[#All],2,FALSE)</f>
        <v>30</v>
      </c>
      <c r="D1799" s="25">
        <f>+SUMIFS(PROVEEDORES[Total],PROVEEDORES[PROVEEDOR],PROVEEDORES[[#This Row],[PROVEEDOR]],PROVEEDORES[FECHA DE PAGO],"")</f>
        <v>0</v>
      </c>
      <c r="E1799" s="25"/>
      <c r="F1799" s="58" t="str">
        <f>+VLOOKUP(PROVEEDORES[[#This Row],[PROVEEDOR]],
                       Terceros!$A:$F,
                       5,
                       FALSE)</f>
        <v/>
      </c>
      <c r="G1799" s="161">
        <v>44280</v>
      </c>
      <c r="H1799" s="26" t="s">
        <v>638</v>
      </c>
      <c r="I1799" s="161">
        <v>44279</v>
      </c>
      <c r="J1799" s="35"/>
      <c r="K1799" s="21">
        <v>3686000</v>
      </c>
      <c r="L1799" s="21"/>
      <c r="M1799" s="22">
        <f>(PROVEEDORES[[#This Row],[SUBTOTAL]]-PROVEEDORES[[#This Row],[descuento sobre subtotal]])*VLOOKUP(PROVEEDORES[[#This Row],[PROVEEDOR]],TERCEROS_INFO[#All],3,FALSE)</f>
        <v>0</v>
      </c>
      <c r="N1799" s="23"/>
      <c r="O1799" s="22">
        <f>+PROVEEDORES[[#This Row],[Descuento sobre subtotal %]]*(PROVEEDORES[[#This Row],[SUBTOTAL]]-PROVEEDORES[[#This Row],[descuento sobre subtotal]])</f>
        <v>0</v>
      </c>
      <c r="P1799" s="83">
        <f>+IF(PROVEEDORES[[#This Row],[SUBTOTAL]]&lt;PROVEEDORES[[#This Row],[base retencion]],0,PROVEEDORES[[#This Row],[retención aplicada]])</f>
        <v>0</v>
      </c>
      <c r="Q1799" s="22">
        <f>+PROVEEDORES[[#This Row],[Rete Fuente %]]*(PROVEEDORES[[#This Row],[SUBTOTAL]]-PROVEEDORES[[#This Row],[descuento sobre subtotal]])</f>
        <v>0</v>
      </c>
      <c r="R1799" s="21">
        <f>+PROVEEDORES[[#This Row],[SUBTOTAL]]+PROVEEDORES[[#This Row],[IVA 19%]]-PROVEEDORES[[#This Row],[descuento sobre subtotal]]-PROVEEDORES[[#This Row],[Descuento sobre subtotal $2]]-PROVEEDORES[[#This Row],[Rete Fuente $]]</f>
        <v>3686000</v>
      </c>
      <c r="S17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9" s="68">
        <f ca="1">IF(PROVEEDORES[[#This Row],[FECHA DE PAGO]]=0,TODAY()-PROVEEDORES[[#This Row],[FECHA DE FACTURACIÓN]]-PROVEEDORES[[#This Row],[PLAZO Días]],0)</f>
        <v>0</v>
      </c>
      <c r="U1799" s="96">
        <f>+VLOOKUP(PROVEEDORES[[#This Row],[PROVEEDOR]],Terceros!$A:$D,4,FALSE)</f>
        <v>0</v>
      </c>
      <c r="V1799" s="97">
        <f>+YEAR(PROVEEDORES[[#This Row],[FECHA DE FACTURACIÓN]])</f>
        <v>2021</v>
      </c>
      <c r="W1799" s="97">
        <f>+MATCH(PROVEEDORES[[#This Row],[año facturado]],Retenciones!$1:$1,0)</f>
        <v>4</v>
      </c>
      <c r="X1799" s="98">
        <f>+VLOOKUP(PROVEEDORES[[#This Row],[ID RETENCION]],Retenciones!$A$1:$O$25,PROVEEDORES[[#This Row],[indicador de columna]],FALSE)</f>
        <v>0</v>
      </c>
      <c r="Y1799" s="99">
        <f>+VLOOKUP(PROVEEDORES[[#This Row],[ID RETENCION]],Retenciones!$A$1:$O$25,2,FALSE)</f>
        <v>0</v>
      </c>
      <c r="Z1799" s="125" t="b">
        <f>OR(COUNTIF(PROVEEDORES[[#This Row],[PROVEEDOR]],"*"&amp;'Palabra no opera'!$A$2&amp;"*"))</f>
        <v>0</v>
      </c>
    </row>
    <row r="1800" spans="1:26" ht="22.2" customHeight="1" x14ac:dyDescent="0.3">
      <c r="A1800" s="66" t="str">
        <f>+IF(PROVEEDORES[[#This Row],[FECHA DE PAGO]]=PROVEEDORES[[#This Row],[FECHA DE FACTURACIÓN]],"DE CONTADO","CRÉDITO")</f>
        <v>CRÉDITO</v>
      </c>
      <c r="B1800" s="38" t="str">
        <f>+IF((PROVEEDORES[[#This Row],[FECHA DE PAGO]]-PROVEEDORES[[#This Row],[FECHA DE FACTURACIÓN]])&gt;PROVEEDORES[[#This Row],[PLAZO Días]],"PAGO VENCIDO")</f>
        <v>PAGO VENCIDO</v>
      </c>
      <c r="C1800" s="20">
        <f>+VLOOKUP(PROVEEDORES[[#This Row],[PROVEEDOR]],TERCEROS_INFO[#All],2,FALSE)</f>
        <v>30</v>
      </c>
      <c r="D1800" s="25">
        <f>+SUMIFS(PROVEEDORES[Total],PROVEEDORES[PROVEEDOR],PROVEEDORES[[#This Row],[PROVEEDOR]],PROVEEDORES[FECHA DE PAGO],"")</f>
        <v>3430770</v>
      </c>
      <c r="E1800" s="25"/>
      <c r="F180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00" s="161">
        <v>44543</v>
      </c>
      <c r="H1800" s="26" t="s">
        <v>1448</v>
      </c>
      <c r="I1800" s="161">
        <v>44509</v>
      </c>
      <c r="J1800" s="35">
        <v>24521</v>
      </c>
      <c r="K1800" s="21">
        <v>3180000</v>
      </c>
      <c r="L1800" s="21"/>
      <c r="M1800" s="22">
        <f>(PROVEEDORES[[#This Row],[SUBTOTAL]]-PROVEEDORES[[#This Row],[descuento sobre subtotal]])*VLOOKUP(PROVEEDORES[[#This Row],[PROVEEDOR]],TERCEROS_INFO[#All],3,FALSE)</f>
        <v>604200</v>
      </c>
      <c r="N1800" s="23"/>
      <c r="O1800" s="22">
        <f>+PROVEEDORES[[#This Row],[Descuento sobre subtotal %]]*(PROVEEDORES[[#This Row],[SUBTOTAL]]-PROVEEDORES[[#This Row],[descuento sobre subtotal]])</f>
        <v>0</v>
      </c>
      <c r="P1800" s="83">
        <v>2.5000000000000001E-2</v>
      </c>
      <c r="Q1800" s="22">
        <f>+PROVEEDORES[[#This Row],[Rete Fuente %]]*(PROVEEDORES[[#This Row],[SUBTOTAL]]-PROVEEDORES[[#This Row],[descuento sobre subtotal]])</f>
        <v>79500</v>
      </c>
      <c r="R1800" s="21">
        <f>+PROVEEDORES[[#This Row],[SUBTOTAL]]+PROVEEDORES[[#This Row],[IVA 19%]]-PROVEEDORES[[#This Row],[descuento sobre subtotal]]-PROVEEDORES[[#This Row],[Descuento sobre subtotal $2]]-PROVEEDORES[[#This Row],[Rete Fuente $]]</f>
        <v>3704700</v>
      </c>
      <c r="S18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0" s="68">
        <f ca="1">IF(PROVEEDORES[[#This Row],[FECHA DE PAGO]]=0,TODAY()-PROVEEDORES[[#This Row],[FECHA DE FACTURACIÓN]]-PROVEEDORES[[#This Row],[PLAZO Días]],0)</f>
        <v>0</v>
      </c>
      <c r="U1800" s="96">
        <f>+VLOOKUP(PROVEEDORES[[#This Row],[PROVEEDOR]],Terceros!$A:$D,4,FALSE)</f>
        <v>0</v>
      </c>
      <c r="V1800" s="97">
        <f>+YEAR(PROVEEDORES[[#This Row],[FECHA DE FACTURACIÓN]])</f>
        <v>2021</v>
      </c>
      <c r="W1800" s="97">
        <f>+MATCH(PROVEEDORES[[#This Row],[año facturado]],Retenciones!$1:$1,0)</f>
        <v>4</v>
      </c>
      <c r="X1800" s="98">
        <f>+VLOOKUP(PROVEEDORES[[#This Row],[ID RETENCION]],Retenciones!$A$1:$O$25,PROVEEDORES[[#This Row],[indicador de columna]],FALSE)</f>
        <v>0</v>
      </c>
      <c r="Y1800" s="99">
        <f>+VLOOKUP(PROVEEDORES[[#This Row],[ID RETENCION]],Retenciones!$A$1:$O$25,2,FALSE)</f>
        <v>0</v>
      </c>
      <c r="Z1800" s="125" t="b">
        <f>OR(COUNTIF(PROVEEDORES[[#This Row],[PROVEEDOR]],"*"&amp;'Palabra no opera'!$A$2&amp;"*"))</f>
        <v>0</v>
      </c>
    </row>
    <row r="1801" spans="1:26" ht="22.2" customHeight="1" x14ac:dyDescent="0.3">
      <c r="A1801" s="66" t="str">
        <f>+IF(PROVEEDORES[[#This Row],[FECHA DE PAGO]]=PROVEEDORES[[#This Row],[FECHA DE FACTURACIÓN]],"DE CONTADO","CRÉDITO")</f>
        <v>CRÉDITO</v>
      </c>
      <c r="B1801" s="38" t="str">
        <f>+IF((PROVEEDORES[[#This Row],[FECHA DE PAGO]]-PROVEEDORES[[#This Row],[FECHA DE FACTURACIÓN]])&gt;PROVEEDORES[[#This Row],[PLAZO Días]],"PAGO VENCIDO")</f>
        <v>PAGO VENCIDO</v>
      </c>
      <c r="C1801" s="20">
        <f>+VLOOKUP(PROVEEDORES[[#This Row],[PROVEEDOR]],TERCEROS_INFO[#All],2,FALSE)</f>
        <v>30</v>
      </c>
      <c r="D1801" s="25">
        <f>+SUMIFS(PROVEEDORES[Total],PROVEEDORES[PROVEEDOR],PROVEEDORES[[#This Row],[PROVEEDOR]],PROVEEDORES[FECHA DE PAGO],"")</f>
        <v>2318500</v>
      </c>
      <c r="E1801" s="25"/>
      <c r="F1801" s="58" t="str">
        <f>+VLOOKUP(PROVEEDORES[[#This Row],[PROVEEDOR]],
                       Terceros!$A:$F,
                       5,
                       FALSE)</f>
        <v/>
      </c>
      <c r="G1801" s="161">
        <v>44686</v>
      </c>
      <c r="H1801" s="26" t="s">
        <v>629</v>
      </c>
      <c r="I1801" s="161">
        <v>44649</v>
      </c>
      <c r="J1801" s="35" t="s">
        <v>711</v>
      </c>
      <c r="K1801" s="21">
        <v>3750700</v>
      </c>
      <c r="L1801" s="21"/>
      <c r="M1801" s="22">
        <f>(PROVEEDORES[[#This Row],[SUBTOTAL]]-PROVEEDORES[[#This Row],[descuento sobre subtotal]])*VLOOKUP(PROVEEDORES[[#This Row],[PROVEEDOR]],TERCEROS_INFO[#All],3,FALSE)</f>
        <v>0</v>
      </c>
      <c r="N1801" s="23"/>
      <c r="O1801" s="22">
        <f>+PROVEEDORES[[#This Row],[Descuento sobre subtotal %]]*(PROVEEDORES[[#This Row],[SUBTOTAL]]-PROVEEDORES[[#This Row],[descuento sobre subtotal]])</f>
        <v>0</v>
      </c>
      <c r="P1801" s="83">
        <f>+IF(PROVEEDORES[[#This Row],[SUBTOTAL]]&lt;PROVEEDORES[[#This Row],[base retencion]],0,PROVEEDORES[[#This Row],[retención aplicada]])</f>
        <v>0</v>
      </c>
      <c r="Q1801" s="22">
        <f>+PROVEEDORES[[#This Row],[Rete Fuente %]]*(PROVEEDORES[[#This Row],[SUBTOTAL]]-PROVEEDORES[[#This Row],[descuento sobre subtotal]])</f>
        <v>0</v>
      </c>
      <c r="R1801" s="21">
        <f>+PROVEEDORES[[#This Row],[SUBTOTAL]]+PROVEEDORES[[#This Row],[IVA 19%]]-PROVEEDORES[[#This Row],[descuento sobre subtotal]]-PROVEEDORES[[#This Row],[Descuento sobre subtotal $2]]-PROVEEDORES[[#This Row],[Rete Fuente $]]</f>
        <v>3750700</v>
      </c>
      <c r="S18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1" s="68">
        <f ca="1">IF(PROVEEDORES[[#This Row],[FECHA DE PAGO]]=0,TODAY()-PROVEEDORES[[#This Row],[FECHA DE FACTURACIÓN]]-PROVEEDORES[[#This Row],[PLAZO Días]],0)</f>
        <v>0</v>
      </c>
      <c r="U1801" s="96">
        <f>+VLOOKUP(PROVEEDORES[[#This Row],[PROVEEDOR]],Terceros!$A:$D,4,FALSE)</f>
        <v>0</v>
      </c>
      <c r="V1801" s="97">
        <f>+YEAR(PROVEEDORES[[#This Row],[FECHA DE FACTURACIÓN]])</f>
        <v>2022</v>
      </c>
      <c r="W1801" s="97">
        <f>+MATCH(PROVEEDORES[[#This Row],[año facturado]],Retenciones!$1:$1,0)</f>
        <v>5</v>
      </c>
      <c r="X1801" s="98">
        <f>+VLOOKUP(PROVEEDORES[[#This Row],[ID RETENCION]],Retenciones!$A$1:$O$25,PROVEEDORES[[#This Row],[indicador de columna]],FALSE)</f>
        <v>0</v>
      </c>
      <c r="Y1801" s="99">
        <f>+VLOOKUP(PROVEEDORES[[#This Row],[ID RETENCION]],Retenciones!$A$1:$O$25,2,FALSE)</f>
        <v>0</v>
      </c>
      <c r="Z1801" s="125" t="b">
        <f>OR(COUNTIF(PROVEEDORES[[#This Row],[PROVEEDOR]],"*"&amp;'Palabra no opera'!$A$2&amp;"*"))</f>
        <v>0</v>
      </c>
    </row>
    <row r="1802" spans="1:26" ht="22.2" customHeight="1" x14ac:dyDescent="0.3">
      <c r="A1802" s="66" t="str">
        <f>+IF(PROVEEDORES[[#This Row],[FECHA DE PAGO]]=PROVEEDORES[[#This Row],[FECHA DE FACTURACIÓN]],"DE CONTADO","CRÉDITO")</f>
        <v>CRÉDITO</v>
      </c>
      <c r="B1802" s="38" t="str">
        <f>+IF((PROVEEDORES[[#This Row],[FECHA DE PAGO]]-PROVEEDORES[[#This Row],[FECHA DE FACTURACIÓN]])&gt;PROVEEDORES[[#This Row],[PLAZO Días]],"PAGO VENCIDO")</f>
        <v>PAGO VENCIDO</v>
      </c>
      <c r="C1802" s="20">
        <f>+VLOOKUP(PROVEEDORES[[#This Row],[PROVEEDOR]],TERCEROS_INFO[#All],2,FALSE)</f>
        <v>30</v>
      </c>
      <c r="D1802" s="25">
        <f>+SUMIFS(PROVEEDORES[Total],PROVEEDORES[PROVEEDOR],PROVEEDORES[[#This Row],[PROVEEDOR]],PROVEEDORES[FECHA DE PAGO],"")</f>
        <v>0</v>
      </c>
      <c r="E1802" s="25"/>
      <c r="F180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02" s="161">
        <v>44208</v>
      </c>
      <c r="H1802" s="26" t="s">
        <v>1637</v>
      </c>
      <c r="I1802" s="161">
        <v>44141</v>
      </c>
      <c r="J1802" s="35">
        <v>18451</v>
      </c>
      <c r="K1802" s="21">
        <v>3219863.8655462186</v>
      </c>
      <c r="L1802" s="21"/>
      <c r="M1802" s="22">
        <f>(PROVEEDORES[[#This Row],[SUBTOTAL]]-PROVEEDORES[[#This Row],[descuento sobre subtotal]])*VLOOKUP(PROVEEDORES[[#This Row],[PROVEEDOR]],TERCEROS_INFO[#All],3,FALSE)</f>
        <v>611774.13445378153</v>
      </c>
      <c r="N1802" s="23"/>
      <c r="O1802" s="22">
        <f>+PROVEEDORES[[#This Row],[Descuento sobre subtotal %]]*(PROVEEDORES[[#This Row],[SUBTOTAL]]-PROVEEDORES[[#This Row],[descuento sobre subtotal]])</f>
        <v>0</v>
      </c>
      <c r="P1802" s="83">
        <f>+IF(PROVEEDORES[[#This Row],[SUBTOTAL]]&lt;PROVEEDORES[[#This Row],[base retencion]],0,PROVEEDORES[[#This Row],[retención aplicada]])</f>
        <v>2.5000000000000001E-2</v>
      </c>
      <c r="Q1802" s="22">
        <f>+PROVEEDORES[[#This Row],[Rete Fuente %]]*(PROVEEDORES[[#This Row],[SUBTOTAL]]-PROVEEDORES[[#This Row],[descuento sobre subtotal]])</f>
        <v>80496.596638655465</v>
      </c>
      <c r="R1802" s="21">
        <f>+PROVEEDORES[[#This Row],[SUBTOTAL]]+PROVEEDORES[[#This Row],[IVA 19%]]-PROVEEDORES[[#This Row],[descuento sobre subtotal]]-PROVEEDORES[[#This Row],[Descuento sobre subtotal $2]]-PROVEEDORES[[#This Row],[Rete Fuente $]]</f>
        <v>3751141.4033613447</v>
      </c>
      <c r="S18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2" s="68">
        <f ca="1">IF(PROVEEDORES[[#This Row],[FECHA DE PAGO]]=0,TODAY()-PROVEEDORES[[#This Row],[FECHA DE FACTURACIÓN]]-PROVEEDORES[[#This Row],[PLAZO Días]],0)</f>
        <v>0</v>
      </c>
      <c r="U1802" s="96" t="str">
        <f>+VLOOKUP(PROVEEDORES[[#This Row],[PROVEEDOR]],Terceros!$A:$D,4,FALSE)</f>
        <v>2,5% con base</v>
      </c>
      <c r="V1802" s="97">
        <f>+YEAR(PROVEEDORES[[#This Row],[FECHA DE FACTURACIÓN]])</f>
        <v>2020</v>
      </c>
      <c r="W1802" s="97">
        <f>+MATCH(PROVEEDORES[[#This Row],[año facturado]],Retenciones!$1:$1,0)</f>
        <v>3</v>
      </c>
      <c r="X1802" s="98">
        <f>+VLOOKUP(PROVEEDORES[[#This Row],[ID RETENCION]],Retenciones!$A$1:$O$25,PROVEEDORES[[#This Row],[indicador de columna]],FALSE)</f>
        <v>961000</v>
      </c>
      <c r="Y1802" s="99">
        <f>+VLOOKUP(PROVEEDORES[[#This Row],[ID RETENCION]],Retenciones!$A$1:$O$25,2,FALSE)</f>
        <v>2.5000000000000001E-2</v>
      </c>
      <c r="Z1802" s="125" t="b">
        <f>OR(COUNTIF(PROVEEDORES[[#This Row],[PROVEEDOR]],"*"&amp;'Palabra no opera'!$A$2&amp;"*"))</f>
        <v>0</v>
      </c>
    </row>
    <row r="1803" spans="1:26" ht="22.2" customHeight="1" x14ac:dyDescent="0.3">
      <c r="A1803" s="66" t="str">
        <f>+IF(PROVEEDORES[[#This Row],[FECHA DE PAGO]]=PROVEEDORES[[#This Row],[FECHA DE FACTURACIÓN]],"DE CONTADO","CRÉDITO")</f>
        <v>CRÉDITO</v>
      </c>
      <c r="B1803" s="38" t="str">
        <f>+IF((PROVEEDORES[[#This Row],[FECHA DE PAGO]]-PROVEEDORES[[#This Row],[FECHA DE FACTURACIÓN]])&gt;PROVEEDORES[[#This Row],[PLAZO Días]],"PAGO VENCIDO")</f>
        <v>PAGO VENCIDO</v>
      </c>
      <c r="C1803" s="20">
        <f>+VLOOKUP(PROVEEDORES[[#This Row],[PROVEEDOR]],TERCEROS_INFO[#All],2,FALSE)</f>
        <v>30</v>
      </c>
      <c r="D1803" s="25">
        <f>+SUMIFS(PROVEEDORES[Total],PROVEEDORES[PROVEEDOR],PROVEEDORES[[#This Row],[PROVEEDOR]],PROVEEDORES[FECHA DE PAGO],"")</f>
        <v>0</v>
      </c>
      <c r="E1803" s="25"/>
      <c r="F180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803" s="161">
        <v>44445</v>
      </c>
      <c r="H1803" s="26" t="s">
        <v>407</v>
      </c>
      <c r="I1803" s="161">
        <v>44394</v>
      </c>
      <c r="J1803" s="35">
        <v>57</v>
      </c>
      <c r="K1803" s="21">
        <v>3229000</v>
      </c>
      <c r="L1803" s="21"/>
      <c r="M1803" s="22">
        <f>(PROVEEDORES[[#This Row],[SUBTOTAL]]-PROVEEDORES[[#This Row],[descuento sobre subtotal]])*VLOOKUP(PROVEEDORES[[#This Row],[PROVEEDOR]],TERCEROS_INFO[#All],3,FALSE)</f>
        <v>613510</v>
      </c>
      <c r="N1803" s="23"/>
      <c r="O1803" s="22">
        <f>+PROVEEDORES[[#This Row],[Descuento sobre subtotal %]]*(PROVEEDORES[[#This Row],[SUBTOTAL]]-PROVEEDORES[[#This Row],[descuento sobre subtotal]])</f>
        <v>0</v>
      </c>
      <c r="P1803" s="83">
        <f>+IF(PROVEEDORES[[#This Row],[SUBTOTAL]]&lt;PROVEEDORES[[#This Row],[base retencion]],0,PROVEEDORES[[#This Row],[retención aplicada]])</f>
        <v>2.5000000000000001E-2</v>
      </c>
      <c r="Q1803" s="22">
        <f>+PROVEEDORES[[#This Row],[Rete Fuente %]]*(PROVEEDORES[[#This Row],[SUBTOTAL]]-PROVEEDORES[[#This Row],[descuento sobre subtotal]])</f>
        <v>80725</v>
      </c>
      <c r="R1803" s="21">
        <f>+PROVEEDORES[[#This Row],[SUBTOTAL]]+PROVEEDORES[[#This Row],[IVA 19%]]-PROVEEDORES[[#This Row],[descuento sobre subtotal]]-PROVEEDORES[[#This Row],[Descuento sobre subtotal $2]]-PROVEEDORES[[#This Row],[Rete Fuente $]]</f>
        <v>3761785</v>
      </c>
      <c r="S18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3" s="68">
        <f ca="1">IF(PROVEEDORES[[#This Row],[FECHA DE PAGO]]=0,TODAY()-PROVEEDORES[[#This Row],[FECHA DE FACTURACIÓN]]-PROVEEDORES[[#This Row],[PLAZO Días]],0)</f>
        <v>0</v>
      </c>
      <c r="U1803" s="96" t="str">
        <f>+VLOOKUP(PROVEEDORES[[#This Row],[PROVEEDOR]],Terceros!$A:$D,4,FALSE)</f>
        <v>2,5% con base</v>
      </c>
      <c r="V1803" s="97">
        <f>+YEAR(PROVEEDORES[[#This Row],[FECHA DE FACTURACIÓN]])</f>
        <v>2021</v>
      </c>
      <c r="W1803" s="97">
        <f>+MATCH(PROVEEDORES[[#This Row],[año facturado]],Retenciones!$1:$1,0)</f>
        <v>4</v>
      </c>
      <c r="X1803" s="98">
        <f>+VLOOKUP(PROVEEDORES[[#This Row],[ID RETENCION]],Retenciones!$A$1:$O$25,PROVEEDORES[[#This Row],[indicador de columna]],FALSE)</f>
        <v>980000</v>
      </c>
      <c r="Y1803" s="99">
        <f>+VLOOKUP(PROVEEDORES[[#This Row],[ID RETENCION]],Retenciones!$A$1:$O$25,2,FALSE)</f>
        <v>2.5000000000000001E-2</v>
      </c>
      <c r="Z1803" s="125" t="b">
        <f>OR(COUNTIF(PROVEEDORES[[#This Row],[PROVEEDOR]],"*"&amp;'Palabra no opera'!$A$2&amp;"*"))</f>
        <v>0</v>
      </c>
    </row>
    <row r="1804" spans="1:26" ht="22.2" customHeight="1" x14ac:dyDescent="0.3">
      <c r="A1804" s="195" t="str">
        <f>+IF(PROVEEDORES[[#This Row],[FECHA DE PAGO]]=PROVEEDORES[[#This Row],[FECHA DE FACTURACIÓN]],"DE CONTADO","CRÉDITO")</f>
        <v>DE CONTADO</v>
      </c>
      <c r="B1804" s="38" t="b">
        <f>+IF((PROVEEDORES[[#This Row],[FECHA DE PAGO]]-PROVEEDORES[[#This Row],[FECHA DE FACTURACIÓN]])&gt;PROVEEDORES[[#This Row],[PLAZO Días]],"PAGO VENCIDO")</f>
        <v>0</v>
      </c>
      <c r="C1804" s="20">
        <f>+VLOOKUP(PROVEEDORES[[#This Row],[PROVEEDOR]],TERCEROS_INFO[#All],2,FALSE)</f>
        <v>0</v>
      </c>
      <c r="D1804" s="25">
        <f>+SUMIFS(PROVEEDORES[Total],PROVEEDORES[PROVEEDOR],PROVEEDORES[[#This Row],[PROVEEDOR]],PROVEEDORES[FECHA DE PAGO],"")</f>
        <v>0</v>
      </c>
      <c r="E1804" s="25"/>
      <c r="F1804" s="58">
        <f>+VLOOKUP(PROVEEDORES[[#This Row],[PROVEEDOR]],
                       Terceros!$A:$F,
                       5,
                       FALSE)</f>
        <v>0</v>
      </c>
      <c r="G1804" s="161">
        <v>44781</v>
      </c>
      <c r="H1804" s="26" t="s">
        <v>1050</v>
      </c>
      <c r="I1804" s="161">
        <v>44781</v>
      </c>
      <c r="J1804" s="35" t="s">
        <v>1385</v>
      </c>
      <c r="K1804" s="21">
        <v>3765900</v>
      </c>
      <c r="L1804" s="21"/>
      <c r="M1804" s="22">
        <f>(PROVEEDORES[[#This Row],[SUBTOTAL]]-PROVEEDORES[[#This Row],[descuento sobre subtotal]])*VLOOKUP(PROVEEDORES[[#This Row],[PROVEEDOR]],TERCEROS_INFO[#All],3,FALSE)</f>
        <v>0</v>
      </c>
      <c r="N1804" s="23"/>
      <c r="O1804" s="22">
        <f>+PROVEEDORES[[#This Row],[Descuento sobre subtotal %]]*(PROVEEDORES[[#This Row],[SUBTOTAL]]-PROVEEDORES[[#This Row],[descuento sobre subtotal]])</f>
        <v>0</v>
      </c>
      <c r="P1804" s="83">
        <f>+IF(PROVEEDORES[[#This Row],[SUBTOTAL]]&lt;PROVEEDORES[[#This Row],[base retencion]],0,PROVEEDORES[[#This Row],[retención aplicada]])</f>
        <v>0</v>
      </c>
      <c r="Q1804" s="22">
        <f>+PROVEEDORES[[#This Row],[Rete Fuente %]]*(PROVEEDORES[[#This Row],[SUBTOTAL]]-PROVEEDORES[[#This Row],[descuento sobre subtotal]])</f>
        <v>0</v>
      </c>
      <c r="R1804" s="21">
        <f>+PROVEEDORES[[#This Row],[SUBTOTAL]]+PROVEEDORES[[#This Row],[IVA 19%]]-PROVEEDORES[[#This Row],[descuento sobre subtotal]]-PROVEEDORES[[#This Row],[Descuento sobre subtotal $2]]-PROVEEDORES[[#This Row],[Rete Fuente $]]</f>
        <v>3765900</v>
      </c>
      <c r="S1804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4" s="68">
        <f ca="1">IF(PROVEEDORES[[#This Row],[FECHA DE PAGO]]=0,TODAY()-PROVEEDORES[[#This Row],[FECHA DE FACTURACIÓN]]-PROVEEDORES[[#This Row],[PLAZO Días]],0)</f>
        <v>0</v>
      </c>
      <c r="U1804" s="113">
        <f>+VLOOKUP(PROVEEDORES[[#This Row],[PROVEEDOR]],Terceros!$A:$D,4,FALSE)</f>
        <v>0</v>
      </c>
      <c r="V1804" s="114">
        <f>+YEAR(PROVEEDORES[[#This Row],[FECHA DE FACTURACIÓN]])</f>
        <v>2022</v>
      </c>
      <c r="W1804" s="114">
        <f>+MATCH(PROVEEDORES[[#This Row],[año facturado]],Retenciones!$1:$1,0)</f>
        <v>5</v>
      </c>
      <c r="X1804" s="115">
        <f>+VLOOKUP(PROVEEDORES[[#This Row],[ID RETENCION]],Retenciones!$A$1:$O$25,PROVEEDORES[[#This Row],[indicador de columna]],FALSE)</f>
        <v>0</v>
      </c>
      <c r="Y1804" s="116">
        <f>+VLOOKUP(PROVEEDORES[[#This Row],[ID RETENCION]],Retenciones!$A$1:$O$25,2,FALSE)</f>
        <v>0</v>
      </c>
      <c r="Z1804" s="125" t="b">
        <f>OR(COUNTIF(PROVEEDORES[[#This Row],[PROVEEDOR]],"*"&amp;'Palabra no opera'!$A$2&amp;"*"))</f>
        <v>1</v>
      </c>
    </row>
    <row r="1805" spans="1:26" ht="22.2" customHeight="1" x14ac:dyDescent="0.3">
      <c r="A1805" s="72" t="str">
        <f>+IF(PROVEEDORES[[#This Row],[FECHA DE PAGO]]=PROVEEDORES[[#This Row],[FECHA DE FACTURACIÓN]],"DE CONTADO","CRÉDITO")</f>
        <v>CRÉDITO</v>
      </c>
      <c r="B1805" s="38" t="b">
        <f>+IF((PROVEEDORES[[#This Row],[FECHA DE PAGO]]-PROVEEDORES[[#This Row],[FECHA DE FACTURACIÓN]])&gt;PROVEEDORES[[#This Row],[PLAZO Días]],"PAGO VENCIDO")</f>
        <v>0</v>
      </c>
      <c r="C1805" s="20">
        <f>+VLOOKUP(PROVEEDORES[[#This Row],[PROVEEDOR]],TERCEROS_INFO[#All],2,FALSE)</f>
        <v>30</v>
      </c>
      <c r="D1805" s="25">
        <f>+SUMIFS(PROVEEDORES[Total],PROVEEDORES[PROVEEDOR],PROVEEDORES[[#This Row],[PROVEEDOR]],PROVEEDORES[FECHA DE PAGO],"")</f>
        <v>5430852.9800000004</v>
      </c>
      <c r="E1805" s="25"/>
      <c r="F180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805" s="161">
        <v>44799</v>
      </c>
      <c r="H1805" s="26" t="s">
        <v>408</v>
      </c>
      <c r="I1805" s="161">
        <v>44769</v>
      </c>
      <c r="J1805" s="35" t="s">
        <v>1144</v>
      </c>
      <c r="K1805" s="21">
        <v>3170940.64</v>
      </c>
      <c r="L1805" s="21"/>
      <c r="M1805" s="22">
        <f>(PROVEEDORES[[#This Row],[SUBTOTAL]]-PROVEEDORES[[#This Row],[descuento sobre subtotal]])*VLOOKUP(PROVEEDORES[[#This Row],[PROVEEDOR]],TERCEROS_INFO[#All],3,FALSE)</f>
        <v>602478.72160000005</v>
      </c>
      <c r="N1805" s="23"/>
      <c r="O1805" s="22">
        <f>+PROVEEDORES[[#This Row],[Descuento sobre subtotal %]]*(PROVEEDORES[[#This Row],[SUBTOTAL]]-PROVEEDORES[[#This Row],[descuento sobre subtotal]])</f>
        <v>0</v>
      </c>
      <c r="P1805" s="83">
        <f>+IF(PROVEEDORES[[#This Row],[SUBTOTAL]]&lt;PROVEEDORES[[#This Row],[base retencion]],0,PROVEEDORES[[#This Row],[retención aplicada]])</f>
        <v>0</v>
      </c>
      <c r="Q1805" s="22">
        <f>+PROVEEDORES[[#This Row],[Rete Fuente %]]*(PROVEEDORES[[#This Row],[SUBTOTAL]]-PROVEEDORES[[#This Row],[descuento sobre subtotal]])</f>
        <v>0</v>
      </c>
      <c r="R1805" s="21">
        <f>+PROVEEDORES[[#This Row],[SUBTOTAL]]+PROVEEDORES[[#This Row],[IVA 19%]]-PROVEEDORES[[#This Row],[descuento sobre subtotal]]-PROVEEDORES[[#This Row],[Descuento sobre subtotal $2]]-PROVEEDORES[[#This Row],[Rete Fuente $]]</f>
        <v>3773419.3616000004</v>
      </c>
      <c r="S180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5" s="68">
        <f ca="1">IF(PROVEEDORES[[#This Row],[FECHA DE PAGO]]=0,TODAY()-PROVEEDORES[[#This Row],[FECHA DE FACTURACIÓN]]-PROVEEDORES[[#This Row],[PLAZO Días]],0)</f>
        <v>0</v>
      </c>
      <c r="U1805" s="113">
        <f>+VLOOKUP(PROVEEDORES[[#This Row],[PROVEEDOR]],Terceros!$A:$D,4,FALSE)</f>
        <v>0</v>
      </c>
      <c r="V1805" s="114">
        <f>+YEAR(PROVEEDORES[[#This Row],[FECHA DE FACTURACIÓN]])</f>
        <v>2022</v>
      </c>
      <c r="W1805" s="114">
        <f>+MATCH(PROVEEDORES[[#This Row],[año facturado]],Retenciones!$1:$1,0)</f>
        <v>5</v>
      </c>
      <c r="X1805" s="115">
        <f>+VLOOKUP(PROVEEDORES[[#This Row],[ID RETENCION]],Retenciones!$A$1:$O$25,PROVEEDORES[[#This Row],[indicador de columna]],FALSE)</f>
        <v>0</v>
      </c>
      <c r="Y1805" s="116">
        <f>+VLOOKUP(PROVEEDORES[[#This Row],[ID RETENCION]],Retenciones!$A$1:$O$25,2,FALSE)</f>
        <v>0</v>
      </c>
      <c r="Z1805" s="125" t="b">
        <f>OR(COUNTIF(PROVEEDORES[[#This Row],[PROVEEDOR]],"*"&amp;'Palabra no opera'!$A$2&amp;"*"))</f>
        <v>0</v>
      </c>
    </row>
    <row r="1806" spans="1:26" ht="22.2" customHeight="1" x14ac:dyDescent="0.3">
      <c r="A1806" s="66" t="str">
        <f>+IF(PROVEEDORES[[#This Row],[FECHA DE PAGO]]=PROVEEDORES[[#This Row],[FECHA DE FACTURACIÓN]],"DE CONTADO","CRÉDITO")</f>
        <v>CRÉDITO</v>
      </c>
      <c r="B1806" s="38" t="str">
        <f>+IF((PROVEEDORES[[#This Row],[FECHA DE PAGO]]-PROVEEDORES[[#This Row],[FECHA DE FACTURACIÓN]])&gt;PROVEEDORES[[#This Row],[PLAZO Días]],"PAGO VENCIDO")</f>
        <v>PAGO VENCIDO</v>
      </c>
      <c r="C1806" s="20">
        <f>+VLOOKUP(PROVEEDORES[[#This Row],[PROVEEDOR]],TERCEROS_INFO[#All],2,FALSE)</f>
        <v>30</v>
      </c>
      <c r="D1806" s="25">
        <f>+SUMIFS(PROVEEDORES[Total],PROVEEDORES[PROVEEDOR],PROVEEDORES[[#This Row],[PROVEEDOR]],PROVEEDORES[FECHA DE PAGO],"")</f>
        <v>0</v>
      </c>
      <c r="E1806" s="25"/>
      <c r="F1806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806" s="161">
        <v>44398</v>
      </c>
      <c r="H1806" s="26" t="s">
        <v>49</v>
      </c>
      <c r="I1806" s="161">
        <v>44357</v>
      </c>
      <c r="J1806" s="35">
        <v>2717</v>
      </c>
      <c r="K1806" s="21">
        <v>3240000</v>
      </c>
      <c r="L1806" s="21"/>
      <c r="M1806" s="22">
        <f>(PROVEEDORES[[#This Row],[SUBTOTAL]]-PROVEEDORES[[#This Row],[descuento sobre subtotal]])*VLOOKUP(PROVEEDORES[[#This Row],[PROVEEDOR]],TERCEROS_INFO[#All],3,FALSE)</f>
        <v>615600</v>
      </c>
      <c r="N1806" s="23"/>
      <c r="O1806" s="22">
        <f>+PROVEEDORES[[#This Row],[Descuento sobre subtotal %]]*(PROVEEDORES[[#This Row],[SUBTOTAL]]-PROVEEDORES[[#This Row],[descuento sobre subtotal]])</f>
        <v>0</v>
      </c>
      <c r="P1806" s="83">
        <f>+IF(PROVEEDORES[[#This Row],[SUBTOTAL]]&lt;PROVEEDORES[[#This Row],[base retencion]],0,PROVEEDORES[[#This Row],[retención aplicada]])</f>
        <v>2.5000000000000001E-2</v>
      </c>
      <c r="Q1806" s="22">
        <f>+PROVEEDORES[[#This Row],[Rete Fuente %]]*(PROVEEDORES[[#This Row],[SUBTOTAL]]-PROVEEDORES[[#This Row],[descuento sobre subtotal]])</f>
        <v>81000</v>
      </c>
      <c r="R1806" s="21">
        <f>+PROVEEDORES[[#This Row],[SUBTOTAL]]+PROVEEDORES[[#This Row],[IVA 19%]]-PROVEEDORES[[#This Row],[descuento sobre subtotal]]-PROVEEDORES[[#This Row],[Descuento sobre subtotal $2]]-PROVEEDORES[[#This Row],[Rete Fuente $]]</f>
        <v>3774600</v>
      </c>
      <c r="S18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6" s="68">
        <f ca="1">IF(PROVEEDORES[[#This Row],[FECHA DE PAGO]]=0,TODAY()-PROVEEDORES[[#This Row],[FECHA DE FACTURACIÓN]]-PROVEEDORES[[#This Row],[PLAZO Días]],0)</f>
        <v>0</v>
      </c>
      <c r="U1806" s="96" t="str">
        <f>+VLOOKUP(PROVEEDORES[[#This Row],[PROVEEDOR]],Terceros!$A:$D,4,FALSE)</f>
        <v>2,5% con base</v>
      </c>
      <c r="V1806" s="97">
        <f>+YEAR(PROVEEDORES[[#This Row],[FECHA DE FACTURACIÓN]])</f>
        <v>2021</v>
      </c>
      <c r="W1806" s="97">
        <f>+MATCH(PROVEEDORES[[#This Row],[año facturado]],Retenciones!$1:$1,0)</f>
        <v>4</v>
      </c>
      <c r="X1806" s="98">
        <f>+VLOOKUP(PROVEEDORES[[#This Row],[ID RETENCION]],Retenciones!$A$1:$O$25,PROVEEDORES[[#This Row],[indicador de columna]],FALSE)</f>
        <v>980000</v>
      </c>
      <c r="Y1806" s="99">
        <f>+VLOOKUP(PROVEEDORES[[#This Row],[ID RETENCION]],Retenciones!$A$1:$O$25,2,FALSE)</f>
        <v>2.5000000000000001E-2</v>
      </c>
      <c r="Z1806" s="125" t="b">
        <f>OR(COUNTIF(PROVEEDORES[[#This Row],[PROVEEDOR]],"*"&amp;'Palabra no opera'!$A$2&amp;"*"))</f>
        <v>0</v>
      </c>
    </row>
    <row r="1807" spans="1:26" ht="22.2" customHeight="1" x14ac:dyDescent="0.3">
      <c r="A1807" s="66" t="str">
        <f>+IF(PROVEEDORES[[#This Row],[FECHA DE PAGO]]=PROVEEDORES[[#This Row],[FECHA DE FACTURACIÓN]],"DE CONTADO","CRÉDITO")</f>
        <v>CRÉDITO</v>
      </c>
      <c r="B1807" s="38" t="str">
        <f>+IF((PROVEEDORES[[#This Row],[FECHA DE PAGO]]-PROVEEDORES[[#This Row],[FECHA DE FACTURACIÓN]])&gt;PROVEEDORES[[#This Row],[PLAZO Días]],"PAGO VENCIDO")</f>
        <v>PAGO VENCIDO</v>
      </c>
      <c r="C1807" s="20">
        <f>+VLOOKUP(PROVEEDORES[[#This Row],[PROVEEDOR]],TERCEROS_INFO[#All],2,FALSE)</f>
        <v>30</v>
      </c>
      <c r="D1807" s="25">
        <f>+SUMIFS(PROVEEDORES[Total],PROVEEDORES[PROVEEDOR],PROVEEDORES[[#This Row],[PROVEEDOR]],PROVEEDORES[FECHA DE PAGO],"")</f>
        <v>0</v>
      </c>
      <c r="E1807" s="25"/>
      <c r="F1807" s="58" t="str">
        <f>+VLOOKUP(PROVEEDORES[[#This Row],[PROVEEDOR]],
                       Terceros!$A:$F,
                       5,
                       FALSE)</f>
        <v/>
      </c>
      <c r="G1807" s="161">
        <v>44230</v>
      </c>
      <c r="H1807" s="26" t="s">
        <v>654</v>
      </c>
      <c r="I1807" s="161">
        <v>44183</v>
      </c>
      <c r="J1807" s="35"/>
      <c r="K1807" s="21">
        <v>3778000</v>
      </c>
      <c r="L1807" s="21"/>
      <c r="M1807" s="22">
        <f>(PROVEEDORES[[#This Row],[SUBTOTAL]]-PROVEEDORES[[#This Row],[descuento sobre subtotal]])*VLOOKUP(PROVEEDORES[[#This Row],[PROVEEDOR]],TERCEROS_INFO[#All],3,FALSE)</f>
        <v>0</v>
      </c>
      <c r="N1807" s="23"/>
      <c r="O1807" s="22">
        <f>+PROVEEDORES[[#This Row],[Descuento sobre subtotal %]]*(PROVEEDORES[[#This Row],[SUBTOTAL]]-PROVEEDORES[[#This Row],[descuento sobre subtotal]])</f>
        <v>0</v>
      </c>
      <c r="P1807" s="83">
        <f>+IF(PROVEEDORES[[#This Row],[SUBTOTAL]]&lt;PROVEEDORES[[#This Row],[base retencion]],0,PROVEEDORES[[#This Row],[retención aplicada]])</f>
        <v>0</v>
      </c>
      <c r="Q1807" s="22">
        <f>+PROVEEDORES[[#This Row],[Rete Fuente %]]*(PROVEEDORES[[#This Row],[SUBTOTAL]]-PROVEEDORES[[#This Row],[descuento sobre subtotal]])</f>
        <v>0</v>
      </c>
      <c r="R1807" s="21">
        <f>+PROVEEDORES[[#This Row],[SUBTOTAL]]+PROVEEDORES[[#This Row],[IVA 19%]]-PROVEEDORES[[#This Row],[descuento sobre subtotal]]-PROVEEDORES[[#This Row],[Descuento sobre subtotal $2]]-PROVEEDORES[[#This Row],[Rete Fuente $]]</f>
        <v>3778000</v>
      </c>
      <c r="S18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7" s="68">
        <f ca="1">IF(PROVEEDORES[[#This Row],[FECHA DE PAGO]]=0,TODAY()-PROVEEDORES[[#This Row],[FECHA DE FACTURACIÓN]]-PROVEEDORES[[#This Row],[PLAZO Días]],0)</f>
        <v>0</v>
      </c>
      <c r="U1807" s="96">
        <f>+VLOOKUP(PROVEEDORES[[#This Row],[PROVEEDOR]],Terceros!$A:$D,4,FALSE)</f>
        <v>0</v>
      </c>
      <c r="V1807" s="97">
        <f>+YEAR(PROVEEDORES[[#This Row],[FECHA DE FACTURACIÓN]])</f>
        <v>2020</v>
      </c>
      <c r="W1807" s="97">
        <f>+MATCH(PROVEEDORES[[#This Row],[año facturado]],Retenciones!$1:$1,0)</f>
        <v>3</v>
      </c>
      <c r="X1807" s="98">
        <f>+VLOOKUP(PROVEEDORES[[#This Row],[ID RETENCION]],Retenciones!$A$1:$O$25,PROVEEDORES[[#This Row],[indicador de columna]],FALSE)</f>
        <v>0</v>
      </c>
      <c r="Y1807" s="99">
        <f>+VLOOKUP(PROVEEDORES[[#This Row],[ID RETENCION]],Retenciones!$A$1:$O$25,2,FALSE)</f>
        <v>0</v>
      </c>
      <c r="Z1807" s="125" t="b">
        <f>OR(COUNTIF(PROVEEDORES[[#This Row],[PROVEEDOR]],"*"&amp;'Palabra no opera'!$A$2&amp;"*"))</f>
        <v>0</v>
      </c>
    </row>
    <row r="1808" spans="1:26" ht="22.2" customHeight="1" x14ac:dyDescent="0.3">
      <c r="A1808" s="66" t="str">
        <f>+IF(PROVEEDORES[[#This Row],[FECHA DE PAGO]]=PROVEEDORES[[#This Row],[FECHA DE FACTURACIÓN]],"DE CONTADO","CRÉDITO")</f>
        <v>CRÉDITO</v>
      </c>
      <c r="B1808" s="38" t="str">
        <f>+IF((PROVEEDORES[[#This Row],[FECHA DE PAGO]]-PROVEEDORES[[#This Row],[FECHA DE FACTURACIÓN]])&gt;PROVEEDORES[[#This Row],[PLAZO Días]],"PAGO VENCIDO")</f>
        <v>PAGO VENCIDO</v>
      </c>
      <c r="C1808" s="20">
        <f>+VLOOKUP(PROVEEDORES[[#This Row],[PROVEEDOR]],TERCEROS_INFO[#All],2,FALSE)</f>
        <v>30</v>
      </c>
      <c r="D1808" s="25">
        <f>+SUMIFS(PROVEEDORES[Total],PROVEEDORES[PROVEEDOR],PROVEEDORES[[#This Row],[PROVEEDOR]],PROVEEDORES[FECHA DE PAGO],"")</f>
        <v>1333437.8400000001</v>
      </c>
      <c r="E1808" s="25"/>
      <c r="F1808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08" s="161">
        <v>44530</v>
      </c>
      <c r="H1808" s="26" t="s">
        <v>905</v>
      </c>
      <c r="I1808" s="161">
        <v>44489</v>
      </c>
      <c r="J1808" s="35" t="s">
        <v>513</v>
      </c>
      <c r="K1808" s="21">
        <v>3176062</v>
      </c>
      <c r="L1808" s="21"/>
      <c r="M1808" s="22">
        <f>(PROVEEDORES[[#This Row],[SUBTOTAL]]-PROVEEDORES[[#This Row],[descuento sobre subtotal]])*VLOOKUP(PROVEEDORES[[#This Row],[PROVEEDOR]],TERCEROS_INFO[#All],3,FALSE)</f>
        <v>603451.78</v>
      </c>
      <c r="N1808" s="23"/>
      <c r="O1808" s="22">
        <f>+PROVEEDORES[[#This Row],[Descuento sobre subtotal %]]*(PROVEEDORES[[#This Row],[SUBTOTAL]]-PROVEEDORES[[#This Row],[descuento sobre subtotal]])</f>
        <v>0</v>
      </c>
      <c r="P1808" s="83">
        <f>+IF(PROVEEDORES[[#This Row],[SUBTOTAL]]&lt;PROVEEDORES[[#This Row],[base retencion]],0,PROVEEDORES[[#This Row],[retención aplicada]])</f>
        <v>0</v>
      </c>
      <c r="Q1808" s="22">
        <f>+PROVEEDORES[[#This Row],[Rete Fuente %]]*(PROVEEDORES[[#This Row],[SUBTOTAL]]-PROVEEDORES[[#This Row],[descuento sobre subtotal]])</f>
        <v>0</v>
      </c>
      <c r="R1808" s="21">
        <f>+PROVEEDORES[[#This Row],[SUBTOTAL]]+PROVEEDORES[[#This Row],[IVA 19%]]-PROVEEDORES[[#This Row],[descuento sobre subtotal]]-PROVEEDORES[[#This Row],[Descuento sobre subtotal $2]]-PROVEEDORES[[#This Row],[Rete Fuente $]]</f>
        <v>3779513.7800000003</v>
      </c>
      <c r="S18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8" s="68">
        <f ca="1">IF(PROVEEDORES[[#This Row],[FECHA DE PAGO]]=0,TODAY()-PROVEEDORES[[#This Row],[FECHA DE FACTURACIÓN]]-PROVEEDORES[[#This Row],[PLAZO Días]],0)</f>
        <v>0</v>
      </c>
      <c r="U1808" s="96">
        <f>+VLOOKUP(PROVEEDORES[[#This Row],[PROVEEDOR]],Terceros!$A:$D,4,FALSE)</f>
        <v>0</v>
      </c>
      <c r="V1808" s="97">
        <f>+YEAR(PROVEEDORES[[#This Row],[FECHA DE FACTURACIÓN]])</f>
        <v>2021</v>
      </c>
      <c r="W1808" s="97">
        <f>+MATCH(PROVEEDORES[[#This Row],[año facturado]],Retenciones!$1:$1,0)</f>
        <v>4</v>
      </c>
      <c r="X1808" s="98">
        <f>+VLOOKUP(PROVEEDORES[[#This Row],[ID RETENCION]],Retenciones!$A$1:$O$25,PROVEEDORES[[#This Row],[indicador de columna]],FALSE)</f>
        <v>0</v>
      </c>
      <c r="Y1808" s="99">
        <f>+VLOOKUP(PROVEEDORES[[#This Row],[ID RETENCION]],Retenciones!$A$1:$O$25,2,FALSE)</f>
        <v>0</v>
      </c>
      <c r="Z1808" s="125" t="b">
        <f>OR(COUNTIF(PROVEEDORES[[#This Row],[PROVEEDOR]],"*"&amp;'Palabra no opera'!$A$2&amp;"*"))</f>
        <v>1</v>
      </c>
    </row>
    <row r="1809" spans="1:26" ht="22.2" customHeight="1" x14ac:dyDescent="0.3">
      <c r="A1809" s="66" t="str">
        <f>+IF(PROVEEDORES[[#This Row],[FECHA DE PAGO]]=PROVEEDORES[[#This Row],[FECHA DE FACTURACIÓN]],"DE CONTADO","CRÉDITO")</f>
        <v>CRÉDITO</v>
      </c>
      <c r="B1809" s="38" t="str">
        <f>+IF((PROVEEDORES[[#This Row],[FECHA DE PAGO]]-PROVEEDORES[[#This Row],[FECHA DE FACTURACIÓN]])&gt;PROVEEDORES[[#This Row],[PLAZO Días]],"PAGO VENCIDO")</f>
        <v>PAGO VENCIDO</v>
      </c>
      <c r="C1809" s="20">
        <f>+VLOOKUP(PROVEEDORES[[#This Row],[PROVEEDOR]],TERCEROS_INFO[#All],2,FALSE)</f>
        <v>30</v>
      </c>
      <c r="D1809" s="25">
        <f>+SUMIFS(PROVEEDORES[Total],PROVEEDORES[PROVEEDOR],PROVEEDORES[[#This Row],[PROVEEDOR]],PROVEEDORES[FECHA DE PAGO],"")</f>
        <v>2456000</v>
      </c>
      <c r="E1809" s="25"/>
      <c r="F1809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809" s="161">
        <v>44201</v>
      </c>
      <c r="H1809" s="26" t="s">
        <v>623</v>
      </c>
      <c r="I1809" s="161">
        <v>44145</v>
      </c>
      <c r="J1809" s="35">
        <v>304</v>
      </c>
      <c r="K1809" s="21">
        <v>3782500</v>
      </c>
      <c r="L1809" s="21"/>
      <c r="M1809" s="22">
        <f>(PROVEEDORES[[#This Row],[SUBTOTAL]]-PROVEEDORES[[#This Row],[descuento sobre subtotal]])*VLOOKUP(PROVEEDORES[[#This Row],[PROVEEDOR]],TERCEROS_INFO[#All],3,FALSE)</f>
        <v>0</v>
      </c>
      <c r="N1809" s="23"/>
      <c r="O1809" s="22">
        <f>+PROVEEDORES[[#This Row],[Descuento sobre subtotal %]]*(PROVEEDORES[[#This Row],[SUBTOTAL]]-PROVEEDORES[[#This Row],[descuento sobre subtotal]])</f>
        <v>0</v>
      </c>
      <c r="P1809" s="83">
        <f>+IF(PROVEEDORES[[#This Row],[SUBTOTAL]]&lt;PROVEEDORES[[#This Row],[base retencion]],0,PROVEEDORES[[#This Row],[retención aplicada]])</f>
        <v>0</v>
      </c>
      <c r="Q1809" s="22">
        <f>+PROVEEDORES[[#This Row],[Rete Fuente %]]*(PROVEEDORES[[#This Row],[SUBTOTAL]]-PROVEEDORES[[#This Row],[descuento sobre subtotal]])</f>
        <v>0</v>
      </c>
      <c r="R1809" s="21">
        <f>+PROVEEDORES[[#This Row],[SUBTOTAL]]+PROVEEDORES[[#This Row],[IVA 19%]]-PROVEEDORES[[#This Row],[descuento sobre subtotal]]-PROVEEDORES[[#This Row],[Descuento sobre subtotal $2]]-PROVEEDORES[[#This Row],[Rete Fuente $]]</f>
        <v>3782500</v>
      </c>
      <c r="S18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9" s="68">
        <f ca="1">IF(PROVEEDORES[[#This Row],[FECHA DE PAGO]]=0,TODAY()-PROVEEDORES[[#This Row],[FECHA DE FACTURACIÓN]]-PROVEEDORES[[#This Row],[PLAZO Días]],0)</f>
        <v>0</v>
      </c>
      <c r="U1809" s="96">
        <f>+VLOOKUP(PROVEEDORES[[#This Row],[PROVEEDOR]],Terceros!$A:$D,4,FALSE)</f>
        <v>0</v>
      </c>
      <c r="V1809" s="97">
        <f>+YEAR(PROVEEDORES[[#This Row],[FECHA DE FACTURACIÓN]])</f>
        <v>2020</v>
      </c>
      <c r="W1809" s="97">
        <f>+MATCH(PROVEEDORES[[#This Row],[año facturado]],Retenciones!$1:$1,0)</f>
        <v>3</v>
      </c>
      <c r="X1809" s="98">
        <f>+VLOOKUP(PROVEEDORES[[#This Row],[ID RETENCION]],Retenciones!$A$1:$O$25,PROVEEDORES[[#This Row],[indicador de columna]],FALSE)</f>
        <v>0</v>
      </c>
      <c r="Y1809" s="99">
        <f>+VLOOKUP(PROVEEDORES[[#This Row],[ID RETENCION]],Retenciones!$A$1:$O$25,2,FALSE)</f>
        <v>0</v>
      </c>
      <c r="Z1809" s="125" t="b">
        <f>OR(COUNTIF(PROVEEDORES[[#This Row],[PROVEEDOR]],"*"&amp;'Palabra no opera'!$A$2&amp;"*"))</f>
        <v>0</v>
      </c>
    </row>
    <row r="1810" spans="1:26" ht="22.2" customHeight="1" x14ac:dyDescent="0.3">
      <c r="A1810" s="66" t="str">
        <f>+IF(PROVEEDORES[[#This Row],[FECHA DE PAGO]]=PROVEEDORES[[#This Row],[FECHA DE FACTURACIÓN]],"DE CONTADO","CRÉDITO")</f>
        <v>CRÉDITO</v>
      </c>
      <c r="B1810" s="38" t="b">
        <f>+IF((PROVEEDORES[[#This Row],[FECHA DE PAGO]]-PROVEEDORES[[#This Row],[FECHA DE FACTURACIÓN]])&gt;PROVEEDORES[[#This Row],[PLAZO Días]],"PAGO VENCIDO")</f>
        <v>0</v>
      </c>
      <c r="C1810" s="20">
        <f>+VLOOKUP(PROVEEDORES[[#This Row],[PROVEEDOR]],TERCEROS_INFO[#All],2,FALSE)</f>
        <v>30</v>
      </c>
      <c r="D1810" s="25">
        <f>+SUMIFS(PROVEEDORES[Total],PROVEEDORES[PROVEEDOR],PROVEEDORES[[#This Row],[PROVEEDOR]],PROVEEDORES[FECHA DE PAGO],"")</f>
        <v>0</v>
      </c>
      <c r="E1810" s="25"/>
      <c r="F181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0" s="161">
        <v>44554</v>
      </c>
      <c r="H1810" s="26" t="s">
        <v>928</v>
      </c>
      <c r="I1810" s="161">
        <v>44531</v>
      </c>
      <c r="J1810" s="35" t="s">
        <v>592</v>
      </c>
      <c r="K1810" s="21">
        <v>3937653</v>
      </c>
      <c r="L1810" s="21"/>
      <c r="M1810" s="22">
        <f>(PROVEEDORES[[#This Row],[SUBTOTAL]]-PROVEEDORES[[#This Row],[descuento sobre subtotal]])*VLOOKUP(PROVEEDORES[[#This Row],[PROVEEDOR]],TERCEROS_INFO[#All],3,FALSE)</f>
        <v>0</v>
      </c>
      <c r="N1810" s="23"/>
      <c r="O1810" s="22">
        <f>+PROVEEDORES[[#This Row],[Descuento sobre subtotal %]]*(PROVEEDORES[[#This Row],[SUBTOTAL]]-PROVEEDORES[[#This Row],[descuento sobre subtotal]])</f>
        <v>0</v>
      </c>
      <c r="P1810" s="83">
        <f>+IF(PROVEEDORES[[#This Row],[SUBTOTAL]]&lt;PROVEEDORES[[#This Row],[base retencion]],0,PROVEEDORES[[#This Row],[retención aplicada]])</f>
        <v>3.5000000000000003E-2</v>
      </c>
      <c r="Q1810" s="22">
        <f>+PROVEEDORES[[#This Row],[Rete Fuente %]]*(PROVEEDORES[[#This Row],[SUBTOTAL]]-PROVEEDORES[[#This Row],[descuento sobre subtotal]])</f>
        <v>137817.85500000001</v>
      </c>
      <c r="R1810" s="21">
        <f>+PROVEEDORES[[#This Row],[SUBTOTAL]]+PROVEEDORES[[#This Row],[IVA 19%]]-PROVEEDORES[[#This Row],[descuento sobre subtotal]]-PROVEEDORES[[#This Row],[Descuento sobre subtotal $2]]-PROVEEDORES[[#This Row],[Rete Fuente $]]</f>
        <v>3799835.145</v>
      </c>
      <c r="S18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0" s="68">
        <f ca="1">IF(PROVEEDORES[[#This Row],[FECHA DE PAGO]]=0,TODAY()-PROVEEDORES[[#This Row],[FECHA DE FACTURACIÓN]]-PROVEEDORES[[#This Row],[PLAZO Días]],0)</f>
        <v>0</v>
      </c>
      <c r="U1810" s="96" t="str">
        <f>+VLOOKUP(PROVEEDORES[[#This Row],[PROVEEDOR]],Terceros!$A:$D,4,FALSE)</f>
        <v>3,5% sin base</v>
      </c>
      <c r="V1810" s="97">
        <f>+YEAR(PROVEEDORES[[#This Row],[FECHA DE FACTURACIÓN]])</f>
        <v>2021</v>
      </c>
      <c r="W1810" s="97">
        <f>+MATCH(PROVEEDORES[[#This Row],[año facturado]],Retenciones!$1:$1,0)</f>
        <v>4</v>
      </c>
      <c r="X1810" s="98">
        <f>+VLOOKUP(PROVEEDORES[[#This Row],[ID RETENCION]],Retenciones!$A$1:$O$25,PROVEEDORES[[#This Row],[indicador de columna]],FALSE)</f>
        <v>0</v>
      </c>
      <c r="Y1810" s="99">
        <f>+VLOOKUP(PROVEEDORES[[#This Row],[ID RETENCION]],Retenciones!$A$1:$O$25,2,FALSE)</f>
        <v>3.5000000000000003E-2</v>
      </c>
      <c r="Z1810" s="125" t="b">
        <f>OR(COUNTIF(PROVEEDORES[[#This Row],[PROVEEDOR]],"*"&amp;'Palabra no opera'!$A$2&amp;"*"))</f>
        <v>1</v>
      </c>
    </row>
    <row r="1811" spans="1:26" ht="22.2" customHeight="1" x14ac:dyDescent="0.3">
      <c r="A1811" s="66" t="str">
        <f>+IF(PROVEEDORES[[#This Row],[FECHA DE PAGO]]=PROVEEDORES[[#This Row],[FECHA DE FACTURACIÓN]],"DE CONTADO","CRÉDITO")</f>
        <v>CRÉDITO</v>
      </c>
      <c r="B1811" s="38" t="b">
        <f>+IF((PROVEEDORES[[#This Row],[FECHA DE PAGO]]-PROVEEDORES[[#This Row],[FECHA DE FACTURACIÓN]])&gt;PROVEEDORES[[#This Row],[PLAZO Días]],"PAGO VENCIDO")</f>
        <v>0</v>
      </c>
      <c r="C1811" s="20">
        <f>+VLOOKUP(PROVEEDORES[[#This Row],[PROVEEDOR]],TERCEROS_INFO[#All],2,FALSE)</f>
        <v>30</v>
      </c>
      <c r="D1811" s="25">
        <f>+SUMIFS(PROVEEDORES[Total],PROVEEDORES[PROVEEDOR],PROVEEDORES[[#This Row],[PROVEEDOR]],PROVEEDORES[FECHA DE PAGO],"")</f>
        <v>0</v>
      </c>
      <c r="E1811" s="25"/>
      <c r="F181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1" s="161">
        <v>44588</v>
      </c>
      <c r="H1811" s="26" t="s">
        <v>928</v>
      </c>
      <c r="I1811" s="161">
        <v>44562</v>
      </c>
      <c r="J1811" s="35" t="s">
        <v>582</v>
      </c>
      <c r="K1811" s="21">
        <v>3937653</v>
      </c>
      <c r="L1811" s="21"/>
      <c r="M1811" s="22">
        <f>(PROVEEDORES[[#This Row],[SUBTOTAL]]-PROVEEDORES[[#This Row],[descuento sobre subtotal]])*VLOOKUP(PROVEEDORES[[#This Row],[PROVEEDOR]],TERCEROS_INFO[#All],3,FALSE)</f>
        <v>0</v>
      </c>
      <c r="N1811" s="23"/>
      <c r="O1811" s="22">
        <f>+PROVEEDORES[[#This Row],[Descuento sobre subtotal %]]*(PROVEEDORES[[#This Row],[SUBTOTAL]]-PROVEEDORES[[#This Row],[descuento sobre subtotal]])</f>
        <v>0</v>
      </c>
      <c r="P1811" s="83">
        <f>+IF(PROVEEDORES[[#This Row],[SUBTOTAL]]&lt;PROVEEDORES[[#This Row],[base retencion]],0,PROVEEDORES[[#This Row],[retención aplicada]])</f>
        <v>3.5000000000000003E-2</v>
      </c>
      <c r="Q1811" s="22">
        <f>+PROVEEDORES[[#This Row],[Rete Fuente %]]*(PROVEEDORES[[#This Row],[SUBTOTAL]]-PROVEEDORES[[#This Row],[descuento sobre subtotal]])</f>
        <v>137817.85500000001</v>
      </c>
      <c r="R1811" s="21">
        <v>3799835.145</v>
      </c>
      <c r="S18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1" s="68">
        <f ca="1">IF(PROVEEDORES[[#This Row],[FECHA DE PAGO]]=0,TODAY()-PROVEEDORES[[#This Row],[FECHA DE FACTURACIÓN]]-PROVEEDORES[[#This Row],[PLAZO Días]],0)</f>
        <v>0</v>
      </c>
      <c r="U1811" s="96" t="str">
        <f>+VLOOKUP(PROVEEDORES[[#This Row],[PROVEEDOR]],Terceros!$A:$D,4,FALSE)</f>
        <v>3,5% sin base</v>
      </c>
      <c r="V1811" s="97">
        <f>+YEAR(PROVEEDORES[[#This Row],[FECHA DE FACTURACIÓN]])</f>
        <v>2022</v>
      </c>
      <c r="W1811" s="97">
        <f>+MATCH(PROVEEDORES[[#This Row],[año facturado]],Retenciones!$1:$1,0)</f>
        <v>5</v>
      </c>
      <c r="X1811" s="98">
        <f>+VLOOKUP(PROVEEDORES[[#This Row],[ID RETENCION]],Retenciones!$A$1:$O$25,PROVEEDORES[[#This Row],[indicador de columna]],FALSE)</f>
        <v>0</v>
      </c>
      <c r="Y1811" s="99">
        <f>+VLOOKUP(PROVEEDORES[[#This Row],[ID RETENCION]],Retenciones!$A$1:$O$25,2,FALSE)</f>
        <v>3.5000000000000003E-2</v>
      </c>
      <c r="Z1811" s="125" t="b">
        <f>OR(COUNTIF(PROVEEDORES[[#This Row],[PROVEEDOR]],"*"&amp;'Palabra no opera'!$A$2&amp;"*"))</f>
        <v>1</v>
      </c>
    </row>
    <row r="1812" spans="1:26" ht="22.2" customHeight="1" x14ac:dyDescent="0.3">
      <c r="A1812" s="66" t="str">
        <f>+IF(PROVEEDORES[[#This Row],[FECHA DE PAGO]]=PROVEEDORES[[#This Row],[FECHA DE FACTURACIÓN]],"DE CONTADO","CRÉDITO")</f>
        <v>CRÉDITO</v>
      </c>
      <c r="B1812" s="38" t="str">
        <f>+IF((PROVEEDORES[[#This Row],[FECHA DE PAGO]]-PROVEEDORES[[#This Row],[FECHA DE FACTURACIÓN]])&gt;PROVEEDORES[[#This Row],[PLAZO Días]],"PAGO VENCIDO")</f>
        <v>PAGO VENCIDO</v>
      </c>
      <c r="C1812" s="20">
        <f>+VLOOKUP(PROVEEDORES[[#This Row],[PROVEEDOR]],TERCEROS_INFO[#All],2,FALSE)</f>
        <v>30</v>
      </c>
      <c r="D1812" s="25">
        <f>+SUMIFS(PROVEEDORES[Total],PROVEEDORES[PROVEEDOR],PROVEEDORES[[#This Row],[PROVEEDOR]],PROVEEDORES[FECHA DE PAGO],"")</f>
        <v>0</v>
      </c>
      <c r="E1812" s="25"/>
      <c r="F181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12" s="161">
        <v>44257</v>
      </c>
      <c r="H1812" s="26" t="s">
        <v>1637</v>
      </c>
      <c r="I1812" s="161">
        <v>44180</v>
      </c>
      <c r="J1812" s="35">
        <v>19269</v>
      </c>
      <c r="K1812" s="21">
        <v>3336616</v>
      </c>
      <c r="L1812" s="21">
        <v>71448</v>
      </c>
      <c r="M1812" s="22">
        <f>(PROVEEDORES[[#This Row],[SUBTOTAL]]-PROVEEDORES[[#This Row],[descuento sobre subtotal]])*VLOOKUP(PROVEEDORES[[#This Row],[PROVEEDOR]],TERCEROS_INFO[#All],3,FALSE)</f>
        <v>620381.92000000004</v>
      </c>
      <c r="N1812" s="23"/>
      <c r="O1812" s="22">
        <f>+PROVEEDORES[[#This Row],[Descuento sobre subtotal %]]*(PROVEEDORES[[#This Row],[SUBTOTAL]]-PROVEEDORES[[#This Row],[descuento sobre subtotal]])</f>
        <v>0</v>
      </c>
      <c r="P1812" s="83">
        <f>+IF(PROVEEDORES[[#This Row],[SUBTOTAL]]&lt;PROVEEDORES[[#This Row],[base retencion]],0,PROVEEDORES[[#This Row],[retención aplicada]])</f>
        <v>2.5000000000000001E-2</v>
      </c>
      <c r="Q1812" s="22">
        <f>+PROVEEDORES[[#This Row],[Rete Fuente %]]*(PROVEEDORES[[#This Row],[SUBTOTAL]]-PROVEEDORES[[#This Row],[descuento sobre subtotal]])</f>
        <v>81629.200000000012</v>
      </c>
      <c r="R1812" s="21">
        <f>+PROVEEDORES[[#This Row],[SUBTOTAL]]+PROVEEDORES[[#This Row],[IVA 19%]]-PROVEEDORES[[#This Row],[descuento sobre subtotal]]-PROVEEDORES[[#This Row],[Descuento sobre subtotal $2]]-PROVEEDORES[[#This Row],[Rete Fuente $]]</f>
        <v>3803920.7199999997</v>
      </c>
      <c r="S18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2" s="68">
        <f ca="1">IF(PROVEEDORES[[#This Row],[FECHA DE PAGO]]=0,TODAY()-PROVEEDORES[[#This Row],[FECHA DE FACTURACIÓN]]-PROVEEDORES[[#This Row],[PLAZO Días]],0)</f>
        <v>0</v>
      </c>
      <c r="U1812" s="96" t="str">
        <f>+VLOOKUP(PROVEEDORES[[#This Row],[PROVEEDOR]],Terceros!$A:$D,4,FALSE)</f>
        <v>2,5% con base</v>
      </c>
      <c r="V1812" s="97">
        <f>+YEAR(PROVEEDORES[[#This Row],[FECHA DE FACTURACIÓN]])</f>
        <v>2020</v>
      </c>
      <c r="W1812" s="97">
        <f>+MATCH(PROVEEDORES[[#This Row],[año facturado]],Retenciones!$1:$1,0)</f>
        <v>3</v>
      </c>
      <c r="X1812" s="98">
        <f>+VLOOKUP(PROVEEDORES[[#This Row],[ID RETENCION]],Retenciones!$A$1:$O$25,PROVEEDORES[[#This Row],[indicador de columna]],FALSE)</f>
        <v>961000</v>
      </c>
      <c r="Y1812" s="99">
        <f>+VLOOKUP(PROVEEDORES[[#This Row],[ID RETENCION]],Retenciones!$A$1:$O$25,2,FALSE)</f>
        <v>2.5000000000000001E-2</v>
      </c>
      <c r="Z1812" s="125" t="b">
        <f>OR(COUNTIF(PROVEEDORES[[#This Row],[PROVEEDOR]],"*"&amp;'Palabra no opera'!$A$2&amp;"*"))</f>
        <v>0</v>
      </c>
    </row>
    <row r="1813" spans="1:26" ht="22.2" customHeight="1" x14ac:dyDescent="0.3">
      <c r="A1813" s="66" t="str">
        <f>+IF(PROVEEDORES[[#This Row],[FECHA DE PAGO]]=PROVEEDORES[[#This Row],[FECHA DE FACTURACIÓN]],"DE CONTADO","CRÉDITO")</f>
        <v>CRÉDITO</v>
      </c>
      <c r="B1813" s="38" t="b">
        <f>+IF((PROVEEDORES[[#This Row],[FECHA DE PAGO]]-PROVEEDORES[[#This Row],[FECHA DE FACTURACIÓN]])&gt;PROVEEDORES[[#This Row],[PLAZO Días]],"PAGO VENCIDO")</f>
        <v>0</v>
      </c>
      <c r="C1813" s="20">
        <f>+VLOOKUP(PROVEEDORES[[#This Row],[PROVEEDOR]],TERCEROS_INFO[#All],2,FALSE)</f>
        <v>30</v>
      </c>
      <c r="D1813" s="25">
        <f>+SUMIFS(PROVEEDORES[Total],PROVEEDORES[PROVEEDOR],PROVEEDORES[[#This Row],[PROVEEDOR]],PROVEEDORES[FECHA DE PAGO],"")</f>
        <v>0</v>
      </c>
      <c r="E1813" s="25"/>
      <c r="F181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3" s="161">
        <v>44617</v>
      </c>
      <c r="H1813" s="26" t="s">
        <v>928</v>
      </c>
      <c r="I1813" s="161">
        <v>44593</v>
      </c>
      <c r="J1813" s="35" t="s">
        <v>724</v>
      </c>
      <c r="K1813" s="21">
        <v>3958317</v>
      </c>
      <c r="L1813" s="21"/>
      <c r="M1813" s="22">
        <f>(PROVEEDORES[[#This Row],[SUBTOTAL]]-PROVEEDORES[[#This Row],[descuento sobre subtotal]])*VLOOKUP(PROVEEDORES[[#This Row],[PROVEEDOR]],TERCEROS_INFO[#All],3,FALSE)</f>
        <v>0</v>
      </c>
      <c r="N1813" s="23"/>
      <c r="O1813" s="22">
        <f>+PROVEEDORES[[#This Row],[Descuento sobre subtotal %]]*(PROVEEDORES[[#This Row],[SUBTOTAL]]-PROVEEDORES[[#This Row],[descuento sobre subtotal]])</f>
        <v>0</v>
      </c>
      <c r="P1813" s="83">
        <f>+IF(PROVEEDORES[[#This Row],[SUBTOTAL]]&lt;PROVEEDORES[[#This Row],[base retencion]],0,PROVEEDORES[[#This Row],[retención aplicada]])</f>
        <v>3.5000000000000003E-2</v>
      </c>
      <c r="Q1813" s="22">
        <f>+PROVEEDORES[[#This Row],[Rete Fuente %]]*(PROVEEDORES[[#This Row],[SUBTOTAL]]-PROVEEDORES[[#This Row],[descuento sobre subtotal]])</f>
        <v>138541.095</v>
      </c>
      <c r="R1813" s="21">
        <v>3819775.9049999998</v>
      </c>
      <c r="S181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3" s="68">
        <f ca="1">IF(PROVEEDORES[[#This Row],[FECHA DE PAGO]]=0,TODAY()-PROVEEDORES[[#This Row],[FECHA DE FACTURACIÓN]]-PROVEEDORES[[#This Row],[PLAZO Días]],0)</f>
        <v>0</v>
      </c>
      <c r="U1813" s="96" t="str">
        <f>+VLOOKUP(PROVEEDORES[[#This Row],[PROVEEDOR]],Terceros!$A:$D,4,FALSE)</f>
        <v>3,5% sin base</v>
      </c>
      <c r="V1813" s="97">
        <f>+YEAR(PROVEEDORES[[#This Row],[FECHA DE FACTURACIÓN]])</f>
        <v>2022</v>
      </c>
      <c r="W1813" s="97">
        <f>+MATCH(PROVEEDORES[[#This Row],[año facturado]],Retenciones!$1:$1,0)</f>
        <v>5</v>
      </c>
      <c r="X1813" s="98">
        <f>+VLOOKUP(PROVEEDORES[[#This Row],[ID RETENCION]],Retenciones!$A$1:$O$25,PROVEEDORES[[#This Row],[indicador de columna]],FALSE)</f>
        <v>0</v>
      </c>
      <c r="Y1813" s="99">
        <f>+VLOOKUP(PROVEEDORES[[#This Row],[ID RETENCION]],Retenciones!$A$1:$O$25,2,FALSE)</f>
        <v>3.5000000000000003E-2</v>
      </c>
      <c r="Z1813" s="125" t="b">
        <f>OR(COUNTIF(PROVEEDORES[[#This Row],[PROVEEDOR]],"*"&amp;'Palabra no opera'!$A$2&amp;"*"))</f>
        <v>1</v>
      </c>
    </row>
    <row r="1814" spans="1:26" ht="22.2" customHeight="1" x14ac:dyDescent="0.3">
      <c r="A1814" s="66" t="str">
        <f>+IF(PROVEEDORES[[#This Row],[FECHA DE PAGO]]=PROVEEDORES[[#This Row],[FECHA DE FACTURACIÓN]],"DE CONTADO","CRÉDITO")</f>
        <v>CRÉDITO</v>
      </c>
      <c r="B1814" s="38" t="b">
        <f>+IF((PROVEEDORES[[#This Row],[FECHA DE PAGO]]-PROVEEDORES[[#This Row],[FECHA DE FACTURACIÓN]])&gt;PROVEEDORES[[#This Row],[PLAZO Días]],"PAGO VENCIDO")</f>
        <v>0</v>
      </c>
      <c r="C1814" s="20">
        <f>+VLOOKUP(PROVEEDORES[[#This Row],[PROVEEDOR]],TERCEROS_INFO[#All],2,FALSE)</f>
        <v>30</v>
      </c>
      <c r="D1814" s="25">
        <f>+SUMIFS(PROVEEDORES[Total],PROVEEDORES[PROVEEDOR],PROVEEDORES[[#This Row],[PROVEEDOR]],PROVEEDORES[FECHA DE PAGO],"")</f>
        <v>0</v>
      </c>
      <c r="E1814" s="25"/>
      <c r="F181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4" s="161">
        <v>44648</v>
      </c>
      <c r="H1814" s="26" t="s">
        <v>928</v>
      </c>
      <c r="I1814" s="161">
        <v>44621</v>
      </c>
      <c r="J1814" s="35" t="s">
        <v>725</v>
      </c>
      <c r="K1814" s="21">
        <v>3958317</v>
      </c>
      <c r="L1814" s="21"/>
      <c r="M1814" s="22">
        <f>(PROVEEDORES[[#This Row],[SUBTOTAL]]-PROVEEDORES[[#This Row],[descuento sobre subtotal]])*VLOOKUP(PROVEEDORES[[#This Row],[PROVEEDOR]],TERCEROS_INFO[#All],3,FALSE)</f>
        <v>0</v>
      </c>
      <c r="N1814" s="23"/>
      <c r="O1814" s="22">
        <f>+PROVEEDORES[[#This Row],[Descuento sobre subtotal %]]*(PROVEEDORES[[#This Row],[SUBTOTAL]]-PROVEEDORES[[#This Row],[descuento sobre subtotal]])</f>
        <v>0</v>
      </c>
      <c r="P1814" s="83">
        <f>+IF(PROVEEDORES[[#This Row],[SUBTOTAL]]&lt;PROVEEDORES[[#This Row],[base retencion]],0,PROVEEDORES[[#This Row],[retención aplicada]])</f>
        <v>3.5000000000000003E-2</v>
      </c>
      <c r="Q1814" s="22">
        <f>+PROVEEDORES[[#This Row],[Rete Fuente %]]*(PROVEEDORES[[#This Row],[SUBTOTAL]]-PROVEEDORES[[#This Row],[descuento sobre subtotal]])</f>
        <v>138541.095</v>
      </c>
      <c r="R1814" s="21">
        <v>3819775.9049999998</v>
      </c>
      <c r="S18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4" s="68">
        <f ca="1">IF(PROVEEDORES[[#This Row],[FECHA DE PAGO]]=0,TODAY()-PROVEEDORES[[#This Row],[FECHA DE FACTURACIÓN]]-PROVEEDORES[[#This Row],[PLAZO Días]],0)</f>
        <v>0</v>
      </c>
      <c r="U1814" s="96" t="str">
        <f>+VLOOKUP(PROVEEDORES[[#This Row],[PROVEEDOR]],Terceros!$A:$D,4,FALSE)</f>
        <v>3,5% sin base</v>
      </c>
      <c r="V1814" s="97">
        <f>+YEAR(PROVEEDORES[[#This Row],[FECHA DE FACTURACIÓN]])</f>
        <v>2022</v>
      </c>
      <c r="W1814" s="97">
        <f>+MATCH(PROVEEDORES[[#This Row],[año facturado]],Retenciones!$1:$1,0)</f>
        <v>5</v>
      </c>
      <c r="X1814" s="98">
        <f>+VLOOKUP(PROVEEDORES[[#This Row],[ID RETENCION]],Retenciones!$A$1:$O$25,PROVEEDORES[[#This Row],[indicador de columna]],FALSE)</f>
        <v>0</v>
      </c>
      <c r="Y1814" s="99">
        <f>+VLOOKUP(PROVEEDORES[[#This Row],[ID RETENCION]],Retenciones!$A$1:$O$25,2,FALSE)</f>
        <v>3.5000000000000003E-2</v>
      </c>
      <c r="Z1814" s="125" t="b">
        <f>OR(COUNTIF(PROVEEDORES[[#This Row],[PROVEEDOR]],"*"&amp;'Palabra no opera'!$A$2&amp;"*"))</f>
        <v>1</v>
      </c>
    </row>
    <row r="1815" spans="1:26" ht="22.2" customHeight="1" x14ac:dyDescent="0.3">
      <c r="A1815" s="120" t="str">
        <f>+IF(PROVEEDORES[[#This Row],[FECHA DE PAGO]]=PROVEEDORES[[#This Row],[FECHA DE FACTURACIÓN]],"DE CONTADO","CRÉDITO")</f>
        <v>CRÉDITO</v>
      </c>
      <c r="B1815" s="38" t="b">
        <f>+IF((PROVEEDORES[[#This Row],[FECHA DE PAGO]]-PROVEEDORES[[#This Row],[FECHA DE FACTURACIÓN]])&gt;PROVEEDORES[[#This Row],[PLAZO Días]],"PAGO VENCIDO")</f>
        <v>0</v>
      </c>
      <c r="C1815" s="20">
        <f>+VLOOKUP(PROVEEDORES[[#This Row],[PROVEEDOR]],TERCEROS_INFO[#All],2,FALSE)</f>
        <v>30</v>
      </c>
      <c r="D1815" s="25">
        <f>+SUMIFS(PROVEEDORES[Total],PROVEEDORES[PROVEEDOR],PROVEEDORES[[#This Row],[PROVEEDOR]],PROVEEDORES[FECHA DE PAGO],"")</f>
        <v>0</v>
      </c>
      <c r="E1815" s="25"/>
      <c r="F181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5" s="161">
        <v>44678</v>
      </c>
      <c r="H1815" s="26" t="s">
        <v>928</v>
      </c>
      <c r="I1815" s="161">
        <v>44652</v>
      </c>
      <c r="J1815" s="35" t="s">
        <v>895</v>
      </c>
      <c r="K1815" s="21">
        <v>3958317</v>
      </c>
      <c r="L1815" s="21"/>
      <c r="M1815" s="22">
        <f>(PROVEEDORES[[#This Row],[SUBTOTAL]]-PROVEEDORES[[#This Row],[descuento sobre subtotal]])*VLOOKUP(PROVEEDORES[[#This Row],[PROVEEDOR]],TERCEROS_INFO[#All],3,FALSE)</f>
        <v>0</v>
      </c>
      <c r="N1815" s="23"/>
      <c r="O1815" s="22">
        <f>+PROVEEDORES[[#This Row],[Descuento sobre subtotal %]]*(PROVEEDORES[[#This Row],[SUBTOTAL]]-PROVEEDORES[[#This Row],[descuento sobre subtotal]])</f>
        <v>0</v>
      </c>
      <c r="P1815" s="83">
        <f>+IF(PROVEEDORES[[#This Row],[SUBTOTAL]]&lt;PROVEEDORES[[#This Row],[base retencion]],0,PROVEEDORES[[#This Row],[retención aplicada]])</f>
        <v>3.5000000000000003E-2</v>
      </c>
      <c r="Q1815" s="22">
        <f>+PROVEEDORES[[#This Row],[Rete Fuente %]]*(PROVEEDORES[[#This Row],[SUBTOTAL]]-PROVEEDORES[[#This Row],[descuento sobre subtotal]])</f>
        <v>138541.095</v>
      </c>
      <c r="R1815" s="21">
        <f>+PROVEEDORES[[#This Row],[SUBTOTAL]]+PROVEEDORES[[#This Row],[IVA 19%]]-PROVEEDORES[[#This Row],[descuento sobre subtotal]]-PROVEEDORES[[#This Row],[Descuento sobre subtotal $2]]-PROVEEDORES[[#This Row],[Rete Fuente $]]</f>
        <v>3819775.9049999998</v>
      </c>
      <c r="S18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5" s="68">
        <f ca="1">IF(PROVEEDORES[[#This Row],[FECHA DE PAGO]]=0,TODAY()-PROVEEDORES[[#This Row],[FECHA DE FACTURACIÓN]]-PROVEEDORES[[#This Row],[PLAZO Días]],0)</f>
        <v>0</v>
      </c>
      <c r="U1815" s="113" t="str">
        <f>+VLOOKUP(PROVEEDORES[[#This Row],[PROVEEDOR]],Terceros!$A:$D,4,FALSE)</f>
        <v>3,5% sin base</v>
      </c>
      <c r="V1815" s="114">
        <f>+YEAR(PROVEEDORES[[#This Row],[FECHA DE FACTURACIÓN]])</f>
        <v>2022</v>
      </c>
      <c r="W1815" s="114">
        <f>+MATCH(PROVEEDORES[[#This Row],[año facturado]],Retenciones!$1:$1,0)</f>
        <v>5</v>
      </c>
      <c r="X1815" s="115">
        <f>+VLOOKUP(PROVEEDORES[[#This Row],[ID RETENCION]],Retenciones!$A$1:$O$25,PROVEEDORES[[#This Row],[indicador de columna]],FALSE)</f>
        <v>0</v>
      </c>
      <c r="Y1815" s="116">
        <f>+VLOOKUP(PROVEEDORES[[#This Row],[ID RETENCION]],Retenciones!$A$1:$O$25,2,FALSE)</f>
        <v>3.5000000000000003E-2</v>
      </c>
      <c r="Z1815" s="125" t="b">
        <f>OR(COUNTIF(PROVEEDORES[[#This Row],[PROVEEDOR]],"*"&amp;'Palabra no opera'!$A$2&amp;"*"))</f>
        <v>1</v>
      </c>
    </row>
    <row r="1816" spans="1:26" ht="22.2" customHeight="1" x14ac:dyDescent="0.3">
      <c r="A1816" s="123" t="str">
        <f>+IF(PROVEEDORES[[#This Row],[FECHA DE PAGO]]=PROVEEDORES[[#This Row],[FECHA DE FACTURACIÓN]],"DE CONTADO","CRÉDITO")</f>
        <v>CRÉDITO</v>
      </c>
      <c r="B1816" s="38" t="b">
        <f>+IF((PROVEEDORES[[#This Row],[FECHA DE PAGO]]-PROVEEDORES[[#This Row],[FECHA DE FACTURACIÓN]])&gt;PROVEEDORES[[#This Row],[PLAZO Días]],"PAGO VENCIDO")</f>
        <v>0</v>
      </c>
      <c r="C1816" s="20">
        <f>+VLOOKUP(PROVEEDORES[[#This Row],[PROVEEDOR]],TERCEROS_INFO[#All],2,FALSE)</f>
        <v>30</v>
      </c>
      <c r="D1816" s="25">
        <f>+SUMIFS(PROVEEDORES[Total],PROVEEDORES[PROVEEDOR],PROVEEDORES[[#This Row],[PROVEEDOR]],PROVEEDORES[FECHA DE PAGO],"")</f>
        <v>0</v>
      </c>
      <c r="E1816" s="25"/>
      <c r="F181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6" s="161">
        <v>44707</v>
      </c>
      <c r="H1816" s="26" t="s">
        <v>928</v>
      </c>
      <c r="I1816" s="161">
        <v>44682</v>
      </c>
      <c r="J1816" s="35" t="s">
        <v>990</v>
      </c>
      <c r="K1816" s="21">
        <v>3958317</v>
      </c>
      <c r="L1816" s="21"/>
      <c r="M1816" s="22">
        <f>(PROVEEDORES[[#This Row],[SUBTOTAL]]-PROVEEDORES[[#This Row],[descuento sobre subtotal]])*VLOOKUP(PROVEEDORES[[#This Row],[PROVEEDOR]],TERCEROS_INFO[#All],3,FALSE)</f>
        <v>0</v>
      </c>
      <c r="N1816" s="23"/>
      <c r="O1816" s="22">
        <f>+PROVEEDORES[[#This Row],[Descuento sobre subtotal %]]*(PROVEEDORES[[#This Row],[SUBTOTAL]]-PROVEEDORES[[#This Row],[descuento sobre subtotal]])</f>
        <v>0</v>
      </c>
      <c r="P1816" s="83">
        <f>+IF(PROVEEDORES[[#This Row],[SUBTOTAL]]&lt;PROVEEDORES[[#This Row],[base retencion]],0,PROVEEDORES[[#This Row],[retención aplicada]])</f>
        <v>3.5000000000000003E-2</v>
      </c>
      <c r="Q1816" s="22">
        <f>+PROVEEDORES[[#This Row],[Rete Fuente %]]*(PROVEEDORES[[#This Row],[SUBTOTAL]]-PROVEEDORES[[#This Row],[descuento sobre subtotal]])</f>
        <v>138541.095</v>
      </c>
      <c r="R1816" s="21">
        <f>+PROVEEDORES[[#This Row],[SUBTOTAL]]+PROVEEDORES[[#This Row],[IVA 19%]]-PROVEEDORES[[#This Row],[descuento sobre subtotal]]-PROVEEDORES[[#This Row],[Descuento sobre subtotal $2]]-PROVEEDORES[[#This Row],[Rete Fuente $]]</f>
        <v>3819775.9049999998</v>
      </c>
      <c r="S181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6" s="68">
        <f ca="1">IF(PROVEEDORES[[#This Row],[FECHA DE PAGO]]=0,TODAY()-PROVEEDORES[[#This Row],[FECHA DE FACTURACIÓN]]-PROVEEDORES[[#This Row],[PLAZO Días]],0)</f>
        <v>0</v>
      </c>
      <c r="U1816" s="113" t="str">
        <f>+VLOOKUP(PROVEEDORES[[#This Row],[PROVEEDOR]],Terceros!$A:$D,4,FALSE)</f>
        <v>3,5% sin base</v>
      </c>
      <c r="V1816" s="114">
        <f>+YEAR(PROVEEDORES[[#This Row],[FECHA DE FACTURACIÓN]])</f>
        <v>2022</v>
      </c>
      <c r="W1816" s="114">
        <f>+MATCH(PROVEEDORES[[#This Row],[año facturado]],Retenciones!$1:$1,0)</f>
        <v>5</v>
      </c>
      <c r="X1816" s="115">
        <f>+VLOOKUP(PROVEEDORES[[#This Row],[ID RETENCION]],Retenciones!$A$1:$O$25,PROVEEDORES[[#This Row],[indicador de columna]],FALSE)</f>
        <v>0</v>
      </c>
      <c r="Y1816" s="116">
        <f>+VLOOKUP(PROVEEDORES[[#This Row],[ID RETENCION]],Retenciones!$A$1:$O$25,2,FALSE)</f>
        <v>3.5000000000000003E-2</v>
      </c>
      <c r="Z1816" s="125" t="b">
        <f>OR(COUNTIF(PROVEEDORES[[#This Row],[PROVEEDOR]],"*"&amp;'Palabra no opera'!$A$2&amp;"*"))</f>
        <v>1</v>
      </c>
    </row>
    <row r="1817" spans="1:26" ht="22.2" customHeight="1" x14ac:dyDescent="0.3">
      <c r="A1817" s="72" t="str">
        <f>+IF(PROVEEDORES[[#This Row],[FECHA DE PAGO]]=PROVEEDORES[[#This Row],[FECHA DE FACTURACIÓN]],"DE CONTADO","CRÉDITO")</f>
        <v>CRÉDITO</v>
      </c>
      <c r="B1817" s="38" t="b">
        <f>+IF((PROVEEDORES[[#This Row],[FECHA DE PAGO]]-PROVEEDORES[[#This Row],[FECHA DE FACTURACIÓN]])&gt;PROVEEDORES[[#This Row],[PLAZO Días]],"PAGO VENCIDO")</f>
        <v>0</v>
      </c>
      <c r="C1817" s="20">
        <f>+VLOOKUP(PROVEEDORES[[#This Row],[PROVEEDOR]],TERCEROS_INFO[#All],2,FALSE)</f>
        <v>30</v>
      </c>
      <c r="D1817" s="25">
        <f>+SUMIFS(PROVEEDORES[Total],PROVEEDORES[PROVEEDOR],PROVEEDORES[[#This Row],[PROVEEDOR]],PROVEEDORES[FECHA DE PAGO],"")</f>
        <v>0</v>
      </c>
      <c r="E1817" s="25"/>
      <c r="F181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7" s="161">
        <v>44802</v>
      </c>
      <c r="H1817" s="26" t="s">
        <v>928</v>
      </c>
      <c r="I1817" s="161">
        <v>44774</v>
      </c>
      <c r="J1817" s="35" t="s">
        <v>1142</v>
      </c>
      <c r="K1817" s="21">
        <v>3961260</v>
      </c>
      <c r="L1817" s="21"/>
      <c r="M1817" s="22">
        <f>(PROVEEDORES[[#This Row],[SUBTOTAL]]-PROVEEDORES[[#This Row],[descuento sobre subtotal]])*VLOOKUP(PROVEEDORES[[#This Row],[PROVEEDOR]],TERCEROS_INFO[#All],3,FALSE)</f>
        <v>0</v>
      </c>
      <c r="N1817" s="23"/>
      <c r="O1817" s="22">
        <f>+PROVEEDORES[[#This Row],[Descuento sobre subtotal %]]*(PROVEEDORES[[#This Row],[SUBTOTAL]]-PROVEEDORES[[#This Row],[descuento sobre subtotal]])</f>
        <v>0</v>
      </c>
      <c r="P1817" s="83">
        <f>+IF(PROVEEDORES[[#This Row],[SUBTOTAL]]&lt;PROVEEDORES[[#This Row],[base retencion]],0,PROVEEDORES[[#This Row],[retención aplicada]])</f>
        <v>3.5000000000000003E-2</v>
      </c>
      <c r="Q1817" s="22">
        <f>+PROVEEDORES[[#This Row],[Rete Fuente %]]*(PROVEEDORES[[#This Row],[SUBTOTAL]]-PROVEEDORES[[#This Row],[descuento sobre subtotal]])</f>
        <v>138644.1</v>
      </c>
      <c r="R1817" s="21">
        <f>+PROVEEDORES[[#This Row],[SUBTOTAL]]+PROVEEDORES[[#This Row],[IVA 19%]]-PROVEEDORES[[#This Row],[descuento sobre subtotal]]-PROVEEDORES[[#This Row],[Descuento sobre subtotal $2]]-PROVEEDORES[[#This Row],[Rete Fuente $]]</f>
        <v>3822615.9</v>
      </c>
      <c r="S181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7" s="68">
        <f ca="1">IF(PROVEEDORES[[#This Row],[FECHA DE PAGO]]=0,TODAY()-PROVEEDORES[[#This Row],[FECHA DE FACTURACIÓN]]-PROVEEDORES[[#This Row],[PLAZO Días]],0)</f>
        <v>0</v>
      </c>
      <c r="U1817" s="113" t="str">
        <f>+VLOOKUP(PROVEEDORES[[#This Row],[PROVEEDOR]],Terceros!$A:$D,4,FALSE)</f>
        <v>3,5% sin base</v>
      </c>
      <c r="V1817" s="114">
        <f>+YEAR(PROVEEDORES[[#This Row],[FECHA DE FACTURACIÓN]])</f>
        <v>2022</v>
      </c>
      <c r="W1817" s="114">
        <f>+MATCH(PROVEEDORES[[#This Row],[año facturado]],Retenciones!$1:$1,0)</f>
        <v>5</v>
      </c>
      <c r="X1817" s="115">
        <f>+VLOOKUP(PROVEEDORES[[#This Row],[ID RETENCION]],Retenciones!$A$1:$O$25,PROVEEDORES[[#This Row],[indicador de columna]],FALSE)</f>
        <v>0</v>
      </c>
      <c r="Y1817" s="116">
        <f>+VLOOKUP(PROVEEDORES[[#This Row],[ID RETENCION]],Retenciones!$A$1:$O$25,2,FALSE)</f>
        <v>3.5000000000000003E-2</v>
      </c>
      <c r="Z1817" s="125" t="b">
        <f>OR(COUNTIF(PROVEEDORES[[#This Row],[PROVEEDOR]],"*"&amp;'Palabra no opera'!$A$2&amp;"*"))</f>
        <v>1</v>
      </c>
    </row>
    <row r="1818" spans="1:26" ht="22.2" customHeight="1" x14ac:dyDescent="0.3">
      <c r="A1818" s="72" t="str">
        <f>+IF(PROVEEDORES[[#This Row],[FECHA DE PAGO]]=PROVEEDORES[[#This Row],[FECHA DE FACTURACIÓN]],"DE CONTADO","CRÉDITO")</f>
        <v>CRÉDITO</v>
      </c>
      <c r="B1818" s="38" t="b">
        <f>+IF((PROVEEDORES[[#This Row],[FECHA DE PAGO]]-PROVEEDORES[[#This Row],[FECHA DE FACTURACIÓN]])&gt;PROVEEDORES[[#This Row],[PLAZO Días]],"PAGO VENCIDO")</f>
        <v>0</v>
      </c>
      <c r="C1818" s="20">
        <f>+VLOOKUP(PROVEEDORES[[#This Row],[PROVEEDOR]],TERCEROS_INFO[#All],2,FALSE)</f>
        <v>30</v>
      </c>
      <c r="D1818" s="25">
        <f>+SUMIFS(PROVEEDORES[Total],PROVEEDORES[PROVEEDOR],PROVEEDORES[[#This Row],[PROVEEDOR]],PROVEEDORES[FECHA DE PAGO],"")</f>
        <v>0</v>
      </c>
      <c r="E1818" s="25"/>
      <c r="F181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8" s="161">
        <v>44827</v>
      </c>
      <c r="H1818" s="26" t="s">
        <v>928</v>
      </c>
      <c r="I1818" s="161">
        <v>44805</v>
      </c>
      <c r="J1818" s="35" t="s">
        <v>1650</v>
      </c>
      <c r="K1818" s="21">
        <v>3961260</v>
      </c>
      <c r="L1818" s="21"/>
      <c r="M1818" s="22">
        <f>(PROVEEDORES[[#This Row],[SUBTOTAL]]-PROVEEDORES[[#This Row],[descuento sobre subtotal]])*VLOOKUP(PROVEEDORES[[#This Row],[PROVEEDOR]],TERCEROS_INFO[#All],3,FALSE)</f>
        <v>0</v>
      </c>
      <c r="N1818" s="23"/>
      <c r="O1818" s="22">
        <f>+PROVEEDORES[[#This Row],[Descuento sobre subtotal %]]*(PROVEEDORES[[#This Row],[SUBTOTAL]]-PROVEEDORES[[#This Row],[descuento sobre subtotal]])</f>
        <v>0</v>
      </c>
      <c r="P1818" s="83">
        <f>+IF(PROVEEDORES[[#This Row],[SUBTOTAL]]&lt;PROVEEDORES[[#This Row],[base retencion]],0,PROVEEDORES[[#This Row],[retención aplicada]])</f>
        <v>3.5000000000000003E-2</v>
      </c>
      <c r="Q1818" s="22">
        <f>+PROVEEDORES[[#This Row],[Rete Fuente %]]*(PROVEEDORES[[#This Row],[SUBTOTAL]]-PROVEEDORES[[#This Row],[descuento sobre subtotal]])</f>
        <v>138644.1</v>
      </c>
      <c r="R1818" s="21">
        <f>+PROVEEDORES[[#This Row],[SUBTOTAL]]+PROVEEDORES[[#This Row],[IVA 19%]]-PROVEEDORES[[#This Row],[descuento sobre subtotal]]-PROVEEDORES[[#This Row],[Descuento sobre subtotal $2]]-PROVEEDORES[[#This Row],[Rete Fuente $]]</f>
        <v>3822615.9</v>
      </c>
      <c r="S181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8" s="68">
        <f ca="1">IF(PROVEEDORES[[#This Row],[FECHA DE PAGO]]=0,TODAY()-PROVEEDORES[[#This Row],[FECHA DE FACTURACIÓN]]-PROVEEDORES[[#This Row],[PLAZO Días]],0)</f>
        <v>0</v>
      </c>
      <c r="U1818" s="113" t="str">
        <f>+VLOOKUP(PROVEEDORES[[#This Row],[PROVEEDOR]],Terceros!$A:$D,4,FALSE)</f>
        <v>3,5% sin base</v>
      </c>
      <c r="V1818" s="114">
        <f>+YEAR(PROVEEDORES[[#This Row],[FECHA DE FACTURACIÓN]])</f>
        <v>2022</v>
      </c>
      <c r="W1818" s="114">
        <f>+MATCH(PROVEEDORES[[#This Row],[año facturado]],Retenciones!$1:$1,0)</f>
        <v>5</v>
      </c>
      <c r="X1818" s="115">
        <f>+VLOOKUP(PROVEEDORES[[#This Row],[ID RETENCION]],Retenciones!$A$1:$O$25,PROVEEDORES[[#This Row],[indicador de columna]],FALSE)</f>
        <v>0</v>
      </c>
      <c r="Y1818" s="116">
        <f>+VLOOKUP(PROVEEDORES[[#This Row],[ID RETENCION]],Retenciones!$A$1:$O$25,2,FALSE)</f>
        <v>3.5000000000000003E-2</v>
      </c>
      <c r="Z1818" s="125" t="b">
        <f>OR(COUNTIF(PROVEEDORES[[#This Row],[PROVEEDOR]],"*"&amp;'Palabra no opera'!$A$2&amp;"*"))</f>
        <v>1</v>
      </c>
    </row>
    <row r="1819" spans="1:26" ht="22.2" customHeight="1" x14ac:dyDescent="0.3">
      <c r="A1819" s="269" t="str">
        <f>+IF(PROVEEDORES[[#This Row],[FECHA DE PAGO]]=PROVEEDORES[[#This Row],[FECHA DE FACTURACIÓN]],"DE CONTADO","CRÉDITO")</f>
        <v>CRÉDITO</v>
      </c>
      <c r="B1819" s="38" t="b">
        <f>+IF((PROVEEDORES[[#This Row],[FECHA DE PAGO]]-PROVEEDORES[[#This Row],[FECHA DE FACTURACIÓN]])&gt;PROVEEDORES[[#This Row],[PLAZO Días]],"PAGO VENCIDO")</f>
        <v>0</v>
      </c>
      <c r="C1819" s="20">
        <f>+VLOOKUP(PROVEEDORES[[#This Row],[PROVEEDOR]],TERCEROS_INFO[#All],2,FALSE)</f>
        <v>30</v>
      </c>
      <c r="D1819" s="25">
        <f>+SUMIFS(PROVEEDORES[Total],PROVEEDORES[PROVEEDOR],PROVEEDORES[[#This Row],[PROVEEDOR]],PROVEEDORES[FECHA DE PAGO],"")</f>
        <v>0</v>
      </c>
      <c r="E1819" s="25"/>
      <c r="F181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9" s="161">
        <v>44862</v>
      </c>
      <c r="H1819" s="26" t="s">
        <v>928</v>
      </c>
      <c r="I1819" s="161">
        <v>44837</v>
      </c>
      <c r="J1819" s="35" t="s">
        <v>1783</v>
      </c>
      <c r="K1819" s="21">
        <v>3961260</v>
      </c>
      <c r="L1819" s="21"/>
      <c r="M1819" s="22">
        <f>(PROVEEDORES[[#This Row],[SUBTOTAL]]-PROVEEDORES[[#This Row],[descuento sobre subtotal]])*VLOOKUP(PROVEEDORES[[#This Row],[PROVEEDOR]],TERCEROS_INFO[#All],3,FALSE)</f>
        <v>0</v>
      </c>
      <c r="N1819" s="23"/>
      <c r="O1819" s="22">
        <f>+PROVEEDORES[[#This Row],[Descuento sobre subtotal %]]*(PROVEEDORES[[#This Row],[SUBTOTAL]]-PROVEEDORES[[#This Row],[descuento sobre subtotal]])</f>
        <v>0</v>
      </c>
      <c r="P1819" s="83">
        <f>+IF(PROVEEDORES[[#This Row],[SUBTOTAL]]&lt;PROVEEDORES[[#This Row],[base retencion]],0,PROVEEDORES[[#This Row],[retención aplicada]])</f>
        <v>3.5000000000000003E-2</v>
      </c>
      <c r="Q1819" s="22">
        <f>+PROVEEDORES[[#This Row],[Rete Fuente %]]*(PROVEEDORES[[#This Row],[SUBTOTAL]]-PROVEEDORES[[#This Row],[descuento sobre subtotal]])</f>
        <v>138644.1</v>
      </c>
      <c r="R1819" s="21">
        <f>+PROVEEDORES[[#This Row],[SUBTOTAL]]+PROVEEDORES[[#This Row],[IVA 19%]]-PROVEEDORES[[#This Row],[descuento sobre subtotal]]-PROVEEDORES[[#This Row],[Descuento sobre subtotal $2]]-PROVEEDORES[[#This Row],[Rete Fuente $]]</f>
        <v>3822615.9</v>
      </c>
      <c r="S1819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9" s="68">
        <f ca="1">IF(PROVEEDORES[[#This Row],[FECHA DE PAGO]]=0,TODAY()-PROVEEDORES[[#This Row],[FECHA DE FACTURACIÓN]]-PROVEEDORES[[#This Row],[PLAZO Días]],0)</f>
        <v>0</v>
      </c>
      <c r="U1819" s="113" t="str">
        <f>+VLOOKUP(PROVEEDORES[[#This Row],[PROVEEDOR]],Terceros!$A:$D,4,FALSE)</f>
        <v>3,5% sin base</v>
      </c>
      <c r="V1819" s="114">
        <f>+YEAR(PROVEEDORES[[#This Row],[FECHA DE FACTURACIÓN]])</f>
        <v>2022</v>
      </c>
      <c r="W1819" s="114">
        <f>+MATCH(PROVEEDORES[[#This Row],[año facturado]],Retenciones!$1:$1,0)</f>
        <v>5</v>
      </c>
      <c r="X1819" s="115">
        <f>+VLOOKUP(PROVEEDORES[[#This Row],[ID RETENCION]],Retenciones!$A$1:$O$25,PROVEEDORES[[#This Row],[indicador de columna]],FALSE)</f>
        <v>0</v>
      </c>
      <c r="Y1819" s="116">
        <f>+VLOOKUP(PROVEEDORES[[#This Row],[ID RETENCION]],Retenciones!$A$1:$O$25,2,FALSE)</f>
        <v>3.5000000000000003E-2</v>
      </c>
      <c r="Z1819" s="125" t="b">
        <f>OR(COUNTIF(PROVEEDORES[[#This Row],[PROVEEDOR]],"*"&amp;'Palabra no opera'!$A$2&amp;"*"))</f>
        <v>1</v>
      </c>
    </row>
    <row r="1820" spans="1:26" ht="22.2" customHeight="1" x14ac:dyDescent="0.3">
      <c r="A1820" s="146" t="str">
        <f>+IF(PROVEEDORES[[#This Row],[FECHA DE PAGO]]=PROVEEDORES[[#This Row],[FECHA DE FACTURACIÓN]],"DE CONTADO","CRÉDITO")</f>
        <v>CRÉDITO</v>
      </c>
      <c r="B1820" s="38" t="b">
        <f>+IF((PROVEEDORES[[#This Row],[FECHA DE PAGO]]-PROVEEDORES[[#This Row],[FECHA DE FACTURACIÓN]])&gt;PROVEEDORES[[#This Row],[PLAZO Días]],"PAGO VENCIDO")</f>
        <v>0</v>
      </c>
      <c r="C1820" s="20">
        <f>+VLOOKUP(PROVEEDORES[[#This Row],[PROVEEDOR]],TERCEROS_INFO[#All],2,FALSE)</f>
        <v>30</v>
      </c>
      <c r="D1820" s="25">
        <f>+SUMIFS(PROVEEDORES[Total],PROVEEDORES[PROVEEDOR],PROVEEDORES[[#This Row],[PROVEEDOR]],PROVEEDORES[FECHA DE PAGO],"")</f>
        <v>0</v>
      </c>
      <c r="E1820" s="25"/>
      <c r="F182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20" s="161">
        <v>44741</v>
      </c>
      <c r="H1820" s="26" t="s">
        <v>928</v>
      </c>
      <c r="I1820" s="161">
        <v>44713</v>
      </c>
      <c r="J1820" s="35" t="s">
        <v>999</v>
      </c>
      <c r="K1820" s="21">
        <v>3963422</v>
      </c>
      <c r="L1820" s="21"/>
      <c r="M1820" s="22">
        <f>(PROVEEDORES[[#This Row],[SUBTOTAL]]-PROVEEDORES[[#This Row],[descuento sobre subtotal]])*VLOOKUP(PROVEEDORES[[#This Row],[PROVEEDOR]],TERCEROS_INFO[#All],3,FALSE)</f>
        <v>0</v>
      </c>
      <c r="N1820" s="23"/>
      <c r="O1820" s="22">
        <f>+PROVEEDORES[[#This Row],[Descuento sobre subtotal %]]*(PROVEEDORES[[#This Row],[SUBTOTAL]]-PROVEEDORES[[#This Row],[descuento sobre subtotal]])</f>
        <v>0</v>
      </c>
      <c r="P1820" s="83">
        <f>+IF(PROVEEDORES[[#This Row],[SUBTOTAL]]&lt;PROVEEDORES[[#This Row],[base retencion]],0,PROVEEDORES[[#This Row],[retención aplicada]])</f>
        <v>3.5000000000000003E-2</v>
      </c>
      <c r="Q1820" s="22">
        <f>+PROVEEDORES[[#This Row],[Rete Fuente %]]*(PROVEEDORES[[#This Row],[SUBTOTAL]]-PROVEEDORES[[#This Row],[descuento sobre subtotal]])</f>
        <v>138719.77000000002</v>
      </c>
      <c r="R1820" s="21">
        <f>+PROVEEDORES[[#This Row],[SUBTOTAL]]+PROVEEDORES[[#This Row],[IVA 19%]]-PROVEEDORES[[#This Row],[descuento sobre subtotal]]-PROVEEDORES[[#This Row],[Descuento sobre subtotal $2]]-PROVEEDORES[[#This Row],[Rete Fuente $]]</f>
        <v>3824702.23</v>
      </c>
      <c r="S1820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0" s="68">
        <f ca="1">IF(PROVEEDORES[[#This Row],[FECHA DE PAGO]]=0,TODAY()-PROVEEDORES[[#This Row],[FECHA DE FACTURACIÓN]]-PROVEEDORES[[#This Row],[PLAZO Días]],0)</f>
        <v>0</v>
      </c>
      <c r="U1820" s="113" t="str">
        <f>+VLOOKUP(PROVEEDORES[[#This Row],[PROVEEDOR]],Terceros!$A:$D,4,FALSE)</f>
        <v>3,5% sin base</v>
      </c>
      <c r="V1820" s="114">
        <f>+YEAR(PROVEEDORES[[#This Row],[FECHA DE FACTURACIÓN]])</f>
        <v>2022</v>
      </c>
      <c r="W1820" s="114">
        <f>+MATCH(PROVEEDORES[[#This Row],[año facturado]],Retenciones!$1:$1,0)</f>
        <v>5</v>
      </c>
      <c r="X1820" s="115">
        <f>+VLOOKUP(PROVEEDORES[[#This Row],[ID RETENCION]],Retenciones!$A$1:$O$25,PROVEEDORES[[#This Row],[indicador de columna]],FALSE)</f>
        <v>0</v>
      </c>
      <c r="Y1820" s="116">
        <f>+VLOOKUP(PROVEEDORES[[#This Row],[ID RETENCION]],Retenciones!$A$1:$O$25,2,FALSE)</f>
        <v>3.5000000000000003E-2</v>
      </c>
      <c r="Z1820" s="125" t="b">
        <f>OR(COUNTIF(PROVEEDORES[[#This Row],[PROVEEDOR]],"*"&amp;'Palabra no opera'!$A$2&amp;"*"))</f>
        <v>1</v>
      </c>
    </row>
    <row r="1821" spans="1:26" ht="22.2" customHeight="1" x14ac:dyDescent="0.3">
      <c r="A1821" s="159" t="str">
        <f>+IF(PROVEEDORES[[#This Row],[FECHA DE PAGO]]=PROVEEDORES[[#This Row],[FECHA DE FACTURACIÓN]],"DE CONTADO","CRÉDITO")</f>
        <v>CRÉDITO</v>
      </c>
      <c r="B1821" s="38" t="b">
        <f>+IF((PROVEEDORES[[#This Row],[FECHA DE PAGO]]-PROVEEDORES[[#This Row],[FECHA DE FACTURACIÓN]])&gt;PROVEEDORES[[#This Row],[PLAZO Días]],"PAGO VENCIDO")</f>
        <v>0</v>
      </c>
      <c r="C1821" s="20">
        <f>+VLOOKUP(PROVEEDORES[[#This Row],[PROVEEDOR]],TERCEROS_INFO[#All],2,FALSE)</f>
        <v>30</v>
      </c>
      <c r="D1821" s="25">
        <f>+SUMIFS(PROVEEDORES[Total],PROVEEDORES[PROVEEDOR],PROVEEDORES[[#This Row],[PROVEEDOR]],PROVEEDORES[FECHA DE PAGO],"")</f>
        <v>0</v>
      </c>
      <c r="E1821" s="25"/>
      <c r="F182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21" s="161">
        <v>44768</v>
      </c>
      <c r="H1821" s="26" t="s">
        <v>928</v>
      </c>
      <c r="I1821" s="161">
        <v>44743</v>
      </c>
      <c r="J1821" s="35" t="s">
        <v>1085</v>
      </c>
      <c r="K1821" s="21">
        <v>3963422</v>
      </c>
      <c r="L1821" s="21"/>
      <c r="M1821" s="22">
        <f>(PROVEEDORES[[#This Row],[SUBTOTAL]]-PROVEEDORES[[#This Row],[descuento sobre subtotal]])*VLOOKUP(PROVEEDORES[[#This Row],[PROVEEDOR]],TERCEROS_INFO[#All],3,FALSE)</f>
        <v>0</v>
      </c>
      <c r="N1821" s="23"/>
      <c r="O1821" s="22">
        <f>+PROVEEDORES[[#This Row],[Descuento sobre subtotal %]]*(PROVEEDORES[[#This Row],[SUBTOTAL]]-PROVEEDORES[[#This Row],[descuento sobre subtotal]])</f>
        <v>0</v>
      </c>
      <c r="P1821" s="83">
        <f>+IF(PROVEEDORES[[#This Row],[SUBTOTAL]]&lt;PROVEEDORES[[#This Row],[base retencion]],0,PROVEEDORES[[#This Row],[retención aplicada]])</f>
        <v>3.5000000000000003E-2</v>
      </c>
      <c r="Q1821" s="22">
        <f>+PROVEEDORES[[#This Row],[Rete Fuente %]]*(PROVEEDORES[[#This Row],[SUBTOTAL]]-PROVEEDORES[[#This Row],[descuento sobre subtotal]])</f>
        <v>138719.77000000002</v>
      </c>
      <c r="R1821" s="21">
        <f>+PROVEEDORES[[#This Row],[SUBTOTAL]]+PROVEEDORES[[#This Row],[IVA 19%]]-PROVEEDORES[[#This Row],[descuento sobre subtotal]]-PROVEEDORES[[#This Row],[Descuento sobre subtotal $2]]-PROVEEDORES[[#This Row],[Rete Fuente $]]</f>
        <v>3824702.23</v>
      </c>
      <c r="S182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1" s="68">
        <f ca="1">IF(PROVEEDORES[[#This Row],[FECHA DE PAGO]]=0,TODAY()-PROVEEDORES[[#This Row],[FECHA DE FACTURACIÓN]]-PROVEEDORES[[#This Row],[PLAZO Días]],0)</f>
        <v>0</v>
      </c>
      <c r="U1821" s="113" t="str">
        <f>+VLOOKUP(PROVEEDORES[[#This Row],[PROVEEDOR]],Terceros!$A:$D,4,FALSE)</f>
        <v>3,5% sin base</v>
      </c>
      <c r="V1821" s="114">
        <f>+YEAR(PROVEEDORES[[#This Row],[FECHA DE FACTURACIÓN]])</f>
        <v>2022</v>
      </c>
      <c r="W1821" s="114">
        <f>+MATCH(PROVEEDORES[[#This Row],[año facturado]],Retenciones!$1:$1,0)</f>
        <v>5</v>
      </c>
      <c r="X1821" s="115">
        <f>+VLOOKUP(PROVEEDORES[[#This Row],[ID RETENCION]],Retenciones!$A$1:$O$25,PROVEEDORES[[#This Row],[indicador de columna]],FALSE)</f>
        <v>0</v>
      </c>
      <c r="Y1821" s="116">
        <f>+VLOOKUP(PROVEEDORES[[#This Row],[ID RETENCION]],Retenciones!$A$1:$O$25,2,FALSE)</f>
        <v>3.5000000000000003E-2</v>
      </c>
      <c r="Z1821" s="125" t="b">
        <f>OR(COUNTIF(PROVEEDORES[[#This Row],[PROVEEDOR]],"*"&amp;'Palabra no opera'!$A$2&amp;"*"))</f>
        <v>1</v>
      </c>
    </row>
    <row r="1822" spans="1:26" ht="22.2" customHeight="1" x14ac:dyDescent="0.3">
      <c r="A1822" s="72" t="str">
        <f>+IF(PROVEEDORES[[#This Row],[FECHA DE PAGO]]=PROVEEDORES[[#This Row],[FECHA DE FACTURACIÓN]],"DE CONTADO","CRÉDITO")</f>
        <v>CRÉDITO</v>
      </c>
      <c r="B1822" s="38" t="b">
        <f>+IF((PROVEEDORES[[#This Row],[FECHA DE PAGO]]-PROVEEDORES[[#This Row],[FECHA DE FACTURACIÓN]])&gt;PROVEEDORES[[#This Row],[PLAZO Días]],"PAGO VENCIDO")</f>
        <v>0</v>
      </c>
      <c r="C1822" s="20">
        <f>+VLOOKUP(PROVEEDORES[[#This Row],[PROVEEDOR]],TERCEROS_INFO[#All],2,FALSE)</f>
        <v>90</v>
      </c>
      <c r="D1822" s="25">
        <f>+SUMIFS(PROVEEDORES[Total],PROVEEDORES[PROVEEDOR],PROVEEDORES[[#This Row],[PROVEEDOR]],PROVEEDORES[FECHA DE PAGO],"")</f>
        <v>26350422.770000003</v>
      </c>
      <c r="E1822" s="25"/>
      <c r="F182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1822" s="26" t="s">
        <v>12</v>
      </c>
      <c r="I1822" s="161">
        <v>44810</v>
      </c>
      <c r="J1822" s="35" t="s">
        <v>1758</v>
      </c>
      <c r="K1822" s="21">
        <v>3283196</v>
      </c>
      <c r="L1822" s="21"/>
      <c r="M1822" s="22">
        <f>(PROVEEDORES[[#This Row],[SUBTOTAL]]-PROVEEDORES[[#This Row],[descuento sobre subtotal]])*VLOOKUP(PROVEEDORES[[#This Row],[PROVEEDOR]],TERCEROS_INFO[#All],3,FALSE)</f>
        <v>623807.24</v>
      </c>
      <c r="N1822" s="23"/>
      <c r="O1822" s="22">
        <f>+PROVEEDORES[[#This Row],[Descuento sobre subtotal %]]*(PROVEEDORES[[#This Row],[SUBTOTAL]]-PROVEEDORES[[#This Row],[descuento sobre subtotal]])</f>
        <v>0</v>
      </c>
      <c r="P1822" s="83">
        <f>+IF(PROVEEDORES[[#This Row],[SUBTOTAL]]&lt;PROVEEDORES[[#This Row],[base retencion]],0,PROVEEDORES[[#This Row],[retención aplicada]])</f>
        <v>2.5000000000000001E-2</v>
      </c>
      <c r="Q1822" s="22">
        <f>+PROVEEDORES[[#This Row],[Rete Fuente %]]*(PROVEEDORES[[#This Row],[SUBTOTAL]]-PROVEEDORES[[#This Row],[descuento sobre subtotal]])</f>
        <v>82079.900000000009</v>
      </c>
      <c r="R1822" s="21">
        <f>+PROVEEDORES[[#This Row],[SUBTOTAL]]+PROVEEDORES[[#This Row],[IVA 19%]]-PROVEEDORES[[#This Row],[descuento sobre subtotal]]-PROVEEDORES[[#This Row],[Descuento sobre subtotal $2]]-PROVEEDORES[[#This Row],[Rete Fuente $]]</f>
        <v>3824923.3400000003</v>
      </c>
      <c r="S1822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822" s="68">
        <f ca="1">IF(PROVEEDORES[[#This Row],[FECHA DE PAGO]]=0,TODAY()-PROVEEDORES[[#This Row],[FECHA DE FACTURACIÓN]]-PROVEEDORES[[#This Row],[PLAZO Días]],0)</f>
        <v>-25</v>
      </c>
      <c r="U1822" s="113" t="str">
        <f>+VLOOKUP(PROVEEDORES[[#This Row],[PROVEEDOR]],Terceros!$A:$D,4,FALSE)</f>
        <v>2,5% con base</v>
      </c>
      <c r="V1822" s="114">
        <f>+YEAR(PROVEEDORES[[#This Row],[FECHA DE FACTURACIÓN]])</f>
        <v>2022</v>
      </c>
      <c r="W1822" s="114">
        <f>+MATCH(PROVEEDORES[[#This Row],[año facturado]],Retenciones!$1:$1,0)</f>
        <v>5</v>
      </c>
      <c r="X1822" s="115">
        <f>+VLOOKUP(PROVEEDORES[[#This Row],[ID RETENCION]],Retenciones!$A$1:$O$25,PROVEEDORES[[#This Row],[indicador de columna]],FALSE)</f>
        <v>1026000</v>
      </c>
      <c r="Y1822" s="116">
        <f>+VLOOKUP(PROVEEDORES[[#This Row],[ID RETENCION]],Retenciones!$A$1:$O$25,2,FALSE)</f>
        <v>2.5000000000000001E-2</v>
      </c>
      <c r="Z1822" s="125" t="b">
        <f>OR(COUNTIF(PROVEEDORES[[#This Row],[PROVEEDOR]],"*"&amp;'Palabra no opera'!$A$2&amp;"*"))</f>
        <v>0</v>
      </c>
    </row>
    <row r="1823" spans="1:26" ht="22.2" customHeight="1" x14ac:dyDescent="0.3">
      <c r="A1823" s="66" t="str">
        <f>+IF(PROVEEDORES[[#This Row],[FECHA DE PAGO]]=PROVEEDORES[[#This Row],[FECHA DE FACTURACIÓN]],"DE CONTADO","CRÉDITO")</f>
        <v>CRÉDITO</v>
      </c>
      <c r="B1823" s="38" t="b">
        <f>+IF((PROVEEDORES[[#This Row],[FECHA DE PAGO]]-PROVEEDORES[[#This Row],[FECHA DE FACTURACIÓN]])&gt;PROVEEDORES[[#This Row],[PLAZO Días]],"PAGO VENCIDO")</f>
        <v>0</v>
      </c>
      <c r="C1823" s="20">
        <f>+VLOOKUP(PROVEEDORES[[#This Row],[PROVEEDOR]],TERCEROS_INFO[#All],2,FALSE)</f>
        <v>30</v>
      </c>
      <c r="D1823" s="25">
        <f>+SUMIFS(PROVEEDORES[Total],PROVEEDORES[PROVEEDOR],PROVEEDORES[[#This Row],[PROVEEDOR]],PROVEEDORES[FECHA DE PAGO],"")</f>
        <v>4712021.58</v>
      </c>
      <c r="E1823" s="25"/>
      <c r="F182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23" s="161">
        <v>44271</v>
      </c>
      <c r="H1823" s="26" t="s">
        <v>17</v>
      </c>
      <c r="I1823" s="161">
        <v>44242</v>
      </c>
      <c r="J1823" s="35">
        <v>1726381</v>
      </c>
      <c r="K1823" s="21">
        <v>3219678</v>
      </c>
      <c r="L1823" s="21"/>
      <c r="M1823" s="22">
        <f>(PROVEEDORES[[#This Row],[SUBTOTAL]]-PROVEEDORES[[#This Row],[descuento sobre subtotal]])*VLOOKUP(PROVEEDORES[[#This Row],[PROVEEDOR]],TERCEROS_INFO[#All],3,FALSE)</f>
        <v>611738.82000000007</v>
      </c>
      <c r="N1823" s="23"/>
      <c r="O1823" s="22">
        <f>+PROVEEDORES[[#This Row],[Descuento sobre subtotal %]]*(PROVEEDORES[[#This Row],[SUBTOTAL]]-PROVEEDORES[[#This Row],[descuento sobre subtotal]])</f>
        <v>0</v>
      </c>
      <c r="P1823" s="83">
        <f>+IF(PROVEEDORES[[#This Row],[SUBTOTAL]]&lt;PROVEEDORES[[#This Row],[base retencion]],0,PROVEEDORES[[#This Row],[retención aplicada]])</f>
        <v>0</v>
      </c>
      <c r="Q1823" s="22">
        <f>+PROVEEDORES[[#This Row],[Rete Fuente %]]*(PROVEEDORES[[#This Row],[SUBTOTAL]]-PROVEEDORES[[#This Row],[descuento sobre subtotal]])</f>
        <v>0</v>
      </c>
      <c r="R1823" s="21">
        <f>+PROVEEDORES[[#This Row],[SUBTOTAL]]+PROVEEDORES[[#This Row],[IVA 19%]]-PROVEEDORES[[#This Row],[descuento sobre subtotal]]-PROVEEDORES[[#This Row],[Descuento sobre subtotal $2]]-PROVEEDORES[[#This Row],[Rete Fuente $]]</f>
        <v>3831416.8200000003</v>
      </c>
      <c r="S18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3" s="68">
        <f ca="1">IF(PROVEEDORES[[#This Row],[FECHA DE PAGO]]=0,TODAY()-PROVEEDORES[[#This Row],[FECHA DE FACTURACIÓN]]-PROVEEDORES[[#This Row],[PLAZO Días]],0)</f>
        <v>0</v>
      </c>
      <c r="U1823" s="96">
        <f>+VLOOKUP(PROVEEDORES[[#This Row],[PROVEEDOR]],Terceros!$A:$D,4,FALSE)</f>
        <v>0</v>
      </c>
      <c r="V1823" s="97">
        <f>+YEAR(PROVEEDORES[[#This Row],[FECHA DE FACTURACIÓN]])</f>
        <v>2021</v>
      </c>
      <c r="W1823" s="97">
        <f>+MATCH(PROVEEDORES[[#This Row],[año facturado]],Retenciones!$1:$1,0)</f>
        <v>4</v>
      </c>
      <c r="X1823" s="98">
        <f>+VLOOKUP(PROVEEDORES[[#This Row],[ID RETENCION]],Retenciones!$A$1:$O$25,PROVEEDORES[[#This Row],[indicador de columna]],FALSE)</f>
        <v>0</v>
      </c>
      <c r="Y1823" s="99">
        <f>+VLOOKUP(PROVEEDORES[[#This Row],[ID RETENCION]],Retenciones!$A$1:$O$25,2,FALSE)</f>
        <v>0</v>
      </c>
      <c r="Z1823" s="125" t="b">
        <f>OR(COUNTIF(PROVEEDORES[[#This Row],[PROVEEDOR]],"*"&amp;'Palabra no opera'!$A$2&amp;"*"))</f>
        <v>0</v>
      </c>
    </row>
    <row r="1824" spans="1:26" ht="22.2" customHeight="1" x14ac:dyDescent="0.3">
      <c r="A1824" s="66" t="str">
        <f>+IF(PROVEEDORES[[#This Row],[FECHA DE PAGO]]=PROVEEDORES[[#This Row],[FECHA DE FACTURACIÓN]],"DE CONTADO","CRÉDITO")</f>
        <v>CRÉDITO</v>
      </c>
      <c r="B1824" s="38" t="str">
        <f>+IF((PROVEEDORES[[#This Row],[FECHA DE PAGO]]-PROVEEDORES[[#This Row],[FECHA DE FACTURACIÓN]])&gt;PROVEEDORES[[#This Row],[PLAZO Días]],"PAGO VENCIDO")</f>
        <v>PAGO VENCIDO</v>
      </c>
      <c r="C1824" s="20">
        <f>+VLOOKUP(PROVEEDORES[[#This Row],[PROVEEDOR]],TERCEROS_INFO[#All],2,FALSE)</f>
        <v>20</v>
      </c>
      <c r="D1824" s="25">
        <f>+SUMIFS(PROVEEDORES[Total],PROVEEDORES[PROVEEDOR],PROVEEDORES[[#This Row],[PROVEEDOR]],PROVEEDORES[FECHA DE PAGO],"")</f>
        <v>0</v>
      </c>
      <c r="E1824" s="25"/>
      <c r="F182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24" s="161">
        <v>44341</v>
      </c>
      <c r="H1824" s="26" t="s">
        <v>942</v>
      </c>
      <c r="I1824" s="161">
        <v>44317</v>
      </c>
      <c r="J1824" s="35">
        <v>39048</v>
      </c>
      <c r="K1824" s="21">
        <v>3322500</v>
      </c>
      <c r="L1824" s="21"/>
      <c r="M1824" s="22">
        <f>(PROVEEDORES[[#This Row],[SUBTOTAL]]-PROVEEDORES[[#This Row],[descuento sobre subtotal]])*VLOOKUP(PROVEEDORES[[#This Row],[PROVEEDOR]],TERCEROS_INFO[#All],3,FALSE)</f>
        <v>631275</v>
      </c>
      <c r="N1824" s="23"/>
      <c r="O1824" s="22">
        <f>+PROVEEDORES[[#This Row],[Descuento sobre subtotal %]]*(PROVEEDORES[[#This Row],[SUBTOTAL]]-PROVEEDORES[[#This Row],[descuento sobre subtotal]])</f>
        <v>0</v>
      </c>
      <c r="P1824" s="83">
        <f>+IF(PROVEEDORES[[#This Row],[SUBTOTAL]]&lt;PROVEEDORES[[#This Row],[base retencion]],0,PROVEEDORES[[#This Row],[retención aplicada]])</f>
        <v>3.5000000000000003E-2</v>
      </c>
      <c r="Q1824" s="22">
        <f>+PROVEEDORES[[#This Row],[Rete Fuente %]]*(PROVEEDORES[[#This Row],[SUBTOTAL]]-PROVEEDORES[[#This Row],[descuento sobre subtotal]])</f>
        <v>116287.50000000001</v>
      </c>
      <c r="R1824" s="21">
        <f>+PROVEEDORES[[#This Row],[SUBTOTAL]]+PROVEEDORES[[#This Row],[IVA 19%]]-PROVEEDORES[[#This Row],[descuento sobre subtotal]]-PROVEEDORES[[#This Row],[Descuento sobre subtotal $2]]-PROVEEDORES[[#This Row],[Rete Fuente $]]</f>
        <v>3837487.5</v>
      </c>
      <c r="S18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4" s="68">
        <f ca="1">IF(PROVEEDORES[[#This Row],[FECHA DE PAGO]]=0,TODAY()-PROVEEDORES[[#This Row],[FECHA DE FACTURACIÓN]]-PROVEEDORES[[#This Row],[PLAZO Días]],0)</f>
        <v>0</v>
      </c>
      <c r="U1824" s="96" t="str">
        <f>+VLOOKUP(PROVEEDORES[[#This Row],[PROVEEDOR]],Terceros!$A:$D,4,FALSE)</f>
        <v>3,5% sin base</v>
      </c>
      <c r="V1824" s="97">
        <f>+YEAR(PROVEEDORES[[#This Row],[FECHA DE FACTURACIÓN]])</f>
        <v>2021</v>
      </c>
      <c r="W1824" s="97">
        <f>+MATCH(PROVEEDORES[[#This Row],[año facturado]],Retenciones!$1:$1,0)</f>
        <v>4</v>
      </c>
      <c r="X1824" s="98">
        <f>+VLOOKUP(PROVEEDORES[[#This Row],[ID RETENCION]],Retenciones!$A$1:$O$25,PROVEEDORES[[#This Row],[indicador de columna]],FALSE)</f>
        <v>0</v>
      </c>
      <c r="Y1824" s="99">
        <f>+VLOOKUP(PROVEEDORES[[#This Row],[ID RETENCION]],Retenciones!$A$1:$O$25,2,FALSE)</f>
        <v>3.5000000000000003E-2</v>
      </c>
      <c r="Z1824" s="126" t="b">
        <f>OR(COUNTIF(PROVEEDORES[[#This Row],[PROVEEDOR]],"*"&amp;'Palabra no opera'!$A$2&amp;"*"))</f>
        <v>1</v>
      </c>
    </row>
    <row r="1825" spans="1:26" ht="22.2" customHeight="1" x14ac:dyDescent="0.3">
      <c r="A1825" s="195" t="str">
        <f>+IF(PROVEEDORES[[#This Row],[FECHA DE PAGO]]=PROVEEDORES[[#This Row],[FECHA DE FACTURACIÓN]],"DE CONTADO","CRÉDITO")</f>
        <v>CRÉDITO</v>
      </c>
      <c r="B1825" s="38" t="str">
        <f>+IF((PROVEEDORES[[#This Row],[FECHA DE PAGO]]-PROVEEDORES[[#This Row],[FECHA DE FACTURACIÓN]])&gt;PROVEEDORES[[#This Row],[PLAZO Días]],"PAGO VENCIDO")</f>
        <v>PAGO VENCIDO</v>
      </c>
      <c r="C1825" s="20">
        <f>+VLOOKUP(PROVEEDORES[[#This Row],[PROVEEDOR]],TERCEROS_INFO[#All],2,FALSE)</f>
        <v>45</v>
      </c>
      <c r="D1825" s="25">
        <f>+SUMIFS(PROVEEDORES[Total],PROVEEDORES[PROVEEDOR],PROVEEDORES[[#This Row],[PROVEEDOR]],PROVEEDORES[FECHA DE PAGO],"")</f>
        <v>2604910</v>
      </c>
      <c r="E1825" s="25"/>
      <c r="F182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25" s="201">
        <v>44839</v>
      </c>
      <c r="H1825" s="240" t="s">
        <v>10</v>
      </c>
      <c r="I1825" s="161">
        <v>44776</v>
      </c>
      <c r="J1825" s="35" t="s">
        <v>1172</v>
      </c>
      <c r="K1825" s="21">
        <v>3230000</v>
      </c>
      <c r="L1825" s="21"/>
      <c r="M1825" s="22">
        <f>(PROVEEDORES[[#This Row],[SUBTOTAL]]-PROVEEDORES[[#This Row],[descuento sobre subtotal]])*VLOOKUP(PROVEEDORES[[#This Row],[PROVEEDOR]],TERCEROS_INFO[#All],3,FALSE)</f>
        <v>613700</v>
      </c>
      <c r="N1825" s="23"/>
      <c r="O1825" s="22">
        <f>+PROVEEDORES[[#This Row],[Descuento sobre subtotal %]]*(PROVEEDORES[[#This Row],[SUBTOTAL]]-PROVEEDORES[[#This Row],[descuento sobre subtotal]])</f>
        <v>0</v>
      </c>
      <c r="P1825" s="83">
        <f>+IF(PROVEEDORES[[#This Row],[SUBTOTAL]]&lt;PROVEEDORES[[#This Row],[base retencion]],0,PROVEEDORES[[#This Row],[retención aplicada]])</f>
        <v>0</v>
      </c>
      <c r="Q1825" s="22">
        <f>+PROVEEDORES[[#This Row],[Rete Fuente %]]*(PROVEEDORES[[#This Row],[SUBTOTAL]]-PROVEEDORES[[#This Row],[descuento sobre subtotal]])</f>
        <v>0</v>
      </c>
      <c r="R1825" s="21">
        <f>+PROVEEDORES[[#This Row],[SUBTOTAL]]+PROVEEDORES[[#This Row],[IVA 19%]]-PROVEEDORES[[#This Row],[descuento sobre subtotal]]-PROVEEDORES[[#This Row],[Descuento sobre subtotal $2]]-PROVEEDORES[[#This Row],[Rete Fuente $]]</f>
        <v>3843700</v>
      </c>
      <c r="S1825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5" s="68">
        <f ca="1">IF(PROVEEDORES[[#This Row],[FECHA DE PAGO]]=0,TODAY()-PROVEEDORES[[#This Row],[FECHA DE FACTURACIÓN]]-PROVEEDORES[[#This Row],[PLAZO Días]],0)</f>
        <v>0</v>
      </c>
      <c r="U1825" s="113">
        <f>+VLOOKUP(PROVEEDORES[[#This Row],[PROVEEDOR]],Terceros!$A:$D,4,FALSE)</f>
        <v>0</v>
      </c>
      <c r="V1825" s="114">
        <f>+YEAR(PROVEEDORES[[#This Row],[FECHA DE FACTURACIÓN]])</f>
        <v>2022</v>
      </c>
      <c r="W1825" s="114">
        <f>+MATCH(PROVEEDORES[[#This Row],[año facturado]],Retenciones!$1:$1,0)</f>
        <v>5</v>
      </c>
      <c r="X1825" s="115">
        <f>+VLOOKUP(PROVEEDORES[[#This Row],[ID RETENCION]],Retenciones!$A$1:$O$25,PROVEEDORES[[#This Row],[indicador de columna]],FALSE)</f>
        <v>0</v>
      </c>
      <c r="Y1825" s="116">
        <f>+VLOOKUP(PROVEEDORES[[#This Row],[ID RETENCION]],Retenciones!$A$1:$O$25,2,FALSE)</f>
        <v>0</v>
      </c>
      <c r="Z1825" s="125" t="b">
        <f>OR(COUNTIF(PROVEEDORES[[#This Row],[PROVEEDOR]],"*"&amp;'Palabra no opera'!$A$2&amp;"*"))</f>
        <v>0</v>
      </c>
    </row>
    <row r="1826" spans="1:26" ht="22.2" customHeight="1" x14ac:dyDescent="0.3">
      <c r="A1826" s="66" t="str">
        <f>+IF(PROVEEDORES[[#This Row],[FECHA DE PAGO]]=PROVEEDORES[[#This Row],[FECHA DE FACTURACIÓN]],"DE CONTADO","CRÉDITO")</f>
        <v>DE CONTADO</v>
      </c>
      <c r="B1826" s="38" t="b">
        <f>+IF((PROVEEDORES[[#This Row],[FECHA DE PAGO]]-PROVEEDORES[[#This Row],[FECHA DE FACTURACIÓN]])&gt;PROVEEDORES[[#This Row],[PLAZO Días]],"PAGO VENCIDO")</f>
        <v>0</v>
      </c>
      <c r="C1826" s="20">
        <f>+VLOOKUP(PROVEEDORES[[#This Row],[PROVEEDOR]],TERCEROS_INFO[#All],2,FALSE)</f>
        <v>30</v>
      </c>
      <c r="D1826" s="25">
        <f>+SUMIFS(PROVEEDORES[Total],PROVEEDORES[PROVEEDOR],PROVEEDORES[[#This Row],[PROVEEDOR]],PROVEEDORES[FECHA DE PAGO],"")</f>
        <v>0</v>
      </c>
      <c r="E1826" s="25"/>
      <c r="F1826" s="58">
        <f>+VLOOKUP(PROVEEDORES[[#This Row],[PROVEEDOR]],
                       Terceros!$A:$F,
                       5,
                       FALSE)</f>
        <v>0</v>
      </c>
      <c r="G1826" s="161">
        <v>44222</v>
      </c>
      <c r="H1826" s="26" t="s">
        <v>167</v>
      </c>
      <c r="I1826" s="161">
        <v>44222</v>
      </c>
      <c r="J1826" s="35">
        <v>101</v>
      </c>
      <c r="K1826" s="21">
        <v>3300000</v>
      </c>
      <c r="L1826" s="21"/>
      <c r="M1826" s="22">
        <f>(PROVEEDORES[[#This Row],[SUBTOTAL]]-PROVEEDORES[[#This Row],[descuento sobre subtotal]])*VLOOKUP(PROVEEDORES[[#This Row],[PROVEEDOR]],TERCEROS_INFO[#All],3,FALSE)</f>
        <v>627000</v>
      </c>
      <c r="N1826" s="23"/>
      <c r="O1826" s="22">
        <f>+PROVEEDORES[[#This Row],[Descuento sobre subtotal %]]*(PROVEEDORES[[#This Row],[SUBTOTAL]]-PROVEEDORES[[#This Row],[descuento sobre subtotal]])</f>
        <v>0</v>
      </c>
      <c r="P1826" s="83">
        <f>+IF(PROVEEDORES[[#This Row],[SUBTOTAL]]&lt;PROVEEDORES[[#This Row],[base retencion]],0,PROVEEDORES[[#This Row],[retención aplicada]])</f>
        <v>2.5000000000000001E-2</v>
      </c>
      <c r="Q1826" s="22">
        <f>+PROVEEDORES[[#This Row],[Rete Fuente %]]*(PROVEEDORES[[#This Row],[SUBTOTAL]]-PROVEEDORES[[#This Row],[descuento sobre subtotal]])</f>
        <v>82500</v>
      </c>
      <c r="R1826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18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6" s="68">
        <f ca="1">IF(PROVEEDORES[[#This Row],[FECHA DE PAGO]]=0,TODAY()-PROVEEDORES[[#This Row],[FECHA DE FACTURACIÓN]]-PROVEEDORES[[#This Row],[PLAZO Días]],0)</f>
        <v>0</v>
      </c>
      <c r="U1826" s="96" t="str">
        <f>+VLOOKUP(PROVEEDORES[[#This Row],[PROVEEDOR]],Terceros!$A:$D,4,FALSE)</f>
        <v>2,5% con base</v>
      </c>
      <c r="V1826" s="97">
        <f>+YEAR(PROVEEDORES[[#This Row],[FECHA DE FACTURACIÓN]])</f>
        <v>2021</v>
      </c>
      <c r="W1826" s="97">
        <f>+MATCH(PROVEEDORES[[#This Row],[año facturado]],Retenciones!$1:$1,0)</f>
        <v>4</v>
      </c>
      <c r="X1826" s="98">
        <f>+VLOOKUP(PROVEEDORES[[#This Row],[ID RETENCION]],Retenciones!$A$1:$O$25,PROVEEDORES[[#This Row],[indicador de columna]],FALSE)</f>
        <v>980000</v>
      </c>
      <c r="Y1826" s="99">
        <f>+VLOOKUP(PROVEEDORES[[#This Row],[ID RETENCION]],Retenciones!$A$1:$O$25,2,FALSE)</f>
        <v>2.5000000000000001E-2</v>
      </c>
      <c r="Z1826" s="125" t="b">
        <f>OR(COUNTIF(PROVEEDORES[[#This Row],[PROVEEDOR]],"*"&amp;'Palabra no opera'!$A$2&amp;"*"))</f>
        <v>0</v>
      </c>
    </row>
    <row r="1827" spans="1:26" ht="22.2" customHeight="1" x14ac:dyDescent="0.3">
      <c r="A1827" s="66" t="str">
        <f>+IF(PROVEEDORES[[#This Row],[FECHA DE PAGO]]=PROVEEDORES[[#This Row],[FECHA DE FACTURACIÓN]],"DE CONTADO","CRÉDITO")</f>
        <v>CRÉDITO</v>
      </c>
      <c r="B1827" s="38" t="str">
        <f>+IF((PROVEEDORES[[#This Row],[FECHA DE PAGO]]-PROVEEDORES[[#This Row],[FECHA DE FACTURACIÓN]])&gt;PROVEEDORES[[#This Row],[PLAZO Días]],"PAGO VENCIDO")</f>
        <v>PAGO VENCIDO</v>
      </c>
      <c r="C1827" s="20">
        <f>+VLOOKUP(PROVEEDORES[[#This Row],[PROVEEDOR]],TERCEROS_INFO[#All],2,FALSE)</f>
        <v>30</v>
      </c>
      <c r="D1827" s="25">
        <f>+SUMIFS(PROVEEDORES[Total],PROVEEDORES[PROVEEDOR],PROVEEDORES[[#This Row],[PROVEEDOR]],PROVEEDORES[FECHA DE PAGO],"")</f>
        <v>5272763.2050000001</v>
      </c>
      <c r="E1827" s="25"/>
      <c r="F182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27" s="161">
        <v>44257</v>
      </c>
      <c r="H1827" s="26" t="s">
        <v>11</v>
      </c>
      <c r="I1827" s="161">
        <v>44209</v>
      </c>
      <c r="J1827" s="35" t="s">
        <v>102</v>
      </c>
      <c r="K1827" s="21">
        <v>3300000</v>
      </c>
      <c r="L1827" s="21"/>
      <c r="M1827" s="22">
        <f>(PROVEEDORES[[#This Row],[SUBTOTAL]]-PROVEEDORES[[#This Row],[descuento sobre subtotal]])*VLOOKUP(PROVEEDORES[[#This Row],[PROVEEDOR]],TERCEROS_INFO[#All],3,FALSE)</f>
        <v>627000</v>
      </c>
      <c r="N1827" s="23"/>
      <c r="O1827" s="22">
        <f>+PROVEEDORES[[#This Row],[Descuento sobre subtotal %]]*(PROVEEDORES[[#This Row],[SUBTOTAL]]-PROVEEDORES[[#This Row],[descuento sobre subtotal]])</f>
        <v>0</v>
      </c>
      <c r="P1827" s="83">
        <f>+IF(PROVEEDORES[[#This Row],[SUBTOTAL]]&lt;PROVEEDORES[[#This Row],[base retencion]],0,PROVEEDORES[[#This Row],[retención aplicada]])</f>
        <v>2.5000000000000001E-2</v>
      </c>
      <c r="Q1827" s="22">
        <f>+PROVEEDORES[[#This Row],[Rete Fuente %]]*(PROVEEDORES[[#This Row],[SUBTOTAL]]-PROVEEDORES[[#This Row],[descuento sobre subtotal]])</f>
        <v>82500</v>
      </c>
      <c r="R1827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18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7" s="68">
        <f ca="1">IF(PROVEEDORES[[#This Row],[FECHA DE PAGO]]=0,TODAY()-PROVEEDORES[[#This Row],[FECHA DE FACTURACIÓN]]-PROVEEDORES[[#This Row],[PLAZO Días]],0)</f>
        <v>0</v>
      </c>
      <c r="U1827" s="96" t="str">
        <f>+VLOOKUP(PROVEEDORES[[#This Row],[PROVEEDOR]],Terceros!$A:$D,4,FALSE)</f>
        <v>2,5% con base</v>
      </c>
      <c r="V1827" s="97">
        <f>+YEAR(PROVEEDORES[[#This Row],[FECHA DE FACTURACIÓN]])</f>
        <v>2021</v>
      </c>
      <c r="W1827" s="97">
        <f>+MATCH(PROVEEDORES[[#This Row],[año facturado]],Retenciones!$1:$1,0)</f>
        <v>4</v>
      </c>
      <c r="X1827" s="98">
        <f>+VLOOKUP(PROVEEDORES[[#This Row],[ID RETENCION]],Retenciones!$A$1:$O$25,PROVEEDORES[[#This Row],[indicador de columna]],FALSE)</f>
        <v>980000</v>
      </c>
      <c r="Y1827" s="99">
        <f>+VLOOKUP(PROVEEDORES[[#This Row],[ID RETENCION]],Retenciones!$A$1:$O$25,2,FALSE)</f>
        <v>2.5000000000000001E-2</v>
      </c>
      <c r="Z1827" s="127" t="b">
        <f>OR(COUNTIF(PROVEEDORES[[#This Row],[PROVEEDOR]],"*"&amp;'Palabra no opera'!$A$2&amp;"*"))</f>
        <v>0</v>
      </c>
    </row>
    <row r="1828" spans="1:26" ht="22.2" customHeight="1" x14ac:dyDescent="0.3">
      <c r="A1828" s="66" t="str">
        <f>+IF(PROVEEDORES[[#This Row],[FECHA DE PAGO]]=PROVEEDORES[[#This Row],[FECHA DE FACTURACIÓN]],"DE CONTADO","CRÉDITO")</f>
        <v>CRÉDITO</v>
      </c>
      <c r="B1828" s="38" t="str">
        <f>+IF((PROVEEDORES[[#This Row],[FECHA DE PAGO]]-PROVEEDORES[[#This Row],[FECHA DE FACTURACIÓN]])&gt;PROVEEDORES[[#This Row],[PLAZO Días]],"PAGO VENCIDO")</f>
        <v>PAGO VENCIDO</v>
      </c>
      <c r="C1828" s="20">
        <f>+VLOOKUP(PROVEEDORES[[#This Row],[PROVEEDOR]],TERCEROS_INFO[#All],2,FALSE)</f>
        <v>30</v>
      </c>
      <c r="D1828" s="25">
        <f>+SUMIFS(PROVEEDORES[Total],PROVEEDORES[PROVEEDOR],PROVEEDORES[[#This Row],[PROVEEDOR]],PROVEEDORES[FECHA DE PAGO],"")</f>
        <v>5272763.2050000001</v>
      </c>
      <c r="E1828" s="25"/>
      <c r="F182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28" s="161">
        <v>44517</v>
      </c>
      <c r="H1828" s="26" t="s">
        <v>11</v>
      </c>
      <c r="I1828" s="161">
        <v>44477</v>
      </c>
      <c r="J1828" s="35" t="s">
        <v>487</v>
      </c>
      <c r="K1828" s="21">
        <v>3300000</v>
      </c>
      <c r="L1828" s="21"/>
      <c r="M1828" s="22">
        <f>(PROVEEDORES[[#This Row],[SUBTOTAL]]-PROVEEDORES[[#This Row],[descuento sobre subtotal]])*VLOOKUP(PROVEEDORES[[#This Row],[PROVEEDOR]],TERCEROS_INFO[#All],3,FALSE)</f>
        <v>627000</v>
      </c>
      <c r="N1828" s="23"/>
      <c r="O1828" s="22">
        <f>+PROVEEDORES[[#This Row],[Descuento sobre subtotal %]]*(PROVEEDORES[[#This Row],[SUBTOTAL]]-PROVEEDORES[[#This Row],[descuento sobre subtotal]])</f>
        <v>0</v>
      </c>
      <c r="P1828" s="83">
        <f>+IF(PROVEEDORES[[#This Row],[SUBTOTAL]]&lt;PROVEEDORES[[#This Row],[base retencion]],0,PROVEEDORES[[#This Row],[retención aplicada]])</f>
        <v>2.5000000000000001E-2</v>
      </c>
      <c r="Q1828" s="22">
        <f>+PROVEEDORES[[#This Row],[Rete Fuente %]]*(PROVEEDORES[[#This Row],[SUBTOTAL]]-PROVEEDORES[[#This Row],[descuento sobre subtotal]])</f>
        <v>82500</v>
      </c>
      <c r="R1828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18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8" s="68">
        <f ca="1">IF(PROVEEDORES[[#This Row],[FECHA DE PAGO]]=0,TODAY()-PROVEEDORES[[#This Row],[FECHA DE FACTURACIÓN]]-PROVEEDORES[[#This Row],[PLAZO Días]],0)</f>
        <v>0</v>
      </c>
      <c r="U1828" s="96" t="str">
        <f>+VLOOKUP(PROVEEDORES[[#This Row],[PROVEEDOR]],Terceros!$A:$D,4,FALSE)</f>
        <v>2,5% con base</v>
      </c>
      <c r="V1828" s="97">
        <f>+YEAR(PROVEEDORES[[#This Row],[FECHA DE FACTURACIÓN]])</f>
        <v>2021</v>
      </c>
      <c r="W1828" s="97">
        <f>+MATCH(PROVEEDORES[[#This Row],[año facturado]],Retenciones!$1:$1,0)</f>
        <v>4</v>
      </c>
      <c r="X1828" s="98">
        <f>+VLOOKUP(PROVEEDORES[[#This Row],[ID RETENCION]],Retenciones!$A$1:$O$25,PROVEEDORES[[#This Row],[indicador de columna]],FALSE)</f>
        <v>980000</v>
      </c>
      <c r="Y1828" s="99">
        <f>+VLOOKUP(PROVEEDORES[[#This Row],[ID RETENCION]],Retenciones!$A$1:$O$25,2,FALSE)</f>
        <v>2.5000000000000001E-2</v>
      </c>
      <c r="Z1828" s="127" t="b">
        <f>OR(COUNTIF(PROVEEDORES[[#This Row],[PROVEEDOR]],"*"&amp;'Palabra no opera'!$A$2&amp;"*"))</f>
        <v>0</v>
      </c>
    </row>
    <row r="1829" spans="1:26" ht="22.2" customHeight="1" x14ac:dyDescent="0.3">
      <c r="A1829" s="66" t="str">
        <f>+IF(PROVEEDORES[[#This Row],[FECHA DE PAGO]]=PROVEEDORES[[#This Row],[FECHA DE FACTURACIÓN]],"DE CONTADO","CRÉDITO")</f>
        <v>CRÉDITO</v>
      </c>
      <c r="B1829" s="38" t="b">
        <f>+IF((PROVEEDORES[[#This Row],[FECHA DE PAGO]]-PROVEEDORES[[#This Row],[FECHA DE FACTURACIÓN]])&gt;PROVEEDORES[[#This Row],[PLAZO Días]],"PAGO VENCIDO")</f>
        <v>0</v>
      </c>
      <c r="C1829" s="20">
        <f>+VLOOKUP(PROVEEDORES[[#This Row],[PROVEEDOR]],TERCEROS_INFO[#All],2,FALSE)</f>
        <v>30</v>
      </c>
      <c r="D1829" s="25">
        <f>+SUMIFS(PROVEEDORES[Total],PROVEEDORES[PROVEEDOR],PROVEEDORES[[#This Row],[PROVEEDOR]],PROVEEDORES[FECHA DE PAGO],"")</f>
        <v>0</v>
      </c>
      <c r="E1829" s="25"/>
      <c r="F1829" s="58" t="str">
        <f>+VLOOKUP(PROVEEDORES[[#This Row],[PROVEEDOR]],
                       Terceros!$A:$F,
                       5,
                       FALSE)</f>
        <v/>
      </c>
      <c r="G1829" s="161">
        <v>44512</v>
      </c>
      <c r="H1829" s="26" t="s">
        <v>638</v>
      </c>
      <c r="I1829" s="161">
        <v>44511</v>
      </c>
      <c r="J1829" s="35" t="s">
        <v>1345</v>
      </c>
      <c r="K1829" s="21">
        <v>3847000</v>
      </c>
      <c r="L1829" s="21"/>
      <c r="M1829" s="22">
        <f>(PROVEEDORES[[#This Row],[SUBTOTAL]]-PROVEEDORES[[#This Row],[descuento sobre subtotal]])*VLOOKUP(PROVEEDORES[[#This Row],[PROVEEDOR]],TERCEROS_INFO[#All],3,FALSE)</f>
        <v>0</v>
      </c>
      <c r="N1829" s="23"/>
      <c r="O1829" s="22">
        <f>+PROVEEDORES[[#This Row],[Descuento sobre subtotal %]]*(PROVEEDORES[[#This Row],[SUBTOTAL]]-PROVEEDORES[[#This Row],[descuento sobre subtotal]])</f>
        <v>0</v>
      </c>
      <c r="P1829" s="83">
        <f>+IF(PROVEEDORES[[#This Row],[SUBTOTAL]]&lt;PROVEEDORES[[#This Row],[base retencion]],0,PROVEEDORES[[#This Row],[retención aplicada]])</f>
        <v>0</v>
      </c>
      <c r="Q1829" s="22">
        <f>+PROVEEDORES[[#This Row],[Rete Fuente %]]*(PROVEEDORES[[#This Row],[SUBTOTAL]]-PROVEEDORES[[#This Row],[descuento sobre subtotal]])</f>
        <v>0</v>
      </c>
      <c r="R1829" s="21">
        <f>+PROVEEDORES[[#This Row],[SUBTOTAL]]+PROVEEDORES[[#This Row],[IVA 19%]]-PROVEEDORES[[#This Row],[descuento sobre subtotal]]-PROVEEDORES[[#This Row],[Descuento sobre subtotal $2]]-PROVEEDORES[[#This Row],[Rete Fuente $]]</f>
        <v>3847000</v>
      </c>
      <c r="S18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9" s="68">
        <f ca="1">IF(PROVEEDORES[[#This Row],[FECHA DE PAGO]]=0,TODAY()-PROVEEDORES[[#This Row],[FECHA DE FACTURACIÓN]]-PROVEEDORES[[#This Row],[PLAZO Días]],0)</f>
        <v>0</v>
      </c>
      <c r="U1829" s="96">
        <f>+VLOOKUP(PROVEEDORES[[#This Row],[PROVEEDOR]],Terceros!$A:$D,4,FALSE)</f>
        <v>0</v>
      </c>
      <c r="V1829" s="97">
        <f>+YEAR(PROVEEDORES[[#This Row],[FECHA DE FACTURACIÓN]])</f>
        <v>2021</v>
      </c>
      <c r="W1829" s="97">
        <f>+MATCH(PROVEEDORES[[#This Row],[año facturado]],Retenciones!$1:$1,0)</f>
        <v>4</v>
      </c>
      <c r="X1829" s="98">
        <f>+VLOOKUP(PROVEEDORES[[#This Row],[ID RETENCION]],Retenciones!$A$1:$O$25,PROVEEDORES[[#This Row],[indicador de columna]],FALSE)</f>
        <v>0</v>
      </c>
      <c r="Y1829" s="99">
        <f>+VLOOKUP(PROVEEDORES[[#This Row],[ID RETENCION]],Retenciones!$A$1:$O$25,2,FALSE)</f>
        <v>0</v>
      </c>
      <c r="Z1829" s="125" t="b">
        <f>OR(COUNTIF(PROVEEDORES[[#This Row],[PROVEEDOR]],"*"&amp;'Palabra no opera'!$A$2&amp;"*"))</f>
        <v>0</v>
      </c>
    </row>
    <row r="1830" spans="1:26" ht="22.2" customHeight="1" x14ac:dyDescent="0.3">
      <c r="A1830" s="269" t="str">
        <f>+IF(PROVEEDORES[[#This Row],[FECHA DE PAGO]]=PROVEEDORES[[#This Row],[FECHA DE FACTURACIÓN]],"DE CONTADO","CRÉDITO")</f>
        <v>CRÉDITO</v>
      </c>
      <c r="B1830" s="38" t="b">
        <f>+IF((PROVEEDORES[[#This Row],[FECHA DE PAGO]]-PROVEEDORES[[#This Row],[FECHA DE FACTURACIÓN]])&gt;PROVEEDORES[[#This Row],[PLAZO Días]],"PAGO VENCIDO")</f>
        <v>0</v>
      </c>
      <c r="C1830" s="20">
        <f>+VLOOKUP(PROVEEDORES[[#This Row],[PROVEEDOR]],TERCEROS_INFO[#All],2,FALSE)</f>
        <v>30</v>
      </c>
      <c r="D1830" s="25">
        <f>+SUMIFS(PROVEEDORES[Total],PROVEEDORES[PROVEEDOR],PROVEEDORES[[#This Row],[PROVEEDOR]],PROVEEDORES[FECHA DE PAGO],"")</f>
        <v>4712021.58</v>
      </c>
      <c r="E1830" s="25"/>
      <c r="F183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1830" s="26" t="s">
        <v>17</v>
      </c>
      <c r="I1830" s="161">
        <v>44855</v>
      </c>
      <c r="J1830" s="35">
        <v>1974445</v>
      </c>
      <c r="K1830" s="21">
        <v>3234201</v>
      </c>
      <c r="L1830" s="21"/>
      <c r="M1830" s="22">
        <f>(PROVEEDORES[[#This Row],[SUBTOTAL]]-PROVEEDORES[[#This Row],[descuento sobre subtotal]])*VLOOKUP(PROVEEDORES[[#This Row],[PROVEEDOR]],TERCEROS_INFO[#All],3,FALSE)</f>
        <v>614498.19000000006</v>
      </c>
      <c r="N1830" s="23"/>
      <c r="O1830" s="22">
        <f>+PROVEEDORES[[#This Row],[Descuento sobre subtotal %]]*(PROVEEDORES[[#This Row],[SUBTOTAL]]-PROVEEDORES[[#This Row],[descuento sobre subtotal]])</f>
        <v>0</v>
      </c>
      <c r="P1830" s="83">
        <f>+IF(PROVEEDORES[[#This Row],[SUBTOTAL]]&lt;PROVEEDORES[[#This Row],[base retencion]],0,PROVEEDORES[[#This Row],[retención aplicada]])</f>
        <v>0</v>
      </c>
      <c r="Q1830" s="22">
        <f>+PROVEEDORES[[#This Row],[Rete Fuente %]]*(PROVEEDORES[[#This Row],[SUBTOTAL]]-PROVEEDORES[[#This Row],[descuento sobre subtotal]])</f>
        <v>0</v>
      </c>
      <c r="R1830" s="21">
        <f>+PROVEEDORES[[#This Row],[SUBTOTAL]]+PROVEEDORES[[#This Row],[IVA 19%]]-PROVEEDORES[[#This Row],[descuento sobre subtotal]]-PROVEEDORES[[#This Row],[Descuento sobre subtotal $2]]-PROVEEDORES[[#This Row],[Rete Fuente $]]</f>
        <v>3848699.19</v>
      </c>
      <c r="S1830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830" s="68">
        <f ca="1">IF(PROVEEDORES[[#This Row],[FECHA DE PAGO]]=0,TODAY()-PROVEEDORES[[#This Row],[FECHA DE FACTURACIÓN]]-PROVEEDORES[[#This Row],[PLAZO Días]],0)</f>
        <v>-10</v>
      </c>
      <c r="U1830" s="113">
        <f>+VLOOKUP(PROVEEDORES[[#This Row],[PROVEEDOR]],Terceros!$A:$D,4,FALSE)</f>
        <v>0</v>
      </c>
      <c r="V1830" s="114">
        <f>+YEAR(PROVEEDORES[[#This Row],[FECHA DE FACTURACIÓN]])</f>
        <v>2022</v>
      </c>
      <c r="W1830" s="114">
        <f>+MATCH(PROVEEDORES[[#This Row],[año facturado]],Retenciones!$1:$1,0)</f>
        <v>5</v>
      </c>
      <c r="X1830" s="115">
        <f>+VLOOKUP(PROVEEDORES[[#This Row],[ID RETENCION]],Retenciones!$A$1:$O$25,PROVEEDORES[[#This Row],[indicador de columna]],FALSE)</f>
        <v>0</v>
      </c>
      <c r="Y1830" s="116">
        <f>+VLOOKUP(PROVEEDORES[[#This Row],[ID RETENCION]],Retenciones!$A$1:$O$25,2,FALSE)</f>
        <v>0</v>
      </c>
      <c r="Z1830" s="125" t="b">
        <f>OR(COUNTIF(PROVEEDORES[[#This Row],[PROVEEDOR]],"*"&amp;'Palabra no opera'!$A$2&amp;"*"))</f>
        <v>0</v>
      </c>
    </row>
    <row r="1831" spans="1:26" ht="22.2" customHeight="1" x14ac:dyDescent="0.3">
      <c r="A1831" s="66" t="str">
        <f>+IF(PROVEEDORES[[#This Row],[FECHA DE PAGO]]=PROVEEDORES[[#This Row],[FECHA DE FACTURACIÓN]],"DE CONTADO","CRÉDITO")</f>
        <v>CRÉDITO</v>
      </c>
      <c r="B1831" s="38" t="b">
        <f>+IF((PROVEEDORES[[#This Row],[FECHA DE PAGO]]-PROVEEDORES[[#This Row],[FECHA DE FACTURACIÓN]])&gt;PROVEEDORES[[#This Row],[PLAZO Días]],"PAGO VENCIDO")</f>
        <v>0</v>
      </c>
      <c r="C1831" s="20">
        <f>+VLOOKUP(PROVEEDORES[[#This Row],[PROVEEDOR]],TERCEROS_INFO[#All],2,FALSE)</f>
        <v>30</v>
      </c>
      <c r="D1831" s="25">
        <f>+SUMIFS(PROVEEDORES[Total],PROVEEDORES[PROVEEDOR],PROVEEDORES[[#This Row],[PROVEEDOR]],PROVEEDORES[FECHA DE PAGO],"")</f>
        <v>0</v>
      </c>
      <c r="E1831" s="25"/>
      <c r="F1831" s="58" t="str">
        <f>+VLOOKUP(PROVEEDORES[[#This Row],[PROVEEDOR]],
                       Terceros!$A:$F,
                       5,
                       FALSE)</f>
        <v>??;girlesa.ruiz@servipilas.com;joriescobar64@gmail.com</v>
      </c>
      <c r="G1831" s="161">
        <v>44428</v>
      </c>
      <c r="H1831" s="26" t="s">
        <v>698</v>
      </c>
      <c r="I1831" s="161">
        <v>44411</v>
      </c>
      <c r="J1831" s="35" t="s">
        <v>1478</v>
      </c>
      <c r="K1831" s="21">
        <v>3850000</v>
      </c>
      <c r="L1831" s="21"/>
      <c r="M1831" s="22">
        <f>(PROVEEDORES[[#This Row],[SUBTOTAL]]-PROVEEDORES[[#This Row],[descuento sobre subtotal]])*VLOOKUP(PROVEEDORES[[#This Row],[PROVEEDOR]],TERCEROS_INFO[#All],3,FALSE)</f>
        <v>0</v>
      </c>
      <c r="N1831" s="23"/>
      <c r="O1831" s="22">
        <f>+PROVEEDORES[[#This Row],[Descuento sobre subtotal %]]*(PROVEEDORES[[#This Row],[SUBTOTAL]]-PROVEEDORES[[#This Row],[descuento sobre subtotal]])</f>
        <v>0</v>
      </c>
      <c r="P1831" s="83">
        <f>+IF(PROVEEDORES[[#This Row],[SUBTOTAL]]&lt;PROVEEDORES[[#This Row],[base retencion]],0,PROVEEDORES[[#This Row],[retención aplicada]])</f>
        <v>0</v>
      </c>
      <c r="Q1831" s="22">
        <f>+PROVEEDORES[[#This Row],[Rete Fuente %]]*(PROVEEDORES[[#This Row],[SUBTOTAL]]-PROVEEDORES[[#This Row],[descuento sobre subtotal]])</f>
        <v>0</v>
      </c>
      <c r="R1831" s="21">
        <f>+PROVEEDORES[[#This Row],[SUBTOTAL]]+PROVEEDORES[[#This Row],[IVA 19%]]-PROVEEDORES[[#This Row],[descuento sobre subtotal]]-PROVEEDORES[[#This Row],[Descuento sobre subtotal $2]]-PROVEEDORES[[#This Row],[Rete Fuente $]]</f>
        <v>3850000</v>
      </c>
      <c r="S183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1" s="68">
        <f ca="1">IF(PROVEEDORES[[#This Row],[FECHA DE PAGO]]=0,TODAY()-PROVEEDORES[[#This Row],[FECHA DE FACTURACIÓN]]-PROVEEDORES[[#This Row],[PLAZO Días]],0)</f>
        <v>0</v>
      </c>
      <c r="U1831" s="96">
        <f>+VLOOKUP(PROVEEDORES[[#This Row],[PROVEEDOR]],Terceros!$A:$D,4,FALSE)</f>
        <v>0</v>
      </c>
      <c r="V1831" s="97">
        <f>+YEAR(PROVEEDORES[[#This Row],[FECHA DE FACTURACIÓN]])</f>
        <v>2021</v>
      </c>
      <c r="W1831" s="97">
        <f>+MATCH(PROVEEDORES[[#This Row],[año facturado]],Retenciones!$1:$1,0)</f>
        <v>4</v>
      </c>
      <c r="X1831" s="98">
        <f>+VLOOKUP(PROVEEDORES[[#This Row],[ID RETENCION]],Retenciones!$A$1:$O$25,PROVEEDORES[[#This Row],[indicador de columna]],FALSE)</f>
        <v>0</v>
      </c>
      <c r="Y1831" s="99">
        <f>+VLOOKUP(PROVEEDORES[[#This Row],[ID RETENCION]],Retenciones!$A$1:$O$25,2,FALSE)</f>
        <v>0</v>
      </c>
      <c r="Z1831" s="125" t="b">
        <f>OR(COUNTIF(PROVEEDORES[[#This Row],[PROVEEDOR]],"*"&amp;'Palabra no opera'!$A$2&amp;"*"))</f>
        <v>0</v>
      </c>
    </row>
    <row r="1832" spans="1:26" ht="22.2" customHeight="1" x14ac:dyDescent="0.3">
      <c r="A1832" s="207" t="str">
        <f>+IF(PROVEEDORES[[#This Row],[FECHA DE PAGO]]=PROVEEDORES[[#This Row],[FECHA DE FACTURACIÓN]],"DE CONTADO","CRÉDITO")</f>
        <v>CRÉDITO</v>
      </c>
      <c r="B1832" s="38" t="str">
        <f>+IF((PROVEEDORES[[#This Row],[FECHA DE PAGO]]-PROVEEDORES[[#This Row],[FECHA DE FACTURACIÓN]])&gt;PROVEEDORES[[#This Row],[PLAZO Días]],"PAGO VENCIDO")</f>
        <v>PAGO VENCIDO</v>
      </c>
      <c r="C1832" s="20">
        <f>+VLOOKUP(PROVEEDORES[[#This Row],[PROVEEDOR]],TERCEROS_INFO[#All],2,FALSE)</f>
        <v>30</v>
      </c>
      <c r="D1832" s="25">
        <f>+SUMIFS(PROVEEDORES[Total],PROVEEDORES[PROVEEDOR],PROVEEDORES[[#This Row],[PROVEEDOR]],PROVEEDORES[FECHA DE PAGO],"")</f>
        <v>0</v>
      </c>
      <c r="E1832" s="25"/>
      <c r="F1832" s="58">
        <f>+VLOOKUP(PROVEEDORES[[#This Row],[PROVEEDOR]],
                       Terceros!$A:$F,
                       5,
                       FALSE)</f>
        <v>0</v>
      </c>
      <c r="G1832" s="161">
        <v>44866</v>
      </c>
      <c r="H1832" s="26" t="s">
        <v>542</v>
      </c>
      <c r="I1832" s="161">
        <v>44792</v>
      </c>
      <c r="J1832" s="35" t="s">
        <v>1411</v>
      </c>
      <c r="K1832" s="21">
        <v>3639876</v>
      </c>
      <c r="L1832" s="21"/>
      <c r="M1832" s="22">
        <f>(PROVEEDORES[[#This Row],[SUBTOTAL]]-PROVEEDORES[[#This Row],[descuento sobre subtotal]])*VLOOKUP(PROVEEDORES[[#This Row],[PROVEEDOR]],TERCEROS_INFO[#All],3,FALSE)</f>
        <v>691576.44000000006</v>
      </c>
      <c r="N1832" s="23">
        <v>0.1</v>
      </c>
      <c r="O1832" s="22">
        <f>+PROVEEDORES[[#This Row],[Descuento sobre subtotal %]]*(PROVEEDORES[[#This Row],[SUBTOTAL]]-PROVEEDORES[[#This Row],[descuento sobre subtotal]])</f>
        <v>363987.60000000003</v>
      </c>
      <c r="P1832" s="83">
        <f>+IF(PROVEEDORES[[#This Row],[SUBTOTAL]]&lt;PROVEEDORES[[#This Row],[base retencion]],0,PROVEEDORES[[#This Row],[retención aplicada]])</f>
        <v>2.5000000000000001E-2</v>
      </c>
      <c r="Q1832" s="22">
        <f>+PROVEEDORES[[#This Row],[Rete Fuente %]]*(PROVEEDORES[[#This Row],[SUBTOTAL]]-PROVEEDORES[[#This Row],[descuento sobre subtotal]])</f>
        <v>90996.900000000009</v>
      </c>
      <c r="R1832" s="21">
        <f>+PROVEEDORES[[#This Row],[SUBTOTAL]]+PROVEEDORES[[#This Row],[IVA 19%]]-PROVEEDORES[[#This Row],[descuento sobre subtotal]]-PROVEEDORES[[#This Row],[Descuento sobre subtotal $2]]-PROVEEDORES[[#This Row],[Rete Fuente $]]</f>
        <v>3876467.9400000004</v>
      </c>
      <c r="S1832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2" s="68">
        <f ca="1">IF(PROVEEDORES[[#This Row],[FECHA DE PAGO]]=0,TODAY()-PROVEEDORES[[#This Row],[FECHA DE FACTURACIÓN]]-PROVEEDORES[[#This Row],[PLAZO Días]],0)</f>
        <v>0</v>
      </c>
      <c r="U1832" s="113" t="str">
        <f>+VLOOKUP(PROVEEDORES[[#This Row],[PROVEEDOR]],Terceros!$A:$D,4,FALSE)</f>
        <v>2,5% con base</v>
      </c>
      <c r="V1832" s="114">
        <f>+YEAR(PROVEEDORES[[#This Row],[FECHA DE FACTURACIÓN]])</f>
        <v>2022</v>
      </c>
      <c r="W1832" s="114">
        <f>+MATCH(PROVEEDORES[[#This Row],[año facturado]],Retenciones!$1:$1,0)</f>
        <v>5</v>
      </c>
      <c r="X1832" s="115">
        <f>+VLOOKUP(PROVEEDORES[[#This Row],[ID RETENCION]],Retenciones!$A$1:$O$25,PROVEEDORES[[#This Row],[indicador de columna]],FALSE)</f>
        <v>1026000</v>
      </c>
      <c r="Y1832" s="116">
        <f>+VLOOKUP(PROVEEDORES[[#This Row],[ID RETENCION]],Retenciones!$A$1:$O$25,2,FALSE)</f>
        <v>2.5000000000000001E-2</v>
      </c>
      <c r="Z1832" s="125" t="b">
        <f>OR(COUNTIF(PROVEEDORES[[#This Row],[PROVEEDOR]],"*"&amp;'Palabra no opera'!$A$2&amp;"*"))</f>
        <v>0</v>
      </c>
    </row>
    <row r="1833" spans="1:26" ht="22.2" customHeight="1" x14ac:dyDescent="0.3">
      <c r="A1833" s="66" t="str">
        <f>+IF(PROVEEDORES[[#This Row],[FECHA DE PAGO]]=PROVEEDORES[[#This Row],[FECHA DE FACTURACIÓN]],"DE CONTADO","CRÉDITO")</f>
        <v>DE CONTADO</v>
      </c>
      <c r="B1833" s="38" t="b">
        <f>+IF((PROVEEDORES[[#This Row],[FECHA DE PAGO]]-PROVEEDORES[[#This Row],[FECHA DE FACTURACIÓN]])&gt;PROVEEDORES[[#This Row],[PLAZO Días]],"PAGO VENCIDO")</f>
        <v>0</v>
      </c>
      <c r="C1833" s="20">
        <f>+VLOOKUP(PROVEEDORES[[#This Row],[PROVEEDOR]],TERCEROS_INFO[#All],2,FALSE)</f>
        <v>20</v>
      </c>
      <c r="D1833" s="25">
        <f>+SUMIFS(PROVEEDORES[Total],PROVEEDORES[PROVEEDOR],PROVEEDORES[[#This Row],[PROVEEDOR]],PROVEEDORES[FECHA DE PAGO],"")</f>
        <v>0</v>
      </c>
      <c r="E1833" s="25"/>
      <c r="F183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833" s="161">
        <v>44452</v>
      </c>
      <c r="H1833" s="26" t="s">
        <v>331</v>
      </c>
      <c r="I1833" s="161">
        <v>44452</v>
      </c>
      <c r="J1833" s="35" t="s">
        <v>470</v>
      </c>
      <c r="K1833" s="21">
        <v>3374743.75</v>
      </c>
      <c r="L1833" s="21"/>
      <c r="M1833" s="22">
        <f>(PROVEEDORES[[#This Row],[SUBTOTAL]]-PROVEEDORES[[#This Row],[descuento sobre subtotal]])*VLOOKUP(PROVEEDORES[[#This Row],[PROVEEDOR]],TERCEROS_INFO[#All],3,FALSE)</f>
        <v>641201.3125</v>
      </c>
      <c r="N1833" s="23"/>
      <c r="O1833" s="22">
        <f>+PROVEEDORES[[#This Row],[Descuento sobre subtotal %]]*(PROVEEDORES[[#This Row],[SUBTOTAL]]-PROVEEDORES[[#This Row],[descuento sobre subtotal]])</f>
        <v>0</v>
      </c>
      <c r="P1833" s="83">
        <f>+IF(PROVEEDORES[[#This Row],[SUBTOTAL]]&lt;PROVEEDORES[[#This Row],[base retencion]],0,PROVEEDORES[[#This Row],[retención aplicada]])</f>
        <v>0.04</v>
      </c>
      <c r="Q1833" s="22">
        <f>+PROVEEDORES[[#This Row],[Rete Fuente %]]*(PROVEEDORES[[#This Row],[SUBTOTAL]]-PROVEEDORES[[#This Row],[descuento sobre subtotal]])</f>
        <v>134989.75</v>
      </c>
      <c r="R1833" s="21">
        <f>+PROVEEDORES[[#This Row],[SUBTOTAL]]+PROVEEDORES[[#This Row],[IVA 19%]]-PROVEEDORES[[#This Row],[descuento sobre subtotal]]-PROVEEDORES[[#This Row],[Descuento sobre subtotal $2]]-PROVEEDORES[[#This Row],[Rete Fuente $]]</f>
        <v>3880955.3125</v>
      </c>
      <c r="S183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3" s="68">
        <f ca="1">IF(PROVEEDORES[[#This Row],[FECHA DE PAGO]]=0,TODAY()-PROVEEDORES[[#This Row],[FECHA DE FACTURACIÓN]]-PROVEEDORES[[#This Row],[PLAZO Días]],0)</f>
        <v>0</v>
      </c>
      <c r="U1833" s="96" t="str">
        <f>+VLOOKUP(PROVEEDORES[[#This Row],[PROVEEDOR]],Terceros!$A:$D,4,FALSE)</f>
        <v>4% sin base</v>
      </c>
      <c r="V1833" s="97">
        <f>+YEAR(PROVEEDORES[[#This Row],[FECHA DE FACTURACIÓN]])</f>
        <v>2021</v>
      </c>
      <c r="W1833" s="97">
        <f>+MATCH(PROVEEDORES[[#This Row],[año facturado]],Retenciones!$1:$1,0)</f>
        <v>4</v>
      </c>
      <c r="X1833" s="98">
        <f>+VLOOKUP(PROVEEDORES[[#This Row],[ID RETENCION]],Retenciones!$A$1:$O$25,PROVEEDORES[[#This Row],[indicador de columna]],FALSE)</f>
        <v>0</v>
      </c>
      <c r="Y1833" s="99">
        <f>+VLOOKUP(PROVEEDORES[[#This Row],[ID RETENCION]],Retenciones!$A$1:$O$25,2,FALSE)</f>
        <v>0.04</v>
      </c>
      <c r="Z1833" s="125" t="b">
        <f>OR(COUNTIF(PROVEEDORES[[#This Row],[PROVEEDOR]],"*"&amp;'Palabra no opera'!$A$2&amp;"*"))</f>
        <v>0</v>
      </c>
    </row>
    <row r="1834" spans="1:26" ht="22.2" customHeight="1" x14ac:dyDescent="0.3">
      <c r="A1834" s="66" t="str">
        <f>+IF(PROVEEDORES[[#This Row],[FECHA DE PAGO]]=PROVEEDORES[[#This Row],[FECHA DE FACTURACIÓN]],"DE CONTADO","CRÉDITO")</f>
        <v>CRÉDITO</v>
      </c>
      <c r="B1834" s="38" t="str">
        <f>+IF((PROVEEDORES[[#This Row],[FECHA DE PAGO]]-PROVEEDORES[[#This Row],[FECHA DE FACTURACIÓN]])&gt;PROVEEDORES[[#This Row],[PLAZO Días]],"PAGO VENCIDO")</f>
        <v>PAGO VENCIDO</v>
      </c>
      <c r="C1834" s="20">
        <f>+VLOOKUP(PROVEEDORES[[#This Row],[PROVEEDOR]],TERCEROS_INFO[#All],2,FALSE)</f>
        <v>30</v>
      </c>
      <c r="D1834" s="25">
        <f>+SUMIFS(PROVEEDORES[Total],PROVEEDORES[PROVEEDOR],PROVEEDORES[[#This Row],[PROVEEDOR]],PROVEEDORES[FECHA DE PAGO],"")</f>
        <v>0</v>
      </c>
      <c r="E1834" s="25"/>
      <c r="F183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34" s="161">
        <v>44662</v>
      </c>
      <c r="H1834" s="26" t="s">
        <v>510</v>
      </c>
      <c r="I1834" s="161">
        <v>44595</v>
      </c>
      <c r="J1834" s="35" t="s">
        <v>768</v>
      </c>
      <c r="K1834" s="21">
        <v>3264000</v>
      </c>
      <c r="L1834" s="21"/>
      <c r="M1834" s="22">
        <v>620160</v>
      </c>
      <c r="N1834" s="23"/>
      <c r="O1834" s="22">
        <v>0</v>
      </c>
      <c r="P1834" s="83">
        <f>+IF(PROVEEDORES[[#This Row],[SUBTOTAL]]&lt;PROVEEDORES[[#This Row],[base retencion]],0,PROVEEDORES[[#This Row],[retención aplicada]])</f>
        <v>0</v>
      </c>
      <c r="Q1834" s="22">
        <f>+PROVEEDORES[[#This Row],[Rete Fuente %]]*(PROVEEDORES[[#This Row],[SUBTOTAL]]-PROVEEDORES[[#This Row],[descuento sobre subtotal]])</f>
        <v>0</v>
      </c>
      <c r="R1834" s="21">
        <v>3884160</v>
      </c>
      <c r="S18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4" s="68">
        <f ca="1">IF(PROVEEDORES[[#This Row],[FECHA DE PAGO]]=0,TODAY()-PROVEEDORES[[#This Row],[FECHA DE FACTURACIÓN]]-PROVEEDORES[[#This Row],[PLAZO Días]],0)</f>
        <v>0</v>
      </c>
      <c r="U1834" s="96">
        <f>+VLOOKUP(PROVEEDORES[[#This Row],[PROVEEDOR]],Terceros!$A:$D,4,FALSE)</f>
        <v>0</v>
      </c>
      <c r="V1834" s="97">
        <f>+YEAR(PROVEEDORES[[#This Row],[FECHA DE FACTURACIÓN]])</f>
        <v>2022</v>
      </c>
      <c r="W1834" s="97">
        <f>+MATCH(PROVEEDORES[[#This Row],[año facturado]],Retenciones!$1:$1,0)</f>
        <v>5</v>
      </c>
      <c r="X1834" s="98">
        <f>+VLOOKUP(PROVEEDORES[[#This Row],[ID RETENCION]],Retenciones!$A$1:$O$25,PROVEEDORES[[#This Row],[indicador de columna]],FALSE)</f>
        <v>0</v>
      </c>
      <c r="Y1834" s="99">
        <f>+VLOOKUP(PROVEEDORES[[#This Row],[ID RETENCION]],Retenciones!$A$1:$O$25,2,FALSE)</f>
        <v>0</v>
      </c>
      <c r="Z1834" s="125" t="b">
        <f>OR(COUNTIF(PROVEEDORES[[#This Row],[PROVEEDOR]],"*"&amp;'Palabra no opera'!$A$2&amp;"*"))</f>
        <v>0</v>
      </c>
    </row>
    <row r="1835" spans="1:26" ht="22.2" customHeight="1" x14ac:dyDescent="0.3">
      <c r="A1835" s="66" t="str">
        <f>+IF(PROVEEDORES[[#This Row],[FECHA DE PAGO]]=PROVEEDORES[[#This Row],[FECHA DE FACTURACIÓN]],"DE CONTADO","CRÉDITO")</f>
        <v>CRÉDITO</v>
      </c>
      <c r="B1835" s="38" t="str">
        <f>+IF((PROVEEDORES[[#This Row],[FECHA DE PAGO]]-PROVEEDORES[[#This Row],[FECHA DE FACTURACIÓN]])&gt;PROVEEDORES[[#This Row],[PLAZO Días]],"PAGO VENCIDO")</f>
        <v>PAGO VENCIDO</v>
      </c>
      <c r="C1835" s="20">
        <f>+VLOOKUP(PROVEEDORES[[#This Row],[PROVEEDOR]],TERCEROS_INFO[#All],2,FALSE)</f>
        <v>30</v>
      </c>
      <c r="D1835" s="25">
        <f>+SUMIFS(PROVEEDORES[Total],PROVEEDORES[PROVEEDOR],PROVEEDORES[[#This Row],[PROVEEDOR]],PROVEEDORES[FECHA DE PAGO],"")</f>
        <v>23124164.219999999</v>
      </c>
      <c r="E1835" s="25"/>
      <c r="F183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35" s="161">
        <v>44488</v>
      </c>
      <c r="H1835" s="26" t="s">
        <v>18</v>
      </c>
      <c r="I1835" s="161">
        <v>44439</v>
      </c>
      <c r="J1835" s="35">
        <v>1042459</v>
      </c>
      <c r="K1835" s="21">
        <v>3346303.2</v>
      </c>
      <c r="L1835" s="21"/>
      <c r="M1835" s="22">
        <f>(PROVEEDORES[[#This Row],[SUBTOTAL]]-PROVEEDORES[[#This Row],[descuento sobre subtotal]])*VLOOKUP(PROVEEDORES[[#This Row],[PROVEEDOR]],TERCEROS_INFO[#All],3,FALSE)</f>
        <v>635797.60800000001</v>
      </c>
      <c r="N1835" s="23"/>
      <c r="O1835" s="22">
        <f>+PROVEEDORES[[#This Row],[Descuento sobre subtotal %]]*(PROVEEDORES[[#This Row],[SUBTOTAL]]-PROVEEDORES[[#This Row],[descuento sobre subtotal]])</f>
        <v>0</v>
      </c>
      <c r="P1835" s="83">
        <f>+IF(PROVEEDORES[[#This Row],[SUBTOTAL]]&lt;PROVEEDORES[[#This Row],[base retencion]],0,PROVEEDORES[[#This Row],[retención aplicada]])</f>
        <v>2.5000000000000001E-2</v>
      </c>
      <c r="Q1835" s="22">
        <f>+PROVEEDORES[[#This Row],[Rete Fuente %]]*(PROVEEDORES[[#This Row],[SUBTOTAL]]-PROVEEDORES[[#This Row],[descuento sobre subtotal]])</f>
        <v>83657.580000000016</v>
      </c>
      <c r="R1835" s="21">
        <f>+PROVEEDORES[[#This Row],[SUBTOTAL]]+PROVEEDORES[[#This Row],[IVA 19%]]-PROVEEDORES[[#This Row],[descuento sobre subtotal]]-PROVEEDORES[[#This Row],[Descuento sobre subtotal $2]]-PROVEEDORES[[#This Row],[Rete Fuente $]]</f>
        <v>3898443.2280000001</v>
      </c>
      <c r="S18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5" s="68">
        <f ca="1">IF(PROVEEDORES[[#This Row],[FECHA DE PAGO]]=0,TODAY()-PROVEEDORES[[#This Row],[FECHA DE FACTURACIÓN]]-PROVEEDORES[[#This Row],[PLAZO Días]],0)</f>
        <v>0</v>
      </c>
      <c r="U1835" s="96" t="str">
        <f>+VLOOKUP(PROVEEDORES[[#This Row],[PROVEEDOR]],Terceros!$A:$D,4,FALSE)</f>
        <v>2,5% con base</v>
      </c>
      <c r="V1835" s="97">
        <f>+YEAR(PROVEEDORES[[#This Row],[FECHA DE FACTURACIÓN]])</f>
        <v>2021</v>
      </c>
      <c r="W1835" s="97">
        <f>+MATCH(PROVEEDORES[[#This Row],[año facturado]],Retenciones!$1:$1,0)</f>
        <v>4</v>
      </c>
      <c r="X1835" s="98">
        <f>+VLOOKUP(PROVEEDORES[[#This Row],[ID RETENCION]],Retenciones!$A$1:$O$25,PROVEEDORES[[#This Row],[indicador de columna]],FALSE)</f>
        <v>980000</v>
      </c>
      <c r="Y1835" s="99">
        <f>+VLOOKUP(PROVEEDORES[[#This Row],[ID RETENCION]],Retenciones!$A$1:$O$25,2,FALSE)</f>
        <v>2.5000000000000001E-2</v>
      </c>
      <c r="Z1835" s="125" t="b">
        <f>OR(COUNTIF(PROVEEDORES[[#This Row],[PROVEEDOR]],"*"&amp;'Palabra no opera'!$A$2&amp;"*"))</f>
        <v>0</v>
      </c>
    </row>
    <row r="1836" spans="1:26" ht="22.2" customHeight="1" x14ac:dyDescent="0.3">
      <c r="A1836" s="66" t="str">
        <f>+IF(PROVEEDORES[[#This Row],[FECHA DE PAGO]]=PROVEEDORES[[#This Row],[FECHA DE FACTURACIÓN]],"DE CONTADO","CRÉDITO")</f>
        <v>CRÉDITO</v>
      </c>
      <c r="B1836" s="38" t="b">
        <f>+IF((PROVEEDORES[[#This Row],[FECHA DE PAGO]]-PROVEEDORES[[#This Row],[FECHA DE FACTURACIÓN]])&gt;PROVEEDORES[[#This Row],[PLAZO Días]],"PAGO VENCIDO")</f>
        <v>0</v>
      </c>
      <c r="C1836" s="20">
        <f>+VLOOKUP(PROVEEDORES[[#This Row],[PROVEEDOR]],TERCEROS_INFO[#All],2,FALSE)</f>
        <v>10</v>
      </c>
      <c r="D1836" s="25">
        <f>+SUMIFS(PROVEEDORES[Total],PROVEEDORES[PROVEEDOR],PROVEEDORES[[#This Row],[PROVEEDOR]],PROVEEDORES[FECHA DE PAGO],"")</f>
        <v>0</v>
      </c>
      <c r="E1836" s="25"/>
      <c r="F1836" s="58" t="str">
        <f>+VLOOKUP(PROVEEDORES[[#This Row],[PROVEEDOR]],
                       Terceros!$A:$F,
                       5,
                       FALSE)</f>
        <v>howardlondono@impocarga.com;oswaldo.alvarez@logimexsas.com;girlesa.ruiz@servipilas.com;joriescobar64@gmail.com</v>
      </c>
      <c r="G1836" s="161">
        <v>44575</v>
      </c>
      <c r="H1836" s="26" t="s">
        <v>607</v>
      </c>
      <c r="I1836" s="161">
        <v>44574</v>
      </c>
      <c r="J1836" s="35" t="s">
        <v>609</v>
      </c>
      <c r="K1836" s="21">
        <v>3291827</v>
      </c>
      <c r="L1836" s="21"/>
      <c r="M1836" s="22">
        <f>(PROVEEDORES[[#This Row],[SUBTOTAL]]-PROVEEDORES[[#This Row],[descuento sobre subtotal]])*VLOOKUP(PROVEEDORES[[#This Row],[PROVEEDOR]],TERCEROS_INFO[#All],3,FALSE)</f>
        <v>625447.13</v>
      </c>
      <c r="N1836" s="23"/>
      <c r="O1836" s="22">
        <f>+PROVEEDORES[[#This Row],[Descuento sobre subtotal %]]*(PROVEEDORES[[#This Row],[SUBTOTAL]]-PROVEEDORES[[#This Row],[descuento sobre subtotal]])</f>
        <v>0</v>
      </c>
      <c r="P1836" s="83">
        <f>+IF(PROVEEDORES[[#This Row],[SUBTOTAL]]&lt;PROVEEDORES[[#This Row],[base retencion]],0,PROVEEDORES[[#This Row],[retención aplicada]])</f>
        <v>0.04</v>
      </c>
      <c r="Q1836" s="22">
        <f>+PROVEEDORES[[#This Row],[Rete Fuente %]]*(PROVEEDORES[[#This Row],[SUBTOTAL]]-PROVEEDORES[[#This Row],[descuento sobre subtotal]])</f>
        <v>131673.08000000002</v>
      </c>
      <c r="R1836" s="21">
        <v>3917274.13</v>
      </c>
      <c r="S18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6" s="68">
        <f ca="1">IF(PROVEEDORES[[#This Row],[FECHA DE PAGO]]=0,TODAY()-PROVEEDORES[[#This Row],[FECHA DE FACTURACIÓN]]-PROVEEDORES[[#This Row],[PLAZO Días]],0)</f>
        <v>0</v>
      </c>
      <c r="U1836" s="96" t="str">
        <f>+VLOOKUP(PROVEEDORES[[#This Row],[PROVEEDOR]],Terceros!$A:$D,4,FALSE)</f>
        <v>4% sin base</v>
      </c>
      <c r="V1836" s="97">
        <f>+YEAR(PROVEEDORES[[#This Row],[FECHA DE FACTURACIÓN]])</f>
        <v>2022</v>
      </c>
      <c r="W1836" s="97">
        <f>+MATCH(PROVEEDORES[[#This Row],[año facturado]],Retenciones!$1:$1,0)</f>
        <v>5</v>
      </c>
      <c r="X1836" s="98">
        <f>+VLOOKUP(PROVEEDORES[[#This Row],[ID RETENCION]],Retenciones!$A$1:$O$25,PROVEEDORES[[#This Row],[indicador de columna]],FALSE)</f>
        <v>0</v>
      </c>
      <c r="Y1836" s="99">
        <f>+VLOOKUP(PROVEEDORES[[#This Row],[ID RETENCION]],Retenciones!$A$1:$O$25,2,FALSE)</f>
        <v>0.04</v>
      </c>
      <c r="Z1836" s="125" t="b">
        <f>OR(COUNTIF(PROVEEDORES[[#This Row],[PROVEEDOR]],"*"&amp;'Palabra no opera'!$A$2&amp;"*"))</f>
        <v>0</v>
      </c>
    </row>
    <row r="1837" spans="1:26" ht="22.2" customHeight="1" x14ac:dyDescent="0.3">
      <c r="A1837" s="66" t="str">
        <f>+IF(PROVEEDORES[[#This Row],[FECHA DE PAGO]]=PROVEEDORES[[#This Row],[FECHA DE FACTURACIÓN]],"DE CONTADO","CRÉDITO")</f>
        <v>CRÉDITO</v>
      </c>
      <c r="B1837" s="38" t="b">
        <f>+IF((PROVEEDORES[[#This Row],[FECHA DE PAGO]]-PROVEEDORES[[#This Row],[FECHA DE FACTURACIÓN]])&gt;PROVEEDORES[[#This Row],[PLAZO Días]],"PAGO VENCIDO")</f>
        <v>0</v>
      </c>
      <c r="C1837" s="20">
        <f>+VLOOKUP(PROVEEDORES[[#This Row],[PROVEEDOR]],TERCEROS_INFO[#All],2,FALSE)</f>
        <v>30</v>
      </c>
      <c r="D1837" s="25">
        <f>+SUMIFS(PROVEEDORES[Total],PROVEEDORES[PROVEEDOR],PROVEEDORES[[#This Row],[PROVEEDOR]],PROVEEDORES[FECHA DE PAGO],"")</f>
        <v>0</v>
      </c>
      <c r="E1837" s="25"/>
      <c r="F1837" s="58" t="str">
        <f>+VLOOKUP(PROVEEDORES[[#This Row],[PROVEEDOR]],
                       Terceros!$A:$F,
                       5,
                       FALSE)</f>
        <v/>
      </c>
      <c r="G1837" s="161">
        <v>44657</v>
      </c>
      <c r="H1837" s="26" t="s">
        <v>53</v>
      </c>
      <c r="I1837" s="161">
        <v>44656</v>
      </c>
      <c r="J1837" s="35">
        <v>289692</v>
      </c>
      <c r="K1837" s="21">
        <v>3918000</v>
      </c>
      <c r="L1837" s="21"/>
      <c r="M1837" s="22">
        <f>(PROVEEDORES[[#This Row],[SUBTOTAL]]-PROVEEDORES[[#This Row],[descuento sobre subtotal]])*VLOOKUP(PROVEEDORES[[#This Row],[PROVEEDOR]],TERCEROS_INFO[#All],3,FALSE)</f>
        <v>0</v>
      </c>
      <c r="N1837" s="23"/>
      <c r="O1837" s="22">
        <f>+PROVEEDORES[[#This Row],[Descuento sobre subtotal %]]*(PROVEEDORES[[#This Row],[SUBTOTAL]]-PROVEEDORES[[#This Row],[descuento sobre subtotal]])</f>
        <v>0</v>
      </c>
      <c r="P1837" s="83">
        <f>+IF(PROVEEDORES[[#This Row],[SUBTOTAL]]&lt;PROVEEDORES[[#This Row],[base retencion]],0,PROVEEDORES[[#This Row],[retención aplicada]])</f>
        <v>0</v>
      </c>
      <c r="Q1837" s="22">
        <f>+PROVEEDORES[[#This Row],[Rete Fuente %]]*(PROVEEDORES[[#This Row],[SUBTOTAL]]-PROVEEDORES[[#This Row],[descuento sobre subtotal]])</f>
        <v>0</v>
      </c>
      <c r="R1837" s="21">
        <v>3918000</v>
      </c>
      <c r="S18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7" s="68">
        <f ca="1">IF(PROVEEDORES[[#This Row],[FECHA DE PAGO]]=0,TODAY()-PROVEEDORES[[#This Row],[FECHA DE FACTURACIÓN]]-PROVEEDORES[[#This Row],[PLAZO Días]],0)</f>
        <v>0</v>
      </c>
      <c r="U1837" s="96">
        <f>+VLOOKUP(PROVEEDORES[[#This Row],[PROVEEDOR]],Terceros!$A:$D,4,FALSE)</f>
        <v>0</v>
      </c>
      <c r="V1837" s="97">
        <f>+YEAR(PROVEEDORES[[#This Row],[FECHA DE FACTURACIÓN]])</f>
        <v>2022</v>
      </c>
      <c r="W1837" s="97">
        <f>+MATCH(PROVEEDORES[[#This Row],[año facturado]],Retenciones!$1:$1,0)</f>
        <v>5</v>
      </c>
      <c r="X1837" s="98">
        <f>+VLOOKUP(PROVEEDORES[[#This Row],[ID RETENCION]],Retenciones!$A$1:$O$25,PROVEEDORES[[#This Row],[indicador de columna]],FALSE)</f>
        <v>0</v>
      </c>
      <c r="Y1837" s="99">
        <f>+VLOOKUP(PROVEEDORES[[#This Row],[ID RETENCION]],Retenciones!$A$1:$O$25,2,FALSE)</f>
        <v>0</v>
      </c>
      <c r="Z1837" s="125" t="b">
        <f>OR(COUNTIF(PROVEEDORES[[#This Row],[PROVEEDOR]],"*"&amp;'Palabra no opera'!$A$2&amp;"*"))</f>
        <v>0</v>
      </c>
    </row>
    <row r="1838" spans="1:26" ht="22.2" customHeight="1" x14ac:dyDescent="0.3">
      <c r="A1838" s="66" t="str">
        <f>+IF(PROVEEDORES[[#This Row],[FECHA DE PAGO]]=PROVEEDORES[[#This Row],[FECHA DE FACTURACIÓN]],"DE CONTADO","CRÉDITO")</f>
        <v>CRÉDITO</v>
      </c>
      <c r="B1838" s="38" t="b">
        <f>+IF((PROVEEDORES[[#This Row],[FECHA DE PAGO]]-PROVEEDORES[[#This Row],[FECHA DE FACTURACIÓN]])&gt;PROVEEDORES[[#This Row],[PLAZO Días]],"PAGO VENCIDO")</f>
        <v>0</v>
      </c>
      <c r="C1838" s="20">
        <f>+VLOOKUP(PROVEEDORES[[#This Row],[PROVEEDOR]],TERCEROS_INFO[#All],2,FALSE)</f>
        <v>30</v>
      </c>
      <c r="D1838" s="25">
        <f>+SUMIFS(PROVEEDORES[Total],PROVEEDORES[PROVEEDOR],PROVEEDORES[[#This Row],[PROVEEDOR]],PROVEEDORES[FECHA DE PAGO],"")</f>
        <v>0</v>
      </c>
      <c r="E1838" s="25"/>
      <c r="F183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38" s="161">
        <v>44678</v>
      </c>
      <c r="H1838" s="26" t="s">
        <v>913</v>
      </c>
      <c r="I1838" s="161">
        <v>44652</v>
      </c>
      <c r="J1838" s="35" t="s">
        <v>959</v>
      </c>
      <c r="K1838" s="21">
        <v>3294426</v>
      </c>
      <c r="L1838" s="21"/>
      <c r="M1838" s="22">
        <f>(PROVEEDORES[[#This Row],[SUBTOTAL]]-PROVEEDORES[[#This Row],[descuento sobre subtotal]])*VLOOKUP(PROVEEDORES[[#This Row],[PROVEEDOR]],TERCEROS_INFO[#All],3,FALSE)</f>
        <v>625940.94000000006</v>
      </c>
      <c r="N1838" s="23"/>
      <c r="O1838" s="22">
        <f>+PROVEEDORES[[#This Row],[Descuento sobre subtotal %]]*(PROVEEDORES[[#This Row],[SUBTOTAL]]-PROVEEDORES[[#This Row],[descuento sobre subtotal]])</f>
        <v>0</v>
      </c>
      <c r="P1838" s="83">
        <f>+IF(PROVEEDORES[[#This Row],[SUBTOTAL]]&lt;PROVEEDORES[[#This Row],[base retencion]],0,PROVEEDORES[[#This Row],[retención aplicada]])</f>
        <v>0</v>
      </c>
      <c r="Q1838" s="22">
        <f>+PROVEEDORES[[#This Row],[Rete Fuente %]]*(PROVEEDORES[[#This Row],[SUBTOTAL]]-PROVEEDORES[[#This Row],[descuento sobre subtotal]])</f>
        <v>0</v>
      </c>
      <c r="R1838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8" s="68">
        <f ca="1">IF(PROVEEDORES[[#This Row],[FECHA DE PAGO]]=0,TODAY()-PROVEEDORES[[#This Row],[FECHA DE FACTURACIÓN]]-PROVEEDORES[[#This Row],[PLAZO Días]],0)</f>
        <v>0</v>
      </c>
      <c r="U1838" s="96">
        <f>+VLOOKUP(PROVEEDORES[[#This Row],[PROVEEDOR]],Terceros!$A:$D,4,FALSE)</f>
        <v>0</v>
      </c>
      <c r="V1838" s="97">
        <f>+YEAR(PROVEEDORES[[#This Row],[FECHA DE FACTURACIÓN]])</f>
        <v>2022</v>
      </c>
      <c r="W1838" s="97">
        <f>+MATCH(PROVEEDORES[[#This Row],[año facturado]],Retenciones!$1:$1,0)</f>
        <v>5</v>
      </c>
      <c r="X1838" s="98">
        <f>+VLOOKUP(PROVEEDORES[[#This Row],[ID RETENCION]],Retenciones!$A$1:$O$25,PROVEEDORES[[#This Row],[indicador de columna]],FALSE)</f>
        <v>0</v>
      </c>
      <c r="Y1838" s="99">
        <f>+VLOOKUP(PROVEEDORES[[#This Row],[ID RETENCION]],Retenciones!$A$1:$O$25,2,FALSE)</f>
        <v>0</v>
      </c>
      <c r="Z1838" s="125" t="b">
        <f>OR(COUNTIF(PROVEEDORES[[#This Row],[PROVEEDOR]],"*"&amp;'Palabra no opera'!$A$2&amp;"*"))</f>
        <v>1</v>
      </c>
    </row>
    <row r="1839" spans="1:26" ht="22.2" customHeight="1" x14ac:dyDescent="0.3">
      <c r="A1839" s="123" t="str">
        <f>+IF(PROVEEDORES[[#This Row],[FECHA DE PAGO]]=PROVEEDORES[[#This Row],[FECHA DE FACTURACIÓN]],"DE CONTADO","CRÉDITO")</f>
        <v>CRÉDITO</v>
      </c>
      <c r="B1839" s="38" t="b">
        <f>+IF((PROVEEDORES[[#This Row],[FECHA DE PAGO]]-PROVEEDORES[[#This Row],[FECHA DE FACTURACIÓN]])&gt;PROVEEDORES[[#This Row],[PLAZO Días]],"PAGO VENCIDO")</f>
        <v>0</v>
      </c>
      <c r="C1839" s="20">
        <f>+VLOOKUP(PROVEEDORES[[#This Row],[PROVEEDOR]],TERCEROS_INFO[#All],2,FALSE)</f>
        <v>30</v>
      </c>
      <c r="D1839" s="25">
        <f>+SUMIFS(PROVEEDORES[Total],PROVEEDORES[PROVEEDOR],PROVEEDORES[[#This Row],[PROVEEDOR]],PROVEEDORES[FECHA DE PAGO],"")</f>
        <v>0</v>
      </c>
      <c r="E1839" s="25"/>
      <c r="F183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39" s="161">
        <v>44699</v>
      </c>
      <c r="H1839" s="26" t="s">
        <v>913</v>
      </c>
      <c r="I1839" s="161">
        <v>44682</v>
      </c>
      <c r="J1839" s="35" t="s">
        <v>953</v>
      </c>
      <c r="K1839" s="21">
        <v>3294426</v>
      </c>
      <c r="L1839" s="21"/>
      <c r="M1839" s="22">
        <f>(PROVEEDORES[[#This Row],[SUBTOTAL]]-PROVEEDORES[[#This Row],[descuento sobre subtotal]])*VLOOKUP(PROVEEDORES[[#This Row],[PROVEEDOR]],TERCEROS_INFO[#All],3,FALSE)</f>
        <v>625940.94000000006</v>
      </c>
      <c r="N1839" s="23"/>
      <c r="O1839" s="22">
        <f>+PROVEEDORES[[#This Row],[Descuento sobre subtotal %]]*(PROVEEDORES[[#This Row],[SUBTOTAL]]-PROVEEDORES[[#This Row],[descuento sobre subtotal]])</f>
        <v>0</v>
      </c>
      <c r="P1839" s="83">
        <f>+IF(PROVEEDORES[[#This Row],[SUBTOTAL]]&lt;PROVEEDORES[[#This Row],[base retencion]],0,PROVEEDORES[[#This Row],[retención aplicada]])</f>
        <v>0</v>
      </c>
      <c r="Q1839" s="22">
        <f>+PROVEEDORES[[#This Row],[Rete Fuente %]]*(PROVEEDORES[[#This Row],[SUBTOTAL]]-PROVEEDORES[[#This Row],[descuento sobre subtotal]])</f>
        <v>0</v>
      </c>
      <c r="R1839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39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9" s="68">
        <f ca="1">IF(PROVEEDORES[[#This Row],[FECHA DE PAGO]]=0,TODAY()-PROVEEDORES[[#This Row],[FECHA DE FACTURACIÓN]]-PROVEEDORES[[#This Row],[PLAZO Días]],0)</f>
        <v>0</v>
      </c>
      <c r="U1839" s="113">
        <f>+VLOOKUP(PROVEEDORES[[#This Row],[PROVEEDOR]],Terceros!$A:$D,4,FALSE)</f>
        <v>0</v>
      </c>
      <c r="V1839" s="114">
        <f>+YEAR(PROVEEDORES[[#This Row],[FECHA DE FACTURACIÓN]])</f>
        <v>2022</v>
      </c>
      <c r="W1839" s="114">
        <f>+MATCH(PROVEEDORES[[#This Row],[año facturado]],Retenciones!$1:$1,0)</f>
        <v>5</v>
      </c>
      <c r="X1839" s="115">
        <f>+VLOOKUP(PROVEEDORES[[#This Row],[ID RETENCION]],Retenciones!$A$1:$O$25,PROVEEDORES[[#This Row],[indicador de columna]],FALSE)</f>
        <v>0</v>
      </c>
      <c r="Y1839" s="116">
        <f>+VLOOKUP(PROVEEDORES[[#This Row],[ID RETENCION]],Retenciones!$A$1:$O$25,2,FALSE)</f>
        <v>0</v>
      </c>
      <c r="Z1839" s="125" t="b">
        <f>OR(COUNTIF(PROVEEDORES[[#This Row],[PROVEEDOR]],"*"&amp;'Palabra no opera'!$A$2&amp;"*"))</f>
        <v>1</v>
      </c>
    </row>
    <row r="1840" spans="1:26" ht="22.2" customHeight="1" x14ac:dyDescent="0.3">
      <c r="A1840" s="146" t="str">
        <f>+IF(PROVEEDORES[[#This Row],[FECHA DE PAGO]]=PROVEEDORES[[#This Row],[FECHA DE FACTURACIÓN]],"DE CONTADO","CRÉDITO")</f>
        <v>CRÉDITO</v>
      </c>
      <c r="B1840" s="38" t="b">
        <f>+IF((PROVEEDORES[[#This Row],[FECHA DE PAGO]]-PROVEEDORES[[#This Row],[FECHA DE FACTURACIÓN]])&gt;PROVEEDORES[[#This Row],[PLAZO Días]],"PAGO VENCIDO")</f>
        <v>0</v>
      </c>
      <c r="C1840" s="20">
        <f>+VLOOKUP(PROVEEDORES[[#This Row],[PROVEEDOR]],TERCEROS_INFO[#All],2,FALSE)</f>
        <v>30</v>
      </c>
      <c r="D1840" s="25">
        <f>+SUMIFS(PROVEEDORES[Total],PROVEEDORES[PROVEEDOR],PROVEEDORES[[#This Row],[PROVEEDOR]],PROVEEDORES[FECHA DE PAGO],"")</f>
        <v>0</v>
      </c>
      <c r="E1840" s="25"/>
      <c r="F184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0" s="161">
        <v>44729</v>
      </c>
      <c r="H1840" s="26" t="s">
        <v>913</v>
      </c>
      <c r="I1840" s="161">
        <v>44713</v>
      </c>
      <c r="J1840" s="35" t="s">
        <v>1004</v>
      </c>
      <c r="K1840" s="21">
        <v>3294426</v>
      </c>
      <c r="L1840" s="21"/>
      <c r="M1840" s="22">
        <f>(PROVEEDORES[[#This Row],[SUBTOTAL]]-PROVEEDORES[[#This Row],[descuento sobre subtotal]])*VLOOKUP(PROVEEDORES[[#This Row],[PROVEEDOR]],TERCEROS_INFO[#All],3,FALSE)</f>
        <v>625940.94000000006</v>
      </c>
      <c r="N1840" s="23"/>
      <c r="O1840" s="22">
        <f>+PROVEEDORES[[#This Row],[Descuento sobre subtotal %]]*(PROVEEDORES[[#This Row],[SUBTOTAL]]-PROVEEDORES[[#This Row],[descuento sobre subtotal]])</f>
        <v>0</v>
      </c>
      <c r="P1840" s="83">
        <f>+IF(PROVEEDORES[[#This Row],[SUBTOTAL]]&lt;PROVEEDORES[[#This Row],[base retencion]],0,PROVEEDORES[[#This Row],[retención aplicada]])</f>
        <v>0</v>
      </c>
      <c r="Q1840" s="22">
        <f>+PROVEEDORES[[#This Row],[Rete Fuente %]]*(PROVEEDORES[[#This Row],[SUBTOTAL]]-PROVEEDORES[[#This Row],[descuento sobre subtotal]])</f>
        <v>0</v>
      </c>
      <c r="R1840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0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0" s="68">
        <f ca="1">IF(PROVEEDORES[[#This Row],[FECHA DE PAGO]]=0,TODAY()-PROVEEDORES[[#This Row],[FECHA DE FACTURACIÓN]]-PROVEEDORES[[#This Row],[PLAZO Días]],0)</f>
        <v>0</v>
      </c>
      <c r="U1840" s="113">
        <f>+VLOOKUP(PROVEEDORES[[#This Row],[PROVEEDOR]],Terceros!$A:$D,4,FALSE)</f>
        <v>0</v>
      </c>
      <c r="V1840" s="114">
        <f>+YEAR(PROVEEDORES[[#This Row],[FECHA DE FACTURACIÓN]])</f>
        <v>2022</v>
      </c>
      <c r="W1840" s="114">
        <f>+MATCH(PROVEEDORES[[#This Row],[año facturado]],Retenciones!$1:$1,0)</f>
        <v>5</v>
      </c>
      <c r="X1840" s="115">
        <f>+VLOOKUP(PROVEEDORES[[#This Row],[ID RETENCION]],Retenciones!$A$1:$O$25,PROVEEDORES[[#This Row],[indicador de columna]],FALSE)</f>
        <v>0</v>
      </c>
      <c r="Y1840" s="116">
        <f>+VLOOKUP(PROVEEDORES[[#This Row],[ID RETENCION]],Retenciones!$A$1:$O$25,2,FALSE)</f>
        <v>0</v>
      </c>
      <c r="Z1840" s="125" t="b">
        <f>OR(COUNTIF(PROVEEDORES[[#This Row],[PROVEEDOR]],"*"&amp;'Palabra no opera'!$A$2&amp;"*"))</f>
        <v>1</v>
      </c>
    </row>
    <row r="1841" spans="1:26" ht="22.2" customHeight="1" x14ac:dyDescent="0.3">
      <c r="A1841" s="159" t="str">
        <f>+IF(PROVEEDORES[[#This Row],[FECHA DE PAGO]]=PROVEEDORES[[#This Row],[FECHA DE FACTURACIÓN]],"DE CONTADO","CRÉDITO")</f>
        <v>CRÉDITO</v>
      </c>
      <c r="B1841" s="38" t="b">
        <f>+IF((PROVEEDORES[[#This Row],[FECHA DE PAGO]]-PROVEEDORES[[#This Row],[FECHA DE FACTURACIÓN]])&gt;PROVEEDORES[[#This Row],[PLAZO Días]],"PAGO VENCIDO")</f>
        <v>0</v>
      </c>
      <c r="C1841" s="20">
        <f>+VLOOKUP(PROVEEDORES[[#This Row],[PROVEEDOR]],TERCEROS_INFO[#All],2,FALSE)</f>
        <v>30</v>
      </c>
      <c r="D1841" s="25">
        <f>+SUMIFS(PROVEEDORES[Total],PROVEEDORES[PROVEEDOR],PROVEEDORES[[#This Row],[PROVEEDOR]],PROVEEDORES[FECHA DE PAGO],"")</f>
        <v>0</v>
      </c>
      <c r="E1841" s="25"/>
      <c r="F184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1" s="161">
        <v>44750</v>
      </c>
      <c r="H1841" s="26" t="s">
        <v>913</v>
      </c>
      <c r="I1841" s="161">
        <v>44743</v>
      </c>
      <c r="J1841" s="35" t="s">
        <v>1088</v>
      </c>
      <c r="K1841" s="21">
        <v>3294426</v>
      </c>
      <c r="L1841" s="21"/>
      <c r="M1841" s="22">
        <f>(PROVEEDORES[[#This Row],[SUBTOTAL]]-PROVEEDORES[[#This Row],[descuento sobre subtotal]])*VLOOKUP(PROVEEDORES[[#This Row],[PROVEEDOR]],TERCEROS_INFO[#All],3,FALSE)</f>
        <v>625940.94000000006</v>
      </c>
      <c r="N1841" s="23"/>
      <c r="O1841" s="22">
        <f>+PROVEEDORES[[#This Row],[Descuento sobre subtotal %]]*(PROVEEDORES[[#This Row],[SUBTOTAL]]-PROVEEDORES[[#This Row],[descuento sobre subtotal]])</f>
        <v>0</v>
      </c>
      <c r="P1841" s="83">
        <f>+IF(PROVEEDORES[[#This Row],[SUBTOTAL]]&lt;PROVEEDORES[[#This Row],[base retencion]],0,PROVEEDORES[[#This Row],[retención aplicada]])</f>
        <v>0</v>
      </c>
      <c r="Q1841" s="22">
        <f>+PROVEEDORES[[#This Row],[Rete Fuente %]]*(PROVEEDORES[[#This Row],[SUBTOTAL]]-PROVEEDORES[[#This Row],[descuento sobre subtotal]])</f>
        <v>0</v>
      </c>
      <c r="R1841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1" s="68">
        <f ca="1">IF(PROVEEDORES[[#This Row],[FECHA DE PAGO]]=0,TODAY()-PROVEEDORES[[#This Row],[FECHA DE FACTURACIÓN]]-PROVEEDORES[[#This Row],[PLAZO Días]],0)</f>
        <v>0</v>
      </c>
      <c r="U1841" s="113">
        <f>+VLOOKUP(PROVEEDORES[[#This Row],[PROVEEDOR]],Terceros!$A:$D,4,FALSE)</f>
        <v>0</v>
      </c>
      <c r="V1841" s="114">
        <f>+YEAR(PROVEEDORES[[#This Row],[FECHA DE FACTURACIÓN]])</f>
        <v>2022</v>
      </c>
      <c r="W1841" s="114">
        <f>+MATCH(PROVEEDORES[[#This Row],[año facturado]],Retenciones!$1:$1,0)</f>
        <v>5</v>
      </c>
      <c r="X1841" s="115">
        <f>+VLOOKUP(PROVEEDORES[[#This Row],[ID RETENCION]],Retenciones!$A$1:$O$25,PROVEEDORES[[#This Row],[indicador de columna]],FALSE)</f>
        <v>0</v>
      </c>
      <c r="Y1841" s="116">
        <f>+VLOOKUP(PROVEEDORES[[#This Row],[ID RETENCION]],Retenciones!$A$1:$O$25,2,FALSE)</f>
        <v>0</v>
      </c>
      <c r="Z1841" s="125" t="b">
        <f>OR(COUNTIF(PROVEEDORES[[#This Row],[PROVEEDOR]],"*"&amp;'Palabra no opera'!$A$2&amp;"*"))</f>
        <v>1</v>
      </c>
    </row>
    <row r="1842" spans="1:26" ht="22.2" customHeight="1" x14ac:dyDescent="0.3">
      <c r="A1842" s="72" t="str">
        <f>+IF(PROVEEDORES[[#This Row],[FECHA DE PAGO]]=PROVEEDORES[[#This Row],[FECHA DE FACTURACIÓN]],"DE CONTADO","CRÉDITO")</f>
        <v>CRÉDITO</v>
      </c>
      <c r="B1842" s="38" t="b">
        <f>+IF((PROVEEDORES[[#This Row],[FECHA DE PAGO]]-PROVEEDORES[[#This Row],[FECHA DE FACTURACIÓN]])&gt;PROVEEDORES[[#This Row],[PLAZO Días]],"PAGO VENCIDO")</f>
        <v>0</v>
      </c>
      <c r="C1842" s="20">
        <f>+VLOOKUP(PROVEEDORES[[#This Row],[PROVEEDOR]],TERCEROS_INFO[#All],2,FALSE)</f>
        <v>30</v>
      </c>
      <c r="D1842" s="25">
        <f>+SUMIFS(PROVEEDORES[Total],PROVEEDORES[PROVEEDOR],PROVEEDORES[[#This Row],[PROVEEDOR]],PROVEEDORES[FECHA DE PAGO],"")</f>
        <v>0</v>
      </c>
      <c r="E1842" s="25"/>
      <c r="F184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2" s="161">
        <v>44783</v>
      </c>
      <c r="H1842" s="26" t="s">
        <v>913</v>
      </c>
      <c r="I1842" s="161">
        <v>44774</v>
      </c>
      <c r="J1842" s="35" t="s">
        <v>1145</v>
      </c>
      <c r="K1842" s="21">
        <v>3294426</v>
      </c>
      <c r="L1842" s="21"/>
      <c r="M1842" s="22">
        <f>(PROVEEDORES[[#This Row],[SUBTOTAL]]-PROVEEDORES[[#This Row],[descuento sobre subtotal]])*VLOOKUP(PROVEEDORES[[#This Row],[PROVEEDOR]],TERCEROS_INFO[#All],3,FALSE)</f>
        <v>625940.94000000006</v>
      </c>
      <c r="N1842" s="23"/>
      <c r="O1842" s="22">
        <f>+PROVEEDORES[[#This Row],[Descuento sobre subtotal %]]*(PROVEEDORES[[#This Row],[SUBTOTAL]]-PROVEEDORES[[#This Row],[descuento sobre subtotal]])</f>
        <v>0</v>
      </c>
      <c r="P1842" s="83">
        <f>+IF(PROVEEDORES[[#This Row],[SUBTOTAL]]&lt;PROVEEDORES[[#This Row],[base retencion]],0,PROVEEDORES[[#This Row],[retención aplicada]])</f>
        <v>0</v>
      </c>
      <c r="Q1842" s="22">
        <f>+PROVEEDORES[[#This Row],[Rete Fuente %]]*(PROVEEDORES[[#This Row],[SUBTOTAL]]-PROVEEDORES[[#This Row],[descuento sobre subtotal]])</f>
        <v>0</v>
      </c>
      <c r="R1842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2" s="68">
        <f ca="1">IF(PROVEEDORES[[#This Row],[FECHA DE PAGO]]=0,TODAY()-PROVEEDORES[[#This Row],[FECHA DE FACTURACIÓN]]-PROVEEDORES[[#This Row],[PLAZO Días]],0)</f>
        <v>0</v>
      </c>
      <c r="U1842" s="113">
        <f>+VLOOKUP(PROVEEDORES[[#This Row],[PROVEEDOR]],Terceros!$A:$D,4,FALSE)</f>
        <v>0</v>
      </c>
      <c r="V1842" s="114">
        <f>+YEAR(PROVEEDORES[[#This Row],[FECHA DE FACTURACIÓN]])</f>
        <v>2022</v>
      </c>
      <c r="W1842" s="114">
        <f>+MATCH(PROVEEDORES[[#This Row],[año facturado]],Retenciones!$1:$1,0)</f>
        <v>5</v>
      </c>
      <c r="X1842" s="115">
        <f>+VLOOKUP(PROVEEDORES[[#This Row],[ID RETENCION]],Retenciones!$A$1:$O$25,PROVEEDORES[[#This Row],[indicador de columna]],FALSE)</f>
        <v>0</v>
      </c>
      <c r="Y1842" s="116">
        <f>+VLOOKUP(PROVEEDORES[[#This Row],[ID RETENCION]],Retenciones!$A$1:$O$25,2,FALSE)</f>
        <v>0</v>
      </c>
      <c r="Z1842" s="125" t="b">
        <f>OR(COUNTIF(PROVEEDORES[[#This Row],[PROVEEDOR]],"*"&amp;'Palabra no opera'!$A$2&amp;"*"))</f>
        <v>1</v>
      </c>
    </row>
    <row r="1843" spans="1:26" ht="22.2" customHeight="1" x14ac:dyDescent="0.3">
      <c r="A1843" s="72" t="str">
        <f>+IF(PROVEEDORES[[#This Row],[FECHA DE PAGO]]=PROVEEDORES[[#This Row],[FECHA DE FACTURACIÓN]],"DE CONTADO","CRÉDITO")</f>
        <v>CRÉDITO</v>
      </c>
      <c r="B1843" s="38" t="b">
        <f>+IF((PROVEEDORES[[#This Row],[FECHA DE PAGO]]-PROVEEDORES[[#This Row],[FECHA DE FACTURACIÓN]])&gt;PROVEEDORES[[#This Row],[PLAZO Días]],"PAGO VENCIDO")</f>
        <v>0</v>
      </c>
      <c r="C1843" s="20">
        <f>+VLOOKUP(PROVEEDORES[[#This Row],[PROVEEDOR]],TERCEROS_INFO[#All],2,FALSE)</f>
        <v>30</v>
      </c>
      <c r="D1843" s="25">
        <f>+SUMIFS(PROVEEDORES[Total],PROVEEDORES[PROVEEDOR],PROVEEDORES[[#This Row],[PROVEEDOR]],PROVEEDORES[FECHA DE PAGO],"")</f>
        <v>0</v>
      </c>
      <c r="E1843" s="25"/>
      <c r="F184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3" s="161">
        <v>44823</v>
      </c>
      <c r="H1843" s="26" t="s">
        <v>913</v>
      </c>
      <c r="I1843" s="161">
        <v>44805</v>
      </c>
      <c r="J1843" s="35" t="s">
        <v>1664</v>
      </c>
      <c r="K1843" s="21">
        <v>3294426</v>
      </c>
      <c r="L1843" s="21"/>
      <c r="M1843" s="22">
        <f>(PROVEEDORES[[#This Row],[SUBTOTAL]]-PROVEEDORES[[#This Row],[descuento sobre subtotal]])*VLOOKUP(PROVEEDORES[[#This Row],[PROVEEDOR]],TERCEROS_INFO[#All],3,FALSE)</f>
        <v>625940.94000000006</v>
      </c>
      <c r="N1843" s="23"/>
      <c r="O1843" s="22">
        <f>+PROVEEDORES[[#This Row],[Descuento sobre subtotal %]]*(PROVEEDORES[[#This Row],[SUBTOTAL]]-PROVEEDORES[[#This Row],[descuento sobre subtotal]])</f>
        <v>0</v>
      </c>
      <c r="P1843" s="83">
        <f>+IF(PROVEEDORES[[#This Row],[SUBTOTAL]]&lt;PROVEEDORES[[#This Row],[base retencion]],0,PROVEEDORES[[#This Row],[retención aplicada]])</f>
        <v>0</v>
      </c>
      <c r="Q1843" s="22">
        <f>+PROVEEDORES[[#This Row],[Rete Fuente %]]*(PROVEEDORES[[#This Row],[SUBTOTAL]]-PROVEEDORES[[#This Row],[descuento sobre subtotal]])</f>
        <v>0</v>
      </c>
      <c r="R1843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3" s="68">
        <f ca="1">IF(PROVEEDORES[[#This Row],[FECHA DE PAGO]]=0,TODAY()-PROVEEDORES[[#This Row],[FECHA DE FACTURACIÓN]]-PROVEEDORES[[#This Row],[PLAZO Días]],0)</f>
        <v>0</v>
      </c>
      <c r="U1843" s="113">
        <f>+VLOOKUP(PROVEEDORES[[#This Row],[PROVEEDOR]],Terceros!$A:$D,4,FALSE)</f>
        <v>0</v>
      </c>
      <c r="V1843" s="114">
        <f>+YEAR(PROVEEDORES[[#This Row],[FECHA DE FACTURACIÓN]])</f>
        <v>2022</v>
      </c>
      <c r="W1843" s="114">
        <f>+MATCH(PROVEEDORES[[#This Row],[año facturado]],Retenciones!$1:$1,0)</f>
        <v>5</v>
      </c>
      <c r="X1843" s="115">
        <f>+VLOOKUP(PROVEEDORES[[#This Row],[ID RETENCION]],Retenciones!$A$1:$O$25,PROVEEDORES[[#This Row],[indicador de columna]],FALSE)</f>
        <v>0</v>
      </c>
      <c r="Y1843" s="116">
        <f>+VLOOKUP(PROVEEDORES[[#This Row],[ID RETENCION]],Retenciones!$A$1:$O$25,2,FALSE)</f>
        <v>0</v>
      </c>
      <c r="Z1843" s="125" t="b">
        <f>OR(COUNTIF(PROVEEDORES[[#This Row],[PROVEEDOR]],"*"&amp;'Palabra no opera'!$A$2&amp;"*"))</f>
        <v>1</v>
      </c>
    </row>
    <row r="1844" spans="1:26" ht="22.2" customHeight="1" x14ac:dyDescent="0.3">
      <c r="A1844" s="257" t="str">
        <f>+IF(PROVEEDORES[[#This Row],[FECHA DE PAGO]]=PROVEEDORES[[#This Row],[FECHA DE FACTURACIÓN]],"DE CONTADO","CRÉDITO")</f>
        <v>CRÉDITO</v>
      </c>
      <c r="B1844" s="38" t="b">
        <f>+IF((PROVEEDORES[[#This Row],[FECHA DE PAGO]]-PROVEEDORES[[#This Row],[FECHA DE FACTURACIÓN]])&gt;PROVEEDORES[[#This Row],[PLAZO Días]],"PAGO VENCIDO")</f>
        <v>0</v>
      </c>
      <c r="C1844" s="20">
        <f>+VLOOKUP(PROVEEDORES[[#This Row],[PROVEEDOR]],TERCEROS_INFO[#All],2,FALSE)</f>
        <v>30</v>
      </c>
      <c r="D1844" s="25">
        <f>+SUMIFS(PROVEEDORES[Total],PROVEEDORES[PROVEEDOR],PROVEEDORES[[#This Row],[PROVEEDOR]],PROVEEDORES[FECHA DE PAGO],"")</f>
        <v>0</v>
      </c>
      <c r="E1844" s="25"/>
      <c r="F184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4" s="161">
        <v>44844</v>
      </c>
      <c r="H1844" s="26" t="s">
        <v>913</v>
      </c>
      <c r="I1844" s="161">
        <v>44835</v>
      </c>
      <c r="J1844" s="35" t="s">
        <v>1756</v>
      </c>
      <c r="K1844" s="21">
        <v>3294426</v>
      </c>
      <c r="L1844" s="21"/>
      <c r="M1844" s="22">
        <f>(PROVEEDORES[[#This Row],[SUBTOTAL]]-PROVEEDORES[[#This Row],[descuento sobre subtotal]])*VLOOKUP(PROVEEDORES[[#This Row],[PROVEEDOR]],TERCEROS_INFO[#All],3,FALSE)</f>
        <v>625940.94000000006</v>
      </c>
      <c r="N1844" s="23"/>
      <c r="O1844" s="22">
        <f>+PROVEEDORES[[#This Row],[Descuento sobre subtotal %]]*(PROVEEDORES[[#This Row],[SUBTOTAL]]-PROVEEDORES[[#This Row],[descuento sobre subtotal]])</f>
        <v>0</v>
      </c>
      <c r="P1844" s="83">
        <f>+IF(PROVEEDORES[[#This Row],[SUBTOTAL]]&lt;PROVEEDORES[[#This Row],[base retencion]],0,PROVEEDORES[[#This Row],[retención aplicada]])</f>
        <v>0</v>
      </c>
      <c r="Q1844" s="22">
        <f>+PROVEEDORES[[#This Row],[Rete Fuente %]]*(PROVEEDORES[[#This Row],[SUBTOTAL]]-PROVEEDORES[[#This Row],[descuento sobre subtotal]])</f>
        <v>0</v>
      </c>
      <c r="R184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4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4" s="68">
        <f ca="1">IF(PROVEEDORES[[#This Row],[FECHA DE PAGO]]=0,TODAY()-PROVEEDORES[[#This Row],[FECHA DE FACTURACIÓN]]-PROVEEDORES[[#This Row],[PLAZO Días]],0)</f>
        <v>0</v>
      </c>
      <c r="U1844" s="113">
        <f>+VLOOKUP(PROVEEDORES[[#This Row],[PROVEEDOR]],Terceros!$A:$D,4,FALSE)</f>
        <v>0</v>
      </c>
      <c r="V1844" s="114">
        <f>+YEAR(PROVEEDORES[[#This Row],[FECHA DE FACTURACIÓN]])</f>
        <v>2022</v>
      </c>
      <c r="W1844" s="114">
        <f>+MATCH(PROVEEDORES[[#This Row],[año facturado]],Retenciones!$1:$1,0)</f>
        <v>5</v>
      </c>
      <c r="X1844" s="115">
        <f>+VLOOKUP(PROVEEDORES[[#This Row],[ID RETENCION]],Retenciones!$A$1:$O$25,PROVEEDORES[[#This Row],[indicador de columna]],FALSE)</f>
        <v>0</v>
      </c>
      <c r="Y1844" s="116">
        <f>+VLOOKUP(PROVEEDORES[[#This Row],[ID RETENCION]],Retenciones!$A$1:$O$25,2,FALSE)</f>
        <v>0</v>
      </c>
      <c r="Z1844" s="125" t="b">
        <f>OR(COUNTIF(PROVEEDORES[[#This Row],[PROVEEDOR]],"*"&amp;'Palabra no opera'!$A$2&amp;"*"))</f>
        <v>1</v>
      </c>
    </row>
    <row r="1845" spans="1:26" ht="22.2" customHeight="1" x14ac:dyDescent="0.3">
      <c r="A1845" s="72" t="str">
        <f>+IF(PROVEEDORES[[#This Row],[FECHA DE PAGO]]=PROVEEDORES[[#This Row],[FECHA DE FACTURACIÓN]],"DE CONTADO","CRÉDITO")</f>
        <v>CRÉDITO</v>
      </c>
      <c r="B1845" s="38" t="str">
        <f>+IF((PROVEEDORES[[#This Row],[FECHA DE PAGO]]-PROVEEDORES[[#This Row],[FECHA DE FACTURACIÓN]])&gt;PROVEEDORES[[#This Row],[PLAZO Días]],"PAGO VENCIDO")</f>
        <v>PAGO VENCIDO</v>
      </c>
      <c r="C1845" s="20">
        <f>+VLOOKUP(PROVEEDORES[[#This Row],[PROVEEDOR]],TERCEROS_INFO[#All],2,FALSE)</f>
        <v>30</v>
      </c>
      <c r="D1845" s="25">
        <f>+SUMIFS(PROVEEDORES[Total],PROVEEDORES[PROVEEDOR],PROVEEDORES[[#This Row],[PROVEEDOR]],PROVEEDORES[FECHA DE PAGO],"")</f>
        <v>3215000</v>
      </c>
      <c r="E1845" s="25"/>
      <c r="F1845" s="58" t="str">
        <f>+VLOOKUP(PROVEEDORES[[#This Row],[PROVEEDOR]],
                       Terceros!$A:$F,
                       5,
                       FALSE)</f>
        <v/>
      </c>
      <c r="G1845" s="161">
        <v>44862</v>
      </c>
      <c r="H1845" s="266" t="s">
        <v>671</v>
      </c>
      <c r="I1845" s="161">
        <v>44761</v>
      </c>
      <c r="J1845" s="35" t="s">
        <v>1392</v>
      </c>
      <c r="K1845" s="21">
        <v>3921000</v>
      </c>
      <c r="L1845" s="21"/>
      <c r="M1845" s="22">
        <f>(PROVEEDORES[[#This Row],[SUBTOTAL]]-PROVEEDORES[[#This Row],[descuento sobre subtotal]])*VLOOKUP(PROVEEDORES[[#This Row],[PROVEEDOR]],TERCEROS_INFO[#All],3,FALSE)</f>
        <v>0</v>
      </c>
      <c r="N1845" s="23"/>
      <c r="O1845" s="22">
        <f>+PROVEEDORES[[#This Row],[Descuento sobre subtotal %]]*(PROVEEDORES[[#This Row],[SUBTOTAL]]-PROVEEDORES[[#This Row],[descuento sobre subtotal]])</f>
        <v>0</v>
      </c>
      <c r="P1845" s="83">
        <f>+IF(PROVEEDORES[[#This Row],[SUBTOTAL]]&lt;PROVEEDORES[[#This Row],[base retencion]],0,PROVEEDORES[[#This Row],[retención aplicada]])</f>
        <v>0</v>
      </c>
      <c r="Q1845" s="22">
        <f>+PROVEEDORES[[#This Row],[Rete Fuente %]]*(PROVEEDORES[[#This Row],[SUBTOTAL]]-PROVEEDORES[[#This Row],[descuento sobre subtotal]])</f>
        <v>0</v>
      </c>
      <c r="R1845" s="21">
        <f>+PROVEEDORES[[#This Row],[SUBTOTAL]]+PROVEEDORES[[#This Row],[IVA 19%]]-PROVEEDORES[[#This Row],[descuento sobre subtotal]]-PROVEEDORES[[#This Row],[Descuento sobre subtotal $2]]-PROVEEDORES[[#This Row],[Rete Fuente $]]</f>
        <v>3921000</v>
      </c>
      <c r="S184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5" s="68">
        <f ca="1">IF(PROVEEDORES[[#This Row],[FECHA DE PAGO]]=0,TODAY()-PROVEEDORES[[#This Row],[FECHA DE FACTURACIÓN]]-PROVEEDORES[[#This Row],[PLAZO Días]],0)</f>
        <v>0</v>
      </c>
      <c r="U1845" s="113">
        <f>+VLOOKUP(PROVEEDORES[[#This Row],[PROVEEDOR]],Terceros!$A:$D,4,FALSE)</f>
        <v>0</v>
      </c>
      <c r="V1845" s="114">
        <f>+YEAR(PROVEEDORES[[#This Row],[FECHA DE FACTURACIÓN]])</f>
        <v>2022</v>
      </c>
      <c r="W1845" s="114">
        <f>+MATCH(PROVEEDORES[[#This Row],[año facturado]],Retenciones!$1:$1,0)</f>
        <v>5</v>
      </c>
      <c r="X1845" s="115">
        <f>+VLOOKUP(PROVEEDORES[[#This Row],[ID RETENCION]],Retenciones!$A$1:$O$25,PROVEEDORES[[#This Row],[indicador de columna]],FALSE)</f>
        <v>0</v>
      </c>
      <c r="Y1845" s="116">
        <f>+VLOOKUP(PROVEEDORES[[#This Row],[ID RETENCION]],Retenciones!$A$1:$O$25,2,FALSE)</f>
        <v>0</v>
      </c>
      <c r="Z1845" s="125" t="b">
        <f>OR(COUNTIF(PROVEEDORES[[#This Row],[PROVEEDOR]],"*"&amp;'Palabra no opera'!$A$2&amp;"*"))</f>
        <v>0</v>
      </c>
    </row>
    <row r="1846" spans="1:26" ht="22.2" customHeight="1" x14ac:dyDescent="0.3">
      <c r="A1846" s="195" t="str">
        <f>+IF(PROVEEDORES[[#This Row],[FECHA DE PAGO]]=PROVEEDORES[[#This Row],[FECHA DE FACTURACIÓN]],"DE CONTADO","CRÉDITO")</f>
        <v>CRÉDITO</v>
      </c>
      <c r="B1846" s="38" t="str">
        <f>+IF((PROVEEDORES[[#This Row],[FECHA DE PAGO]]-PROVEEDORES[[#This Row],[FECHA DE FACTURACIÓN]])&gt;PROVEEDORES[[#This Row],[PLAZO Días]],"PAGO VENCIDO")</f>
        <v>PAGO VENCIDO</v>
      </c>
      <c r="C1846" s="20">
        <f>+VLOOKUP(PROVEEDORES[[#This Row],[PROVEEDOR]],TERCEROS_INFO[#All],2,FALSE)</f>
        <v>45</v>
      </c>
      <c r="D1846" s="25">
        <f>+SUMIFS(PROVEEDORES[Total],PROVEEDORES[PROVEEDOR],PROVEEDORES[[#This Row],[PROVEEDOR]],PROVEEDORES[FECHA DE PAGO],"")</f>
        <v>31891814.359999999</v>
      </c>
      <c r="E1846" s="25"/>
      <c r="F184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46" s="161">
        <v>44845</v>
      </c>
      <c r="H1846" s="26" t="s">
        <v>19</v>
      </c>
      <c r="I1846" s="161">
        <v>44781</v>
      </c>
      <c r="J1846" s="35" t="s">
        <v>1169</v>
      </c>
      <c r="K1846" s="21">
        <v>3323520</v>
      </c>
      <c r="L1846" s="21"/>
      <c r="M1846" s="22">
        <f>(PROVEEDORES[[#This Row],[SUBTOTAL]]-PROVEEDORES[[#This Row],[descuento sobre subtotal]])*VLOOKUP(PROVEEDORES[[#This Row],[PROVEEDOR]],TERCEROS_INFO[#All],3,FALSE)</f>
        <v>631468.80000000005</v>
      </c>
      <c r="N1846" s="23"/>
      <c r="O1846" s="22">
        <f>+PROVEEDORES[[#This Row],[Descuento sobre subtotal %]]*(PROVEEDORES[[#This Row],[SUBTOTAL]]-PROVEEDORES[[#This Row],[descuento sobre subtotal]])</f>
        <v>0</v>
      </c>
      <c r="P1846" s="83">
        <f>+IF(PROVEEDORES[[#This Row],[SUBTOTAL]]&lt;PROVEEDORES[[#This Row],[base retencion]],0,PROVEEDORES[[#This Row],[retención aplicada]])</f>
        <v>0</v>
      </c>
      <c r="Q1846" s="22">
        <f>+PROVEEDORES[[#This Row],[Rete Fuente %]]*(PROVEEDORES[[#This Row],[SUBTOTAL]]-PROVEEDORES[[#This Row],[descuento sobre subtotal]])</f>
        <v>0</v>
      </c>
      <c r="R1846" s="21">
        <f>+PROVEEDORES[[#This Row],[SUBTOTAL]]+PROVEEDORES[[#This Row],[IVA 19%]]-PROVEEDORES[[#This Row],[descuento sobre subtotal]]-PROVEEDORES[[#This Row],[Descuento sobre subtotal $2]]-PROVEEDORES[[#This Row],[Rete Fuente $]]</f>
        <v>3954988.8</v>
      </c>
      <c r="S1846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6" s="68">
        <f ca="1">IF(PROVEEDORES[[#This Row],[FECHA DE PAGO]]=0,TODAY()-PROVEEDORES[[#This Row],[FECHA DE FACTURACIÓN]]-PROVEEDORES[[#This Row],[PLAZO Días]],0)</f>
        <v>0</v>
      </c>
      <c r="U1846" s="113">
        <f>+VLOOKUP(PROVEEDORES[[#This Row],[PROVEEDOR]],Terceros!$A:$D,4,FALSE)</f>
        <v>0</v>
      </c>
      <c r="V1846" s="114">
        <f>+YEAR(PROVEEDORES[[#This Row],[FECHA DE FACTURACIÓN]])</f>
        <v>2022</v>
      </c>
      <c r="W1846" s="114">
        <f>+MATCH(PROVEEDORES[[#This Row],[año facturado]],Retenciones!$1:$1,0)</f>
        <v>5</v>
      </c>
      <c r="X1846" s="115">
        <f>+VLOOKUP(PROVEEDORES[[#This Row],[ID RETENCION]],Retenciones!$A$1:$O$25,PROVEEDORES[[#This Row],[indicador de columna]],FALSE)</f>
        <v>0</v>
      </c>
      <c r="Y1846" s="116">
        <f>+VLOOKUP(PROVEEDORES[[#This Row],[ID RETENCION]],Retenciones!$A$1:$O$25,2,FALSE)</f>
        <v>0</v>
      </c>
      <c r="Z1846" s="125" t="b">
        <f>OR(COUNTIF(PROVEEDORES[[#This Row],[PROVEEDOR]],"*"&amp;'Palabra no opera'!$A$2&amp;"*"))</f>
        <v>0</v>
      </c>
    </row>
    <row r="1847" spans="1:26" ht="22.2" customHeight="1" x14ac:dyDescent="0.3">
      <c r="A1847" s="66" t="str">
        <f>+IF(PROVEEDORES[[#This Row],[FECHA DE PAGO]]=PROVEEDORES[[#This Row],[FECHA DE FACTURACIÓN]],"DE CONTADO","CRÉDITO")</f>
        <v>CRÉDITO</v>
      </c>
      <c r="B1847" s="38" t="b">
        <f>+IF((PROVEEDORES[[#This Row],[FECHA DE PAGO]]-PROVEEDORES[[#This Row],[FECHA DE FACTURACIÓN]])&gt;PROVEEDORES[[#This Row],[PLAZO Días]],"PAGO VENCIDO")</f>
        <v>0</v>
      </c>
      <c r="C1847" s="20">
        <f>+VLOOKUP(PROVEEDORES[[#This Row],[PROVEEDOR]],TERCEROS_INFO[#All],2,FALSE)</f>
        <v>30</v>
      </c>
      <c r="D1847" s="25">
        <f>+SUMIFS(PROVEEDORES[Total],PROVEEDORES[PROVEEDOR],PROVEEDORES[[#This Row],[PROVEEDOR]],PROVEEDORES[FECHA DE PAGO],"")</f>
        <v>0</v>
      </c>
      <c r="E1847" s="25"/>
      <c r="F1847" s="58" t="str">
        <f>+VLOOKUP(PROVEEDORES[[#This Row],[PROVEEDOR]],
                       Terceros!$A:$F,
                       5,
                       FALSE)</f>
        <v/>
      </c>
      <c r="G1847" s="161">
        <v>44498</v>
      </c>
      <c r="H1847" s="26" t="s">
        <v>638</v>
      </c>
      <c r="I1847" s="161">
        <v>44497</v>
      </c>
      <c r="J1847" s="35" t="s">
        <v>1336</v>
      </c>
      <c r="K1847" s="21">
        <v>3984500</v>
      </c>
      <c r="L1847" s="21"/>
      <c r="M1847" s="22">
        <f>(PROVEEDORES[[#This Row],[SUBTOTAL]]-PROVEEDORES[[#This Row],[descuento sobre subtotal]])*VLOOKUP(PROVEEDORES[[#This Row],[PROVEEDOR]],TERCEROS_INFO[#All],3,FALSE)</f>
        <v>0</v>
      </c>
      <c r="N1847" s="23"/>
      <c r="O1847" s="22">
        <f>+PROVEEDORES[[#This Row],[Descuento sobre subtotal %]]*(PROVEEDORES[[#This Row],[SUBTOTAL]]-PROVEEDORES[[#This Row],[descuento sobre subtotal]])</f>
        <v>0</v>
      </c>
      <c r="P1847" s="83">
        <f>+IF(PROVEEDORES[[#This Row],[SUBTOTAL]]&lt;PROVEEDORES[[#This Row],[base retencion]],0,PROVEEDORES[[#This Row],[retención aplicada]])</f>
        <v>0</v>
      </c>
      <c r="Q1847" s="22">
        <f>+PROVEEDORES[[#This Row],[Rete Fuente %]]*(PROVEEDORES[[#This Row],[SUBTOTAL]]-PROVEEDORES[[#This Row],[descuento sobre subtotal]])</f>
        <v>0</v>
      </c>
      <c r="R1847" s="21">
        <f>+PROVEEDORES[[#This Row],[SUBTOTAL]]+PROVEEDORES[[#This Row],[IVA 19%]]-PROVEEDORES[[#This Row],[descuento sobre subtotal]]-PROVEEDORES[[#This Row],[Descuento sobre subtotal $2]]-PROVEEDORES[[#This Row],[Rete Fuente $]]</f>
        <v>3984500</v>
      </c>
      <c r="S184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7" s="68">
        <f ca="1">IF(PROVEEDORES[[#This Row],[FECHA DE PAGO]]=0,TODAY()-PROVEEDORES[[#This Row],[FECHA DE FACTURACIÓN]]-PROVEEDORES[[#This Row],[PLAZO Días]],0)</f>
        <v>0</v>
      </c>
      <c r="U1847" s="96">
        <f>+VLOOKUP(PROVEEDORES[[#This Row],[PROVEEDOR]],Terceros!$A:$D,4,FALSE)</f>
        <v>0</v>
      </c>
      <c r="V1847" s="97">
        <f>+YEAR(PROVEEDORES[[#This Row],[FECHA DE FACTURACIÓN]])</f>
        <v>2021</v>
      </c>
      <c r="W1847" s="97">
        <f>+MATCH(PROVEEDORES[[#This Row],[año facturado]],Retenciones!$1:$1,0)</f>
        <v>4</v>
      </c>
      <c r="X1847" s="98">
        <f>+VLOOKUP(PROVEEDORES[[#This Row],[ID RETENCION]],Retenciones!$A$1:$O$25,PROVEEDORES[[#This Row],[indicador de columna]],FALSE)</f>
        <v>0</v>
      </c>
      <c r="Y1847" s="99">
        <f>+VLOOKUP(PROVEEDORES[[#This Row],[ID RETENCION]],Retenciones!$A$1:$O$25,2,FALSE)</f>
        <v>0</v>
      </c>
      <c r="Z1847" s="125" t="b">
        <f>OR(COUNTIF(PROVEEDORES[[#This Row],[PROVEEDOR]],"*"&amp;'Palabra no opera'!$A$2&amp;"*"))</f>
        <v>0</v>
      </c>
    </row>
    <row r="1848" spans="1:26" ht="22.2" customHeight="1" x14ac:dyDescent="0.3">
      <c r="A1848" s="72" t="str">
        <f>+IF(PROVEEDORES[[#This Row],[FECHA DE PAGO]]=PROVEEDORES[[#This Row],[FECHA DE FACTURACIÓN]],"DE CONTADO","CRÉDITO")</f>
        <v>CRÉDITO</v>
      </c>
      <c r="B1848" s="38" t="b">
        <f>+IF((PROVEEDORES[[#This Row],[FECHA DE PAGO]]-PROVEEDORES[[#This Row],[FECHA DE FACTURACIÓN]])&gt;PROVEEDORES[[#This Row],[PLAZO Días]],"PAGO VENCIDO")</f>
        <v>0</v>
      </c>
      <c r="C1848" s="20">
        <f>+VLOOKUP(PROVEEDORES[[#This Row],[PROVEEDOR]],TERCEROS_INFO[#All],2,FALSE)</f>
        <v>30</v>
      </c>
      <c r="D1848" s="25">
        <f>+SUMIFS(PROVEEDORES[Total],PROVEEDORES[PROVEEDOR],PROVEEDORES[[#This Row],[PROVEEDOR]],PROVEEDORES[FECHA DE PAGO],"")</f>
        <v>0</v>
      </c>
      <c r="E1848" s="25"/>
      <c r="F1848" s="58" t="str">
        <f>+VLOOKUP(PROVEEDORES[[#This Row],[PROVEEDOR]],
                       Terceros!$A:$F,
                       5,
                       FALSE)</f>
        <v/>
      </c>
      <c r="G1848" s="161">
        <v>44772</v>
      </c>
      <c r="H1848" s="26" t="s">
        <v>638</v>
      </c>
      <c r="I1848" s="161">
        <v>44771</v>
      </c>
      <c r="J1848" s="35" t="s">
        <v>1149</v>
      </c>
      <c r="K1848" s="21">
        <v>3992000</v>
      </c>
      <c r="L1848" s="21"/>
      <c r="M1848" s="22">
        <f>(PROVEEDORES[[#This Row],[SUBTOTAL]]-PROVEEDORES[[#This Row],[descuento sobre subtotal]])*VLOOKUP(PROVEEDORES[[#This Row],[PROVEEDOR]],TERCEROS_INFO[#All],3,FALSE)</f>
        <v>0</v>
      </c>
      <c r="N1848" s="23"/>
      <c r="O1848" s="22">
        <f>+PROVEEDORES[[#This Row],[Descuento sobre subtotal %]]*(PROVEEDORES[[#This Row],[SUBTOTAL]]-PROVEEDORES[[#This Row],[descuento sobre subtotal]])</f>
        <v>0</v>
      </c>
      <c r="P1848" s="83">
        <f>+IF(PROVEEDORES[[#This Row],[SUBTOTAL]]&lt;PROVEEDORES[[#This Row],[base retencion]],0,PROVEEDORES[[#This Row],[retención aplicada]])</f>
        <v>0</v>
      </c>
      <c r="Q1848" s="22">
        <f>+PROVEEDORES[[#This Row],[Rete Fuente %]]*(PROVEEDORES[[#This Row],[SUBTOTAL]]-PROVEEDORES[[#This Row],[descuento sobre subtotal]])</f>
        <v>0</v>
      </c>
      <c r="R1848" s="21">
        <f>+PROVEEDORES[[#This Row],[SUBTOTAL]]+PROVEEDORES[[#This Row],[IVA 19%]]-PROVEEDORES[[#This Row],[descuento sobre subtotal]]-PROVEEDORES[[#This Row],[Descuento sobre subtotal $2]]-PROVEEDORES[[#This Row],[Rete Fuente $]]</f>
        <v>3992000</v>
      </c>
      <c r="S1848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8" s="68">
        <f ca="1">IF(PROVEEDORES[[#This Row],[FECHA DE PAGO]]=0,TODAY()-PROVEEDORES[[#This Row],[FECHA DE FACTURACIÓN]]-PROVEEDORES[[#This Row],[PLAZO Días]],0)</f>
        <v>0</v>
      </c>
      <c r="U1848" s="113">
        <f>+VLOOKUP(PROVEEDORES[[#This Row],[PROVEEDOR]],Terceros!$A:$D,4,FALSE)</f>
        <v>0</v>
      </c>
      <c r="V1848" s="114">
        <f>+YEAR(PROVEEDORES[[#This Row],[FECHA DE FACTURACIÓN]])</f>
        <v>2022</v>
      </c>
      <c r="W1848" s="114">
        <f>+MATCH(PROVEEDORES[[#This Row],[año facturado]],Retenciones!$1:$1,0)</f>
        <v>5</v>
      </c>
      <c r="X1848" s="115">
        <f>+VLOOKUP(PROVEEDORES[[#This Row],[ID RETENCION]],Retenciones!$A$1:$O$25,PROVEEDORES[[#This Row],[indicador de columna]],FALSE)</f>
        <v>0</v>
      </c>
      <c r="Y1848" s="116">
        <f>+VLOOKUP(PROVEEDORES[[#This Row],[ID RETENCION]],Retenciones!$A$1:$O$25,2,FALSE)</f>
        <v>0</v>
      </c>
      <c r="Z1848" s="125" t="b">
        <f>OR(COUNTIF(PROVEEDORES[[#This Row],[PROVEEDOR]],"*"&amp;'Palabra no opera'!$A$2&amp;"*"))</f>
        <v>0</v>
      </c>
    </row>
    <row r="1849" spans="1:26" ht="22.2" customHeight="1" x14ac:dyDescent="0.3">
      <c r="A1849" s="66" t="str">
        <f>+IF(PROVEEDORES[[#This Row],[FECHA DE PAGO]]=PROVEEDORES[[#This Row],[FECHA DE FACTURACIÓN]],"DE CONTADO","CRÉDITO")</f>
        <v>CRÉDITO</v>
      </c>
      <c r="B1849" s="38" t="str">
        <f>+IF((PROVEEDORES[[#This Row],[FECHA DE PAGO]]-PROVEEDORES[[#This Row],[FECHA DE FACTURACIÓN]])&gt;PROVEEDORES[[#This Row],[PLAZO Días]],"PAGO VENCIDO")</f>
        <v>PAGO VENCIDO</v>
      </c>
      <c r="C1849" s="20">
        <f>+VLOOKUP(PROVEEDORES[[#This Row],[PROVEEDOR]],TERCEROS_INFO[#All],2,FALSE)</f>
        <v>20</v>
      </c>
      <c r="D1849" s="25">
        <f>+SUMIFS(PROVEEDORES[Total],PROVEEDORES[PROVEEDOR],PROVEEDORES[[#This Row],[PROVEEDOR]],PROVEEDORES[FECHA DE PAGO],"")</f>
        <v>0</v>
      </c>
      <c r="E1849" s="25"/>
      <c r="F184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49" s="161">
        <v>44250</v>
      </c>
      <c r="H1849" s="26" t="s">
        <v>942</v>
      </c>
      <c r="I1849" s="161">
        <v>44228</v>
      </c>
      <c r="J1849" s="35">
        <v>38129</v>
      </c>
      <c r="K1849" s="21">
        <v>3488000</v>
      </c>
      <c r="L1849" s="21"/>
      <c r="M1849" s="22">
        <f>(PROVEEDORES[[#This Row],[SUBTOTAL]]-PROVEEDORES[[#This Row],[descuento sobre subtotal]])*VLOOKUP(PROVEEDORES[[#This Row],[PROVEEDOR]],TERCEROS_INFO[#All],3,FALSE)</f>
        <v>662720</v>
      </c>
      <c r="N1849" s="23"/>
      <c r="O1849" s="22">
        <f>+PROVEEDORES[[#This Row],[Descuento sobre subtotal %]]*(PROVEEDORES[[#This Row],[SUBTOTAL]]-PROVEEDORES[[#This Row],[descuento sobre subtotal]])</f>
        <v>0</v>
      </c>
      <c r="P1849" s="83">
        <f>+IF(PROVEEDORES[[#This Row],[SUBTOTAL]]&lt;PROVEEDORES[[#This Row],[base retencion]],0,PROVEEDORES[[#This Row],[retención aplicada]])</f>
        <v>3.5000000000000003E-2</v>
      </c>
      <c r="Q1849" s="22">
        <f>+PROVEEDORES[[#This Row],[Rete Fuente %]]*(PROVEEDORES[[#This Row],[SUBTOTAL]]-PROVEEDORES[[#This Row],[descuento sobre subtotal]])</f>
        <v>122080.00000000001</v>
      </c>
      <c r="R1849" s="21">
        <f>+PROVEEDORES[[#This Row],[SUBTOTAL]]+PROVEEDORES[[#This Row],[IVA 19%]]-PROVEEDORES[[#This Row],[descuento sobre subtotal]]-PROVEEDORES[[#This Row],[Descuento sobre subtotal $2]]-PROVEEDORES[[#This Row],[Rete Fuente $]]</f>
        <v>4028640</v>
      </c>
      <c r="S18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9" s="68">
        <f ca="1">IF(PROVEEDORES[[#This Row],[FECHA DE PAGO]]=0,TODAY()-PROVEEDORES[[#This Row],[FECHA DE FACTURACIÓN]]-PROVEEDORES[[#This Row],[PLAZO Días]],0)</f>
        <v>0</v>
      </c>
      <c r="U1849" s="96" t="str">
        <f>+VLOOKUP(PROVEEDORES[[#This Row],[PROVEEDOR]],Terceros!$A:$D,4,FALSE)</f>
        <v>3,5% sin base</v>
      </c>
      <c r="V1849" s="97">
        <f>+YEAR(PROVEEDORES[[#This Row],[FECHA DE FACTURACIÓN]])</f>
        <v>2021</v>
      </c>
      <c r="W1849" s="97">
        <f>+MATCH(PROVEEDORES[[#This Row],[año facturado]],Retenciones!$1:$1,0)</f>
        <v>4</v>
      </c>
      <c r="X1849" s="98">
        <f>+VLOOKUP(PROVEEDORES[[#This Row],[ID RETENCION]],Retenciones!$A$1:$O$25,PROVEEDORES[[#This Row],[indicador de columna]],FALSE)</f>
        <v>0</v>
      </c>
      <c r="Y1849" s="99">
        <f>+VLOOKUP(PROVEEDORES[[#This Row],[ID RETENCION]],Retenciones!$A$1:$O$25,2,FALSE)</f>
        <v>3.5000000000000003E-2</v>
      </c>
      <c r="Z1849" s="126" t="b">
        <f>OR(COUNTIF(PROVEEDORES[[#This Row],[PROVEEDOR]],"*"&amp;'Palabra no opera'!$A$2&amp;"*"))</f>
        <v>1</v>
      </c>
    </row>
    <row r="1850" spans="1:26" ht="22.2" customHeight="1" x14ac:dyDescent="0.3">
      <c r="A1850" s="66" t="str">
        <f>+IF(PROVEEDORES[[#This Row],[FECHA DE PAGO]]=PROVEEDORES[[#This Row],[FECHA DE FACTURACIÓN]],"DE CONTADO","CRÉDITO")</f>
        <v>DE CONTADO</v>
      </c>
      <c r="B1850" s="38" t="b">
        <f>+IF((PROVEEDORES[[#This Row],[FECHA DE PAGO]]-PROVEEDORES[[#This Row],[FECHA DE FACTURACIÓN]])&gt;PROVEEDORES[[#This Row],[PLAZO Días]],"PAGO VENCIDO")</f>
        <v>0</v>
      </c>
      <c r="C1850" s="20">
        <f>+VLOOKUP(PROVEEDORES[[#This Row],[PROVEEDOR]],TERCEROS_INFO[#All],2,FALSE)</f>
        <v>30</v>
      </c>
      <c r="D1850" s="25">
        <f>+SUMIFS(PROVEEDORES[Total],PROVEEDORES[PROVEEDOR],PROVEEDORES[[#This Row],[PROVEEDOR]],PROVEEDORES[FECHA DE PAGO],"")</f>
        <v>0</v>
      </c>
      <c r="E1850" s="25"/>
      <c r="F1850" s="58" t="str">
        <f>+VLOOKUP(PROVEEDORES[[#This Row],[PROVEEDOR]],
                       Terceros!$A:$F,
                       5,
                       FALSE)</f>
        <v/>
      </c>
      <c r="G1850" s="161">
        <v>44620</v>
      </c>
      <c r="H1850" s="26" t="s">
        <v>644</v>
      </c>
      <c r="I1850" s="161">
        <v>44620</v>
      </c>
      <c r="J1850" s="35" t="s">
        <v>595</v>
      </c>
      <c r="K1850" s="21">
        <v>4028650</v>
      </c>
      <c r="L1850" s="21"/>
      <c r="M1850" s="22">
        <f>(PROVEEDORES[[#This Row],[SUBTOTAL]]-PROVEEDORES[[#This Row],[descuento sobre subtotal]])*VLOOKUP(PROVEEDORES[[#This Row],[PROVEEDOR]],TERCEROS_INFO[#All],3,FALSE)</f>
        <v>0</v>
      </c>
      <c r="N1850" s="23"/>
      <c r="O1850" s="22">
        <f>+PROVEEDORES[[#This Row],[Descuento sobre subtotal %]]*(PROVEEDORES[[#This Row],[SUBTOTAL]]-PROVEEDORES[[#This Row],[descuento sobre subtotal]])</f>
        <v>0</v>
      </c>
      <c r="P1850" s="83">
        <f>+IF(PROVEEDORES[[#This Row],[SUBTOTAL]]&lt;PROVEEDORES[[#This Row],[base retencion]],0,PROVEEDORES[[#This Row],[retención aplicada]])</f>
        <v>0</v>
      </c>
      <c r="Q1850" s="22">
        <f>+PROVEEDORES[[#This Row],[Rete Fuente %]]*(PROVEEDORES[[#This Row],[SUBTOTAL]]-PROVEEDORES[[#This Row],[descuento sobre subtotal]])</f>
        <v>0</v>
      </c>
      <c r="R1850" s="21">
        <v>4028650</v>
      </c>
      <c r="S185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0" s="68">
        <f ca="1">IF(PROVEEDORES[[#This Row],[FECHA DE PAGO]]=0,TODAY()-PROVEEDORES[[#This Row],[FECHA DE FACTURACIÓN]]-PROVEEDORES[[#This Row],[PLAZO Días]],0)</f>
        <v>0</v>
      </c>
      <c r="U1850" s="96">
        <f>+VLOOKUP(PROVEEDORES[[#This Row],[PROVEEDOR]],Terceros!$A:$D,4,FALSE)</f>
        <v>0</v>
      </c>
      <c r="V1850" s="97">
        <f>+YEAR(PROVEEDORES[[#This Row],[FECHA DE FACTURACIÓN]])</f>
        <v>2022</v>
      </c>
      <c r="W1850" s="97">
        <f>+MATCH(PROVEEDORES[[#This Row],[año facturado]],Retenciones!$1:$1,0)</f>
        <v>5</v>
      </c>
      <c r="X1850" s="98">
        <f>+VLOOKUP(PROVEEDORES[[#This Row],[ID RETENCION]],Retenciones!$A$1:$O$25,PROVEEDORES[[#This Row],[indicador de columna]],FALSE)</f>
        <v>0</v>
      </c>
      <c r="Y1850" s="99">
        <f>+VLOOKUP(PROVEEDORES[[#This Row],[ID RETENCION]],Retenciones!$A$1:$O$25,2,FALSE)</f>
        <v>0</v>
      </c>
      <c r="Z1850" s="125" t="b">
        <f>OR(COUNTIF(PROVEEDORES[[#This Row],[PROVEEDOR]],"*"&amp;'Palabra no opera'!$A$2&amp;"*"))</f>
        <v>0</v>
      </c>
    </row>
    <row r="1851" spans="1:26" ht="22.2" customHeight="1" x14ac:dyDescent="0.3">
      <c r="A1851" s="159" t="str">
        <f>+IF(PROVEEDORES[[#This Row],[FECHA DE PAGO]]=PROVEEDORES[[#This Row],[FECHA DE FACTURACIÓN]],"DE CONTADO","CRÉDITO")</f>
        <v>CRÉDITO</v>
      </c>
      <c r="B1851" s="38" t="str">
        <f>+IF((PROVEEDORES[[#This Row],[FECHA DE PAGO]]-PROVEEDORES[[#This Row],[FECHA DE FACTURACIÓN]])&gt;PROVEEDORES[[#This Row],[PLAZO Días]],"PAGO VENCIDO")</f>
        <v>PAGO VENCIDO</v>
      </c>
      <c r="C1851" s="20">
        <f>+VLOOKUP(PROVEEDORES[[#This Row],[PROVEEDOR]],TERCEROS_INFO[#All],2,FALSE)</f>
        <v>30</v>
      </c>
      <c r="D1851" s="25">
        <f>+SUMIFS(PROVEEDORES[Total],PROVEEDORES[PROVEEDOR],PROVEEDORES[[#This Row],[PROVEEDOR]],PROVEEDORES[FECHA DE PAGO],"")</f>
        <v>2121000</v>
      </c>
      <c r="E1851" s="25"/>
      <c r="F185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851" s="161">
        <v>44804</v>
      </c>
      <c r="H1851" s="26" t="s">
        <v>685</v>
      </c>
      <c r="I1851" s="161">
        <v>44747</v>
      </c>
      <c r="J1851" s="35" t="s">
        <v>1091</v>
      </c>
      <c r="K1851" s="21">
        <v>4035000</v>
      </c>
      <c r="L1851" s="21"/>
      <c r="M1851" s="22">
        <f>(PROVEEDORES[[#This Row],[SUBTOTAL]]-PROVEEDORES[[#This Row],[descuento sobre subtotal]])*VLOOKUP(PROVEEDORES[[#This Row],[PROVEEDOR]],TERCEROS_INFO[#All],3,FALSE)</f>
        <v>0</v>
      </c>
      <c r="N1851" s="23"/>
      <c r="O1851" s="22">
        <f>+PROVEEDORES[[#This Row],[Descuento sobre subtotal %]]*(PROVEEDORES[[#This Row],[SUBTOTAL]]-PROVEEDORES[[#This Row],[descuento sobre subtotal]])</f>
        <v>0</v>
      </c>
      <c r="P1851" s="83">
        <f>+IF(PROVEEDORES[[#This Row],[SUBTOTAL]]&lt;PROVEEDORES[[#This Row],[base retencion]],0,PROVEEDORES[[#This Row],[retención aplicada]])</f>
        <v>0</v>
      </c>
      <c r="Q1851" s="22">
        <f>+PROVEEDORES[[#This Row],[Rete Fuente %]]*(PROVEEDORES[[#This Row],[SUBTOTAL]]-PROVEEDORES[[#This Row],[descuento sobre subtotal]])</f>
        <v>0</v>
      </c>
      <c r="R1851" s="21">
        <f>+PROVEEDORES[[#This Row],[SUBTOTAL]]+PROVEEDORES[[#This Row],[IVA 19%]]-PROVEEDORES[[#This Row],[descuento sobre subtotal]]-PROVEEDORES[[#This Row],[Descuento sobre subtotal $2]]-PROVEEDORES[[#This Row],[Rete Fuente $]]</f>
        <v>4035000</v>
      </c>
      <c r="S185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1" s="68">
        <f ca="1">IF(PROVEEDORES[[#This Row],[FECHA DE PAGO]]=0,TODAY()-PROVEEDORES[[#This Row],[FECHA DE FACTURACIÓN]]-PROVEEDORES[[#This Row],[PLAZO Días]],0)</f>
        <v>0</v>
      </c>
      <c r="U1851" s="113">
        <f>+VLOOKUP(PROVEEDORES[[#This Row],[PROVEEDOR]],Terceros!$A:$D,4,FALSE)</f>
        <v>0</v>
      </c>
      <c r="V1851" s="114">
        <f>+YEAR(PROVEEDORES[[#This Row],[FECHA DE FACTURACIÓN]])</f>
        <v>2022</v>
      </c>
      <c r="W1851" s="114">
        <f>+MATCH(PROVEEDORES[[#This Row],[año facturado]],Retenciones!$1:$1,0)</f>
        <v>5</v>
      </c>
      <c r="X1851" s="115">
        <f>+VLOOKUP(PROVEEDORES[[#This Row],[ID RETENCION]],Retenciones!$A$1:$O$25,PROVEEDORES[[#This Row],[indicador de columna]],FALSE)</f>
        <v>0</v>
      </c>
      <c r="Y1851" s="116">
        <f>+VLOOKUP(PROVEEDORES[[#This Row],[ID RETENCION]],Retenciones!$A$1:$O$25,2,FALSE)</f>
        <v>0</v>
      </c>
      <c r="Z1851" s="125" t="b">
        <f>OR(COUNTIF(PROVEEDORES[[#This Row],[PROVEEDOR]],"*"&amp;'Palabra no opera'!$A$2&amp;"*"))</f>
        <v>0</v>
      </c>
    </row>
    <row r="1852" spans="1:26" ht="22.2" customHeight="1" x14ac:dyDescent="0.3">
      <c r="A1852" s="66" t="str">
        <f>+IF(PROVEEDORES[[#This Row],[FECHA DE PAGO]]=PROVEEDORES[[#This Row],[FECHA DE FACTURACIÓN]],"DE CONTADO","CRÉDITO")</f>
        <v>CRÉDITO</v>
      </c>
      <c r="B1852" s="38" t="b">
        <f>+IF((PROVEEDORES[[#This Row],[FECHA DE PAGO]]-PROVEEDORES[[#This Row],[FECHA DE FACTURACIÓN]])&gt;PROVEEDORES[[#This Row],[PLAZO Días]],"PAGO VENCIDO")</f>
        <v>0</v>
      </c>
      <c r="C1852" s="20">
        <f>+VLOOKUP(PROVEEDORES[[#This Row],[PROVEEDOR]],TERCEROS_INFO[#All],2,FALSE)</f>
        <v>30</v>
      </c>
      <c r="D1852" s="25">
        <f>+SUMIFS(PROVEEDORES[Total],PROVEEDORES[PROVEEDOR],PROVEEDORES[[#This Row],[PROVEEDOR]],PROVEEDORES[FECHA DE PAGO],"")</f>
        <v>0</v>
      </c>
      <c r="E1852" s="25"/>
      <c r="F185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852" s="161">
        <v>44673</v>
      </c>
      <c r="H1852" s="26" t="s">
        <v>430</v>
      </c>
      <c r="I1852" s="161">
        <v>44648</v>
      </c>
      <c r="J1852" s="35">
        <v>28</v>
      </c>
      <c r="K1852" s="21">
        <v>3480500</v>
      </c>
      <c r="L1852" s="21"/>
      <c r="M1852" s="22">
        <f>(PROVEEDORES[[#This Row],[SUBTOTAL]]-PROVEEDORES[[#This Row],[descuento sobre subtotal]])*VLOOKUP(PROVEEDORES[[#This Row],[PROVEEDOR]],TERCEROS_INFO[#All],3,FALSE)</f>
        <v>661295</v>
      </c>
      <c r="N1852" s="23"/>
      <c r="O1852" s="22">
        <f>+PROVEEDORES[[#This Row],[Descuento sobre subtotal %]]*(PROVEEDORES[[#This Row],[SUBTOTAL]]-PROVEEDORES[[#This Row],[descuento sobre subtotal]])</f>
        <v>0</v>
      </c>
      <c r="P1852" s="83">
        <f>+IF(PROVEEDORES[[#This Row],[SUBTOTAL]]&lt;PROVEEDORES[[#This Row],[base retencion]],0,PROVEEDORES[[#This Row],[retención aplicada]])</f>
        <v>2.5000000000000001E-2</v>
      </c>
      <c r="Q1852" s="22">
        <f>+PROVEEDORES[[#This Row],[Rete Fuente %]]*(PROVEEDORES[[#This Row],[SUBTOTAL]]-PROVEEDORES[[#This Row],[descuento sobre subtotal]])</f>
        <v>87012.5</v>
      </c>
      <c r="R1852" s="21">
        <f>+PROVEEDORES[[#This Row],[SUBTOTAL]]+PROVEEDORES[[#This Row],[IVA 19%]]-PROVEEDORES[[#This Row],[descuento sobre subtotal]]-PROVEEDORES[[#This Row],[Descuento sobre subtotal $2]]-PROVEEDORES[[#This Row],[Rete Fuente $]]</f>
        <v>4054782.5</v>
      </c>
      <c r="S18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2" s="68">
        <f ca="1">IF(PROVEEDORES[[#This Row],[FECHA DE PAGO]]=0,TODAY()-PROVEEDORES[[#This Row],[FECHA DE FACTURACIÓN]]-PROVEEDORES[[#This Row],[PLAZO Días]],0)</f>
        <v>0</v>
      </c>
      <c r="U1852" s="96" t="str">
        <f>+VLOOKUP(PROVEEDORES[[#This Row],[PROVEEDOR]],Terceros!$A:$D,4,FALSE)</f>
        <v>2,5% con base</v>
      </c>
      <c r="V1852" s="97">
        <f>+YEAR(PROVEEDORES[[#This Row],[FECHA DE FACTURACIÓN]])</f>
        <v>2022</v>
      </c>
      <c r="W1852" s="97">
        <f>+MATCH(PROVEEDORES[[#This Row],[año facturado]],Retenciones!$1:$1,0)</f>
        <v>5</v>
      </c>
      <c r="X1852" s="98">
        <f>+VLOOKUP(PROVEEDORES[[#This Row],[ID RETENCION]],Retenciones!$A$1:$O$25,PROVEEDORES[[#This Row],[indicador de columna]],FALSE)</f>
        <v>1026000</v>
      </c>
      <c r="Y1852" s="99">
        <f>+VLOOKUP(PROVEEDORES[[#This Row],[ID RETENCION]],Retenciones!$A$1:$O$25,2,FALSE)</f>
        <v>2.5000000000000001E-2</v>
      </c>
      <c r="Z1852" s="125" t="b">
        <f>OR(COUNTIF(PROVEEDORES[[#This Row],[PROVEEDOR]],"*"&amp;'Palabra no opera'!$A$2&amp;"*"))</f>
        <v>0</v>
      </c>
    </row>
    <row r="1853" spans="1:26" ht="22.2" customHeight="1" x14ac:dyDescent="0.3">
      <c r="A1853" s="66" t="str">
        <f>+IF(PROVEEDORES[[#This Row],[FECHA DE PAGO]]=PROVEEDORES[[#This Row],[FECHA DE FACTURACIÓN]],"DE CONTADO","CRÉDITO")</f>
        <v>CRÉDITO</v>
      </c>
      <c r="B1853" s="38" t="str">
        <f>+IF((PROVEEDORES[[#This Row],[FECHA DE PAGO]]-PROVEEDORES[[#This Row],[FECHA DE FACTURACIÓN]])&gt;PROVEEDORES[[#This Row],[PLAZO Días]],"PAGO VENCIDO")</f>
        <v>PAGO VENCIDO</v>
      </c>
      <c r="C1853" s="20">
        <f>+VLOOKUP(PROVEEDORES[[#This Row],[PROVEEDOR]],TERCEROS_INFO[#All],2,FALSE)</f>
        <v>30</v>
      </c>
      <c r="D1853" s="25">
        <f>+SUMIFS(PROVEEDORES[Total],PROVEEDORES[PROVEEDOR],PROVEEDORES[[#This Row],[PROVEEDOR]],PROVEEDORES[FECHA DE PAGO],"")</f>
        <v>0</v>
      </c>
      <c r="E1853" s="25"/>
      <c r="F185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53" s="161">
        <v>44652</v>
      </c>
      <c r="H1853" s="26" t="s">
        <v>691</v>
      </c>
      <c r="I1853" s="161">
        <v>44548</v>
      </c>
      <c r="J1853" s="35" t="s">
        <v>1439</v>
      </c>
      <c r="K1853" s="21">
        <v>4056200</v>
      </c>
      <c r="L1853" s="21"/>
      <c r="M1853" s="22">
        <v>0</v>
      </c>
      <c r="N1853" s="23"/>
      <c r="O1853" s="22">
        <v>0</v>
      </c>
      <c r="P1853" s="83">
        <f>+IF(PROVEEDORES[[#This Row],[SUBTOTAL]]&lt;PROVEEDORES[[#This Row],[base retencion]],0,PROVEEDORES[[#This Row],[retención aplicada]])</f>
        <v>0</v>
      </c>
      <c r="Q1853" s="22">
        <f>+PROVEEDORES[[#This Row],[Rete Fuente %]]*(PROVEEDORES[[#This Row],[SUBTOTAL]]-PROVEEDORES[[#This Row],[descuento sobre subtotal]])</f>
        <v>0</v>
      </c>
      <c r="R1853" s="21">
        <v>4056200</v>
      </c>
      <c r="S185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3" s="68">
        <f ca="1">IF(PROVEEDORES[[#This Row],[FECHA DE PAGO]]=0,TODAY()-PROVEEDORES[[#This Row],[FECHA DE FACTURACIÓN]]-PROVEEDORES[[#This Row],[PLAZO Días]],0)</f>
        <v>0</v>
      </c>
      <c r="U1853" s="96">
        <f>+VLOOKUP(PROVEEDORES[[#This Row],[PROVEEDOR]],Terceros!$A:$D,4,FALSE)</f>
        <v>0</v>
      </c>
      <c r="V1853" s="97">
        <f>+YEAR(PROVEEDORES[[#This Row],[FECHA DE FACTURACIÓN]])</f>
        <v>2021</v>
      </c>
      <c r="W1853" s="97">
        <f>+MATCH(PROVEEDORES[[#This Row],[año facturado]],Retenciones!$1:$1,0)</f>
        <v>4</v>
      </c>
      <c r="X1853" s="98">
        <f>+VLOOKUP(PROVEEDORES[[#This Row],[ID RETENCION]],Retenciones!$A$1:$O$25,PROVEEDORES[[#This Row],[indicador de columna]],FALSE)</f>
        <v>0</v>
      </c>
      <c r="Y1853" s="99">
        <f>+VLOOKUP(PROVEEDORES[[#This Row],[ID RETENCION]],Retenciones!$A$1:$O$25,2,FALSE)</f>
        <v>0</v>
      </c>
      <c r="Z1853" s="125" t="b">
        <f>OR(COUNTIF(PROVEEDORES[[#This Row],[PROVEEDOR]],"*"&amp;'Palabra no opera'!$A$2&amp;"*"))</f>
        <v>0</v>
      </c>
    </row>
    <row r="1854" spans="1:26" ht="22.2" customHeight="1" x14ac:dyDescent="0.3">
      <c r="A1854" s="66" t="str">
        <f>+IF(PROVEEDORES[[#This Row],[FECHA DE PAGO]]=PROVEEDORES[[#This Row],[FECHA DE FACTURACIÓN]],"DE CONTADO","CRÉDITO")</f>
        <v>CRÉDITO</v>
      </c>
      <c r="B1854" s="38" t="b">
        <f>+IF((PROVEEDORES[[#This Row],[FECHA DE PAGO]]-PROVEEDORES[[#This Row],[FECHA DE FACTURACIÓN]])&gt;PROVEEDORES[[#This Row],[PLAZO Días]],"PAGO VENCIDO")</f>
        <v>0</v>
      </c>
      <c r="C1854" s="20">
        <f>+VLOOKUP(PROVEEDORES[[#This Row],[PROVEEDOR]],TERCEROS_INFO[#All],2,FALSE)</f>
        <v>30</v>
      </c>
      <c r="D1854" s="25">
        <f>+SUMIFS(PROVEEDORES[Total],PROVEEDORES[PROVEEDOR],PROVEEDORES[[#This Row],[PROVEEDOR]],PROVEEDORES[FECHA DE PAGO],"")</f>
        <v>2318500</v>
      </c>
      <c r="E1854" s="25"/>
      <c r="F1854" s="58" t="str">
        <f>+VLOOKUP(PROVEEDORES[[#This Row],[PROVEEDOR]],
                       Terceros!$A:$F,
                       5,
                       FALSE)</f>
        <v/>
      </c>
      <c r="G1854" s="161">
        <v>44198</v>
      </c>
      <c r="H1854" s="26" t="s">
        <v>629</v>
      </c>
      <c r="I1854" s="161">
        <v>44180</v>
      </c>
      <c r="J1854" s="35" t="s">
        <v>1180</v>
      </c>
      <c r="K1854" s="21">
        <v>4071500</v>
      </c>
      <c r="L1854" s="21"/>
      <c r="M1854" s="22">
        <f>(PROVEEDORES[[#This Row],[SUBTOTAL]]-PROVEEDORES[[#This Row],[descuento sobre subtotal]])*VLOOKUP(PROVEEDORES[[#This Row],[PROVEEDOR]],TERCEROS_INFO[#All],3,FALSE)</f>
        <v>0</v>
      </c>
      <c r="N1854" s="23"/>
      <c r="O1854" s="22">
        <f>+PROVEEDORES[[#This Row],[Descuento sobre subtotal %]]*(PROVEEDORES[[#This Row],[SUBTOTAL]]-PROVEEDORES[[#This Row],[descuento sobre subtotal]])</f>
        <v>0</v>
      </c>
      <c r="P1854" s="83">
        <f>+IF(PROVEEDORES[[#This Row],[SUBTOTAL]]&lt;PROVEEDORES[[#This Row],[base retencion]],0,PROVEEDORES[[#This Row],[retención aplicada]])</f>
        <v>0</v>
      </c>
      <c r="Q1854" s="22">
        <f>+PROVEEDORES[[#This Row],[Rete Fuente %]]*(PROVEEDORES[[#This Row],[SUBTOTAL]]-PROVEEDORES[[#This Row],[descuento sobre subtotal]])</f>
        <v>0</v>
      </c>
      <c r="R1854" s="21">
        <f>+PROVEEDORES[[#This Row],[SUBTOTAL]]+PROVEEDORES[[#This Row],[IVA 19%]]-PROVEEDORES[[#This Row],[descuento sobre subtotal]]-PROVEEDORES[[#This Row],[Descuento sobre subtotal $2]]-PROVEEDORES[[#This Row],[Rete Fuente $]]</f>
        <v>4071500</v>
      </c>
      <c r="S18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4" s="68">
        <f ca="1">IF(PROVEEDORES[[#This Row],[FECHA DE PAGO]]=0,TODAY()-PROVEEDORES[[#This Row],[FECHA DE FACTURACIÓN]]-PROVEEDORES[[#This Row],[PLAZO Días]],0)</f>
        <v>0</v>
      </c>
      <c r="U1854" s="96">
        <f>+VLOOKUP(PROVEEDORES[[#This Row],[PROVEEDOR]],Terceros!$A:$D,4,FALSE)</f>
        <v>0</v>
      </c>
      <c r="V1854" s="97">
        <f>+YEAR(PROVEEDORES[[#This Row],[FECHA DE FACTURACIÓN]])</f>
        <v>2020</v>
      </c>
      <c r="W1854" s="97">
        <f>+MATCH(PROVEEDORES[[#This Row],[año facturado]],Retenciones!$1:$1,0)</f>
        <v>3</v>
      </c>
      <c r="X1854" s="98">
        <f>+VLOOKUP(PROVEEDORES[[#This Row],[ID RETENCION]],Retenciones!$A$1:$O$25,PROVEEDORES[[#This Row],[indicador de columna]],FALSE)</f>
        <v>0</v>
      </c>
      <c r="Y1854" s="99">
        <f>+VLOOKUP(PROVEEDORES[[#This Row],[ID RETENCION]],Retenciones!$A$1:$O$25,2,FALSE)</f>
        <v>0</v>
      </c>
      <c r="Z1854" s="125" t="b">
        <f>OR(COUNTIF(PROVEEDORES[[#This Row],[PROVEEDOR]],"*"&amp;'Palabra no opera'!$A$2&amp;"*"))</f>
        <v>0</v>
      </c>
    </row>
    <row r="1855" spans="1:26" ht="22.2" customHeight="1" x14ac:dyDescent="0.3">
      <c r="A1855" s="66" t="str">
        <f>+IF(PROVEEDORES[[#This Row],[FECHA DE PAGO]]=PROVEEDORES[[#This Row],[FECHA DE FACTURACIÓN]],"DE CONTADO","CRÉDITO")</f>
        <v>CRÉDITO</v>
      </c>
      <c r="B1855" s="38" t="str">
        <f>+IF((PROVEEDORES[[#This Row],[FECHA DE PAGO]]-PROVEEDORES[[#This Row],[FECHA DE FACTURACIÓN]])&gt;PROVEEDORES[[#This Row],[PLAZO Días]],"PAGO VENCIDO")</f>
        <v>PAGO VENCIDO</v>
      </c>
      <c r="C1855" s="20">
        <f>+VLOOKUP(PROVEEDORES[[#This Row],[PROVEEDOR]],TERCEROS_INFO[#All],2,FALSE)</f>
        <v>45</v>
      </c>
      <c r="D1855" s="25">
        <f>+SUMIFS(PROVEEDORES[Total],PROVEEDORES[PROVEEDOR],PROVEEDORES[[#This Row],[PROVEEDOR]],PROVEEDORES[FECHA DE PAGO],"")</f>
        <v>31891814.359999999</v>
      </c>
      <c r="E1855" s="25"/>
      <c r="F185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55" s="161">
        <v>44523</v>
      </c>
      <c r="H1855" s="26" t="s">
        <v>19</v>
      </c>
      <c r="I1855" s="161">
        <v>44460</v>
      </c>
      <c r="J1855" s="35" t="s">
        <v>477</v>
      </c>
      <c r="K1855" s="21">
        <v>3429810</v>
      </c>
      <c r="L1855" s="21"/>
      <c r="M1855" s="22">
        <f>(PROVEEDORES[[#This Row],[SUBTOTAL]]-PROVEEDORES[[#This Row],[descuento sobre subtotal]])*VLOOKUP(PROVEEDORES[[#This Row],[PROVEEDOR]],TERCEROS_INFO[#All],3,FALSE)</f>
        <v>651663.9</v>
      </c>
      <c r="N1855" s="23"/>
      <c r="O1855" s="22">
        <f>+PROVEEDORES[[#This Row],[Descuento sobre subtotal %]]*(PROVEEDORES[[#This Row],[SUBTOTAL]]-PROVEEDORES[[#This Row],[descuento sobre subtotal]])</f>
        <v>0</v>
      </c>
      <c r="P1855" s="83">
        <f>+IF(PROVEEDORES[[#This Row],[SUBTOTAL]]&lt;PROVEEDORES[[#This Row],[base retencion]],0,PROVEEDORES[[#This Row],[retención aplicada]])</f>
        <v>0</v>
      </c>
      <c r="Q1855" s="22">
        <f>+PROVEEDORES[[#This Row],[Rete Fuente %]]*(PROVEEDORES[[#This Row],[SUBTOTAL]]-PROVEEDORES[[#This Row],[descuento sobre subtotal]])</f>
        <v>0</v>
      </c>
      <c r="R1855" s="21">
        <f>+PROVEEDORES[[#This Row],[SUBTOTAL]]+PROVEEDORES[[#This Row],[IVA 19%]]-PROVEEDORES[[#This Row],[descuento sobre subtotal]]-PROVEEDORES[[#This Row],[Descuento sobre subtotal $2]]-PROVEEDORES[[#This Row],[Rete Fuente $]]</f>
        <v>4081473.9</v>
      </c>
      <c r="S18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5" s="68">
        <f ca="1">IF(PROVEEDORES[[#This Row],[FECHA DE PAGO]]=0,TODAY()-PROVEEDORES[[#This Row],[FECHA DE FACTURACIÓN]]-PROVEEDORES[[#This Row],[PLAZO Días]],0)</f>
        <v>0</v>
      </c>
      <c r="U1855" s="96">
        <f>+VLOOKUP(PROVEEDORES[[#This Row],[PROVEEDOR]],Terceros!$A:$D,4,FALSE)</f>
        <v>0</v>
      </c>
      <c r="V1855" s="97">
        <f>+YEAR(PROVEEDORES[[#This Row],[FECHA DE FACTURACIÓN]])</f>
        <v>2021</v>
      </c>
      <c r="W1855" s="97">
        <f>+MATCH(PROVEEDORES[[#This Row],[año facturado]],Retenciones!$1:$1,0)</f>
        <v>4</v>
      </c>
      <c r="X1855" s="98">
        <f>+VLOOKUP(PROVEEDORES[[#This Row],[ID RETENCION]],Retenciones!$A$1:$O$25,PROVEEDORES[[#This Row],[indicador de columna]],FALSE)</f>
        <v>0</v>
      </c>
      <c r="Y1855" s="99">
        <f>+VLOOKUP(PROVEEDORES[[#This Row],[ID RETENCION]],Retenciones!$A$1:$O$25,2,FALSE)</f>
        <v>0</v>
      </c>
      <c r="Z1855" s="125" t="b">
        <f>OR(COUNTIF(PROVEEDORES[[#This Row],[PROVEEDOR]],"*"&amp;'Palabra no opera'!$A$2&amp;"*"))</f>
        <v>0</v>
      </c>
    </row>
    <row r="1856" spans="1:26" ht="22.2" customHeight="1" x14ac:dyDescent="0.3">
      <c r="A1856" s="66" t="str">
        <f>+IF(PROVEEDORES[[#This Row],[FECHA DE PAGO]]=PROVEEDORES[[#This Row],[FECHA DE FACTURACIÓN]],"DE CONTADO","CRÉDITO")</f>
        <v>CRÉDITO</v>
      </c>
      <c r="B1856" s="38" t="str">
        <f>+IF((PROVEEDORES[[#This Row],[FECHA DE PAGO]]-PROVEEDORES[[#This Row],[FECHA DE FACTURACIÓN]])&gt;PROVEEDORES[[#This Row],[PLAZO Días]],"PAGO VENCIDO")</f>
        <v>PAGO VENCIDO</v>
      </c>
      <c r="C1856" s="20">
        <f>+VLOOKUP(PROVEEDORES[[#This Row],[PROVEEDOR]],TERCEROS_INFO[#All],2,FALSE)</f>
        <v>30</v>
      </c>
      <c r="D1856" s="25">
        <f>+SUMIFS(PROVEEDORES[Total],PROVEEDORES[PROVEEDOR],PROVEEDORES[[#This Row],[PROVEEDOR]],PROVEEDORES[FECHA DE PAGO],"")</f>
        <v>23124164.219999999</v>
      </c>
      <c r="E1856" s="25"/>
      <c r="F185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56" s="161">
        <v>44257</v>
      </c>
      <c r="H1856" s="26" t="s">
        <v>18</v>
      </c>
      <c r="I1856" s="161">
        <v>44213</v>
      </c>
      <c r="J1856" s="35">
        <v>1033457</v>
      </c>
      <c r="K1856" s="21">
        <v>3519586.8</v>
      </c>
      <c r="L1856" s="21"/>
      <c r="M1856" s="22">
        <f>(PROVEEDORES[[#This Row],[SUBTOTAL]]-PROVEEDORES[[#This Row],[descuento sobre subtotal]])*VLOOKUP(PROVEEDORES[[#This Row],[PROVEEDOR]],TERCEROS_INFO[#All],3,FALSE)</f>
        <v>668721.49199999997</v>
      </c>
      <c r="N1856" s="23"/>
      <c r="O1856" s="22">
        <f>+PROVEEDORES[[#This Row],[Descuento sobre subtotal %]]*(PROVEEDORES[[#This Row],[SUBTOTAL]]-PROVEEDORES[[#This Row],[descuento sobre subtotal]])</f>
        <v>0</v>
      </c>
      <c r="P1856" s="83">
        <f>+IF(PROVEEDORES[[#This Row],[SUBTOTAL]]&lt;PROVEEDORES[[#This Row],[base retencion]],0,PROVEEDORES[[#This Row],[retención aplicada]])</f>
        <v>2.5000000000000001E-2</v>
      </c>
      <c r="Q1856" s="22">
        <f>+PROVEEDORES[[#This Row],[Rete Fuente %]]*(PROVEEDORES[[#This Row],[SUBTOTAL]]-PROVEEDORES[[#This Row],[descuento sobre subtotal]])</f>
        <v>87989.67</v>
      </c>
      <c r="R1856" s="21">
        <f>+PROVEEDORES[[#This Row],[SUBTOTAL]]+PROVEEDORES[[#This Row],[IVA 19%]]-PROVEEDORES[[#This Row],[descuento sobre subtotal]]-PROVEEDORES[[#This Row],[Descuento sobre subtotal $2]]-PROVEEDORES[[#This Row],[Rete Fuente $]]</f>
        <v>4100318.622</v>
      </c>
      <c r="S18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6" s="68">
        <f ca="1">IF(PROVEEDORES[[#This Row],[FECHA DE PAGO]]=0,TODAY()-PROVEEDORES[[#This Row],[FECHA DE FACTURACIÓN]]-PROVEEDORES[[#This Row],[PLAZO Días]],0)</f>
        <v>0</v>
      </c>
      <c r="U1856" s="96" t="str">
        <f>+VLOOKUP(PROVEEDORES[[#This Row],[PROVEEDOR]],Terceros!$A:$D,4,FALSE)</f>
        <v>2,5% con base</v>
      </c>
      <c r="V1856" s="97">
        <f>+YEAR(PROVEEDORES[[#This Row],[FECHA DE FACTURACIÓN]])</f>
        <v>2021</v>
      </c>
      <c r="W1856" s="97">
        <f>+MATCH(PROVEEDORES[[#This Row],[año facturado]],Retenciones!$1:$1,0)</f>
        <v>4</v>
      </c>
      <c r="X1856" s="98">
        <f>+VLOOKUP(PROVEEDORES[[#This Row],[ID RETENCION]],Retenciones!$A$1:$O$25,PROVEEDORES[[#This Row],[indicador de columna]],FALSE)</f>
        <v>980000</v>
      </c>
      <c r="Y1856" s="99">
        <f>+VLOOKUP(PROVEEDORES[[#This Row],[ID RETENCION]],Retenciones!$A$1:$O$25,2,FALSE)</f>
        <v>2.5000000000000001E-2</v>
      </c>
      <c r="Z1856" s="125" t="b">
        <f>OR(COUNTIF(PROVEEDORES[[#This Row],[PROVEEDOR]],"*"&amp;'Palabra no opera'!$A$2&amp;"*"))</f>
        <v>0</v>
      </c>
    </row>
    <row r="1857" spans="1:26" ht="22.2" customHeight="1" x14ac:dyDescent="0.3">
      <c r="A1857" s="66" t="str">
        <f>+IF(PROVEEDORES[[#This Row],[FECHA DE PAGO]]=PROVEEDORES[[#This Row],[FECHA DE FACTURACIÓN]],"DE CONTADO","CRÉDITO")</f>
        <v>CRÉDITO</v>
      </c>
      <c r="B1857" s="38" t="str">
        <f>+IF((PROVEEDORES[[#This Row],[FECHA DE PAGO]]-PROVEEDORES[[#This Row],[FECHA DE FACTURACIÓN]])&gt;PROVEEDORES[[#This Row],[PLAZO Días]],"PAGO VENCIDO")</f>
        <v>PAGO VENCIDO</v>
      </c>
      <c r="C1857" s="20">
        <f>+VLOOKUP(PROVEEDORES[[#This Row],[PROVEEDOR]],TERCEROS_INFO[#All],2,FALSE)</f>
        <v>45</v>
      </c>
      <c r="D1857" s="25">
        <f>+SUMIFS(PROVEEDORES[Total],PROVEEDORES[PROVEEDOR],PROVEEDORES[[#This Row],[PROVEEDOR]],PROVEEDORES[FECHA DE PAGO],"")</f>
        <v>2604910</v>
      </c>
      <c r="E1857" s="25"/>
      <c r="F185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57" s="161">
        <v>44351</v>
      </c>
      <c r="H1857" s="26" t="s">
        <v>10</v>
      </c>
      <c r="I1857" s="161">
        <v>44273</v>
      </c>
      <c r="J1857" s="35" t="s">
        <v>243</v>
      </c>
      <c r="K1857" s="21">
        <v>3460000</v>
      </c>
      <c r="L1857" s="21"/>
      <c r="M1857" s="22">
        <f>(PROVEEDORES[[#This Row],[SUBTOTAL]]-PROVEEDORES[[#This Row],[descuento sobre subtotal]])*VLOOKUP(PROVEEDORES[[#This Row],[PROVEEDOR]],TERCEROS_INFO[#All],3,FALSE)</f>
        <v>657400</v>
      </c>
      <c r="N1857" s="23"/>
      <c r="O1857" s="22">
        <f>+PROVEEDORES[[#This Row],[Descuento sobre subtotal %]]*(PROVEEDORES[[#This Row],[SUBTOTAL]]-PROVEEDORES[[#This Row],[descuento sobre subtotal]])</f>
        <v>0</v>
      </c>
      <c r="P1857" s="83">
        <f>+IF(PROVEEDORES[[#This Row],[SUBTOTAL]]&lt;PROVEEDORES[[#This Row],[base retencion]],0,PROVEEDORES[[#This Row],[retención aplicada]])</f>
        <v>0</v>
      </c>
      <c r="Q1857" s="22">
        <f>+PROVEEDORES[[#This Row],[Rete Fuente %]]*(PROVEEDORES[[#This Row],[SUBTOTAL]]-PROVEEDORES[[#This Row],[descuento sobre subtotal]])</f>
        <v>0</v>
      </c>
      <c r="R1857" s="21">
        <f>+PROVEEDORES[[#This Row],[SUBTOTAL]]+PROVEEDORES[[#This Row],[IVA 19%]]-PROVEEDORES[[#This Row],[descuento sobre subtotal]]-PROVEEDORES[[#This Row],[Descuento sobre subtotal $2]]-PROVEEDORES[[#This Row],[Rete Fuente $]]</f>
        <v>4117400</v>
      </c>
      <c r="S18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7" s="68">
        <f ca="1">IF(PROVEEDORES[[#This Row],[FECHA DE PAGO]]=0,TODAY()-PROVEEDORES[[#This Row],[FECHA DE FACTURACIÓN]]-PROVEEDORES[[#This Row],[PLAZO Días]],0)</f>
        <v>0</v>
      </c>
      <c r="U1857" s="96">
        <f>+VLOOKUP(PROVEEDORES[[#This Row],[PROVEEDOR]],Terceros!$A:$D,4,FALSE)</f>
        <v>0</v>
      </c>
      <c r="V1857" s="97">
        <f>+YEAR(PROVEEDORES[[#This Row],[FECHA DE FACTURACIÓN]])</f>
        <v>2021</v>
      </c>
      <c r="W1857" s="97">
        <f>+MATCH(PROVEEDORES[[#This Row],[año facturado]],Retenciones!$1:$1,0)</f>
        <v>4</v>
      </c>
      <c r="X1857" s="98">
        <f>+VLOOKUP(PROVEEDORES[[#This Row],[ID RETENCION]],Retenciones!$A$1:$O$25,PROVEEDORES[[#This Row],[indicador de columna]],FALSE)</f>
        <v>0</v>
      </c>
      <c r="Y1857" s="99">
        <f>+VLOOKUP(PROVEEDORES[[#This Row],[ID RETENCION]],Retenciones!$A$1:$O$25,2,FALSE)</f>
        <v>0</v>
      </c>
      <c r="Z1857" s="125" t="b">
        <f>OR(COUNTIF(PROVEEDORES[[#This Row],[PROVEEDOR]],"*"&amp;'Palabra no opera'!$A$2&amp;"*"))</f>
        <v>0</v>
      </c>
    </row>
    <row r="1858" spans="1:26" ht="22.2" customHeight="1" x14ac:dyDescent="0.3">
      <c r="A1858" s="66" t="str">
        <f>+IF(PROVEEDORES[[#This Row],[FECHA DE PAGO]]=PROVEEDORES[[#This Row],[FECHA DE FACTURACIÓN]],"DE CONTADO","CRÉDITO")</f>
        <v>CRÉDITO</v>
      </c>
      <c r="B1858" s="38" t="str">
        <f>+IF((PROVEEDORES[[#This Row],[FECHA DE PAGO]]-PROVEEDORES[[#This Row],[FECHA DE FACTURACIÓN]])&gt;PROVEEDORES[[#This Row],[PLAZO Días]],"PAGO VENCIDO")</f>
        <v>PAGO VENCIDO</v>
      </c>
      <c r="C1858" s="20">
        <f>+VLOOKUP(PROVEEDORES[[#This Row],[PROVEEDOR]],TERCEROS_INFO[#All],2,FALSE)</f>
        <v>30</v>
      </c>
      <c r="D1858" s="25">
        <f>+SUMIFS(PROVEEDORES[Total],PROVEEDORES[PROVEEDOR],PROVEEDORES[[#This Row],[PROVEEDOR]],PROVEEDORES[FECHA DE PAGO],"")</f>
        <v>3430770</v>
      </c>
      <c r="E1858" s="25"/>
      <c r="F185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58" s="161">
        <v>44459</v>
      </c>
      <c r="H1858" s="26" t="s">
        <v>1448</v>
      </c>
      <c r="I1858" s="161">
        <v>44421</v>
      </c>
      <c r="J1858" s="35">
        <v>20899</v>
      </c>
      <c r="K1858" s="21">
        <v>3552000</v>
      </c>
      <c r="L1858" s="21"/>
      <c r="M1858" s="22">
        <f>(PROVEEDORES[[#This Row],[SUBTOTAL]]-PROVEEDORES[[#This Row],[descuento sobre subtotal]])*VLOOKUP(PROVEEDORES[[#This Row],[PROVEEDOR]],TERCEROS_INFO[#All],3,FALSE)</f>
        <v>674880</v>
      </c>
      <c r="N1858" s="23"/>
      <c r="O1858" s="22">
        <f>+PROVEEDORES[[#This Row],[Descuento sobre subtotal %]]*(PROVEEDORES[[#This Row],[SUBTOTAL]]-PROVEEDORES[[#This Row],[descuento sobre subtotal]])</f>
        <v>0</v>
      </c>
      <c r="P1858" s="83">
        <v>2.5000000000000001E-2</v>
      </c>
      <c r="Q1858" s="22">
        <f>+PROVEEDORES[[#This Row],[Rete Fuente %]]*(PROVEEDORES[[#This Row],[SUBTOTAL]]-PROVEEDORES[[#This Row],[descuento sobre subtotal]])</f>
        <v>88800</v>
      </c>
      <c r="R1858" s="21">
        <f>+PROVEEDORES[[#This Row],[SUBTOTAL]]+PROVEEDORES[[#This Row],[IVA 19%]]-PROVEEDORES[[#This Row],[descuento sobre subtotal]]-PROVEEDORES[[#This Row],[Descuento sobre subtotal $2]]-PROVEEDORES[[#This Row],[Rete Fuente $]]</f>
        <v>4138080</v>
      </c>
      <c r="S18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8" s="68">
        <f ca="1">IF(PROVEEDORES[[#This Row],[FECHA DE PAGO]]=0,TODAY()-PROVEEDORES[[#This Row],[FECHA DE FACTURACIÓN]]-PROVEEDORES[[#This Row],[PLAZO Días]],0)</f>
        <v>0</v>
      </c>
      <c r="U1858" s="96">
        <f>+VLOOKUP(PROVEEDORES[[#This Row],[PROVEEDOR]],Terceros!$A:$D,4,FALSE)</f>
        <v>0</v>
      </c>
      <c r="V1858" s="97">
        <f>+YEAR(PROVEEDORES[[#This Row],[FECHA DE FACTURACIÓN]])</f>
        <v>2021</v>
      </c>
      <c r="W1858" s="97">
        <f>+MATCH(PROVEEDORES[[#This Row],[año facturado]],Retenciones!$1:$1,0)</f>
        <v>4</v>
      </c>
      <c r="X1858" s="98">
        <f>+VLOOKUP(PROVEEDORES[[#This Row],[ID RETENCION]],Retenciones!$A$1:$O$25,PROVEEDORES[[#This Row],[indicador de columna]],FALSE)</f>
        <v>0</v>
      </c>
      <c r="Y1858" s="99">
        <f>+VLOOKUP(PROVEEDORES[[#This Row],[ID RETENCION]],Retenciones!$A$1:$O$25,2,FALSE)</f>
        <v>0</v>
      </c>
      <c r="Z1858" s="125" t="b">
        <f>OR(COUNTIF(PROVEEDORES[[#This Row],[PROVEEDOR]],"*"&amp;'Palabra no opera'!$A$2&amp;"*"))</f>
        <v>0</v>
      </c>
    </row>
    <row r="1859" spans="1:26" ht="22.2" customHeight="1" x14ac:dyDescent="0.3">
      <c r="A1859" s="135" t="str">
        <f>+IF(PROVEEDORES[[#This Row],[FECHA DE PAGO]]=PROVEEDORES[[#This Row],[FECHA DE FACTURACIÓN]],"DE CONTADO","CRÉDITO")</f>
        <v>CRÉDITO</v>
      </c>
      <c r="B1859" s="38" t="str">
        <f>+IF((PROVEEDORES[[#This Row],[FECHA DE PAGO]]-PROVEEDORES[[#This Row],[FECHA DE FACTURACIÓN]])&gt;PROVEEDORES[[#This Row],[PLAZO Días]],"PAGO VENCIDO")</f>
        <v>PAGO VENCIDO</v>
      </c>
      <c r="C1859" s="20">
        <f>+VLOOKUP(PROVEEDORES[[#This Row],[PROVEEDOR]],TERCEROS_INFO[#All],2,FALSE)</f>
        <v>30</v>
      </c>
      <c r="D1859" s="25">
        <f>+SUMIFS(PROVEEDORES[Total],PROVEEDORES[PROVEEDOR],PROVEEDORES[[#This Row],[PROVEEDOR]],PROVEEDORES[FECHA DE PAGO],"")</f>
        <v>0</v>
      </c>
      <c r="E1859" s="25"/>
      <c r="F185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859" s="161">
        <v>44758</v>
      </c>
      <c r="H1859" s="26" t="s">
        <v>746</v>
      </c>
      <c r="I1859" s="161">
        <v>44686</v>
      </c>
      <c r="J1859" s="35">
        <v>2204</v>
      </c>
      <c r="K1859" s="21">
        <v>3560168.07</v>
      </c>
      <c r="L1859" s="21"/>
      <c r="M1859" s="22">
        <f>(PROVEEDORES[[#This Row],[SUBTOTAL]]-PROVEEDORES[[#This Row],[descuento sobre subtotal]])*VLOOKUP(PROVEEDORES[[#This Row],[PROVEEDOR]],TERCEROS_INFO[#All],3,FALSE)</f>
        <v>676431.93330000003</v>
      </c>
      <c r="N1859" s="23"/>
      <c r="O1859" s="22">
        <f>+PROVEEDORES[[#This Row],[Descuento sobre subtotal %]]*(PROVEEDORES[[#This Row],[SUBTOTAL]]-PROVEEDORES[[#This Row],[descuento sobre subtotal]])</f>
        <v>0</v>
      </c>
      <c r="P1859" s="83">
        <f>+IF(PROVEEDORES[[#This Row],[SUBTOTAL]]&lt;PROVEEDORES[[#This Row],[base retencion]],0,PROVEEDORES[[#This Row],[retención aplicada]])</f>
        <v>2.5000000000000001E-2</v>
      </c>
      <c r="Q1859" s="22">
        <f>+PROVEEDORES[[#This Row],[Rete Fuente %]]*(PROVEEDORES[[#This Row],[SUBTOTAL]]-PROVEEDORES[[#This Row],[descuento sobre subtotal]])</f>
        <v>89004.201750000007</v>
      </c>
      <c r="R1859" s="21">
        <f>+PROVEEDORES[[#This Row],[SUBTOTAL]]+PROVEEDORES[[#This Row],[IVA 19%]]-PROVEEDORES[[#This Row],[descuento sobre subtotal]]-PROVEEDORES[[#This Row],[Descuento sobre subtotal $2]]-PROVEEDORES[[#This Row],[Rete Fuente $]]</f>
        <v>4147595.80155</v>
      </c>
      <c r="S1859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9" s="68">
        <f ca="1">IF(PROVEEDORES[[#This Row],[FECHA DE PAGO]]=0,TODAY()-PROVEEDORES[[#This Row],[FECHA DE FACTURACIÓN]]-PROVEEDORES[[#This Row],[PLAZO Días]],0)</f>
        <v>0</v>
      </c>
      <c r="U1859" s="113" t="str">
        <f>+VLOOKUP(PROVEEDORES[[#This Row],[PROVEEDOR]],Terceros!$A:$D,4,FALSE)</f>
        <v>2,5% con base</v>
      </c>
      <c r="V1859" s="114">
        <f>+YEAR(PROVEEDORES[[#This Row],[FECHA DE FACTURACIÓN]])</f>
        <v>2022</v>
      </c>
      <c r="W1859" s="114">
        <f>+MATCH(PROVEEDORES[[#This Row],[año facturado]],Retenciones!$1:$1,0)</f>
        <v>5</v>
      </c>
      <c r="X1859" s="115">
        <f>+VLOOKUP(PROVEEDORES[[#This Row],[ID RETENCION]],Retenciones!$A$1:$O$25,PROVEEDORES[[#This Row],[indicador de columna]],FALSE)</f>
        <v>1026000</v>
      </c>
      <c r="Y1859" s="116">
        <f>+VLOOKUP(PROVEEDORES[[#This Row],[ID RETENCION]],Retenciones!$A$1:$O$25,2,FALSE)</f>
        <v>2.5000000000000001E-2</v>
      </c>
      <c r="Z1859" s="125" t="b">
        <f>OR(COUNTIF(PROVEEDORES[[#This Row],[PROVEEDOR]],"*"&amp;'Palabra no opera'!$A$2&amp;"*"))</f>
        <v>0</v>
      </c>
    </row>
    <row r="1860" spans="1:26" ht="22.2" customHeight="1" x14ac:dyDescent="0.3">
      <c r="A1860" s="66" t="str">
        <f>+IF(PROVEEDORES[[#This Row],[FECHA DE PAGO]]=PROVEEDORES[[#This Row],[FECHA DE FACTURACIÓN]],"DE CONTADO","CRÉDITO")</f>
        <v>CRÉDITO</v>
      </c>
      <c r="B1860" s="38" t="b">
        <f>+IF((PROVEEDORES[[#This Row],[FECHA DE PAGO]]-PROVEEDORES[[#This Row],[FECHA DE FACTURACIÓN]])&gt;PROVEEDORES[[#This Row],[PLAZO Días]],"PAGO VENCIDO")</f>
        <v>0</v>
      </c>
      <c r="C1860" s="20">
        <f>+VLOOKUP(PROVEEDORES[[#This Row],[PROVEEDOR]],TERCEROS_INFO[#All],2,FALSE)</f>
        <v>45</v>
      </c>
      <c r="D1860" s="25">
        <f>+SUMIFS(PROVEEDORES[Total],PROVEEDORES[PROVEEDOR],PROVEEDORES[[#This Row],[PROVEEDOR]],PROVEEDORES[FECHA DE PAGO],"")</f>
        <v>31891814.359999999</v>
      </c>
      <c r="E1860" s="25"/>
      <c r="F186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60" s="161">
        <v>44624</v>
      </c>
      <c r="H1860" s="26" t="s">
        <v>19</v>
      </c>
      <c r="I1860" s="161">
        <v>44581</v>
      </c>
      <c r="J1860" s="35" t="s">
        <v>751</v>
      </c>
      <c r="K1860" s="21">
        <v>3491200</v>
      </c>
      <c r="L1860" s="21"/>
      <c r="M1860" s="22">
        <f>(PROVEEDORES[[#This Row],[SUBTOTAL]]-PROVEEDORES[[#This Row],[descuento sobre subtotal]])*VLOOKUP(PROVEEDORES[[#This Row],[PROVEEDOR]],TERCEROS_INFO[#All],3,FALSE)</f>
        <v>663328</v>
      </c>
      <c r="N1860" s="23"/>
      <c r="O1860" s="22">
        <f>+PROVEEDORES[[#This Row],[Descuento sobre subtotal %]]*(PROVEEDORES[[#This Row],[SUBTOTAL]]-PROVEEDORES[[#This Row],[descuento sobre subtotal]])</f>
        <v>0</v>
      </c>
      <c r="P1860" s="83">
        <f>+IF(PROVEEDORES[[#This Row],[SUBTOTAL]]&lt;PROVEEDORES[[#This Row],[base retencion]],0,PROVEEDORES[[#This Row],[retención aplicada]])</f>
        <v>0</v>
      </c>
      <c r="Q1860" s="22">
        <f>+PROVEEDORES[[#This Row],[Rete Fuente %]]*(PROVEEDORES[[#This Row],[SUBTOTAL]]-PROVEEDORES[[#This Row],[descuento sobre subtotal]])</f>
        <v>0</v>
      </c>
      <c r="R1860" s="21">
        <v>4154528</v>
      </c>
      <c r="S18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0" s="68">
        <f ca="1">IF(PROVEEDORES[[#This Row],[FECHA DE PAGO]]=0,TODAY()-PROVEEDORES[[#This Row],[FECHA DE FACTURACIÓN]]-PROVEEDORES[[#This Row],[PLAZO Días]],0)</f>
        <v>0</v>
      </c>
      <c r="U1860" s="96">
        <f>+VLOOKUP(PROVEEDORES[[#This Row],[PROVEEDOR]],Terceros!$A:$D,4,FALSE)</f>
        <v>0</v>
      </c>
      <c r="V1860" s="97">
        <f>+YEAR(PROVEEDORES[[#This Row],[FECHA DE FACTURACIÓN]])</f>
        <v>2022</v>
      </c>
      <c r="W1860" s="97">
        <f>+MATCH(PROVEEDORES[[#This Row],[año facturado]],Retenciones!$1:$1,0)</f>
        <v>5</v>
      </c>
      <c r="X1860" s="98">
        <f>+VLOOKUP(PROVEEDORES[[#This Row],[ID RETENCION]],Retenciones!$A$1:$O$25,PROVEEDORES[[#This Row],[indicador de columna]],FALSE)</f>
        <v>0</v>
      </c>
      <c r="Y1860" s="99">
        <f>+VLOOKUP(PROVEEDORES[[#This Row],[ID RETENCION]],Retenciones!$A$1:$O$25,2,FALSE)</f>
        <v>0</v>
      </c>
      <c r="Z1860" s="125" t="b">
        <f>OR(COUNTIF(PROVEEDORES[[#This Row],[PROVEEDOR]],"*"&amp;'Palabra no opera'!$A$2&amp;"*"))</f>
        <v>0</v>
      </c>
    </row>
    <row r="1861" spans="1:26" ht="22.2" customHeight="1" x14ac:dyDescent="0.3">
      <c r="A1861" s="66" t="str">
        <f>+IF(PROVEEDORES[[#This Row],[FECHA DE PAGO]]=PROVEEDORES[[#This Row],[FECHA DE FACTURACIÓN]],"DE CONTADO","CRÉDITO")</f>
        <v>CRÉDITO</v>
      </c>
      <c r="B1861" s="38" t="str">
        <f>+IF((PROVEEDORES[[#This Row],[FECHA DE PAGO]]-PROVEEDORES[[#This Row],[FECHA DE FACTURACIÓN]])&gt;PROVEEDORES[[#This Row],[PLAZO Días]],"PAGO VENCIDO")</f>
        <v>PAGO VENCIDO</v>
      </c>
      <c r="C1861" s="20">
        <f>+VLOOKUP(PROVEEDORES[[#This Row],[PROVEEDOR]],TERCEROS_INFO[#All],2,FALSE)</f>
        <v>30</v>
      </c>
      <c r="D1861" s="25">
        <f>+SUMIFS(PROVEEDORES[Total],PROVEEDORES[PROVEEDOR],PROVEEDORES[[#This Row],[PROVEEDOR]],PROVEEDORES[FECHA DE PAGO],"")</f>
        <v>23124164.219999999</v>
      </c>
      <c r="E1861" s="25"/>
      <c r="F186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61" s="161">
        <v>44684</v>
      </c>
      <c r="H1861" s="26" t="s">
        <v>18</v>
      </c>
      <c r="I1861" s="161">
        <v>44634</v>
      </c>
      <c r="J1861" s="35">
        <v>1051102</v>
      </c>
      <c r="K1861" s="21">
        <v>3580988</v>
      </c>
      <c r="L1861" s="21"/>
      <c r="M1861" s="22">
        <f>(PROVEEDORES[[#This Row],[SUBTOTAL]]-PROVEEDORES[[#This Row],[descuento sobre subtotal]])*VLOOKUP(PROVEEDORES[[#This Row],[PROVEEDOR]],TERCEROS_INFO[#All],3,FALSE)</f>
        <v>680387.72</v>
      </c>
      <c r="N1861" s="23"/>
      <c r="O1861" s="22">
        <f>+PROVEEDORES[[#This Row],[Descuento sobre subtotal %]]*(PROVEEDORES[[#This Row],[SUBTOTAL]]-PROVEEDORES[[#This Row],[descuento sobre subtotal]])</f>
        <v>0</v>
      </c>
      <c r="P1861" s="83">
        <f>+IF(PROVEEDORES[[#This Row],[SUBTOTAL]]&lt;PROVEEDORES[[#This Row],[base retencion]],0,PROVEEDORES[[#This Row],[retención aplicada]])</f>
        <v>2.5000000000000001E-2</v>
      </c>
      <c r="Q1861" s="22">
        <f>+PROVEEDORES[[#This Row],[Rete Fuente %]]*(PROVEEDORES[[#This Row],[SUBTOTAL]]-PROVEEDORES[[#This Row],[descuento sobre subtotal]])</f>
        <v>89524.700000000012</v>
      </c>
      <c r="R1861" s="21">
        <f>+PROVEEDORES[[#This Row],[SUBTOTAL]]+PROVEEDORES[[#This Row],[IVA 19%]]-PROVEEDORES[[#This Row],[descuento sobre subtotal]]-PROVEEDORES[[#This Row],[Descuento sobre subtotal $2]]-PROVEEDORES[[#This Row],[Rete Fuente $]]</f>
        <v>4171851.0199999996</v>
      </c>
      <c r="S18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1" s="68">
        <f ca="1">IF(PROVEEDORES[[#This Row],[FECHA DE PAGO]]=0,TODAY()-PROVEEDORES[[#This Row],[FECHA DE FACTURACIÓN]]-PROVEEDORES[[#This Row],[PLAZO Días]],0)</f>
        <v>0</v>
      </c>
      <c r="U1861" s="96" t="str">
        <f>+VLOOKUP(PROVEEDORES[[#This Row],[PROVEEDOR]],Terceros!$A:$D,4,FALSE)</f>
        <v>2,5% con base</v>
      </c>
      <c r="V1861" s="97">
        <f>+YEAR(PROVEEDORES[[#This Row],[FECHA DE FACTURACIÓN]])</f>
        <v>2022</v>
      </c>
      <c r="W1861" s="97">
        <f>+MATCH(PROVEEDORES[[#This Row],[año facturado]],Retenciones!$1:$1,0)</f>
        <v>5</v>
      </c>
      <c r="X1861" s="98">
        <f>+VLOOKUP(PROVEEDORES[[#This Row],[ID RETENCION]],Retenciones!$A$1:$O$25,PROVEEDORES[[#This Row],[indicador de columna]],FALSE)</f>
        <v>1026000</v>
      </c>
      <c r="Y1861" s="99">
        <f>+VLOOKUP(PROVEEDORES[[#This Row],[ID RETENCION]],Retenciones!$A$1:$O$25,2,FALSE)</f>
        <v>2.5000000000000001E-2</v>
      </c>
      <c r="Z1861" s="125" t="b">
        <f>OR(COUNTIF(PROVEEDORES[[#This Row],[PROVEEDOR]],"*"&amp;'Palabra no opera'!$A$2&amp;"*"))</f>
        <v>0</v>
      </c>
    </row>
    <row r="1862" spans="1:26" ht="22.2" customHeight="1" x14ac:dyDescent="0.3">
      <c r="A1862" s="66" t="str">
        <f>+IF(PROVEEDORES[[#This Row],[FECHA DE PAGO]]=PROVEEDORES[[#This Row],[FECHA DE FACTURACIÓN]],"DE CONTADO","CRÉDITO")</f>
        <v>CRÉDITO</v>
      </c>
      <c r="B1862" s="38" t="b">
        <f>+IF((PROVEEDORES[[#This Row],[FECHA DE PAGO]]-PROVEEDORES[[#This Row],[FECHA DE FACTURACIÓN]])&gt;PROVEEDORES[[#This Row],[PLAZO Días]],"PAGO VENCIDO")</f>
        <v>0</v>
      </c>
      <c r="C1862" s="20">
        <f>+VLOOKUP(PROVEEDORES[[#This Row],[PROVEEDOR]],TERCEROS_INFO[#All],2,FALSE)</f>
        <v>30</v>
      </c>
      <c r="D1862" s="25">
        <f>+SUMIFS(PROVEEDORES[Total],PROVEEDORES[PROVEEDOR],PROVEEDORES[[#This Row],[PROVEEDOR]],PROVEEDORES[FECHA DE PAGO],"")</f>
        <v>1333437.8400000001</v>
      </c>
      <c r="E1862" s="25"/>
      <c r="F186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62" s="161">
        <v>44429</v>
      </c>
      <c r="H1862" s="26" t="s">
        <v>905</v>
      </c>
      <c r="I1862" s="161">
        <v>44407</v>
      </c>
      <c r="J1862" s="35" t="s">
        <v>441</v>
      </c>
      <c r="K1862" s="21">
        <v>3519330</v>
      </c>
      <c r="L1862" s="21"/>
      <c r="M1862" s="22">
        <f>(PROVEEDORES[[#This Row],[SUBTOTAL]]-PROVEEDORES[[#This Row],[descuento sobre subtotal]])*VLOOKUP(PROVEEDORES[[#This Row],[PROVEEDOR]],TERCEROS_INFO[#All],3,FALSE)</f>
        <v>668672.69999999995</v>
      </c>
      <c r="N1862" s="23"/>
      <c r="O1862" s="22">
        <f>+PROVEEDORES[[#This Row],[Descuento sobre subtotal %]]*(PROVEEDORES[[#This Row],[SUBTOTAL]]-PROVEEDORES[[#This Row],[descuento sobre subtotal]])</f>
        <v>0</v>
      </c>
      <c r="P1862" s="83">
        <f>+IF(PROVEEDORES[[#This Row],[SUBTOTAL]]&lt;PROVEEDORES[[#This Row],[base retencion]],0,PROVEEDORES[[#This Row],[retención aplicada]])</f>
        <v>0</v>
      </c>
      <c r="Q1862" s="22">
        <f>+PROVEEDORES[[#This Row],[Rete Fuente %]]*(PROVEEDORES[[#This Row],[SUBTOTAL]]-PROVEEDORES[[#This Row],[descuento sobre subtotal]])</f>
        <v>0</v>
      </c>
      <c r="R1862" s="21">
        <f>+PROVEEDORES[[#This Row],[SUBTOTAL]]+PROVEEDORES[[#This Row],[IVA 19%]]-PROVEEDORES[[#This Row],[descuento sobre subtotal]]-PROVEEDORES[[#This Row],[Descuento sobre subtotal $2]]-PROVEEDORES[[#This Row],[Rete Fuente $]]</f>
        <v>4188002.7</v>
      </c>
      <c r="S18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2" s="68">
        <f ca="1">IF(PROVEEDORES[[#This Row],[FECHA DE PAGO]]=0,TODAY()-PROVEEDORES[[#This Row],[FECHA DE FACTURACIÓN]]-PROVEEDORES[[#This Row],[PLAZO Días]],0)</f>
        <v>0</v>
      </c>
      <c r="U1862" s="96">
        <f>+VLOOKUP(PROVEEDORES[[#This Row],[PROVEEDOR]],Terceros!$A:$D,4,FALSE)</f>
        <v>0</v>
      </c>
      <c r="V1862" s="97">
        <f>+YEAR(PROVEEDORES[[#This Row],[FECHA DE FACTURACIÓN]])</f>
        <v>2021</v>
      </c>
      <c r="W1862" s="97">
        <f>+MATCH(PROVEEDORES[[#This Row],[año facturado]],Retenciones!$1:$1,0)</f>
        <v>4</v>
      </c>
      <c r="X1862" s="98">
        <f>+VLOOKUP(PROVEEDORES[[#This Row],[ID RETENCION]],Retenciones!$A$1:$O$25,PROVEEDORES[[#This Row],[indicador de columna]],FALSE)</f>
        <v>0</v>
      </c>
      <c r="Y1862" s="99">
        <f>+VLOOKUP(PROVEEDORES[[#This Row],[ID RETENCION]],Retenciones!$A$1:$O$25,2,FALSE)</f>
        <v>0</v>
      </c>
      <c r="Z1862" s="125" t="b">
        <f>OR(COUNTIF(PROVEEDORES[[#This Row],[PROVEEDOR]],"*"&amp;'Palabra no opera'!$A$2&amp;"*"))</f>
        <v>1</v>
      </c>
    </row>
    <row r="1863" spans="1:26" ht="22.2" customHeight="1" x14ac:dyDescent="0.3">
      <c r="A1863" s="159" t="str">
        <f>+IF(PROVEEDORES[[#This Row],[FECHA DE PAGO]]=PROVEEDORES[[#This Row],[FECHA DE FACTURACIÓN]],"DE CONTADO","CRÉDITO")</f>
        <v>CRÉDITO</v>
      </c>
      <c r="B1863" s="38" t="str">
        <f>+IF((PROVEEDORES[[#This Row],[FECHA DE PAGO]]-PROVEEDORES[[#This Row],[FECHA DE FACTURACIÓN]])&gt;PROVEEDORES[[#This Row],[PLAZO Días]],"PAGO VENCIDO")</f>
        <v>PAGO VENCIDO</v>
      </c>
      <c r="C1863" s="20">
        <f>+VLOOKUP(PROVEEDORES[[#This Row],[PROVEEDOR]],TERCEROS_INFO[#All],2,FALSE)</f>
        <v>30</v>
      </c>
      <c r="D1863" s="25">
        <f>+SUMIFS(PROVEEDORES[Total],PROVEEDORES[PROVEEDOR],PROVEEDORES[[#This Row],[PROVEEDOR]],PROVEEDORES[FECHA DE PAGO],"")</f>
        <v>0</v>
      </c>
      <c r="E1863" s="25"/>
      <c r="F186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863" s="161">
        <v>44795</v>
      </c>
      <c r="H1863" s="26" t="s">
        <v>670</v>
      </c>
      <c r="I1863" s="161">
        <v>44716</v>
      </c>
      <c r="J1863" s="35" t="s">
        <v>1074</v>
      </c>
      <c r="K1863" s="21">
        <v>4213300</v>
      </c>
      <c r="L1863" s="21"/>
      <c r="M1863" s="22">
        <f>(PROVEEDORES[[#This Row],[SUBTOTAL]]-PROVEEDORES[[#This Row],[descuento sobre subtotal]])*VLOOKUP(PROVEEDORES[[#This Row],[PROVEEDOR]],TERCEROS_INFO[#All],3,FALSE)</f>
        <v>0</v>
      </c>
      <c r="N1863" s="23"/>
      <c r="O1863" s="22">
        <f>+PROVEEDORES[[#This Row],[Descuento sobre subtotal %]]*(PROVEEDORES[[#This Row],[SUBTOTAL]]-PROVEEDORES[[#This Row],[descuento sobre subtotal]])</f>
        <v>0</v>
      </c>
      <c r="P1863" s="83">
        <f>+IF(PROVEEDORES[[#This Row],[SUBTOTAL]]&lt;PROVEEDORES[[#This Row],[base retencion]],0,PROVEEDORES[[#This Row],[retención aplicada]])</f>
        <v>0</v>
      </c>
      <c r="Q1863" s="22">
        <f>+PROVEEDORES[[#This Row],[Rete Fuente %]]*(PROVEEDORES[[#This Row],[SUBTOTAL]]-PROVEEDORES[[#This Row],[descuento sobre subtotal]])</f>
        <v>0</v>
      </c>
      <c r="R1863" s="21">
        <f>+PROVEEDORES[[#This Row],[SUBTOTAL]]+PROVEEDORES[[#This Row],[IVA 19%]]-PROVEEDORES[[#This Row],[descuento sobre subtotal]]-PROVEEDORES[[#This Row],[Descuento sobre subtotal $2]]-PROVEEDORES[[#This Row],[Rete Fuente $]]</f>
        <v>4213300</v>
      </c>
      <c r="S186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3" s="68">
        <f ca="1">IF(PROVEEDORES[[#This Row],[FECHA DE PAGO]]=0,TODAY()-PROVEEDORES[[#This Row],[FECHA DE FACTURACIÓN]]-PROVEEDORES[[#This Row],[PLAZO Días]],0)</f>
        <v>0</v>
      </c>
      <c r="U1863" s="113">
        <f>+VLOOKUP(PROVEEDORES[[#This Row],[PROVEEDOR]],Terceros!$A:$D,4,FALSE)</f>
        <v>0</v>
      </c>
      <c r="V1863" s="114">
        <f>+YEAR(PROVEEDORES[[#This Row],[FECHA DE FACTURACIÓN]])</f>
        <v>2022</v>
      </c>
      <c r="W1863" s="114">
        <f>+MATCH(PROVEEDORES[[#This Row],[año facturado]],Retenciones!$1:$1,0)</f>
        <v>5</v>
      </c>
      <c r="X1863" s="115">
        <f>+VLOOKUP(PROVEEDORES[[#This Row],[ID RETENCION]],Retenciones!$A$1:$O$25,PROVEEDORES[[#This Row],[indicador de columna]],FALSE)</f>
        <v>0</v>
      </c>
      <c r="Y1863" s="116">
        <f>+VLOOKUP(PROVEEDORES[[#This Row],[ID RETENCION]],Retenciones!$A$1:$O$25,2,FALSE)</f>
        <v>0</v>
      </c>
      <c r="Z1863" s="125" t="b">
        <f>OR(COUNTIF(PROVEEDORES[[#This Row],[PROVEEDOR]],"*"&amp;'Palabra no opera'!$A$2&amp;"*"))</f>
        <v>0</v>
      </c>
    </row>
    <row r="1864" spans="1:26" ht="22.2" customHeight="1" x14ac:dyDescent="0.3">
      <c r="A1864" s="66" t="str">
        <f>+IF(PROVEEDORES[[#This Row],[FECHA DE PAGO]]=PROVEEDORES[[#This Row],[FECHA DE FACTURACIÓN]],"DE CONTADO","CRÉDITO")</f>
        <v>CRÉDITO</v>
      </c>
      <c r="B1864" s="38" t="b">
        <f>+IF((PROVEEDORES[[#This Row],[FECHA DE PAGO]]-PROVEEDORES[[#This Row],[FECHA DE FACTURACIÓN]])&gt;PROVEEDORES[[#This Row],[PLAZO Días]],"PAGO VENCIDO")</f>
        <v>0</v>
      </c>
      <c r="C1864" s="20">
        <f>+VLOOKUP(PROVEEDORES[[#This Row],[PROVEEDOR]],TERCEROS_INFO[#All],2,FALSE)</f>
        <v>20</v>
      </c>
      <c r="D1864" s="25">
        <f>+SUMIFS(PROVEEDORES[Total],PROVEEDORES[PROVEEDOR],PROVEEDORES[[#This Row],[PROVEEDOR]],PROVEEDORES[FECHA DE PAGO],"")</f>
        <v>0</v>
      </c>
      <c r="E1864" s="25"/>
      <c r="F186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864" s="161">
        <v>44319</v>
      </c>
      <c r="H1864" s="26" t="s">
        <v>331</v>
      </c>
      <c r="I1864" s="161">
        <v>44309</v>
      </c>
      <c r="J1864" s="35" t="s">
        <v>400</v>
      </c>
      <c r="K1864" s="21">
        <v>3691762.2846000004</v>
      </c>
      <c r="L1864" s="21"/>
      <c r="M1864" s="22">
        <f>(PROVEEDORES[[#This Row],[SUBTOTAL]]-PROVEEDORES[[#This Row],[descuento sobre subtotal]])*VLOOKUP(PROVEEDORES[[#This Row],[PROVEEDOR]],TERCEROS_INFO[#All],3,FALSE)</f>
        <v>701434.83407400013</v>
      </c>
      <c r="N1864" s="23"/>
      <c r="O1864" s="22">
        <f>+PROVEEDORES[[#This Row],[Descuento sobre subtotal %]]*(PROVEEDORES[[#This Row],[SUBTOTAL]]-PROVEEDORES[[#This Row],[descuento sobre subtotal]])</f>
        <v>0</v>
      </c>
      <c r="P1864" s="83">
        <f>+IF(PROVEEDORES[[#This Row],[SUBTOTAL]]&lt;PROVEEDORES[[#This Row],[base retencion]],0,PROVEEDORES[[#This Row],[retención aplicada]])</f>
        <v>0.04</v>
      </c>
      <c r="Q1864" s="22">
        <f>+PROVEEDORES[[#This Row],[Rete Fuente %]]*(PROVEEDORES[[#This Row],[SUBTOTAL]]-PROVEEDORES[[#This Row],[descuento sobre subtotal]])</f>
        <v>147670.49138400002</v>
      </c>
      <c r="R1864" s="21">
        <f>+PROVEEDORES[[#This Row],[SUBTOTAL]]+PROVEEDORES[[#This Row],[IVA 19%]]-PROVEEDORES[[#This Row],[descuento sobre subtotal]]-PROVEEDORES[[#This Row],[Descuento sobre subtotal $2]]-PROVEEDORES[[#This Row],[Rete Fuente $]]</f>
        <v>4245526.6272900011</v>
      </c>
      <c r="S18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4" s="68">
        <f ca="1">IF(PROVEEDORES[[#This Row],[FECHA DE PAGO]]=0,TODAY()-PROVEEDORES[[#This Row],[FECHA DE FACTURACIÓN]]-PROVEEDORES[[#This Row],[PLAZO Días]],0)</f>
        <v>0</v>
      </c>
      <c r="U1864" s="96" t="str">
        <f>+VLOOKUP(PROVEEDORES[[#This Row],[PROVEEDOR]],Terceros!$A:$D,4,FALSE)</f>
        <v>4% sin base</v>
      </c>
      <c r="V1864" s="97">
        <f>+YEAR(PROVEEDORES[[#This Row],[FECHA DE FACTURACIÓN]])</f>
        <v>2021</v>
      </c>
      <c r="W1864" s="97">
        <f>+MATCH(PROVEEDORES[[#This Row],[año facturado]],Retenciones!$1:$1,0)</f>
        <v>4</v>
      </c>
      <c r="X1864" s="98">
        <f>+VLOOKUP(PROVEEDORES[[#This Row],[ID RETENCION]],Retenciones!$A$1:$O$25,PROVEEDORES[[#This Row],[indicador de columna]],FALSE)</f>
        <v>0</v>
      </c>
      <c r="Y1864" s="99">
        <f>+VLOOKUP(PROVEEDORES[[#This Row],[ID RETENCION]],Retenciones!$A$1:$O$25,2,FALSE)</f>
        <v>0.04</v>
      </c>
      <c r="Z1864" s="125" t="b">
        <f>OR(COUNTIF(PROVEEDORES[[#This Row],[PROVEEDOR]],"*"&amp;'Palabra no opera'!$A$2&amp;"*"))</f>
        <v>0</v>
      </c>
    </row>
    <row r="1865" spans="1:26" ht="22.2" customHeight="1" x14ac:dyDescent="0.3">
      <c r="A1865" s="66" t="str">
        <f>+IF(PROVEEDORES[[#This Row],[FECHA DE PAGO]]=PROVEEDORES[[#This Row],[FECHA DE FACTURACIÓN]],"DE CONTADO","CRÉDITO")</f>
        <v>CRÉDITO</v>
      </c>
      <c r="B1865" s="38" t="str">
        <f>+IF((PROVEEDORES[[#This Row],[FECHA DE PAGO]]-PROVEEDORES[[#This Row],[FECHA DE FACTURACIÓN]])&gt;PROVEEDORES[[#This Row],[PLAZO Días]],"PAGO VENCIDO")</f>
        <v>PAGO VENCIDO</v>
      </c>
      <c r="C1865" s="20">
        <f>+VLOOKUP(PROVEEDORES[[#This Row],[PROVEEDOR]],TERCEROS_INFO[#All],2,FALSE)</f>
        <v>30</v>
      </c>
      <c r="D1865" s="25">
        <f>+SUMIFS(PROVEEDORES[Total],PROVEEDORES[PROVEEDOR],PROVEEDORES[[#This Row],[PROVEEDOR]],PROVEEDORES[FECHA DE PAGO],"")</f>
        <v>0</v>
      </c>
      <c r="E1865" s="25"/>
      <c r="F186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865" s="161">
        <v>44321</v>
      </c>
      <c r="H1865" s="26" t="s">
        <v>24</v>
      </c>
      <c r="I1865" s="161">
        <v>44273</v>
      </c>
      <c r="J1865" s="35" t="s">
        <v>247</v>
      </c>
      <c r="K1865" s="21">
        <v>3650562</v>
      </c>
      <c r="L1865" s="21"/>
      <c r="M1865" s="22">
        <f>(PROVEEDORES[[#This Row],[SUBTOTAL]]-PROVEEDORES[[#This Row],[descuento sobre subtotal]])*VLOOKUP(PROVEEDORES[[#This Row],[PROVEEDOR]],TERCEROS_INFO[#All],3,FALSE)</f>
        <v>693606.78</v>
      </c>
      <c r="N1865" s="23"/>
      <c r="O1865" s="22">
        <f>+PROVEEDORES[[#This Row],[Descuento sobre subtotal %]]*(PROVEEDORES[[#This Row],[SUBTOTAL]]-PROVEEDORES[[#This Row],[descuento sobre subtotal]])</f>
        <v>0</v>
      </c>
      <c r="P1865" s="83">
        <f>+IF(PROVEEDORES[[#This Row],[SUBTOTAL]]&lt;PROVEEDORES[[#This Row],[base retencion]],0,PROVEEDORES[[#This Row],[retención aplicada]])</f>
        <v>2.5000000000000001E-2</v>
      </c>
      <c r="Q1865" s="22">
        <f>+PROVEEDORES[[#This Row],[Rete Fuente %]]*(PROVEEDORES[[#This Row],[SUBTOTAL]]-PROVEEDORES[[#This Row],[descuento sobre subtotal]])</f>
        <v>91264.05</v>
      </c>
      <c r="R1865" s="21">
        <f>+PROVEEDORES[[#This Row],[SUBTOTAL]]+PROVEEDORES[[#This Row],[IVA 19%]]-PROVEEDORES[[#This Row],[descuento sobre subtotal]]-PROVEEDORES[[#This Row],[Descuento sobre subtotal $2]]-PROVEEDORES[[#This Row],[Rete Fuente $]]</f>
        <v>4252904.7300000004</v>
      </c>
      <c r="S18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5" s="68">
        <f ca="1">IF(PROVEEDORES[[#This Row],[FECHA DE PAGO]]=0,TODAY()-PROVEEDORES[[#This Row],[FECHA DE FACTURACIÓN]]-PROVEEDORES[[#This Row],[PLAZO Días]],0)</f>
        <v>0</v>
      </c>
      <c r="U1865" s="96" t="str">
        <f>+VLOOKUP(PROVEEDORES[[#This Row],[PROVEEDOR]],Terceros!$A:$D,4,FALSE)</f>
        <v>2,5% con base</v>
      </c>
      <c r="V1865" s="97">
        <f>+YEAR(PROVEEDORES[[#This Row],[FECHA DE FACTURACIÓN]])</f>
        <v>2021</v>
      </c>
      <c r="W1865" s="97">
        <f>+MATCH(PROVEEDORES[[#This Row],[año facturado]],Retenciones!$1:$1,0)</f>
        <v>4</v>
      </c>
      <c r="X1865" s="98">
        <f>+VLOOKUP(PROVEEDORES[[#This Row],[ID RETENCION]],Retenciones!$A$1:$O$25,PROVEEDORES[[#This Row],[indicador de columna]],FALSE)</f>
        <v>980000</v>
      </c>
      <c r="Y1865" s="99">
        <f>+VLOOKUP(PROVEEDORES[[#This Row],[ID RETENCION]],Retenciones!$A$1:$O$25,2,FALSE)</f>
        <v>2.5000000000000001E-2</v>
      </c>
      <c r="Z1865" s="125" t="b">
        <f>OR(COUNTIF(PROVEEDORES[[#This Row],[PROVEEDOR]],"*"&amp;'Palabra no opera'!$A$2&amp;"*"))</f>
        <v>0</v>
      </c>
    </row>
    <row r="1866" spans="1:26" ht="22.2" customHeight="1" x14ac:dyDescent="0.3">
      <c r="A1866" s="185" t="str">
        <f>+IF(PROVEEDORES[[#This Row],[FECHA DE PAGO]]=PROVEEDORES[[#This Row],[FECHA DE FACTURACIÓN]],"DE CONTADO","CRÉDITO")</f>
        <v>CRÉDITO</v>
      </c>
      <c r="B1866" s="38" t="str">
        <f>+IF((PROVEEDORES[[#This Row],[FECHA DE PAGO]]-PROVEEDORES[[#This Row],[FECHA DE FACTURACIÓN]])&gt;PROVEEDORES[[#This Row],[PLAZO Días]],"PAGO VENCIDO")</f>
        <v>PAGO VENCIDO</v>
      </c>
      <c r="C1866" s="20">
        <f>+VLOOKUP(PROVEEDORES[[#This Row],[PROVEEDOR]],TERCEROS_INFO[#All],2,FALSE)</f>
        <v>30</v>
      </c>
      <c r="D1866" s="25">
        <f>+SUMIFS(PROVEEDORES[Total],PROVEEDORES[PROVEEDOR],PROVEEDORES[[#This Row],[PROVEEDOR]],PROVEEDORES[FECHA DE PAGO],"")</f>
        <v>0</v>
      </c>
      <c r="E1866" s="25"/>
      <c r="F186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66" s="161">
        <v>44823</v>
      </c>
      <c r="H1866" s="26" t="s">
        <v>1637</v>
      </c>
      <c r="I1866" s="161">
        <v>44755</v>
      </c>
      <c r="J1866" s="35">
        <v>26564</v>
      </c>
      <c r="K1866" s="21">
        <v>4039800</v>
      </c>
      <c r="L1866" s="21">
        <v>383280</v>
      </c>
      <c r="M1866" s="22">
        <f>(PROVEEDORES[[#This Row],[SUBTOTAL]]-PROVEEDORES[[#This Row],[descuento sobre subtotal]])*VLOOKUP(PROVEEDORES[[#This Row],[PROVEEDOR]],TERCEROS_INFO[#All],3,FALSE)</f>
        <v>694738.8</v>
      </c>
      <c r="N1866" s="23"/>
      <c r="O1866" s="22">
        <f>+PROVEEDORES[[#This Row],[Descuento sobre subtotal %]]*(PROVEEDORES[[#This Row],[SUBTOTAL]]-PROVEEDORES[[#This Row],[descuento sobre subtotal]])</f>
        <v>0</v>
      </c>
      <c r="P1866" s="83">
        <f>+IF(PROVEEDORES[[#This Row],[SUBTOTAL]]&lt;PROVEEDORES[[#This Row],[base retencion]],0,PROVEEDORES[[#This Row],[retención aplicada]])</f>
        <v>2.5000000000000001E-2</v>
      </c>
      <c r="Q1866" s="22">
        <f>+PROVEEDORES[[#This Row],[Rete Fuente %]]*(PROVEEDORES[[#This Row],[SUBTOTAL]]-PROVEEDORES[[#This Row],[descuento sobre subtotal]])</f>
        <v>91413</v>
      </c>
      <c r="R1866" s="21">
        <f>+PROVEEDORES[[#This Row],[SUBTOTAL]]+PROVEEDORES[[#This Row],[IVA 19%]]-PROVEEDORES[[#This Row],[descuento sobre subtotal]]-PROVEEDORES[[#This Row],[Descuento sobre subtotal $2]]-PROVEEDORES[[#This Row],[Rete Fuente $]]</f>
        <v>4259845.8</v>
      </c>
      <c r="S1866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6" s="68">
        <f ca="1">IF(PROVEEDORES[[#This Row],[FECHA DE PAGO]]=0,TODAY()-PROVEEDORES[[#This Row],[FECHA DE FACTURACIÓN]]-PROVEEDORES[[#This Row],[PLAZO Días]],0)</f>
        <v>0</v>
      </c>
      <c r="U1866" s="113" t="str">
        <f>+VLOOKUP(PROVEEDORES[[#This Row],[PROVEEDOR]],Terceros!$A:$D,4,FALSE)</f>
        <v>2,5% con base</v>
      </c>
      <c r="V1866" s="114">
        <f>+YEAR(PROVEEDORES[[#This Row],[FECHA DE FACTURACIÓN]])</f>
        <v>2022</v>
      </c>
      <c r="W1866" s="114">
        <f>+MATCH(PROVEEDORES[[#This Row],[año facturado]],Retenciones!$1:$1,0)</f>
        <v>5</v>
      </c>
      <c r="X1866" s="115">
        <f>+VLOOKUP(PROVEEDORES[[#This Row],[ID RETENCION]],Retenciones!$A$1:$O$25,PROVEEDORES[[#This Row],[indicador de columna]],FALSE)</f>
        <v>1026000</v>
      </c>
      <c r="Y1866" s="116">
        <f>+VLOOKUP(PROVEEDORES[[#This Row],[ID RETENCION]],Retenciones!$A$1:$O$25,2,FALSE)</f>
        <v>2.5000000000000001E-2</v>
      </c>
      <c r="Z1866" s="125" t="b">
        <f>OR(COUNTIF(PROVEEDORES[[#This Row],[PROVEEDOR]],"*"&amp;'Palabra no opera'!$A$2&amp;"*"))</f>
        <v>0</v>
      </c>
    </row>
    <row r="1867" spans="1:26" ht="22.2" customHeight="1" x14ac:dyDescent="0.3">
      <c r="A1867" s="144" t="str">
        <f>+IF(PROVEEDORES[[#This Row],[FECHA DE PAGO]]=PROVEEDORES[[#This Row],[FECHA DE FACTURACIÓN]],"DE CONTADO","CRÉDITO")</f>
        <v>CRÉDITO</v>
      </c>
      <c r="B1867" s="38" t="str">
        <f>+IF((PROVEEDORES[[#This Row],[FECHA DE PAGO]]-PROVEEDORES[[#This Row],[FECHA DE FACTURACIÓN]])&gt;PROVEEDORES[[#This Row],[PLAZO Días]],"PAGO VENCIDO")</f>
        <v>PAGO VENCIDO</v>
      </c>
      <c r="C1867" s="20">
        <f>+VLOOKUP(PROVEEDORES[[#This Row],[PROVEEDOR]],TERCEROS_INFO[#All],2,FALSE)</f>
        <v>90</v>
      </c>
      <c r="D1867" s="25">
        <f>+SUMIFS(PROVEEDORES[Total],PROVEEDORES[PROVEEDOR],PROVEEDORES[[#This Row],[PROVEEDOR]],PROVEEDORES[FECHA DE PAGO],"")</f>
        <v>0</v>
      </c>
      <c r="E1867" s="25"/>
      <c r="F1867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867" s="161">
        <v>44823</v>
      </c>
      <c r="H1867" s="26" t="s">
        <v>387</v>
      </c>
      <c r="I1867" s="161">
        <v>44704</v>
      </c>
      <c r="J1867" s="35" t="s">
        <v>989</v>
      </c>
      <c r="K1867" s="21">
        <v>3657983</v>
      </c>
      <c r="L1867" s="21"/>
      <c r="M1867" s="22">
        <f>(PROVEEDORES[[#This Row],[SUBTOTAL]]-PROVEEDORES[[#This Row],[descuento sobre subtotal]])*VLOOKUP(PROVEEDORES[[#This Row],[PROVEEDOR]],TERCEROS_INFO[#All],3,FALSE)</f>
        <v>695016.77</v>
      </c>
      <c r="N1867" s="23"/>
      <c r="O1867" s="22">
        <f>+PROVEEDORES[[#This Row],[Descuento sobre subtotal %]]*(PROVEEDORES[[#This Row],[SUBTOTAL]]-PROVEEDORES[[#This Row],[descuento sobre subtotal]])</f>
        <v>0</v>
      </c>
      <c r="P1867" s="83">
        <f>+IF(PROVEEDORES[[#This Row],[SUBTOTAL]]&lt;PROVEEDORES[[#This Row],[base retencion]],0,PROVEEDORES[[#This Row],[retención aplicada]])</f>
        <v>2.5000000000000001E-2</v>
      </c>
      <c r="Q1867" s="22">
        <f>+PROVEEDORES[[#This Row],[Rete Fuente %]]*(PROVEEDORES[[#This Row],[SUBTOTAL]]-PROVEEDORES[[#This Row],[descuento sobre subtotal]])</f>
        <v>91449.575000000012</v>
      </c>
      <c r="R1867" s="21">
        <f>+PROVEEDORES[[#This Row],[SUBTOTAL]]+PROVEEDORES[[#This Row],[IVA 19%]]-PROVEEDORES[[#This Row],[descuento sobre subtotal]]-PROVEEDORES[[#This Row],[Descuento sobre subtotal $2]]-PROVEEDORES[[#This Row],[Rete Fuente $]]</f>
        <v>4261550.1949999994</v>
      </c>
      <c r="S1867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7" s="68">
        <f ca="1">IF(PROVEEDORES[[#This Row],[FECHA DE PAGO]]=0,TODAY()-PROVEEDORES[[#This Row],[FECHA DE FACTURACIÓN]]-PROVEEDORES[[#This Row],[PLAZO Días]],0)</f>
        <v>0</v>
      </c>
      <c r="U1867" s="113" t="str">
        <f>+VLOOKUP(PROVEEDORES[[#This Row],[PROVEEDOR]],Terceros!$A:$D,4,FALSE)</f>
        <v>2,5% con base</v>
      </c>
      <c r="V1867" s="114">
        <f>+YEAR(PROVEEDORES[[#This Row],[FECHA DE FACTURACIÓN]])</f>
        <v>2022</v>
      </c>
      <c r="W1867" s="114">
        <f>+MATCH(PROVEEDORES[[#This Row],[año facturado]],Retenciones!$1:$1,0)</f>
        <v>5</v>
      </c>
      <c r="X1867" s="115">
        <f>+VLOOKUP(PROVEEDORES[[#This Row],[ID RETENCION]],Retenciones!$A$1:$O$25,PROVEEDORES[[#This Row],[indicador de columna]],FALSE)</f>
        <v>1026000</v>
      </c>
      <c r="Y1867" s="116">
        <f>+VLOOKUP(PROVEEDORES[[#This Row],[ID RETENCION]],Retenciones!$A$1:$O$25,2,FALSE)</f>
        <v>2.5000000000000001E-2</v>
      </c>
      <c r="Z1867" s="125" t="b">
        <f>OR(COUNTIF(PROVEEDORES[[#This Row],[PROVEEDOR]],"*"&amp;'Palabra no opera'!$A$2&amp;"*"))</f>
        <v>0</v>
      </c>
    </row>
    <row r="1868" spans="1:26" ht="22.2" customHeight="1" x14ac:dyDescent="0.3">
      <c r="A1868" s="66" t="str">
        <f>+IF(PROVEEDORES[[#This Row],[FECHA DE PAGO]]=PROVEEDORES[[#This Row],[FECHA DE FACTURACIÓN]],"DE CONTADO","CRÉDITO")</f>
        <v>CRÉDITO</v>
      </c>
      <c r="B1868" s="38" t="b">
        <f>+IF((PROVEEDORES[[#This Row],[FECHA DE PAGO]]-PROVEEDORES[[#This Row],[FECHA DE FACTURACIÓN]])&gt;PROVEEDORES[[#This Row],[PLAZO Días]],"PAGO VENCIDO")</f>
        <v>0</v>
      </c>
      <c r="C1868" s="20">
        <f>+VLOOKUP(PROVEEDORES[[#This Row],[PROVEEDOR]],TERCEROS_INFO[#All],2,FALSE)</f>
        <v>30</v>
      </c>
      <c r="D1868" s="25">
        <f>+SUMIFS(PROVEEDORES[Total],PROVEEDORES[PROVEEDOR],PROVEEDORES[[#This Row],[PROVEEDOR]],PROVEEDORES[FECHA DE PAGO],"")</f>
        <v>0</v>
      </c>
      <c r="E1868" s="25"/>
      <c r="F1868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868" s="161">
        <v>44495</v>
      </c>
      <c r="H1868" s="26" t="s">
        <v>56</v>
      </c>
      <c r="I1868" s="161">
        <v>44494</v>
      </c>
      <c r="J1868" s="35" t="s">
        <v>507</v>
      </c>
      <c r="K1868" s="21">
        <v>3584000</v>
      </c>
      <c r="L1868" s="21"/>
      <c r="M1868" s="22">
        <f>(PROVEEDORES[[#This Row],[SUBTOTAL]]-PROVEEDORES[[#This Row],[descuento sobre subtotal]])*VLOOKUP(PROVEEDORES[[#This Row],[PROVEEDOR]],TERCEROS_INFO[#All],3,FALSE)</f>
        <v>680960</v>
      </c>
      <c r="N1868" s="23"/>
      <c r="O1868" s="22">
        <f>+PROVEEDORES[[#This Row],[Descuento sobre subtotal %]]*(PROVEEDORES[[#This Row],[SUBTOTAL]]-PROVEEDORES[[#This Row],[descuento sobre subtotal]])</f>
        <v>0</v>
      </c>
      <c r="P1868" s="83">
        <f>+IF(PROVEEDORES[[#This Row],[SUBTOTAL]]&lt;PROVEEDORES[[#This Row],[base retencion]],0,PROVEEDORES[[#This Row],[retención aplicada]])</f>
        <v>0</v>
      </c>
      <c r="Q1868" s="22">
        <f>+PROVEEDORES[[#This Row],[Rete Fuente %]]*(PROVEEDORES[[#This Row],[SUBTOTAL]]-PROVEEDORES[[#This Row],[descuento sobre subtotal]])</f>
        <v>0</v>
      </c>
      <c r="R1868" s="21">
        <f>+PROVEEDORES[[#This Row],[SUBTOTAL]]+PROVEEDORES[[#This Row],[IVA 19%]]-PROVEEDORES[[#This Row],[descuento sobre subtotal]]-PROVEEDORES[[#This Row],[Descuento sobre subtotal $2]]-PROVEEDORES[[#This Row],[Rete Fuente $]]</f>
        <v>4264960</v>
      </c>
      <c r="S18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8" s="68">
        <f ca="1">IF(PROVEEDORES[[#This Row],[FECHA DE PAGO]]=0,TODAY()-PROVEEDORES[[#This Row],[FECHA DE FACTURACIÓN]]-PROVEEDORES[[#This Row],[PLAZO Días]],0)</f>
        <v>0</v>
      </c>
      <c r="U1868" s="96">
        <f>+VLOOKUP(PROVEEDORES[[#This Row],[PROVEEDOR]],Terceros!$A:$D,4,FALSE)</f>
        <v>0</v>
      </c>
      <c r="V1868" s="97">
        <f>+YEAR(PROVEEDORES[[#This Row],[FECHA DE FACTURACIÓN]])</f>
        <v>2021</v>
      </c>
      <c r="W1868" s="97">
        <f>+MATCH(PROVEEDORES[[#This Row],[año facturado]],Retenciones!$1:$1,0)</f>
        <v>4</v>
      </c>
      <c r="X1868" s="98">
        <f>+VLOOKUP(PROVEEDORES[[#This Row],[ID RETENCION]],Retenciones!$A$1:$O$25,PROVEEDORES[[#This Row],[indicador de columna]],FALSE)</f>
        <v>0</v>
      </c>
      <c r="Y1868" s="99">
        <f>+VLOOKUP(PROVEEDORES[[#This Row],[ID RETENCION]],Retenciones!$A$1:$O$25,2,FALSE)</f>
        <v>0</v>
      </c>
      <c r="Z1868" s="125" t="b">
        <f>OR(COUNTIF(PROVEEDORES[[#This Row],[PROVEEDOR]],"*"&amp;'Palabra no opera'!$A$2&amp;"*"))</f>
        <v>0</v>
      </c>
    </row>
    <row r="1869" spans="1:26" ht="22.2" customHeight="1" x14ac:dyDescent="0.3">
      <c r="A1869" s="66" t="str">
        <f>+IF(PROVEEDORES[[#This Row],[FECHA DE PAGO]]=PROVEEDORES[[#This Row],[FECHA DE FACTURACIÓN]],"DE CONTADO","CRÉDITO")</f>
        <v>CRÉDITO</v>
      </c>
      <c r="B1869" s="38" t="str">
        <f>+IF((PROVEEDORES[[#This Row],[FECHA DE PAGO]]-PROVEEDORES[[#This Row],[FECHA DE FACTURACIÓN]])&gt;PROVEEDORES[[#This Row],[PLAZO Días]],"PAGO VENCIDO")</f>
        <v>PAGO VENCIDO</v>
      </c>
      <c r="C1869" s="20">
        <f>+VLOOKUP(PROVEEDORES[[#This Row],[PROVEEDOR]],TERCEROS_INFO[#All],2,FALSE)</f>
        <v>20</v>
      </c>
      <c r="D1869" s="25">
        <f>+SUMIFS(PROVEEDORES[Total],PROVEEDORES[PROVEEDOR],PROVEEDORES[[#This Row],[PROVEEDOR]],PROVEEDORES[FECHA DE PAGO],"")</f>
        <v>0</v>
      </c>
      <c r="E1869" s="25"/>
      <c r="F186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69" s="161">
        <v>44280</v>
      </c>
      <c r="H1869" s="26" t="s">
        <v>942</v>
      </c>
      <c r="I1869" s="161">
        <v>44256</v>
      </c>
      <c r="J1869" s="35">
        <v>38432</v>
      </c>
      <c r="K1869" s="21">
        <v>3706000</v>
      </c>
      <c r="L1869" s="21"/>
      <c r="M1869" s="22">
        <f>(PROVEEDORES[[#This Row],[SUBTOTAL]]-PROVEEDORES[[#This Row],[descuento sobre subtotal]])*VLOOKUP(PROVEEDORES[[#This Row],[PROVEEDOR]],TERCEROS_INFO[#All],3,FALSE)</f>
        <v>704140</v>
      </c>
      <c r="N1869" s="23"/>
      <c r="O1869" s="22">
        <f>+PROVEEDORES[[#This Row],[Descuento sobre subtotal %]]*(PROVEEDORES[[#This Row],[SUBTOTAL]]-PROVEEDORES[[#This Row],[descuento sobre subtotal]])</f>
        <v>0</v>
      </c>
      <c r="P1869" s="83">
        <f>+IF(PROVEEDORES[[#This Row],[SUBTOTAL]]&lt;PROVEEDORES[[#This Row],[base retencion]],0,PROVEEDORES[[#This Row],[retención aplicada]])</f>
        <v>3.5000000000000003E-2</v>
      </c>
      <c r="Q1869" s="22">
        <f>+PROVEEDORES[[#This Row],[Rete Fuente %]]*(PROVEEDORES[[#This Row],[SUBTOTAL]]-PROVEEDORES[[#This Row],[descuento sobre subtotal]])</f>
        <v>129710.00000000001</v>
      </c>
      <c r="R1869" s="21">
        <f>+PROVEEDORES[[#This Row],[SUBTOTAL]]+PROVEEDORES[[#This Row],[IVA 19%]]-PROVEEDORES[[#This Row],[descuento sobre subtotal]]-PROVEEDORES[[#This Row],[Descuento sobre subtotal $2]]-PROVEEDORES[[#This Row],[Rete Fuente $]]</f>
        <v>4280430</v>
      </c>
      <c r="S18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9" s="68">
        <f ca="1">IF(PROVEEDORES[[#This Row],[FECHA DE PAGO]]=0,TODAY()-PROVEEDORES[[#This Row],[FECHA DE FACTURACIÓN]]-PROVEEDORES[[#This Row],[PLAZO Días]],0)</f>
        <v>0</v>
      </c>
      <c r="U1869" s="96" t="str">
        <f>+VLOOKUP(PROVEEDORES[[#This Row],[PROVEEDOR]],Terceros!$A:$D,4,FALSE)</f>
        <v>3,5% sin base</v>
      </c>
      <c r="V1869" s="97">
        <f>+YEAR(PROVEEDORES[[#This Row],[FECHA DE FACTURACIÓN]])</f>
        <v>2021</v>
      </c>
      <c r="W1869" s="97">
        <f>+MATCH(PROVEEDORES[[#This Row],[año facturado]],Retenciones!$1:$1,0)</f>
        <v>4</v>
      </c>
      <c r="X1869" s="98">
        <f>+VLOOKUP(PROVEEDORES[[#This Row],[ID RETENCION]],Retenciones!$A$1:$O$25,PROVEEDORES[[#This Row],[indicador de columna]],FALSE)</f>
        <v>0</v>
      </c>
      <c r="Y1869" s="99">
        <f>+VLOOKUP(PROVEEDORES[[#This Row],[ID RETENCION]],Retenciones!$A$1:$O$25,2,FALSE)</f>
        <v>3.5000000000000003E-2</v>
      </c>
      <c r="Z1869" s="126" t="b">
        <f>OR(COUNTIF(PROVEEDORES[[#This Row],[PROVEEDOR]],"*"&amp;'Palabra no opera'!$A$2&amp;"*"))</f>
        <v>1</v>
      </c>
    </row>
    <row r="1870" spans="1:26" ht="22.2" customHeight="1" x14ac:dyDescent="0.3">
      <c r="A1870" s="66" t="str">
        <f>+IF(PROVEEDORES[[#This Row],[FECHA DE PAGO]]=PROVEEDORES[[#This Row],[FECHA DE FACTURACIÓN]],"DE CONTADO","CRÉDITO")</f>
        <v>CRÉDITO</v>
      </c>
      <c r="B1870" s="38" t="str">
        <f>+IF((PROVEEDORES[[#This Row],[FECHA DE PAGO]]-PROVEEDORES[[#This Row],[FECHA DE FACTURACIÓN]])&gt;PROVEEDORES[[#This Row],[PLAZO Días]],"PAGO VENCIDO")</f>
        <v>PAGO VENCIDO</v>
      </c>
      <c r="C1870" s="20">
        <f>+VLOOKUP(PROVEEDORES[[#This Row],[PROVEEDOR]],TERCEROS_INFO[#All],2,FALSE)</f>
        <v>30</v>
      </c>
      <c r="D1870" s="25">
        <f>+SUMIFS(PROVEEDORES[Total],PROVEEDORES[PROVEEDOR],PROVEEDORES[[#This Row],[PROVEEDOR]],PROVEEDORES[FECHA DE PAGO],"")</f>
        <v>5272763.2050000001</v>
      </c>
      <c r="E1870" s="25"/>
      <c r="F187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70" s="161">
        <v>44652</v>
      </c>
      <c r="H1870" s="26" t="s">
        <v>11</v>
      </c>
      <c r="I1870" s="161">
        <v>44602</v>
      </c>
      <c r="J1870" s="35" t="s">
        <v>771</v>
      </c>
      <c r="K1870" s="21">
        <v>3674790</v>
      </c>
      <c r="L1870" s="21"/>
      <c r="M1870" s="22">
        <v>698210.1</v>
      </c>
      <c r="N1870" s="23"/>
      <c r="O1870" s="22">
        <f>+PROVEEDORES[[#This Row],[Descuento sobre subtotal %]]*(PROVEEDORES[[#This Row],[SUBTOTAL]]-PROVEEDORES[[#This Row],[descuento sobre subtotal]])</f>
        <v>0</v>
      </c>
      <c r="P1870" s="83">
        <f>+IF(PROVEEDORES[[#This Row],[SUBTOTAL]]&lt;PROVEEDORES[[#This Row],[base retencion]],0,PROVEEDORES[[#This Row],[retención aplicada]])</f>
        <v>2.5000000000000001E-2</v>
      </c>
      <c r="Q1870" s="22">
        <f>+PROVEEDORES[[#This Row],[Rete Fuente %]]*(PROVEEDORES[[#This Row],[SUBTOTAL]]-PROVEEDORES[[#This Row],[descuento sobre subtotal]])</f>
        <v>91869.75</v>
      </c>
      <c r="R1870" s="21">
        <v>4281130.3499999996</v>
      </c>
      <c r="S18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0" s="68">
        <f ca="1">IF(PROVEEDORES[[#This Row],[FECHA DE PAGO]]=0,TODAY()-PROVEEDORES[[#This Row],[FECHA DE FACTURACIÓN]]-PROVEEDORES[[#This Row],[PLAZO Días]],0)</f>
        <v>0</v>
      </c>
      <c r="U1870" s="96" t="str">
        <f>+VLOOKUP(PROVEEDORES[[#This Row],[PROVEEDOR]],Terceros!$A:$D,4,FALSE)</f>
        <v>2,5% con base</v>
      </c>
      <c r="V1870" s="97">
        <f>+YEAR(PROVEEDORES[[#This Row],[FECHA DE FACTURACIÓN]])</f>
        <v>2022</v>
      </c>
      <c r="W1870" s="97">
        <f>+MATCH(PROVEEDORES[[#This Row],[año facturado]],Retenciones!$1:$1,0)</f>
        <v>5</v>
      </c>
      <c r="X1870" s="98">
        <f>+VLOOKUP(PROVEEDORES[[#This Row],[ID RETENCION]],Retenciones!$A$1:$O$25,PROVEEDORES[[#This Row],[indicador de columna]],FALSE)</f>
        <v>1026000</v>
      </c>
      <c r="Y1870" s="99">
        <f>+VLOOKUP(PROVEEDORES[[#This Row],[ID RETENCION]],Retenciones!$A$1:$O$25,2,FALSE)</f>
        <v>2.5000000000000001E-2</v>
      </c>
      <c r="Z1870" s="127" t="b">
        <f>OR(COUNTIF(PROVEEDORES[[#This Row],[PROVEEDOR]],"*"&amp;'Palabra no opera'!$A$2&amp;"*"))</f>
        <v>0</v>
      </c>
    </row>
    <row r="1871" spans="1:26" ht="22.2" customHeight="1" x14ac:dyDescent="0.3">
      <c r="A1871" s="207" t="str">
        <f>+IF(PROVEEDORES[[#This Row],[FECHA DE PAGO]]=PROVEEDORES[[#This Row],[FECHA DE FACTURACIÓN]],"DE CONTADO","CRÉDITO")</f>
        <v>CRÉDITO</v>
      </c>
      <c r="B1871" s="38" t="b">
        <f>+IF((PROVEEDORES[[#This Row],[FECHA DE PAGO]]-PROVEEDORES[[#This Row],[FECHA DE FACTURACIÓN]])&gt;PROVEEDORES[[#This Row],[PLAZO Días]],"PAGO VENCIDO")</f>
        <v>0</v>
      </c>
      <c r="C1871" s="20">
        <f>+VLOOKUP(PROVEEDORES[[#This Row],[PROVEEDOR]],TERCEROS_INFO[#All],2,FALSE)</f>
        <v>30</v>
      </c>
      <c r="D1871" s="25">
        <f>+SUMIFS(PROVEEDORES[Total],PROVEEDORES[PROVEEDOR],PROVEEDORES[[#This Row],[PROVEEDOR]],PROVEEDORES[FECHA DE PAGO],"")</f>
        <v>0</v>
      </c>
      <c r="E1871" s="25"/>
      <c r="F1871" s="58" t="str">
        <f>+VLOOKUP(PROVEEDORES[[#This Row],[PROVEEDOR]],
                       Terceros!$A:$F,
                       5,
                       FALSE)</f>
        <v/>
      </c>
      <c r="G1871" s="161">
        <v>44792</v>
      </c>
      <c r="H1871" s="26" t="s">
        <v>638</v>
      </c>
      <c r="I1871" s="161">
        <v>44785</v>
      </c>
      <c r="J1871" s="35" t="s">
        <v>1424</v>
      </c>
      <c r="K1871" s="21">
        <v>4294000</v>
      </c>
      <c r="L1871" s="21"/>
      <c r="M1871" s="22">
        <f>(PROVEEDORES[[#This Row],[SUBTOTAL]]-PROVEEDORES[[#This Row],[descuento sobre subtotal]])*VLOOKUP(PROVEEDORES[[#This Row],[PROVEEDOR]],TERCEROS_INFO[#All],3,FALSE)</f>
        <v>0</v>
      </c>
      <c r="N1871" s="23"/>
      <c r="O1871" s="22">
        <f>+PROVEEDORES[[#This Row],[Descuento sobre subtotal %]]*(PROVEEDORES[[#This Row],[SUBTOTAL]]-PROVEEDORES[[#This Row],[descuento sobre subtotal]])</f>
        <v>0</v>
      </c>
      <c r="P1871" s="83">
        <f>+IF(PROVEEDORES[[#This Row],[SUBTOTAL]]&lt;PROVEEDORES[[#This Row],[base retencion]],0,PROVEEDORES[[#This Row],[retención aplicada]])</f>
        <v>0</v>
      </c>
      <c r="Q1871" s="22">
        <f>+PROVEEDORES[[#This Row],[Rete Fuente %]]*(PROVEEDORES[[#This Row],[SUBTOTAL]]-PROVEEDORES[[#This Row],[descuento sobre subtotal]])</f>
        <v>0</v>
      </c>
      <c r="R1871" s="21">
        <f>+PROVEEDORES[[#This Row],[SUBTOTAL]]+PROVEEDORES[[#This Row],[IVA 19%]]-PROVEEDORES[[#This Row],[descuento sobre subtotal]]-PROVEEDORES[[#This Row],[Descuento sobre subtotal $2]]-PROVEEDORES[[#This Row],[Rete Fuente $]]</f>
        <v>4294000</v>
      </c>
      <c r="S1871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1" s="68">
        <f ca="1">IF(PROVEEDORES[[#This Row],[FECHA DE PAGO]]=0,TODAY()-PROVEEDORES[[#This Row],[FECHA DE FACTURACIÓN]]-PROVEEDORES[[#This Row],[PLAZO Días]],0)</f>
        <v>0</v>
      </c>
      <c r="U1871" s="113">
        <f>+VLOOKUP(PROVEEDORES[[#This Row],[PROVEEDOR]],Terceros!$A:$D,4,FALSE)</f>
        <v>0</v>
      </c>
      <c r="V1871" s="114">
        <f>+YEAR(PROVEEDORES[[#This Row],[FECHA DE FACTURACIÓN]])</f>
        <v>2022</v>
      </c>
      <c r="W1871" s="114">
        <f>+MATCH(PROVEEDORES[[#This Row],[año facturado]],Retenciones!$1:$1,0)</f>
        <v>5</v>
      </c>
      <c r="X1871" s="115">
        <f>+VLOOKUP(PROVEEDORES[[#This Row],[ID RETENCION]],Retenciones!$A$1:$O$25,PROVEEDORES[[#This Row],[indicador de columna]],FALSE)</f>
        <v>0</v>
      </c>
      <c r="Y1871" s="116">
        <f>+VLOOKUP(PROVEEDORES[[#This Row],[ID RETENCION]],Retenciones!$A$1:$O$25,2,FALSE)</f>
        <v>0</v>
      </c>
      <c r="Z1871" s="125" t="b">
        <f>OR(COUNTIF(PROVEEDORES[[#This Row],[PROVEEDOR]],"*"&amp;'Palabra no opera'!$A$2&amp;"*"))</f>
        <v>0</v>
      </c>
    </row>
    <row r="1872" spans="1:26" ht="22.2" customHeight="1" x14ac:dyDescent="0.3">
      <c r="A1872" s="66" t="str">
        <f>+IF(PROVEEDORES[[#This Row],[FECHA DE PAGO]]=PROVEEDORES[[#This Row],[FECHA DE FACTURACIÓN]],"DE CONTADO","CRÉDITO")</f>
        <v>CRÉDITO</v>
      </c>
      <c r="B1872" s="38" t="str">
        <f>+IF((PROVEEDORES[[#This Row],[FECHA DE PAGO]]-PROVEEDORES[[#This Row],[FECHA DE FACTURACIÓN]])&gt;PROVEEDORES[[#This Row],[PLAZO Días]],"PAGO VENCIDO")</f>
        <v>PAGO VENCIDO</v>
      </c>
      <c r="C1872" s="20">
        <f>+VLOOKUP(PROVEEDORES[[#This Row],[PROVEEDOR]],TERCEROS_INFO[#All],2,FALSE)</f>
        <v>30</v>
      </c>
      <c r="D1872" s="25">
        <f>+SUMIFS(PROVEEDORES[Total],PROVEEDORES[PROVEEDOR],PROVEEDORES[[#This Row],[PROVEEDOR]],PROVEEDORES[FECHA DE PAGO],"")</f>
        <v>3215000</v>
      </c>
      <c r="E1872" s="25"/>
      <c r="F1872" s="58" t="str">
        <f>+VLOOKUP(PROVEEDORES[[#This Row],[PROVEEDOR]],
                       Terceros!$A:$F,
                       5,
                       FALSE)</f>
        <v/>
      </c>
      <c r="G1872" s="161">
        <v>44586</v>
      </c>
      <c r="H1872" s="26" t="s">
        <v>671</v>
      </c>
      <c r="I1872" s="161">
        <v>44552</v>
      </c>
      <c r="J1872" s="35" t="s">
        <v>1367</v>
      </c>
      <c r="K1872" s="21">
        <v>4310000</v>
      </c>
      <c r="L1872" s="21"/>
      <c r="M1872" s="22">
        <v>0</v>
      </c>
      <c r="N1872" s="23"/>
      <c r="O1872" s="22">
        <v>0</v>
      </c>
      <c r="P1872" s="83">
        <f>+IF(PROVEEDORES[[#This Row],[SUBTOTAL]]&lt;PROVEEDORES[[#This Row],[base retencion]],0,PROVEEDORES[[#This Row],[retención aplicada]])</f>
        <v>0</v>
      </c>
      <c r="Q1872" s="22">
        <f>+PROVEEDORES[[#This Row],[Rete Fuente %]]*(PROVEEDORES[[#This Row],[SUBTOTAL]]-PROVEEDORES[[#This Row],[descuento sobre subtotal]])</f>
        <v>0</v>
      </c>
      <c r="R1872" s="21">
        <v>4310000</v>
      </c>
      <c r="S18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2" s="68">
        <f ca="1">IF(PROVEEDORES[[#This Row],[FECHA DE PAGO]]=0,TODAY()-PROVEEDORES[[#This Row],[FECHA DE FACTURACIÓN]]-PROVEEDORES[[#This Row],[PLAZO Días]],0)</f>
        <v>0</v>
      </c>
      <c r="U1872" s="96">
        <f>+VLOOKUP(PROVEEDORES[[#This Row],[PROVEEDOR]],Terceros!$A:$D,4,FALSE)</f>
        <v>0</v>
      </c>
      <c r="V1872" s="97">
        <f>+YEAR(PROVEEDORES[[#This Row],[FECHA DE FACTURACIÓN]])</f>
        <v>2021</v>
      </c>
      <c r="W1872" s="97">
        <f>+MATCH(PROVEEDORES[[#This Row],[año facturado]],Retenciones!$1:$1,0)</f>
        <v>4</v>
      </c>
      <c r="X1872" s="98">
        <f>+VLOOKUP(PROVEEDORES[[#This Row],[ID RETENCION]],Retenciones!$A$1:$O$25,PROVEEDORES[[#This Row],[indicador de columna]],FALSE)</f>
        <v>0</v>
      </c>
      <c r="Y1872" s="99">
        <f>+VLOOKUP(PROVEEDORES[[#This Row],[ID RETENCION]],Retenciones!$A$1:$O$25,2,FALSE)</f>
        <v>0</v>
      </c>
      <c r="Z1872" s="125" t="b">
        <f>OR(COUNTIF(PROVEEDORES[[#This Row],[PROVEEDOR]],"*"&amp;'Palabra no opera'!$A$2&amp;"*"))</f>
        <v>0</v>
      </c>
    </row>
    <row r="1873" spans="1:26" ht="22.2" customHeight="1" x14ac:dyDescent="0.3">
      <c r="A1873" s="66" t="str">
        <f>+IF(PROVEEDORES[[#This Row],[FECHA DE PAGO]]=PROVEEDORES[[#This Row],[FECHA DE FACTURACIÓN]],"DE CONTADO","CRÉDITO")</f>
        <v>CRÉDITO</v>
      </c>
      <c r="B1873" s="38" t="str">
        <f>+IF((PROVEEDORES[[#This Row],[FECHA DE PAGO]]-PROVEEDORES[[#This Row],[FECHA DE FACTURACIÓN]])&gt;PROVEEDORES[[#This Row],[PLAZO Días]],"PAGO VENCIDO")</f>
        <v>PAGO VENCIDO</v>
      </c>
      <c r="C1873" s="20">
        <f>+VLOOKUP(PROVEEDORES[[#This Row],[PROVEEDOR]],TERCEROS_INFO[#All],2,FALSE)</f>
        <v>30</v>
      </c>
      <c r="D1873" s="25">
        <f>+SUMIFS(PROVEEDORES[Total],PROVEEDORES[PROVEEDOR],PROVEEDORES[[#This Row],[PROVEEDOR]],PROVEEDORES[FECHA DE PAGO],"")</f>
        <v>0</v>
      </c>
      <c r="E1873" s="25"/>
      <c r="F187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873" s="161">
        <v>44414</v>
      </c>
      <c r="H1873" s="26" t="s">
        <v>670</v>
      </c>
      <c r="I1873" s="161">
        <v>44365</v>
      </c>
      <c r="J1873" s="35" t="s">
        <v>1461</v>
      </c>
      <c r="K1873" s="21">
        <v>4333600</v>
      </c>
      <c r="L1873" s="21"/>
      <c r="M1873" s="22">
        <f>(PROVEEDORES[[#This Row],[SUBTOTAL]]-PROVEEDORES[[#This Row],[descuento sobre subtotal]])*VLOOKUP(PROVEEDORES[[#This Row],[PROVEEDOR]],TERCEROS_INFO[#All],3,FALSE)</f>
        <v>0</v>
      </c>
      <c r="N1873" s="23"/>
      <c r="O1873" s="22">
        <f>+PROVEEDORES[[#This Row],[Descuento sobre subtotal %]]*(PROVEEDORES[[#This Row],[SUBTOTAL]]-PROVEEDORES[[#This Row],[descuento sobre subtotal]])</f>
        <v>0</v>
      </c>
      <c r="P1873" s="83">
        <f>+IF(PROVEEDORES[[#This Row],[SUBTOTAL]]&lt;PROVEEDORES[[#This Row],[base retencion]],0,PROVEEDORES[[#This Row],[retención aplicada]])</f>
        <v>0</v>
      </c>
      <c r="Q1873" s="22">
        <f>+PROVEEDORES[[#This Row],[Rete Fuente %]]*(PROVEEDORES[[#This Row],[SUBTOTAL]]-PROVEEDORES[[#This Row],[descuento sobre subtotal]])</f>
        <v>0</v>
      </c>
      <c r="R1873" s="21">
        <f>+PROVEEDORES[[#This Row],[SUBTOTAL]]+PROVEEDORES[[#This Row],[IVA 19%]]-PROVEEDORES[[#This Row],[descuento sobre subtotal]]-PROVEEDORES[[#This Row],[Descuento sobre subtotal $2]]-PROVEEDORES[[#This Row],[Rete Fuente $]]</f>
        <v>4333600</v>
      </c>
      <c r="S187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3" s="68">
        <f ca="1">IF(PROVEEDORES[[#This Row],[FECHA DE PAGO]]=0,TODAY()-PROVEEDORES[[#This Row],[FECHA DE FACTURACIÓN]]-PROVEEDORES[[#This Row],[PLAZO Días]],0)</f>
        <v>0</v>
      </c>
      <c r="U1873" s="96">
        <f>+VLOOKUP(PROVEEDORES[[#This Row],[PROVEEDOR]],Terceros!$A:$D,4,FALSE)</f>
        <v>0</v>
      </c>
      <c r="V1873" s="97">
        <f>+YEAR(PROVEEDORES[[#This Row],[FECHA DE FACTURACIÓN]])</f>
        <v>2021</v>
      </c>
      <c r="W1873" s="97">
        <f>+MATCH(PROVEEDORES[[#This Row],[año facturado]],Retenciones!$1:$1,0)</f>
        <v>4</v>
      </c>
      <c r="X1873" s="98">
        <f>+VLOOKUP(PROVEEDORES[[#This Row],[ID RETENCION]],Retenciones!$A$1:$O$25,PROVEEDORES[[#This Row],[indicador de columna]],FALSE)</f>
        <v>0</v>
      </c>
      <c r="Y1873" s="99">
        <f>+VLOOKUP(PROVEEDORES[[#This Row],[ID RETENCION]],Retenciones!$A$1:$O$25,2,FALSE)</f>
        <v>0</v>
      </c>
      <c r="Z1873" s="125" t="b">
        <f>OR(COUNTIF(PROVEEDORES[[#This Row],[PROVEEDOR]],"*"&amp;'Palabra no opera'!$A$2&amp;"*"))</f>
        <v>0</v>
      </c>
    </row>
    <row r="1874" spans="1:26" ht="22.2" customHeight="1" x14ac:dyDescent="0.3">
      <c r="A1874" s="66" t="str">
        <f>+IF(PROVEEDORES[[#This Row],[FECHA DE PAGO]]=PROVEEDORES[[#This Row],[FECHA DE FACTURACIÓN]],"DE CONTADO","CRÉDITO")</f>
        <v>CRÉDITO</v>
      </c>
      <c r="B1874" s="38" t="b">
        <f>+IF((PROVEEDORES[[#This Row],[FECHA DE PAGO]]-PROVEEDORES[[#This Row],[FECHA DE FACTURACIÓN]])&gt;PROVEEDORES[[#This Row],[PLAZO Días]],"PAGO VENCIDO")</f>
        <v>0</v>
      </c>
      <c r="C1874" s="20">
        <f>+VLOOKUP(PROVEEDORES[[#This Row],[PROVEEDOR]],TERCEROS_INFO[#All],2,FALSE)</f>
        <v>30</v>
      </c>
      <c r="D1874" s="25">
        <f>+SUMIFS(PROVEEDORES[Total],PROVEEDORES[PROVEEDOR],PROVEEDORES[[#This Row],[PROVEEDOR]],PROVEEDORES[FECHA DE PAGO],"")</f>
        <v>0</v>
      </c>
      <c r="E1874" s="25"/>
      <c r="F187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74" s="161">
        <v>44617</v>
      </c>
      <c r="H1874" s="26" t="s">
        <v>913</v>
      </c>
      <c r="I1874" s="161">
        <v>44593</v>
      </c>
      <c r="J1874" s="35" t="s">
        <v>716</v>
      </c>
      <c r="K1874" s="21">
        <v>3642787</v>
      </c>
      <c r="L1874" s="21"/>
      <c r="M1874" s="22">
        <v>692129.53</v>
      </c>
      <c r="N1874" s="23"/>
      <c r="O1874" s="22">
        <v>0</v>
      </c>
      <c r="P1874" s="83">
        <f>+IF(PROVEEDORES[[#This Row],[SUBTOTAL]]&lt;PROVEEDORES[[#This Row],[base retencion]],0,PROVEEDORES[[#This Row],[retención aplicada]])</f>
        <v>0</v>
      </c>
      <c r="Q1874" s="22">
        <f>+PROVEEDORES[[#This Row],[Rete Fuente %]]*(PROVEEDORES[[#This Row],[SUBTOTAL]]-PROVEEDORES[[#This Row],[descuento sobre subtotal]])</f>
        <v>0</v>
      </c>
      <c r="R1874" s="21">
        <v>4334916.53</v>
      </c>
      <c r="S18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4" s="68">
        <f ca="1">IF(PROVEEDORES[[#This Row],[FECHA DE PAGO]]=0,TODAY()-PROVEEDORES[[#This Row],[FECHA DE FACTURACIÓN]]-PROVEEDORES[[#This Row],[PLAZO Días]],0)</f>
        <v>0</v>
      </c>
      <c r="U1874" s="96">
        <f>+VLOOKUP(PROVEEDORES[[#This Row],[PROVEEDOR]],Terceros!$A:$D,4,FALSE)</f>
        <v>0</v>
      </c>
      <c r="V1874" s="97">
        <f>+YEAR(PROVEEDORES[[#This Row],[FECHA DE FACTURACIÓN]])</f>
        <v>2022</v>
      </c>
      <c r="W1874" s="97">
        <f>+MATCH(PROVEEDORES[[#This Row],[año facturado]],Retenciones!$1:$1,0)</f>
        <v>5</v>
      </c>
      <c r="X1874" s="98">
        <f>+VLOOKUP(PROVEEDORES[[#This Row],[ID RETENCION]],Retenciones!$A$1:$O$25,PROVEEDORES[[#This Row],[indicador de columna]],FALSE)</f>
        <v>0</v>
      </c>
      <c r="Y1874" s="99">
        <f>+VLOOKUP(PROVEEDORES[[#This Row],[ID RETENCION]],Retenciones!$A$1:$O$25,2,FALSE)</f>
        <v>0</v>
      </c>
      <c r="Z1874" s="125" t="b">
        <f>OR(COUNTIF(PROVEEDORES[[#This Row],[PROVEEDOR]],"*"&amp;'Palabra no opera'!$A$2&amp;"*"))</f>
        <v>1</v>
      </c>
    </row>
    <row r="1875" spans="1:26" ht="22.2" customHeight="1" x14ac:dyDescent="0.3">
      <c r="A1875" s="66" t="str">
        <f>+IF(PROVEEDORES[[#This Row],[FECHA DE PAGO]]=PROVEEDORES[[#This Row],[FECHA DE FACTURACIÓN]],"DE CONTADO","CRÉDITO")</f>
        <v>CRÉDITO</v>
      </c>
      <c r="B1875" s="38" t="str">
        <f>+IF((PROVEEDORES[[#This Row],[FECHA DE PAGO]]-PROVEEDORES[[#This Row],[FECHA DE FACTURACIÓN]])&gt;PROVEEDORES[[#This Row],[PLAZO Días]],"PAGO VENCIDO")</f>
        <v>PAGO VENCIDO</v>
      </c>
      <c r="C1875" s="20">
        <f>+VLOOKUP(PROVEEDORES[[#This Row],[PROVEEDOR]],TERCEROS_INFO[#All],2,FALSE)</f>
        <v>30</v>
      </c>
      <c r="D1875" s="25">
        <f>+SUMIFS(PROVEEDORES[Total],PROVEEDORES[PROVEEDOR],PROVEEDORES[[#This Row],[PROVEEDOR]],PROVEEDORES[FECHA DE PAGO],"")</f>
        <v>3430770</v>
      </c>
      <c r="E1875" s="25"/>
      <c r="F187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75" s="161">
        <v>44510</v>
      </c>
      <c r="H1875" s="26" t="s">
        <v>1448</v>
      </c>
      <c r="I1875" s="161">
        <v>44471</v>
      </c>
      <c r="J1875" s="35">
        <v>22921</v>
      </c>
      <c r="K1875" s="21">
        <v>3732000</v>
      </c>
      <c r="L1875" s="21"/>
      <c r="M1875" s="22">
        <f>(PROVEEDORES[[#This Row],[SUBTOTAL]]-PROVEEDORES[[#This Row],[descuento sobre subtotal]])*VLOOKUP(PROVEEDORES[[#This Row],[PROVEEDOR]],TERCEROS_INFO[#All],3,FALSE)</f>
        <v>709080</v>
      </c>
      <c r="N1875" s="23"/>
      <c r="O1875" s="22">
        <f>+PROVEEDORES[[#This Row],[Descuento sobre subtotal %]]*(PROVEEDORES[[#This Row],[SUBTOTAL]]-PROVEEDORES[[#This Row],[descuento sobre subtotal]])</f>
        <v>0</v>
      </c>
      <c r="P1875" s="83">
        <v>2.5000000000000001E-2</v>
      </c>
      <c r="Q1875" s="22">
        <f>+PROVEEDORES[[#This Row],[Rete Fuente %]]*(PROVEEDORES[[#This Row],[SUBTOTAL]]-PROVEEDORES[[#This Row],[descuento sobre subtotal]])</f>
        <v>93300</v>
      </c>
      <c r="R1875" s="21">
        <f>+PROVEEDORES[[#This Row],[SUBTOTAL]]+PROVEEDORES[[#This Row],[IVA 19%]]-PROVEEDORES[[#This Row],[descuento sobre subtotal]]-PROVEEDORES[[#This Row],[Descuento sobre subtotal $2]]-PROVEEDORES[[#This Row],[Rete Fuente $]]</f>
        <v>4347780</v>
      </c>
      <c r="S18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5" s="68">
        <f ca="1">IF(PROVEEDORES[[#This Row],[FECHA DE PAGO]]=0,TODAY()-PROVEEDORES[[#This Row],[FECHA DE FACTURACIÓN]]-PROVEEDORES[[#This Row],[PLAZO Días]],0)</f>
        <v>0</v>
      </c>
      <c r="U1875" s="96">
        <f>+VLOOKUP(PROVEEDORES[[#This Row],[PROVEEDOR]],Terceros!$A:$D,4,FALSE)</f>
        <v>0</v>
      </c>
      <c r="V1875" s="97">
        <f>+YEAR(PROVEEDORES[[#This Row],[FECHA DE FACTURACIÓN]])</f>
        <v>2021</v>
      </c>
      <c r="W1875" s="97">
        <f>+MATCH(PROVEEDORES[[#This Row],[año facturado]],Retenciones!$1:$1,0)</f>
        <v>4</v>
      </c>
      <c r="X1875" s="98">
        <f>+VLOOKUP(PROVEEDORES[[#This Row],[ID RETENCION]],Retenciones!$A$1:$O$25,PROVEEDORES[[#This Row],[indicador de columna]],FALSE)</f>
        <v>0</v>
      </c>
      <c r="Y1875" s="99">
        <f>+VLOOKUP(PROVEEDORES[[#This Row],[ID RETENCION]],Retenciones!$A$1:$O$25,2,FALSE)</f>
        <v>0</v>
      </c>
      <c r="Z1875" s="125" t="b">
        <f>OR(COUNTIF(PROVEEDORES[[#This Row],[PROVEEDOR]],"*"&amp;'Palabra no opera'!$A$2&amp;"*"))</f>
        <v>0</v>
      </c>
    </row>
    <row r="1876" spans="1:26" ht="22.2" customHeight="1" x14ac:dyDescent="0.3">
      <c r="A1876" s="66" t="str">
        <f>+IF(PROVEEDORES[[#This Row],[FECHA DE PAGO]]=PROVEEDORES[[#This Row],[FECHA DE FACTURACIÓN]],"DE CONTADO","CRÉDITO")</f>
        <v>CRÉDITO</v>
      </c>
      <c r="B1876" s="38" t="str">
        <f>+IF((PROVEEDORES[[#This Row],[FECHA DE PAGO]]-PROVEEDORES[[#This Row],[FECHA DE FACTURACIÓN]])&gt;PROVEEDORES[[#This Row],[PLAZO Días]],"PAGO VENCIDO")</f>
        <v>PAGO VENCIDO</v>
      </c>
      <c r="C1876" s="20">
        <f>+VLOOKUP(PROVEEDORES[[#This Row],[PROVEEDOR]],TERCEROS_INFO[#All],2,FALSE)</f>
        <v>20</v>
      </c>
      <c r="D1876" s="25">
        <f>+SUMIFS(PROVEEDORES[Total],PROVEEDORES[PROVEEDOR],PROVEEDORES[[#This Row],[PROVEEDOR]],PROVEEDORES[FECHA DE PAGO],"")</f>
        <v>0</v>
      </c>
      <c r="E1876" s="25"/>
      <c r="F187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76" s="161">
        <v>44369</v>
      </c>
      <c r="H1876" s="26" t="s">
        <v>942</v>
      </c>
      <c r="I1876" s="161">
        <v>44348</v>
      </c>
      <c r="J1876" s="35">
        <v>39353</v>
      </c>
      <c r="K1876" s="21">
        <v>3765500</v>
      </c>
      <c r="L1876" s="21"/>
      <c r="M1876" s="22">
        <f>(PROVEEDORES[[#This Row],[SUBTOTAL]]-PROVEEDORES[[#This Row],[descuento sobre subtotal]])*VLOOKUP(PROVEEDORES[[#This Row],[PROVEEDOR]],TERCEROS_INFO[#All],3,FALSE)</f>
        <v>715445</v>
      </c>
      <c r="N1876" s="23"/>
      <c r="O1876" s="22">
        <f>+PROVEEDORES[[#This Row],[Descuento sobre subtotal %]]*(PROVEEDORES[[#This Row],[SUBTOTAL]]-PROVEEDORES[[#This Row],[descuento sobre subtotal]])</f>
        <v>0</v>
      </c>
      <c r="P1876" s="83">
        <f>+IF(PROVEEDORES[[#This Row],[SUBTOTAL]]&lt;PROVEEDORES[[#This Row],[base retencion]],0,PROVEEDORES[[#This Row],[retención aplicada]])</f>
        <v>3.5000000000000003E-2</v>
      </c>
      <c r="Q1876" s="22">
        <f>+PROVEEDORES[[#This Row],[Rete Fuente %]]*(PROVEEDORES[[#This Row],[SUBTOTAL]]-PROVEEDORES[[#This Row],[descuento sobre subtotal]])</f>
        <v>131792.5</v>
      </c>
      <c r="R1876" s="21">
        <f>+PROVEEDORES[[#This Row],[SUBTOTAL]]+PROVEEDORES[[#This Row],[IVA 19%]]-PROVEEDORES[[#This Row],[descuento sobre subtotal]]-PROVEEDORES[[#This Row],[Descuento sobre subtotal $2]]-PROVEEDORES[[#This Row],[Rete Fuente $]]</f>
        <v>4349152.5</v>
      </c>
      <c r="S18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6" s="68">
        <f ca="1">IF(PROVEEDORES[[#This Row],[FECHA DE PAGO]]=0,TODAY()-PROVEEDORES[[#This Row],[FECHA DE FACTURACIÓN]]-PROVEEDORES[[#This Row],[PLAZO Días]],0)</f>
        <v>0</v>
      </c>
      <c r="U1876" s="96" t="str">
        <f>+VLOOKUP(PROVEEDORES[[#This Row],[PROVEEDOR]],Terceros!$A:$D,4,FALSE)</f>
        <v>3,5% sin base</v>
      </c>
      <c r="V1876" s="97">
        <f>+YEAR(PROVEEDORES[[#This Row],[FECHA DE FACTURACIÓN]])</f>
        <v>2021</v>
      </c>
      <c r="W1876" s="97">
        <f>+MATCH(PROVEEDORES[[#This Row],[año facturado]],Retenciones!$1:$1,0)</f>
        <v>4</v>
      </c>
      <c r="X1876" s="98">
        <f>+VLOOKUP(PROVEEDORES[[#This Row],[ID RETENCION]],Retenciones!$A$1:$O$25,PROVEEDORES[[#This Row],[indicador de columna]],FALSE)</f>
        <v>0</v>
      </c>
      <c r="Y1876" s="99">
        <f>+VLOOKUP(PROVEEDORES[[#This Row],[ID RETENCION]],Retenciones!$A$1:$O$25,2,FALSE)</f>
        <v>3.5000000000000003E-2</v>
      </c>
      <c r="Z1876" s="126" t="b">
        <f>OR(COUNTIF(PROVEEDORES[[#This Row],[PROVEEDOR]],"*"&amp;'Palabra no opera'!$A$2&amp;"*"))</f>
        <v>1</v>
      </c>
    </row>
    <row r="1877" spans="1:26" ht="22.2" customHeight="1" x14ac:dyDescent="0.3">
      <c r="A1877" s="135" t="str">
        <f>+IF(PROVEEDORES[[#This Row],[FECHA DE PAGO]]=PROVEEDORES[[#This Row],[FECHA DE FACTURACIÓN]],"DE CONTADO","CRÉDITO")</f>
        <v>CRÉDITO</v>
      </c>
      <c r="B1877" s="38" t="str">
        <f>+IF((PROVEEDORES[[#This Row],[FECHA DE PAGO]]-PROVEEDORES[[#This Row],[FECHA DE FACTURACIÓN]])&gt;PROVEEDORES[[#This Row],[PLAZO Días]],"PAGO VENCIDO")</f>
        <v>PAGO VENCIDO</v>
      </c>
      <c r="C1877" s="20">
        <f>+VLOOKUP(PROVEEDORES[[#This Row],[PROVEEDOR]],TERCEROS_INFO[#All],2,FALSE)</f>
        <v>30</v>
      </c>
      <c r="D1877" s="25">
        <f>+SUMIFS(PROVEEDORES[Total],PROVEEDORES[PROVEEDOR],PROVEEDORES[[#This Row],[PROVEEDOR]],PROVEEDORES[FECHA DE PAGO],"")</f>
        <v>3430770</v>
      </c>
      <c r="E1877" s="25"/>
      <c r="F187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77" s="161">
        <v>44726</v>
      </c>
      <c r="H1877" s="26" t="s">
        <v>1448</v>
      </c>
      <c r="I1877" s="161">
        <v>44687</v>
      </c>
      <c r="J1877" s="35">
        <v>30402</v>
      </c>
      <c r="K1877" s="21">
        <v>3744000</v>
      </c>
      <c r="L1877" s="21"/>
      <c r="M1877" s="22">
        <f>(PROVEEDORES[[#This Row],[SUBTOTAL]]-PROVEEDORES[[#This Row],[descuento sobre subtotal]])*VLOOKUP(PROVEEDORES[[#This Row],[PROVEEDOR]],TERCEROS_INFO[#All],3,FALSE)</f>
        <v>711360</v>
      </c>
      <c r="N1877" s="23"/>
      <c r="O1877" s="22">
        <f>+PROVEEDORES[[#This Row],[Descuento sobre subtotal %]]*(PROVEEDORES[[#This Row],[SUBTOTAL]]-PROVEEDORES[[#This Row],[descuento sobre subtotal]])</f>
        <v>0</v>
      </c>
      <c r="P1877" s="83">
        <v>2.5000000000000001E-2</v>
      </c>
      <c r="Q1877" s="22">
        <f>+PROVEEDORES[[#This Row],[Rete Fuente %]]*(PROVEEDORES[[#This Row],[SUBTOTAL]]-PROVEEDORES[[#This Row],[descuento sobre subtotal]])</f>
        <v>93600</v>
      </c>
      <c r="R1877" s="21">
        <f>+PROVEEDORES[[#This Row],[SUBTOTAL]]+PROVEEDORES[[#This Row],[IVA 19%]]-PROVEEDORES[[#This Row],[descuento sobre subtotal]]-PROVEEDORES[[#This Row],[Descuento sobre subtotal $2]]-PROVEEDORES[[#This Row],[Rete Fuente $]]</f>
        <v>4361760</v>
      </c>
      <c r="S1877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7" s="68">
        <f ca="1">IF(PROVEEDORES[[#This Row],[FECHA DE PAGO]]=0,TODAY()-PROVEEDORES[[#This Row],[FECHA DE FACTURACIÓN]]-PROVEEDORES[[#This Row],[PLAZO Días]],0)</f>
        <v>0</v>
      </c>
      <c r="U1877" s="113">
        <f>+VLOOKUP(PROVEEDORES[[#This Row],[PROVEEDOR]],Terceros!$A:$D,4,FALSE)</f>
        <v>0</v>
      </c>
      <c r="V1877" s="114">
        <f>+YEAR(PROVEEDORES[[#This Row],[FECHA DE FACTURACIÓN]])</f>
        <v>2022</v>
      </c>
      <c r="W1877" s="114">
        <f>+MATCH(PROVEEDORES[[#This Row],[año facturado]],Retenciones!$1:$1,0)</f>
        <v>5</v>
      </c>
      <c r="X1877" s="115">
        <f>+VLOOKUP(PROVEEDORES[[#This Row],[ID RETENCION]],Retenciones!$A$1:$O$25,PROVEEDORES[[#This Row],[indicador de columna]],FALSE)</f>
        <v>0</v>
      </c>
      <c r="Y1877" s="116">
        <f>+VLOOKUP(PROVEEDORES[[#This Row],[ID RETENCION]],Retenciones!$A$1:$O$25,2,FALSE)</f>
        <v>0</v>
      </c>
      <c r="Z1877" s="125" t="b">
        <f>OR(COUNTIF(PROVEEDORES[[#This Row],[PROVEEDOR]],"*"&amp;'Palabra no opera'!$A$2&amp;"*"))</f>
        <v>0</v>
      </c>
    </row>
    <row r="1878" spans="1:26" ht="22.2" customHeight="1" x14ac:dyDescent="0.3">
      <c r="A1878" s="66" t="str">
        <f>+IF(PROVEEDORES[[#This Row],[FECHA DE PAGO]]=PROVEEDORES[[#This Row],[FECHA DE FACTURACIÓN]],"DE CONTADO","CRÉDITO")</f>
        <v>CRÉDITO</v>
      </c>
      <c r="B1878" s="38" t="str">
        <f>+IF((PROVEEDORES[[#This Row],[FECHA DE PAGO]]-PROVEEDORES[[#This Row],[FECHA DE FACTURACIÓN]])&gt;PROVEEDORES[[#This Row],[PLAZO Días]],"PAGO VENCIDO")</f>
        <v>PAGO VENCIDO</v>
      </c>
      <c r="C1878" s="20">
        <f>+VLOOKUP(PROVEEDORES[[#This Row],[PROVEEDOR]],TERCEROS_INFO[#All],2,FALSE)</f>
        <v>45</v>
      </c>
      <c r="D1878" s="25">
        <f>+SUMIFS(PROVEEDORES[Total],PROVEEDORES[PROVEEDOR],PROVEEDORES[[#This Row],[PROVEEDOR]],PROVEEDORES[FECHA DE PAGO],"")</f>
        <v>2604910</v>
      </c>
      <c r="E1878" s="25"/>
      <c r="F187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78" s="161">
        <v>44319</v>
      </c>
      <c r="H1878" s="26" t="s">
        <v>10</v>
      </c>
      <c r="I1878" s="161">
        <v>44235</v>
      </c>
      <c r="J1878" s="35" t="s">
        <v>182</v>
      </c>
      <c r="K1878" s="21">
        <v>3703000</v>
      </c>
      <c r="L1878" s="21"/>
      <c r="M1878" s="22">
        <f>(PROVEEDORES[[#This Row],[SUBTOTAL]]-PROVEEDORES[[#This Row],[descuento sobre subtotal]])*VLOOKUP(PROVEEDORES[[#This Row],[PROVEEDOR]],TERCEROS_INFO[#All],3,FALSE)</f>
        <v>703570</v>
      </c>
      <c r="N1878" s="23"/>
      <c r="O1878" s="22">
        <f>+PROVEEDORES[[#This Row],[Descuento sobre subtotal %]]*(PROVEEDORES[[#This Row],[SUBTOTAL]]-PROVEEDORES[[#This Row],[descuento sobre subtotal]])</f>
        <v>0</v>
      </c>
      <c r="P1878" s="83">
        <f>+IF(PROVEEDORES[[#This Row],[SUBTOTAL]]&lt;PROVEEDORES[[#This Row],[base retencion]],0,PROVEEDORES[[#This Row],[retención aplicada]])</f>
        <v>0</v>
      </c>
      <c r="Q1878" s="22">
        <f>+PROVEEDORES[[#This Row],[Rete Fuente %]]*(PROVEEDORES[[#This Row],[SUBTOTAL]]-PROVEEDORES[[#This Row],[descuento sobre subtotal]])</f>
        <v>0</v>
      </c>
      <c r="R1878" s="21">
        <f>+PROVEEDORES[[#This Row],[SUBTOTAL]]+PROVEEDORES[[#This Row],[IVA 19%]]-PROVEEDORES[[#This Row],[descuento sobre subtotal]]-PROVEEDORES[[#This Row],[Descuento sobre subtotal $2]]-PROVEEDORES[[#This Row],[Rete Fuente $]]</f>
        <v>4406570</v>
      </c>
      <c r="S18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8" s="68">
        <f ca="1">IF(PROVEEDORES[[#This Row],[FECHA DE PAGO]]=0,TODAY()-PROVEEDORES[[#This Row],[FECHA DE FACTURACIÓN]]-PROVEEDORES[[#This Row],[PLAZO Días]],0)</f>
        <v>0</v>
      </c>
      <c r="U1878" s="96">
        <f>+VLOOKUP(PROVEEDORES[[#This Row],[PROVEEDOR]],Terceros!$A:$D,4,FALSE)</f>
        <v>0</v>
      </c>
      <c r="V1878" s="97">
        <f>+YEAR(PROVEEDORES[[#This Row],[FECHA DE FACTURACIÓN]])</f>
        <v>2021</v>
      </c>
      <c r="W1878" s="97">
        <f>+MATCH(PROVEEDORES[[#This Row],[año facturado]],Retenciones!$1:$1,0)</f>
        <v>4</v>
      </c>
      <c r="X1878" s="98">
        <f>+VLOOKUP(PROVEEDORES[[#This Row],[ID RETENCION]],Retenciones!$A$1:$O$25,PROVEEDORES[[#This Row],[indicador de columna]],FALSE)</f>
        <v>0</v>
      </c>
      <c r="Y1878" s="99">
        <f>+VLOOKUP(PROVEEDORES[[#This Row],[ID RETENCION]],Retenciones!$A$1:$O$25,2,FALSE)</f>
        <v>0</v>
      </c>
      <c r="Z1878" s="125" t="b">
        <f>OR(COUNTIF(PROVEEDORES[[#This Row],[PROVEEDOR]],"*"&amp;'Palabra no opera'!$A$2&amp;"*"))</f>
        <v>0</v>
      </c>
    </row>
    <row r="1879" spans="1:26" ht="22.2" customHeight="1" x14ac:dyDescent="0.3">
      <c r="A1879" s="72" t="str">
        <f>+IF(PROVEEDORES[[#This Row],[FECHA DE PAGO]]=PROVEEDORES[[#This Row],[FECHA DE FACTURACIÓN]],"DE CONTADO","CRÉDITO")</f>
        <v>CRÉDITO</v>
      </c>
      <c r="B1879" s="38" t="str">
        <f>+IF((PROVEEDORES[[#This Row],[FECHA DE PAGO]]-PROVEEDORES[[#This Row],[FECHA DE FACTURACIÓN]])&gt;PROVEEDORES[[#This Row],[PLAZO Días]],"PAGO VENCIDO")</f>
        <v>PAGO VENCIDO</v>
      </c>
      <c r="C1879" s="20">
        <f>+VLOOKUP(PROVEEDORES[[#This Row],[PROVEEDOR]],TERCEROS_INFO[#All],2,FALSE)</f>
        <v>30</v>
      </c>
      <c r="D1879" s="25">
        <f>+SUMIFS(PROVEEDORES[Total],PROVEEDORES[PROVEEDOR],PROVEEDORES[[#This Row],[PROVEEDOR]],PROVEEDORES[FECHA DE PAGO],"")</f>
        <v>0</v>
      </c>
      <c r="E1879" s="25"/>
      <c r="F187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879" s="161">
        <v>44867</v>
      </c>
      <c r="H1879" s="26" t="s">
        <v>218</v>
      </c>
      <c r="I1879" s="161">
        <v>44767</v>
      </c>
      <c r="J1879" s="35">
        <v>74</v>
      </c>
      <c r="K1879" s="21">
        <v>3790390</v>
      </c>
      <c r="L1879" s="21"/>
      <c r="M1879" s="22">
        <f>(PROVEEDORES[[#This Row],[SUBTOTAL]]-PROVEEDORES[[#This Row],[descuento sobre subtotal]])*VLOOKUP(PROVEEDORES[[#This Row],[PROVEEDOR]],TERCEROS_INFO[#All],3,FALSE)</f>
        <v>720174.1</v>
      </c>
      <c r="N1879" s="23"/>
      <c r="O1879" s="22">
        <f>+PROVEEDORES[[#This Row],[Descuento sobre subtotal %]]*(PROVEEDORES[[#This Row],[SUBTOTAL]]-PROVEEDORES[[#This Row],[descuento sobre subtotal]])</f>
        <v>0</v>
      </c>
      <c r="P1879" s="83">
        <f>+IF(PROVEEDORES[[#This Row],[SUBTOTAL]]&lt;PROVEEDORES[[#This Row],[base retencion]],0,PROVEEDORES[[#This Row],[retención aplicada]])</f>
        <v>2.5000000000000001E-2</v>
      </c>
      <c r="Q1879" s="22">
        <f>+PROVEEDORES[[#This Row],[Rete Fuente %]]*(PROVEEDORES[[#This Row],[SUBTOTAL]]-PROVEEDORES[[#This Row],[descuento sobre subtotal]])</f>
        <v>94759.75</v>
      </c>
      <c r="R1879" s="21">
        <f>+PROVEEDORES[[#This Row],[SUBTOTAL]]+PROVEEDORES[[#This Row],[IVA 19%]]-PROVEEDORES[[#This Row],[descuento sobre subtotal]]-PROVEEDORES[[#This Row],[Descuento sobre subtotal $2]]-PROVEEDORES[[#This Row],[Rete Fuente $]]</f>
        <v>4415804.3499999996</v>
      </c>
      <c r="S187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9" s="68">
        <f ca="1">IF(PROVEEDORES[[#This Row],[FECHA DE PAGO]]=0,TODAY()-PROVEEDORES[[#This Row],[FECHA DE FACTURACIÓN]]-PROVEEDORES[[#This Row],[PLAZO Días]],0)</f>
        <v>0</v>
      </c>
      <c r="U1879" s="113" t="str">
        <f>+VLOOKUP(PROVEEDORES[[#This Row],[PROVEEDOR]],Terceros!$A:$D,4,FALSE)</f>
        <v>2,5% con base</v>
      </c>
      <c r="V1879" s="114">
        <f>+YEAR(PROVEEDORES[[#This Row],[FECHA DE FACTURACIÓN]])</f>
        <v>2022</v>
      </c>
      <c r="W1879" s="114">
        <f>+MATCH(PROVEEDORES[[#This Row],[año facturado]],Retenciones!$1:$1,0)</f>
        <v>5</v>
      </c>
      <c r="X1879" s="115">
        <f>+VLOOKUP(PROVEEDORES[[#This Row],[ID RETENCION]],Retenciones!$A$1:$O$25,PROVEEDORES[[#This Row],[indicador de columna]],FALSE)</f>
        <v>1026000</v>
      </c>
      <c r="Y1879" s="116">
        <f>+VLOOKUP(PROVEEDORES[[#This Row],[ID RETENCION]],Retenciones!$A$1:$O$25,2,FALSE)</f>
        <v>2.5000000000000001E-2</v>
      </c>
      <c r="Z1879" s="125" t="b">
        <f>OR(COUNTIF(PROVEEDORES[[#This Row],[PROVEEDOR]],"*"&amp;'Palabra no opera'!$A$2&amp;"*"))</f>
        <v>0</v>
      </c>
    </row>
    <row r="1880" spans="1:26" ht="22.2" customHeight="1" x14ac:dyDescent="0.3">
      <c r="A1880" s="66" t="str">
        <f>+IF(PROVEEDORES[[#This Row],[FECHA DE PAGO]]=PROVEEDORES[[#This Row],[FECHA DE FACTURACIÓN]],"DE CONTADO","CRÉDITO")</f>
        <v>CRÉDITO</v>
      </c>
      <c r="B1880" s="38" t="str">
        <f>+IF((PROVEEDORES[[#This Row],[FECHA DE PAGO]]-PROVEEDORES[[#This Row],[FECHA DE FACTURACIÓN]])&gt;PROVEEDORES[[#This Row],[PLAZO Días]],"PAGO VENCIDO")</f>
        <v>PAGO VENCIDO</v>
      </c>
      <c r="C1880" s="20">
        <f>+VLOOKUP(PROVEEDORES[[#This Row],[PROVEEDOR]],TERCEROS_INFO[#All],2,FALSE)</f>
        <v>30</v>
      </c>
      <c r="D1880" s="25">
        <f>+SUMIFS(PROVEEDORES[Total],PROVEEDORES[PROVEEDOR],PROVEEDORES[[#This Row],[PROVEEDOR]],PROVEEDORES[FECHA DE PAGO],"")</f>
        <v>1266521.4319</v>
      </c>
      <c r="E1880" s="25"/>
      <c r="F188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880" s="161">
        <v>44648</v>
      </c>
      <c r="H1880" s="26" t="s">
        <v>512</v>
      </c>
      <c r="I1880" s="161">
        <v>44574</v>
      </c>
      <c r="J1880" s="35">
        <v>635</v>
      </c>
      <c r="K1880" s="21">
        <v>3807563.02</v>
      </c>
      <c r="L1880" s="21"/>
      <c r="M1880" s="22">
        <v>723436.97380000004</v>
      </c>
      <c r="N1880" s="23"/>
      <c r="O1880" s="22">
        <v>0</v>
      </c>
      <c r="P1880" s="83">
        <f>+IF(PROVEEDORES[[#This Row],[SUBTOTAL]]&lt;PROVEEDORES[[#This Row],[base retencion]],0,PROVEEDORES[[#This Row],[retención aplicada]])</f>
        <v>2.5000000000000001E-2</v>
      </c>
      <c r="Q1880" s="22">
        <f>+PROVEEDORES[[#This Row],[Rete Fuente %]]*(PROVEEDORES[[#This Row],[SUBTOTAL]]-PROVEEDORES[[#This Row],[descuento sobre subtotal]])</f>
        <v>95189.075500000006</v>
      </c>
      <c r="R1880" s="21">
        <v>4435810.9183</v>
      </c>
      <c r="S18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0" s="68">
        <f ca="1">IF(PROVEEDORES[[#This Row],[FECHA DE PAGO]]=0,TODAY()-PROVEEDORES[[#This Row],[FECHA DE FACTURACIÓN]]-PROVEEDORES[[#This Row],[PLAZO Días]],0)</f>
        <v>0</v>
      </c>
      <c r="U1880" s="96" t="str">
        <f>+VLOOKUP(PROVEEDORES[[#This Row],[PROVEEDOR]],Terceros!$A:$D,4,FALSE)</f>
        <v>2,5% con base</v>
      </c>
      <c r="V1880" s="97">
        <f>+YEAR(PROVEEDORES[[#This Row],[FECHA DE FACTURACIÓN]])</f>
        <v>2022</v>
      </c>
      <c r="W1880" s="97">
        <f>+MATCH(PROVEEDORES[[#This Row],[año facturado]],Retenciones!$1:$1,0)</f>
        <v>5</v>
      </c>
      <c r="X1880" s="98">
        <f>+VLOOKUP(PROVEEDORES[[#This Row],[ID RETENCION]],Retenciones!$A$1:$O$25,PROVEEDORES[[#This Row],[indicador de columna]],FALSE)</f>
        <v>1026000</v>
      </c>
      <c r="Y1880" s="99">
        <f>+VLOOKUP(PROVEEDORES[[#This Row],[ID RETENCION]],Retenciones!$A$1:$O$25,2,FALSE)</f>
        <v>2.5000000000000001E-2</v>
      </c>
      <c r="Z1880" s="125" t="b">
        <f>OR(COUNTIF(PROVEEDORES[[#This Row],[PROVEEDOR]],"*"&amp;'Palabra no opera'!$A$2&amp;"*"))</f>
        <v>0</v>
      </c>
    </row>
    <row r="1881" spans="1:26" ht="22.2" customHeight="1" x14ac:dyDescent="0.3">
      <c r="A1881" s="135" t="str">
        <f>+IF(PROVEEDORES[[#This Row],[FECHA DE PAGO]]=PROVEEDORES[[#This Row],[FECHA DE FACTURACIÓN]],"DE CONTADO","CRÉDITO")</f>
        <v>CRÉDITO</v>
      </c>
      <c r="B1881" s="38" t="b">
        <f>+IF((PROVEEDORES[[#This Row],[FECHA DE PAGO]]-PROVEEDORES[[#This Row],[FECHA DE FACTURACIÓN]])&gt;PROVEEDORES[[#This Row],[PLAZO Días]],"PAGO VENCIDO")</f>
        <v>0</v>
      </c>
      <c r="C1881" s="20">
        <f>+VLOOKUP(PROVEEDORES[[#This Row],[PROVEEDOR]],TERCEROS_INFO[#All],2,FALSE)</f>
        <v>30</v>
      </c>
      <c r="D1881" s="25">
        <f>+SUMIFS(PROVEEDORES[Total],PROVEEDORES[PROVEEDOR],PROVEEDORES[[#This Row],[PROVEEDOR]],PROVEEDORES[FECHA DE PAGO],"")</f>
        <v>0</v>
      </c>
      <c r="E1881" s="25"/>
      <c r="F1881" s="58" t="str">
        <f>+VLOOKUP(PROVEEDORES[[#This Row],[PROVEEDOR]],
                       Terceros!$A:$F,
                       5,
                       FALSE)</f>
        <v/>
      </c>
      <c r="G1881" s="161">
        <v>44683</v>
      </c>
      <c r="H1881" s="26" t="s">
        <v>638</v>
      </c>
      <c r="I1881" s="161">
        <v>44682</v>
      </c>
      <c r="J1881" s="137" t="s">
        <v>965</v>
      </c>
      <c r="K1881" s="21">
        <v>4438000</v>
      </c>
      <c r="L1881" s="21"/>
      <c r="M1881" s="22">
        <f>(PROVEEDORES[[#This Row],[SUBTOTAL]]-PROVEEDORES[[#This Row],[descuento sobre subtotal]])*VLOOKUP(PROVEEDORES[[#This Row],[PROVEEDOR]],TERCEROS_INFO[#All],3,FALSE)</f>
        <v>0</v>
      </c>
      <c r="N1881" s="23"/>
      <c r="O1881" s="22">
        <f>+PROVEEDORES[[#This Row],[Descuento sobre subtotal %]]*(PROVEEDORES[[#This Row],[SUBTOTAL]]-PROVEEDORES[[#This Row],[descuento sobre subtotal]])</f>
        <v>0</v>
      </c>
      <c r="P1881" s="83">
        <f>+IF(PROVEEDORES[[#This Row],[SUBTOTAL]]&lt;PROVEEDORES[[#This Row],[base retencion]],0,PROVEEDORES[[#This Row],[retención aplicada]])</f>
        <v>0</v>
      </c>
      <c r="Q1881" s="22">
        <f>+PROVEEDORES[[#This Row],[Rete Fuente %]]*(PROVEEDORES[[#This Row],[SUBTOTAL]]-PROVEEDORES[[#This Row],[descuento sobre subtotal]])</f>
        <v>0</v>
      </c>
      <c r="R1881" s="21">
        <f>+PROVEEDORES[[#This Row],[SUBTOTAL]]+PROVEEDORES[[#This Row],[IVA 19%]]-PROVEEDORES[[#This Row],[descuento sobre subtotal]]-PROVEEDORES[[#This Row],[Descuento sobre subtotal $2]]-PROVEEDORES[[#This Row],[Rete Fuente $]]</f>
        <v>4438000</v>
      </c>
      <c r="S1881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1" s="68">
        <f ca="1">IF(PROVEEDORES[[#This Row],[FECHA DE PAGO]]=0,TODAY()-PROVEEDORES[[#This Row],[FECHA DE FACTURACIÓN]]-PROVEEDORES[[#This Row],[PLAZO Días]],0)</f>
        <v>0</v>
      </c>
      <c r="U1881" s="113">
        <f>+VLOOKUP(PROVEEDORES[[#This Row],[PROVEEDOR]],Terceros!$A:$D,4,FALSE)</f>
        <v>0</v>
      </c>
      <c r="V1881" s="114">
        <f>+YEAR(PROVEEDORES[[#This Row],[FECHA DE FACTURACIÓN]])</f>
        <v>2022</v>
      </c>
      <c r="W1881" s="114">
        <f>+MATCH(PROVEEDORES[[#This Row],[año facturado]],Retenciones!$1:$1,0)</f>
        <v>5</v>
      </c>
      <c r="X1881" s="115">
        <f>+VLOOKUP(PROVEEDORES[[#This Row],[ID RETENCION]],Retenciones!$A$1:$O$25,PROVEEDORES[[#This Row],[indicador de columna]],FALSE)</f>
        <v>0</v>
      </c>
      <c r="Y1881" s="116">
        <f>+VLOOKUP(PROVEEDORES[[#This Row],[ID RETENCION]],Retenciones!$A$1:$O$25,2,FALSE)</f>
        <v>0</v>
      </c>
      <c r="Z1881" s="125" t="b">
        <f>OR(COUNTIF(PROVEEDORES[[#This Row],[PROVEEDOR]],"*"&amp;'Palabra no opera'!$A$2&amp;"*"))</f>
        <v>0</v>
      </c>
    </row>
    <row r="1882" spans="1:26" ht="22.2" customHeight="1" x14ac:dyDescent="0.3">
      <c r="A1882" s="66" t="str">
        <f>+IF(PROVEEDORES[[#This Row],[FECHA DE PAGO]]=PROVEEDORES[[#This Row],[FECHA DE FACTURACIÓN]],"DE CONTADO","CRÉDITO")</f>
        <v>CRÉDITO</v>
      </c>
      <c r="B1882" s="38" t="str">
        <f>+IF((PROVEEDORES[[#This Row],[FECHA DE PAGO]]-PROVEEDORES[[#This Row],[FECHA DE FACTURACIÓN]])&gt;PROVEEDORES[[#This Row],[PLAZO Días]],"PAGO VENCIDO")</f>
        <v>PAGO VENCIDO</v>
      </c>
      <c r="C1882" s="20">
        <f>+VLOOKUP(PROVEEDORES[[#This Row],[PROVEEDOR]],TERCEROS_INFO[#All],2,FALSE)</f>
        <v>90</v>
      </c>
      <c r="D1882" s="25">
        <f>+SUMIFS(PROVEEDORES[Total],PROVEEDORES[PROVEEDOR],PROVEEDORES[[#This Row],[PROVEEDOR]],PROVEEDORES[FECHA DE PAGO],"")</f>
        <v>26350422.770000003</v>
      </c>
      <c r="E1882" s="25"/>
      <c r="F188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882" s="161">
        <v>44554</v>
      </c>
      <c r="H1882" s="26" t="s">
        <v>12</v>
      </c>
      <c r="I1882" s="161">
        <v>44462</v>
      </c>
      <c r="J1882" s="35" t="s">
        <v>480</v>
      </c>
      <c r="K1882" s="21">
        <v>3836134</v>
      </c>
      <c r="L1882" s="21"/>
      <c r="M1882" s="22">
        <f>(PROVEEDORES[[#This Row],[SUBTOTAL]]-PROVEEDORES[[#This Row],[descuento sobre subtotal]])*VLOOKUP(PROVEEDORES[[#This Row],[PROVEEDOR]],TERCEROS_INFO[#All],3,FALSE)</f>
        <v>728865.46</v>
      </c>
      <c r="N1882" s="23"/>
      <c r="O1882" s="22">
        <f>+PROVEEDORES[[#This Row],[Descuento sobre subtotal %]]*(PROVEEDORES[[#This Row],[SUBTOTAL]]-PROVEEDORES[[#This Row],[descuento sobre subtotal]])</f>
        <v>0</v>
      </c>
      <c r="P1882" s="83">
        <f>+IF(PROVEEDORES[[#This Row],[SUBTOTAL]]&lt;PROVEEDORES[[#This Row],[base retencion]],0,PROVEEDORES[[#This Row],[retención aplicada]])</f>
        <v>2.5000000000000001E-2</v>
      </c>
      <c r="Q1882" s="22">
        <f>+PROVEEDORES[[#This Row],[Rete Fuente %]]*(PROVEEDORES[[#This Row],[SUBTOTAL]]-PROVEEDORES[[#This Row],[descuento sobre subtotal]])</f>
        <v>95903.35</v>
      </c>
      <c r="R1882" s="21">
        <f>+PROVEEDORES[[#This Row],[SUBTOTAL]]+PROVEEDORES[[#This Row],[IVA 19%]]-PROVEEDORES[[#This Row],[descuento sobre subtotal]]-PROVEEDORES[[#This Row],[Descuento sobre subtotal $2]]-PROVEEDORES[[#This Row],[Rete Fuente $]]</f>
        <v>4469096.1100000003</v>
      </c>
      <c r="S18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2" s="68">
        <f ca="1">IF(PROVEEDORES[[#This Row],[FECHA DE PAGO]]=0,TODAY()-PROVEEDORES[[#This Row],[FECHA DE FACTURACIÓN]]-PROVEEDORES[[#This Row],[PLAZO Días]],0)</f>
        <v>0</v>
      </c>
      <c r="U1882" s="96" t="str">
        <f>+VLOOKUP(PROVEEDORES[[#This Row],[PROVEEDOR]],Terceros!$A:$D,4,FALSE)</f>
        <v>2,5% con base</v>
      </c>
      <c r="V1882" s="97">
        <f>+YEAR(PROVEEDORES[[#This Row],[FECHA DE FACTURACIÓN]])</f>
        <v>2021</v>
      </c>
      <c r="W1882" s="97">
        <f>+MATCH(PROVEEDORES[[#This Row],[año facturado]],Retenciones!$1:$1,0)</f>
        <v>4</v>
      </c>
      <c r="X1882" s="98">
        <f>+VLOOKUP(PROVEEDORES[[#This Row],[ID RETENCION]],Retenciones!$A$1:$O$25,PROVEEDORES[[#This Row],[indicador de columna]],FALSE)</f>
        <v>980000</v>
      </c>
      <c r="Y1882" s="99">
        <f>+VLOOKUP(PROVEEDORES[[#This Row],[ID RETENCION]],Retenciones!$A$1:$O$25,2,FALSE)</f>
        <v>2.5000000000000001E-2</v>
      </c>
      <c r="Z1882" s="125" t="b">
        <f>OR(COUNTIF(PROVEEDORES[[#This Row],[PROVEEDOR]],"*"&amp;'Palabra no opera'!$A$2&amp;"*"))</f>
        <v>0</v>
      </c>
    </row>
    <row r="1883" spans="1:26" ht="22.2" customHeight="1" x14ac:dyDescent="0.3">
      <c r="A1883" s="66" t="str">
        <f>+IF(PROVEEDORES[[#This Row],[FECHA DE PAGO]]=PROVEEDORES[[#This Row],[FECHA DE FACTURACIÓN]],"DE CONTADO","CRÉDITO")</f>
        <v>CRÉDITO</v>
      </c>
      <c r="B1883" s="38" t="str">
        <f>+IF((PROVEEDORES[[#This Row],[FECHA DE PAGO]]-PROVEEDORES[[#This Row],[FECHA DE FACTURACIÓN]])&gt;PROVEEDORES[[#This Row],[PLAZO Días]],"PAGO VENCIDO")</f>
        <v>PAGO VENCIDO</v>
      </c>
      <c r="C1883" s="20">
        <f>+VLOOKUP(PROVEEDORES[[#This Row],[PROVEEDOR]],TERCEROS_INFO[#All],2,FALSE)</f>
        <v>30</v>
      </c>
      <c r="D1883" s="25">
        <f>+SUMIFS(PROVEEDORES[Total],PROVEEDORES[PROVEEDOR],PROVEEDORES[[#This Row],[PROVEEDOR]],PROVEEDORES[FECHA DE PAGO],"")</f>
        <v>3430770</v>
      </c>
      <c r="E1883" s="25"/>
      <c r="F188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83" s="161">
        <v>44635</v>
      </c>
      <c r="H1883" s="26" t="s">
        <v>1448</v>
      </c>
      <c r="I1883" s="161">
        <v>44601</v>
      </c>
      <c r="J1883" s="35">
        <v>27066</v>
      </c>
      <c r="K1883" s="21">
        <v>3840000</v>
      </c>
      <c r="L1883" s="21"/>
      <c r="M1883" s="22">
        <f>(PROVEEDORES[[#This Row],[SUBTOTAL]]-PROVEEDORES[[#This Row],[descuento sobre subtotal]])*VLOOKUP(PROVEEDORES[[#This Row],[PROVEEDOR]],TERCEROS_INFO[#All],3,FALSE)</f>
        <v>729600</v>
      </c>
      <c r="N1883" s="23"/>
      <c r="O1883" s="22">
        <f>+PROVEEDORES[[#This Row],[Descuento sobre subtotal %]]*(PROVEEDORES[[#This Row],[SUBTOTAL]]-PROVEEDORES[[#This Row],[descuento sobre subtotal]])</f>
        <v>0</v>
      </c>
      <c r="P1883" s="83">
        <v>2.5000000000000001E-2</v>
      </c>
      <c r="Q1883" s="22">
        <f>+PROVEEDORES[[#This Row],[Rete Fuente %]]*(PROVEEDORES[[#This Row],[SUBTOTAL]]-PROVEEDORES[[#This Row],[descuento sobre subtotal]])</f>
        <v>96000</v>
      </c>
      <c r="R1883" s="21">
        <v>4473600</v>
      </c>
      <c r="S18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3" s="68">
        <f ca="1">IF(PROVEEDORES[[#This Row],[FECHA DE PAGO]]=0,TODAY()-PROVEEDORES[[#This Row],[FECHA DE FACTURACIÓN]]-PROVEEDORES[[#This Row],[PLAZO Días]],0)</f>
        <v>0</v>
      </c>
      <c r="U1883" s="96">
        <f>+VLOOKUP(PROVEEDORES[[#This Row],[PROVEEDOR]],Terceros!$A:$D,4,FALSE)</f>
        <v>0</v>
      </c>
      <c r="V1883" s="97">
        <f>+YEAR(PROVEEDORES[[#This Row],[FECHA DE FACTURACIÓN]])</f>
        <v>2022</v>
      </c>
      <c r="W1883" s="97">
        <f>+MATCH(PROVEEDORES[[#This Row],[año facturado]],Retenciones!$1:$1,0)</f>
        <v>5</v>
      </c>
      <c r="X1883" s="98">
        <f>+VLOOKUP(PROVEEDORES[[#This Row],[ID RETENCION]],Retenciones!$A$1:$O$25,PROVEEDORES[[#This Row],[indicador de columna]],FALSE)</f>
        <v>0</v>
      </c>
      <c r="Y1883" s="99">
        <f>+VLOOKUP(PROVEEDORES[[#This Row],[ID RETENCION]],Retenciones!$A$1:$O$25,2,FALSE)</f>
        <v>0</v>
      </c>
      <c r="Z1883" s="125" t="b">
        <f>OR(COUNTIF(PROVEEDORES[[#This Row],[PROVEEDOR]],"*"&amp;'Palabra no opera'!$A$2&amp;"*"))</f>
        <v>0</v>
      </c>
    </row>
    <row r="1884" spans="1:26" ht="22.2" customHeight="1" x14ac:dyDescent="0.3">
      <c r="A1884" s="207" t="str">
        <f>+IF(PROVEEDORES[[#This Row],[FECHA DE PAGO]]=PROVEEDORES[[#This Row],[FECHA DE FACTURACIÓN]],"DE CONTADO","CRÉDITO")</f>
        <v>CRÉDITO</v>
      </c>
      <c r="B1884" s="38" t="str">
        <f>+IF((PROVEEDORES[[#This Row],[FECHA DE PAGO]]-PROVEEDORES[[#This Row],[FECHA DE FACTURACIÓN]])&gt;PROVEEDORES[[#This Row],[PLAZO Días]],"PAGO VENCIDO")</f>
        <v>PAGO VENCIDO</v>
      </c>
      <c r="C1884" s="20">
        <f>+VLOOKUP(PROVEEDORES[[#This Row],[PROVEEDOR]],TERCEROS_INFO[#All],2,FALSE)</f>
        <v>30</v>
      </c>
      <c r="D1884" s="25">
        <f>+SUMIFS(PROVEEDORES[Total],PROVEEDORES[PROVEEDOR],PROVEEDORES[[#This Row],[PROVEEDOR]],PROVEEDORES[FECHA DE PAGO],"")</f>
        <v>3430770</v>
      </c>
      <c r="E1884" s="25"/>
      <c r="F188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84" s="161">
        <v>44852</v>
      </c>
      <c r="H1884" s="26" t="s">
        <v>1448</v>
      </c>
      <c r="I1884" s="161">
        <v>44791</v>
      </c>
      <c r="J1884" s="35" t="s">
        <v>1415</v>
      </c>
      <c r="K1884" s="21">
        <v>3840000</v>
      </c>
      <c r="L1884" s="21"/>
      <c r="M1884" s="22">
        <f>(PROVEEDORES[[#This Row],[SUBTOTAL]]-PROVEEDORES[[#This Row],[descuento sobre subtotal]])*VLOOKUP(PROVEEDORES[[#This Row],[PROVEEDOR]],TERCEROS_INFO[#All],3,FALSE)</f>
        <v>729600</v>
      </c>
      <c r="N1884" s="23"/>
      <c r="O1884" s="22">
        <f>+PROVEEDORES[[#This Row],[Descuento sobre subtotal %]]*(PROVEEDORES[[#This Row],[SUBTOTAL]]-PROVEEDORES[[#This Row],[descuento sobre subtotal]])</f>
        <v>0</v>
      </c>
      <c r="P1884" s="83">
        <v>2.5000000000000001E-2</v>
      </c>
      <c r="Q1884" s="22">
        <f>+PROVEEDORES[[#This Row],[Rete Fuente %]]*(PROVEEDORES[[#This Row],[SUBTOTAL]]-PROVEEDORES[[#This Row],[descuento sobre subtotal]])</f>
        <v>96000</v>
      </c>
      <c r="R1884" s="21">
        <f>+PROVEEDORES[[#This Row],[SUBTOTAL]]+PROVEEDORES[[#This Row],[IVA 19%]]-PROVEEDORES[[#This Row],[descuento sobre subtotal]]-PROVEEDORES[[#This Row],[Descuento sobre subtotal $2]]-PROVEEDORES[[#This Row],[Rete Fuente $]]</f>
        <v>4473600</v>
      </c>
      <c r="S1884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4" s="68">
        <f ca="1">IF(PROVEEDORES[[#This Row],[FECHA DE PAGO]]=0,TODAY()-PROVEEDORES[[#This Row],[FECHA DE FACTURACIÓN]]-PROVEEDORES[[#This Row],[PLAZO Días]],0)</f>
        <v>0</v>
      </c>
      <c r="U1884" s="113">
        <f>+VLOOKUP(PROVEEDORES[[#This Row],[PROVEEDOR]],Terceros!$A:$D,4,FALSE)</f>
        <v>0</v>
      </c>
      <c r="V1884" s="114">
        <f>+YEAR(PROVEEDORES[[#This Row],[FECHA DE FACTURACIÓN]])</f>
        <v>2022</v>
      </c>
      <c r="W1884" s="114">
        <f>+MATCH(PROVEEDORES[[#This Row],[año facturado]],Retenciones!$1:$1,0)</f>
        <v>5</v>
      </c>
      <c r="X1884" s="115">
        <f>+VLOOKUP(PROVEEDORES[[#This Row],[ID RETENCION]],Retenciones!$A$1:$O$25,PROVEEDORES[[#This Row],[indicador de columna]],FALSE)</f>
        <v>0</v>
      </c>
      <c r="Y1884" s="116">
        <f>+VLOOKUP(PROVEEDORES[[#This Row],[ID RETENCION]],Retenciones!$A$1:$O$25,2,FALSE)</f>
        <v>0</v>
      </c>
      <c r="Z1884" s="125" t="b">
        <f>OR(COUNTIF(PROVEEDORES[[#This Row],[PROVEEDOR]],"*"&amp;'Palabra no opera'!$A$2&amp;"*"))</f>
        <v>0</v>
      </c>
    </row>
    <row r="1885" spans="1:26" ht="22.2" customHeight="1" x14ac:dyDescent="0.3">
      <c r="A1885" s="66" t="str">
        <f>+IF(PROVEEDORES[[#This Row],[FECHA DE PAGO]]=PROVEEDORES[[#This Row],[FECHA DE FACTURACIÓN]],"DE CONTADO","CRÉDITO")</f>
        <v>CRÉDITO</v>
      </c>
      <c r="B1885" s="38" t="str">
        <f>+IF((PROVEEDORES[[#This Row],[FECHA DE PAGO]]-PROVEEDORES[[#This Row],[FECHA DE FACTURACIÓN]])&gt;PROVEEDORES[[#This Row],[PLAZO Días]],"PAGO VENCIDO")</f>
        <v>PAGO VENCIDO</v>
      </c>
      <c r="C1885" s="20">
        <f>+VLOOKUP(PROVEEDORES[[#This Row],[PROVEEDOR]],TERCEROS_INFO[#All],2,FALSE)</f>
        <v>30</v>
      </c>
      <c r="D1885" s="25">
        <f>+SUMIFS(PROVEEDORES[Total],PROVEEDORES[PROVEEDOR],PROVEEDORES[[#This Row],[PROVEEDOR]],PROVEEDORES[FECHA DE PAGO],"")</f>
        <v>5430852.9800000004</v>
      </c>
      <c r="E1885" s="25"/>
      <c r="F188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885" s="161">
        <v>44533</v>
      </c>
      <c r="H1885" s="26" t="s">
        <v>408</v>
      </c>
      <c r="I1885" s="161">
        <v>44492</v>
      </c>
      <c r="J1885" s="35">
        <v>147039</v>
      </c>
      <c r="K1885" s="21">
        <v>3784145</v>
      </c>
      <c r="L1885" s="21"/>
      <c r="M1885" s="22">
        <f>(PROVEEDORES[[#This Row],[SUBTOTAL]]-PROVEEDORES[[#This Row],[descuento sobre subtotal]])*VLOOKUP(PROVEEDORES[[#This Row],[PROVEEDOR]],TERCEROS_INFO[#All],3,FALSE)</f>
        <v>718987.55</v>
      </c>
      <c r="N1885" s="23"/>
      <c r="O1885" s="22">
        <f>+PROVEEDORES[[#This Row],[Descuento sobre subtotal %]]*(PROVEEDORES[[#This Row],[SUBTOTAL]]-PROVEEDORES[[#This Row],[descuento sobre subtotal]])</f>
        <v>0</v>
      </c>
      <c r="P1885" s="83">
        <f>+IF(PROVEEDORES[[#This Row],[SUBTOTAL]]&lt;PROVEEDORES[[#This Row],[base retencion]],0,PROVEEDORES[[#This Row],[retención aplicada]])</f>
        <v>0</v>
      </c>
      <c r="Q1885" s="22">
        <f>+PROVEEDORES[[#This Row],[Rete Fuente %]]*(PROVEEDORES[[#This Row],[SUBTOTAL]]-PROVEEDORES[[#This Row],[descuento sobre subtotal]])</f>
        <v>0</v>
      </c>
      <c r="R1885" s="21">
        <f>+PROVEEDORES[[#This Row],[SUBTOTAL]]+PROVEEDORES[[#This Row],[IVA 19%]]-PROVEEDORES[[#This Row],[descuento sobre subtotal]]-PROVEEDORES[[#This Row],[Descuento sobre subtotal $2]]-PROVEEDORES[[#This Row],[Rete Fuente $]]</f>
        <v>4503132.55</v>
      </c>
      <c r="S18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5" s="68">
        <f ca="1">IF(PROVEEDORES[[#This Row],[FECHA DE PAGO]]=0,TODAY()-PROVEEDORES[[#This Row],[FECHA DE FACTURACIÓN]]-PROVEEDORES[[#This Row],[PLAZO Días]],0)</f>
        <v>0</v>
      </c>
      <c r="U1885" s="96">
        <f>+VLOOKUP(PROVEEDORES[[#This Row],[PROVEEDOR]],Terceros!$A:$D,4,FALSE)</f>
        <v>0</v>
      </c>
      <c r="V1885" s="97">
        <f>+YEAR(PROVEEDORES[[#This Row],[FECHA DE FACTURACIÓN]])</f>
        <v>2021</v>
      </c>
      <c r="W1885" s="97">
        <f>+MATCH(PROVEEDORES[[#This Row],[año facturado]],Retenciones!$1:$1,0)</f>
        <v>4</v>
      </c>
      <c r="X1885" s="98">
        <f>+VLOOKUP(PROVEEDORES[[#This Row],[ID RETENCION]],Retenciones!$A$1:$O$25,PROVEEDORES[[#This Row],[indicador de columna]],FALSE)</f>
        <v>0</v>
      </c>
      <c r="Y1885" s="99">
        <f>+VLOOKUP(PROVEEDORES[[#This Row],[ID RETENCION]],Retenciones!$A$1:$O$25,2,FALSE)</f>
        <v>0</v>
      </c>
      <c r="Z1885" s="125" t="b">
        <f>OR(COUNTIF(PROVEEDORES[[#This Row],[PROVEEDOR]],"*"&amp;'Palabra no opera'!$A$2&amp;"*"))</f>
        <v>0</v>
      </c>
    </row>
    <row r="1886" spans="1:26" ht="22.2" customHeight="1" x14ac:dyDescent="0.3">
      <c r="A1886" s="66" t="str">
        <f>+IF(PROVEEDORES[[#This Row],[FECHA DE PAGO]]=PROVEEDORES[[#This Row],[FECHA DE FACTURACIÓN]],"DE CONTADO","CRÉDITO")</f>
        <v>CRÉDITO</v>
      </c>
      <c r="B1886" s="38" t="str">
        <f>+IF((PROVEEDORES[[#This Row],[FECHA DE PAGO]]-PROVEEDORES[[#This Row],[FECHA DE FACTURACIÓN]])&gt;PROVEEDORES[[#This Row],[PLAZO Días]],"PAGO VENCIDO")</f>
        <v>PAGO VENCIDO</v>
      </c>
      <c r="C1886" s="20">
        <f>+VLOOKUP(PROVEEDORES[[#This Row],[PROVEEDOR]],TERCEROS_INFO[#All],2,FALSE)</f>
        <v>30</v>
      </c>
      <c r="D1886" s="25">
        <f>+SUMIFS(PROVEEDORES[Total],PROVEEDORES[PROVEEDOR],PROVEEDORES[[#This Row],[PROVEEDOR]],PROVEEDORES[FECHA DE PAGO],"")</f>
        <v>23124164.219999999</v>
      </c>
      <c r="E1886" s="25"/>
      <c r="F188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86" s="161">
        <v>44335</v>
      </c>
      <c r="H1886" s="26" t="s">
        <v>18</v>
      </c>
      <c r="I1886" s="161">
        <v>44274</v>
      </c>
      <c r="J1886" s="35">
        <v>1035834</v>
      </c>
      <c r="K1886" s="21">
        <v>3865479.42</v>
      </c>
      <c r="L1886" s="21"/>
      <c r="M1886" s="22">
        <f>(PROVEEDORES[[#This Row],[SUBTOTAL]]-PROVEEDORES[[#This Row],[descuento sobre subtotal]])*VLOOKUP(PROVEEDORES[[#This Row],[PROVEEDOR]],TERCEROS_INFO[#All],3,FALSE)</f>
        <v>734441.08979999996</v>
      </c>
      <c r="N1886" s="23"/>
      <c r="O1886" s="22">
        <f>+PROVEEDORES[[#This Row],[Descuento sobre subtotal %]]*(PROVEEDORES[[#This Row],[SUBTOTAL]]-PROVEEDORES[[#This Row],[descuento sobre subtotal]])</f>
        <v>0</v>
      </c>
      <c r="P1886" s="83">
        <f>+IF(PROVEEDORES[[#This Row],[SUBTOTAL]]&lt;PROVEEDORES[[#This Row],[base retencion]],0,PROVEEDORES[[#This Row],[retención aplicada]])</f>
        <v>2.5000000000000001E-2</v>
      </c>
      <c r="Q1886" s="22">
        <f>+PROVEEDORES[[#This Row],[Rete Fuente %]]*(PROVEEDORES[[#This Row],[SUBTOTAL]]-PROVEEDORES[[#This Row],[descuento sobre subtotal]])</f>
        <v>96636.98550000001</v>
      </c>
      <c r="R1886" s="21">
        <f>+PROVEEDORES[[#This Row],[SUBTOTAL]]+PROVEEDORES[[#This Row],[IVA 19%]]-PROVEEDORES[[#This Row],[descuento sobre subtotal]]-PROVEEDORES[[#This Row],[Descuento sobre subtotal $2]]-PROVEEDORES[[#This Row],[Rete Fuente $]]</f>
        <v>4503283.5242999997</v>
      </c>
      <c r="S18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6" s="68">
        <f ca="1">IF(PROVEEDORES[[#This Row],[FECHA DE PAGO]]=0,TODAY()-PROVEEDORES[[#This Row],[FECHA DE FACTURACIÓN]]-PROVEEDORES[[#This Row],[PLAZO Días]],0)</f>
        <v>0</v>
      </c>
      <c r="U1886" s="96" t="str">
        <f>+VLOOKUP(PROVEEDORES[[#This Row],[PROVEEDOR]],Terceros!$A:$D,4,FALSE)</f>
        <v>2,5% con base</v>
      </c>
      <c r="V1886" s="97">
        <f>+YEAR(PROVEEDORES[[#This Row],[FECHA DE FACTURACIÓN]])</f>
        <v>2021</v>
      </c>
      <c r="W1886" s="97">
        <f>+MATCH(PROVEEDORES[[#This Row],[año facturado]],Retenciones!$1:$1,0)</f>
        <v>4</v>
      </c>
      <c r="X1886" s="98">
        <f>+VLOOKUP(PROVEEDORES[[#This Row],[ID RETENCION]],Retenciones!$A$1:$O$25,PROVEEDORES[[#This Row],[indicador de columna]],FALSE)</f>
        <v>980000</v>
      </c>
      <c r="Y1886" s="99">
        <f>+VLOOKUP(PROVEEDORES[[#This Row],[ID RETENCION]],Retenciones!$A$1:$O$25,2,FALSE)</f>
        <v>2.5000000000000001E-2</v>
      </c>
      <c r="Z1886" s="125" t="b">
        <f>OR(COUNTIF(PROVEEDORES[[#This Row],[PROVEEDOR]],"*"&amp;'Palabra no opera'!$A$2&amp;"*"))</f>
        <v>0</v>
      </c>
    </row>
    <row r="1887" spans="1:26" ht="22.2" customHeight="1" x14ac:dyDescent="0.3">
      <c r="A1887" s="185" t="str">
        <f>+IF(PROVEEDORES[[#This Row],[FECHA DE PAGO]]=PROVEEDORES[[#This Row],[FECHA DE FACTURACIÓN]],"DE CONTADO","CRÉDITO")</f>
        <v>CRÉDITO</v>
      </c>
      <c r="B1887" s="38" t="str">
        <f>+IF((PROVEEDORES[[#This Row],[FECHA DE PAGO]]-PROVEEDORES[[#This Row],[FECHA DE FACTURACIÓN]])&gt;PROVEEDORES[[#This Row],[PLAZO Días]],"PAGO VENCIDO")</f>
        <v>PAGO VENCIDO</v>
      </c>
      <c r="C1887" s="20">
        <f>+VLOOKUP(PROVEEDORES[[#This Row],[PROVEEDOR]],TERCEROS_INFO[#All],2,FALSE)</f>
        <v>30</v>
      </c>
      <c r="D1887" s="25">
        <f>+SUMIFS(PROVEEDORES[Total],PROVEEDORES[PROVEEDOR],PROVEEDORES[[#This Row],[PROVEEDOR]],PROVEEDORES[FECHA DE PAGO],"")</f>
        <v>23124164.219999999</v>
      </c>
      <c r="E1887" s="25"/>
      <c r="F188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87" s="161">
        <v>44792</v>
      </c>
      <c r="H1887" s="26" t="s">
        <v>18</v>
      </c>
      <c r="I1887" s="161">
        <v>44749</v>
      </c>
      <c r="J1887" s="35">
        <v>1055982</v>
      </c>
      <c r="K1887" s="21">
        <v>3877233.52</v>
      </c>
      <c r="L1887" s="21"/>
      <c r="M1887" s="22">
        <f>(PROVEEDORES[[#This Row],[SUBTOTAL]]-PROVEEDORES[[#This Row],[descuento sobre subtotal]])*VLOOKUP(PROVEEDORES[[#This Row],[PROVEEDOR]],TERCEROS_INFO[#All],3,FALSE)</f>
        <v>736674.36880000005</v>
      </c>
      <c r="N1887" s="23"/>
      <c r="O1887" s="22">
        <f>+PROVEEDORES[[#This Row],[Descuento sobre subtotal %]]*(PROVEEDORES[[#This Row],[SUBTOTAL]]-PROVEEDORES[[#This Row],[descuento sobre subtotal]])</f>
        <v>0</v>
      </c>
      <c r="P1887" s="83">
        <f>+IF(PROVEEDORES[[#This Row],[SUBTOTAL]]&lt;PROVEEDORES[[#This Row],[base retencion]],0,PROVEEDORES[[#This Row],[retención aplicada]])</f>
        <v>2.5000000000000001E-2</v>
      </c>
      <c r="Q1887" s="22">
        <f>+PROVEEDORES[[#This Row],[Rete Fuente %]]*(PROVEEDORES[[#This Row],[SUBTOTAL]]-PROVEEDORES[[#This Row],[descuento sobre subtotal]])</f>
        <v>96930.838000000003</v>
      </c>
      <c r="R1887" s="21">
        <f>+PROVEEDORES[[#This Row],[SUBTOTAL]]+PROVEEDORES[[#This Row],[IVA 19%]]-PROVEEDORES[[#This Row],[descuento sobre subtotal]]-PROVEEDORES[[#This Row],[Descuento sobre subtotal $2]]-PROVEEDORES[[#This Row],[Rete Fuente $]]</f>
        <v>4516977.0507999994</v>
      </c>
      <c r="S1887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7" s="68">
        <f ca="1">IF(PROVEEDORES[[#This Row],[FECHA DE PAGO]]=0,TODAY()-PROVEEDORES[[#This Row],[FECHA DE FACTURACIÓN]]-PROVEEDORES[[#This Row],[PLAZO Días]],0)</f>
        <v>0</v>
      </c>
      <c r="U1887" s="113" t="str">
        <f>+VLOOKUP(PROVEEDORES[[#This Row],[PROVEEDOR]],Terceros!$A:$D,4,FALSE)</f>
        <v>2,5% con base</v>
      </c>
      <c r="V1887" s="114">
        <f>+YEAR(PROVEEDORES[[#This Row],[FECHA DE FACTURACIÓN]])</f>
        <v>2022</v>
      </c>
      <c r="W1887" s="114">
        <f>+MATCH(PROVEEDORES[[#This Row],[año facturado]],Retenciones!$1:$1,0)</f>
        <v>5</v>
      </c>
      <c r="X1887" s="115">
        <f>+VLOOKUP(PROVEEDORES[[#This Row],[ID RETENCION]],Retenciones!$A$1:$O$25,PROVEEDORES[[#This Row],[indicador de columna]],FALSE)</f>
        <v>1026000</v>
      </c>
      <c r="Y1887" s="116">
        <f>+VLOOKUP(PROVEEDORES[[#This Row],[ID RETENCION]],Retenciones!$A$1:$O$25,2,FALSE)</f>
        <v>2.5000000000000001E-2</v>
      </c>
      <c r="Z1887" s="125" t="b">
        <f>OR(COUNTIF(PROVEEDORES[[#This Row],[PROVEEDOR]],"*"&amp;'Palabra no opera'!$A$2&amp;"*"))</f>
        <v>0</v>
      </c>
    </row>
    <row r="1888" spans="1:26" ht="22.2" customHeight="1" x14ac:dyDescent="0.3">
      <c r="A1888" s="207" t="str">
        <f>+IF(PROVEEDORES[[#This Row],[FECHA DE PAGO]]=PROVEEDORES[[#This Row],[FECHA DE FACTURACIÓN]],"DE CONTADO","CRÉDITO")</f>
        <v>CRÉDITO</v>
      </c>
      <c r="B1888" s="38" t="b">
        <f>+IF((PROVEEDORES[[#This Row],[FECHA DE PAGO]]-PROVEEDORES[[#This Row],[FECHA DE FACTURACIÓN]])&gt;PROVEEDORES[[#This Row],[PLAZO Días]],"PAGO VENCIDO")</f>
        <v>0</v>
      </c>
      <c r="C1888" s="20">
        <f>+VLOOKUP(PROVEEDORES[[#This Row],[PROVEEDOR]],TERCEROS_INFO[#All],2,FALSE)</f>
        <v>90</v>
      </c>
      <c r="D1888" s="25">
        <f>+SUMIFS(PROVEEDORES[Total],PROVEEDORES[PROVEEDOR],PROVEEDORES[[#This Row],[PROVEEDOR]],PROVEEDORES[FECHA DE PAGO],"")</f>
        <v>26350422.770000003</v>
      </c>
      <c r="E1888" s="25"/>
      <c r="F188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1888" s="26" t="s">
        <v>12</v>
      </c>
      <c r="I1888" s="161">
        <v>44795</v>
      </c>
      <c r="J1888" s="35" t="s">
        <v>1447</v>
      </c>
      <c r="K1888" s="21">
        <v>3882356</v>
      </c>
      <c r="L1888" s="21"/>
      <c r="M1888" s="22">
        <f>(PROVEEDORES[[#This Row],[SUBTOTAL]]-PROVEEDORES[[#This Row],[descuento sobre subtotal]])*VLOOKUP(PROVEEDORES[[#This Row],[PROVEEDOR]],TERCEROS_INFO[#All],3,FALSE)</f>
        <v>737647.64</v>
      </c>
      <c r="N1888" s="23"/>
      <c r="O1888" s="22">
        <f>+PROVEEDORES[[#This Row],[Descuento sobre subtotal %]]*(PROVEEDORES[[#This Row],[SUBTOTAL]]-PROVEEDORES[[#This Row],[descuento sobre subtotal]])</f>
        <v>0</v>
      </c>
      <c r="P1888" s="83">
        <f>+IF(PROVEEDORES[[#This Row],[SUBTOTAL]]&lt;PROVEEDORES[[#This Row],[base retencion]],0,PROVEEDORES[[#This Row],[retención aplicada]])</f>
        <v>2.5000000000000001E-2</v>
      </c>
      <c r="Q1888" s="22">
        <f>+PROVEEDORES[[#This Row],[Rete Fuente %]]*(PROVEEDORES[[#This Row],[SUBTOTAL]]-PROVEEDORES[[#This Row],[descuento sobre subtotal]])</f>
        <v>97058.900000000009</v>
      </c>
      <c r="R1888" s="21">
        <f>+PROVEEDORES[[#This Row],[SUBTOTAL]]+PROVEEDORES[[#This Row],[IVA 19%]]-PROVEEDORES[[#This Row],[descuento sobre subtotal]]-PROVEEDORES[[#This Row],[Descuento sobre subtotal $2]]-PROVEEDORES[[#This Row],[Rete Fuente $]]</f>
        <v>4522944.7399999993</v>
      </c>
      <c r="S1888" s="2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888" s="68">
        <f ca="1">IF(PROVEEDORES[[#This Row],[FECHA DE PAGO]]=0,TODAY()-PROVEEDORES[[#This Row],[FECHA DE FACTURACIÓN]]-PROVEEDORES[[#This Row],[PLAZO Días]],0)</f>
        <v>-10</v>
      </c>
      <c r="U1888" s="113" t="str">
        <f>+VLOOKUP(PROVEEDORES[[#This Row],[PROVEEDOR]],Terceros!$A:$D,4,FALSE)</f>
        <v>2,5% con base</v>
      </c>
      <c r="V1888" s="114">
        <f>+YEAR(PROVEEDORES[[#This Row],[FECHA DE FACTURACIÓN]])</f>
        <v>2022</v>
      </c>
      <c r="W1888" s="114">
        <f>+MATCH(PROVEEDORES[[#This Row],[año facturado]],Retenciones!$1:$1,0)</f>
        <v>5</v>
      </c>
      <c r="X1888" s="115">
        <f>+VLOOKUP(PROVEEDORES[[#This Row],[ID RETENCION]],Retenciones!$A$1:$O$25,PROVEEDORES[[#This Row],[indicador de columna]],FALSE)</f>
        <v>1026000</v>
      </c>
      <c r="Y1888" s="116">
        <f>+VLOOKUP(PROVEEDORES[[#This Row],[ID RETENCION]],Retenciones!$A$1:$O$25,2,FALSE)</f>
        <v>2.5000000000000001E-2</v>
      </c>
      <c r="Z1888" s="125" t="b">
        <f>OR(COUNTIF(PROVEEDORES[[#This Row],[PROVEEDOR]],"*"&amp;'Palabra no opera'!$A$2&amp;"*"))</f>
        <v>0</v>
      </c>
    </row>
    <row r="1889" spans="1:26" ht="22.2" customHeight="1" x14ac:dyDescent="0.3">
      <c r="A1889" s="66" t="str">
        <f>+IF(PROVEEDORES[[#This Row],[FECHA DE PAGO]]=PROVEEDORES[[#This Row],[FECHA DE FACTURACIÓN]],"DE CONTADO","CRÉDITO")</f>
        <v>CRÉDITO</v>
      </c>
      <c r="B1889" s="38" t="b">
        <f>+IF((PROVEEDORES[[#This Row],[FECHA DE PAGO]]-PROVEEDORES[[#This Row],[FECHA DE FACTURACIÓN]])&gt;PROVEEDORES[[#This Row],[PLAZO Días]],"PAGO VENCIDO")</f>
        <v>0</v>
      </c>
      <c r="C1889" s="20">
        <f>+VLOOKUP(PROVEEDORES[[#This Row],[PROVEEDOR]],TERCEROS_INFO[#All],2,FALSE)</f>
        <v>30</v>
      </c>
      <c r="D1889" s="25">
        <f>+SUMIFS(PROVEEDORES[Total],PROVEEDORES[PROVEEDOR],PROVEEDORES[[#This Row],[PROVEEDOR]],PROVEEDORES[FECHA DE PAGO],"")</f>
        <v>0</v>
      </c>
      <c r="E1889" s="25"/>
      <c r="F1889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889" s="161">
        <v>44540</v>
      </c>
      <c r="H1889" s="26" t="s">
        <v>56</v>
      </c>
      <c r="I1889" s="161">
        <v>44539</v>
      </c>
      <c r="J1889" s="35" t="s">
        <v>560</v>
      </c>
      <c r="K1889" s="21">
        <v>3853480</v>
      </c>
      <c r="L1889" s="21"/>
      <c r="M1889" s="22">
        <f>(PROVEEDORES[[#This Row],[SUBTOTAL]]-PROVEEDORES[[#This Row],[descuento sobre subtotal]])*VLOOKUP(PROVEEDORES[[#This Row],[PROVEEDOR]],TERCEROS_INFO[#All],3,FALSE)</f>
        <v>732161.2</v>
      </c>
      <c r="N1889" s="23"/>
      <c r="O1889" s="22">
        <f>+PROVEEDORES[[#This Row],[Descuento sobre subtotal %]]*(PROVEEDORES[[#This Row],[SUBTOTAL]]-PROVEEDORES[[#This Row],[descuento sobre subtotal]])</f>
        <v>0</v>
      </c>
      <c r="P1889" s="83">
        <f>+IF(PROVEEDORES[[#This Row],[SUBTOTAL]]&lt;PROVEEDORES[[#This Row],[base retencion]],0,PROVEEDORES[[#This Row],[retención aplicada]])</f>
        <v>0</v>
      </c>
      <c r="Q1889" s="22">
        <f>+PROVEEDORES[[#This Row],[Rete Fuente %]]*(PROVEEDORES[[#This Row],[SUBTOTAL]]-PROVEEDORES[[#This Row],[descuento sobre subtotal]])</f>
        <v>0</v>
      </c>
      <c r="R1889" s="21">
        <f>+PROVEEDORES[[#This Row],[SUBTOTAL]]+PROVEEDORES[[#This Row],[IVA 19%]]-PROVEEDORES[[#This Row],[descuento sobre subtotal]]-PROVEEDORES[[#This Row],[Descuento sobre subtotal $2]]-PROVEEDORES[[#This Row],[Rete Fuente $]]</f>
        <v>4585641.2</v>
      </c>
      <c r="S18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9" s="68">
        <f ca="1">IF(PROVEEDORES[[#This Row],[FECHA DE PAGO]]=0,TODAY()-PROVEEDORES[[#This Row],[FECHA DE FACTURACIÓN]]-PROVEEDORES[[#This Row],[PLAZO Días]],0)</f>
        <v>0</v>
      </c>
      <c r="U1889" s="96">
        <f>+VLOOKUP(PROVEEDORES[[#This Row],[PROVEEDOR]],Terceros!$A:$D,4,FALSE)</f>
        <v>0</v>
      </c>
      <c r="V1889" s="97">
        <f>+YEAR(PROVEEDORES[[#This Row],[FECHA DE FACTURACIÓN]])</f>
        <v>2021</v>
      </c>
      <c r="W1889" s="97">
        <f>+MATCH(PROVEEDORES[[#This Row],[año facturado]],Retenciones!$1:$1,0)</f>
        <v>4</v>
      </c>
      <c r="X1889" s="98">
        <f>+VLOOKUP(PROVEEDORES[[#This Row],[ID RETENCION]],Retenciones!$A$1:$O$25,PROVEEDORES[[#This Row],[indicador de columna]],FALSE)</f>
        <v>0</v>
      </c>
      <c r="Y1889" s="99">
        <f>+VLOOKUP(PROVEEDORES[[#This Row],[ID RETENCION]],Retenciones!$A$1:$O$25,2,FALSE)</f>
        <v>0</v>
      </c>
      <c r="Z1889" s="125" t="b">
        <f>OR(COUNTIF(PROVEEDORES[[#This Row],[PROVEEDOR]],"*"&amp;'Palabra no opera'!$A$2&amp;"*"))</f>
        <v>0</v>
      </c>
    </row>
    <row r="1890" spans="1:26" ht="22.2" customHeight="1" x14ac:dyDescent="0.3">
      <c r="A1890" s="66" t="str">
        <f>+IF(PROVEEDORES[[#This Row],[FECHA DE PAGO]]=PROVEEDORES[[#This Row],[FECHA DE FACTURACIÓN]],"DE CONTADO","CRÉDITO")</f>
        <v>CRÉDITO</v>
      </c>
      <c r="B1890" s="38" t="b">
        <f>+IF((PROVEEDORES[[#This Row],[FECHA DE PAGO]]-PROVEEDORES[[#This Row],[FECHA DE FACTURACIÓN]])&gt;PROVEEDORES[[#This Row],[PLAZO Días]],"PAGO VENCIDO")</f>
        <v>0</v>
      </c>
      <c r="C1890" s="20">
        <f>+VLOOKUP(PROVEEDORES[[#This Row],[PROVEEDOR]],TERCEROS_INFO[#All],2,FALSE)</f>
        <v>10</v>
      </c>
      <c r="D1890" s="25">
        <f>+SUMIFS(PROVEEDORES[Total],PROVEEDORES[PROVEEDOR],PROVEEDORES[[#This Row],[PROVEEDOR]],PROVEEDORES[FECHA DE PAGO],"")</f>
        <v>0</v>
      </c>
      <c r="E1890" s="25"/>
      <c r="F1890" s="58" t="str">
        <f>+VLOOKUP(PROVEEDORES[[#This Row],[PROVEEDOR]],
                       Terceros!$A:$F,
                       5,
                       FALSE)</f>
        <v/>
      </c>
      <c r="G1890" s="161">
        <v>44215</v>
      </c>
      <c r="H1890" s="26" t="s">
        <v>23</v>
      </c>
      <c r="I1890" s="161">
        <v>44205</v>
      </c>
      <c r="J1890" s="35">
        <v>279400</v>
      </c>
      <c r="K1890" s="21">
        <v>4590250</v>
      </c>
      <c r="L1890" s="21"/>
      <c r="M1890" s="22">
        <f>(PROVEEDORES[[#This Row],[SUBTOTAL]]-PROVEEDORES[[#This Row],[descuento sobre subtotal]])*VLOOKUP(PROVEEDORES[[#This Row],[PROVEEDOR]],TERCEROS_INFO[#All],3,FALSE)</f>
        <v>0</v>
      </c>
      <c r="N1890" s="23"/>
      <c r="O1890" s="22">
        <f>+PROVEEDORES[[#This Row],[Descuento sobre subtotal %]]*(PROVEEDORES[[#This Row],[SUBTOTAL]]-PROVEEDORES[[#This Row],[descuento sobre subtotal]])</f>
        <v>0</v>
      </c>
      <c r="P1890" s="83">
        <f>+IF(PROVEEDORES[[#This Row],[SUBTOTAL]]&lt;PROVEEDORES[[#This Row],[base retencion]],0,PROVEEDORES[[#This Row],[retención aplicada]])</f>
        <v>0</v>
      </c>
      <c r="Q1890" s="22">
        <f>+PROVEEDORES[[#This Row],[Rete Fuente %]]*(PROVEEDORES[[#This Row],[SUBTOTAL]]-PROVEEDORES[[#This Row],[descuento sobre subtotal]])</f>
        <v>0</v>
      </c>
      <c r="R1890" s="21">
        <f>+PROVEEDORES[[#This Row],[SUBTOTAL]]+PROVEEDORES[[#This Row],[IVA 19%]]-PROVEEDORES[[#This Row],[descuento sobre subtotal]]-PROVEEDORES[[#This Row],[Descuento sobre subtotal $2]]-PROVEEDORES[[#This Row],[Rete Fuente $]]</f>
        <v>4590250</v>
      </c>
      <c r="S18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0" s="68">
        <f ca="1">IF(PROVEEDORES[[#This Row],[FECHA DE PAGO]]=0,TODAY()-PROVEEDORES[[#This Row],[FECHA DE FACTURACIÓN]]-PROVEEDORES[[#This Row],[PLAZO Días]],0)</f>
        <v>0</v>
      </c>
      <c r="U1890" s="96">
        <f>+VLOOKUP(PROVEEDORES[[#This Row],[PROVEEDOR]],Terceros!$A:$D,4,FALSE)</f>
        <v>0</v>
      </c>
      <c r="V1890" s="97">
        <f>+YEAR(PROVEEDORES[[#This Row],[FECHA DE FACTURACIÓN]])</f>
        <v>2021</v>
      </c>
      <c r="W1890" s="97">
        <f>+MATCH(PROVEEDORES[[#This Row],[año facturado]],Retenciones!$1:$1,0)</f>
        <v>4</v>
      </c>
      <c r="X1890" s="98">
        <f>+VLOOKUP(PROVEEDORES[[#This Row],[ID RETENCION]],Retenciones!$A$1:$O$25,PROVEEDORES[[#This Row],[indicador de columna]],FALSE)</f>
        <v>0</v>
      </c>
      <c r="Y1890" s="99">
        <f>+VLOOKUP(PROVEEDORES[[#This Row],[ID RETENCION]],Retenciones!$A$1:$O$25,2,FALSE)</f>
        <v>0</v>
      </c>
      <c r="Z1890" s="125" t="b">
        <f>OR(COUNTIF(PROVEEDORES[[#This Row],[PROVEEDOR]],"*"&amp;'Palabra no opera'!$A$2&amp;"*"))</f>
        <v>0</v>
      </c>
    </row>
    <row r="1891" spans="1:26" ht="22.2" customHeight="1" x14ac:dyDescent="0.3">
      <c r="A1891" s="269" t="str">
        <f>+IF(PROVEEDORES[[#This Row],[FECHA DE PAGO]]=PROVEEDORES[[#This Row],[FECHA DE FACTURACIÓN]],"DE CONTADO","CRÉDITO")</f>
        <v>CRÉDITO</v>
      </c>
      <c r="B1891" s="38" t="b">
        <f>+IF((PROVEEDORES[[#This Row],[FECHA DE PAGO]]-PROVEEDORES[[#This Row],[FECHA DE FACTURACIÓN]])&gt;PROVEEDORES[[#This Row],[PLAZO Días]],"PAGO VENCIDO")</f>
        <v>0</v>
      </c>
      <c r="C1891" s="20">
        <f>+VLOOKUP(PROVEEDORES[[#This Row],[PROVEEDOR]],TERCEROS_INFO[#All],2,FALSE)</f>
        <v>30</v>
      </c>
      <c r="D1891" s="25">
        <f>+SUMIFS(PROVEEDORES[Total],PROVEEDORES[PROVEEDOR],PROVEEDORES[[#This Row],[PROVEEDOR]],PROVEEDORES[FECHA DE PAGO],"")</f>
        <v>4595668.7</v>
      </c>
      <c r="E1891" s="25"/>
      <c r="F1891" s="58" t="str">
        <f>+VLOOKUP(PROVEEDORES[[#This Row],[PROVEEDOR]],
                       Terceros!$A:$F,
                       5,
                       FALSE)</f>
        <v/>
      </c>
      <c r="H1891" s="26" t="s">
        <v>81</v>
      </c>
      <c r="I1891" s="161">
        <v>44868</v>
      </c>
      <c r="J1891" s="35" t="s">
        <v>1826</v>
      </c>
      <c r="K1891" s="21">
        <v>3944780</v>
      </c>
      <c r="L1891" s="21"/>
      <c r="M1891" s="22">
        <f>(PROVEEDORES[[#This Row],[SUBTOTAL]]-PROVEEDORES[[#This Row],[descuento sobre subtotal]])*VLOOKUP(PROVEEDORES[[#This Row],[PROVEEDOR]],TERCEROS_INFO[#All],3,FALSE)</f>
        <v>749508.2</v>
      </c>
      <c r="N1891" s="23"/>
      <c r="O1891" s="22">
        <f>+PROVEEDORES[[#This Row],[Descuento sobre subtotal %]]*(PROVEEDORES[[#This Row],[SUBTOTAL]]-PROVEEDORES[[#This Row],[descuento sobre subtotal]])</f>
        <v>0</v>
      </c>
      <c r="P1891" s="83">
        <f>+IF(PROVEEDORES[[#This Row],[SUBTOTAL]]&lt;PROVEEDORES[[#This Row],[base retencion]],0,PROVEEDORES[[#This Row],[retención aplicada]])</f>
        <v>2.5000000000000001E-2</v>
      </c>
      <c r="Q1891" s="22">
        <f>+PROVEEDORES[[#This Row],[Rete Fuente %]]*(PROVEEDORES[[#This Row],[SUBTOTAL]]-PROVEEDORES[[#This Row],[descuento sobre subtotal]])</f>
        <v>98619.5</v>
      </c>
      <c r="R1891" s="21">
        <f>+PROVEEDORES[[#This Row],[SUBTOTAL]]+PROVEEDORES[[#This Row],[IVA 19%]]-PROVEEDORES[[#This Row],[descuento sobre subtotal]]-PROVEEDORES[[#This Row],[Descuento sobre subtotal $2]]-PROVEEDORES[[#This Row],[Rete Fuente $]]</f>
        <v>4595668.7</v>
      </c>
      <c r="S1891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891" s="68">
        <f ca="1">IF(PROVEEDORES[[#This Row],[FECHA DE PAGO]]=0,TODAY()-PROVEEDORES[[#This Row],[FECHA DE FACTURACIÓN]]-PROVEEDORES[[#This Row],[PLAZO Días]],0)</f>
        <v>-23</v>
      </c>
      <c r="U1891" s="113" t="str">
        <f>+VLOOKUP(PROVEEDORES[[#This Row],[PROVEEDOR]],Terceros!$A:$D,4,FALSE)</f>
        <v>2,5% con base</v>
      </c>
      <c r="V1891" s="114">
        <f>+YEAR(PROVEEDORES[[#This Row],[FECHA DE FACTURACIÓN]])</f>
        <v>2022</v>
      </c>
      <c r="W1891" s="114">
        <f>+MATCH(PROVEEDORES[[#This Row],[año facturado]],Retenciones!$1:$1,0)</f>
        <v>5</v>
      </c>
      <c r="X1891" s="115">
        <f>+VLOOKUP(PROVEEDORES[[#This Row],[ID RETENCION]],Retenciones!$A$1:$O$25,PROVEEDORES[[#This Row],[indicador de columna]],FALSE)</f>
        <v>1026000</v>
      </c>
      <c r="Y1891" s="116">
        <f>+VLOOKUP(PROVEEDORES[[#This Row],[ID RETENCION]],Retenciones!$A$1:$O$25,2,FALSE)</f>
        <v>2.5000000000000001E-2</v>
      </c>
      <c r="Z1891" s="125" t="b">
        <f>OR(COUNTIF(PROVEEDORES[[#This Row],[PROVEEDOR]],"*"&amp;'Palabra no opera'!$A$2&amp;"*"))</f>
        <v>0</v>
      </c>
    </row>
    <row r="1892" spans="1:26" ht="22.2" customHeight="1" x14ac:dyDescent="0.3">
      <c r="A1892" s="66" t="str">
        <f>+IF(PROVEEDORES[[#This Row],[FECHA DE PAGO]]=PROVEEDORES[[#This Row],[FECHA DE FACTURACIÓN]],"DE CONTADO","CRÉDITO")</f>
        <v>CRÉDITO</v>
      </c>
      <c r="B1892" s="38" t="b">
        <f>+IF((PROVEEDORES[[#This Row],[FECHA DE PAGO]]-PROVEEDORES[[#This Row],[FECHA DE FACTURACIÓN]])&gt;PROVEEDORES[[#This Row],[PLAZO Días]],"PAGO VENCIDO")</f>
        <v>0</v>
      </c>
      <c r="C1892" s="20">
        <f>+VLOOKUP(PROVEEDORES[[#This Row],[PROVEEDOR]],TERCEROS_INFO[#All],2,FALSE)</f>
        <v>20</v>
      </c>
      <c r="D1892" s="25">
        <f>+SUMIFS(PROVEEDORES[Total],PROVEEDORES[PROVEEDOR],PROVEEDORES[[#This Row],[PROVEEDOR]],PROVEEDORES[FECHA DE PAGO],"")</f>
        <v>0</v>
      </c>
      <c r="E1892" s="25"/>
      <c r="F189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92" s="161">
        <v>44396</v>
      </c>
      <c r="H1892" s="26" t="s">
        <v>942</v>
      </c>
      <c r="I1892" s="161">
        <v>44378</v>
      </c>
      <c r="J1892" s="35">
        <v>39654</v>
      </c>
      <c r="K1892" s="21">
        <v>3987000</v>
      </c>
      <c r="L1892" s="21"/>
      <c r="M1892" s="22">
        <f>(PROVEEDORES[[#This Row],[SUBTOTAL]]-PROVEEDORES[[#This Row],[descuento sobre subtotal]])*VLOOKUP(PROVEEDORES[[#This Row],[PROVEEDOR]],TERCEROS_INFO[#All],3,FALSE)</f>
        <v>757530</v>
      </c>
      <c r="N1892" s="23"/>
      <c r="O1892" s="22">
        <f>+PROVEEDORES[[#This Row],[Descuento sobre subtotal %]]*(PROVEEDORES[[#This Row],[SUBTOTAL]]-PROVEEDORES[[#This Row],[descuento sobre subtotal]])</f>
        <v>0</v>
      </c>
      <c r="P1892" s="83">
        <f>+IF(PROVEEDORES[[#This Row],[SUBTOTAL]]&lt;PROVEEDORES[[#This Row],[base retencion]],0,PROVEEDORES[[#This Row],[retención aplicada]])</f>
        <v>3.5000000000000003E-2</v>
      </c>
      <c r="Q1892" s="22">
        <f>+PROVEEDORES[[#This Row],[Rete Fuente %]]*(PROVEEDORES[[#This Row],[SUBTOTAL]]-PROVEEDORES[[#This Row],[descuento sobre subtotal]])</f>
        <v>139545</v>
      </c>
      <c r="R1892" s="21">
        <f>+PROVEEDORES[[#This Row],[SUBTOTAL]]+PROVEEDORES[[#This Row],[IVA 19%]]-PROVEEDORES[[#This Row],[descuento sobre subtotal]]-PROVEEDORES[[#This Row],[Descuento sobre subtotal $2]]-PROVEEDORES[[#This Row],[Rete Fuente $]]</f>
        <v>4604985</v>
      </c>
      <c r="S18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2" s="68">
        <f ca="1">IF(PROVEEDORES[[#This Row],[FECHA DE PAGO]]=0,TODAY()-PROVEEDORES[[#This Row],[FECHA DE FACTURACIÓN]]-PROVEEDORES[[#This Row],[PLAZO Días]],0)</f>
        <v>0</v>
      </c>
      <c r="U1892" s="96" t="str">
        <f>+VLOOKUP(PROVEEDORES[[#This Row],[PROVEEDOR]],Terceros!$A:$D,4,FALSE)</f>
        <v>3,5% sin base</v>
      </c>
      <c r="V1892" s="97">
        <f>+YEAR(PROVEEDORES[[#This Row],[FECHA DE FACTURACIÓN]])</f>
        <v>2021</v>
      </c>
      <c r="W1892" s="97">
        <f>+MATCH(PROVEEDORES[[#This Row],[año facturado]],Retenciones!$1:$1,0)</f>
        <v>4</v>
      </c>
      <c r="X1892" s="98">
        <f>+VLOOKUP(PROVEEDORES[[#This Row],[ID RETENCION]],Retenciones!$A$1:$O$25,PROVEEDORES[[#This Row],[indicador de columna]],FALSE)</f>
        <v>0</v>
      </c>
      <c r="Y1892" s="99">
        <f>+VLOOKUP(PROVEEDORES[[#This Row],[ID RETENCION]],Retenciones!$A$1:$O$25,2,FALSE)</f>
        <v>3.5000000000000003E-2</v>
      </c>
      <c r="Z1892" s="127" t="b">
        <f>OR(COUNTIF(PROVEEDORES[[#This Row],[PROVEEDOR]],"*"&amp;'Palabra no opera'!$A$2&amp;"*"))</f>
        <v>1</v>
      </c>
    </row>
    <row r="1893" spans="1:26" ht="22.2" customHeight="1" x14ac:dyDescent="0.3">
      <c r="A1893" s="66" t="str">
        <f>+IF(PROVEEDORES[[#This Row],[FECHA DE PAGO]]=PROVEEDORES[[#This Row],[FECHA DE FACTURACIÓN]],"DE CONTADO","CRÉDITO")</f>
        <v>CRÉDITO</v>
      </c>
      <c r="B1893" s="38" t="b">
        <f>+IF((PROVEEDORES[[#This Row],[FECHA DE PAGO]]-PROVEEDORES[[#This Row],[FECHA DE FACTURACIÓN]])&gt;PROVEEDORES[[#This Row],[PLAZO Días]],"PAGO VENCIDO")</f>
        <v>0</v>
      </c>
      <c r="C1893" s="20">
        <f>+VLOOKUP(PROVEEDORES[[#This Row],[PROVEEDOR]],TERCEROS_INFO[#All],2,FALSE)</f>
        <v>45</v>
      </c>
      <c r="D1893" s="25">
        <f>+SUMIFS(PROVEEDORES[Total],PROVEEDORES[PROVEEDOR],PROVEEDORES[[#This Row],[PROVEEDOR]],PROVEEDORES[FECHA DE PAGO],"")</f>
        <v>31891814.359999999</v>
      </c>
      <c r="E1893" s="25"/>
      <c r="F189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93" s="161">
        <v>44239</v>
      </c>
      <c r="H1893" s="26" t="s">
        <v>19</v>
      </c>
      <c r="I1893" s="161">
        <v>44201</v>
      </c>
      <c r="J1893" s="35" t="s">
        <v>103</v>
      </c>
      <c r="K1893" s="21">
        <v>3875040.3361344538</v>
      </c>
      <c r="L1893" s="21"/>
      <c r="M1893" s="22">
        <f>(PROVEEDORES[[#This Row],[SUBTOTAL]]-PROVEEDORES[[#This Row],[descuento sobre subtotal]])*VLOOKUP(PROVEEDORES[[#This Row],[PROVEEDOR]],TERCEROS_INFO[#All],3,FALSE)</f>
        <v>736257.66386554623</v>
      </c>
      <c r="N1893" s="23"/>
      <c r="O1893" s="22">
        <f>+PROVEEDORES[[#This Row],[Descuento sobre subtotal %]]*(PROVEEDORES[[#This Row],[SUBTOTAL]]-PROVEEDORES[[#This Row],[descuento sobre subtotal]])</f>
        <v>0</v>
      </c>
      <c r="P1893" s="83">
        <f>+IF(PROVEEDORES[[#This Row],[SUBTOTAL]]&lt;PROVEEDORES[[#This Row],[base retencion]],0,PROVEEDORES[[#This Row],[retención aplicada]])</f>
        <v>0</v>
      </c>
      <c r="Q1893" s="22">
        <f>+PROVEEDORES[[#This Row],[Rete Fuente %]]*(PROVEEDORES[[#This Row],[SUBTOTAL]]-PROVEEDORES[[#This Row],[descuento sobre subtotal]])</f>
        <v>0</v>
      </c>
      <c r="R1893" s="21">
        <f>+PROVEEDORES[[#This Row],[SUBTOTAL]]+PROVEEDORES[[#This Row],[IVA 19%]]-PROVEEDORES[[#This Row],[descuento sobre subtotal]]-PROVEEDORES[[#This Row],[Descuento sobre subtotal $2]]-PROVEEDORES[[#This Row],[Rete Fuente $]]</f>
        <v>4611298</v>
      </c>
      <c r="S18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3" s="68">
        <f ca="1">IF(PROVEEDORES[[#This Row],[FECHA DE PAGO]]=0,TODAY()-PROVEEDORES[[#This Row],[FECHA DE FACTURACIÓN]]-PROVEEDORES[[#This Row],[PLAZO Días]],0)</f>
        <v>0</v>
      </c>
      <c r="U1893" s="96">
        <f>+VLOOKUP(PROVEEDORES[[#This Row],[PROVEEDOR]],Terceros!$A:$D,4,FALSE)</f>
        <v>0</v>
      </c>
      <c r="V1893" s="97">
        <f>+YEAR(PROVEEDORES[[#This Row],[FECHA DE FACTURACIÓN]])</f>
        <v>2021</v>
      </c>
      <c r="W1893" s="97">
        <f>+MATCH(PROVEEDORES[[#This Row],[año facturado]],Retenciones!$1:$1,0)</f>
        <v>4</v>
      </c>
      <c r="X1893" s="98">
        <f>+VLOOKUP(PROVEEDORES[[#This Row],[ID RETENCION]],Retenciones!$A$1:$O$25,PROVEEDORES[[#This Row],[indicador de columna]],FALSE)</f>
        <v>0</v>
      </c>
      <c r="Y1893" s="99">
        <f>+VLOOKUP(PROVEEDORES[[#This Row],[ID RETENCION]],Retenciones!$A$1:$O$25,2,FALSE)</f>
        <v>0</v>
      </c>
      <c r="Z1893" s="125" t="b">
        <f>OR(COUNTIF(PROVEEDORES[[#This Row],[PROVEEDOR]],"*"&amp;'Palabra no opera'!$A$2&amp;"*"))</f>
        <v>0</v>
      </c>
    </row>
    <row r="1894" spans="1:26" ht="22.2" customHeight="1" x14ac:dyDescent="0.3">
      <c r="A1894" s="66" t="str">
        <f>+IF(PROVEEDORES[[#This Row],[FECHA DE PAGO]]=PROVEEDORES[[#This Row],[FECHA DE FACTURACIÓN]],"DE CONTADO","CRÉDITO")</f>
        <v>CRÉDITO</v>
      </c>
      <c r="B1894" s="38" t="str">
        <f>+IF((PROVEEDORES[[#This Row],[FECHA DE PAGO]]-PROVEEDORES[[#This Row],[FECHA DE FACTURACIÓN]])&gt;PROVEEDORES[[#This Row],[PLAZO Días]],"PAGO VENCIDO")</f>
        <v>PAGO VENCIDO</v>
      </c>
      <c r="C1894" s="20">
        <f>+VLOOKUP(PROVEEDORES[[#This Row],[PROVEEDOR]],TERCEROS_INFO[#All],2,FALSE)</f>
        <v>30</v>
      </c>
      <c r="D1894" s="25">
        <f>+SUMIFS(PROVEEDORES[Total],PROVEEDORES[PROVEEDOR],PROVEEDORES[[#This Row],[PROVEEDOR]],PROVEEDORES[FECHA DE PAGO],"")</f>
        <v>5272763.2050000001</v>
      </c>
      <c r="E1894" s="25"/>
      <c r="F189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94" s="161">
        <v>44684</v>
      </c>
      <c r="H1894" s="26" t="s">
        <v>11</v>
      </c>
      <c r="I1894" s="161">
        <v>44627</v>
      </c>
      <c r="J1894" s="35" t="s">
        <v>747</v>
      </c>
      <c r="K1894" s="21">
        <v>3960000</v>
      </c>
      <c r="L1894" s="21"/>
      <c r="M1894" s="22">
        <f>(PROVEEDORES[[#This Row],[SUBTOTAL]]-PROVEEDORES[[#This Row],[descuento sobre subtotal]])*VLOOKUP(PROVEEDORES[[#This Row],[PROVEEDOR]],TERCEROS_INFO[#All],3,FALSE)</f>
        <v>752400</v>
      </c>
      <c r="N1894" s="23"/>
      <c r="O1894" s="22">
        <f>+PROVEEDORES[[#This Row],[Descuento sobre subtotal %]]*(PROVEEDORES[[#This Row],[SUBTOTAL]]-PROVEEDORES[[#This Row],[descuento sobre subtotal]])</f>
        <v>0</v>
      </c>
      <c r="P1894" s="83">
        <f>+IF(PROVEEDORES[[#This Row],[SUBTOTAL]]&lt;PROVEEDORES[[#This Row],[base retencion]],0,PROVEEDORES[[#This Row],[retención aplicada]])</f>
        <v>2.5000000000000001E-2</v>
      </c>
      <c r="Q1894" s="22">
        <f>+PROVEEDORES[[#This Row],[Rete Fuente %]]*(PROVEEDORES[[#This Row],[SUBTOTAL]]-PROVEEDORES[[#This Row],[descuento sobre subtotal]])</f>
        <v>99000</v>
      </c>
      <c r="R1894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18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4" s="68">
        <f ca="1">IF(PROVEEDORES[[#This Row],[FECHA DE PAGO]]=0,TODAY()-PROVEEDORES[[#This Row],[FECHA DE FACTURACIÓN]]-PROVEEDORES[[#This Row],[PLAZO Días]],0)</f>
        <v>0</v>
      </c>
      <c r="U1894" s="96" t="str">
        <f>+VLOOKUP(PROVEEDORES[[#This Row],[PROVEEDOR]],Terceros!$A:$D,4,FALSE)</f>
        <v>2,5% con base</v>
      </c>
      <c r="V1894" s="97">
        <f>+YEAR(PROVEEDORES[[#This Row],[FECHA DE FACTURACIÓN]])</f>
        <v>2022</v>
      </c>
      <c r="W1894" s="97">
        <f>+MATCH(PROVEEDORES[[#This Row],[año facturado]],Retenciones!$1:$1,0)</f>
        <v>5</v>
      </c>
      <c r="X1894" s="98">
        <f>+VLOOKUP(PROVEEDORES[[#This Row],[ID RETENCION]],Retenciones!$A$1:$O$25,PROVEEDORES[[#This Row],[indicador de columna]],FALSE)</f>
        <v>1026000</v>
      </c>
      <c r="Y1894" s="99">
        <f>+VLOOKUP(PROVEEDORES[[#This Row],[ID RETENCION]],Retenciones!$A$1:$O$25,2,FALSE)</f>
        <v>2.5000000000000001E-2</v>
      </c>
      <c r="Z1894" s="127" t="b">
        <f>OR(COUNTIF(PROVEEDORES[[#This Row],[PROVEEDOR]],"*"&amp;'Palabra no opera'!$A$2&amp;"*"))</f>
        <v>0</v>
      </c>
    </row>
    <row r="1895" spans="1:26" ht="22.2" customHeight="1" x14ac:dyDescent="0.3">
      <c r="A1895" s="72" t="str">
        <f>+IF(PROVEEDORES[[#This Row],[FECHA DE PAGO]]=PROVEEDORES[[#This Row],[FECHA DE FACTURACIÓN]],"DE CONTADO","CRÉDITO")</f>
        <v>CRÉDITO</v>
      </c>
      <c r="B1895" s="38" t="str">
        <f>+IF((PROVEEDORES[[#This Row],[FECHA DE PAGO]]-PROVEEDORES[[#This Row],[FECHA DE FACTURACIÓN]])&gt;PROVEEDORES[[#This Row],[PLAZO Días]],"PAGO VENCIDO")</f>
        <v>PAGO VENCIDO</v>
      </c>
      <c r="C1895" s="20">
        <f>+VLOOKUP(PROVEEDORES[[#This Row],[PROVEEDOR]],TERCEROS_INFO[#All],2,FALSE)</f>
        <v>30</v>
      </c>
      <c r="D1895" s="25">
        <f>+SUMIFS(PROVEEDORES[Total],PROVEEDORES[PROVEEDOR],PROVEEDORES[[#This Row],[PROVEEDOR]],PROVEEDORES[FECHA DE PAGO],"")</f>
        <v>5272763.2050000001</v>
      </c>
      <c r="E1895" s="25"/>
      <c r="F189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95" s="161">
        <v>44806</v>
      </c>
      <c r="H1895" s="26" t="s">
        <v>11</v>
      </c>
      <c r="I1895" s="161">
        <v>44760</v>
      </c>
      <c r="J1895" s="35" t="s">
        <v>1143</v>
      </c>
      <c r="K1895" s="21">
        <v>3960000</v>
      </c>
      <c r="L1895" s="21"/>
      <c r="M1895" s="22">
        <f>(PROVEEDORES[[#This Row],[SUBTOTAL]]-PROVEEDORES[[#This Row],[descuento sobre subtotal]])*VLOOKUP(PROVEEDORES[[#This Row],[PROVEEDOR]],TERCEROS_INFO[#All],3,FALSE)</f>
        <v>752400</v>
      </c>
      <c r="N1895" s="23"/>
      <c r="O1895" s="22">
        <f>+PROVEEDORES[[#This Row],[Descuento sobre subtotal %]]*(PROVEEDORES[[#This Row],[SUBTOTAL]]-PROVEEDORES[[#This Row],[descuento sobre subtotal]])</f>
        <v>0</v>
      </c>
      <c r="P1895" s="83">
        <f>+IF(PROVEEDORES[[#This Row],[SUBTOTAL]]&lt;PROVEEDORES[[#This Row],[base retencion]],0,PROVEEDORES[[#This Row],[retención aplicada]])</f>
        <v>2.5000000000000001E-2</v>
      </c>
      <c r="Q1895" s="22">
        <f>+PROVEEDORES[[#This Row],[Rete Fuente %]]*(PROVEEDORES[[#This Row],[SUBTOTAL]]-PROVEEDORES[[#This Row],[descuento sobre subtotal]])</f>
        <v>99000</v>
      </c>
      <c r="R1895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189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5" s="68">
        <f ca="1">IF(PROVEEDORES[[#This Row],[FECHA DE PAGO]]=0,TODAY()-PROVEEDORES[[#This Row],[FECHA DE FACTURACIÓN]]-PROVEEDORES[[#This Row],[PLAZO Días]],0)</f>
        <v>0</v>
      </c>
      <c r="U1895" s="113" t="str">
        <f>+VLOOKUP(PROVEEDORES[[#This Row],[PROVEEDOR]],Terceros!$A:$D,4,FALSE)</f>
        <v>2,5% con base</v>
      </c>
      <c r="V1895" s="114">
        <f>+YEAR(PROVEEDORES[[#This Row],[FECHA DE FACTURACIÓN]])</f>
        <v>2022</v>
      </c>
      <c r="W1895" s="114">
        <f>+MATCH(PROVEEDORES[[#This Row],[año facturado]],Retenciones!$1:$1,0)</f>
        <v>5</v>
      </c>
      <c r="X1895" s="115">
        <f>+VLOOKUP(PROVEEDORES[[#This Row],[ID RETENCION]],Retenciones!$A$1:$O$25,PROVEEDORES[[#This Row],[indicador de columna]],FALSE)</f>
        <v>1026000</v>
      </c>
      <c r="Y1895" s="116">
        <f>+VLOOKUP(PROVEEDORES[[#This Row],[ID RETENCION]],Retenciones!$A$1:$O$25,2,FALSE)</f>
        <v>2.5000000000000001E-2</v>
      </c>
      <c r="Z1895" s="125" t="b">
        <f>OR(COUNTIF(PROVEEDORES[[#This Row],[PROVEEDOR]],"*"&amp;'Palabra no opera'!$A$2&amp;"*"))</f>
        <v>0</v>
      </c>
    </row>
    <row r="1896" spans="1:26" ht="22.2" customHeight="1" x14ac:dyDescent="0.3">
      <c r="A1896" s="66" t="str">
        <f>+IF(PROVEEDORES[[#This Row],[FECHA DE PAGO]]=PROVEEDORES[[#This Row],[FECHA DE FACTURACIÓN]],"DE CONTADO","CRÉDITO")</f>
        <v>CRÉDITO</v>
      </c>
      <c r="B1896" s="38" t="str">
        <f>+IF((PROVEEDORES[[#This Row],[FECHA DE PAGO]]-PROVEEDORES[[#This Row],[FECHA DE FACTURACIÓN]])&gt;PROVEEDORES[[#This Row],[PLAZO Días]],"PAGO VENCIDO")</f>
        <v>PAGO VENCIDO</v>
      </c>
      <c r="C1896" s="20">
        <f>+VLOOKUP(PROVEEDORES[[#This Row],[PROVEEDOR]],TERCEROS_INFO[#All],2,FALSE)</f>
        <v>30</v>
      </c>
      <c r="D1896" s="25">
        <f>+SUMIFS(PROVEEDORES[Total],PROVEEDORES[PROVEEDOR],PROVEEDORES[[#This Row],[PROVEEDOR]],PROVEEDORES[FECHA DE PAGO],"")</f>
        <v>0</v>
      </c>
      <c r="E1896" s="25"/>
      <c r="F1896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896" s="161">
        <v>44635</v>
      </c>
      <c r="H1896" s="26" t="s">
        <v>131</v>
      </c>
      <c r="I1896" s="161">
        <v>44541</v>
      </c>
      <c r="J1896" s="35"/>
      <c r="K1896" s="21">
        <v>3986635</v>
      </c>
      <c r="L1896" s="21"/>
      <c r="M1896" s="22">
        <f>(PROVEEDORES[[#This Row],[SUBTOTAL]]-PROVEEDORES[[#This Row],[descuento sobre subtotal]])*VLOOKUP(PROVEEDORES[[#This Row],[PROVEEDOR]],TERCEROS_INFO[#All],3,FALSE)</f>
        <v>757460.65</v>
      </c>
      <c r="N1896" s="23"/>
      <c r="O1896" s="22">
        <f>+PROVEEDORES[[#This Row],[Descuento sobre subtotal %]]*(PROVEEDORES[[#This Row],[SUBTOTAL]]-PROVEEDORES[[#This Row],[descuento sobre subtotal]])</f>
        <v>0</v>
      </c>
      <c r="P1896" s="83">
        <f>+IF(PROVEEDORES[[#This Row],[SUBTOTAL]]&lt;PROVEEDORES[[#This Row],[base retencion]],0,PROVEEDORES[[#This Row],[retención aplicada]])</f>
        <v>2.5000000000000001E-2</v>
      </c>
      <c r="Q1896" s="22">
        <f>+PROVEEDORES[[#This Row],[Rete Fuente %]]*(PROVEEDORES[[#This Row],[SUBTOTAL]]-PROVEEDORES[[#This Row],[descuento sobre subtotal]])</f>
        <v>99665.875</v>
      </c>
      <c r="R1896" s="21">
        <v>4644429.7750000004</v>
      </c>
      <c r="S18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6" s="68">
        <f ca="1">IF(PROVEEDORES[[#This Row],[FECHA DE PAGO]]=0,TODAY()-PROVEEDORES[[#This Row],[FECHA DE FACTURACIÓN]]-PROVEEDORES[[#This Row],[PLAZO Días]],0)</f>
        <v>0</v>
      </c>
      <c r="U1896" s="96" t="str">
        <f>+VLOOKUP(PROVEEDORES[[#This Row],[PROVEEDOR]],Terceros!$A:$D,4,FALSE)</f>
        <v>2,5% con base</v>
      </c>
      <c r="V1896" s="97">
        <f>+YEAR(PROVEEDORES[[#This Row],[FECHA DE FACTURACIÓN]])</f>
        <v>2021</v>
      </c>
      <c r="W1896" s="97">
        <f>+MATCH(PROVEEDORES[[#This Row],[año facturado]],Retenciones!$1:$1,0)</f>
        <v>4</v>
      </c>
      <c r="X1896" s="98">
        <f>+VLOOKUP(PROVEEDORES[[#This Row],[ID RETENCION]],Retenciones!$A$1:$O$25,PROVEEDORES[[#This Row],[indicador de columna]],FALSE)</f>
        <v>980000</v>
      </c>
      <c r="Y1896" s="99">
        <f>+VLOOKUP(PROVEEDORES[[#This Row],[ID RETENCION]],Retenciones!$A$1:$O$25,2,FALSE)</f>
        <v>2.5000000000000001E-2</v>
      </c>
      <c r="Z1896" s="125" t="b">
        <f>OR(COUNTIF(PROVEEDORES[[#This Row],[PROVEEDOR]],"*"&amp;'Palabra no opera'!$A$2&amp;"*"))</f>
        <v>0</v>
      </c>
    </row>
    <row r="1897" spans="1:26" ht="22.2" customHeight="1" x14ac:dyDescent="0.3">
      <c r="A1897" s="66" t="str">
        <f>+IF(PROVEEDORES[[#This Row],[FECHA DE PAGO]]=PROVEEDORES[[#This Row],[FECHA DE FACTURACIÓN]],"DE CONTADO","CRÉDITO")</f>
        <v>CRÉDITO</v>
      </c>
      <c r="B1897" s="38" t="str">
        <f>+IF((PROVEEDORES[[#This Row],[FECHA DE PAGO]]-PROVEEDORES[[#This Row],[FECHA DE FACTURACIÓN]])&gt;PROVEEDORES[[#This Row],[PLAZO Días]],"PAGO VENCIDO")</f>
        <v>PAGO VENCIDO</v>
      </c>
      <c r="C1897" s="20">
        <f>+VLOOKUP(PROVEEDORES[[#This Row],[PROVEEDOR]],TERCEROS_INFO[#All],2,FALSE)</f>
        <v>30</v>
      </c>
      <c r="D1897" s="25">
        <f>+SUMIFS(PROVEEDORES[Total],PROVEEDORES[PROVEEDOR],PROVEEDORES[[#This Row],[PROVEEDOR]],PROVEEDORES[FECHA DE PAGO],"")</f>
        <v>5272763.2050000001</v>
      </c>
      <c r="E1897" s="25"/>
      <c r="F189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97" s="161">
        <v>44476</v>
      </c>
      <c r="H1897" s="26" t="s">
        <v>11</v>
      </c>
      <c r="I1897" s="161">
        <v>44426</v>
      </c>
      <c r="J1897" s="35" t="s">
        <v>429</v>
      </c>
      <c r="K1897" s="21">
        <v>4023025</v>
      </c>
      <c r="L1897" s="21"/>
      <c r="M1897" s="22">
        <f>(PROVEEDORES[[#This Row],[SUBTOTAL]]-PROVEEDORES[[#This Row],[descuento sobre subtotal]])*VLOOKUP(PROVEEDORES[[#This Row],[PROVEEDOR]],TERCEROS_INFO[#All],3,FALSE)</f>
        <v>764374.75</v>
      </c>
      <c r="N1897" s="23"/>
      <c r="O1897" s="22">
        <f>+PROVEEDORES[[#This Row],[Descuento sobre subtotal %]]*(PROVEEDORES[[#This Row],[SUBTOTAL]]-PROVEEDORES[[#This Row],[descuento sobre subtotal]])</f>
        <v>0</v>
      </c>
      <c r="P1897" s="83">
        <f>+IF(PROVEEDORES[[#This Row],[SUBTOTAL]]&lt;PROVEEDORES[[#This Row],[base retencion]],0,PROVEEDORES[[#This Row],[retención aplicada]])</f>
        <v>2.5000000000000001E-2</v>
      </c>
      <c r="Q1897" s="22">
        <f>+PROVEEDORES[[#This Row],[Rete Fuente %]]*(PROVEEDORES[[#This Row],[SUBTOTAL]]-PROVEEDORES[[#This Row],[descuento sobre subtotal]])</f>
        <v>100575.625</v>
      </c>
      <c r="R1897" s="21">
        <f>+PROVEEDORES[[#This Row],[SUBTOTAL]]+PROVEEDORES[[#This Row],[IVA 19%]]-PROVEEDORES[[#This Row],[descuento sobre subtotal]]-PROVEEDORES[[#This Row],[Descuento sobre subtotal $2]]-PROVEEDORES[[#This Row],[Rete Fuente $]]</f>
        <v>4686824.125</v>
      </c>
      <c r="S18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7" s="68">
        <f ca="1">IF(PROVEEDORES[[#This Row],[FECHA DE PAGO]]=0,TODAY()-PROVEEDORES[[#This Row],[FECHA DE FACTURACIÓN]]-PROVEEDORES[[#This Row],[PLAZO Días]],0)</f>
        <v>0</v>
      </c>
      <c r="U1897" s="96" t="str">
        <f>+VLOOKUP(PROVEEDORES[[#This Row],[PROVEEDOR]],Terceros!$A:$D,4,FALSE)</f>
        <v>2,5% con base</v>
      </c>
      <c r="V1897" s="97">
        <f>+YEAR(PROVEEDORES[[#This Row],[FECHA DE FACTURACIÓN]])</f>
        <v>2021</v>
      </c>
      <c r="W1897" s="97">
        <f>+MATCH(PROVEEDORES[[#This Row],[año facturado]],Retenciones!$1:$1,0)</f>
        <v>4</v>
      </c>
      <c r="X1897" s="98">
        <f>+VLOOKUP(PROVEEDORES[[#This Row],[ID RETENCION]],Retenciones!$A$1:$O$25,PROVEEDORES[[#This Row],[indicador de columna]],FALSE)</f>
        <v>980000</v>
      </c>
      <c r="Y1897" s="99">
        <f>+VLOOKUP(PROVEEDORES[[#This Row],[ID RETENCION]],Retenciones!$A$1:$O$25,2,FALSE)</f>
        <v>2.5000000000000001E-2</v>
      </c>
      <c r="Z1897" s="127" t="b">
        <f>OR(COUNTIF(PROVEEDORES[[#This Row],[PROVEEDOR]],"*"&amp;'Palabra no opera'!$A$2&amp;"*"))</f>
        <v>0</v>
      </c>
    </row>
    <row r="1898" spans="1:26" ht="22.2" customHeight="1" x14ac:dyDescent="0.3">
      <c r="A1898" s="66" t="str">
        <f>+IF(PROVEEDORES[[#This Row],[FECHA DE PAGO]]=PROVEEDORES[[#This Row],[FECHA DE FACTURACIÓN]],"DE CONTADO","CRÉDITO")</f>
        <v>CRÉDITO</v>
      </c>
      <c r="B1898" s="38" t="str">
        <f>+IF((PROVEEDORES[[#This Row],[FECHA DE PAGO]]-PROVEEDORES[[#This Row],[FECHA DE FACTURACIÓN]])&gt;PROVEEDORES[[#This Row],[PLAZO Días]],"PAGO VENCIDO")</f>
        <v>PAGO VENCIDO</v>
      </c>
      <c r="C1898" s="20">
        <f>+VLOOKUP(PROVEEDORES[[#This Row],[PROVEEDOR]],TERCEROS_INFO[#All],2,FALSE)</f>
        <v>30</v>
      </c>
      <c r="D1898" s="25">
        <f>+SUMIFS(PROVEEDORES[Total],PROVEEDORES[PROVEEDOR],PROVEEDORES[[#This Row],[PROVEEDOR]],PROVEEDORES[FECHA DE PAGO],"")</f>
        <v>0</v>
      </c>
      <c r="E1898" s="25"/>
      <c r="F1898" s="58" t="str">
        <f>+VLOOKUP(PROVEEDORES[[#This Row],[PROVEEDOR]],
                       Terceros!$A:$F,
                       5,
                       FALSE)</f>
        <v/>
      </c>
      <c r="G1898" s="161">
        <v>44552</v>
      </c>
      <c r="H1898" s="26" t="s">
        <v>625</v>
      </c>
      <c r="I1898" s="161">
        <v>44494</v>
      </c>
      <c r="J1898" s="35" t="s">
        <v>1508</v>
      </c>
      <c r="K1898" s="21">
        <v>4715000</v>
      </c>
      <c r="L1898" s="21"/>
      <c r="M1898" s="22">
        <f>(PROVEEDORES[[#This Row],[SUBTOTAL]]-PROVEEDORES[[#This Row],[descuento sobre subtotal]])*VLOOKUP(PROVEEDORES[[#This Row],[PROVEEDOR]],TERCEROS_INFO[#All],3,FALSE)</f>
        <v>0</v>
      </c>
      <c r="N1898" s="23"/>
      <c r="O1898" s="22">
        <f>+PROVEEDORES[[#This Row],[Descuento sobre subtotal %]]*(PROVEEDORES[[#This Row],[SUBTOTAL]]-PROVEEDORES[[#This Row],[descuento sobre subtotal]])</f>
        <v>0</v>
      </c>
      <c r="P1898" s="83">
        <f>+IF(PROVEEDORES[[#This Row],[SUBTOTAL]]&lt;PROVEEDORES[[#This Row],[base retencion]],0,PROVEEDORES[[#This Row],[retención aplicada]])</f>
        <v>0</v>
      </c>
      <c r="Q1898" s="22">
        <f>+PROVEEDORES[[#This Row],[Rete Fuente %]]*(PROVEEDORES[[#This Row],[SUBTOTAL]]-PROVEEDORES[[#This Row],[descuento sobre subtotal]])</f>
        <v>0</v>
      </c>
      <c r="R1898" s="21">
        <f>+PROVEEDORES[[#This Row],[SUBTOTAL]]+PROVEEDORES[[#This Row],[IVA 19%]]-PROVEEDORES[[#This Row],[descuento sobre subtotal]]-PROVEEDORES[[#This Row],[Descuento sobre subtotal $2]]-PROVEEDORES[[#This Row],[Rete Fuente $]]</f>
        <v>4715000</v>
      </c>
      <c r="S18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8" s="68">
        <f ca="1">IF(PROVEEDORES[[#This Row],[FECHA DE PAGO]]=0,TODAY()-PROVEEDORES[[#This Row],[FECHA DE FACTURACIÓN]]-PROVEEDORES[[#This Row],[PLAZO Días]],0)</f>
        <v>0</v>
      </c>
      <c r="U1898" s="96">
        <f>+VLOOKUP(PROVEEDORES[[#This Row],[PROVEEDOR]],Terceros!$A:$D,4,FALSE)</f>
        <v>0</v>
      </c>
      <c r="V1898" s="97">
        <f>+YEAR(PROVEEDORES[[#This Row],[FECHA DE FACTURACIÓN]])</f>
        <v>2021</v>
      </c>
      <c r="W1898" s="97">
        <f>+MATCH(PROVEEDORES[[#This Row],[año facturado]],Retenciones!$1:$1,0)</f>
        <v>4</v>
      </c>
      <c r="X1898" s="98">
        <f>+VLOOKUP(PROVEEDORES[[#This Row],[ID RETENCION]],Retenciones!$A$1:$O$25,PROVEEDORES[[#This Row],[indicador de columna]],FALSE)</f>
        <v>0</v>
      </c>
      <c r="Y1898" s="99">
        <f>+VLOOKUP(PROVEEDORES[[#This Row],[ID RETENCION]],Retenciones!$A$1:$O$25,2,FALSE)</f>
        <v>0</v>
      </c>
      <c r="Z1898" s="125" t="b">
        <f>OR(COUNTIF(PROVEEDORES[[#This Row],[PROVEEDOR]],"*"&amp;'Palabra no opera'!$A$2&amp;"*"))</f>
        <v>0</v>
      </c>
    </row>
    <row r="1899" spans="1:26" ht="22.2" customHeight="1" x14ac:dyDescent="0.3">
      <c r="A1899" s="66" t="str">
        <f>+IF(PROVEEDORES[[#This Row],[FECHA DE PAGO]]=PROVEEDORES[[#This Row],[FECHA DE FACTURACIÓN]],"DE CONTADO","CRÉDITO")</f>
        <v>CRÉDITO</v>
      </c>
      <c r="B1899" s="38" t="str">
        <f>+IF((PROVEEDORES[[#This Row],[FECHA DE PAGO]]-PROVEEDORES[[#This Row],[FECHA DE FACTURACIÓN]])&gt;PROVEEDORES[[#This Row],[PLAZO Días]],"PAGO VENCIDO")</f>
        <v>PAGO VENCIDO</v>
      </c>
      <c r="C1899" s="20">
        <f>+VLOOKUP(PROVEEDORES[[#This Row],[PROVEEDOR]],TERCEROS_INFO[#All],2,FALSE)</f>
        <v>30</v>
      </c>
      <c r="D1899" s="25">
        <f>+SUMIFS(PROVEEDORES[Total],PROVEEDORES[PROVEEDOR],PROVEEDORES[[#This Row],[PROVEEDOR]],PROVEEDORES[FECHA DE PAGO],"")</f>
        <v>3215000</v>
      </c>
      <c r="E1899" s="25"/>
      <c r="F1899" s="58" t="str">
        <f>+VLOOKUP(PROVEEDORES[[#This Row],[PROVEEDOR]],
                       Terceros!$A:$F,
                       5,
                       FALSE)</f>
        <v/>
      </c>
      <c r="G1899" s="161">
        <v>44524</v>
      </c>
      <c r="H1899" s="26" t="s">
        <v>671</v>
      </c>
      <c r="I1899" s="161">
        <v>44454</v>
      </c>
      <c r="J1899" s="35" t="s">
        <v>1498</v>
      </c>
      <c r="K1899" s="21">
        <v>4740000</v>
      </c>
      <c r="L1899" s="21"/>
      <c r="M1899" s="22">
        <f>(PROVEEDORES[[#This Row],[SUBTOTAL]]-PROVEEDORES[[#This Row],[descuento sobre subtotal]])*VLOOKUP(PROVEEDORES[[#This Row],[PROVEEDOR]],TERCEROS_INFO[#All],3,FALSE)</f>
        <v>0</v>
      </c>
      <c r="N1899" s="23"/>
      <c r="O1899" s="22">
        <f>+PROVEEDORES[[#This Row],[Descuento sobre subtotal %]]*(PROVEEDORES[[#This Row],[SUBTOTAL]]-PROVEEDORES[[#This Row],[descuento sobre subtotal]])</f>
        <v>0</v>
      </c>
      <c r="P1899" s="83">
        <f>+IF(PROVEEDORES[[#This Row],[SUBTOTAL]]&lt;PROVEEDORES[[#This Row],[base retencion]],0,PROVEEDORES[[#This Row],[retención aplicada]])</f>
        <v>0</v>
      </c>
      <c r="Q1899" s="22">
        <f>+PROVEEDORES[[#This Row],[Rete Fuente %]]*(PROVEEDORES[[#This Row],[SUBTOTAL]]-PROVEEDORES[[#This Row],[descuento sobre subtotal]])</f>
        <v>0</v>
      </c>
      <c r="R1899" s="21">
        <f>+PROVEEDORES[[#This Row],[SUBTOTAL]]+PROVEEDORES[[#This Row],[IVA 19%]]-PROVEEDORES[[#This Row],[descuento sobre subtotal]]-PROVEEDORES[[#This Row],[Descuento sobre subtotal $2]]-PROVEEDORES[[#This Row],[Rete Fuente $]]</f>
        <v>4740000</v>
      </c>
      <c r="S18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9" s="68">
        <f ca="1">IF(PROVEEDORES[[#This Row],[FECHA DE PAGO]]=0,TODAY()-PROVEEDORES[[#This Row],[FECHA DE FACTURACIÓN]]-PROVEEDORES[[#This Row],[PLAZO Días]],0)</f>
        <v>0</v>
      </c>
      <c r="U1899" s="96">
        <f>+VLOOKUP(PROVEEDORES[[#This Row],[PROVEEDOR]],Terceros!$A:$D,4,FALSE)</f>
        <v>0</v>
      </c>
      <c r="V1899" s="97">
        <f>+YEAR(PROVEEDORES[[#This Row],[FECHA DE FACTURACIÓN]])</f>
        <v>2021</v>
      </c>
      <c r="W1899" s="97">
        <f>+MATCH(PROVEEDORES[[#This Row],[año facturado]],Retenciones!$1:$1,0)</f>
        <v>4</v>
      </c>
      <c r="X1899" s="98">
        <f>+VLOOKUP(PROVEEDORES[[#This Row],[ID RETENCION]],Retenciones!$A$1:$O$25,PROVEEDORES[[#This Row],[indicador de columna]],FALSE)</f>
        <v>0</v>
      </c>
      <c r="Y1899" s="99">
        <f>+VLOOKUP(PROVEEDORES[[#This Row],[ID RETENCION]],Retenciones!$A$1:$O$25,2,FALSE)</f>
        <v>0</v>
      </c>
      <c r="Z1899" s="125" t="b">
        <f>OR(COUNTIF(PROVEEDORES[[#This Row],[PROVEEDOR]],"*"&amp;'Palabra no opera'!$A$2&amp;"*"))</f>
        <v>0</v>
      </c>
    </row>
    <row r="1900" spans="1:26" ht="22.2" customHeight="1" x14ac:dyDescent="0.3">
      <c r="A1900" s="66" t="str">
        <f>+IF(PROVEEDORES[[#This Row],[FECHA DE PAGO]]=PROVEEDORES[[#This Row],[FECHA DE FACTURACIÓN]],"DE CONTADO","CRÉDITO")</f>
        <v>CRÉDITO</v>
      </c>
      <c r="B1900" s="38" t="str">
        <f>+IF((PROVEEDORES[[#This Row],[FECHA DE PAGO]]-PROVEEDORES[[#This Row],[FECHA DE FACTURACIÓN]])&gt;PROVEEDORES[[#This Row],[PLAZO Días]],"PAGO VENCIDO")</f>
        <v>PAGO VENCIDO</v>
      </c>
      <c r="C1900" s="20">
        <f>+VLOOKUP(PROVEEDORES[[#This Row],[PROVEEDOR]],TERCEROS_INFO[#All],2,FALSE)</f>
        <v>30</v>
      </c>
      <c r="D1900" s="25">
        <f>+SUMIFS(PROVEEDORES[Total],PROVEEDORES[PROVEEDOR],PROVEEDORES[[#This Row],[PROVEEDOR]],PROVEEDORES[FECHA DE PAGO],"")</f>
        <v>5272763.2050000001</v>
      </c>
      <c r="E1900" s="25"/>
      <c r="F190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00" s="161">
        <v>44545</v>
      </c>
      <c r="H1900" s="26" t="s">
        <v>11</v>
      </c>
      <c r="I1900" s="161">
        <v>44503</v>
      </c>
      <c r="J1900" s="35" t="s">
        <v>519</v>
      </c>
      <c r="K1900" s="21">
        <v>4086050</v>
      </c>
      <c r="L1900" s="21"/>
      <c r="M1900" s="22">
        <f>(PROVEEDORES[[#This Row],[SUBTOTAL]]-PROVEEDORES[[#This Row],[descuento sobre subtotal]])*VLOOKUP(PROVEEDORES[[#This Row],[PROVEEDOR]],TERCEROS_INFO[#All],3,FALSE)</f>
        <v>776349.5</v>
      </c>
      <c r="N1900" s="23"/>
      <c r="O1900" s="22">
        <f>+PROVEEDORES[[#This Row],[Descuento sobre subtotal %]]*(PROVEEDORES[[#This Row],[SUBTOTAL]]-PROVEEDORES[[#This Row],[descuento sobre subtotal]])</f>
        <v>0</v>
      </c>
      <c r="P1900" s="83">
        <f>+IF(PROVEEDORES[[#This Row],[SUBTOTAL]]&lt;PROVEEDORES[[#This Row],[base retencion]],0,PROVEEDORES[[#This Row],[retención aplicada]])</f>
        <v>2.5000000000000001E-2</v>
      </c>
      <c r="Q1900" s="22">
        <f>+PROVEEDORES[[#This Row],[Rete Fuente %]]*(PROVEEDORES[[#This Row],[SUBTOTAL]]-PROVEEDORES[[#This Row],[descuento sobre subtotal]])</f>
        <v>102151.25</v>
      </c>
      <c r="R1900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19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0" s="68">
        <f ca="1">IF(PROVEEDORES[[#This Row],[FECHA DE PAGO]]=0,TODAY()-PROVEEDORES[[#This Row],[FECHA DE FACTURACIÓN]]-PROVEEDORES[[#This Row],[PLAZO Días]],0)</f>
        <v>0</v>
      </c>
      <c r="U1900" s="96" t="str">
        <f>+VLOOKUP(PROVEEDORES[[#This Row],[PROVEEDOR]],Terceros!$A:$D,4,FALSE)</f>
        <v>2,5% con base</v>
      </c>
      <c r="V1900" s="97">
        <f>+YEAR(PROVEEDORES[[#This Row],[FECHA DE FACTURACIÓN]])</f>
        <v>2021</v>
      </c>
      <c r="W1900" s="97">
        <f>+MATCH(PROVEEDORES[[#This Row],[año facturado]],Retenciones!$1:$1,0)</f>
        <v>4</v>
      </c>
      <c r="X1900" s="98">
        <f>+VLOOKUP(PROVEEDORES[[#This Row],[ID RETENCION]],Retenciones!$A$1:$O$25,PROVEEDORES[[#This Row],[indicador de columna]],FALSE)</f>
        <v>980000</v>
      </c>
      <c r="Y1900" s="99">
        <f>+VLOOKUP(PROVEEDORES[[#This Row],[ID RETENCION]],Retenciones!$A$1:$O$25,2,FALSE)</f>
        <v>2.5000000000000001E-2</v>
      </c>
      <c r="Z1900" s="127" t="b">
        <f>OR(COUNTIF(PROVEEDORES[[#This Row],[PROVEEDOR]],"*"&amp;'Palabra no opera'!$A$2&amp;"*"))</f>
        <v>0</v>
      </c>
    </row>
    <row r="1901" spans="1:26" ht="22.2" customHeight="1" x14ac:dyDescent="0.3">
      <c r="A1901" s="159" t="str">
        <f>+IF(PROVEEDORES[[#This Row],[FECHA DE PAGO]]=PROVEEDORES[[#This Row],[FECHA DE FACTURACIÓN]],"DE CONTADO","CRÉDITO")</f>
        <v>CRÉDITO</v>
      </c>
      <c r="B1901" s="38" t="str">
        <f>+IF((PROVEEDORES[[#This Row],[FECHA DE PAGO]]-PROVEEDORES[[#This Row],[FECHA DE FACTURACIÓN]])&gt;PROVEEDORES[[#This Row],[PLAZO Días]],"PAGO VENCIDO")</f>
        <v>PAGO VENCIDO</v>
      </c>
      <c r="C1901" s="20">
        <f>+VLOOKUP(PROVEEDORES[[#This Row],[PROVEEDOR]],TERCEROS_INFO[#All],2,FALSE)</f>
        <v>30</v>
      </c>
      <c r="D1901" s="25">
        <f>+SUMIFS(PROVEEDORES[Total],PROVEEDORES[PROVEEDOR],PROVEEDORES[[#This Row],[PROVEEDOR]],PROVEEDORES[FECHA DE PAGO],"")</f>
        <v>5272763.2050000001</v>
      </c>
      <c r="E1901" s="25"/>
      <c r="F190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01" s="161">
        <v>44776</v>
      </c>
      <c r="H1901" s="26" t="s">
        <v>11</v>
      </c>
      <c r="I1901" s="161">
        <v>44742</v>
      </c>
      <c r="J1901" s="35" t="s">
        <v>1092</v>
      </c>
      <c r="K1901" s="21">
        <v>4086050</v>
      </c>
      <c r="L1901" s="21"/>
      <c r="M1901" s="22">
        <f>(PROVEEDORES[[#This Row],[SUBTOTAL]]-PROVEEDORES[[#This Row],[descuento sobre subtotal]])*VLOOKUP(PROVEEDORES[[#This Row],[PROVEEDOR]],TERCEROS_INFO[#All],3,FALSE)</f>
        <v>776349.5</v>
      </c>
      <c r="N1901" s="23"/>
      <c r="O1901" s="22">
        <f>+PROVEEDORES[[#This Row],[Descuento sobre subtotal %]]*(PROVEEDORES[[#This Row],[SUBTOTAL]]-PROVEEDORES[[#This Row],[descuento sobre subtotal]])</f>
        <v>0</v>
      </c>
      <c r="P1901" s="83">
        <f>+IF(PROVEEDORES[[#This Row],[SUBTOTAL]]&lt;PROVEEDORES[[#This Row],[base retencion]],0,PROVEEDORES[[#This Row],[retención aplicada]])</f>
        <v>2.5000000000000001E-2</v>
      </c>
      <c r="Q1901" s="22">
        <f>+PROVEEDORES[[#This Row],[Rete Fuente %]]*(PROVEEDORES[[#This Row],[SUBTOTAL]]-PROVEEDORES[[#This Row],[descuento sobre subtotal]])</f>
        <v>102151.25</v>
      </c>
      <c r="R1901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1901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1" s="68">
        <f ca="1">IF(PROVEEDORES[[#This Row],[FECHA DE PAGO]]=0,TODAY()-PROVEEDORES[[#This Row],[FECHA DE FACTURACIÓN]]-PROVEEDORES[[#This Row],[PLAZO Días]],0)</f>
        <v>0</v>
      </c>
      <c r="U1901" s="113" t="str">
        <f>+VLOOKUP(PROVEEDORES[[#This Row],[PROVEEDOR]],Terceros!$A:$D,4,FALSE)</f>
        <v>2,5% con base</v>
      </c>
      <c r="V1901" s="114">
        <f>+YEAR(PROVEEDORES[[#This Row],[FECHA DE FACTURACIÓN]])</f>
        <v>2022</v>
      </c>
      <c r="W1901" s="114">
        <f>+MATCH(PROVEEDORES[[#This Row],[año facturado]],Retenciones!$1:$1,0)</f>
        <v>5</v>
      </c>
      <c r="X1901" s="115">
        <f>+VLOOKUP(PROVEEDORES[[#This Row],[ID RETENCION]],Retenciones!$A$1:$O$25,PROVEEDORES[[#This Row],[indicador de columna]],FALSE)</f>
        <v>1026000</v>
      </c>
      <c r="Y1901" s="116">
        <f>+VLOOKUP(PROVEEDORES[[#This Row],[ID RETENCION]],Retenciones!$A$1:$O$25,2,FALSE)</f>
        <v>2.5000000000000001E-2</v>
      </c>
      <c r="Z1901" s="125" t="b">
        <f>OR(COUNTIF(PROVEEDORES[[#This Row],[PROVEEDOR]],"*"&amp;'Palabra no opera'!$A$2&amp;"*"))</f>
        <v>0</v>
      </c>
    </row>
    <row r="1902" spans="1:26" ht="22.2" customHeight="1" x14ac:dyDescent="0.3">
      <c r="A1902" s="66" t="str">
        <f>+IF(PROVEEDORES[[#This Row],[FECHA DE PAGO]]=PROVEEDORES[[#This Row],[FECHA DE FACTURACIÓN]],"DE CONTADO","CRÉDITO")</f>
        <v>CRÉDITO</v>
      </c>
      <c r="B1902" s="38" t="str">
        <f>+IF((PROVEEDORES[[#This Row],[FECHA DE PAGO]]-PROVEEDORES[[#This Row],[FECHA DE FACTURACIÓN]])&gt;PROVEEDORES[[#This Row],[PLAZO Días]],"PAGO VENCIDO")</f>
        <v>PAGO VENCIDO</v>
      </c>
      <c r="C1902" s="20">
        <f>+VLOOKUP(PROVEEDORES[[#This Row],[PROVEEDOR]],TERCEROS_INFO[#All],2,FALSE)</f>
        <v>20</v>
      </c>
      <c r="D1902" s="25">
        <f>+SUMIFS(PROVEEDORES[Total],PROVEEDORES[PROVEEDOR],PROVEEDORES[[#This Row],[PROVEEDOR]],PROVEEDORES[FECHA DE PAGO],"")</f>
        <v>0</v>
      </c>
      <c r="E1902" s="25"/>
      <c r="F190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02" s="161">
        <v>44496</v>
      </c>
      <c r="H1902" s="26" t="s">
        <v>942</v>
      </c>
      <c r="I1902" s="161">
        <v>44287</v>
      </c>
      <c r="J1902" s="35">
        <v>38743</v>
      </c>
      <c r="K1902" s="21">
        <v>4142000</v>
      </c>
      <c r="L1902" s="21"/>
      <c r="M1902" s="22">
        <f>(PROVEEDORES[[#This Row],[SUBTOTAL]]-PROVEEDORES[[#This Row],[descuento sobre subtotal]])*VLOOKUP(PROVEEDORES[[#This Row],[PROVEEDOR]],TERCEROS_INFO[#All],3,FALSE)</f>
        <v>786980</v>
      </c>
      <c r="N1902" s="23"/>
      <c r="O1902" s="22">
        <f>+PROVEEDORES[[#This Row],[Descuento sobre subtotal %]]*(PROVEEDORES[[#This Row],[SUBTOTAL]]-PROVEEDORES[[#This Row],[descuento sobre subtotal]])</f>
        <v>0</v>
      </c>
      <c r="P1902" s="83">
        <f>+IF(PROVEEDORES[[#This Row],[SUBTOTAL]]&lt;PROVEEDORES[[#This Row],[base retencion]],0,PROVEEDORES[[#This Row],[retención aplicada]])</f>
        <v>3.5000000000000003E-2</v>
      </c>
      <c r="Q1902" s="22">
        <f>+PROVEEDORES[[#This Row],[Rete Fuente %]]*(PROVEEDORES[[#This Row],[SUBTOTAL]]-PROVEEDORES[[#This Row],[descuento sobre subtotal]])</f>
        <v>144970</v>
      </c>
      <c r="R1902" s="21">
        <f>+PROVEEDORES[[#This Row],[SUBTOTAL]]+PROVEEDORES[[#This Row],[IVA 19%]]-PROVEEDORES[[#This Row],[descuento sobre subtotal]]-PROVEEDORES[[#This Row],[Descuento sobre subtotal $2]]-PROVEEDORES[[#This Row],[Rete Fuente $]]</f>
        <v>4784010</v>
      </c>
      <c r="S19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2" s="68">
        <f ca="1">IF(PROVEEDORES[[#This Row],[FECHA DE PAGO]]=0,TODAY()-PROVEEDORES[[#This Row],[FECHA DE FACTURACIÓN]]-PROVEEDORES[[#This Row],[PLAZO Días]],0)</f>
        <v>0</v>
      </c>
      <c r="U1902" s="96" t="str">
        <f>+VLOOKUP(PROVEEDORES[[#This Row],[PROVEEDOR]],Terceros!$A:$D,4,FALSE)</f>
        <v>3,5% sin base</v>
      </c>
      <c r="V1902" s="97">
        <f>+YEAR(PROVEEDORES[[#This Row],[FECHA DE FACTURACIÓN]])</f>
        <v>2021</v>
      </c>
      <c r="W1902" s="97">
        <f>+MATCH(PROVEEDORES[[#This Row],[año facturado]],Retenciones!$1:$1,0)</f>
        <v>4</v>
      </c>
      <c r="X1902" s="98">
        <f>+VLOOKUP(PROVEEDORES[[#This Row],[ID RETENCION]],Retenciones!$A$1:$O$25,PROVEEDORES[[#This Row],[indicador de columna]],FALSE)</f>
        <v>0</v>
      </c>
      <c r="Y1902" s="99">
        <f>+VLOOKUP(PROVEEDORES[[#This Row],[ID RETENCION]],Retenciones!$A$1:$O$25,2,FALSE)</f>
        <v>3.5000000000000003E-2</v>
      </c>
      <c r="Z1902" s="127" t="b">
        <f>OR(COUNTIF(PROVEEDORES[[#This Row],[PROVEEDOR]],"*"&amp;'Palabra no opera'!$A$2&amp;"*"))</f>
        <v>1</v>
      </c>
    </row>
    <row r="1903" spans="1:26" ht="22.2" customHeight="1" x14ac:dyDescent="0.3">
      <c r="A1903" s="66" t="str">
        <f>+IF(PROVEEDORES[[#This Row],[FECHA DE PAGO]]=PROVEEDORES[[#This Row],[FECHA DE FACTURACIÓN]],"DE CONTADO","CRÉDITO")</f>
        <v>DE CONTADO</v>
      </c>
      <c r="B1903" s="38" t="b">
        <f>+IF((PROVEEDORES[[#This Row],[FECHA DE PAGO]]-PROVEEDORES[[#This Row],[FECHA DE FACTURACIÓN]])&gt;PROVEEDORES[[#This Row],[PLAZO Días]],"PAGO VENCIDO")</f>
        <v>0</v>
      </c>
      <c r="C1903" s="20">
        <f>+VLOOKUP(PROVEEDORES[[#This Row],[PROVEEDOR]],TERCEROS_INFO[#All],2,FALSE)</f>
        <v>30</v>
      </c>
      <c r="D1903" s="25">
        <f>+SUMIFS(PROVEEDORES[Total],PROVEEDORES[PROVEEDOR],PROVEEDORES[[#This Row],[PROVEEDOR]],PROVEEDORES[FECHA DE PAGO],"")</f>
        <v>0</v>
      </c>
      <c r="E1903" s="25"/>
      <c r="F1903" s="58" t="str">
        <f>+VLOOKUP(PROVEEDORES[[#This Row],[PROVEEDOR]],
                       Terceros!$A:$F,
                       5,
                       FALSE)</f>
        <v/>
      </c>
      <c r="G1903" s="161">
        <v>44335</v>
      </c>
      <c r="H1903" s="26" t="s">
        <v>638</v>
      </c>
      <c r="I1903" s="161">
        <v>44335</v>
      </c>
      <c r="J1903" s="35" t="s">
        <v>1227</v>
      </c>
      <c r="K1903" s="21">
        <v>4819000</v>
      </c>
      <c r="L1903" s="21"/>
      <c r="M1903" s="22">
        <f>(PROVEEDORES[[#This Row],[SUBTOTAL]]-PROVEEDORES[[#This Row],[descuento sobre subtotal]])*VLOOKUP(PROVEEDORES[[#This Row],[PROVEEDOR]],TERCEROS_INFO[#All],3,FALSE)</f>
        <v>0</v>
      </c>
      <c r="N1903" s="23"/>
      <c r="O1903" s="22">
        <f>+PROVEEDORES[[#This Row],[Descuento sobre subtotal %]]*(PROVEEDORES[[#This Row],[SUBTOTAL]]-PROVEEDORES[[#This Row],[descuento sobre subtotal]])</f>
        <v>0</v>
      </c>
      <c r="P1903" s="83">
        <f>+IF(PROVEEDORES[[#This Row],[SUBTOTAL]]&lt;PROVEEDORES[[#This Row],[base retencion]],0,PROVEEDORES[[#This Row],[retención aplicada]])</f>
        <v>0</v>
      </c>
      <c r="Q1903" s="22">
        <f>+PROVEEDORES[[#This Row],[Rete Fuente %]]*(PROVEEDORES[[#This Row],[SUBTOTAL]]-PROVEEDORES[[#This Row],[descuento sobre subtotal]])</f>
        <v>0</v>
      </c>
      <c r="R1903" s="21">
        <f>+PROVEEDORES[[#This Row],[SUBTOTAL]]+PROVEEDORES[[#This Row],[IVA 19%]]-PROVEEDORES[[#This Row],[descuento sobre subtotal]]-PROVEEDORES[[#This Row],[Descuento sobre subtotal $2]]-PROVEEDORES[[#This Row],[Rete Fuente $]]</f>
        <v>4819000</v>
      </c>
      <c r="S19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3" s="68">
        <f ca="1">IF(PROVEEDORES[[#This Row],[FECHA DE PAGO]]=0,TODAY()-PROVEEDORES[[#This Row],[FECHA DE FACTURACIÓN]]-PROVEEDORES[[#This Row],[PLAZO Días]],0)</f>
        <v>0</v>
      </c>
      <c r="U1903" s="96">
        <f>+VLOOKUP(PROVEEDORES[[#This Row],[PROVEEDOR]],Terceros!$A:$D,4,FALSE)</f>
        <v>0</v>
      </c>
      <c r="V1903" s="97">
        <f>+YEAR(PROVEEDORES[[#This Row],[FECHA DE FACTURACIÓN]])</f>
        <v>2021</v>
      </c>
      <c r="W1903" s="97">
        <f>+MATCH(PROVEEDORES[[#This Row],[año facturado]],Retenciones!$1:$1,0)</f>
        <v>4</v>
      </c>
      <c r="X1903" s="98">
        <f>+VLOOKUP(PROVEEDORES[[#This Row],[ID RETENCION]],Retenciones!$A$1:$O$25,PROVEEDORES[[#This Row],[indicador de columna]],FALSE)</f>
        <v>0</v>
      </c>
      <c r="Y1903" s="99">
        <f>+VLOOKUP(PROVEEDORES[[#This Row],[ID RETENCION]],Retenciones!$A$1:$O$25,2,FALSE)</f>
        <v>0</v>
      </c>
      <c r="Z1903" s="125" t="b">
        <f>OR(COUNTIF(PROVEEDORES[[#This Row],[PROVEEDOR]],"*"&amp;'Palabra no opera'!$A$2&amp;"*"))</f>
        <v>0</v>
      </c>
    </row>
    <row r="1904" spans="1:26" ht="22.2" customHeight="1" x14ac:dyDescent="0.3">
      <c r="A1904" s="66" t="str">
        <f>+IF(PROVEEDORES[[#This Row],[FECHA DE PAGO]]=PROVEEDORES[[#This Row],[FECHA DE FACTURACIÓN]],"DE CONTADO","CRÉDITO")</f>
        <v>CRÉDITO</v>
      </c>
      <c r="B1904" s="38" t="b">
        <f>+IF((PROVEEDORES[[#This Row],[FECHA DE PAGO]]-PROVEEDORES[[#This Row],[FECHA DE FACTURACIÓN]])&gt;PROVEEDORES[[#This Row],[PLAZO Días]],"PAGO VENCIDO")</f>
        <v>0</v>
      </c>
      <c r="C1904" s="20">
        <f>+VLOOKUP(PROVEEDORES[[#This Row],[PROVEEDOR]],TERCEROS_INFO[#All],2,FALSE)</f>
        <v>30</v>
      </c>
      <c r="D1904" s="25">
        <f>+SUMIFS(PROVEEDORES[Total],PROVEEDORES[PROVEEDOR],PROVEEDORES[[#This Row],[PROVEEDOR]],PROVEEDORES[FECHA DE PAGO],"")</f>
        <v>0</v>
      </c>
      <c r="E1904" s="25"/>
      <c r="F1904" s="58" t="str">
        <f>+VLOOKUP(PROVEEDORES[[#This Row],[PROVEEDOR]],
                       Terceros!$A:$F,
                       5,
                       FALSE)</f>
        <v/>
      </c>
      <c r="G1904" s="161">
        <v>44494</v>
      </c>
      <c r="H1904" s="26" t="s">
        <v>53</v>
      </c>
      <c r="I1904" s="161">
        <v>44493</v>
      </c>
      <c r="J1904" s="35">
        <v>285759</v>
      </c>
      <c r="K1904" s="21">
        <v>4847000</v>
      </c>
      <c r="L1904" s="21"/>
      <c r="M1904" s="22">
        <f>(PROVEEDORES[[#This Row],[SUBTOTAL]]-PROVEEDORES[[#This Row],[descuento sobre subtotal]])*VLOOKUP(PROVEEDORES[[#This Row],[PROVEEDOR]],TERCEROS_INFO[#All],3,FALSE)</f>
        <v>0</v>
      </c>
      <c r="N1904" s="23"/>
      <c r="O1904" s="22">
        <f>+PROVEEDORES[[#This Row],[Descuento sobre subtotal %]]*(PROVEEDORES[[#This Row],[SUBTOTAL]]-PROVEEDORES[[#This Row],[descuento sobre subtotal]])</f>
        <v>0</v>
      </c>
      <c r="P1904" s="83">
        <f>+IF(PROVEEDORES[[#This Row],[SUBTOTAL]]&lt;PROVEEDORES[[#This Row],[base retencion]],0,PROVEEDORES[[#This Row],[retención aplicada]])</f>
        <v>0</v>
      </c>
      <c r="Q1904" s="22">
        <f>+PROVEEDORES[[#This Row],[Rete Fuente %]]*(PROVEEDORES[[#This Row],[SUBTOTAL]]-PROVEEDORES[[#This Row],[descuento sobre subtotal]])</f>
        <v>0</v>
      </c>
      <c r="R1904" s="21">
        <f>+PROVEEDORES[[#This Row],[SUBTOTAL]]+PROVEEDORES[[#This Row],[IVA 19%]]-PROVEEDORES[[#This Row],[descuento sobre subtotal]]-PROVEEDORES[[#This Row],[Descuento sobre subtotal $2]]-PROVEEDORES[[#This Row],[Rete Fuente $]]</f>
        <v>4847000</v>
      </c>
      <c r="S19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4" s="68">
        <f ca="1">IF(PROVEEDORES[[#This Row],[FECHA DE PAGO]]=0,TODAY()-PROVEEDORES[[#This Row],[FECHA DE FACTURACIÓN]]-PROVEEDORES[[#This Row],[PLAZO Días]],0)</f>
        <v>0</v>
      </c>
      <c r="U1904" s="96">
        <f>+VLOOKUP(PROVEEDORES[[#This Row],[PROVEEDOR]],Terceros!$A:$D,4,FALSE)</f>
        <v>0</v>
      </c>
      <c r="V1904" s="97">
        <f>+YEAR(PROVEEDORES[[#This Row],[FECHA DE FACTURACIÓN]])</f>
        <v>2021</v>
      </c>
      <c r="W1904" s="97">
        <f>+MATCH(PROVEEDORES[[#This Row],[año facturado]],Retenciones!$1:$1,0)</f>
        <v>4</v>
      </c>
      <c r="X1904" s="98">
        <f>+VLOOKUP(PROVEEDORES[[#This Row],[ID RETENCION]],Retenciones!$A$1:$O$25,PROVEEDORES[[#This Row],[indicador de columna]],FALSE)</f>
        <v>0</v>
      </c>
      <c r="Y1904" s="99">
        <f>+VLOOKUP(PROVEEDORES[[#This Row],[ID RETENCION]],Retenciones!$A$1:$O$25,2,FALSE)</f>
        <v>0</v>
      </c>
      <c r="Z1904" s="125" t="b">
        <f>OR(COUNTIF(PROVEEDORES[[#This Row],[PROVEEDOR]],"*"&amp;'Palabra no opera'!$A$2&amp;"*"))</f>
        <v>0</v>
      </c>
    </row>
    <row r="1905" spans="1:26" ht="22.2" customHeight="1" x14ac:dyDescent="0.3">
      <c r="A1905" s="66" t="str">
        <f>+IF(PROVEEDORES[[#This Row],[FECHA DE PAGO]]=PROVEEDORES[[#This Row],[FECHA DE FACTURACIÓN]],"DE CONTADO","CRÉDITO")</f>
        <v>CRÉDITO</v>
      </c>
      <c r="B1905" s="38" t="str">
        <f>+IF((PROVEEDORES[[#This Row],[FECHA DE PAGO]]-PROVEEDORES[[#This Row],[FECHA DE FACTURACIÓN]])&gt;PROVEEDORES[[#This Row],[PLAZO Días]],"PAGO VENCIDO")</f>
        <v>PAGO VENCIDO</v>
      </c>
      <c r="C1905" s="20">
        <f>+VLOOKUP(PROVEEDORES[[#This Row],[PROVEEDOR]],TERCEROS_INFO[#All],2,FALSE)</f>
        <v>30</v>
      </c>
      <c r="D1905" s="25">
        <f>+SUMIFS(PROVEEDORES[Total],PROVEEDORES[PROVEEDOR],PROVEEDORES[[#This Row],[PROVEEDOR]],PROVEEDORES[FECHA DE PAGO],"")</f>
        <v>0</v>
      </c>
      <c r="E1905" s="25"/>
      <c r="F1905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05" s="161">
        <v>44456</v>
      </c>
      <c r="H1905" s="26" t="s">
        <v>460</v>
      </c>
      <c r="I1905" s="161">
        <v>44364</v>
      </c>
      <c r="J1905" s="35">
        <v>7</v>
      </c>
      <c r="K1905" s="21">
        <v>4167300</v>
      </c>
      <c r="L1905" s="21"/>
      <c r="M1905" s="22">
        <f>(PROVEEDORES[[#This Row],[SUBTOTAL]]-PROVEEDORES[[#This Row],[descuento sobre subtotal]])*VLOOKUP(PROVEEDORES[[#This Row],[PROVEEDOR]],TERCEROS_INFO[#All],3,FALSE)</f>
        <v>791787</v>
      </c>
      <c r="N1905" s="23"/>
      <c r="O1905" s="22">
        <f>+PROVEEDORES[[#This Row],[Descuento sobre subtotal %]]*(PROVEEDORES[[#This Row],[SUBTOTAL]]-PROVEEDORES[[#This Row],[descuento sobre subtotal]])</f>
        <v>0</v>
      </c>
      <c r="P1905" s="83">
        <f>+IF(PROVEEDORES[[#This Row],[SUBTOTAL]]&lt;PROVEEDORES[[#This Row],[base retencion]],0,PROVEEDORES[[#This Row],[retención aplicada]])</f>
        <v>2.5000000000000001E-2</v>
      </c>
      <c r="Q1905" s="22">
        <f>+PROVEEDORES[[#This Row],[Rete Fuente %]]*(PROVEEDORES[[#This Row],[SUBTOTAL]]-PROVEEDORES[[#This Row],[descuento sobre subtotal]])</f>
        <v>104182.5</v>
      </c>
      <c r="R1905" s="21">
        <f>+PROVEEDORES[[#This Row],[SUBTOTAL]]+PROVEEDORES[[#This Row],[IVA 19%]]-PROVEEDORES[[#This Row],[descuento sobre subtotal]]-PROVEEDORES[[#This Row],[Descuento sobre subtotal $2]]-PROVEEDORES[[#This Row],[Rete Fuente $]]</f>
        <v>4854904.5</v>
      </c>
      <c r="S19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5" s="68">
        <f ca="1">IF(PROVEEDORES[[#This Row],[FECHA DE PAGO]]=0,TODAY()-PROVEEDORES[[#This Row],[FECHA DE FACTURACIÓN]]-PROVEEDORES[[#This Row],[PLAZO Días]],0)</f>
        <v>0</v>
      </c>
      <c r="U1905" s="96" t="str">
        <f>+VLOOKUP(PROVEEDORES[[#This Row],[PROVEEDOR]],Terceros!$A:$D,4,FALSE)</f>
        <v>2,5% con base</v>
      </c>
      <c r="V1905" s="97">
        <f>+YEAR(PROVEEDORES[[#This Row],[FECHA DE FACTURACIÓN]])</f>
        <v>2021</v>
      </c>
      <c r="W1905" s="97">
        <f>+MATCH(PROVEEDORES[[#This Row],[año facturado]],Retenciones!$1:$1,0)</f>
        <v>4</v>
      </c>
      <c r="X1905" s="98">
        <f>+VLOOKUP(PROVEEDORES[[#This Row],[ID RETENCION]],Retenciones!$A$1:$O$25,PROVEEDORES[[#This Row],[indicador de columna]],FALSE)</f>
        <v>980000</v>
      </c>
      <c r="Y1905" s="99">
        <f>+VLOOKUP(PROVEEDORES[[#This Row],[ID RETENCION]],Retenciones!$A$1:$O$25,2,FALSE)</f>
        <v>2.5000000000000001E-2</v>
      </c>
      <c r="Z1905" s="125" t="b">
        <f>OR(COUNTIF(PROVEEDORES[[#This Row],[PROVEEDOR]],"*"&amp;'Palabra no opera'!$A$2&amp;"*"))</f>
        <v>0</v>
      </c>
    </row>
    <row r="1906" spans="1:26" ht="22.2" customHeight="1" x14ac:dyDescent="0.3">
      <c r="A1906" s="72" t="str">
        <f>+IF(PROVEEDORES[[#This Row],[FECHA DE PAGO]]=PROVEEDORES[[#This Row],[FECHA DE FACTURACIÓN]],"DE CONTADO","CRÉDITO")</f>
        <v>CRÉDITO</v>
      </c>
      <c r="B1906" s="38" t="str">
        <f>+IF((PROVEEDORES[[#This Row],[FECHA DE PAGO]]-PROVEEDORES[[#This Row],[FECHA DE FACTURACIÓN]])&gt;PROVEEDORES[[#This Row],[PLAZO Días]],"PAGO VENCIDO")</f>
        <v>PAGO VENCIDO</v>
      </c>
      <c r="C1906" s="20">
        <f>+VLOOKUP(PROVEEDORES[[#This Row],[PROVEEDOR]],TERCEROS_INFO[#All],2,FALSE)</f>
        <v>30</v>
      </c>
      <c r="D1906" s="25">
        <f>+SUMIFS(PROVEEDORES[Total],PROVEEDORES[PROVEEDOR],PROVEEDORES[[#This Row],[PROVEEDOR]],PROVEEDORES[FECHA DE PAGO],"")</f>
        <v>0</v>
      </c>
      <c r="E1906" s="25"/>
      <c r="F1906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06" s="161">
        <v>44855</v>
      </c>
      <c r="H1906" s="26" t="s">
        <v>218</v>
      </c>
      <c r="I1906" s="161">
        <v>44767</v>
      </c>
      <c r="J1906" s="35">
        <v>73</v>
      </c>
      <c r="K1906" s="21">
        <v>4178265</v>
      </c>
      <c r="L1906" s="21"/>
      <c r="M1906" s="22">
        <f>(PROVEEDORES[[#This Row],[SUBTOTAL]]-PROVEEDORES[[#This Row],[descuento sobre subtotal]])*VLOOKUP(PROVEEDORES[[#This Row],[PROVEEDOR]],TERCEROS_INFO[#All],3,FALSE)</f>
        <v>793870.35</v>
      </c>
      <c r="N1906" s="23"/>
      <c r="O1906" s="22">
        <f>+PROVEEDORES[[#This Row],[Descuento sobre subtotal %]]*(PROVEEDORES[[#This Row],[SUBTOTAL]]-PROVEEDORES[[#This Row],[descuento sobre subtotal]])</f>
        <v>0</v>
      </c>
      <c r="P1906" s="83">
        <f>+IF(PROVEEDORES[[#This Row],[SUBTOTAL]]&lt;PROVEEDORES[[#This Row],[base retencion]],0,PROVEEDORES[[#This Row],[retención aplicada]])</f>
        <v>2.5000000000000001E-2</v>
      </c>
      <c r="Q1906" s="22">
        <f>+PROVEEDORES[[#This Row],[Rete Fuente %]]*(PROVEEDORES[[#This Row],[SUBTOTAL]]-PROVEEDORES[[#This Row],[descuento sobre subtotal]])</f>
        <v>104456.625</v>
      </c>
      <c r="R1906" s="21">
        <f>+PROVEEDORES[[#This Row],[SUBTOTAL]]+PROVEEDORES[[#This Row],[IVA 19%]]-PROVEEDORES[[#This Row],[descuento sobre subtotal]]-PROVEEDORES[[#This Row],[Descuento sobre subtotal $2]]-PROVEEDORES[[#This Row],[Rete Fuente $]]</f>
        <v>4867678.7249999996</v>
      </c>
      <c r="S190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6" s="68">
        <f ca="1">IF(PROVEEDORES[[#This Row],[FECHA DE PAGO]]=0,TODAY()-PROVEEDORES[[#This Row],[FECHA DE FACTURACIÓN]]-PROVEEDORES[[#This Row],[PLAZO Días]],0)</f>
        <v>0</v>
      </c>
      <c r="U1906" s="113" t="str">
        <f>+VLOOKUP(PROVEEDORES[[#This Row],[PROVEEDOR]],Terceros!$A:$D,4,FALSE)</f>
        <v>2,5% con base</v>
      </c>
      <c r="V1906" s="114">
        <f>+YEAR(PROVEEDORES[[#This Row],[FECHA DE FACTURACIÓN]])</f>
        <v>2022</v>
      </c>
      <c r="W1906" s="114">
        <f>+MATCH(PROVEEDORES[[#This Row],[año facturado]],Retenciones!$1:$1,0)</f>
        <v>5</v>
      </c>
      <c r="X1906" s="115">
        <f>+VLOOKUP(PROVEEDORES[[#This Row],[ID RETENCION]],Retenciones!$A$1:$O$25,PROVEEDORES[[#This Row],[indicador de columna]],FALSE)</f>
        <v>1026000</v>
      </c>
      <c r="Y1906" s="116">
        <f>+VLOOKUP(PROVEEDORES[[#This Row],[ID RETENCION]],Retenciones!$A$1:$O$25,2,FALSE)</f>
        <v>2.5000000000000001E-2</v>
      </c>
      <c r="Z1906" s="125" t="b">
        <f>OR(COUNTIF(PROVEEDORES[[#This Row],[PROVEEDOR]],"*"&amp;'Palabra no opera'!$A$2&amp;"*"))</f>
        <v>0</v>
      </c>
    </row>
    <row r="1907" spans="1:26" ht="22.2" customHeight="1" x14ac:dyDescent="0.3">
      <c r="A1907" s="72" t="str">
        <f>+IF(PROVEEDORES[[#This Row],[FECHA DE PAGO]]=PROVEEDORES[[#This Row],[FECHA DE FACTURACIÓN]],"DE CONTADO","CRÉDITO")</f>
        <v>DE CONTADO</v>
      </c>
      <c r="B1907" s="38" t="b">
        <f>+IF((PROVEEDORES[[#This Row],[FECHA DE PAGO]]-PROVEEDORES[[#This Row],[FECHA DE FACTURACIÓN]])&gt;PROVEEDORES[[#This Row],[PLAZO Días]],"PAGO VENCIDO")</f>
        <v>0</v>
      </c>
      <c r="C1907" s="20">
        <f>+VLOOKUP(PROVEEDORES[[#This Row],[PROVEEDOR]],TERCEROS_INFO[#All],2,FALSE)</f>
        <v>30</v>
      </c>
      <c r="D1907" s="25">
        <f>+SUMIFS(PROVEEDORES[Total],PROVEEDORES[PROVEEDOR],PROVEEDORES[[#This Row],[PROVEEDOR]],PROVEEDORES[FECHA DE PAGO],"")</f>
        <v>0</v>
      </c>
      <c r="E1907" s="25"/>
      <c r="F1907" s="58" t="str">
        <f>+VLOOKUP(PROVEEDORES[[#This Row],[PROVEEDOR]],
                       Terceros!$A:$F,
                       5,
                       FALSE)</f>
        <v/>
      </c>
      <c r="G1907" s="161">
        <v>44865</v>
      </c>
      <c r="H1907" s="26" t="s">
        <v>638</v>
      </c>
      <c r="I1907" s="161">
        <v>44865</v>
      </c>
      <c r="J1907" s="35" t="s">
        <v>1816</v>
      </c>
      <c r="K1907" s="21">
        <v>4889000</v>
      </c>
      <c r="L1907" s="21"/>
      <c r="M1907" s="22">
        <f>(PROVEEDORES[[#This Row],[SUBTOTAL]]-PROVEEDORES[[#This Row],[descuento sobre subtotal]])*VLOOKUP(PROVEEDORES[[#This Row],[PROVEEDOR]],TERCEROS_INFO[#All],3,FALSE)</f>
        <v>0</v>
      </c>
      <c r="N1907" s="23"/>
      <c r="O1907" s="22">
        <f>+PROVEEDORES[[#This Row],[Descuento sobre subtotal %]]*(PROVEEDORES[[#This Row],[SUBTOTAL]]-PROVEEDORES[[#This Row],[descuento sobre subtotal]])</f>
        <v>0</v>
      </c>
      <c r="P1907" s="83">
        <f>+IF(PROVEEDORES[[#This Row],[SUBTOTAL]]&lt;PROVEEDORES[[#This Row],[base retencion]],0,PROVEEDORES[[#This Row],[retención aplicada]])</f>
        <v>0</v>
      </c>
      <c r="Q1907" s="22">
        <f>+PROVEEDORES[[#This Row],[Rete Fuente %]]*(PROVEEDORES[[#This Row],[SUBTOTAL]]-PROVEEDORES[[#This Row],[descuento sobre subtotal]])</f>
        <v>0</v>
      </c>
      <c r="R1907" s="21">
        <f>+PROVEEDORES[[#This Row],[SUBTOTAL]]+PROVEEDORES[[#This Row],[IVA 19%]]-PROVEEDORES[[#This Row],[descuento sobre subtotal]]-PROVEEDORES[[#This Row],[Descuento sobre subtotal $2]]-PROVEEDORES[[#This Row],[Rete Fuente $]]</f>
        <v>4889000</v>
      </c>
      <c r="S190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7" s="68">
        <f ca="1">IF(PROVEEDORES[[#This Row],[FECHA DE PAGO]]=0,TODAY()-PROVEEDORES[[#This Row],[FECHA DE FACTURACIÓN]]-PROVEEDORES[[#This Row],[PLAZO Días]],0)</f>
        <v>0</v>
      </c>
      <c r="U1907" s="113">
        <f>+VLOOKUP(PROVEEDORES[[#This Row],[PROVEEDOR]],Terceros!$A:$D,4,FALSE)</f>
        <v>0</v>
      </c>
      <c r="V1907" s="114">
        <f>+YEAR(PROVEEDORES[[#This Row],[FECHA DE FACTURACIÓN]])</f>
        <v>2022</v>
      </c>
      <c r="W1907" s="114">
        <f>+MATCH(PROVEEDORES[[#This Row],[año facturado]],Retenciones!$1:$1,0)</f>
        <v>5</v>
      </c>
      <c r="X1907" s="115">
        <f>+VLOOKUP(PROVEEDORES[[#This Row],[ID RETENCION]],Retenciones!$A$1:$O$25,PROVEEDORES[[#This Row],[indicador de columna]],FALSE)</f>
        <v>0</v>
      </c>
      <c r="Y1907" s="116">
        <f>+VLOOKUP(PROVEEDORES[[#This Row],[ID RETENCION]],Retenciones!$A$1:$O$25,2,FALSE)</f>
        <v>0</v>
      </c>
      <c r="Z1907" s="125" t="b">
        <f>OR(COUNTIF(PROVEEDORES[[#This Row],[PROVEEDOR]],"*"&amp;'Palabra no opera'!$A$2&amp;"*"))</f>
        <v>0</v>
      </c>
    </row>
    <row r="1908" spans="1:26" ht="22.2" customHeight="1" x14ac:dyDescent="0.3">
      <c r="A1908" s="66" t="str">
        <f>+IF(PROVEEDORES[[#This Row],[FECHA DE PAGO]]=PROVEEDORES[[#This Row],[FECHA DE FACTURACIÓN]],"DE CONTADO","CRÉDITO")</f>
        <v>CRÉDITO</v>
      </c>
      <c r="B1908" s="38" t="b">
        <f>+IF((PROVEEDORES[[#This Row],[FECHA DE PAGO]]-PROVEEDORES[[#This Row],[FECHA DE FACTURACIÓN]])&gt;PROVEEDORES[[#This Row],[PLAZO Días]],"PAGO VENCIDO")</f>
        <v>0</v>
      </c>
      <c r="C1908" s="20">
        <f>+VLOOKUP(PROVEEDORES[[#This Row],[PROVEEDOR]],TERCEROS_INFO[#All],2,FALSE)</f>
        <v>30</v>
      </c>
      <c r="D1908" s="25">
        <f>+SUMIFS(PROVEEDORES[Total],PROVEEDORES[PROVEEDOR],PROVEEDORES[[#This Row],[PROVEEDOR]],PROVEEDORES[FECHA DE PAGO],"")</f>
        <v>0</v>
      </c>
      <c r="E1908" s="25"/>
      <c r="F1908" s="58" t="str">
        <f>+VLOOKUP(PROVEEDORES[[#This Row],[PROVEEDOR]],
                       Terceros!$A:$F,
                       5,
                       FALSE)</f>
        <v/>
      </c>
      <c r="G1908" s="161">
        <v>44643</v>
      </c>
      <c r="H1908" s="26" t="s">
        <v>638</v>
      </c>
      <c r="I1908" s="161">
        <v>44642</v>
      </c>
      <c r="J1908" s="35" t="s">
        <v>641</v>
      </c>
      <c r="K1908" s="21">
        <v>4891000</v>
      </c>
      <c r="L1908" s="21"/>
      <c r="M1908" s="22">
        <f>(PROVEEDORES[[#This Row],[SUBTOTAL]]-PROVEEDORES[[#This Row],[descuento sobre subtotal]])*VLOOKUP(PROVEEDORES[[#This Row],[PROVEEDOR]],TERCEROS_INFO[#All],3,FALSE)</f>
        <v>0</v>
      </c>
      <c r="N1908" s="23"/>
      <c r="O1908" s="22">
        <f>+PROVEEDORES[[#This Row],[Descuento sobre subtotal %]]*(PROVEEDORES[[#This Row],[SUBTOTAL]]-PROVEEDORES[[#This Row],[descuento sobre subtotal]])</f>
        <v>0</v>
      </c>
      <c r="P1908" s="83">
        <f>+IF(PROVEEDORES[[#This Row],[SUBTOTAL]]&lt;PROVEEDORES[[#This Row],[base retencion]],0,PROVEEDORES[[#This Row],[retención aplicada]])</f>
        <v>0</v>
      </c>
      <c r="Q1908" s="22">
        <f>+PROVEEDORES[[#This Row],[Rete Fuente %]]*(PROVEEDORES[[#This Row],[SUBTOTAL]]-PROVEEDORES[[#This Row],[descuento sobre subtotal]])</f>
        <v>0</v>
      </c>
      <c r="R1908" s="21">
        <v>4891000</v>
      </c>
      <c r="S19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8" s="68">
        <f ca="1">IF(PROVEEDORES[[#This Row],[FECHA DE PAGO]]=0,TODAY()-PROVEEDORES[[#This Row],[FECHA DE FACTURACIÓN]]-PROVEEDORES[[#This Row],[PLAZO Días]],0)</f>
        <v>0</v>
      </c>
      <c r="U1908" s="96">
        <f>+VLOOKUP(PROVEEDORES[[#This Row],[PROVEEDOR]],Terceros!$A:$D,4,FALSE)</f>
        <v>0</v>
      </c>
      <c r="V1908" s="97">
        <f>+YEAR(PROVEEDORES[[#This Row],[FECHA DE FACTURACIÓN]])</f>
        <v>2022</v>
      </c>
      <c r="W1908" s="97">
        <f>+MATCH(PROVEEDORES[[#This Row],[año facturado]],Retenciones!$1:$1,0)</f>
        <v>5</v>
      </c>
      <c r="X1908" s="98">
        <f>+VLOOKUP(PROVEEDORES[[#This Row],[ID RETENCION]],Retenciones!$A$1:$O$25,PROVEEDORES[[#This Row],[indicador de columna]],FALSE)</f>
        <v>0</v>
      </c>
      <c r="Y1908" s="99">
        <f>+VLOOKUP(PROVEEDORES[[#This Row],[ID RETENCION]],Retenciones!$A$1:$O$25,2,FALSE)</f>
        <v>0</v>
      </c>
      <c r="Z1908" s="125" t="b">
        <f>OR(COUNTIF(PROVEEDORES[[#This Row],[PROVEEDOR]],"*"&amp;'Palabra no opera'!$A$2&amp;"*"))</f>
        <v>0</v>
      </c>
    </row>
    <row r="1909" spans="1:26" ht="22.2" customHeight="1" x14ac:dyDescent="0.3">
      <c r="A1909" s="66" t="str">
        <f>+IF(PROVEEDORES[[#This Row],[FECHA DE PAGO]]=PROVEEDORES[[#This Row],[FECHA DE FACTURACIÓN]],"DE CONTADO","CRÉDITO")</f>
        <v>DE CONTADO</v>
      </c>
      <c r="B1909" s="38" t="b">
        <f>+IF((PROVEEDORES[[#This Row],[FECHA DE PAGO]]-PROVEEDORES[[#This Row],[FECHA DE FACTURACIÓN]])&gt;PROVEEDORES[[#This Row],[PLAZO Días]],"PAGO VENCIDO")</f>
        <v>0</v>
      </c>
      <c r="C1909" s="20">
        <f>+VLOOKUP(PROVEEDORES[[#This Row],[PROVEEDOR]],TERCEROS_INFO[#All],2,FALSE)</f>
        <v>30</v>
      </c>
      <c r="D1909" s="25">
        <f>+SUMIFS(PROVEEDORES[Total],PROVEEDORES[PROVEEDOR],PROVEEDORES[[#This Row],[PROVEEDOR]],PROVEEDORES[FECHA DE PAGO],"")</f>
        <v>0</v>
      </c>
      <c r="E1909" s="25"/>
      <c r="F1909" s="58" t="str">
        <f>+VLOOKUP(PROVEEDORES[[#This Row],[PROVEEDOR]],
                       Terceros!$A:$F,
                       5,
                       FALSE)</f>
        <v/>
      </c>
      <c r="G1909" s="161">
        <v>44561</v>
      </c>
      <c r="H1909" s="26" t="s">
        <v>644</v>
      </c>
      <c r="I1909" s="161">
        <v>44561</v>
      </c>
      <c r="J1909" s="35" t="s">
        <v>595</v>
      </c>
      <c r="K1909" s="21">
        <v>4909000</v>
      </c>
      <c r="L1909" s="21"/>
      <c r="M1909" s="22">
        <f>(PROVEEDORES[[#This Row],[SUBTOTAL]]-PROVEEDORES[[#This Row],[descuento sobre subtotal]])*VLOOKUP(PROVEEDORES[[#This Row],[PROVEEDOR]],TERCEROS_INFO[#All],3,FALSE)</f>
        <v>0</v>
      </c>
      <c r="N1909" s="23"/>
      <c r="O1909" s="22">
        <f>+PROVEEDORES[[#This Row],[Descuento sobre subtotal %]]*(PROVEEDORES[[#This Row],[SUBTOTAL]]-PROVEEDORES[[#This Row],[descuento sobre subtotal]])</f>
        <v>0</v>
      </c>
      <c r="P1909" s="83">
        <f>+IF(PROVEEDORES[[#This Row],[SUBTOTAL]]&lt;PROVEEDORES[[#This Row],[base retencion]],0,PROVEEDORES[[#This Row],[retención aplicada]])</f>
        <v>0</v>
      </c>
      <c r="Q1909" s="22">
        <f>+PROVEEDORES[[#This Row],[Rete Fuente %]]*(PROVEEDORES[[#This Row],[SUBTOTAL]]-PROVEEDORES[[#This Row],[descuento sobre subtotal]])</f>
        <v>0</v>
      </c>
      <c r="R1909" s="21">
        <f>+PROVEEDORES[[#This Row],[SUBTOTAL]]+PROVEEDORES[[#This Row],[IVA 19%]]-PROVEEDORES[[#This Row],[descuento sobre subtotal]]-PROVEEDORES[[#This Row],[Descuento sobre subtotal $2]]-PROVEEDORES[[#This Row],[Rete Fuente $]]</f>
        <v>4909000</v>
      </c>
      <c r="S19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9" s="68">
        <f ca="1">IF(PROVEEDORES[[#This Row],[FECHA DE PAGO]]=0,TODAY()-PROVEEDORES[[#This Row],[FECHA DE FACTURACIÓN]]-PROVEEDORES[[#This Row],[PLAZO Días]],0)</f>
        <v>0</v>
      </c>
      <c r="U1909" s="96">
        <f>+VLOOKUP(PROVEEDORES[[#This Row],[PROVEEDOR]],Terceros!$A:$D,4,FALSE)</f>
        <v>0</v>
      </c>
      <c r="V1909" s="97">
        <f>+YEAR(PROVEEDORES[[#This Row],[FECHA DE FACTURACIÓN]])</f>
        <v>2021</v>
      </c>
      <c r="W1909" s="97">
        <f>+MATCH(PROVEEDORES[[#This Row],[año facturado]],Retenciones!$1:$1,0)</f>
        <v>4</v>
      </c>
      <c r="X1909" s="98">
        <f>+VLOOKUP(PROVEEDORES[[#This Row],[ID RETENCION]],Retenciones!$A$1:$O$25,PROVEEDORES[[#This Row],[indicador de columna]],FALSE)</f>
        <v>0</v>
      </c>
      <c r="Y1909" s="99">
        <f>+VLOOKUP(PROVEEDORES[[#This Row],[ID RETENCION]],Retenciones!$A$1:$O$25,2,FALSE)</f>
        <v>0</v>
      </c>
      <c r="Z1909" s="125" t="b">
        <f>OR(COUNTIF(PROVEEDORES[[#This Row],[PROVEEDOR]],"*"&amp;'Palabra no opera'!$A$2&amp;"*"))</f>
        <v>0</v>
      </c>
    </row>
    <row r="1910" spans="1:26" ht="22.2" customHeight="1" x14ac:dyDescent="0.3">
      <c r="A1910" s="66" t="str">
        <f>+IF(PROVEEDORES[[#This Row],[FECHA DE PAGO]]=PROVEEDORES[[#This Row],[FECHA DE FACTURACIÓN]],"DE CONTADO","CRÉDITO")</f>
        <v>CRÉDITO</v>
      </c>
      <c r="B1910" s="38" t="b">
        <f>+IF((PROVEEDORES[[#This Row],[FECHA DE PAGO]]-PROVEEDORES[[#This Row],[FECHA DE FACTURACIÓN]])&gt;PROVEEDORES[[#This Row],[PLAZO Días]],"PAGO VENCIDO")</f>
        <v>0</v>
      </c>
      <c r="C1910" s="20">
        <f>+VLOOKUP(PROVEEDORES[[#This Row],[PROVEEDOR]],TERCEROS_INFO[#All],2,FALSE)</f>
        <v>30</v>
      </c>
      <c r="D1910" s="25">
        <f>+SUMIFS(PROVEEDORES[Total],PROVEEDORES[PROVEEDOR],PROVEEDORES[[#This Row],[PROVEEDOR]],PROVEEDORES[FECHA DE PAGO],"")</f>
        <v>0</v>
      </c>
      <c r="E1910" s="25"/>
      <c r="F1910" s="58" t="str">
        <f>+VLOOKUP(PROVEEDORES[[#This Row],[PROVEEDOR]],
                       Terceros!$A:$F,
                       5,
                       FALSE)</f>
        <v/>
      </c>
      <c r="G1910" s="161">
        <v>44236</v>
      </c>
      <c r="H1910" s="26" t="s">
        <v>27</v>
      </c>
      <c r="I1910" s="161">
        <v>44235</v>
      </c>
      <c r="J1910" s="35">
        <v>128121</v>
      </c>
      <c r="K1910" s="21">
        <v>4914648</v>
      </c>
      <c r="L1910" s="21"/>
      <c r="M1910" s="22">
        <f>(PROVEEDORES[[#This Row],[SUBTOTAL]]-PROVEEDORES[[#This Row],[descuento sobre subtotal]])*VLOOKUP(PROVEEDORES[[#This Row],[PROVEEDOR]],TERCEROS_INFO[#All],3,FALSE)</f>
        <v>0</v>
      </c>
      <c r="N1910" s="23"/>
      <c r="O1910" s="22">
        <f>+PROVEEDORES[[#This Row],[Descuento sobre subtotal %]]*(PROVEEDORES[[#This Row],[SUBTOTAL]]-PROVEEDORES[[#This Row],[descuento sobre subtotal]])</f>
        <v>0</v>
      </c>
      <c r="P1910" s="83">
        <f>+IF(PROVEEDORES[[#This Row],[SUBTOTAL]]&lt;PROVEEDORES[[#This Row],[base retencion]],0,PROVEEDORES[[#This Row],[retención aplicada]])</f>
        <v>0</v>
      </c>
      <c r="Q1910" s="22">
        <f>+PROVEEDORES[[#This Row],[Rete Fuente %]]*(PROVEEDORES[[#This Row],[SUBTOTAL]]-PROVEEDORES[[#This Row],[descuento sobre subtotal]])</f>
        <v>0</v>
      </c>
      <c r="R1910" s="21">
        <f>+PROVEEDORES[[#This Row],[SUBTOTAL]]+PROVEEDORES[[#This Row],[IVA 19%]]-PROVEEDORES[[#This Row],[descuento sobre subtotal]]-PROVEEDORES[[#This Row],[Descuento sobre subtotal $2]]-PROVEEDORES[[#This Row],[Rete Fuente $]]</f>
        <v>4914648</v>
      </c>
      <c r="S19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0" s="68">
        <f ca="1">IF(PROVEEDORES[[#This Row],[FECHA DE PAGO]]=0,TODAY()-PROVEEDORES[[#This Row],[FECHA DE FACTURACIÓN]]-PROVEEDORES[[#This Row],[PLAZO Días]],0)</f>
        <v>0</v>
      </c>
      <c r="U1910" s="96">
        <f>+VLOOKUP(PROVEEDORES[[#This Row],[PROVEEDOR]],Terceros!$A:$D,4,FALSE)</f>
        <v>0</v>
      </c>
      <c r="V1910" s="97">
        <f>+YEAR(PROVEEDORES[[#This Row],[FECHA DE FACTURACIÓN]])</f>
        <v>2021</v>
      </c>
      <c r="W1910" s="97">
        <f>+MATCH(PROVEEDORES[[#This Row],[año facturado]],Retenciones!$1:$1,0)</f>
        <v>4</v>
      </c>
      <c r="X1910" s="98">
        <f>+VLOOKUP(PROVEEDORES[[#This Row],[ID RETENCION]],Retenciones!$A$1:$O$25,PROVEEDORES[[#This Row],[indicador de columna]],FALSE)</f>
        <v>0</v>
      </c>
      <c r="Y1910" s="99">
        <f>+VLOOKUP(PROVEEDORES[[#This Row],[ID RETENCION]],Retenciones!$A$1:$O$25,2,FALSE)</f>
        <v>0</v>
      </c>
      <c r="Z1910" s="125" t="b">
        <f>OR(COUNTIF(PROVEEDORES[[#This Row],[PROVEEDOR]],"*"&amp;'Palabra no opera'!$A$2&amp;"*"))</f>
        <v>0</v>
      </c>
    </row>
    <row r="1911" spans="1:26" ht="22.2" customHeight="1" x14ac:dyDescent="0.3">
      <c r="A1911" s="66" t="str">
        <f>+IF(PROVEEDORES[[#This Row],[FECHA DE PAGO]]=PROVEEDORES[[#This Row],[FECHA DE FACTURACIÓN]],"DE CONTADO","CRÉDITO")</f>
        <v>CRÉDITO</v>
      </c>
      <c r="B1911" s="38" t="str">
        <f>+IF((PROVEEDORES[[#This Row],[FECHA DE PAGO]]-PROVEEDORES[[#This Row],[FECHA DE FACTURACIÓN]])&gt;PROVEEDORES[[#This Row],[PLAZO Días]],"PAGO VENCIDO")</f>
        <v>PAGO VENCIDO</v>
      </c>
      <c r="C1911" s="20">
        <f>+VLOOKUP(PROVEEDORES[[#This Row],[PROVEEDOR]],TERCEROS_INFO[#All],2,FALSE)</f>
        <v>45</v>
      </c>
      <c r="D1911" s="25">
        <f>+SUMIFS(PROVEEDORES[Total],PROVEEDORES[PROVEEDOR],PROVEEDORES[[#This Row],[PROVEEDOR]],PROVEEDORES[FECHA DE PAGO],"")</f>
        <v>31891814.359999999</v>
      </c>
      <c r="E1911" s="25"/>
      <c r="F191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11" s="161">
        <v>44343</v>
      </c>
      <c r="H1911" s="26" t="s">
        <v>19</v>
      </c>
      <c r="I1911" s="161">
        <v>44270</v>
      </c>
      <c r="J1911" s="35" t="s">
        <v>245</v>
      </c>
      <c r="K1911" s="21">
        <v>4154835</v>
      </c>
      <c r="L1911" s="21"/>
      <c r="M1911" s="22">
        <f>(PROVEEDORES[[#This Row],[SUBTOTAL]]-PROVEEDORES[[#This Row],[descuento sobre subtotal]])*VLOOKUP(PROVEEDORES[[#This Row],[PROVEEDOR]],TERCEROS_INFO[#All],3,FALSE)</f>
        <v>789418.65</v>
      </c>
      <c r="N1911" s="23"/>
      <c r="O1911" s="22">
        <f>+PROVEEDORES[[#This Row],[Descuento sobre subtotal %]]*(PROVEEDORES[[#This Row],[SUBTOTAL]]-PROVEEDORES[[#This Row],[descuento sobre subtotal]])</f>
        <v>0</v>
      </c>
      <c r="P1911" s="83">
        <f>+IF(PROVEEDORES[[#This Row],[SUBTOTAL]]&lt;PROVEEDORES[[#This Row],[base retencion]],0,PROVEEDORES[[#This Row],[retención aplicada]])</f>
        <v>0</v>
      </c>
      <c r="Q1911" s="22">
        <f>+PROVEEDORES[[#This Row],[Rete Fuente %]]*(PROVEEDORES[[#This Row],[SUBTOTAL]]-PROVEEDORES[[#This Row],[descuento sobre subtotal]])</f>
        <v>0</v>
      </c>
      <c r="R1911" s="21">
        <f>+PROVEEDORES[[#This Row],[SUBTOTAL]]+PROVEEDORES[[#This Row],[IVA 19%]]-PROVEEDORES[[#This Row],[descuento sobre subtotal]]-PROVEEDORES[[#This Row],[Descuento sobre subtotal $2]]-PROVEEDORES[[#This Row],[Rete Fuente $]]</f>
        <v>4944253.6500000004</v>
      </c>
      <c r="S19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1" s="68">
        <f ca="1">IF(PROVEEDORES[[#This Row],[FECHA DE PAGO]]=0,TODAY()-PROVEEDORES[[#This Row],[FECHA DE FACTURACIÓN]]-PROVEEDORES[[#This Row],[PLAZO Días]],0)</f>
        <v>0</v>
      </c>
      <c r="U1911" s="96">
        <f>+VLOOKUP(PROVEEDORES[[#This Row],[PROVEEDOR]],Terceros!$A:$D,4,FALSE)</f>
        <v>0</v>
      </c>
      <c r="V1911" s="97">
        <f>+YEAR(PROVEEDORES[[#This Row],[FECHA DE FACTURACIÓN]])</f>
        <v>2021</v>
      </c>
      <c r="W1911" s="97">
        <f>+MATCH(PROVEEDORES[[#This Row],[año facturado]],Retenciones!$1:$1,0)</f>
        <v>4</v>
      </c>
      <c r="X1911" s="98">
        <f>+VLOOKUP(PROVEEDORES[[#This Row],[ID RETENCION]],Retenciones!$A$1:$O$25,PROVEEDORES[[#This Row],[indicador de columna]],FALSE)</f>
        <v>0</v>
      </c>
      <c r="Y1911" s="99">
        <f>+VLOOKUP(PROVEEDORES[[#This Row],[ID RETENCION]],Retenciones!$A$1:$O$25,2,FALSE)</f>
        <v>0</v>
      </c>
      <c r="Z1911" s="125" t="b">
        <f>OR(COUNTIF(PROVEEDORES[[#This Row],[PROVEEDOR]],"*"&amp;'Palabra no opera'!$A$2&amp;"*"))</f>
        <v>0</v>
      </c>
    </row>
    <row r="1912" spans="1:26" ht="22.2" customHeight="1" x14ac:dyDescent="0.3">
      <c r="A1912" s="66" t="str">
        <f>+IF(PROVEEDORES[[#This Row],[FECHA DE PAGO]]=PROVEEDORES[[#This Row],[FECHA DE FACTURACIÓN]],"DE CONTADO","CRÉDITO")</f>
        <v>CRÉDITO</v>
      </c>
      <c r="B1912" s="38" t="b">
        <f>+IF((PROVEEDORES[[#This Row],[FECHA DE PAGO]]-PROVEEDORES[[#This Row],[FECHA DE FACTURACIÓN]])&gt;PROVEEDORES[[#This Row],[PLAZO Días]],"PAGO VENCIDO")</f>
        <v>0</v>
      </c>
      <c r="C1912" s="20">
        <f>+VLOOKUP(PROVEEDORES[[#This Row],[PROVEEDOR]],TERCEROS_INFO[#All],2,FALSE)</f>
        <v>30</v>
      </c>
      <c r="D1912" s="25">
        <f>+SUMIFS(PROVEEDORES[Total],PROVEEDORES[PROVEEDOR],PROVEEDORES[[#This Row],[PROVEEDOR]],PROVEEDORES[FECHA DE PAGO],"")</f>
        <v>5430852.9800000004</v>
      </c>
      <c r="E1912" s="25"/>
      <c r="F1912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912" s="161">
        <v>44600</v>
      </c>
      <c r="H1912" s="26" t="s">
        <v>408</v>
      </c>
      <c r="I1912" s="161">
        <v>44574</v>
      </c>
      <c r="J1912" s="35">
        <v>162642</v>
      </c>
      <c r="K1912" s="21">
        <v>4279357</v>
      </c>
      <c r="L1912" s="21">
        <v>107523</v>
      </c>
      <c r="M1912" s="22">
        <f>(PROVEEDORES[[#This Row],[SUBTOTAL]]-PROVEEDORES[[#This Row],[descuento sobre subtotal]])*VLOOKUP(PROVEEDORES[[#This Row],[PROVEEDOR]],TERCEROS_INFO[#All],3,FALSE)</f>
        <v>792648.46</v>
      </c>
      <c r="N1912" s="23"/>
      <c r="O1912" s="22">
        <f>+PROVEEDORES[[#This Row],[Descuento sobre subtotal %]]*(PROVEEDORES[[#This Row],[SUBTOTAL]]-PROVEEDORES[[#This Row],[descuento sobre subtotal]])</f>
        <v>0</v>
      </c>
      <c r="P1912" s="83">
        <f>+IF(PROVEEDORES[[#This Row],[SUBTOTAL]]&lt;PROVEEDORES[[#This Row],[base retencion]],0,PROVEEDORES[[#This Row],[retención aplicada]])</f>
        <v>0</v>
      </c>
      <c r="Q1912" s="22">
        <f>+PROVEEDORES[[#This Row],[Rete Fuente %]]*(PROVEEDORES[[#This Row],[SUBTOTAL]]-PROVEEDORES[[#This Row],[descuento sobre subtotal]])</f>
        <v>0</v>
      </c>
      <c r="R1912" s="21">
        <v>4984911.83</v>
      </c>
      <c r="S191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2" s="68">
        <f ca="1">IF(PROVEEDORES[[#This Row],[FECHA DE PAGO]]=0,TODAY()-PROVEEDORES[[#This Row],[FECHA DE FACTURACIÓN]]-PROVEEDORES[[#This Row],[PLAZO Días]],0)</f>
        <v>0</v>
      </c>
      <c r="U1912" s="96">
        <f>+VLOOKUP(PROVEEDORES[[#This Row],[PROVEEDOR]],Terceros!$A:$D,4,FALSE)</f>
        <v>0</v>
      </c>
      <c r="V1912" s="97">
        <f>+YEAR(PROVEEDORES[[#This Row],[FECHA DE FACTURACIÓN]])</f>
        <v>2022</v>
      </c>
      <c r="W1912" s="97">
        <f>+MATCH(PROVEEDORES[[#This Row],[año facturado]],Retenciones!$1:$1,0)</f>
        <v>5</v>
      </c>
      <c r="X1912" s="98">
        <f>+VLOOKUP(PROVEEDORES[[#This Row],[ID RETENCION]],Retenciones!$A$1:$O$25,PROVEEDORES[[#This Row],[indicador de columna]],FALSE)</f>
        <v>0</v>
      </c>
      <c r="Y1912" s="99">
        <f>+VLOOKUP(PROVEEDORES[[#This Row],[ID RETENCION]],Retenciones!$A$1:$O$25,2,FALSE)</f>
        <v>0</v>
      </c>
      <c r="Z1912" s="125" t="b">
        <f>OR(COUNTIF(PROVEEDORES[[#This Row],[PROVEEDOR]],"*"&amp;'Palabra no opera'!$A$2&amp;"*"))</f>
        <v>0</v>
      </c>
    </row>
    <row r="1913" spans="1:26" ht="22.2" customHeight="1" x14ac:dyDescent="0.3">
      <c r="A1913" s="159" t="str">
        <f>+IF(PROVEEDORES[[#This Row],[FECHA DE PAGO]]=PROVEEDORES[[#This Row],[FECHA DE FACTURACIÓN]],"DE CONTADO","CRÉDITO")</f>
        <v>CRÉDITO</v>
      </c>
      <c r="B1913" s="38" t="b">
        <f>+IF((PROVEEDORES[[#This Row],[FECHA DE PAGO]]-PROVEEDORES[[#This Row],[FECHA DE FACTURACIÓN]])&gt;PROVEEDORES[[#This Row],[PLAZO Días]],"PAGO VENCIDO")</f>
        <v>0</v>
      </c>
      <c r="C1913" s="20">
        <f>+VLOOKUP(PROVEEDORES[[#This Row],[PROVEEDOR]],TERCEROS_INFO[#All],2,FALSE)</f>
        <v>30</v>
      </c>
      <c r="D1913" s="25">
        <f>+SUMIFS(PROVEEDORES[Total],PROVEEDORES[PROVEEDOR],PROVEEDORES[[#This Row],[PROVEEDOR]],PROVEEDORES[FECHA DE PAGO],"")</f>
        <v>0</v>
      </c>
      <c r="E1913" s="25"/>
      <c r="F1913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913" s="161">
        <v>44772</v>
      </c>
      <c r="H1913" s="26" t="s">
        <v>1106</v>
      </c>
      <c r="I1913" s="161">
        <v>44743</v>
      </c>
      <c r="J1913" s="35">
        <v>2507</v>
      </c>
      <c r="K1913" s="21">
        <v>4690900</v>
      </c>
      <c r="L1913" s="21"/>
      <c r="M1913" s="22">
        <f>(PROVEEDORES[[#This Row],[SUBTOTAL]]-PROVEEDORES[[#This Row],[descuento sobre subtotal]])*VLOOKUP(PROVEEDORES[[#This Row],[PROVEEDOR]],TERCEROS_INFO[#All],3,FALSE)</f>
        <v>891271</v>
      </c>
      <c r="N1913" s="23">
        <v>0.1</v>
      </c>
      <c r="O1913" s="22">
        <f>+PROVEEDORES[[#This Row],[Descuento sobre subtotal %]]*(PROVEEDORES[[#This Row],[SUBTOTAL]]-PROVEEDORES[[#This Row],[descuento sobre subtotal]])</f>
        <v>469090</v>
      </c>
      <c r="P1913" s="83">
        <f>+IF(PROVEEDORES[[#This Row],[SUBTOTAL]]&lt;PROVEEDORES[[#This Row],[base retencion]],0,PROVEEDORES[[#This Row],[retención aplicada]])</f>
        <v>2.5000000000000001E-2</v>
      </c>
      <c r="Q1913" s="22">
        <f>+PROVEEDORES[[#This Row],[Rete Fuente %]]*(PROVEEDORES[[#This Row],[SUBTOTAL]]-PROVEEDORES[[#This Row],[descuento sobre subtotal]])</f>
        <v>117272.5</v>
      </c>
      <c r="R1913" s="21">
        <f>+PROVEEDORES[[#This Row],[SUBTOTAL]]+PROVEEDORES[[#This Row],[IVA 19%]]-PROVEEDORES[[#This Row],[descuento sobre subtotal]]-PROVEEDORES[[#This Row],[Descuento sobre subtotal $2]]-PROVEEDORES[[#This Row],[Rete Fuente $]]</f>
        <v>4995808.5</v>
      </c>
      <c r="S191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3" s="68">
        <f ca="1">IF(PROVEEDORES[[#This Row],[FECHA DE PAGO]]=0,TODAY()-PROVEEDORES[[#This Row],[FECHA DE FACTURACIÓN]]-PROVEEDORES[[#This Row],[PLAZO Días]],0)</f>
        <v>0</v>
      </c>
      <c r="U1913" s="113" t="str">
        <f>+VLOOKUP(PROVEEDORES[[#This Row],[PROVEEDOR]],Terceros!$A:$D,4,FALSE)</f>
        <v>2,5% con base</v>
      </c>
      <c r="V1913" s="114">
        <f>+YEAR(PROVEEDORES[[#This Row],[FECHA DE FACTURACIÓN]])</f>
        <v>2022</v>
      </c>
      <c r="W1913" s="114">
        <f>+MATCH(PROVEEDORES[[#This Row],[año facturado]],Retenciones!$1:$1,0)</f>
        <v>5</v>
      </c>
      <c r="X1913" s="115">
        <f>+VLOOKUP(PROVEEDORES[[#This Row],[ID RETENCION]],Retenciones!$A$1:$O$25,PROVEEDORES[[#This Row],[indicador de columna]],FALSE)</f>
        <v>1026000</v>
      </c>
      <c r="Y1913" s="116">
        <f>+VLOOKUP(PROVEEDORES[[#This Row],[ID RETENCION]],Retenciones!$A$1:$O$25,2,FALSE)</f>
        <v>2.5000000000000001E-2</v>
      </c>
      <c r="Z1913" s="125" t="b">
        <f>OR(COUNTIF(PROVEEDORES[[#This Row],[PROVEEDOR]],"*"&amp;'Palabra no opera'!$A$2&amp;"*"))</f>
        <v>0</v>
      </c>
    </row>
    <row r="1914" spans="1:26" ht="22.2" customHeight="1" x14ac:dyDescent="0.3">
      <c r="A1914" s="66" t="str">
        <f>+IF(PROVEEDORES[[#This Row],[FECHA DE PAGO]]=PROVEEDORES[[#This Row],[FECHA DE FACTURACIÓN]],"DE CONTADO","CRÉDITO")</f>
        <v>CRÉDITO</v>
      </c>
      <c r="B1914" s="38" t="str">
        <f>+IF((PROVEEDORES[[#This Row],[FECHA DE PAGO]]-PROVEEDORES[[#This Row],[FECHA DE FACTURACIÓN]])&gt;PROVEEDORES[[#This Row],[PLAZO Días]],"PAGO VENCIDO")</f>
        <v>PAGO VENCIDO</v>
      </c>
      <c r="C1914" s="20">
        <f>+VLOOKUP(PROVEEDORES[[#This Row],[PROVEEDOR]],TERCEROS_INFO[#All],2,FALSE)</f>
        <v>30</v>
      </c>
      <c r="D1914" s="25">
        <f>+SUMIFS(PROVEEDORES[Total],PROVEEDORES[PROVEEDOR],PROVEEDORES[[#This Row],[PROVEEDOR]],PROVEEDORES[FECHA DE PAGO],"")</f>
        <v>0</v>
      </c>
      <c r="E1914" s="25"/>
      <c r="F1914" s="58" t="str">
        <f>+VLOOKUP(PROVEEDORES[[#This Row],[PROVEEDOR]],
                       Terceros!$A:$F,
                       5,
                       FALSE)</f>
        <v/>
      </c>
      <c r="G1914" s="161">
        <v>44552</v>
      </c>
      <c r="H1914" s="26" t="s">
        <v>625</v>
      </c>
      <c r="I1914" s="161">
        <v>44494</v>
      </c>
      <c r="J1914" s="35" t="s">
        <v>1509</v>
      </c>
      <c r="K1914" s="21">
        <v>5036000</v>
      </c>
      <c r="L1914" s="21"/>
      <c r="M1914" s="22">
        <f>(PROVEEDORES[[#This Row],[SUBTOTAL]]-PROVEEDORES[[#This Row],[descuento sobre subtotal]])*VLOOKUP(PROVEEDORES[[#This Row],[PROVEEDOR]],TERCEROS_INFO[#All],3,FALSE)</f>
        <v>0</v>
      </c>
      <c r="N1914" s="23"/>
      <c r="O1914" s="22">
        <f>+PROVEEDORES[[#This Row],[Descuento sobre subtotal %]]*(PROVEEDORES[[#This Row],[SUBTOTAL]]-PROVEEDORES[[#This Row],[descuento sobre subtotal]])</f>
        <v>0</v>
      </c>
      <c r="P1914" s="83">
        <f>+IF(PROVEEDORES[[#This Row],[SUBTOTAL]]&lt;PROVEEDORES[[#This Row],[base retencion]],0,PROVEEDORES[[#This Row],[retención aplicada]])</f>
        <v>0</v>
      </c>
      <c r="Q1914" s="22">
        <f>+PROVEEDORES[[#This Row],[Rete Fuente %]]*(PROVEEDORES[[#This Row],[SUBTOTAL]]-PROVEEDORES[[#This Row],[descuento sobre subtotal]])</f>
        <v>0</v>
      </c>
      <c r="R1914" s="21">
        <f>+PROVEEDORES[[#This Row],[SUBTOTAL]]+PROVEEDORES[[#This Row],[IVA 19%]]-PROVEEDORES[[#This Row],[descuento sobre subtotal]]-PROVEEDORES[[#This Row],[Descuento sobre subtotal $2]]-PROVEEDORES[[#This Row],[Rete Fuente $]]</f>
        <v>5036000</v>
      </c>
      <c r="S191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4" s="68">
        <f ca="1">IF(PROVEEDORES[[#This Row],[FECHA DE PAGO]]=0,TODAY()-PROVEEDORES[[#This Row],[FECHA DE FACTURACIÓN]]-PROVEEDORES[[#This Row],[PLAZO Días]],0)</f>
        <v>0</v>
      </c>
      <c r="U1914" s="96">
        <f>+VLOOKUP(PROVEEDORES[[#This Row],[PROVEEDOR]],Terceros!$A:$D,4,FALSE)</f>
        <v>0</v>
      </c>
      <c r="V1914" s="97">
        <f>+YEAR(PROVEEDORES[[#This Row],[FECHA DE FACTURACIÓN]])</f>
        <v>2021</v>
      </c>
      <c r="W1914" s="97">
        <f>+MATCH(PROVEEDORES[[#This Row],[año facturado]],Retenciones!$1:$1,0)</f>
        <v>4</v>
      </c>
      <c r="X1914" s="98">
        <f>+VLOOKUP(PROVEEDORES[[#This Row],[ID RETENCION]],Retenciones!$A$1:$O$25,PROVEEDORES[[#This Row],[indicador de columna]],FALSE)</f>
        <v>0</v>
      </c>
      <c r="Y1914" s="99">
        <f>+VLOOKUP(PROVEEDORES[[#This Row],[ID RETENCION]],Retenciones!$A$1:$O$25,2,FALSE)</f>
        <v>0</v>
      </c>
      <c r="Z1914" s="125" t="b">
        <f>OR(COUNTIF(PROVEEDORES[[#This Row],[PROVEEDOR]],"*"&amp;'Palabra no opera'!$A$2&amp;"*"))</f>
        <v>0</v>
      </c>
    </row>
    <row r="1915" spans="1:26" ht="22.2" customHeight="1" x14ac:dyDescent="0.3">
      <c r="A1915" s="66" t="str">
        <f>+IF(PROVEEDORES[[#This Row],[FECHA DE PAGO]]=PROVEEDORES[[#This Row],[FECHA DE FACTURACIÓN]],"DE CONTADO","CRÉDITO")</f>
        <v>CRÉDITO</v>
      </c>
      <c r="B1915" s="38" t="str">
        <f>+IF((PROVEEDORES[[#This Row],[FECHA DE PAGO]]-PROVEEDORES[[#This Row],[FECHA DE FACTURACIÓN]])&gt;PROVEEDORES[[#This Row],[PLAZO Días]],"PAGO VENCIDO")</f>
        <v>PAGO VENCIDO</v>
      </c>
      <c r="C1915" s="20">
        <f>+VLOOKUP(PROVEEDORES[[#This Row],[PROVEEDOR]],TERCEROS_INFO[#All],2,FALSE)</f>
        <v>30</v>
      </c>
      <c r="D1915" s="25">
        <f>+SUMIFS(PROVEEDORES[Total],PROVEEDORES[PROVEEDOR],PROVEEDORES[[#This Row],[PROVEEDOR]],PROVEEDORES[FECHA DE PAGO],"")</f>
        <v>0</v>
      </c>
      <c r="E1915" s="25"/>
      <c r="F191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915" s="161">
        <v>44657</v>
      </c>
      <c r="H1915" s="26" t="s">
        <v>20</v>
      </c>
      <c r="I1915" s="161">
        <v>44585</v>
      </c>
      <c r="J1915" s="35">
        <v>6124</v>
      </c>
      <c r="K1915" s="21">
        <v>4330819.2</v>
      </c>
      <c r="L1915" s="21"/>
      <c r="M1915" s="22">
        <v>822855.64800000004</v>
      </c>
      <c r="N1915" s="23"/>
      <c r="O1915" s="22">
        <v>0</v>
      </c>
      <c r="P1915" s="83">
        <f>+IF(PROVEEDORES[[#This Row],[SUBTOTAL]]&lt;PROVEEDORES[[#This Row],[base retencion]],0,PROVEEDORES[[#This Row],[retención aplicada]])</f>
        <v>2.5000000000000001E-2</v>
      </c>
      <c r="Q1915" s="22">
        <f>+PROVEEDORES[[#This Row],[Rete Fuente %]]*(PROVEEDORES[[#This Row],[SUBTOTAL]]-PROVEEDORES[[#This Row],[descuento sobre subtotal]])</f>
        <v>108270.48000000001</v>
      </c>
      <c r="R1915" s="21">
        <v>5045404.3679999998</v>
      </c>
      <c r="S19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5" s="68">
        <f ca="1">IF(PROVEEDORES[[#This Row],[FECHA DE PAGO]]=0,TODAY()-PROVEEDORES[[#This Row],[FECHA DE FACTURACIÓN]]-PROVEEDORES[[#This Row],[PLAZO Días]],0)</f>
        <v>0</v>
      </c>
      <c r="U1915" s="96" t="str">
        <f>+VLOOKUP(PROVEEDORES[[#This Row],[PROVEEDOR]],Terceros!$A:$D,4,FALSE)</f>
        <v>2,5% con base</v>
      </c>
      <c r="V1915" s="97">
        <f>+YEAR(PROVEEDORES[[#This Row],[FECHA DE FACTURACIÓN]])</f>
        <v>2022</v>
      </c>
      <c r="W1915" s="97">
        <f>+MATCH(PROVEEDORES[[#This Row],[año facturado]],Retenciones!$1:$1,0)</f>
        <v>5</v>
      </c>
      <c r="X1915" s="98">
        <f>+VLOOKUP(PROVEEDORES[[#This Row],[ID RETENCION]],Retenciones!$A$1:$O$25,PROVEEDORES[[#This Row],[indicador de columna]],FALSE)</f>
        <v>1026000</v>
      </c>
      <c r="Y1915" s="99">
        <f>+VLOOKUP(PROVEEDORES[[#This Row],[ID RETENCION]],Retenciones!$A$1:$O$25,2,FALSE)</f>
        <v>2.5000000000000001E-2</v>
      </c>
      <c r="Z1915" s="125" t="b">
        <f>OR(COUNTIF(PROVEEDORES[[#This Row],[PROVEEDOR]],"*"&amp;'Palabra no opera'!$A$2&amp;"*"))</f>
        <v>0</v>
      </c>
    </row>
    <row r="1916" spans="1:26" ht="22.2" customHeight="1" x14ac:dyDescent="0.3">
      <c r="A1916" s="66" t="str">
        <f>+IF(PROVEEDORES[[#This Row],[FECHA DE PAGO]]=PROVEEDORES[[#This Row],[FECHA DE FACTURACIÓN]],"DE CONTADO","CRÉDITO")</f>
        <v>CRÉDITO</v>
      </c>
      <c r="B1916" s="38" t="str">
        <f>+IF((PROVEEDORES[[#This Row],[FECHA DE PAGO]]-PROVEEDORES[[#This Row],[FECHA DE FACTURACIÓN]])&gt;PROVEEDORES[[#This Row],[PLAZO Días]],"PAGO VENCIDO")</f>
        <v>PAGO VENCIDO</v>
      </c>
      <c r="C1916" s="20">
        <f>+VLOOKUP(PROVEEDORES[[#This Row],[PROVEEDOR]],TERCEROS_INFO[#All],2,FALSE)</f>
        <v>30</v>
      </c>
      <c r="D1916" s="25">
        <f>+SUMIFS(PROVEEDORES[Total],PROVEEDORES[PROVEEDOR],PROVEEDORES[[#This Row],[PROVEEDOR]],PROVEEDORES[FECHA DE PAGO],"")</f>
        <v>0</v>
      </c>
      <c r="E1916" s="25"/>
      <c r="F1916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916" s="161">
        <v>44572</v>
      </c>
      <c r="H1916" s="26" t="s">
        <v>38</v>
      </c>
      <c r="I1916" s="161">
        <v>44531</v>
      </c>
      <c r="J1916" s="35" t="s">
        <v>578</v>
      </c>
      <c r="K1916" s="21">
        <v>5091096</v>
      </c>
      <c r="L1916" s="21"/>
      <c r="M1916" s="22">
        <f>(PROVEEDORES[[#This Row],[SUBTOTAL]]-PROVEEDORES[[#This Row],[descuento sobre subtotal]])*VLOOKUP(PROVEEDORES[[#This Row],[PROVEEDOR]],TERCEROS_INFO[#All],3,FALSE)</f>
        <v>0</v>
      </c>
      <c r="N1916" s="23"/>
      <c r="O1916" s="22">
        <f>+PROVEEDORES[[#This Row],[Descuento sobre subtotal %]]*(PROVEEDORES[[#This Row],[SUBTOTAL]]-PROVEEDORES[[#This Row],[descuento sobre subtotal]])</f>
        <v>0</v>
      </c>
      <c r="P1916" s="83">
        <f>+IF(PROVEEDORES[[#This Row],[SUBTOTAL]]&lt;PROVEEDORES[[#This Row],[base retencion]],0,PROVEEDORES[[#This Row],[retención aplicada]])</f>
        <v>0</v>
      </c>
      <c r="Q1916" s="22">
        <f>+PROVEEDORES[[#This Row],[Rete Fuente %]]*(PROVEEDORES[[#This Row],[SUBTOTAL]]-PROVEEDORES[[#This Row],[descuento sobre subtotal]])</f>
        <v>0</v>
      </c>
      <c r="R1916" s="21">
        <v>5091096</v>
      </c>
      <c r="S19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6" s="68">
        <f ca="1">IF(PROVEEDORES[[#This Row],[FECHA DE PAGO]]=0,TODAY()-PROVEEDORES[[#This Row],[FECHA DE FACTURACIÓN]]-PROVEEDORES[[#This Row],[PLAZO Días]],0)</f>
        <v>0</v>
      </c>
      <c r="U1916" s="96">
        <f>+VLOOKUP(PROVEEDORES[[#This Row],[PROVEEDOR]],Terceros!$A:$D,4,FALSE)</f>
        <v>0</v>
      </c>
      <c r="V1916" s="97">
        <f>+YEAR(PROVEEDORES[[#This Row],[FECHA DE FACTURACIÓN]])</f>
        <v>2021</v>
      </c>
      <c r="W1916" s="97">
        <f>+MATCH(PROVEEDORES[[#This Row],[año facturado]],Retenciones!$1:$1,0)</f>
        <v>4</v>
      </c>
      <c r="X1916" s="98">
        <f>+VLOOKUP(PROVEEDORES[[#This Row],[ID RETENCION]],Retenciones!$A$1:$O$25,PROVEEDORES[[#This Row],[indicador de columna]],FALSE)</f>
        <v>0</v>
      </c>
      <c r="Y1916" s="99">
        <f>+VLOOKUP(PROVEEDORES[[#This Row],[ID RETENCION]],Retenciones!$A$1:$O$25,2,FALSE)</f>
        <v>0</v>
      </c>
      <c r="Z1916" s="125" t="b">
        <f>OR(COUNTIF(PROVEEDORES[[#This Row],[PROVEEDOR]],"*"&amp;'Palabra no opera'!$A$2&amp;"*"))</f>
        <v>0</v>
      </c>
    </row>
    <row r="1917" spans="1:26" ht="22.2" customHeight="1" x14ac:dyDescent="0.3">
      <c r="A1917" s="66" t="str">
        <f>+IF(PROVEEDORES[[#This Row],[FECHA DE PAGO]]=PROVEEDORES[[#This Row],[FECHA DE FACTURACIÓN]],"DE CONTADO","CRÉDITO")</f>
        <v>CRÉDITO</v>
      </c>
      <c r="B1917" s="38" t="b">
        <f>+IF((PROVEEDORES[[#This Row],[FECHA DE PAGO]]-PROVEEDORES[[#This Row],[FECHA DE FACTURACIÓN]])&gt;PROVEEDORES[[#This Row],[PLAZO Días]],"PAGO VENCIDO")</f>
        <v>0</v>
      </c>
      <c r="C1917" s="20">
        <f>+VLOOKUP(PROVEEDORES[[#This Row],[PROVEEDOR]],TERCEROS_INFO[#All],2,FALSE)</f>
        <v>45</v>
      </c>
      <c r="D1917" s="25">
        <f>+SUMIFS(PROVEEDORES[Total],PROVEEDORES[PROVEEDOR],PROVEEDORES[[#This Row],[PROVEEDOR]],PROVEEDORES[FECHA DE PAGO],"")</f>
        <v>31891814.359999999</v>
      </c>
      <c r="E1917" s="25"/>
      <c r="F191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17" s="161">
        <v>44476</v>
      </c>
      <c r="H1917" s="26" t="s">
        <v>19</v>
      </c>
      <c r="I1917" s="161">
        <v>44438</v>
      </c>
      <c r="J1917" s="35" t="s">
        <v>453</v>
      </c>
      <c r="K1917" s="21">
        <v>4283520</v>
      </c>
      <c r="L1917" s="21"/>
      <c r="M1917" s="22">
        <f>(PROVEEDORES[[#This Row],[SUBTOTAL]]-PROVEEDORES[[#This Row],[descuento sobre subtotal]])*VLOOKUP(PROVEEDORES[[#This Row],[PROVEEDOR]],TERCEROS_INFO[#All],3,FALSE)</f>
        <v>813868.8</v>
      </c>
      <c r="N1917" s="23"/>
      <c r="O1917" s="22">
        <f>+PROVEEDORES[[#This Row],[Descuento sobre subtotal %]]*(PROVEEDORES[[#This Row],[SUBTOTAL]]-PROVEEDORES[[#This Row],[descuento sobre subtotal]])</f>
        <v>0</v>
      </c>
      <c r="P1917" s="83">
        <f>+IF(PROVEEDORES[[#This Row],[SUBTOTAL]]&lt;PROVEEDORES[[#This Row],[base retencion]],0,PROVEEDORES[[#This Row],[retención aplicada]])</f>
        <v>0</v>
      </c>
      <c r="Q1917" s="22">
        <f>+PROVEEDORES[[#This Row],[Rete Fuente %]]*(PROVEEDORES[[#This Row],[SUBTOTAL]]-PROVEEDORES[[#This Row],[descuento sobre subtotal]])</f>
        <v>0</v>
      </c>
      <c r="R1917" s="21">
        <f>+PROVEEDORES[[#This Row],[SUBTOTAL]]+PROVEEDORES[[#This Row],[IVA 19%]]-PROVEEDORES[[#This Row],[descuento sobre subtotal]]-PROVEEDORES[[#This Row],[Descuento sobre subtotal $2]]-PROVEEDORES[[#This Row],[Rete Fuente $]]</f>
        <v>5097388.8</v>
      </c>
      <c r="S19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7" s="68">
        <f ca="1">IF(PROVEEDORES[[#This Row],[FECHA DE PAGO]]=0,TODAY()-PROVEEDORES[[#This Row],[FECHA DE FACTURACIÓN]]-PROVEEDORES[[#This Row],[PLAZO Días]],0)</f>
        <v>0</v>
      </c>
      <c r="U1917" s="96">
        <f>+VLOOKUP(PROVEEDORES[[#This Row],[PROVEEDOR]],Terceros!$A:$D,4,FALSE)</f>
        <v>0</v>
      </c>
      <c r="V1917" s="97">
        <f>+YEAR(PROVEEDORES[[#This Row],[FECHA DE FACTURACIÓN]])</f>
        <v>2021</v>
      </c>
      <c r="W1917" s="97">
        <f>+MATCH(PROVEEDORES[[#This Row],[año facturado]],Retenciones!$1:$1,0)</f>
        <v>4</v>
      </c>
      <c r="X1917" s="98">
        <f>+VLOOKUP(PROVEEDORES[[#This Row],[ID RETENCION]],Retenciones!$A$1:$O$25,PROVEEDORES[[#This Row],[indicador de columna]],FALSE)</f>
        <v>0</v>
      </c>
      <c r="Y1917" s="99">
        <f>+VLOOKUP(PROVEEDORES[[#This Row],[ID RETENCION]],Retenciones!$A$1:$O$25,2,FALSE)</f>
        <v>0</v>
      </c>
      <c r="Z1917" s="125" t="b">
        <f>OR(COUNTIF(PROVEEDORES[[#This Row],[PROVEEDOR]],"*"&amp;'Palabra no opera'!$A$2&amp;"*"))</f>
        <v>0</v>
      </c>
    </row>
    <row r="1918" spans="1:26" ht="22.2" customHeight="1" x14ac:dyDescent="0.3">
      <c r="A1918" s="66" t="str">
        <f>+IF(PROVEEDORES[[#This Row],[FECHA DE PAGO]]=PROVEEDORES[[#This Row],[FECHA DE FACTURACIÓN]],"DE CONTADO","CRÉDITO")</f>
        <v>CRÉDITO</v>
      </c>
      <c r="B1918" s="38" t="str">
        <f>+IF((PROVEEDORES[[#This Row],[FECHA DE PAGO]]-PROVEEDORES[[#This Row],[FECHA DE FACTURACIÓN]])&gt;PROVEEDORES[[#This Row],[PLAZO Días]],"PAGO VENCIDO")</f>
        <v>PAGO VENCIDO</v>
      </c>
      <c r="C1918" s="20">
        <f>+VLOOKUP(PROVEEDORES[[#This Row],[PROVEEDOR]],TERCEROS_INFO[#All],2,FALSE)</f>
        <v>20</v>
      </c>
      <c r="D1918" s="25">
        <f>+SUMIFS(PROVEEDORES[Total],PROVEEDORES[PROVEEDOR],PROVEEDORES[[#This Row],[PROVEEDOR]],PROVEEDORES[FECHA DE PAGO],"")</f>
        <v>0</v>
      </c>
      <c r="E1918" s="25"/>
      <c r="F191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18" s="161">
        <v>44432</v>
      </c>
      <c r="H1918" s="26" t="s">
        <v>942</v>
      </c>
      <c r="I1918" s="161">
        <v>44409</v>
      </c>
      <c r="J1918" s="35">
        <v>39977</v>
      </c>
      <c r="K1918" s="21">
        <v>4430000</v>
      </c>
      <c r="L1918" s="21"/>
      <c r="M1918" s="22">
        <f>(PROVEEDORES[[#This Row],[SUBTOTAL]]-PROVEEDORES[[#This Row],[descuento sobre subtotal]])*VLOOKUP(PROVEEDORES[[#This Row],[PROVEEDOR]],TERCEROS_INFO[#All],3,FALSE)</f>
        <v>841700</v>
      </c>
      <c r="N1918" s="23"/>
      <c r="O1918" s="22">
        <f>+PROVEEDORES[[#This Row],[Descuento sobre subtotal %]]*(PROVEEDORES[[#This Row],[SUBTOTAL]]-PROVEEDORES[[#This Row],[descuento sobre subtotal]])</f>
        <v>0</v>
      </c>
      <c r="P1918" s="83">
        <f>+IF(PROVEEDORES[[#This Row],[SUBTOTAL]]&lt;PROVEEDORES[[#This Row],[base retencion]],0,PROVEEDORES[[#This Row],[retención aplicada]])</f>
        <v>3.5000000000000003E-2</v>
      </c>
      <c r="Q1918" s="22">
        <f>+PROVEEDORES[[#This Row],[Rete Fuente %]]*(PROVEEDORES[[#This Row],[SUBTOTAL]]-PROVEEDORES[[#This Row],[descuento sobre subtotal]])</f>
        <v>155050.00000000003</v>
      </c>
      <c r="R1918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8" s="68">
        <f ca="1">IF(PROVEEDORES[[#This Row],[FECHA DE PAGO]]=0,TODAY()-PROVEEDORES[[#This Row],[FECHA DE FACTURACIÓN]]-PROVEEDORES[[#This Row],[PLAZO Días]],0)</f>
        <v>0</v>
      </c>
      <c r="U1918" s="96" t="str">
        <f>+VLOOKUP(PROVEEDORES[[#This Row],[PROVEEDOR]],Terceros!$A:$D,4,FALSE)</f>
        <v>3,5% sin base</v>
      </c>
      <c r="V1918" s="97">
        <f>+YEAR(PROVEEDORES[[#This Row],[FECHA DE FACTURACIÓN]])</f>
        <v>2021</v>
      </c>
      <c r="W1918" s="97">
        <f>+MATCH(PROVEEDORES[[#This Row],[año facturado]],Retenciones!$1:$1,0)</f>
        <v>4</v>
      </c>
      <c r="X1918" s="98">
        <f>+VLOOKUP(PROVEEDORES[[#This Row],[ID RETENCION]],Retenciones!$A$1:$O$25,PROVEEDORES[[#This Row],[indicador de columna]],FALSE)</f>
        <v>0</v>
      </c>
      <c r="Y1918" s="99">
        <f>+VLOOKUP(PROVEEDORES[[#This Row],[ID RETENCION]],Retenciones!$A$1:$O$25,2,FALSE)</f>
        <v>3.5000000000000003E-2</v>
      </c>
      <c r="Z1918" s="127" t="b">
        <f>OR(COUNTIF(PROVEEDORES[[#This Row],[PROVEEDOR]],"*"&amp;'Palabra no opera'!$A$2&amp;"*"))</f>
        <v>1</v>
      </c>
    </row>
    <row r="1919" spans="1:26" ht="22.2" customHeight="1" x14ac:dyDescent="0.3">
      <c r="A1919" s="66" t="str">
        <f>+IF(PROVEEDORES[[#This Row],[FECHA DE PAGO]]=PROVEEDORES[[#This Row],[FECHA DE FACTURACIÓN]],"DE CONTADO","CRÉDITO")</f>
        <v>CRÉDITO</v>
      </c>
      <c r="B1919" s="38" t="str">
        <f>+IF((PROVEEDORES[[#This Row],[FECHA DE PAGO]]-PROVEEDORES[[#This Row],[FECHA DE FACTURACIÓN]])&gt;PROVEEDORES[[#This Row],[PLAZO Días]],"PAGO VENCIDO")</f>
        <v>PAGO VENCIDO</v>
      </c>
      <c r="C1919" s="20">
        <f>+VLOOKUP(PROVEEDORES[[#This Row],[PROVEEDOR]],TERCEROS_INFO[#All],2,FALSE)</f>
        <v>20</v>
      </c>
      <c r="D1919" s="25">
        <f>+SUMIFS(PROVEEDORES[Total],PROVEEDORES[PROVEEDOR],PROVEEDORES[[#This Row],[PROVEEDOR]],PROVEEDORES[FECHA DE PAGO],"")</f>
        <v>0</v>
      </c>
      <c r="E1919" s="25"/>
      <c r="F191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19" s="161">
        <v>44461</v>
      </c>
      <c r="H1919" s="26" t="s">
        <v>942</v>
      </c>
      <c r="I1919" s="161">
        <v>44440</v>
      </c>
      <c r="J1919" s="35">
        <v>40299</v>
      </c>
      <c r="K1919" s="21">
        <v>4430000</v>
      </c>
      <c r="L1919" s="21"/>
      <c r="M1919" s="22">
        <f>(PROVEEDORES[[#This Row],[SUBTOTAL]]-PROVEEDORES[[#This Row],[descuento sobre subtotal]])*VLOOKUP(PROVEEDORES[[#This Row],[PROVEEDOR]],TERCEROS_INFO[#All],3,FALSE)</f>
        <v>841700</v>
      </c>
      <c r="N1919" s="23"/>
      <c r="O1919" s="22">
        <f>+PROVEEDORES[[#This Row],[Descuento sobre subtotal %]]*(PROVEEDORES[[#This Row],[SUBTOTAL]]-PROVEEDORES[[#This Row],[descuento sobre subtotal]])</f>
        <v>0</v>
      </c>
      <c r="P1919" s="83">
        <f>+IF(PROVEEDORES[[#This Row],[SUBTOTAL]]&lt;PROVEEDORES[[#This Row],[base retencion]],0,PROVEEDORES[[#This Row],[retención aplicada]])</f>
        <v>3.5000000000000003E-2</v>
      </c>
      <c r="Q1919" s="22">
        <f>+PROVEEDORES[[#This Row],[Rete Fuente %]]*(PROVEEDORES[[#This Row],[SUBTOTAL]]-PROVEEDORES[[#This Row],[descuento sobre subtotal]])</f>
        <v>155050.00000000003</v>
      </c>
      <c r="R1919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9" s="68">
        <f ca="1">IF(PROVEEDORES[[#This Row],[FECHA DE PAGO]]=0,TODAY()-PROVEEDORES[[#This Row],[FECHA DE FACTURACIÓN]]-PROVEEDORES[[#This Row],[PLAZO Días]],0)</f>
        <v>0</v>
      </c>
      <c r="U1919" s="96" t="str">
        <f>+VLOOKUP(PROVEEDORES[[#This Row],[PROVEEDOR]],Terceros!$A:$D,4,FALSE)</f>
        <v>3,5% sin base</v>
      </c>
      <c r="V1919" s="97">
        <f>+YEAR(PROVEEDORES[[#This Row],[FECHA DE FACTURACIÓN]])</f>
        <v>2021</v>
      </c>
      <c r="W1919" s="97">
        <f>+MATCH(PROVEEDORES[[#This Row],[año facturado]],Retenciones!$1:$1,0)</f>
        <v>4</v>
      </c>
      <c r="X1919" s="98">
        <f>+VLOOKUP(PROVEEDORES[[#This Row],[ID RETENCION]],Retenciones!$A$1:$O$25,PROVEEDORES[[#This Row],[indicador de columna]],FALSE)</f>
        <v>0</v>
      </c>
      <c r="Y1919" s="99">
        <f>+VLOOKUP(PROVEEDORES[[#This Row],[ID RETENCION]],Retenciones!$A$1:$O$25,2,FALSE)</f>
        <v>3.5000000000000003E-2</v>
      </c>
      <c r="Z1919" s="127" t="b">
        <f>OR(COUNTIF(PROVEEDORES[[#This Row],[PROVEEDOR]],"*"&amp;'Palabra no opera'!$A$2&amp;"*"))</f>
        <v>1</v>
      </c>
    </row>
    <row r="1920" spans="1:26" ht="22.2" customHeight="1" x14ac:dyDescent="0.3">
      <c r="A1920" s="66" t="str">
        <f>+IF(PROVEEDORES[[#This Row],[FECHA DE PAGO]]=PROVEEDORES[[#This Row],[FECHA DE FACTURACIÓN]],"DE CONTADO","CRÉDITO")</f>
        <v>CRÉDITO</v>
      </c>
      <c r="B1920" s="38" t="str">
        <f>+IF((PROVEEDORES[[#This Row],[FECHA DE PAGO]]-PROVEEDORES[[#This Row],[FECHA DE FACTURACIÓN]])&gt;PROVEEDORES[[#This Row],[PLAZO Días]],"PAGO VENCIDO")</f>
        <v>PAGO VENCIDO</v>
      </c>
      <c r="C1920" s="20">
        <f>+VLOOKUP(PROVEEDORES[[#This Row],[PROVEEDOR]],TERCEROS_INFO[#All],2,FALSE)</f>
        <v>20</v>
      </c>
      <c r="D1920" s="25">
        <f>+SUMIFS(PROVEEDORES[Total],PROVEEDORES[PROVEEDOR],PROVEEDORES[[#This Row],[PROVEEDOR]],PROVEEDORES[FECHA DE PAGO],"")</f>
        <v>0</v>
      </c>
      <c r="E1920" s="25"/>
      <c r="F192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0" s="161">
        <v>44496</v>
      </c>
      <c r="H1920" s="26" t="s">
        <v>942</v>
      </c>
      <c r="I1920" s="161">
        <v>44470</v>
      </c>
      <c r="J1920" s="35">
        <v>40617</v>
      </c>
      <c r="K1920" s="21">
        <v>4430000</v>
      </c>
      <c r="L1920" s="21"/>
      <c r="M1920" s="22">
        <f>(PROVEEDORES[[#This Row],[SUBTOTAL]]-PROVEEDORES[[#This Row],[descuento sobre subtotal]])*VLOOKUP(PROVEEDORES[[#This Row],[PROVEEDOR]],TERCEROS_INFO[#All],3,FALSE)</f>
        <v>841700</v>
      </c>
      <c r="N1920" s="23"/>
      <c r="O1920" s="22">
        <f>+PROVEEDORES[[#This Row],[Descuento sobre subtotal %]]*(PROVEEDORES[[#This Row],[SUBTOTAL]]-PROVEEDORES[[#This Row],[descuento sobre subtotal]])</f>
        <v>0</v>
      </c>
      <c r="P1920" s="83">
        <f>+IF(PROVEEDORES[[#This Row],[SUBTOTAL]]&lt;PROVEEDORES[[#This Row],[base retencion]],0,PROVEEDORES[[#This Row],[retención aplicada]])</f>
        <v>3.5000000000000003E-2</v>
      </c>
      <c r="Q1920" s="22">
        <f>+PROVEEDORES[[#This Row],[Rete Fuente %]]*(PROVEEDORES[[#This Row],[SUBTOTAL]]-PROVEEDORES[[#This Row],[descuento sobre subtotal]])</f>
        <v>155050.00000000003</v>
      </c>
      <c r="R1920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2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0" s="68">
        <f ca="1">IF(PROVEEDORES[[#This Row],[FECHA DE PAGO]]=0,TODAY()-PROVEEDORES[[#This Row],[FECHA DE FACTURACIÓN]]-PROVEEDORES[[#This Row],[PLAZO Días]],0)</f>
        <v>0</v>
      </c>
      <c r="U1920" s="96" t="str">
        <f>+VLOOKUP(PROVEEDORES[[#This Row],[PROVEEDOR]],Terceros!$A:$D,4,FALSE)</f>
        <v>3,5% sin base</v>
      </c>
      <c r="V1920" s="97">
        <f>+YEAR(PROVEEDORES[[#This Row],[FECHA DE FACTURACIÓN]])</f>
        <v>2021</v>
      </c>
      <c r="W1920" s="97">
        <f>+MATCH(PROVEEDORES[[#This Row],[año facturado]],Retenciones!$1:$1,0)</f>
        <v>4</v>
      </c>
      <c r="X1920" s="98">
        <f>+VLOOKUP(PROVEEDORES[[#This Row],[ID RETENCION]],Retenciones!$A$1:$O$25,PROVEEDORES[[#This Row],[indicador de columna]],FALSE)</f>
        <v>0</v>
      </c>
      <c r="Y1920" s="99">
        <f>+VLOOKUP(PROVEEDORES[[#This Row],[ID RETENCION]],Retenciones!$A$1:$O$25,2,FALSE)</f>
        <v>3.5000000000000003E-2</v>
      </c>
      <c r="Z1920" s="127" t="b">
        <f>OR(COUNTIF(PROVEEDORES[[#This Row],[PROVEEDOR]],"*"&amp;'Palabra no opera'!$A$2&amp;"*"))</f>
        <v>1</v>
      </c>
    </row>
    <row r="1921" spans="1:26" ht="22.2" customHeight="1" x14ac:dyDescent="0.3">
      <c r="A1921" s="66" t="str">
        <f>+IF(PROVEEDORES[[#This Row],[FECHA DE PAGO]]=PROVEEDORES[[#This Row],[FECHA DE FACTURACIÓN]],"DE CONTADO","CRÉDITO")</f>
        <v>CRÉDITO</v>
      </c>
      <c r="B1921" s="38" t="str">
        <f>+IF((PROVEEDORES[[#This Row],[FECHA DE PAGO]]-PROVEEDORES[[#This Row],[FECHA DE FACTURACIÓN]])&gt;PROVEEDORES[[#This Row],[PLAZO Días]],"PAGO VENCIDO")</f>
        <v>PAGO VENCIDO</v>
      </c>
      <c r="C1921" s="20">
        <f>+VLOOKUP(PROVEEDORES[[#This Row],[PROVEEDOR]],TERCEROS_INFO[#All],2,FALSE)</f>
        <v>20</v>
      </c>
      <c r="D1921" s="25">
        <f>+SUMIFS(PROVEEDORES[Total],PROVEEDORES[PROVEEDOR],PROVEEDORES[[#This Row],[PROVEEDOR]],PROVEEDORES[FECHA DE PAGO],"")</f>
        <v>0</v>
      </c>
      <c r="E1921" s="25"/>
      <c r="F192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1" s="161">
        <v>44527</v>
      </c>
      <c r="H1921" s="26" t="s">
        <v>942</v>
      </c>
      <c r="I1921" s="161">
        <v>44501</v>
      </c>
      <c r="J1921" s="35">
        <v>40950</v>
      </c>
      <c r="K1921" s="21">
        <v>4430000</v>
      </c>
      <c r="L1921" s="21"/>
      <c r="M1921" s="22">
        <f>(PROVEEDORES[[#This Row],[SUBTOTAL]]-PROVEEDORES[[#This Row],[descuento sobre subtotal]])*VLOOKUP(PROVEEDORES[[#This Row],[PROVEEDOR]],TERCEROS_INFO[#All],3,FALSE)</f>
        <v>841700</v>
      </c>
      <c r="N1921" s="23"/>
      <c r="O1921" s="22">
        <f>+PROVEEDORES[[#This Row],[Descuento sobre subtotal %]]*(PROVEEDORES[[#This Row],[SUBTOTAL]]-PROVEEDORES[[#This Row],[descuento sobre subtotal]])</f>
        <v>0</v>
      </c>
      <c r="P1921" s="83">
        <f>+IF(PROVEEDORES[[#This Row],[SUBTOTAL]]&lt;PROVEEDORES[[#This Row],[base retencion]],0,PROVEEDORES[[#This Row],[retención aplicada]])</f>
        <v>3.5000000000000003E-2</v>
      </c>
      <c r="Q1921" s="22">
        <f>+PROVEEDORES[[#This Row],[Rete Fuente %]]*(PROVEEDORES[[#This Row],[SUBTOTAL]]-PROVEEDORES[[#This Row],[descuento sobre subtotal]])</f>
        <v>155050.00000000003</v>
      </c>
      <c r="R1921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1" s="68">
        <f ca="1">IF(PROVEEDORES[[#This Row],[FECHA DE PAGO]]=0,TODAY()-PROVEEDORES[[#This Row],[FECHA DE FACTURACIÓN]]-PROVEEDORES[[#This Row],[PLAZO Días]],0)</f>
        <v>0</v>
      </c>
      <c r="U1921" s="96" t="str">
        <f>+VLOOKUP(PROVEEDORES[[#This Row],[PROVEEDOR]],Terceros!$A:$D,4,FALSE)</f>
        <v>3,5% sin base</v>
      </c>
      <c r="V1921" s="97">
        <f>+YEAR(PROVEEDORES[[#This Row],[FECHA DE FACTURACIÓN]])</f>
        <v>2021</v>
      </c>
      <c r="W1921" s="97">
        <f>+MATCH(PROVEEDORES[[#This Row],[año facturado]],Retenciones!$1:$1,0)</f>
        <v>4</v>
      </c>
      <c r="X1921" s="98">
        <f>+VLOOKUP(PROVEEDORES[[#This Row],[ID RETENCION]],Retenciones!$A$1:$O$25,PROVEEDORES[[#This Row],[indicador de columna]],FALSE)</f>
        <v>0</v>
      </c>
      <c r="Y1921" s="99">
        <f>+VLOOKUP(PROVEEDORES[[#This Row],[ID RETENCION]],Retenciones!$A$1:$O$25,2,FALSE)</f>
        <v>3.5000000000000003E-2</v>
      </c>
      <c r="Z1921" s="127" t="b">
        <f>OR(COUNTIF(PROVEEDORES[[#This Row],[PROVEEDOR]],"*"&amp;'Palabra no opera'!$A$2&amp;"*"))</f>
        <v>1</v>
      </c>
    </row>
    <row r="1922" spans="1:26" ht="22.2" customHeight="1" x14ac:dyDescent="0.3">
      <c r="A1922" s="66" t="str">
        <f>+IF(PROVEEDORES[[#This Row],[FECHA DE PAGO]]=PROVEEDORES[[#This Row],[FECHA DE FACTURACIÓN]],"DE CONTADO","CRÉDITO")</f>
        <v>CRÉDITO</v>
      </c>
      <c r="B1922" s="38" t="str">
        <f>+IF((PROVEEDORES[[#This Row],[FECHA DE PAGO]]-PROVEEDORES[[#This Row],[FECHA DE FACTURACIÓN]])&gt;PROVEEDORES[[#This Row],[PLAZO Días]],"PAGO VENCIDO")</f>
        <v>PAGO VENCIDO</v>
      </c>
      <c r="C1922" s="20">
        <f>+VLOOKUP(PROVEEDORES[[#This Row],[PROVEEDOR]],TERCEROS_INFO[#All],2,FALSE)</f>
        <v>20</v>
      </c>
      <c r="D1922" s="25">
        <f>+SUMIFS(PROVEEDORES[Total],PROVEEDORES[PROVEEDOR],PROVEEDORES[[#This Row],[PROVEEDOR]],PROVEEDORES[FECHA DE PAGO],"")</f>
        <v>0</v>
      </c>
      <c r="E1922" s="25"/>
      <c r="F192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2" s="161">
        <v>44554</v>
      </c>
      <c r="H1922" s="26" t="s">
        <v>942</v>
      </c>
      <c r="I1922" s="161">
        <v>44531</v>
      </c>
      <c r="J1922" s="35">
        <v>41293</v>
      </c>
      <c r="K1922" s="21">
        <v>4430000</v>
      </c>
      <c r="L1922" s="21"/>
      <c r="M1922" s="22">
        <f>(PROVEEDORES[[#This Row],[SUBTOTAL]]-PROVEEDORES[[#This Row],[descuento sobre subtotal]])*VLOOKUP(PROVEEDORES[[#This Row],[PROVEEDOR]],TERCEROS_INFO[#All],3,FALSE)</f>
        <v>841700</v>
      </c>
      <c r="N1922" s="23"/>
      <c r="O1922" s="22">
        <f>+PROVEEDORES[[#This Row],[Descuento sobre subtotal %]]*(PROVEEDORES[[#This Row],[SUBTOTAL]]-PROVEEDORES[[#This Row],[descuento sobre subtotal]])</f>
        <v>0</v>
      </c>
      <c r="P1922" s="83">
        <f>+IF(PROVEEDORES[[#This Row],[SUBTOTAL]]&lt;PROVEEDORES[[#This Row],[base retencion]],0,PROVEEDORES[[#This Row],[retención aplicada]])</f>
        <v>3.5000000000000003E-2</v>
      </c>
      <c r="Q1922" s="22">
        <f>+PROVEEDORES[[#This Row],[Rete Fuente %]]*(PROVEEDORES[[#This Row],[SUBTOTAL]]-PROVEEDORES[[#This Row],[descuento sobre subtotal]])</f>
        <v>155050.00000000003</v>
      </c>
      <c r="R1922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2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2" s="68">
        <f ca="1">IF(PROVEEDORES[[#This Row],[FECHA DE PAGO]]=0,TODAY()-PROVEEDORES[[#This Row],[FECHA DE FACTURACIÓN]]-PROVEEDORES[[#This Row],[PLAZO Días]],0)</f>
        <v>0</v>
      </c>
      <c r="U1922" s="96" t="str">
        <f>+VLOOKUP(PROVEEDORES[[#This Row],[PROVEEDOR]],Terceros!$A:$D,4,FALSE)</f>
        <v>3,5% sin base</v>
      </c>
      <c r="V1922" s="97">
        <f>+YEAR(PROVEEDORES[[#This Row],[FECHA DE FACTURACIÓN]])</f>
        <v>2021</v>
      </c>
      <c r="W1922" s="97">
        <f>+MATCH(PROVEEDORES[[#This Row],[año facturado]],Retenciones!$1:$1,0)</f>
        <v>4</v>
      </c>
      <c r="X1922" s="98">
        <f>+VLOOKUP(PROVEEDORES[[#This Row],[ID RETENCION]],Retenciones!$A$1:$O$25,PROVEEDORES[[#This Row],[indicador de columna]],FALSE)</f>
        <v>0</v>
      </c>
      <c r="Y1922" s="99">
        <f>+VLOOKUP(PROVEEDORES[[#This Row],[ID RETENCION]],Retenciones!$A$1:$O$25,2,FALSE)</f>
        <v>3.5000000000000003E-2</v>
      </c>
      <c r="Z1922" s="127" t="b">
        <f>OR(COUNTIF(PROVEEDORES[[#This Row],[PROVEEDOR]],"*"&amp;'Palabra no opera'!$A$2&amp;"*"))</f>
        <v>1</v>
      </c>
    </row>
    <row r="1923" spans="1:26" ht="22.2" customHeight="1" x14ac:dyDescent="0.3">
      <c r="A1923" s="66" t="str">
        <f>+IF(PROVEEDORES[[#This Row],[FECHA DE PAGO]]=PROVEEDORES[[#This Row],[FECHA DE FACTURACIÓN]],"DE CONTADO","CRÉDITO")</f>
        <v>CRÉDITO</v>
      </c>
      <c r="B1923" s="38" t="str">
        <f>+IF((PROVEEDORES[[#This Row],[FECHA DE PAGO]]-PROVEEDORES[[#This Row],[FECHA DE FACTURACIÓN]])&gt;PROVEEDORES[[#This Row],[PLAZO Días]],"PAGO VENCIDO")</f>
        <v>PAGO VENCIDO</v>
      </c>
      <c r="C1923" s="20">
        <f>+VLOOKUP(PROVEEDORES[[#This Row],[PROVEEDOR]],TERCEROS_INFO[#All],2,FALSE)</f>
        <v>20</v>
      </c>
      <c r="D1923" s="25">
        <f>+SUMIFS(PROVEEDORES[Total],PROVEEDORES[PROVEEDOR],PROVEEDORES[[#This Row],[PROVEEDOR]],PROVEEDORES[FECHA DE PAGO],"")</f>
        <v>0</v>
      </c>
      <c r="E1923" s="25"/>
      <c r="F192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3" s="161">
        <v>44588</v>
      </c>
      <c r="H1923" s="26" t="s">
        <v>942</v>
      </c>
      <c r="I1923" s="161">
        <v>44562</v>
      </c>
      <c r="J1923" s="35">
        <v>41630</v>
      </c>
      <c r="K1923" s="21">
        <v>4430000</v>
      </c>
      <c r="L1923" s="21"/>
      <c r="M1923" s="22">
        <v>841700</v>
      </c>
      <c r="N1923" s="23"/>
      <c r="O1923" s="22">
        <f>+PROVEEDORES[[#This Row],[Descuento sobre subtotal %]]*(PROVEEDORES[[#This Row],[SUBTOTAL]]-PROVEEDORES[[#This Row],[descuento sobre subtotal]])</f>
        <v>0</v>
      </c>
      <c r="P1923" s="83">
        <f>+IF(PROVEEDORES[[#This Row],[SUBTOTAL]]&lt;PROVEEDORES[[#This Row],[base retencion]],0,PROVEEDORES[[#This Row],[retención aplicada]])</f>
        <v>3.5000000000000003E-2</v>
      </c>
      <c r="Q1923" s="22">
        <f>+PROVEEDORES[[#This Row],[Rete Fuente %]]*(PROVEEDORES[[#This Row],[SUBTOTAL]]-PROVEEDORES[[#This Row],[descuento sobre subtotal]])</f>
        <v>155050.00000000003</v>
      </c>
      <c r="R1923" s="21">
        <v>5116650</v>
      </c>
      <c r="S19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3" s="68">
        <f ca="1">IF(PROVEEDORES[[#This Row],[FECHA DE PAGO]]=0,TODAY()-PROVEEDORES[[#This Row],[FECHA DE FACTURACIÓN]]-PROVEEDORES[[#This Row],[PLAZO Días]],0)</f>
        <v>0</v>
      </c>
      <c r="U1923" s="96" t="str">
        <f>+VLOOKUP(PROVEEDORES[[#This Row],[PROVEEDOR]],Terceros!$A:$D,4,FALSE)</f>
        <v>3,5% sin base</v>
      </c>
      <c r="V1923" s="97">
        <f>+YEAR(PROVEEDORES[[#This Row],[FECHA DE FACTURACIÓN]])</f>
        <v>2022</v>
      </c>
      <c r="W1923" s="97">
        <f>+MATCH(PROVEEDORES[[#This Row],[año facturado]],Retenciones!$1:$1,0)</f>
        <v>5</v>
      </c>
      <c r="X1923" s="98">
        <f>+VLOOKUP(PROVEEDORES[[#This Row],[ID RETENCION]],Retenciones!$A$1:$O$25,PROVEEDORES[[#This Row],[indicador de columna]],FALSE)</f>
        <v>0</v>
      </c>
      <c r="Y1923" s="99">
        <f>+VLOOKUP(PROVEEDORES[[#This Row],[ID RETENCION]],Retenciones!$A$1:$O$25,2,FALSE)</f>
        <v>3.5000000000000003E-2</v>
      </c>
      <c r="Z1923" s="127" t="b">
        <f>OR(COUNTIF(PROVEEDORES[[#This Row],[PROVEEDOR]],"*"&amp;'Palabra no opera'!$A$2&amp;"*"))</f>
        <v>1</v>
      </c>
    </row>
    <row r="1924" spans="1:26" ht="22.2" customHeight="1" x14ac:dyDescent="0.3">
      <c r="A1924" s="66" t="str">
        <f>+IF(PROVEEDORES[[#This Row],[FECHA DE PAGO]]=PROVEEDORES[[#This Row],[FECHA DE FACTURACIÓN]],"DE CONTADO","CRÉDITO")</f>
        <v>CRÉDITO</v>
      </c>
      <c r="B1924" s="38" t="str">
        <f>+IF((PROVEEDORES[[#This Row],[FECHA DE PAGO]]-PROVEEDORES[[#This Row],[FECHA DE FACTURACIÓN]])&gt;PROVEEDORES[[#This Row],[PLAZO Días]],"PAGO VENCIDO")</f>
        <v>PAGO VENCIDO</v>
      </c>
      <c r="C1924" s="20">
        <f>+VLOOKUP(PROVEEDORES[[#This Row],[PROVEEDOR]],TERCEROS_INFO[#All],2,FALSE)</f>
        <v>20</v>
      </c>
      <c r="D1924" s="25">
        <f>+SUMIFS(PROVEEDORES[Total],PROVEEDORES[PROVEEDOR],PROVEEDORES[[#This Row],[PROVEEDOR]],PROVEEDORES[FECHA DE PAGO],"")</f>
        <v>0</v>
      </c>
      <c r="E1924" s="25"/>
      <c r="F192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4" s="161">
        <v>44617</v>
      </c>
      <c r="H1924" s="26" t="s">
        <v>942</v>
      </c>
      <c r="I1924" s="161">
        <v>44593</v>
      </c>
      <c r="J1924" s="35">
        <v>41982</v>
      </c>
      <c r="K1924" s="21">
        <v>4430000</v>
      </c>
      <c r="L1924" s="21"/>
      <c r="M1924" s="22">
        <v>841700</v>
      </c>
      <c r="N1924" s="23"/>
      <c r="O1924" s="22">
        <f>+PROVEEDORES[[#This Row],[Descuento sobre subtotal %]]*(PROVEEDORES[[#This Row],[SUBTOTAL]]-PROVEEDORES[[#This Row],[descuento sobre subtotal]])</f>
        <v>0</v>
      </c>
      <c r="P1924" s="83">
        <f>+IF(PROVEEDORES[[#This Row],[SUBTOTAL]]&lt;PROVEEDORES[[#This Row],[base retencion]],0,PROVEEDORES[[#This Row],[retención aplicada]])</f>
        <v>3.5000000000000003E-2</v>
      </c>
      <c r="Q1924" s="22">
        <f>+PROVEEDORES[[#This Row],[Rete Fuente %]]*(PROVEEDORES[[#This Row],[SUBTOTAL]]-PROVEEDORES[[#This Row],[descuento sobre subtotal]])</f>
        <v>155050.00000000003</v>
      </c>
      <c r="R1924" s="21">
        <v>5116650</v>
      </c>
      <c r="S19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4" s="68">
        <f ca="1">IF(PROVEEDORES[[#This Row],[FECHA DE PAGO]]=0,TODAY()-PROVEEDORES[[#This Row],[FECHA DE FACTURACIÓN]]-PROVEEDORES[[#This Row],[PLAZO Días]],0)</f>
        <v>0</v>
      </c>
      <c r="U1924" s="96" t="str">
        <f>+VLOOKUP(PROVEEDORES[[#This Row],[PROVEEDOR]],Terceros!$A:$D,4,FALSE)</f>
        <v>3,5% sin base</v>
      </c>
      <c r="V1924" s="97">
        <f>+YEAR(PROVEEDORES[[#This Row],[FECHA DE FACTURACIÓN]])</f>
        <v>2022</v>
      </c>
      <c r="W1924" s="97">
        <f>+MATCH(PROVEEDORES[[#This Row],[año facturado]],Retenciones!$1:$1,0)</f>
        <v>5</v>
      </c>
      <c r="X1924" s="98">
        <f>+VLOOKUP(PROVEEDORES[[#This Row],[ID RETENCION]],Retenciones!$A$1:$O$25,PROVEEDORES[[#This Row],[indicador de columna]],FALSE)</f>
        <v>0</v>
      </c>
      <c r="Y1924" s="99">
        <f>+VLOOKUP(PROVEEDORES[[#This Row],[ID RETENCION]],Retenciones!$A$1:$O$25,2,FALSE)</f>
        <v>3.5000000000000003E-2</v>
      </c>
      <c r="Z1924" s="127" t="b">
        <f>OR(COUNTIF(PROVEEDORES[[#This Row],[PROVEEDOR]],"*"&amp;'Palabra no opera'!$A$2&amp;"*"))</f>
        <v>1</v>
      </c>
    </row>
    <row r="1925" spans="1:26" ht="22.2" customHeight="1" x14ac:dyDescent="0.3">
      <c r="A1925" s="66" t="str">
        <f>+IF(PROVEEDORES[[#This Row],[FECHA DE PAGO]]=PROVEEDORES[[#This Row],[FECHA DE FACTURACIÓN]],"DE CONTADO","CRÉDITO")</f>
        <v>CRÉDITO</v>
      </c>
      <c r="B1925" s="38" t="str">
        <f>+IF((PROVEEDORES[[#This Row],[FECHA DE PAGO]]-PROVEEDORES[[#This Row],[FECHA DE FACTURACIÓN]])&gt;PROVEEDORES[[#This Row],[PLAZO Días]],"PAGO VENCIDO")</f>
        <v>PAGO VENCIDO</v>
      </c>
      <c r="C1925" s="20">
        <f>+VLOOKUP(PROVEEDORES[[#This Row],[PROVEEDOR]],TERCEROS_INFO[#All],2,FALSE)</f>
        <v>20</v>
      </c>
      <c r="D1925" s="25">
        <f>+SUMIFS(PROVEEDORES[Total],PROVEEDORES[PROVEEDOR],PROVEEDORES[[#This Row],[PROVEEDOR]],PROVEEDORES[FECHA DE PAGO],"")</f>
        <v>0</v>
      </c>
      <c r="E1925" s="25"/>
      <c r="F192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5" s="161">
        <v>44650</v>
      </c>
      <c r="H1925" s="26" t="s">
        <v>942</v>
      </c>
      <c r="I1925" s="161">
        <v>44621</v>
      </c>
      <c r="J1925" s="35">
        <v>42317</v>
      </c>
      <c r="K1925" s="21">
        <v>4430000</v>
      </c>
      <c r="L1925" s="21"/>
      <c r="M1925" s="22">
        <v>841700</v>
      </c>
      <c r="N1925" s="23"/>
      <c r="O1925" s="22">
        <f>+PROVEEDORES[[#This Row],[Descuento sobre subtotal %]]*(PROVEEDORES[[#This Row],[SUBTOTAL]]-PROVEEDORES[[#This Row],[descuento sobre subtotal]])</f>
        <v>0</v>
      </c>
      <c r="P1925" s="83">
        <f>+IF(PROVEEDORES[[#This Row],[SUBTOTAL]]&lt;PROVEEDORES[[#This Row],[base retencion]],0,PROVEEDORES[[#This Row],[retención aplicada]])</f>
        <v>3.5000000000000003E-2</v>
      </c>
      <c r="Q1925" s="22">
        <f>+PROVEEDORES[[#This Row],[Rete Fuente %]]*(PROVEEDORES[[#This Row],[SUBTOTAL]]-PROVEEDORES[[#This Row],[descuento sobre subtotal]])</f>
        <v>155050.00000000003</v>
      </c>
      <c r="R1925" s="21">
        <v>5116650</v>
      </c>
      <c r="S19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5" s="68">
        <f ca="1">IF(PROVEEDORES[[#This Row],[FECHA DE PAGO]]=0,TODAY()-PROVEEDORES[[#This Row],[FECHA DE FACTURACIÓN]]-PROVEEDORES[[#This Row],[PLAZO Días]],0)</f>
        <v>0</v>
      </c>
      <c r="U1925" s="96" t="str">
        <f>+VLOOKUP(PROVEEDORES[[#This Row],[PROVEEDOR]],Terceros!$A:$D,4,FALSE)</f>
        <v>3,5% sin base</v>
      </c>
      <c r="V1925" s="97">
        <f>+YEAR(PROVEEDORES[[#This Row],[FECHA DE FACTURACIÓN]])</f>
        <v>2022</v>
      </c>
      <c r="W1925" s="97">
        <f>+MATCH(PROVEEDORES[[#This Row],[año facturado]],Retenciones!$1:$1,0)</f>
        <v>5</v>
      </c>
      <c r="X1925" s="98">
        <f>+VLOOKUP(PROVEEDORES[[#This Row],[ID RETENCION]],Retenciones!$A$1:$O$25,PROVEEDORES[[#This Row],[indicador de columna]],FALSE)</f>
        <v>0</v>
      </c>
      <c r="Y1925" s="99">
        <f>+VLOOKUP(PROVEEDORES[[#This Row],[ID RETENCION]],Retenciones!$A$1:$O$25,2,FALSE)</f>
        <v>3.5000000000000003E-2</v>
      </c>
      <c r="Z1925" s="127" t="b">
        <f>OR(COUNTIF(PROVEEDORES[[#This Row],[PROVEEDOR]],"*"&amp;'Palabra no opera'!$A$2&amp;"*"))</f>
        <v>1</v>
      </c>
    </row>
    <row r="1926" spans="1:26" ht="22.2" customHeight="1" x14ac:dyDescent="0.3">
      <c r="A1926" s="66" t="str">
        <f>+IF(PROVEEDORES[[#This Row],[FECHA DE PAGO]]=PROVEEDORES[[#This Row],[FECHA DE FACTURACIÓN]],"DE CONTADO","CRÉDITO")</f>
        <v>CRÉDITO</v>
      </c>
      <c r="B1926" s="38" t="str">
        <f>+IF((PROVEEDORES[[#This Row],[FECHA DE PAGO]]-PROVEEDORES[[#This Row],[FECHA DE FACTURACIÓN]])&gt;PROVEEDORES[[#This Row],[PLAZO Días]],"PAGO VENCIDO")</f>
        <v>PAGO VENCIDO</v>
      </c>
      <c r="C1926" s="20">
        <f>+VLOOKUP(PROVEEDORES[[#This Row],[PROVEEDOR]],TERCEROS_INFO[#All],2,FALSE)</f>
        <v>20</v>
      </c>
      <c r="D1926" s="25">
        <f>+SUMIFS(PROVEEDORES[Total],PROVEEDORES[PROVEEDOR],PROVEEDORES[[#This Row],[PROVEEDOR]],PROVEEDORES[FECHA DE PAGO],"")</f>
        <v>0</v>
      </c>
      <c r="E1926" s="25"/>
      <c r="F192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6" s="161">
        <v>44678</v>
      </c>
      <c r="H1926" s="26" t="s">
        <v>942</v>
      </c>
      <c r="I1926" s="161">
        <v>44652</v>
      </c>
      <c r="J1926" s="35">
        <v>42651</v>
      </c>
      <c r="K1926" s="21">
        <v>4430000</v>
      </c>
      <c r="L1926" s="21"/>
      <c r="M1926" s="22">
        <f>(PROVEEDORES[[#This Row],[SUBTOTAL]]-PROVEEDORES[[#This Row],[descuento sobre subtotal]])*VLOOKUP(PROVEEDORES[[#This Row],[PROVEEDOR]],TERCEROS_INFO[#All],3,FALSE)</f>
        <v>841700</v>
      </c>
      <c r="N1926" s="23"/>
      <c r="O1926" s="22">
        <f>+PROVEEDORES[[#This Row],[Descuento sobre subtotal %]]*(PROVEEDORES[[#This Row],[SUBTOTAL]]-PROVEEDORES[[#This Row],[descuento sobre subtotal]])</f>
        <v>0</v>
      </c>
      <c r="P1926" s="83">
        <f>+IF(PROVEEDORES[[#This Row],[SUBTOTAL]]&lt;PROVEEDORES[[#This Row],[base retencion]],0,PROVEEDORES[[#This Row],[retención aplicada]])</f>
        <v>3.5000000000000003E-2</v>
      </c>
      <c r="Q1926" s="22">
        <f>+PROVEEDORES[[#This Row],[Rete Fuente %]]*(PROVEEDORES[[#This Row],[SUBTOTAL]]-PROVEEDORES[[#This Row],[descuento sobre subtotal]])</f>
        <v>155050.00000000003</v>
      </c>
      <c r="R1926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6" s="68">
        <f ca="1">IF(PROVEEDORES[[#This Row],[FECHA DE PAGO]]=0,TODAY()-PROVEEDORES[[#This Row],[FECHA DE FACTURACIÓN]]-PROVEEDORES[[#This Row],[PLAZO Días]],0)</f>
        <v>0</v>
      </c>
      <c r="U1926" s="96" t="str">
        <f>+VLOOKUP(PROVEEDORES[[#This Row],[PROVEEDOR]],Terceros!$A:$D,4,FALSE)</f>
        <v>3,5% sin base</v>
      </c>
      <c r="V1926" s="97">
        <f>+YEAR(PROVEEDORES[[#This Row],[FECHA DE FACTURACIÓN]])</f>
        <v>2022</v>
      </c>
      <c r="W1926" s="97">
        <f>+MATCH(PROVEEDORES[[#This Row],[año facturado]],Retenciones!$1:$1,0)</f>
        <v>5</v>
      </c>
      <c r="X1926" s="98">
        <f>+VLOOKUP(PROVEEDORES[[#This Row],[ID RETENCION]],Retenciones!$A$1:$O$25,PROVEEDORES[[#This Row],[indicador de columna]],FALSE)</f>
        <v>0</v>
      </c>
      <c r="Y1926" s="99">
        <f>+VLOOKUP(PROVEEDORES[[#This Row],[ID RETENCION]],Retenciones!$A$1:$O$25,2,FALSE)</f>
        <v>3.5000000000000003E-2</v>
      </c>
      <c r="Z1926" s="127" t="b">
        <f>OR(COUNTIF(PROVEEDORES[[#This Row],[PROVEEDOR]],"*"&amp;'Palabra no opera'!$A$2&amp;"*"))</f>
        <v>1</v>
      </c>
    </row>
    <row r="1927" spans="1:26" ht="22.2" customHeight="1" x14ac:dyDescent="0.3">
      <c r="A1927" s="66" t="str">
        <f>+IF(PROVEEDORES[[#This Row],[FECHA DE PAGO]]=PROVEEDORES[[#This Row],[FECHA DE FACTURACIÓN]],"DE CONTADO","CRÉDITO")</f>
        <v>CRÉDITO</v>
      </c>
      <c r="B1927" s="38" t="b">
        <f>+IF((PROVEEDORES[[#This Row],[FECHA DE PAGO]]-PROVEEDORES[[#This Row],[FECHA DE FACTURACIÓN]])&gt;PROVEEDORES[[#This Row],[PLAZO Días]],"PAGO VENCIDO")</f>
        <v>0</v>
      </c>
      <c r="C1927" s="20">
        <f>+VLOOKUP(PROVEEDORES[[#This Row],[PROVEEDOR]],TERCEROS_INFO[#All],2,FALSE)</f>
        <v>30</v>
      </c>
      <c r="D1927" s="25">
        <f>+SUMIFS(PROVEEDORES[Total],PROVEEDORES[PROVEEDOR],PROVEEDORES[[#This Row],[PROVEEDOR]],PROVEEDORES[FECHA DE PAGO],"")</f>
        <v>23124164.219999999</v>
      </c>
      <c r="E1927" s="25"/>
      <c r="F192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27" s="161">
        <v>44558</v>
      </c>
      <c r="H1927" s="26" t="s">
        <v>18</v>
      </c>
      <c r="I1927" s="161">
        <v>44532</v>
      </c>
      <c r="J1927" s="35">
        <v>1046801</v>
      </c>
      <c r="K1927" s="21">
        <v>4441621.4400000004</v>
      </c>
      <c r="L1927" s="21"/>
      <c r="M1927" s="22">
        <f>(PROVEEDORES[[#This Row],[SUBTOTAL]]-PROVEEDORES[[#This Row],[descuento sobre subtotal]])*VLOOKUP(PROVEEDORES[[#This Row],[PROVEEDOR]],TERCEROS_INFO[#All],3,FALSE)</f>
        <v>843908.07360000012</v>
      </c>
      <c r="N1927" s="23"/>
      <c r="O1927" s="22">
        <f>+PROVEEDORES[[#This Row],[Descuento sobre subtotal %]]*(PROVEEDORES[[#This Row],[SUBTOTAL]]-PROVEEDORES[[#This Row],[descuento sobre subtotal]])</f>
        <v>0</v>
      </c>
      <c r="P1927" s="83">
        <f>+IF(PROVEEDORES[[#This Row],[SUBTOTAL]]&lt;PROVEEDORES[[#This Row],[base retencion]],0,PROVEEDORES[[#This Row],[retención aplicada]])</f>
        <v>2.5000000000000001E-2</v>
      </c>
      <c r="Q1927" s="22">
        <f>+PROVEEDORES[[#This Row],[Rete Fuente %]]*(PROVEEDORES[[#This Row],[SUBTOTAL]]-PROVEEDORES[[#This Row],[descuento sobre subtotal]])</f>
        <v>111040.53600000002</v>
      </c>
      <c r="R1927" s="21">
        <f>+PROVEEDORES[[#This Row],[SUBTOTAL]]+PROVEEDORES[[#This Row],[IVA 19%]]-PROVEEDORES[[#This Row],[descuento sobre subtotal]]-PROVEEDORES[[#This Row],[Descuento sobre subtotal $2]]-PROVEEDORES[[#This Row],[Rete Fuente $]]</f>
        <v>5174488.9775999999</v>
      </c>
      <c r="S19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7" s="68">
        <f ca="1">IF(PROVEEDORES[[#This Row],[FECHA DE PAGO]]=0,TODAY()-PROVEEDORES[[#This Row],[FECHA DE FACTURACIÓN]]-PROVEEDORES[[#This Row],[PLAZO Días]],0)</f>
        <v>0</v>
      </c>
      <c r="U1927" s="96" t="str">
        <f>+VLOOKUP(PROVEEDORES[[#This Row],[PROVEEDOR]],Terceros!$A:$D,4,FALSE)</f>
        <v>2,5% con base</v>
      </c>
      <c r="V1927" s="97">
        <f>+YEAR(PROVEEDORES[[#This Row],[FECHA DE FACTURACIÓN]])</f>
        <v>2021</v>
      </c>
      <c r="W1927" s="97">
        <f>+MATCH(PROVEEDORES[[#This Row],[año facturado]],Retenciones!$1:$1,0)</f>
        <v>4</v>
      </c>
      <c r="X1927" s="98">
        <f>+VLOOKUP(PROVEEDORES[[#This Row],[ID RETENCION]],Retenciones!$A$1:$O$25,PROVEEDORES[[#This Row],[indicador de columna]],FALSE)</f>
        <v>980000</v>
      </c>
      <c r="Y1927" s="99">
        <f>+VLOOKUP(PROVEEDORES[[#This Row],[ID RETENCION]],Retenciones!$A$1:$O$25,2,FALSE)</f>
        <v>2.5000000000000001E-2</v>
      </c>
      <c r="Z1927" s="125" t="b">
        <f>OR(COUNTIF(PROVEEDORES[[#This Row],[PROVEEDOR]],"*"&amp;'Palabra no opera'!$A$2&amp;"*"))</f>
        <v>0</v>
      </c>
    </row>
    <row r="1928" spans="1:26" ht="22.2" customHeight="1" x14ac:dyDescent="0.3">
      <c r="A1928" s="269" t="str">
        <f>+IF(PROVEEDORES[[#This Row],[FECHA DE PAGO]]=PROVEEDORES[[#This Row],[FECHA DE FACTURACIÓN]],"DE CONTADO","CRÉDITO")</f>
        <v>CRÉDITO</v>
      </c>
      <c r="B1928" s="38" t="b">
        <f>+IF((PROVEEDORES[[#This Row],[FECHA DE PAGO]]-PROVEEDORES[[#This Row],[FECHA DE FACTURACIÓN]])&gt;PROVEEDORES[[#This Row],[PLAZO Días]],"PAGO VENCIDO")</f>
        <v>0</v>
      </c>
      <c r="C1928" s="20">
        <f>+VLOOKUP(PROVEEDORES[[#This Row],[PROVEEDOR]],TERCEROS_INFO[#All],2,FALSE)</f>
        <v>30</v>
      </c>
      <c r="D1928" s="25">
        <f>+SUMIFS(PROVEEDORES[Total],PROVEEDORES[PROVEEDOR],PROVEEDORES[[#This Row],[PROVEEDOR]],PROVEEDORES[FECHA DE PAGO],"")</f>
        <v>23124164.219999999</v>
      </c>
      <c r="E1928" s="25"/>
      <c r="F192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1928" s="26" t="s">
        <v>18</v>
      </c>
      <c r="I1928" s="161">
        <v>44855</v>
      </c>
      <c r="J1928" s="35" t="s">
        <v>1804</v>
      </c>
      <c r="K1928" s="21">
        <v>4447562</v>
      </c>
      <c r="L1928" s="21"/>
      <c r="M1928" s="22">
        <f>(PROVEEDORES[[#This Row],[SUBTOTAL]]-PROVEEDORES[[#This Row],[descuento sobre subtotal]])*VLOOKUP(PROVEEDORES[[#This Row],[PROVEEDOR]],TERCEROS_INFO[#All],3,FALSE)</f>
        <v>845036.78</v>
      </c>
      <c r="N1928" s="23"/>
      <c r="O1928" s="22">
        <f>+PROVEEDORES[[#This Row],[Descuento sobre subtotal %]]*(PROVEEDORES[[#This Row],[SUBTOTAL]]-PROVEEDORES[[#This Row],[descuento sobre subtotal]])</f>
        <v>0</v>
      </c>
      <c r="P1928" s="83">
        <f>+IF(PROVEEDORES[[#This Row],[SUBTOTAL]]&lt;PROVEEDORES[[#This Row],[base retencion]],0,PROVEEDORES[[#This Row],[retención aplicada]])</f>
        <v>2.5000000000000001E-2</v>
      </c>
      <c r="Q1928" s="22">
        <f>+PROVEEDORES[[#This Row],[Rete Fuente %]]*(PROVEEDORES[[#This Row],[SUBTOTAL]]-PROVEEDORES[[#This Row],[descuento sobre subtotal]])</f>
        <v>111189.05</v>
      </c>
      <c r="R1928" s="21">
        <f>+PROVEEDORES[[#This Row],[SUBTOTAL]]+PROVEEDORES[[#This Row],[IVA 19%]]-PROVEEDORES[[#This Row],[descuento sobre subtotal]]-PROVEEDORES[[#This Row],[Descuento sobre subtotal $2]]-PROVEEDORES[[#This Row],[Rete Fuente $]]</f>
        <v>5181409.7300000004</v>
      </c>
      <c r="S1928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928" s="68">
        <f ca="1">IF(PROVEEDORES[[#This Row],[FECHA DE PAGO]]=0,TODAY()-PROVEEDORES[[#This Row],[FECHA DE FACTURACIÓN]]-PROVEEDORES[[#This Row],[PLAZO Días]],0)</f>
        <v>-10</v>
      </c>
      <c r="U1928" s="113" t="str">
        <f>+VLOOKUP(PROVEEDORES[[#This Row],[PROVEEDOR]],Terceros!$A:$D,4,FALSE)</f>
        <v>2,5% con base</v>
      </c>
      <c r="V1928" s="114">
        <f>+YEAR(PROVEEDORES[[#This Row],[FECHA DE FACTURACIÓN]])</f>
        <v>2022</v>
      </c>
      <c r="W1928" s="114">
        <f>+MATCH(PROVEEDORES[[#This Row],[año facturado]],Retenciones!$1:$1,0)</f>
        <v>5</v>
      </c>
      <c r="X1928" s="115">
        <f>+VLOOKUP(PROVEEDORES[[#This Row],[ID RETENCION]],Retenciones!$A$1:$O$25,PROVEEDORES[[#This Row],[indicador de columna]],FALSE)</f>
        <v>1026000</v>
      </c>
      <c r="Y1928" s="116">
        <f>+VLOOKUP(PROVEEDORES[[#This Row],[ID RETENCION]],Retenciones!$A$1:$O$25,2,FALSE)</f>
        <v>2.5000000000000001E-2</v>
      </c>
      <c r="Z1928" s="125" t="b">
        <f>OR(COUNTIF(PROVEEDORES[[#This Row],[PROVEEDOR]],"*"&amp;'Palabra no opera'!$A$2&amp;"*"))</f>
        <v>0</v>
      </c>
    </row>
    <row r="1929" spans="1:26" ht="22.2" customHeight="1" x14ac:dyDescent="0.3">
      <c r="A1929" s="123" t="str">
        <f>+IF(PROVEEDORES[[#This Row],[FECHA DE PAGO]]=PROVEEDORES[[#This Row],[FECHA DE FACTURACIÓN]],"DE CONTADO","CRÉDITO")</f>
        <v>CRÉDITO</v>
      </c>
      <c r="B1929" s="38" t="b">
        <f>+IF((PROVEEDORES[[#This Row],[FECHA DE PAGO]]-PROVEEDORES[[#This Row],[FECHA DE FACTURACIÓN]])&gt;PROVEEDORES[[#This Row],[PLAZO Días]],"PAGO VENCIDO")</f>
        <v>0</v>
      </c>
      <c r="C1929" s="20">
        <f>+VLOOKUP(PROVEEDORES[[#This Row],[PROVEEDOR]],TERCEROS_INFO[#All],2,FALSE)</f>
        <v>60</v>
      </c>
      <c r="D1929" s="25">
        <f>+SUMIFS(PROVEEDORES[Total],PROVEEDORES[PROVEEDOR],PROVEEDORES[[#This Row],[PROVEEDOR]],PROVEEDORES[FECHA DE PAGO],"")</f>
        <v>23264500</v>
      </c>
      <c r="E1929" s="25"/>
      <c r="F1929" s="58">
        <f>+VLOOKUP(PROVEEDORES[[#This Row],[PROVEEDOR]],
                       Terceros!$A:$F,
                       5,
                       FALSE)</f>
        <v>0</v>
      </c>
      <c r="G1929" s="161">
        <v>44688</v>
      </c>
      <c r="H1929" s="26" t="s">
        <v>1429</v>
      </c>
      <c r="I1929" s="161">
        <v>44680</v>
      </c>
      <c r="J1929" s="35" t="s">
        <v>901</v>
      </c>
      <c r="K1929" s="21">
        <v>4374000</v>
      </c>
      <c r="L1929" s="21"/>
      <c r="M1929" s="22">
        <f>(PROVEEDORES[[#This Row],[SUBTOTAL]]-PROVEEDORES[[#This Row],[descuento sobre subtotal]])*VLOOKUP(PROVEEDORES[[#This Row],[PROVEEDOR]],TERCEROS_INFO[#All],3,FALSE)</f>
        <v>831060</v>
      </c>
      <c r="N1929" s="23"/>
      <c r="O1929" s="22">
        <f>+PROVEEDORES[[#This Row],[Descuento sobre subtotal %]]*(PROVEEDORES[[#This Row],[SUBTOTAL]]-PROVEEDORES[[#This Row],[descuento sobre subtotal]])</f>
        <v>0</v>
      </c>
      <c r="P1929" s="83">
        <f>+IF(PROVEEDORES[[#This Row],[SUBTOTAL]]&lt;PROVEEDORES[[#This Row],[base retencion]],0,PROVEEDORES[[#This Row],[retención aplicada]])</f>
        <v>0</v>
      </c>
      <c r="Q1929" s="22">
        <f>+PROVEEDORES[[#This Row],[Rete Fuente %]]*(PROVEEDORES[[#This Row],[SUBTOTAL]]-PROVEEDORES[[#This Row],[descuento sobre subtotal]])</f>
        <v>0</v>
      </c>
      <c r="R1929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929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9" s="68">
        <f ca="1">IF(PROVEEDORES[[#This Row],[FECHA DE PAGO]]=0,TODAY()-PROVEEDORES[[#This Row],[FECHA DE FACTURACIÓN]]-PROVEEDORES[[#This Row],[PLAZO Días]],0)</f>
        <v>0</v>
      </c>
      <c r="U1929" s="113">
        <f>+VLOOKUP(PROVEEDORES[[#This Row],[PROVEEDOR]],Terceros!$A:$D,4,FALSE)</f>
        <v>0</v>
      </c>
      <c r="V1929" s="114">
        <f>+YEAR(PROVEEDORES[[#This Row],[FECHA DE FACTURACIÓN]])</f>
        <v>2022</v>
      </c>
      <c r="W1929" s="114">
        <f>+MATCH(PROVEEDORES[[#This Row],[año facturado]],Retenciones!$1:$1,0)</f>
        <v>5</v>
      </c>
      <c r="X1929" s="115">
        <f>+VLOOKUP(PROVEEDORES[[#This Row],[ID RETENCION]],Retenciones!$A$1:$O$25,PROVEEDORES[[#This Row],[indicador de columna]],FALSE)</f>
        <v>0</v>
      </c>
      <c r="Y1929" s="116">
        <f>+VLOOKUP(PROVEEDORES[[#This Row],[ID RETENCION]],Retenciones!$A$1:$O$25,2,FALSE)</f>
        <v>0</v>
      </c>
      <c r="Z1929" s="125" t="b">
        <f>OR(COUNTIF(PROVEEDORES[[#This Row],[PROVEEDOR]],"*"&amp;'Palabra no opera'!$A$2&amp;"*"))</f>
        <v>1</v>
      </c>
    </row>
    <row r="1930" spans="1:26" ht="22.2" customHeight="1" x14ac:dyDescent="0.3">
      <c r="A1930" s="123" t="str">
        <f>+IF(PROVEEDORES[[#This Row],[FECHA DE PAGO]]=PROVEEDORES[[#This Row],[FECHA DE FACTURACIÓN]],"DE CONTADO","CRÉDITO")</f>
        <v>CRÉDITO</v>
      </c>
      <c r="B1930" s="38" t="str">
        <f>+IF((PROVEEDORES[[#This Row],[FECHA DE PAGO]]-PROVEEDORES[[#This Row],[FECHA DE FACTURACIÓN]])&gt;PROVEEDORES[[#This Row],[PLAZO Días]],"PAGO VENCIDO")</f>
        <v>PAGO VENCIDO</v>
      </c>
      <c r="C1930" s="20">
        <f>+VLOOKUP(PROVEEDORES[[#This Row],[PROVEEDOR]],TERCEROS_INFO[#All],2,FALSE)</f>
        <v>60</v>
      </c>
      <c r="D1930" s="25">
        <f>+SUMIFS(PROVEEDORES[Total],PROVEEDORES[PROVEEDOR],PROVEEDORES[[#This Row],[PROVEEDOR]],PROVEEDORES[FECHA DE PAGO],"")</f>
        <v>23264500</v>
      </c>
      <c r="E1930" s="25"/>
      <c r="F1930" s="58">
        <f>+VLOOKUP(PROVEEDORES[[#This Row],[PROVEEDOR]],
                       Terceros!$A:$F,
                       5,
                       FALSE)</f>
        <v>0</v>
      </c>
      <c r="G1930" s="161">
        <v>44749</v>
      </c>
      <c r="H1930" s="26" t="s">
        <v>1429</v>
      </c>
      <c r="I1930" s="161">
        <v>44676</v>
      </c>
      <c r="J1930" s="35" t="s">
        <v>902</v>
      </c>
      <c r="K1930" s="21">
        <v>4374000</v>
      </c>
      <c r="L1930" s="21"/>
      <c r="M1930" s="22">
        <f>(PROVEEDORES[[#This Row],[SUBTOTAL]]-PROVEEDORES[[#This Row],[descuento sobre subtotal]])*VLOOKUP(PROVEEDORES[[#This Row],[PROVEEDOR]],TERCEROS_INFO[#All],3,FALSE)</f>
        <v>831060</v>
      </c>
      <c r="N1930" s="23"/>
      <c r="O1930" s="22">
        <f>+PROVEEDORES[[#This Row],[Descuento sobre subtotal %]]*(PROVEEDORES[[#This Row],[SUBTOTAL]]-PROVEEDORES[[#This Row],[descuento sobre subtotal]])</f>
        <v>0</v>
      </c>
      <c r="P1930" s="83">
        <f>+IF(PROVEEDORES[[#This Row],[SUBTOTAL]]&lt;PROVEEDORES[[#This Row],[base retencion]],0,PROVEEDORES[[#This Row],[retención aplicada]])</f>
        <v>0</v>
      </c>
      <c r="Q1930" s="22">
        <f>+PROVEEDORES[[#This Row],[Rete Fuente %]]*(PROVEEDORES[[#This Row],[SUBTOTAL]]-PROVEEDORES[[#This Row],[descuento sobre subtotal]])</f>
        <v>0</v>
      </c>
      <c r="R1930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930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0" s="68">
        <f ca="1">IF(PROVEEDORES[[#This Row],[FECHA DE PAGO]]=0,TODAY()-PROVEEDORES[[#This Row],[FECHA DE FACTURACIÓN]]-PROVEEDORES[[#This Row],[PLAZO Días]],0)</f>
        <v>0</v>
      </c>
      <c r="U1930" s="113">
        <f>+VLOOKUP(PROVEEDORES[[#This Row],[PROVEEDOR]],Terceros!$A:$D,4,FALSE)</f>
        <v>0</v>
      </c>
      <c r="V1930" s="114">
        <f>+YEAR(PROVEEDORES[[#This Row],[FECHA DE FACTURACIÓN]])</f>
        <v>2022</v>
      </c>
      <c r="W1930" s="114">
        <f>+MATCH(PROVEEDORES[[#This Row],[año facturado]],Retenciones!$1:$1,0)</f>
        <v>5</v>
      </c>
      <c r="X1930" s="115">
        <f>+VLOOKUP(PROVEEDORES[[#This Row],[ID RETENCION]],Retenciones!$A$1:$O$25,PROVEEDORES[[#This Row],[indicador de columna]],FALSE)</f>
        <v>0</v>
      </c>
      <c r="Y1930" s="116">
        <f>+VLOOKUP(PROVEEDORES[[#This Row],[ID RETENCION]],Retenciones!$A$1:$O$25,2,FALSE)</f>
        <v>0</v>
      </c>
      <c r="Z1930" s="125" t="b">
        <f>OR(COUNTIF(PROVEEDORES[[#This Row],[PROVEEDOR]],"*"&amp;'Palabra no opera'!$A$2&amp;"*"))</f>
        <v>1</v>
      </c>
    </row>
    <row r="1931" spans="1:26" ht="22.2" customHeight="1" x14ac:dyDescent="0.3">
      <c r="A1931" s="135" t="str">
        <f>+IF(PROVEEDORES[[#This Row],[FECHA DE PAGO]]=PROVEEDORES[[#This Row],[FECHA DE FACTURACIÓN]],"DE CONTADO","CRÉDITO")</f>
        <v>CRÉDITO</v>
      </c>
      <c r="B1931" s="38" t="str">
        <f>+IF((PROVEEDORES[[#This Row],[FECHA DE PAGO]]-PROVEEDORES[[#This Row],[FECHA DE FACTURACIÓN]])&gt;PROVEEDORES[[#This Row],[PLAZO Días]],"PAGO VENCIDO")</f>
        <v>PAGO VENCIDO</v>
      </c>
      <c r="C1931" s="20">
        <f>+VLOOKUP(PROVEEDORES[[#This Row],[PROVEEDOR]],TERCEROS_INFO[#All],2,FALSE)</f>
        <v>60</v>
      </c>
      <c r="D1931" s="25">
        <f>+SUMIFS(PROVEEDORES[Total],PROVEEDORES[PROVEEDOR],PROVEEDORES[[#This Row],[PROVEEDOR]],PROVEEDORES[FECHA DE PAGO],"")</f>
        <v>23264500</v>
      </c>
      <c r="E1931" s="25"/>
      <c r="F1931" s="58">
        <f>+VLOOKUP(PROVEEDORES[[#This Row],[PROVEEDOR]],
                       Terceros!$A:$F,
                       5,
                       FALSE)</f>
        <v>0</v>
      </c>
      <c r="G1931" s="161">
        <v>44749</v>
      </c>
      <c r="H1931" s="26" t="s">
        <v>1429</v>
      </c>
      <c r="I1931" s="161">
        <v>44687</v>
      </c>
      <c r="J1931" s="35" t="s">
        <v>962</v>
      </c>
      <c r="K1931" s="21">
        <v>4374000</v>
      </c>
      <c r="L1931" s="21"/>
      <c r="M1931" s="22">
        <f>(PROVEEDORES[[#This Row],[SUBTOTAL]]-PROVEEDORES[[#This Row],[descuento sobre subtotal]])*VLOOKUP(PROVEEDORES[[#This Row],[PROVEEDOR]],TERCEROS_INFO[#All],3,FALSE)</f>
        <v>831060</v>
      </c>
      <c r="N1931" s="23"/>
      <c r="O1931" s="22">
        <f>+PROVEEDORES[[#This Row],[Descuento sobre subtotal %]]*(PROVEEDORES[[#This Row],[SUBTOTAL]]-PROVEEDORES[[#This Row],[descuento sobre subtotal]])</f>
        <v>0</v>
      </c>
      <c r="P1931" s="83">
        <f>+IF(PROVEEDORES[[#This Row],[SUBTOTAL]]&lt;PROVEEDORES[[#This Row],[base retencion]],0,PROVEEDORES[[#This Row],[retención aplicada]])</f>
        <v>0</v>
      </c>
      <c r="Q1931" s="22">
        <f>+PROVEEDORES[[#This Row],[Rete Fuente %]]*(PROVEEDORES[[#This Row],[SUBTOTAL]]-PROVEEDORES[[#This Row],[descuento sobre subtotal]])</f>
        <v>0</v>
      </c>
      <c r="R1931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931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1" s="68">
        <f ca="1">IF(PROVEEDORES[[#This Row],[FECHA DE PAGO]]=0,TODAY()-PROVEEDORES[[#This Row],[FECHA DE FACTURACIÓN]]-PROVEEDORES[[#This Row],[PLAZO Días]],0)</f>
        <v>0</v>
      </c>
      <c r="U1931" s="113">
        <f>+VLOOKUP(PROVEEDORES[[#This Row],[PROVEEDOR]],Terceros!$A:$D,4,FALSE)</f>
        <v>0</v>
      </c>
      <c r="V1931" s="114">
        <f>+YEAR(PROVEEDORES[[#This Row],[FECHA DE FACTURACIÓN]])</f>
        <v>2022</v>
      </c>
      <c r="W1931" s="114">
        <f>+MATCH(PROVEEDORES[[#This Row],[año facturado]],Retenciones!$1:$1,0)</f>
        <v>5</v>
      </c>
      <c r="X1931" s="115">
        <f>+VLOOKUP(PROVEEDORES[[#This Row],[ID RETENCION]],Retenciones!$A$1:$O$25,PROVEEDORES[[#This Row],[indicador de columna]],FALSE)</f>
        <v>0</v>
      </c>
      <c r="Y1931" s="116">
        <f>+VLOOKUP(PROVEEDORES[[#This Row],[ID RETENCION]],Retenciones!$A$1:$O$25,2,FALSE)</f>
        <v>0</v>
      </c>
      <c r="Z1931" s="125" t="b">
        <f>OR(COUNTIF(PROVEEDORES[[#This Row],[PROVEEDOR]],"*"&amp;'Palabra no opera'!$A$2&amp;"*"))</f>
        <v>1</v>
      </c>
    </row>
    <row r="1932" spans="1:26" ht="22.2" customHeight="1" x14ac:dyDescent="0.3">
      <c r="A1932" s="66" t="str">
        <f>+IF(PROVEEDORES[[#This Row],[FECHA DE PAGO]]=PROVEEDORES[[#This Row],[FECHA DE FACTURACIÓN]],"DE CONTADO","CRÉDITO")</f>
        <v>DE CONTADO</v>
      </c>
      <c r="B1932" s="38" t="b">
        <f>+IF((PROVEEDORES[[#This Row],[FECHA DE PAGO]]-PROVEEDORES[[#This Row],[FECHA DE FACTURACIÓN]])&gt;PROVEEDORES[[#This Row],[PLAZO Días]],"PAGO VENCIDO")</f>
        <v>0</v>
      </c>
      <c r="C1932" s="20">
        <f>+VLOOKUP(PROVEEDORES[[#This Row],[PROVEEDOR]],TERCEROS_INFO[#All],2,FALSE)</f>
        <v>30</v>
      </c>
      <c r="D1932" s="25">
        <f>+SUMIFS(PROVEEDORES[Total],PROVEEDORES[PROVEEDOR],PROVEEDORES[[#This Row],[PROVEEDOR]],PROVEEDORES[FECHA DE PAGO],"")</f>
        <v>0</v>
      </c>
      <c r="E1932" s="25"/>
      <c r="F1932" s="58">
        <f>+VLOOKUP(PROVEEDORES[[#This Row],[PROVEEDOR]],
                       Terceros!$A:$F,
                       5,
                       FALSE)</f>
        <v>0</v>
      </c>
      <c r="G1932" s="161">
        <v>44545</v>
      </c>
      <c r="H1932" s="26" t="s">
        <v>445</v>
      </c>
      <c r="I1932" s="161">
        <v>44545</v>
      </c>
      <c r="J1932" s="35" t="s">
        <v>562</v>
      </c>
      <c r="K1932" s="21">
        <v>4470000</v>
      </c>
      <c r="L1932" s="21"/>
      <c r="M1932" s="22">
        <f>(PROVEEDORES[[#This Row],[SUBTOTAL]]-PROVEEDORES[[#This Row],[descuento sobre subtotal]])*VLOOKUP(PROVEEDORES[[#This Row],[PROVEEDOR]],TERCEROS_INFO[#All],3,FALSE)</f>
        <v>849300</v>
      </c>
      <c r="N1932" s="23"/>
      <c r="O1932" s="22">
        <f>+PROVEEDORES[[#This Row],[Descuento sobre subtotal %]]*(PROVEEDORES[[#This Row],[SUBTOTAL]]-PROVEEDORES[[#This Row],[descuento sobre subtotal]])</f>
        <v>0</v>
      </c>
      <c r="P1932" s="83">
        <f>+IF(PROVEEDORES[[#This Row],[SUBTOTAL]]&lt;PROVEEDORES[[#This Row],[base retencion]],0,PROVEEDORES[[#This Row],[retención aplicada]])</f>
        <v>2.5000000000000001E-2</v>
      </c>
      <c r="Q1932" s="22">
        <f>+PROVEEDORES[[#This Row],[Rete Fuente %]]*(PROVEEDORES[[#This Row],[SUBTOTAL]]-PROVEEDORES[[#This Row],[descuento sobre subtotal]])</f>
        <v>111750</v>
      </c>
      <c r="R1932" s="21">
        <f>+PROVEEDORES[[#This Row],[SUBTOTAL]]+PROVEEDORES[[#This Row],[IVA 19%]]-PROVEEDORES[[#This Row],[descuento sobre subtotal]]-PROVEEDORES[[#This Row],[Descuento sobre subtotal $2]]-PROVEEDORES[[#This Row],[Rete Fuente $]]</f>
        <v>5207550</v>
      </c>
      <c r="S193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2" s="68">
        <f ca="1">IF(PROVEEDORES[[#This Row],[FECHA DE PAGO]]=0,TODAY()-PROVEEDORES[[#This Row],[FECHA DE FACTURACIÓN]]-PROVEEDORES[[#This Row],[PLAZO Días]],0)</f>
        <v>0</v>
      </c>
      <c r="U1932" s="96" t="str">
        <f>+VLOOKUP(PROVEEDORES[[#This Row],[PROVEEDOR]],Terceros!$A:$D,4,FALSE)</f>
        <v>2,5% con base</v>
      </c>
      <c r="V1932" s="97">
        <f>+YEAR(PROVEEDORES[[#This Row],[FECHA DE FACTURACIÓN]])</f>
        <v>2021</v>
      </c>
      <c r="W1932" s="97">
        <f>+MATCH(PROVEEDORES[[#This Row],[año facturado]],Retenciones!$1:$1,0)</f>
        <v>4</v>
      </c>
      <c r="X1932" s="98">
        <f>+VLOOKUP(PROVEEDORES[[#This Row],[ID RETENCION]],Retenciones!$A$1:$O$25,PROVEEDORES[[#This Row],[indicador de columna]],FALSE)</f>
        <v>980000</v>
      </c>
      <c r="Y1932" s="99">
        <f>+VLOOKUP(PROVEEDORES[[#This Row],[ID RETENCION]],Retenciones!$A$1:$O$25,2,FALSE)</f>
        <v>2.5000000000000001E-2</v>
      </c>
      <c r="Z1932" s="125" t="b">
        <f>OR(COUNTIF(PROVEEDORES[[#This Row],[PROVEEDOR]],"*"&amp;'Palabra no opera'!$A$2&amp;"*"))</f>
        <v>0</v>
      </c>
    </row>
    <row r="1933" spans="1:26" ht="22.2" customHeight="1" x14ac:dyDescent="0.3">
      <c r="A1933" s="159" t="str">
        <f>+IF(PROVEEDORES[[#This Row],[FECHA DE PAGO]]=PROVEEDORES[[#This Row],[FECHA DE FACTURACIÓN]],"DE CONTADO","CRÉDITO")</f>
        <v>CRÉDITO</v>
      </c>
      <c r="B1933" s="38" t="str">
        <f>+IF((PROVEEDORES[[#This Row],[FECHA DE PAGO]]-PROVEEDORES[[#This Row],[FECHA DE FACTURACIÓN]])&gt;PROVEEDORES[[#This Row],[PLAZO Días]],"PAGO VENCIDO")</f>
        <v>PAGO VENCIDO</v>
      </c>
      <c r="C1933" s="20">
        <f>+VLOOKUP(PROVEEDORES[[#This Row],[PROVEEDOR]],TERCEROS_INFO[#All],2,FALSE)</f>
        <v>90</v>
      </c>
      <c r="D1933" s="25">
        <f>+SUMIFS(PROVEEDORES[Total],PROVEEDORES[PROVEEDOR],PROVEEDORES[[#This Row],[PROVEEDOR]],PROVEEDORES[FECHA DE PAGO],"")</f>
        <v>26350422.770000003</v>
      </c>
      <c r="E1933" s="25"/>
      <c r="F193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33" s="161">
        <v>44827</v>
      </c>
      <c r="H1933" s="26" t="s">
        <v>12</v>
      </c>
      <c r="I1933" s="161">
        <v>44717</v>
      </c>
      <c r="J1933" s="35" t="s">
        <v>1047</v>
      </c>
      <c r="K1933" s="21">
        <v>4474791</v>
      </c>
      <c r="L1933" s="21"/>
      <c r="M1933" s="22">
        <f>(PROVEEDORES[[#This Row],[SUBTOTAL]]-PROVEEDORES[[#This Row],[descuento sobre subtotal]])*VLOOKUP(PROVEEDORES[[#This Row],[PROVEEDOR]],TERCEROS_INFO[#All],3,FALSE)</f>
        <v>850210.29</v>
      </c>
      <c r="N1933" s="23"/>
      <c r="O1933" s="22">
        <f>+PROVEEDORES[[#This Row],[Descuento sobre subtotal %]]*(PROVEEDORES[[#This Row],[SUBTOTAL]]-PROVEEDORES[[#This Row],[descuento sobre subtotal]])</f>
        <v>0</v>
      </c>
      <c r="P1933" s="83">
        <f>+IF(PROVEEDORES[[#This Row],[SUBTOTAL]]&lt;PROVEEDORES[[#This Row],[base retencion]],0,PROVEEDORES[[#This Row],[retención aplicada]])</f>
        <v>2.5000000000000001E-2</v>
      </c>
      <c r="Q1933" s="22">
        <f>+PROVEEDORES[[#This Row],[Rete Fuente %]]*(PROVEEDORES[[#This Row],[SUBTOTAL]]-PROVEEDORES[[#This Row],[descuento sobre subtotal]])</f>
        <v>111869.77500000001</v>
      </c>
      <c r="R1933" s="21">
        <f>+PROVEEDORES[[#This Row],[SUBTOTAL]]+PROVEEDORES[[#This Row],[IVA 19%]]-PROVEEDORES[[#This Row],[descuento sobre subtotal]]-PROVEEDORES[[#This Row],[Descuento sobre subtotal $2]]-PROVEEDORES[[#This Row],[Rete Fuente $]]</f>
        <v>5213131.5149999997</v>
      </c>
      <c r="S1933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3" s="68">
        <f ca="1">IF(PROVEEDORES[[#This Row],[FECHA DE PAGO]]=0,TODAY()-PROVEEDORES[[#This Row],[FECHA DE FACTURACIÓN]]-PROVEEDORES[[#This Row],[PLAZO Días]],0)</f>
        <v>0</v>
      </c>
      <c r="U1933" s="113" t="str">
        <f>+VLOOKUP(PROVEEDORES[[#This Row],[PROVEEDOR]],Terceros!$A:$D,4,FALSE)</f>
        <v>2,5% con base</v>
      </c>
      <c r="V1933" s="114">
        <f>+YEAR(PROVEEDORES[[#This Row],[FECHA DE FACTURACIÓN]])</f>
        <v>2022</v>
      </c>
      <c r="W1933" s="114">
        <f>+MATCH(PROVEEDORES[[#This Row],[año facturado]],Retenciones!$1:$1,0)</f>
        <v>5</v>
      </c>
      <c r="X1933" s="115">
        <f>+VLOOKUP(PROVEEDORES[[#This Row],[ID RETENCION]],Retenciones!$A$1:$O$25,PROVEEDORES[[#This Row],[indicador de columna]],FALSE)</f>
        <v>1026000</v>
      </c>
      <c r="Y1933" s="116">
        <f>+VLOOKUP(PROVEEDORES[[#This Row],[ID RETENCION]],Retenciones!$A$1:$O$25,2,FALSE)</f>
        <v>2.5000000000000001E-2</v>
      </c>
      <c r="Z1933" s="125" t="b">
        <f>OR(COUNTIF(PROVEEDORES[[#This Row],[PROVEEDOR]],"*"&amp;'Palabra no opera'!$A$2&amp;"*"))</f>
        <v>0</v>
      </c>
    </row>
    <row r="1934" spans="1:26" ht="22.2" customHeight="1" x14ac:dyDescent="0.3">
      <c r="A1934" s="66" t="str">
        <f>+IF(PROVEEDORES[[#This Row],[FECHA DE PAGO]]=PROVEEDORES[[#This Row],[FECHA DE FACTURACIÓN]],"DE CONTADO","CRÉDITO")</f>
        <v>CRÉDITO</v>
      </c>
      <c r="B1934" s="38" t="str">
        <f>+IF((PROVEEDORES[[#This Row],[FECHA DE PAGO]]-PROVEEDORES[[#This Row],[FECHA DE FACTURACIÓN]])&gt;PROVEEDORES[[#This Row],[PLAZO Días]],"PAGO VENCIDO")</f>
        <v>PAGO VENCIDO</v>
      </c>
      <c r="C1934" s="20">
        <f>+VLOOKUP(PROVEEDORES[[#This Row],[PROVEEDOR]],TERCEROS_INFO[#All],2,FALSE)</f>
        <v>60</v>
      </c>
      <c r="D1934" s="25">
        <f>+SUMIFS(PROVEEDORES[Total],PROVEEDORES[PROVEEDOR],PROVEEDORES[[#This Row],[PROVEEDOR]],PROVEEDORES[FECHA DE PAGO],"")</f>
        <v>0</v>
      </c>
      <c r="E1934" s="25"/>
      <c r="F1934" s="5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1934" s="161">
        <v>44658</v>
      </c>
      <c r="H1934" s="26" t="s">
        <v>660</v>
      </c>
      <c r="I1934" s="161">
        <v>44531</v>
      </c>
      <c r="J1934" s="35" t="s">
        <v>1351</v>
      </c>
      <c r="K1934" s="21">
        <v>5285000</v>
      </c>
      <c r="L1934" s="21"/>
      <c r="M1934" s="22">
        <f>(PROVEEDORES[[#This Row],[SUBTOTAL]]-PROVEEDORES[[#This Row],[descuento sobre subtotal]])*VLOOKUP(PROVEEDORES[[#This Row],[PROVEEDOR]],TERCEROS_INFO[#All],3,FALSE)</f>
        <v>0</v>
      </c>
      <c r="N1934" s="23"/>
      <c r="O1934" s="22">
        <f>+PROVEEDORES[[#This Row],[Descuento sobre subtotal %]]*(PROVEEDORES[[#This Row],[SUBTOTAL]]-PROVEEDORES[[#This Row],[descuento sobre subtotal]])</f>
        <v>0</v>
      </c>
      <c r="P1934" s="83">
        <f>+IF(PROVEEDORES[[#This Row],[SUBTOTAL]]&lt;PROVEEDORES[[#This Row],[base retencion]],0,PROVEEDORES[[#This Row],[retención aplicada]])</f>
        <v>0</v>
      </c>
      <c r="Q1934" s="22">
        <f>+PROVEEDORES[[#This Row],[Rete Fuente %]]*(PROVEEDORES[[#This Row],[SUBTOTAL]]-PROVEEDORES[[#This Row],[descuento sobre subtotal]])</f>
        <v>0</v>
      </c>
      <c r="R1934" s="21">
        <v>5285000</v>
      </c>
      <c r="S19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4" s="68">
        <f ca="1">IF(PROVEEDORES[[#This Row],[FECHA DE PAGO]]=0,TODAY()-PROVEEDORES[[#This Row],[FECHA DE FACTURACIÓN]]-PROVEEDORES[[#This Row],[PLAZO Días]],0)</f>
        <v>0</v>
      </c>
      <c r="U1934" s="96">
        <f>+VLOOKUP(PROVEEDORES[[#This Row],[PROVEEDOR]],Terceros!$A:$D,4,FALSE)</f>
        <v>0</v>
      </c>
      <c r="V1934" s="97">
        <f>+YEAR(PROVEEDORES[[#This Row],[FECHA DE FACTURACIÓN]])</f>
        <v>2021</v>
      </c>
      <c r="W1934" s="97">
        <f>+MATCH(PROVEEDORES[[#This Row],[año facturado]],Retenciones!$1:$1,0)</f>
        <v>4</v>
      </c>
      <c r="X1934" s="98">
        <f>+VLOOKUP(PROVEEDORES[[#This Row],[ID RETENCION]],Retenciones!$A$1:$O$25,PROVEEDORES[[#This Row],[indicador de columna]],FALSE)</f>
        <v>0</v>
      </c>
      <c r="Y1934" s="99">
        <f>+VLOOKUP(PROVEEDORES[[#This Row],[ID RETENCION]],Retenciones!$A$1:$O$25,2,FALSE)</f>
        <v>0</v>
      </c>
      <c r="Z1934" s="125" t="b">
        <f>OR(COUNTIF(PROVEEDORES[[#This Row],[PROVEEDOR]],"*"&amp;'Palabra no opera'!$A$2&amp;"*"))</f>
        <v>0</v>
      </c>
    </row>
    <row r="1935" spans="1:26" ht="22.2" customHeight="1" x14ac:dyDescent="0.3">
      <c r="A1935" s="66" t="str">
        <f>+IF(PROVEEDORES[[#This Row],[FECHA DE PAGO]]=PROVEEDORES[[#This Row],[FECHA DE FACTURACIÓN]],"DE CONTADO","CRÉDITO")</f>
        <v>CRÉDITO</v>
      </c>
      <c r="B1935" s="38" t="str">
        <f>+IF((PROVEEDORES[[#This Row],[FECHA DE PAGO]]-PROVEEDORES[[#This Row],[FECHA DE FACTURACIÓN]])&gt;PROVEEDORES[[#This Row],[PLAZO Días]],"PAGO VENCIDO")</f>
        <v>PAGO VENCIDO</v>
      </c>
      <c r="C1935" s="20">
        <f>+VLOOKUP(PROVEEDORES[[#This Row],[PROVEEDOR]],TERCEROS_INFO[#All],2,FALSE)</f>
        <v>30</v>
      </c>
      <c r="D1935" s="25">
        <f>+SUMIFS(PROVEEDORES[Total],PROVEEDORES[PROVEEDOR],PROVEEDORES[[#This Row],[PROVEEDOR]],PROVEEDORES[FECHA DE PAGO],"")</f>
        <v>23124164.219999999</v>
      </c>
      <c r="E1935" s="25"/>
      <c r="F193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35" s="161">
        <v>44543</v>
      </c>
      <c r="H1935" s="26" t="s">
        <v>18</v>
      </c>
      <c r="I1935" s="161">
        <v>44497</v>
      </c>
      <c r="J1935" s="35">
        <v>1045170</v>
      </c>
      <c r="K1935" s="21">
        <v>4549510.08</v>
      </c>
      <c r="L1935" s="21"/>
      <c r="M1935" s="22">
        <f>(PROVEEDORES[[#This Row],[SUBTOTAL]]-PROVEEDORES[[#This Row],[descuento sobre subtotal]])*VLOOKUP(PROVEEDORES[[#This Row],[PROVEEDOR]],TERCEROS_INFO[#All],3,FALSE)</f>
        <v>864406.91520000005</v>
      </c>
      <c r="N1935" s="23"/>
      <c r="O1935" s="22">
        <f>+PROVEEDORES[[#This Row],[Descuento sobre subtotal %]]*(PROVEEDORES[[#This Row],[SUBTOTAL]]-PROVEEDORES[[#This Row],[descuento sobre subtotal]])</f>
        <v>0</v>
      </c>
      <c r="P1935" s="83">
        <f>+IF(PROVEEDORES[[#This Row],[SUBTOTAL]]&lt;PROVEEDORES[[#This Row],[base retencion]],0,PROVEEDORES[[#This Row],[retención aplicada]])</f>
        <v>2.5000000000000001E-2</v>
      </c>
      <c r="Q1935" s="22">
        <f>+PROVEEDORES[[#This Row],[Rete Fuente %]]*(PROVEEDORES[[#This Row],[SUBTOTAL]]-PROVEEDORES[[#This Row],[descuento sobre subtotal]])</f>
        <v>113737.75200000001</v>
      </c>
      <c r="R1935" s="21">
        <f>+PROVEEDORES[[#This Row],[SUBTOTAL]]+PROVEEDORES[[#This Row],[IVA 19%]]-PROVEEDORES[[#This Row],[descuento sobre subtotal]]-PROVEEDORES[[#This Row],[Descuento sobre subtotal $2]]-PROVEEDORES[[#This Row],[Rete Fuente $]]</f>
        <v>5300179.2431999994</v>
      </c>
      <c r="S19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5" s="68">
        <f ca="1">IF(PROVEEDORES[[#This Row],[FECHA DE PAGO]]=0,TODAY()-PROVEEDORES[[#This Row],[FECHA DE FACTURACIÓN]]-PROVEEDORES[[#This Row],[PLAZO Días]],0)</f>
        <v>0</v>
      </c>
      <c r="U1935" s="96" t="str">
        <f>+VLOOKUP(PROVEEDORES[[#This Row],[PROVEEDOR]],Terceros!$A:$D,4,FALSE)</f>
        <v>2,5% con base</v>
      </c>
      <c r="V1935" s="97">
        <f>+YEAR(PROVEEDORES[[#This Row],[FECHA DE FACTURACIÓN]])</f>
        <v>2021</v>
      </c>
      <c r="W1935" s="97">
        <f>+MATCH(PROVEEDORES[[#This Row],[año facturado]],Retenciones!$1:$1,0)</f>
        <v>4</v>
      </c>
      <c r="X1935" s="98">
        <f>+VLOOKUP(PROVEEDORES[[#This Row],[ID RETENCION]],Retenciones!$A$1:$O$25,PROVEEDORES[[#This Row],[indicador de columna]],FALSE)</f>
        <v>980000</v>
      </c>
      <c r="Y1935" s="99">
        <f>+VLOOKUP(PROVEEDORES[[#This Row],[ID RETENCION]],Retenciones!$A$1:$O$25,2,FALSE)</f>
        <v>2.5000000000000001E-2</v>
      </c>
      <c r="Z1935" s="125" t="b">
        <f>OR(COUNTIF(PROVEEDORES[[#This Row],[PROVEEDOR]],"*"&amp;'Palabra no opera'!$A$2&amp;"*"))</f>
        <v>0</v>
      </c>
    </row>
    <row r="1936" spans="1:26" ht="22.2" customHeight="1" x14ac:dyDescent="0.3">
      <c r="A1936" s="66" t="str">
        <f>+IF(PROVEEDORES[[#This Row],[FECHA DE PAGO]]=PROVEEDORES[[#This Row],[FECHA DE FACTURACIÓN]],"DE CONTADO","CRÉDITO")</f>
        <v>CRÉDITO</v>
      </c>
      <c r="B1936" s="38" t="str">
        <f>+IF((PROVEEDORES[[#This Row],[FECHA DE PAGO]]-PROVEEDORES[[#This Row],[FECHA DE FACTURACIÓN]])&gt;PROVEEDORES[[#This Row],[PLAZO Días]],"PAGO VENCIDO")</f>
        <v>PAGO VENCIDO</v>
      </c>
      <c r="C1936" s="20">
        <f>+VLOOKUP(PROVEEDORES[[#This Row],[PROVEEDOR]],TERCEROS_INFO[#All],2,FALSE)</f>
        <v>45</v>
      </c>
      <c r="D1936" s="25">
        <f>+SUMIFS(PROVEEDORES[Total],PROVEEDORES[PROVEEDOR],PROVEEDORES[[#This Row],[PROVEEDOR]],PROVEEDORES[FECHA DE PAGO],"")</f>
        <v>31891814.359999999</v>
      </c>
      <c r="E1936" s="25"/>
      <c r="F193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36" s="161">
        <v>44312</v>
      </c>
      <c r="H1936" s="26" t="s">
        <v>19</v>
      </c>
      <c r="I1936" s="161">
        <v>44260</v>
      </c>
      <c r="J1936" s="35" t="s">
        <v>230</v>
      </c>
      <c r="K1936" s="21">
        <v>4483620</v>
      </c>
      <c r="L1936" s="21"/>
      <c r="M1936" s="22">
        <f>(PROVEEDORES[[#This Row],[SUBTOTAL]]-PROVEEDORES[[#This Row],[descuento sobre subtotal]])*VLOOKUP(PROVEEDORES[[#This Row],[PROVEEDOR]],TERCEROS_INFO[#All],3,FALSE)</f>
        <v>851887.8</v>
      </c>
      <c r="N1936" s="23"/>
      <c r="O1936" s="22">
        <f>+PROVEEDORES[[#This Row],[Descuento sobre subtotal %]]*(PROVEEDORES[[#This Row],[SUBTOTAL]]-PROVEEDORES[[#This Row],[descuento sobre subtotal]])</f>
        <v>0</v>
      </c>
      <c r="P1936" s="83">
        <f>+IF(PROVEEDORES[[#This Row],[SUBTOTAL]]&lt;PROVEEDORES[[#This Row],[base retencion]],0,PROVEEDORES[[#This Row],[retención aplicada]])</f>
        <v>0</v>
      </c>
      <c r="Q1936" s="22">
        <f>+PROVEEDORES[[#This Row],[Rete Fuente %]]*(PROVEEDORES[[#This Row],[SUBTOTAL]]-PROVEEDORES[[#This Row],[descuento sobre subtotal]])</f>
        <v>0</v>
      </c>
      <c r="R1936" s="21">
        <f>+PROVEEDORES[[#This Row],[SUBTOTAL]]+PROVEEDORES[[#This Row],[IVA 19%]]-PROVEEDORES[[#This Row],[descuento sobre subtotal]]-PROVEEDORES[[#This Row],[Descuento sobre subtotal $2]]-PROVEEDORES[[#This Row],[Rete Fuente $]]</f>
        <v>5335507.8</v>
      </c>
      <c r="S19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6" s="68">
        <f ca="1">IF(PROVEEDORES[[#This Row],[FECHA DE PAGO]]=0,TODAY()-PROVEEDORES[[#This Row],[FECHA DE FACTURACIÓN]]-PROVEEDORES[[#This Row],[PLAZO Días]],0)</f>
        <v>0</v>
      </c>
      <c r="U1936" s="96">
        <f>+VLOOKUP(PROVEEDORES[[#This Row],[PROVEEDOR]],Terceros!$A:$D,4,FALSE)</f>
        <v>0</v>
      </c>
      <c r="V1936" s="97">
        <f>+YEAR(PROVEEDORES[[#This Row],[FECHA DE FACTURACIÓN]])</f>
        <v>2021</v>
      </c>
      <c r="W1936" s="97">
        <f>+MATCH(PROVEEDORES[[#This Row],[año facturado]],Retenciones!$1:$1,0)</f>
        <v>4</v>
      </c>
      <c r="X1936" s="98">
        <f>+VLOOKUP(PROVEEDORES[[#This Row],[ID RETENCION]],Retenciones!$A$1:$O$25,PROVEEDORES[[#This Row],[indicador de columna]],FALSE)</f>
        <v>0</v>
      </c>
      <c r="Y1936" s="99">
        <f>+VLOOKUP(PROVEEDORES[[#This Row],[ID RETENCION]],Retenciones!$A$1:$O$25,2,FALSE)</f>
        <v>0</v>
      </c>
      <c r="Z1936" s="125" t="b">
        <f>OR(COUNTIF(PROVEEDORES[[#This Row],[PROVEEDOR]],"*"&amp;'Palabra no opera'!$A$2&amp;"*"))</f>
        <v>0</v>
      </c>
    </row>
    <row r="1937" spans="1:26" ht="22.2" customHeight="1" x14ac:dyDescent="0.3">
      <c r="A1937" s="66" t="str">
        <f>+IF(PROVEEDORES[[#This Row],[FECHA DE PAGO]]=PROVEEDORES[[#This Row],[FECHA DE FACTURACIÓN]],"DE CONTADO","CRÉDITO")</f>
        <v>CRÉDITO</v>
      </c>
      <c r="B1937" s="38" t="b">
        <f>+IF((PROVEEDORES[[#This Row],[FECHA DE PAGO]]-PROVEEDORES[[#This Row],[FECHA DE FACTURACIÓN]])&gt;PROVEEDORES[[#This Row],[PLAZO Días]],"PAGO VENCIDO")</f>
        <v>0</v>
      </c>
      <c r="C1937" s="20">
        <f>+VLOOKUP(PROVEEDORES[[#This Row],[PROVEEDOR]],TERCEROS_INFO[#All],2,FALSE)</f>
        <v>30</v>
      </c>
      <c r="D1937" s="25">
        <f>+SUMIFS(PROVEEDORES[Total],PROVEEDORES[PROVEEDOR],PROVEEDORES[[#This Row],[PROVEEDOR]],PROVEEDORES[FECHA DE PAGO],"")</f>
        <v>0</v>
      </c>
      <c r="E1937" s="25"/>
      <c r="F1937" s="58" t="str">
        <f>+VLOOKUP(PROVEEDORES[[#This Row],[PROVEEDOR]],
                       Terceros!$A:$F,
                       5,
                       FALSE)</f>
        <v/>
      </c>
      <c r="G1937" s="161">
        <v>44608</v>
      </c>
      <c r="H1937" s="26" t="s">
        <v>638</v>
      </c>
      <c r="I1937" s="161">
        <v>44607</v>
      </c>
      <c r="J1937" s="35" t="s">
        <v>639</v>
      </c>
      <c r="K1937" s="21">
        <v>5363000</v>
      </c>
      <c r="L1937" s="21"/>
      <c r="M1937" s="22">
        <f>(PROVEEDORES[[#This Row],[SUBTOTAL]]-PROVEEDORES[[#This Row],[descuento sobre subtotal]])*VLOOKUP(PROVEEDORES[[#This Row],[PROVEEDOR]],TERCEROS_INFO[#All],3,FALSE)</f>
        <v>0</v>
      </c>
      <c r="N1937" s="23"/>
      <c r="O1937" s="22">
        <f>+PROVEEDORES[[#This Row],[Descuento sobre subtotal %]]*(PROVEEDORES[[#This Row],[SUBTOTAL]]-PROVEEDORES[[#This Row],[descuento sobre subtotal]])</f>
        <v>0</v>
      </c>
      <c r="P1937" s="83">
        <f>+IF(PROVEEDORES[[#This Row],[SUBTOTAL]]&lt;PROVEEDORES[[#This Row],[base retencion]],0,PROVEEDORES[[#This Row],[retención aplicada]])</f>
        <v>0</v>
      </c>
      <c r="Q1937" s="22">
        <f>+PROVEEDORES[[#This Row],[Rete Fuente %]]*(PROVEEDORES[[#This Row],[SUBTOTAL]]-PROVEEDORES[[#This Row],[descuento sobre subtotal]])</f>
        <v>0</v>
      </c>
      <c r="R1937" s="21">
        <v>5363000</v>
      </c>
      <c r="S193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7" s="68">
        <f ca="1">IF(PROVEEDORES[[#This Row],[FECHA DE PAGO]]=0,TODAY()-PROVEEDORES[[#This Row],[FECHA DE FACTURACIÓN]]-PROVEEDORES[[#This Row],[PLAZO Días]],0)</f>
        <v>0</v>
      </c>
      <c r="U1937" s="96">
        <f>+VLOOKUP(PROVEEDORES[[#This Row],[PROVEEDOR]],Terceros!$A:$D,4,FALSE)</f>
        <v>0</v>
      </c>
      <c r="V1937" s="97">
        <f>+YEAR(PROVEEDORES[[#This Row],[FECHA DE FACTURACIÓN]])</f>
        <v>2022</v>
      </c>
      <c r="W1937" s="97">
        <f>+MATCH(PROVEEDORES[[#This Row],[año facturado]],Retenciones!$1:$1,0)</f>
        <v>5</v>
      </c>
      <c r="X1937" s="98">
        <f>+VLOOKUP(PROVEEDORES[[#This Row],[ID RETENCION]],Retenciones!$A$1:$O$25,PROVEEDORES[[#This Row],[indicador de columna]],FALSE)</f>
        <v>0</v>
      </c>
      <c r="Y1937" s="99">
        <f>+VLOOKUP(PROVEEDORES[[#This Row],[ID RETENCION]],Retenciones!$A$1:$O$25,2,FALSE)</f>
        <v>0</v>
      </c>
      <c r="Z1937" s="125" t="b">
        <f>OR(COUNTIF(PROVEEDORES[[#This Row],[PROVEEDOR]],"*"&amp;'Palabra no opera'!$A$2&amp;"*"))</f>
        <v>0</v>
      </c>
    </row>
    <row r="1938" spans="1:26" ht="22.2" customHeight="1" x14ac:dyDescent="0.3">
      <c r="A1938" s="66" t="str">
        <f>+IF(PROVEEDORES[[#This Row],[FECHA DE PAGO]]=PROVEEDORES[[#This Row],[FECHA DE FACTURACIÓN]],"DE CONTADO","CRÉDITO")</f>
        <v>CRÉDITO</v>
      </c>
      <c r="B1938" s="38" t="b">
        <f>+IF((PROVEEDORES[[#This Row],[FECHA DE PAGO]]-PROVEEDORES[[#This Row],[FECHA DE FACTURACIÓN]])&gt;PROVEEDORES[[#This Row],[PLAZO Días]],"PAGO VENCIDO")</f>
        <v>0</v>
      </c>
      <c r="C1938" s="20">
        <f>+VLOOKUP(PROVEEDORES[[#This Row],[PROVEEDOR]],TERCEROS_INFO[#All],2,FALSE)</f>
        <v>30</v>
      </c>
      <c r="D1938" s="25">
        <f>+SUMIFS(PROVEEDORES[Total],PROVEEDORES[PROVEEDOR],PROVEEDORES[[#This Row],[PROVEEDOR]],PROVEEDORES[FECHA DE PAGO],"")</f>
        <v>0</v>
      </c>
      <c r="E1938" s="25"/>
      <c r="F1938" s="58" t="str">
        <f>+VLOOKUP(PROVEEDORES[[#This Row],[PROVEEDOR]],
                       Terceros!$A:$F,
                       5,
                       FALSE)</f>
        <v/>
      </c>
      <c r="G1938" s="161">
        <v>44302</v>
      </c>
      <c r="H1938" s="26" t="s">
        <v>55</v>
      </c>
      <c r="I1938" s="161">
        <v>44301</v>
      </c>
      <c r="J1938" s="35">
        <v>53922</v>
      </c>
      <c r="K1938" s="21">
        <v>5377000</v>
      </c>
      <c r="L1938" s="21"/>
      <c r="M1938" s="22">
        <f>(PROVEEDORES[[#This Row],[SUBTOTAL]]-PROVEEDORES[[#This Row],[descuento sobre subtotal]])*VLOOKUP(PROVEEDORES[[#This Row],[PROVEEDOR]],TERCEROS_INFO[#All],3,FALSE)</f>
        <v>0</v>
      </c>
      <c r="N1938" s="23"/>
      <c r="O1938" s="22">
        <f>+PROVEEDORES[[#This Row],[Descuento sobre subtotal %]]*(PROVEEDORES[[#This Row],[SUBTOTAL]]-PROVEEDORES[[#This Row],[descuento sobre subtotal]])</f>
        <v>0</v>
      </c>
      <c r="P1938" s="83">
        <f>+IF(PROVEEDORES[[#This Row],[SUBTOTAL]]&lt;PROVEEDORES[[#This Row],[base retencion]],0,PROVEEDORES[[#This Row],[retención aplicada]])</f>
        <v>0</v>
      </c>
      <c r="Q1938" s="22">
        <f>+PROVEEDORES[[#This Row],[Rete Fuente %]]*(PROVEEDORES[[#This Row],[SUBTOTAL]]-PROVEEDORES[[#This Row],[descuento sobre subtotal]])</f>
        <v>0</v>
      </c>
      <c r="R1938" s="21">
        <f>+PROVEEDORES[[#This Row],[SUBTOTAL]]+PROVEEDORES[[#This Row],[IVA 19%]]-PROVEEDORES[[#This Row],[descuento sobre subtotal]]-PROVEEDORES[[#This Row],[Descuento sobre subtotal $2]]-PROVEEDORES[[#This Row],[Rete Fuente $]]</f>
        <v>5377000</v>
      </c>
      <c r="S19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8" s="68">
        <f ca="1">IF(PROVEEDORES[[#This Row],[FECHA DE PAGO]]=0,TODAY()-PROVEEDORES[[#This Row],[FECHA DE FACTURACIÓN]]-PROVEEDORES[[#This Row],[PLAZO Días]],0)</f>
        <v>0</v>
      </c>
      <c r="U1938" s="96">
        <f>+VLOOKUP(PROVEEDORES[[#This Row],[PROVEEDOR]],Terceros!$A:$D,4,FALSE)</f>
        <v>0</v>
      </c>
      <c r="V1938" s="97">
        <f>+YEAR(PROVEEDORES[[#This Row],[FECHA DE FACTURACIÓN]])</f>
        <v>2021</v>
      </c>
      <c r="W1938" s="97">
        <f>+MATCH(PROVEEDORES[[#This Row],[año facturado]],Retenciones!$1:$1,0)</f>
        <v>4</v>
      </c>
      <c r="X1938" s="98">
        <f>+VLOOKUP(PROVEEDORES[[#This Row],[ID RETENCION]],Retenciones!$A$1:$O$25,PROVEEDORES[[#This Row],[indicador de columna]],FALSE)</f>
        <v>0</v>
      </c>
      <c r="Y1938" s="99">
        <f>+VLOOKUP(PROVEEDORES[[#This Row],[ID RETENCION]],Retenciones!$A$1:$O$25,2,FALSE)</f>
        <v>0</v>
      </c>
      <c r="Z1938" s="125" t="b">
        <f>OR(COUNTIF(PROVEEDORES[[#This Row],[PROVEEDOR]],"*"&amp;'Palabra no opera'!$A$2&amp;"*"))</f>
        <v>0</v>
      </c>
    </row>
    <row r="1939" spans="1:26" ht="22.2" customHeight="1" x14ac:dyDescent="0.3">
      <c r="A1939" s="66" t="str">
        <f>+IF(PROVEEDORES[[#This Row],[FECHA DE PAGO]]=PROVEEDORES[[#This Row],[FECHA DE FACTURACIÓN]],"DE CONTADO","CRÉDITO")</f>
        <v>CRÉDITO</v>
      </c>
      <c r="B1939" s="38" t="str">
        <f>+IF((PROVEEDORES[[#This Row],[FECHA DE PAGO]]-PROVEEDORES[[#This Row],[FECHA DE FACTURACIÓN]])&gt;PROVEEDORES[[#This Row],[PLAZO Días]],"PAGO VENCIDO")</f>
        <v>PAGO VENCIDO</v>
      </c>
      <c r="C1939" s="20">
        <f>+VLOOKUP(PROVEEDORES[[#This Row],[PROVEEDOR]],TERCEROS_INFO[#All],2,FALSE)</f>
        <v>30</v>
      </c>
      <c r="D1939" s="25">
        <f>+SUMIFS(PROVEEDORES[Total],PROVEEDORES[PROVEEDOR],PROVEEDORES[[#This Row],[PROVEEDOR]],PROVEEDORES[FECHA DE PAGO],"")</f>
        <v>23124164.219999999</v>
      </c>
      <c r="E1939" s="25"/>
      <c r="F193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39" s="161">
        <v>44523</v>
      </c>
      <c r="H1939" s="26" t="s">
        <v>18</v>
      </c>
      <c r="I1939" s="161">
        <v>44484</v>
      </c>
      <c r="J1939" s="35">
        <v>1044547</v>
      </c>
      <c r="K1939" s="21">
        <v>4632580.5599999996</v>
      </c>
      <c r="L1939" s="21"/>
      <c r="M1939" s="22">
        <f>(PROVEEDORES[[#This Row],[SUBTOTAL]]-PROVEEDORES[[#This Row],[descuento sobre subtotal]])*VLOOKUP(PROVEEDORES[[#This Row],[PROVEEDOR]],TERCEROS_INFO[#All],3,FALSE)</f>
        <v>880190.30639999988</v>
      </c>
      <c r="N1939" s="23"/>
      <c r="O1939" s="22">
        <f>+PROVEEDORES[[#This Row],[Descuento sobre subtotal %]]*(PROVEEDORES[[#This Row],[SUBTOTAL]]-PROVEEDORES[[#This Row],[descuento sobre subtotal]])</f>
        <v>0</v>
      </c>
      <c r="P1939" s="83">
        <f>+IF(PROVEEDORES[[#This Row],[SUBTOTAL]]&lt;PROVEEDORES[[#This Row],[base retencion]],0,PROVEEDORES[[#This Row],[retención aplicada]])</f>
        <v>2.5000000000000001E-2</v>
      </c>
      <c r="Q1939" s="22">
        <f>+PROVEEDORES[[#This Row],[Rete Fuente %]]*(PROVEEDORES[[#This Row],[SUBTOTAL]]-PROVEEDORES[[#This Row],[descuento sobre subtotal]])</f>
        <v>115814.514</v>
      </c>
      <c r="R1939" s="21">
        <f>+PROVEEDORES[[#This Row],[SUBTOTAL]]+PROVEEDORES[[#This Row],[IVA 19%]]-PROVEEDORES[[#This Row],[descuento sobre subtotal]]-PROVEEDORES[[#This Row],[Descuento sobre subtotal $2]]-PROVEEDORES[[#This Row],[Rete Fuente $]]</f>
        <v>5396956.3523999993</v>
      </c>
      <c r="S19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9" s="68">
        <f ca="1">IF(PROVEEDORES[[#This Row],[FECHA DE PAGO]]=0,TODAY()-PROVEEDORES[[#This Row],[FECHA DE FACTURACIÓN]]-PROVEEDORES[[#This Row],[PLAZO Días]],0)</f>
        <v>0</v>
      </c>
      <c r="U1939" s="96" t="str">
        <f>+VLOOKUP(PROVEEDORES[[#This Row],[PROVEEDOR]],Terceros!$A:$D,4,FALSE)</f>
        <v>2,5% con base</v>
      </c>
      <c r="V1939" s="97">
        <f>+YEAR(PROVEEDORES[[#This Row],[FECHA DE FACTURACIÓN]])</f>
        <v>2021</v>
      </c>
      <c r="W1939" s="97">
        <f>+MATCH(PROVEEDORES[[#This Row],[año facturado]],Retenciones!$1:$1,0)</f>
        <v>4</v>
      </c>
      <c r="X1939" s="98">
        <f>+VLOOKUP(PROVEEDORES[[#This Row],[ID RETENCION]],Retenciones!$A$1:$O$25,PROVEEDORES[[#This Row],[indicador de columna]],FALSE)</f>
        <v>980000</v>
      </c>
      <c r="Y1939" s="99">
        <f>+VLOOKUP(PROVEEDORES[[#This Row],[ID RETENCION]],Retenciones!$A$1:$O$25,2,FALSE)</f>
        <v>2.5000000000000001E-2</v>
      </c>
      <c r="Z1939" s="125" t="b">
        <f>OR(COUNTIF(PROVEEDORES[[#This Row],[PROVEEDOR]],"*"&amp;'Palabra no opera'!$A$2&amp;"*"))</f>
        <v>0</v>
      </c>
    </row>
    <row r="1940" spans="1:26" ht="22.2" customHeight="1" x14ac:dyDescent="0.3">
      <c r="A1940" s="66" t="str">
        <f>+IF(PROVEEDORES[[#This Row],[FECHA DE PAGO]]=PROVEEDORES[[#This Row],[FECHA DE FACTURACIÓN]],"DE CONTADO","CRÉDITO")</f>
        <v>CRÉDITO</v>
      </c>
      <c r="B1940" s="38" t="str">
        <f>+IF((PROVEEDORES[[#This Row],[FECHA DE PAGO]]-PROVEEDORES[[#This Row],[FECHA DE FACTURACIÓN]])&gt;PROVEEDORES[[#This Row],[PLAZO Días]],"PAGO VENCIDO")</f>
        <v>PAGO VENCIDO</v>
      </c>
      <c r="C1940" s="20">
        <f>+VLOOKUP(PROVEEDORES[[#This Row],[PROVEEDOR]],TERCEROS_INFO[#All],2,FALSE)</f>
        <v>30</v>
      </c>
      <c r="D1940" s="25">
        <f>+SUMIFS(PROVEEDORES[Total],PROVEEDORES[PROVEEDOR],PROVEEDORES[[#This Row],[PROVEEDOR]],PROVEEDORES[FECHA DE PAGO],"")</f>
        <v>0</v>
      </c>
      <c r="E1940" s="25"/>
      <c r="F1940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940" s="161">
        <v>44552</v>
      </c>
      <c r="H1940" s="26" t="s">
        <v>24</v>
      </c>
      <c r="I1940" s="161">
        <v>44512</v>
      </c>
      <c r="J1940" s="35" t="s">
        <v>527</v>
      </c>
      <c r="K1940" s="21">
        <v>4635150</v>
      </c>
      <c r="L1940" s="21"/>
      <c r="M1940" s="22">
        <f>(PROVEEDORES[[#This Row],[SUBTOTAL]]-PROVEEDORES[[#This Row],[descuento sobre subtotal]])*VLOOKUP(PROVEEDORES[[#This Row],[PROVEEDOR]],TERCEROS_INFO[#All],3,FALSE)</f>
        <v>880678.5</v>
      </c>
      <c r="N1940" s="23"/>
      <c r="O1940" s="22">
        <f>+PROVEEDORES[[#This Row],[Descuento sobre subtotal %]]*(PROVEEDORES[[#This Row],[SUBTOTAL]]-PROVEEDORES[[#This Row],[descuento sobre subtotal]])</f>
        <v>0</v>
      </c>
      <c r="P1940" s="83">
        <f>+IF(PROVEEDORES[[#This Row],[SUBTOTAL]]&lt;PROVEEDORES[[#This Row],[base retencion]],0,PROVEEDORES[[#This Row],[retención aplicada]])</f>
        <v>2.5000000000000001E-2</v>
      </c>
      <c r="Q1940" s="22">
        <f>+PROVEEDORES[[#This Row],[Rete Fuente %]]*(PROVEEDORES[[#This Row],[SUBTOTAL]]-PROVEEDORES[[#This Row],[descuento sobre subtotal]])</f>
        <v>115878.75</v>
      </c>
      <c r="R1940" s="21">
        <f>+PROVEEDORES[[#This Row],[SUBTOTAL]]+PROVEEDORES[[#This Row],[IVA 19%]]-PROVEEDORES[[#This Row],[descuento sobre subtotal]]-PROVEEDORES[[#This Row],[Descuento sobre subtotal $2]]-PROVEEDORES[[#This Row],[Rete Fuente $]]</f>
        <v>5399949.75</v>
      </c>
      <c r="S194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0" s="68">
        <f ca="1">IF(PROVEEDORES[[#This Row],[FECHA DE PAGO]]=0,TODAY()-PROVEEDORES[[#This Row],[FECHA DE FACTURACIÓN]]-PROVEEDORES[[#This Row],[PLAZO Días]],0)</f>
        <v>0</v>
      </c>
      <c r="U1940" s="96" t="str">
        <f>+VLOOKUP(PROVEEDORES[[#This Row],[PROVEEDOR]],Terceros!$A:$D,4,FALSE)</f>
        <v>2,5% con base</v>
      </c>
      <c r="V1940" s="97">
        <f>+YEAR(PROVEEDORES[[#This Row],[FECHA DE FACTURACIÓN]])</f>
        <v>2021</v>
      </c>
      <c r="W1940" s="97">
        <f>+MATCH(PROVEEDORES[[#This Row],[año facturado]],Retenciones!$1:$1,0)</f>
        <v>4</v>
      </c>
      <c r="X1940" s="98">
        <f>+VLOOKUP(PROVEEDORES[[#This Row],[ID RETENCION]],Retenciones!$A$1:$O$25,PROVEEDORES[[#This Row],[indicador de columna]],FALSE)</f>
        <v>980000</v>
      </c>
      <c r="Y1940" s="99">
        <f>+VLOOKUP(PROVEEDORES[[#This Row],[ID RETENCION]],Retenciones!$A$1:$O$25,2,FALSE)</f>
        <v>2.5000000000000001E-2</v>
      </c>
      <c r="Z1940" s="125" t="b">
        <f>OR(COUNTIF(PROVEEDORES[[#This Row],[PROVEEDOR]],"*"&amp;'Palabra no opera'!$A$2&amp;"*"))</f>
        <v>0</v>
      </c>
    </row>
    <row r="1941" spans="1:26" ht="22.2" customHeight="1" x14ac:dyDescent="0.3">
      <c r="A1941" s="66" t="str">
        <f>+IF(PROVEEDORES[[#This Row],[FECHA DE PAGO]]=PROVEEDORES[[#This Row],[FECHA DE FACTURACIÓN]],"DE CONTADO","CRÉDITO")</f>
        <v>CRÉDITO</v>
      </c>
      <c r="B1941" s="38" t="b">
        <f>+IF((PROVEEDORES[[#This Row],[FECHA DE PAGO]]-PROVEEDORES[[#This Row],[FECHA DE FACTURACIÓN]])&gt;PROVEEDORES[[#This Row],[PLAZO Días]],"PAGO VENCIDO")</f>
        <v>0</v>
      </c>
      <c r="C1941" s="20">
        <f>+VLOOKUP(PROVEEDORES[[#This Row],[PROVEEDOR]],TERCEROS_INFO[#All],2,FALSE)</f>
        <v>30</v>
      </c>
      <c r="D1941" s="25">
        <f>+SUMIFS(PROVEEDORES[Total],PROVEEDORES[PROVEEDOR],PROVEEDORES[[#This Row],[PROVEEDOR]],PROVEEDORES[FECHA DE PAGO],"")</f>
        <v>1333437.8400000001</v>
      </c>
      <c r="E1941" s="25"/>
      <c r="F194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941" s="161">
        <v>44404</v>
      </c>
      <c r="H1941" s="26" t="s">
        <v>905</v>
      </c>
      <c r="I1941" s="161">
        <v>44379</v>
      </c>
      <c r="J1941" s="35" t="s">
        <v>439</v>
      </c>
      <c r="K1941" s="21">
        <v>4672109</v>
      </c>
      <c r="L1941" s="21">
        <v>132825</v>
      </c>
      <c r="M1941" s="22">
        <f>(PROVEEDORES[[#This Row],[SUBTOTAL]]-PROVEEDORES[[#This Row],[descuento sobre subtotal]])*VLOOKUP(PROVEEDORES[[#This Row],[PROVEEDOR]],TERCEROS_INFO[#All],3,FALSE)</f>
        <v>862463.96</v>
      </c>
      <c r="N1941" s="23"/>
      <c r="O1941" s="22">
        <f>+PROVEEDORES[[#This Row],[Descuento sobre subtotal %]]*(PROVEEDORES[[#This Row],[SUBTOTAL]]-PROVEEDORES[[#This Row],[descuento sobre subtotal]])</f>
        <v>0</v>
      </c>
      <c r="P1941" s="83">
        <f>+IF(PROVEEDORES[[#This Row],[SUBTOTAL]]&lt;PROVEEDORES[[#This Row],[base retencion]],0,PROVEEDORES[[#This Row],[retención aplicada]])</f>
        <v>0</v>
      </c>
      <c r="Q1941" s="22">
        <f>+PROVEEDORES[[#This Row],[Rete Fuente %]]*(PROVEEDORES[[#This Row],[SUBTOTAL]]-PROVEEDORES[[#This Row],[descuento sobre subtotal]])</f>
        <v>0</v>
      </c>
      <c r="R1941" s="21">
        <f>+PROVEEDORES[[#This Row],[SUBTOTAL]]+PROVEEDORES[[#This Row],[IVA 19%]]-PROVEEDORES[[#This Row],[descuento sobre subtotal]]-PROVEEDORES[[#This Row],[Descuento sobre subtotal $2]]-PROVEEDORES[[#This Row],[Rete Fuente $]]</f>
        <v>5401747.96</v>
      </c>
      <c r="S19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1" s="68">
        <f ca="1">IF(PROVEEDORES[[#This Row],[FECHA DE PAGO]]=0,TODAY()-PROVEEDORES[[#This Row],[FECHA DE FACTURACIÓN]]-PROVEEDORES[[#This Row],[PLAZO Días]],0)</f>
        <v>0</v>
      </c>
      <c r="U1941" s="96">
        <f>+VLOOKUP(PROVEEDORES[[#This Row],[PROVEEDOR]],Terceros!$A:$D,4,FALSE)</f>
        <v>0</v>
      </c>
      <c r="V1941" s="97">
        <f>+YEAR(PROVEEDORES[[#This Row],[FECHA DE FACTURACIÓN]])</f>
        <v>2021</v>
      </c>
      <c r="W1941" s="97">
        <f>+MATCH(PROVEEDORES[[#This Row],[año facturado]],Retenciones!$1:$1,0)</f>
        <v>4</v>
      </c>
      <c r="X1941" s="98">
        <f>+VLOOKUP(PROVEEDORES[[#This Row],[ID RETENCION]],Retenciones!$A$1:$O$25,PROVEEDORES[[#This Row],[indicador de columna]],FALSE)</f>
        <v>0</v>
      </c>
      <c r="Y1941" s="99">
        <f>+VLOOKUP(PROVEEDORES[[#This Row],[ID RETENCION]],Retenciones!$A$1:$O$25,2,FALSE)</f>
        <v>0</v>
      </c>
      <c r="Z1941" s="125" t="b">
        <f>OR(COUNTIF(PROVEEDORES[[#This Row],[PROVEEDOR]],"*"&amp;'Palabra no opera'!$A$2&amp;"*"))</f>
        <v>1</v>
      </c>
    </row>
    <row r="1942" spans="1:26" ht="22.2" customHeight="1" x14ac:dyDescent="0.3">
      <c r="A1942" s="235" t="str">
        <f>+IF(PROVEEDORES[[#This Row],[FECHA DE PAGO]]=PROVEEDORES[[#This Row],[FECHA DE FACTURACIÓN]],"DE CONTADO","CRÉDITO")</f>
        <v>CRÉDITO</v>
      </c>
      <c r="B1942" s="236" t="b">
        <f>+IF((PROVEEDORES[[#This Row],[FECHA DE PAGO]]-PROVEEDORES[[#This Row],[FECHA DE FACTURACIÓN]])&gt;PROVEEDORES[[#This Row],[PLAZO Días]],"PAGO VENCIDO")</f>
        <v>0</v>
      </c>
      <c r="C1942" s="237">
        <f>+VLOOKUP(PROVEEDORES[[#This Row],[PROVEEDOR]],TERCEROS_INFO[#All],2,FALSE)</f>
        <v>30</v>
      </c>
      <c r="D1942" s="238">
        <f>+SUMIFS(PROVEEDORES[Total],PROVEEDORES[PROVEEDOR],PROVEEDORES[[#This Row],[PROVEEDOR]],PROVEEDORES[FECHA DE PAGO],"")</f>
        <v>0</v>
      </c>
      <c r="E1942" s="238"/>
      <c r="F1942" s="239" t="str">
        <f>+VLOOKUP(PROVEEDORES[[#This Row],[PROVEEDOR]],
                       Terceros!$A:$F,
                       5,
                       FALSE)</f>
        <v/>
      </c>
      <c r="G1942" s="201">
        <v>44821</v>
      </c>
      <c r="H1942" s="240" t="s">
        <v>638</v>
      </c>
      <c r="I1942" s="201">
        <v>44819</v>
      </c>
      <c r="J1942" s="241" t="s">
        <v>1697</v>
      </c>
      <c r="K1942" s="242">
        <v>5428000</v>
      </c>
      <c r="L1942" s="242"/>
      <c r="M1942" s="243">
        <f>(PROVEEDORES[[#This Row],[SUBTOTAL]]-PROVEEDORES[[#This Row],[descuento sobre subtotal]])*VLOOKUP(PROVEEDORES[[#This Row],[PROVEEDOR]],TERCEROS_INFO[#All],3,FALSE)</f>
        <v>0</v>
      </c>
      <c r="N1942" s="244"/>
      <c r="O1942" s="243">
        <f>+PROVEEDORES[[#This Row],[Descuento sobre subtotal %]]*(PROVEEDORES[[#This Row],[SUBTOTAL]]-PROVEEDORES[[#This Row],[descuento sobre subtotal]])</f>
        <v>0</v>
      </c>
      <c r="P1942" s="245">
        <f>+IF(PROVEEDORES[[#This Row],[SUBTOTAL]]&lt;PROVEEDORES[[#This Row],[base retencion]],0,PROVEEDORES[[#This Row],[retención aplicada]])</f>
        <v>0</v>
      </c>
      <c r="Q1942" s="243">
        <f>+PROVEEDORES[[#This Row],[Rete Fuente %]]*(PROVEEDORES[[#This Row],[SUBTOTAL]]-PROVEEDORES[[#This Row],[descuento sobre subtotal]])</f>
        <v>0</v>
      </c>
      <c r="R1942" s="242">
        <f>+PROVEEDORES[[#This Row],[SUBTOTAL]]+PROVEEDORES[[#This Row],[IVA 19%]]-PROVEEDORES[[#This Row],[descuento sobre subtotal]]-PROVEEDORES[[#This Row],[Descuento sobre subtotal $2]]-PROVEEDORES[[#This Row],[Rete Fuente $]]</f>
        <v>5428000</v>
      </c>
      <c r="S1942" s="2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2" s="247">
        <f ca="1">IF(PROVEEDORES[[#This Row],[FECHA DE PAGO]]=0,TODAY()-PROVEEDORES[[#This Row],[FECHA DE FACTURACIÓN]]-PROVEEDORES[[#This Row],[PLAZO Días]],0)</f>
        <v>0</v>
      </c>
      <c r="U1942" s="248">
        <f>+VLOOKUP(PROVEEDORES[[#This Row],[PROVEEDOR]],Terceros!$A:$D,4,FALSE)</f>
        <v>0</v>
      </c>
      <c r="V1942" s="249">
        <f>+YEAR(PROVEEDORES[[#This Row],[FECHA DE FACTURACIÓN]])</f>
        <v>2022</v>
      </c>
      <c r="W1942" s="249">
        <f>+MATCH(PROVEEDORES[[#This Row],[año facturado]],Retenciones!$1:$1,0)</f>
        <v>5</v>
      </c>
      <c r="X1942" s="250">
        <f>+VLOOKUP(PROVEEDORES[[#This Row],[ID RETENCION]],Retenciones!$A$1:$O$25,PROVEEDORES[[#This Row],[indicador de columna]],FALSE)</f>
        <v>0</v>
      </c>
      <c r="Y1942" s="251">
        <f>+VLOOKUP(PROVEEDORES[[#This Row],[ID RETENCION]],Retenciones!$A$1:$O$25,2,FALSE)</f>
        <v>0</v>
      </c>
      <c r="Z1942" s="252" t="b">
        <f>OR(COUNTIF(PROVEEDORES[[#This Row],[PROVEEDOR]],"*"&amp;'Palabra no opera'!$A$2&amp;"*"))</f>
        <v>0</v>
      </c>
    </row>
    <row r="1943" spans="1:26" ht="22.2" customHeight="1" x14ac:dyDescent="0.3">
      <c r="A1943" s="72" t="str">
        <f>+IF(PROVEEDORES[[#This Row],[FECHA DE PAGO]]=PROVEEDORES[[#This Row],[FECHA DE FACTURACIÓN]],"DE CONTADO","CRÉDITO")</f>
        <v>CRÉDITO</v>
      </c>
      <c r="B1943" s="38" t="b">
        <f>+IF((PROVEEDORES[[#This Row],[FECHA DE PAGO]]-PROVEEDORES[[#This Row],[FECHA DE FACTURACIÓN]])&gt;PROVEEDORES[[#This Row],[PLAZO Días]],"PAGO VENCIDO")</f>
        <v>0</v>
      </c>
      <c r="C1943" s="20">
        <f>+VLOOKUP(PROVEEDORES[[#This Row],[PROVEEDOR]],TERCEROS_INFO[#All],2,FALSE)</f>
        <v>30</v>
      </c>
      <c r="D1943" s="25">
        <f>+SUMIFS(PROVEEDORES[Total],PROVEEDORES[PROVEEDOR],PROVEEDORES[[#This Row],[PROVEEDOR]],PROVEEDORES[FECHA DE PAGO],"")</f>
        <v>5430852.9800000004</v>
      </c>
      <c r="E1943" s="25"/>
      <c r="F1943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H1943" s="26" t="s">
        <v>408</v>
      </c>
      <c r="I1943" s="161">
        <v>44863</v>
      </c>
      <c r="J1943" s="35" t="s">
        <v>1809</v>
      </c>
      <c r="K1943" s="21">
        <v>4563742</v>
      </c>
      <c r="L1943" s="21"/>
      <c r="M1943" s="22">
        <f>(PROVEEDORES[[#This Row],[SUBTOTAL]]-PROVEEDORES[[#This Row],[descuento sobre subtotal]])*VLOOKUP(PROVEEDORES[[#This Row],[PROVEEDOR]],TERCEROS_INFO[#All],3,FALSE)</f>
        <v>867110.98</v>
      </c>
      <c r="N1943" s="23"/>
      <c r="O1943" s="22">
        <f>+PROVEEDORES[[#This Row],[Descuento sobre subtotal %]]*(PROVEEDORES[[#This Row],[SUBTOTAL]]-PROVEEDORES[[#This Row],[descuento sobre subtotal]])</f>
        <v>0</v>
      </c>
      <c r="P1943" s="83">
        <f>+IF(PROVEEDORES[[#This Row],[SUBTOTAL]]&lt;PROVEEDORES[[#This Row],[base retencion]],0,PROVEEDORES[[#This Row],[retención aplicada]])</f>
        <v>0</v>
      </c>
      <c r="Q1943" s="22">
        <f>+PROVEEDORES[[#This Row],[Rete Fuente %]]*(PROVEEDORES[[#This Row],[SUBTOTAL]]-PROVEEDORES[[#This Row],[descuento sobre subtotal]])</f>
        <v>0</v>
      </c>
      <c r="R1943" s="21">
        <f>+PROVEEDORES[[#This Row],[SUBTOTAL]]+PROVEEDORES[[#This Row],[IVA 19%]]-PROVEEDORES[[#This Row],[descuento sobre subtotal]]-PROVEEDORES[[#This Row],[Descuento sobre subtotal $2]]-PROVEEDORES[[#This Row],[Rete Fuente $]]</f>
        <v>5430852.9800000004</v>
      </c>
      <c r="S1943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943" s="68">
        <f ca="1">IF(PROVEEDORES[[#This Row],[FECHA DE PAGO]]=0,TODAY()-PROVEEDORES[[#This Row],[FECHA DE FACTURACIÓN]]-PROVEEDORES[[#This Row],[PLAZO Días]],0)</f>
        <v>-18</v>
      </c>
      <c r="U1943" s="113">
        <f>+VLOOKUP(PROVEEDORES[[#This Row],[PROVEEDOR]],Terceros!$A:$D,4,FALSE)</f>
        <v>0</v>
      </c>
      <c r="V1943" s="114">
        <f>+YEAR(PROVEEDORES[[#This Row],[FECHA DE FACTURACIÓN]])</f>
        <v>2022</v>
      </c>
      <c r="W1943" s="114">
        <f>+MATCH(PROVEEDORES[[#This Row],[año facturado]],Retenciones!$1:$1,0)</f>
        <v>5</v>
      </c>
      <c r="X1943" s="115">
        <f>+VLOOKUP(PROVEEDORES[[#This Row],[ID RETENCION]],Retenciones!$A$1:$O$25,PROVEEDORES[[#This Row],[indicador de columna]],FALSE)</f>
        <v>0</v>
      </c>
      <c r="Y1943" s="116">
        <f>+VLOOKUP(PROVEEDORES[[#This Row],[ID RETENCION]],Retenciones!$A$1:$O$25,2,FALSE)</f>
        <v>0</v>
      </c>
      <c r="Z1943" s="125" t="b">
        <f>OR(COUNTIF(PROVEEDORES[[#This Row],[PROVEEDOR]],"*"&amp;'Palabra no opera'!$A$2&amp;"*"))</f>
        <v>0</v>
      </c>
    </row>
    <row r="1944" spans="1:26" ht="22.2" customHeight="1" x14ac:dyDescent="0.3">
      <c r="A1944" s="66" t="str">
        <f>+IF(PROVEEDORES[[#This Row],[FECHA DE PAGO]]=PROVEEDORES[[#This Row],[FECHA DE FACTURACIÓN]],"DE CONTADO","CRÉDITO")</f>
        <v>CRÉDITO</v>
      </c>
      <c r="B1944" s="38" t="b">
        <f>+IF((PROVEEDORES[[#This Row],[FECHA DE PAGO]]-PROVEEDORES[[#This Row],[FECHA DE FACTURACIÓN]])&gt;PROVEEDORES[[#This Row],[PLAZO Días]],"PAGO VENCIDO")</f>
        <v>0</v>
      </c>
      <c r="C1944" s="20">
        <f>+VLOOKUP(PROVEEDORES[[#This Row],[PROVEEDOR]],TERCEROS_INFO[#All],2,FALSE)</f>
        <v>30</v>
      </c>
      <c r="D1944" s="25">
        <f>+SUMIFS(PROVEEDORES[Total],PROVEEDORES[PROVEEDOR],PROVEEDORES[[#This Row],[PROVEEDOR]],PROVEEDORES[FECHA DE PAGO],"")</f>
        <v>0</v>
      </c>
      <c r="E1944" s="25"/>
      <c r="F1944" s="58">
        <f>+VLOOKUP(PROVEEDORES[[#This Row],[PROVEEDOR]],
                       Terceros!$A:$F,
                       5,
                       FALSE)</f>
        <v>0</v>
      </c>
      <c r="G1944" s="161">
        <v>44363</v>
      </c>
      <c r="H1944" s="26" t="s">
        <v>932</v>
      </c>
      <c r="I1944" s="161">
        <v>44366</v>
      </c>
      <c r="J1944" s="35" t="s">
        <v>580</v>
      </c>
      <c r="K1944" s="21">
        <v>5450060</v>
      </c>
      <c r="L1944" s="21"/>
      <c r="M1944" s="22">
        <f>(PROVEEDORES[[#This Row],[SUBTOTAL]]-PROVEEDORES[[#This Row],[descuento sobre subtotal]])*VLOOKUP(PROVEEDORES[[#This Row],[PROVEEDOR]],TERCEROS_INFO[#All],3,FALSE)</f>
        <v>0</v>
      </c>
      <c r="N1944" s="23"/>
      <c r="O1944" s="22">
        <f>+PROVEEDORES[[#This Row],[Descuento sobre subtotal %]]*(PROVEEDORES[[#This Row],[SUBTOTAL]]-PROVEEDORES[[#This Row],[descuento sobre subtotal]])</f>
        <v>0</v>
      </c>
      <c r="P1944" s="83">
        <f>+IF(PROVEEDORES[[#This Row],[SUBTOTAL]]&lt;PROVEEDORES[[#This Row],[base retencion]],0,PROVEEDORES[[#This Row],[retención aplicada]])</f>
        <v>0</v>
      </c>
      <c r="Q1944" s="22">
        <f>+PROVEEDORES[[#This Row],[Rete Fuente %]]*(PROVEEDORES[[#This Row],[SUBTOTAL]]-PROVEEDORES[[#This Row],[descuento sobre subtotal]])</f>
        <v>0</v>
      </c>
      <c r="R1944" s="21">
        <f>+PROVEEDORES[[#This Row],[SUBTOTAL]]+PROVEEDORES[[#This Row],[IVA 19%]]-PROVEEDORES[[#This Row],[descuento sobre subtotal]]-PROVEEDORES[[#This Row],[Descuento sobre subtotal $2]]-PROVEEDORES[[#This Row],[Rete Fuente $]]</f>
        <v>5450060</v>
      </c>
      <c r="S19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4" s="68">
        <f ca="1">IF(PROVEEDORES[[#This Row],[FECHA DE PAGO]]=0,TODAY()-PROVEEDORES[[#This Row],[FECHA DE FACTURACIÓN]]-PROVEEDORES[[#This Row],[PLAZO Días]],0)</f>
        <v>0</v>
      </c>
      <c r="U1944" s="96">
        <f>+VLOOKUP(PROVEEDORES[[#This Row],[PROVEEDOR]],Terceros!$A:$D,4,FALSE)</f>
        <v>0</v>
      </c>
      <c r="V1944" s="97">
        <f>+YEAR(PROVEEDORES[[#This Row],[FECHA DE FACTURACIÓN]])</f>
        <v>2021</v>
      </c>
      <c r="W1944" s="97">
        <f>+MATCH(PROVEEDORES[[#This Row],[año facturado]],Retenciones!$1:$1,0)</f>
        <v>4</v>
      </c>
      <c r="X1944" s="98">
        <f>+VLOOKUP(PROVEEDORES[[#This Row],[ID RETENCION]],Retenciones!$A$1:$O$25,PROVEEDORES[[#This Row],[indicador de columna]],FALSE)</f>
        <v>0</v>
      </c>
      <c r="Y1944" s="99">
        <f>+VLOOKUP(PROVEEDORES[[#This Row],[ID RETENCION]],Retenciones!$A$1:$O$25,2,FALSE)</f>
        <v>0</v>
      </c>
      <c r="Z1944" s="125" t="b">
        <f>OR(COUNTIF(PROVEEDORES[[#This Row],[PROVEEDOR]],"*"&amp;'Palabra no opera'!$A$2&amp;"*"))</f>
        <v>1</v>
      </c>
    </row>
    <row r="1945" spans="1:26" ht="22.2" customHeight="1" x14ac:dyDescent="0.3">
      <c r="A1945" s="66" t="str">
        <f>+IF(PROVEEDORES[[#This Row],[FECHA DE PAGO]]=PROVEEDORES[[#This Row],[FECHA DE FACTURACIÓN]],"DE CONTADO","CRÉDITO")</f>
        <v>CRÉDITO</v>
      </c>
      <c r="B1945" s="38" t="b">
        <f>+IF((PROVEEDORES[[#This Row],[FECHA DE PAGO]]-PROVEEDORES[[#This Row],[FECHA DE FACTURACIÓN]])&gt;PROVEEDORES[[#This Row],[PLAZO Días]],"PAGO VENCIDO")</f>
        <v>0</v>
      </c>
      <c r="C1945" s="20">
        <f>+VLOOKUP(PROVEEDORES[[#This Row],[PROVEEDOR]],TERCEROS_INFO[#All],2,FALSE)</f>
        <v>30</v>
      </c>
      <c r="D1945" s="25">
        <f>+SUMIFS(PROVEEDORES[Total],PROVEEDORES[PROVEEDOR],PROVEEDORES[[#This Row],[PROVEEDOR]],PROVEEDORES[FECHA DE PAGO],"")</f>
        <v>0</v>
      </c>
      <c r="E1945" s="25"/>
      <c r="F1945" s="58">
        <f>+VLOOKUP(PROVEEDORES[[#This Row],[PROVEEDOR]],
                       Terceros!$A:$F,
                       5,
                       FALSE)</f>
        <v>0</v>
      </c>
      <c r="G1945" s="161">
        <v>44550</v>
      </c>
      <c r="H1945" s="26" t="s">
        <v>932</v>
      </c>
      <c r="I1945" s="161">
        <v>44531</v>
      </c>
      <c r="J1945" s="35" t="s">
        <v>581</v>
      </c>
      <c r="K1945" s="21">
        <v>5450061</v>
      </c>
      <c r="L1945" s="21"/>
      <c r="M1945" s="22">
        <f>(PROVEEDORES[[#This Row],[SUBTOTAL]]-PROVEEDORES[[#This Row],[descuento sobre subtotal]])*VLOOKUP(PROVEEDORES[[#This Row],[PROVEEDOR]],TERCEROS_INFO[#All],3,FALSE)</f>
        <v>0</v>
      </c>
      <c r="N1945" s="23"/>
      <c r="O1945" s="22">
        <f>+PROVEEDORES[[#This Row],[Descuento sobre subtotal %]]*(PROVEEDORES[[#This Row],[SUBTOTAL]]-PROVEEDORES[[#This Row],[descuento sobre subtotal]])</f>
        <v>0</v>
      </c>
      <c r="P1945" s="83">
        <f>+IF(PROVEEDORES[[#This Row],[SUBTOTAL]]&lt;PROVEEDORES[[#This Row],[base retencion]],0,PROVEEDORES[[#This Row],[retención aplicada]])</f>
        <v>0</v>
      </c>
      <c r="Q1945" s="22">
        <f>+PROVEEDORES[[#This Row],[Rete Fuente %]]*(PROVEEDORES[[#This Row],[SUBTOTAL]]-PROVEEDORES[[#This Row],[descuento sobre subtotal]])</f>
        <v>0</v>
      </c>
      <c r="R1945" s="21">
        <f>+PROVEEDORES[[#This Row],[SUBTOTAL]]+PROVEEDORES[[#This Row],[IVA 19%]]-PROVEEDORES[[#This Row],[descuento sobre subtotal]]-PROVEEDORES[[#This Row],[Descuento sobre subtotal $2]]-PROVEEDORES[[#This Row],[Rete Fuente $]]</f>
        <v>5450061</v>
      </c>
      <c r="S19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5" s="68">
        <f ca="1">IF(PROVEEDORES[[#This Row],[FECHA DE PAGO]]=0,TODAY()-PROVEEDORES[[#This Row],[FECHA DE FACTURACIÓN]]-PROVEEDORES[[#This Row],[PLAZO Días]],0)</f>
        <v>0</v>
      </c>
      <c r="U1945" s="96">
        <f>+VLOOKUP(PROVEEDORES[[#This Row],[PROVEEDOR]],Terceros!$A:$D,4,FALSE)</f>
        <v>0</v>
      </c>
      <c r="V1945" s="97">
        <f>+YEAR(PROVEEDORES[[#This Row],[FECHA DE FACTURACIÓN]])</f>
        <v>2021</v>
      </c>
      <c r="W1945" s="97">
        <f>+MATCH(PROVEEDORES[[#This Row],[año facturado]],Retenciones!$1:$1,0)</f>
        <v>4</v>
      </c>
      <c r="X1945" s="98">
        <f>+VLOOKUP(PROVEEDORES[[#This Row],[ID RETENCION]],Retenciones!$A$1:$O$25,PROVEEDORES[[#This Row],[indicador de columna]],FALSE)</f>
        <v>0</v>
      </c>
      <c r="Y1945" s="99">
        <f>+VLOOKUP(PROVEEDORES[[#This Row],[ID RETENCION]],Retenciones!$A$1:$O$25,2,FALSE)</f>
        <v>0</v>
      </c>
      <c r="Z1945" s="125" t="b">
        <f>OR(COUNTIF(PROVEEDORES[[#This Row],[PROVEEDOR]],"*"&amp;'Palabra no opera'!$A$2&amp;"*"))</f>
        <v>1</v>
      </c>
    </row>
    <row r="1946" spans="1:26" ht="22.2" customHeight="1" x14ac:dyDescent="0.3">
      <c r="A1946" s="140" t="str">
        <f>+IF(PROVEEDORES[[#This Row],[FECHA DE PAGO]]=PROVEEDORES[[#This Row],[FECHA DE FACTURACIÓN]],"DE CONTADO","CRÉDITO")</f>
        <v>CRÉDITO</v>
      </c>
      <c r="B1946" s="38" t="str">
        <f>+IF((PROVEEDORES[[#This Row],[FECHA DE PAGO]]-PROVEEDORES[[#This Row],[FECHA DE FACTURACIÓN]])&gt;PROVEEDORES[[#This Row],[PLAZO Días]],"PAGO VENCIDO")</f>
        <v>PAGO VENCIDO</v>
      </c>
      <c r="C1946" s="20">
        <f>+VLOOKUP(PROVEEDORES[[#This Row],[PROVEEDOR]],TERCEROS_INFO[#All],2,FALSE)</f>
        <v>30</v>
      </c>
      <c r="D1946" s="25">
        <f>+SUMIFS(PROVEEDORES[Total],PROVEEDORES[PROVEEDOR],PROVEEDORES[[#This Row],[PROVEEDOR]],PROVEEDORES[FECHA DE PAGO],"")</f>
        <v>3430770</v>
      </c>
      <c r="E1946" s="25"/>
      <c r="F194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946" s="161">
        <v>44733</v>
      </c>
      <c r="H1946" s="26" t="s">
        <v>1448</v>
      </c>
      <c r="I1946" s="161">
        <v>44696</v>
      </c>
      <c r="J1946" s="35">
        <v>30872</v>
      </c>
      <c r="K1946" s="21">
        <v>4680000</v>
      </c>
      <c r="L1946" s="21"/>
      <c r="M1946" s="22">
        <f>(PROVEEDORES[[#This Row],[SUBTOTAL]]-PROVEEDORES[[#This Row],[descuento sobre subtotal]])*VLOOKUP(PROVEEDORES[[#This Row],[PROVEEDOR]],TERCEROS_INFO[#All],3,FALSE)</f>
        <v>889200</v>
      </c>
      <c r="N1946" s="23"/>
      <c r="O1946" s="22">
        <f>+PROVEEDORES[[#This Row],[Descuento sobre subtotal %]]*(PROVEEDORES[[#This Row],[SUBTOTAL]]-PROVEEDORES[[#This Row],[descuento sobre subtotal]])</f>
        <v>0</v>
      </c>
      <c r="P1946" s="83">
        <v>2.5000000000000001E-2</v>
      </c>
      <c r="Q1946" s="22">
        <f>+PROVEEDORES[[#This Row],[Rete Fuente %]]*(PROVEEDORES[[#This Row],[SUBTOTAL]]-PROVEEDORES[[#This Row],[descuento sobre subtotal]])</f>
        <v>117000</v>
      </c>
      <c r="R1946" s="21">
        <f>+PROVEEDORES[[#This Row],[SUBTOTAL]]+PROVEEDORES[[#This Row],[IVA 19%]]-PROVEEDORES[[#This Row],[descuento sobre subtotal]]-PROVEEDORES[[#This Row],[Descuento sobre subtotal $2]]-PROVEEDORES[[#This Row],[Rete Fuente $]]</f>
        <v>5452200</v>
      </c>
      <c r="S1946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6" s="68">
        <f ca="1">IF(PROVEEDORES[[#This Row],[FECHA DE PAGO]]=0,TODAY()-PROVEEDORES[[#This Row],[FECHA DE FACTURACIÓN]]-PROVEEDORES[[#This Row],[PLAZO Días]],0)</f>
        <v>0</v>
      </c>
      <c r="U1946" s="113">
        <f>+VLOOKUP(PROVEEDORES[[#This Row],[PROVEEDOR]],Terceros!$A:$D,4,FALSE)</f>
        <v>0</v>
      </c>
      <c r="V1946" s="114">
        <f>+YEAR(PROVEEDORES[[#This Row],[FECHA DE FACTURACIÓN]])</f>
        <v>2022</v>
      </c>
      <c r="W1946" s="114">
        <f>+MATCH(PROVEEDORES[[#This Row],[año facturado]],Retenciones!$1:$1,0)</f>
        <v>5</v>
      </c>
      <c r="X1946" s="115">
        <f>+VLOOKUP(PROVEEDORES[[#This Row],[ID RETENCION]],Retenciones!$A$1:$O$25,PROVEEDORES[[#This Row],[indicador de columna]],FALSE)</f>
        <v>0</v>
      </c>
      <c r="Y1946" s="116">
        <f>+VLOOKUP(PROVEEDORES[[#This Row],[ID RETENCION]],Retenciones!$A$1:$O$25,2,FALSE)</f>
        <v>0</v>
      </c>
      <c r="Z1946" s="125" t="b">
        <f>OR(COUNTIF(PROVEEDORES[[#This Row],[PROVEEDOR]],"*"&amp;'Palabra no opera'!$A$2&amp;"*"))</f>
        <v>0</v>
      </c>
    </row>
    <row r="1947" spans="1:26" ht="22.2" customHeight="1" x14ac:dyDescent="0.3">
      <c r="A1947" s="123" t="str">
        <f>+IF(PROVEEDORES[[#This Row],[FECHA DE PAGO]]=PROVEEDORES[[#This Row],[FECHA DE FACTURACIÓN]],"DE CONTADO","CRÉDITO")</f>
        <v>CRÉDITO</v>
      </c>
      <c r="B1947" s="38" t="str">
        <f>+IF((PROVEEDORES[[#This Row],[FECHA DE PAGO]]-PROVEEDORES[[#This Row],[FECHA DE FACTURACIÓN]])&gt;PROVEEDORES[[#This Row],[PLAZO Días]],"PAGO VENCIDO")</f>
        <v>PAGO VENCIDO</v>
      </c>
      <c r="C1947" s="20">
        <f>+VLOOKUP(PROVEEDORES[[#This Row],[PROVEEDOR]],TERCEROS_INFO[#All],2,FALSE)</f>
        <v>20</v>
      </c>
      <c r="D1947" s="25">
        <f>+SUMIFS(PROVEEDORES[Total],PROVEEDORES[PROVEEDOR],PROVEEDORES[[#This Row],[PROVEEDOR]],PROVEEDORES[FECHA DE PAGO],"")</f>
        <v>0</v>
      </c>
      <c r="E1947" s="25"/>
      <c r="F194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47" s="161">
        <v>44707</v>
      </c>
      <c r="H1947" s="26" t="s">
        <v>942</v>
      </c>
      <c r="I1947" s="161">
        <v>44682</v>
      </c>
      <c r="J1947" s="35">
        <v>43002</v>
      </c>
      <c r="K1947" s="21">
        <v>4730000</v>
      </c>
      <c r="L1947" s="21"/>
      <c r="M1947" s="22">
        <f>(PROVEEDORES[[#This Row],[SUBTOTAL]]-PROVEEDORES[[#This Row],[descuento sobre subtotal]])*VLOOKUP(PROVEEDORES[[#This Row],[PROVEEDOR]],TERCEROS_INFO[#All],3,FALSE)</f>
        <v>898700</v>
      </c>
      <c r="N1947" s="23"/>
      <c r="O1947" s="22">
        <f>+PROVEEDORES[[#This Row],[Descuento sobre subtotal %]]*(PROVEEDORES[[#This Row],[SUBTOTAL]]-PROVEEDORES[[#This Row],[descuento sobre subtotal]])</f>
        <v>0</v>
      </c>
      <c r="P1947" s="83">
        <f>+IF(PROVEEDORES[[#This Row],[SUBTOTAL]]&lt;PROVEEDORES[[#This Row],[base retencion]],0,PROVEEDORES[[#This Row],[retención aplicada]])</f>
        <v>3.5000000000000003E-2</v>
      </c>
      <c r="Q1947" s="22">
        <f>+PROVEEDORES[[#This Row],[Rete Fuente %]]*(PROVEEDORES[[#This Row],[SUBTOTAL]]-PROVEEDORES[[#This Row],[descuento sobre subtotal]])</f>
        <v>165550.00000000003</v>
      </c>
      <c r="R1947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47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7" s="68">
        <f ca="1">IF(PROVEEDORES[[#This Row],[FECHA DE PAGO]]=0,TODAY()-PROVEEDORES[[#This Row],[FECHA DE FACTURACIÓN]]-PROVEEDORES[[#This Row],[PLAZO Días]],0)</f>
        <v>0</v>
      </c>
      <c r="U1947" s="113" t="str">
        <f>+VLOOKUP(PROVEEDORES[[#This Row],[PROVEEDOR]],Terceros!$A:$D,4,FALSE)</f>
        <v>3,5% sin base</v>
      </c>
      <c r="V1947" s="114">
        <f>+YEAR(PROVEEDORES[[#This Row],[FECHA DE FACTURACIÓN]])</f>
        <v>2022</v>
      </c>
      <c r="W1947" s="114">
        <f>+MATCH(PROVEEDORES[[#This Row],[año facturado]],Retenciones!$1:$1,0)</f>
        <v>5</v>
      </c>
      <c r="X1947" s="115">
        <f>+VLOOKUP(PROVEEDORES[[#This Row],[ID RETENCION]],Retenciones!$A$1:$O$25,PROVEEDORES[[#This Row],[indicador de columna]],FALSE)</f>
        <v>0</v>
      </c>
      <c r="Y1947" s="116">
        <f>+VLOOKUP(PROVEEDORES[[#This Row],[ID RETENCION]],Retenciones!$A$1:$O$25,2,FALSE)</f>
        <v>3.5000000000000003E-2</v>
      </c>
      <c r="Z1947" s="127" t="b">
        <f>OR(COUNTIF(PROVEEDORES[[#This Row],[PROVEEDOR]],"*"&amp;'Palabra no opera'!$A$2&amp;"*"))</f>
        <v>1</v>
      </c>
    </row>
    <row r="1948" spans="1:26" ht="22.2" customHeight="1" x14ac:dyDescent="0.3">
      <c r="A1948" s="146" t="str">
        <f>+IF(PROVEEDORES[[#This Row],[FECHA DE PAGO]]=PROVEEDORES[[#This Row],[FECHA DE FACTURACIÓN]],"DE CONTADO","CRÉDITO")</f>
        <v>CRÉDITO</v>
      </c>
      <c r="B1948" s="38" t="str">
        <f>+IF((PROVEEDORES[[#This Row],[FECHA DE PAGO]]-PROVEEDORES[[#This Row],[FECHA DE FACTURACIÓN]])&gt;PROVEEDORES[[#This Row],[PLAZO Días]],"PAGO VENCIDO")</f>
        <v>PAGO VENCIDO</v>
      </c>
      <c r="C1948" s="20">
        <f>+VLOOKUP(PROVEEDORES[[#This Row],[PROVEEDOR]],TERCEROS_INFO[#All],2,FALSE)</f>
        <v>20</v>
      </c>
      <c r="D1948" s="25">
        <f>+SUMIFS(PROVEEDORES[Total],PROVEEDORES[PROVEEDOR],PROVEEDORES[[#This Row],[PROVEEDOR]],PROVEEDORES[FECHA DE PAGO],"")</f>
        <v>0</v>
      </c>
      <c r="E1948" s="25"/>
      <c r="F194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48" s="161">
        <v>44741</v>
      </c>
      <c r="H1948" s="26" t="s">
        <v>942</v>
      </c>
      <c r="I1948" s="161">
        <v>44713</v>
      </c>
      <c r="J1948" s="35">
        <v>43347</v>
      </c>
      <c r="K1948" s="21">
        <v>4730000</v>
      </c>
      <c r="L1948" s="21"/>
      <c r="M1948" s="22">
        <f>(PROVEEDORES[[#This Row],[SUBTOTAL]]-PROVEEDORES[[#This Row],[descuento sobre subtotal]])*VLOOKUP(PROVEEDORES[[#This Row],[PROVEEDOR]],TERCEROS_INFO[#All],3,FALSE)</f>
        <v>898700</v>
      </c>
      <c r="N1948" s="23"/>
      <c r="O1948" s="22">
        <f>+PROVEEDORES[[#This Row],[Descuento sobre subtotal %]]*(PROVEEDORES[[#This Row],[SUBTOTAL]]-PROVEEDORES[[#This Row],[descuento sobre subtotal]])</f>
        <v>0</v>
      </c>
      <c r="P1948" s="83">
        <f>+IF(PROVEEDORES[[#This Row],[SUBTOTAL]]&lt;PROVEEDORES[[#This Row],[base retencion]],0,PROVEEDORES[[#This Row],[retención aplicada]])</f>
        <v>3.5000000000000003E-2</v>
      </c>
      <c r="Q1948" s="22">
        <f>+PROVEEDORES[[#This Row],[Rete Fuente %]]*(PROVEEDORES[[#This Row],[SUBTOTAL]]-PROVEEDORES[[#This Row],[descuento sobre subtotal]])</f>
        <v>165550.00000000003</v>
      </c>
      <c r="R1948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48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8" s="68">
        <f ca="1">IF(PROVEEDORES[[#This Row],[FECHA DE PAGO]]=0,TODAY()-PROVEEDORES[[#This Row],[FECHA DE FACTURACIÓN]]-PROVEEDORES[[#This Row],[PLAZO Días]],0)</f>
        <v>0</v>
      </c>
      <c r="U1948" s="113" t="str">
        <f>+VLOOKUP(PROVEEDORES[[#This Row],[PROVEEDOR]],Terceros!$A:$D,4,FALSE)</f>
        <v>3,5% sin base</v>
      </c>
      <c r="V1948" s="114">
        <f>+YEAR(PROVEEDORES[[#This Row],[FECHA DE FACTURACIÓN]])</f>
        <v>2022</v>
      </c>
      <c r="W1948" s="114">
        <f>+MATCH(PROVEEDORES[[#This Row],[año facturado]],Retenciones!$1:$1,0)</f>
        <v>5</v>
      </c>
      <c r="X1948" s="115">
        <f>+VLOOKUP(PROVEEDORES[[#This Row],[ID RETENCION]],Retenciones!$A$1:$O$25,PROVEEDORES[[#This Row],[indicador de columna]],FALSE)</f>
        <v>0</v>
      </c>
      <c r="Y1948" s="116">
        <f>+VLOOKUP(PROVEEDORES[[#This Row],[ID RETENCION]],Retenciones!$A$1:$O$25,2,FALSE)</f>
        <v>3.5000000000000003E-2</v>
      </c>
      <c r="Z1948" s="125" t="b">
        <f>OR(COUNTIF(PROVEEDORES[[#This Row],[PROVEEDOR]],"*"&amp;'Palabra no opera'!$A$2&amp;"*"))</f>
        <v>1</v>
      </c>
    </row>
    <row r="1949" spans="1:26" ht="22.2" customHeight="1" x14ac:dyDescent="0.3">
      <c r="A1949" s="159" t="str">
        <f>+IF(PROVEEDORES[[#This Row],[FECHA DE PAGO]]=PROVEEDORES[[#This Row],[FECHA DE FACTURACIÓN]],"DE CONTADO","CRÉDITO")</f>
        <v>CRÉDITO</v>
      </c>
      <c r="B1949" s="38" t="str">
        <f>+IF((PROVEEDORES[[#This Row],[FECHA DE PAGO]]-PROVEEDORES[[#This Row],[FECHA DE FACTURACIÓN]])&gt;PROVEEDORES[[#This Row],[PLAZO Días]],"PAGO VENCIDO")</f>
        <v>PAGO VENCIDO</v>
      </c>
      <c r="C1949" s="20">
        <f>+VLOOKUP(PROVEEDORES[[#This Row],[PROVEEDOR]],TERCEROS_INFO[#All],2,FALSE)</f>
        <v>20</v>
      </c>
      <c r="D1949" s="25">
        <f>+SUMIFS(PROVEEDORES[Total],PROVEEDORES[PROVEEDOR],PROVEEDORES[[#This Row],[PROVEEDOR]],PROVEEDORES[FECHA DE PAGO],"")</f>
        <v>0</v>
      </c>
      <c r="E1949" s="25"/>
      <c r="F194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49" s="161">
        <v>44768</v>
      </c>
      <c r="H1949" s="26" t="s">
        <v>942</v>
      </c>
      <c r="I1949" s="161">
        <v>44743</v>
      </c>
      <c r="J1949" s="35">
        <v>43701</v>
      </c>
      <c r="K1949" s="21">
        <v>4730000</v>
      </c>
      <c r="L1949" s="21"/>
      <c r="M1949" s="22">
        <f>(PROVEEDORES[[#This Row],[SUBTOTAL]]-PROVEEDORES[[#This Row],[descuento sobre subtotal]])*VLOOKUP(PROVEEDORES[[#This Row],[PROVEEDOR]],TERCEROS_INFO[#All],3,FALSE)</f>
        <v>898700</v>
      </c>
      <c r="N1949" s="23"/>
      <c r="O1949" s="22">
        <f>+PROVEEDORES[[#This Row],[Descuento sobre subtotal %]]*(PROVEEDORES[[#This Row],[SUBTOTAL]]-PROVEEDORES[[#This Row],[descuento sobre subtotal]])</f>
        <v>0</v>
      </c>
      <c r="P1949" s="83">
        <f>+IF(PROVEEDORES[[#This Row],[SUBTOTAL]]&lt;PROVEEDORES[[#This Row],[base retencion]],0,PROVEEDORES[[#This Row],[retención aplicada]])</f>
        <v>3.5000000000000003E-2</v>
      </c>
      <c r="Q1949" s="22">
        <f>+PROVEEDORES[[#This Row],[Rete Fuente %]]*(PROVEEDORES[[#This Row],[SUBTOTAL]]-PROVEEDORES[[#This Row],[descuento sobre subtotal]])</f>
        <v>165550.00000000003</v>
      </c>
      <c r="R1949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4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9" s="68">
        <f ca="1">IF(PROVEEDORES[[#This Row],[FECHA DE PAGO]]=0,TODAY()-PROVEEDORES[[#This Row],[FECHA DE FACTURACIÓN]]-PROVEEDORES[[#This Row],[PLAZO Días]],0)</f>
        <v>0</v>
      </c>
      <c r="U1949" s="113" t="str">
        <f>+VLOOKUP(PROVEEDORES[[#This Row],[PROVEEDOR]],Terceros!$A:$D,4,FALSE)</f>
        <v>3,5% sin base</v>
      </c>
      <c r="V1949" s="114">
        <f>+YEAR(PROVEEDORES[[#This Row],[FECHA DE FACTURACIÓN]])</f>
        <v>2022</v>
      </c>
      <c r="W1949" s="114">
        <f>+MATCH(PROVEEDORES[[#This Row],[año facturado]],Retenciones!$1:$1,0)</f>
        <v>5</v>
      </c>
      <c r="X1949" s="115">
        <f>+VLOOKUP(PROVEEDORES[[#This Row],[ID RETENCION]],Retenciones!$A$1:$O$25,PROVEEDORES[[#This Row],[indicador de columna]],FALSE)</f>
        <v>0</v>
      </c>
      <c r="Y1949" s="116">
        <f>+VLOOKUP(PROVEEDORES[[#This Row],[ID RETENCION]],Retenciones!$A$1:$O$25,2,FALSE)</f>
        <v>3.5000000000000003E-2</v>
      </c>
      <c r="Z1949" s="125" t="b">
        <f>OR(COUNTIF(PROVEEDORES[[#This Row],[PROVEEDOR]],"*"&amp;'Palabra no opera'!$A$2&amp;"*"))</f>
        <v>1</v>
      </c>
    </row>
    <row r="1950" spans="1:26" ht="22.2" customHeight="1" x14ac:dyDescent="0.3">
      <c r="A1950" s="72" t="str">
        <f>+IF(PROVEEDORES[[#This Row],[FECHA DE PAGO]]=PROVEEDORES[[#This Row],[FECHA DE FACTURACIÓN]],"DE CONTADO","CRÉDITO")</f>
        <v>CRÉDITO</v>
      </c>
      <c r="B1950" s="38" t="str">
        <f>+IF((PROVEEDORES[[#This Row],[FECHA DE PAGO]]-PROVEEDORES[[#This Row],[FECHA DE FACTURACIÓN]])&gt;PROVEEDORES[[#This Row],[PLAZO Días]],"PAGO VENCIDO")</f>
        <v>PAGO VENCIDO</v>
      </c>
      <c r="C1950" s="20">
        <f>+VLOOKUP(PROVEEDORES[[#This Row],[PROVEEDOR]],TERCEROS_INFO[#All],2,FALSE)</f>
        <v>20</v>
      </c>
      <c r="D1950" s="25">
        <f>+SUMIFS(PROVEEDORES[Total],PROVEEDORES[PROVEEDOR],PROVEEDORES[[#This Row],[PROVEEDOR]],PROVEEDORES[FECHA DE PAGO],"")</f>
        <v>0</v>
      </c>
      <c r="E1950" s="25"/>
      <c r="F195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50" s="161">
        <v>44802</v>
      </c>
      <c r="H1950" s="26" t="s">
        <v>942</v>
      </c>
      <c r="I1950" s="161">
        <v>44774</v>
      </c>
      <c r="J1950" s="35">
        <v>44059</v>
      </c>
      <c r="K1950" s="21">
        <v>4730000</v>
      </c>
      <c r="L1950" s="21"/>
      <c r="M1950" s="22">
        <f>(PROVEEDORES[[#This Row],[SUBTOTAL]]-PROVEEDORES[[#This Row],[descuento sobre subtotal]])*VLOOKUP(PROVEEDORES[[#This Row],[PROVEEDOR]],TERCEROS_INFO[#All],3,FALSE)</f>
        <v>898700</v>
      </c>
      <c r="N1950" s="23"/>
      <c r="O1950" s="22">
        <f>+PROVEEDORES[[#This Row],[Descuento sobre subtotal %]]*(PROVEEDORES[[#This Row],[SUBTOTAL]]-PROVEEDORES[[#This Row],[descuento sobre subtotal]])</f>
        <v>0</v>
      </c>
      <c r="P1950" s="83">
        <f>+IF(PROVEEDORES[[#This Row],[SUBTOTAL]]&lt;PROVEEDORES[[#This Row],[base retencion]],0,PROVEEDORES[[#This Row],[retención aplicada]])</f>
        <v>3.5000000000000003E-2</v>
      </c>
      <c r="Q1950" s="22">
        <f>+PROVEEDORES[[#This Row],[Rete Fuente %]]*(PROVEEDORES[[#This Row],[SUBTOTAL]]-PROVEEDORES[[#This Row],[descuento sobre subtotal]])</f>
        <v>165550.00000000003</v>
      </c>
      <c r="R1950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5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0" s="68">
        <f ca="1">IF(PROVEEDORES[[#This Row],[FECHA DE PAGO]]=0,TODAY()-PROVEEDORES[[#This Row],[FECHA DE FACTURACIÓN]]-PROVEEDORES[[#This Row],[PLAZO Días]],0)</f>
        <v>0</v>
      </c>
      <c r="U1950" s="113" t="str">
        <f>+VLOOKUP(PROVEEDORES[[#This Row],[PROVEEDOR]],Terceros!$A:$D,4,FALSE)</f>
        <v>3,5% sin base</v>
      </c>
      <c r="V1950" s="114">
        <f>+YEAR(PROVEEDORES[[#This Row],[FECHA DE FACTURACIÓN]])</f>
        <v>2022</v>
      </c>
      <c r="W1950" s="114">
        <f>+MATCH(PROVEEDORES[[#This Row],[año facturado]],Retenciones!$1:$1,0)</f>
        <v>5</v>
      </c>
      <c r="X1950" s="115">
        <f>+VLOOKUP(PROVEEDORES[[#This Row],[ID RETENCION]],Retenciones!$A$1:$O$25,PROVEEDORES[[#This Row],[indicador de columna]],FALSE)</f>
        <v>0</v>
      </c>
      <c r="Y1950" s="116">
        <f>+VLOOKUP(PROVEEDORES[[#This Row],[ID RETENCION]],Retenciones!$A$1:$O$25,2,FALSE)</f>
        <v>3.5000000000000003E-2</v>
      </c>
      <c r="Z1950" s="125" t="b">
        <f>OR(COUNTIF(PROVEEDORES[[#This Row],[PROVEEDOR]],"*"&amp;'Palabra no opera'!$A$2&amp;"*"))</f>
        <v>1</v>
      </c>
    </row>
    <row r="1951" spans="1:26" ht="22.2" customHeight="1" x14ac:dyDescent="0.3">
      <c r="A1951" s="221" t="str">
        <f>+IF(PROVEEDORES[[#This Row],[FECHA DE PAGO]]=PROVEEDORES[[#This Row],[FECHA DE FACTURACIÓN]],"DE CONTADO","CRÉDITO")</f>
        <v>CRÉDITO</v>
      </c>
      <c r="B1951" s="38" t="str">
        <f>+IF((PROVEEDORES[[#This Row],[FECHA DE PAGO]]-PROVEEDORES[[#This Row],[FECHA DE FACTURACIÓN]])&gt;PROVEEDORES[[#This Row],[PLAZO Días]],"PAGO VENCIDO")</f>
        <v>PAGO VENCIDO</v>
      </c>
      <c r="C1951" s="20">
        <f>+VLOOKUP(PROVEEDORES[[#This Row],[PROVEEDOR]],TERCEROS_INFO[#All],2,FALSE)</f>
        <v>20</v>
      </c>
      <c r="D1951" s="25">
        <f>+SUMIFS(PROVEEDORES[Total],PROVEEDORES[PROVEEDOR],PROVEEDORES[[#This Row],[PROVEEDOR]],PROVEEDORES[FECHA DE PAGO],"")</f>
        <v>0</v>
      </c>
      <c r="E1951" s="25"/>
      <c r="F195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51" s="161">
        <v>44827</v>
      </c>
      <c r="H1951" s="26" t="s">
        <v>942</v>
      </c>
      <c r="I1951" s="161">
        <v>44805</v>
      </c>
      <c r="J1951" s="35" t="s">
        <v>1693</v>
      </c>
      <c r="K1951" s="21">
        <v>4730000</v>
      </c>
      <c r="L1951" s="21"/>
      <c r="M1951" s="22">
        <f>(PROVEEDORES[[#This Row],[SUBTOTAL]]-PROVEEDORES[[#This Row],[descuento sobre subtotal]])*VLOOKUP(PROVEEDORES[[#This Row],[PROVEEDOR]],TERCEROS_INFO[#All],3,FALSE)</f>
        <v>898700</v>
      </c>
      <c r="N1951" s="23"/>
      <c r="O1951" s="22">
        <f>+PROVEEDORES[[#This Row],[Descuento sobre subtotal %]]*(PROVEEDORES[[#This Row],[SUBTOTAL]]-PROVEEDORES[[#This Row],[descuento sobre subtotal]])</f>
        <v>0</v>
      </c>
      <c r="P1951" s="83">
        <f>+IF(PROVEEDORES[[#This Row],[SUBTOTAL]]&lt;PROVEEDORES[[#This Row],[base retencion]],0,PROVEEDORES[[#This Row],[retención aplicada]])</f>
        <v>3.5000000000000003E-2</v>
      </c>
      <c r="Q1951" s="22">
        <f>+PROVEEDORES[[#This Row],[Rete Fuente %]]*(PROVEEDORES[[#This Row],[SUBTOTAL]]-PROVEEDORES[[#This Row],[descuento sobre subtotal]])</f>
        <v>165550.00000000003</v>
      </c>
      <c r="R1951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51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1" s="68">
        <f ca="1">IF(PROVEEDORES[[#This Row],[FECHA DE PAGO]]=0,TODAY()-PROVEEDORES[[#This Row],[FECHA DE FACTURACIÓN]]-PROVEEDORES[[#This Row],[PLAZO Días]],0)</f>
        <v>0</v>
      </c>
      <c r="U1951" s="113" t="str">
        <f>+VLOOKUP(PROVEEDORES[[#This Row],[PROVEEDOR]],Terceros!$A:$D,4,FALSE)</f>
        <v>3,5% sin base</v>
      </c>
      <c r="V1951" s="114">
        <f>+YEAR(PROVEEDORES[[#This Row],[FECHA DE FACTURACIÓN]])</f>
        <v>2022</v>
      </c>
      <c r="W1951" s="114">
        <f>+MATCH(PROVEEDORES[[#This Row],[año facturado]],Retenciones!$1:$1,0)</f>
        <v>5</v>
      </c>
      <c r="X1951" s="115">
        <f>+VLOOKUP(PROVEEDORES[[#This Row],[ID RETENCION]],Retenciones!$A$1:$O$25,PROVEEDORES[[#This Row],[indicador de columna]],FALSE)</f>
        <v>0</v>
      </c>
      <c r="Y1951" s="116">
        <f>+VLOOKUP(PROVEEDORES[[#This Row],[ID RETENCION]],Retenciones!$A$1:$O$25,2,FALSE)</f>
        <v>3.5000000000000003E-2</v>
      </c>
      <c r="Z1951" s="125" t="b">
        <f>OR(COUNTIF(PROVEEDORES[[#This Row],[PROVEEDOR]],"*"&amp;'Palabra no opera'!$A$2&amp;"*"))</f>
        <v>1</v>
      </c>
    </row>
    <row r="1952" spans="1:26" ht="22.2" customHeight="1" x14ac:dyDescent="0.3">
      <c r="A1952" s="138" t="str">
        <f>+IF(PROVEEDORES[[#This Row],[FECHA DE PAGO]]=PROVEEDORES[[#This Row],[FECHA DE FACTURACIÓN]],"DE CONTADO","CRÉDITO")</f>
        <v>CRÉDITO</v>
      </c>
      <c r="B1952" s="38" t="b">
        <f>+IF((PROVEEDORES[[#This Row],[FECHA DE PAGO]]-PROVEEDORES[[#This Row],[FECHA DE FACTURACIÓN]])&gt;PROVEEDORES[[#This Row],[PLAZO Días]],"PAGO VENCIDO")</f>
        <v>0</v>
      </c>
      <c r="C1952" s="20">
        <f>+VLOOKUP(PROVEEDORES[[#This Row],[PROVEEDOR]],TERCEROS_INFO[#All],2,FALSE)</f>
        <v>30</v>
      </c>
      <c r="D1952" s="25">
        <f>+SUMIFS(PROVEEDORES[Total],PROVEEDORES[PROVEEDOR],PROVEEDORES[[#This Row],[PROVEEDOR]],PROVEEDORES[FECHA DE PAGO],"")</f>
        <v>1645455.6614999999</v>
      </c>
      <c r="E1952" s="25"/>
      <c r="F1952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952" s="161">
        <v>44699</v>
      </c>
      <c r="H1952" s="26" t="s">
        <v>79</v>
      </c>
      <c r="I1952" s="161">
        <v>44692</v>
      </c>
      <c r="J1952" s="35" t="s">
        <v>967</v>
      </c>
      <c r="K1952" s="21">
        <v>4704300</v>
      </c>
      <c r="L1952" s="21"/>
      <c r="M1952" s="22">
        <f>(PROVEEDORES[[#This Row],[SUBTOTAL]]-PROVEEDORES[[#This Row],[descuento sobre subtotal]])*VLOOKUP(PROVEEDORES[[#This Row],[PROVEEDOR]],TERCEROS_INFO[#All],3,FALSE)</f>
        <v>893817</v>
      </c>
      <c r="N1952" s="23"/>
      <c r="O1952" s="22">
        <f>+PROVEEDORES[[#This Row],[Descuento sobre subtotal %]]*(PROVEEDORES[[#This Row],[SUBTOTAL]]-PROVEEDORES[[#This Row],[descuento sobre subtotal]])</f>
        <v>0</v>
      </c>
      <c r="P1952" s="83">
        <f>+IF(PROVEEDORES[[#This Row],[SUBTOTAL]]&lt;PROVEEDORES[[#This Row],[base retencion]],0,PROVEEDORES[[#This Row],[retención aplicada]])</f>
        <v>2.5000000000000001E-2</v>
      </c>
      <c r="Q1952" s="22">
        <f>+PROVEEDORES[[#This Row],[Rete Fuente %]]*(PROVEEDORES[[#This Row],[SUBTOTAL]]-PROVEEDORES[[#This Row],[descuento sobre subtotal]])</f>
        <v>117607.5</v>
      </c>
      <c r="R1952" s="21">
        <f>+PROVEEDORES[[#This Row],[SUBTOTAL]]+PROVEEDORES[[#This Row],[IVA 19%]]-PROVEEDORES[[#This Row],[descuento sobre subtotal]]-PROVEEDORES[[#This Row],[Descuento sobre subtotal $2]]-PROVEEDORES[[#This Row],[Rete Fuente $]]</f>
        <v>5480509.5</v>
      </c>
      <c r="S1952" s="1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2" s="68">
        <f ca="1">IF(PROVEEDORES[[#This Row],[FECHA DE PAGO]]=0,TODAY()-PROVEEDORES[[#This Row],[FECHA DE FACTURACIÓN]]-PROVEEDORES[[#This Row],[PLAZO Días]],0)</f>
        <v>0</v>
      </c>
      <c r="U1952" s="113" t="str">
        <f>+VLOOKUP(PROVEEDORES[[#This Row],[PROVEEDOR]],Terceros!$A:$D,4,FALSE)</f>
        <v>2,5% con base</v>
      </c>
      <c r="V1952" s="114">
        <f>+YEAR(PROVEEDORES[[#This Row],[FECHA DE FACTURACIÓN]])</f>
        <v>2022</v>
      </c>
      <c r="W1952" s="114">
        <f>+MATCH(PROVEEDORES[[#This Row],[año facturado]],Retenciones!$1:$1,0)</f>
        <v>5</v>
      </c>
      <c r="X1952" s="115">
        <f>+VLOOKUP(PROVEEDORES[[#This Row],[ID RETENCION]],Retenciones!$A$1:$O$25,PROVEEDORES[[#This Row],[indicador de columna]],FALSE)</f>
        <v>1026000</v>
      </c>
      <c r="Y1952" s="116">
        <f>+VLOOKUP(PROVEEDORES[[#This Row],[ID RETENCION]],Retenciones!$A$1:$O$25,2,FALSE)</f>
        <v>2.5000000000000001E-2</v>
      </c>
      <c r="Z1952" s="125" t="b">
        <f>OR(COUNTIF(PROVEEDORES[[#This Row],[PROVEEDOR]],"*"&amp;'Palabra no opera'!$A$2&amp;"*"))</f>
        <v>0</v>
      </c>
    </row>
    <row r="1953" spans="1:31" ht="22.2" customHeight="1" x14ac:dyDescent="0.3">
      <c r="A1953" s="185" t="str">
        <f>+IF(PROVEEDORES[[#This Row],[FECHA DE PAGO]]=PROVEEDORES[[#This Row],[FECHA DE FACTURACIÓN]],"DE CONTADO","CRÉDITO")</f>
        <v>CRÉDITO</v>
      </c>
      <c r="B1953" s="38" t="str">
        <f>+IF((PROVEEDORES[[#This Row],[FECHA DE PAGO]]-PROVEEDORES[[#This Row],[FECHA DE FACTURACIÓN]])&gt;PROVEEDORES[[#This Row],[PLAZO Días]],"PAGO VENCIDO")</f>
        <v>PAGO VENCIDO</v>
      </c>
      <c r="C1953" s="20">
        <f>+VLOOKUP(PROVEEDORES[[#This Row],[PROVEEDOR]],TERCEROS_INFO[#All],2,FALSE)</f>
        <v>30</v>
      </c>
      <c r="D1953" s="25">
        <f>+SUMIFS(PROVEEDORES[Total],PROVEEDORES[PROVEEDOR],PROVEEDORES[[#This Row],[PROVEEDOR]],PROVEEDORES[FECHA DE PAGO],"")</f>
        <v>0</v>
      </c>
      <c r="E1953" s="25"/>
      <c r="F195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53" s="161">
        <v>44806</v>
      </c>
      <c r="H1953" s="26" t="s">
        <v>1637</v>
      </c>
      <c r="I1953" s="161">
        <v>44751</v>
      </c>
      <c r="J1953" s="35">
        <v>26516</v>
      </c>
      <c r="K1953" s="21">
        <v>5185620</v>
      </c>
      <c r="L1953" s="21">
        <v>471420</v>
      </c>
      <c r="M1953" s="22">
        <f>(PROVEEDORES[[#This Row],[SUBTOTAL]]-PROVEEDORES[[#This Row],[descuento sobre subtotal]])*VLOOKUP(PROVEEDORES[[#This Row],[PROVEEDOR]],TERCEROS_INFO[#All],3,FALSE)</f>
        <v>895698</v>
      </c>
      <c r="N1953" s="23"/>
      <c r="O1953" s="22">
        <f>+PROVEEDORES[[#This Row],[Descuento sobre subtotal %]]*(PROVEEDORES[[#This Row],[SUBTOTAL]]-PROVEEDORES[[#This Row],[descuento sobre subtotal]])</f>
        <v>0</v>
      </c>
      <c r="P1953" s="83">
        <f>+IF(PROVEEDORES[[#This Row],[SUBTOTAL]]&lt;PROVEEDORES[[#This Row],[base retencion]],0,PROVEEDORES[[#This Row],[retención aplicada]])</f>
        <v>2.5000000000000001E-2</v>
      </c>
      <c r="Q1953" s="22">
        <f>+PROVEEDORES[[#This Row],[Rete Fuente %]]*(PROVEEDORES[[#This Row],[SUBTOTAL]]-PROVEEDORES[[#This Row],[descuento sobre subtotal]])</f>
        <v>117855</v>
      </c>
      <c r="R1953" s="21">
        <f>+PROVEEDORES[[#This Row],[SUBTOTAL]]+PROVEEDORES[[#This Row],[IVA 19%]]-PROVEEDORES[[#This Row],[descuento sobre subtotal]]-PROVEEDORES[[#This Row],[Descuento sobre subtotal $2]]-PROVEEDORES[[#This Row],[Rete Fuente $]]</f>
        <v>5492043</v>
      </c>
      <c r="S1953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3" s="68">
        <f ca="1">IF(PROVEEDORES[[#This Row],[FECHA DE PAGO]]=0,TODAY()-PROVEEDORES[[#This Row],[FECHA DE FACTURACIÓN]]-PROVEEDORES[[#This Row],[PLAZO Días]],0)</f>
        <v>0</v>
      </c>
      <c r="U1953" s="113" t="str">
        <f>+VLOOKUP(PROVEEDORES[[#This Row],[PROVEEDOR]],Terceros!$A:$D,4,FALSE)</f>
        <v>2,5% con base</v>
      </c>
      <c r="V1953" s="114">
        <f>+YEAR(PROVEEDORES[[#This Row],[FECHA DE FACTURACIÓN]])</f>
        <v>2022</v>
      </c>
      <c r="W1953" s="114">
        <f>+MATCH(PROVEEDORES[[#This Row],[año facturado]],Retenciones!$1:$1,0)</f>
        <v>5</v>
      </c>
      <c r="X1953" s="115">
        <f>+VLOOKUP(PROVEEDORES[[#This Row],[ID RETENCION]],Retenciones!$A$1:$O$25,PROVEEDORES[[#This Row],[indicador de columna]],FALSE)</f>
        <v>1026000</v>
      </c>
      <c r="Y1953" s="116">
        <f>+VLOOKUP(PROVEEDORES[[#This Row],[ID RETENCION]],Retenciones!$A$1:$O$25,2,FALSE)</f>
        <v>2.5000000000000001E-2</v>
      </c>
      <c r="Z1953" s="125" t="b">
        <f>OR(COUNTIF(PROVEEDORES[[#This Row],[PROVEEDOR]],"*"&amp;'Palabra no opera'!$A$2&amp;"*"))</f>
        <v>0</v>
      </c>
    </row>
    <row r="1954" spans="1:31" ht="22.2" customHeight="1" x14ac:dyDescent="0.3">
      <c r="A1954" s="66" t="str">
        <f>+IF(PROVEEDORES[[#This Row],[FECHA DE PAGO]]=PROVEEDORES[[#This Row],[FECHA DE FACTURACIÓN]],"DE CONTADO","CRÉDITO")</f>
        <v>CRÉDITO</v>
      </c>
      <c r="B1954" s="38" t="str">
        <f>+IF((PROVEEDORES[[#This Row],[FECHA DE PAGO]]-PROVEEDORES[[#This Row],[FECHA DE FACTURACIÓN]])&gt;PROVEEDORES[[#This Row],[PLAZO Días]],"PAGO VENCIDO")</f>
        <v>PAGO VENCIDO</v>
      </c>
      <c r="C1954" s="20">
        <f>+VLOOKUP(PROVEEDORES[[#This Row],[PROVEEDOR]],TERCEROS_INFO[#All],2,FALSE)</f>
        <v>30</v>
      </c>
      <c r="D1954" s="25">
        <f>+SUMIFS(PROVEEDORES[Total],PROVEEDORES[PROVEEDOR],PROVEEDORES[[#This Row],[PROVEEDOR]],PROVEEDORES[FECHA DE PAGO],"")</f>
        <v>23124164.219999999</v>
      </c>
      <c r="E1954" s="25"/>
      <c r="F195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54" s="161">
        <v>44482</v>
      </c>
      <c r="H1954" s="26" t="s">
        <v>18</v>
      </c>
      <c r="I1954" s="161">
        <v>44432</v>
      </c>
      <c r="J1954" s="35">
        <v>1042098</v>
      </c>
      <c r="K1954" s="21">
        <v>4739218.08</v>
      </c>
      <c r="L1954" s="21"/>
      <c r="M1954" s="22">
        <f>(PROVEEDORES[[#This Row],[SUBTOTAL]]-PROVEEDORES[[#This Row],[descuento sobre subtotal]])*VLOOKUP(PROVEEDORES[[#This Row],[PROVEEDOR]],TERCEROS_INFO[#All],3,FALSE)</f>
        <v>900451.43520000007</v>
      </c>
      <c r="N1954" s="23"/>
      <c r="O1954" s="22">
        <f>+PROVEEDORES[[#This Row],[Descuento sobre subtotal %]]*(PROVEEDORES[[#This Row],[SUBTOTAL]]-PROVEEDORES[[#This Row],[descuento sobre subtotal]])</f>
        <v>0</v>
      </c>
      <c r="P1954" s="83">
        <f>+IF(PROVEEDORES[[#This Row],[SUBTOTAL]]&lt;PROVEEDORES[[#This Row],[base retencion]],0,PROVEEDORES[[#This Row],[retención aplicada]])</f>
        <v>2.5000000000000001E-2</v>
      </c>
      <c r="Q1954" s="22">
        <f>+PROVEEDORES[[#This Row],[Rete Fuente %]]*(PROVEEDORES[[#This Row],[SUBTOTAL]]-PROVEEDORES[[#This Row],[descuento sobre subtotal]])</f>
        <v>118480.452</v>
      </c>
      <c r="R1954" s="21">
        <f>+PROVEEDORES[[#This Row],[SUBTOTAL]]+PROVEEDORES[[#This Row],[IVA 19%]]-PROVEEDORES[[#This Row],[descuento sobre subtotal]]-PROVEEDORES[[#This Row],[Descuento sobre subtotal $2]]-PROVEEDORES[[#This Row],[Rete Fuente $]]</f>
        <v>5521189.0632000007</v>
      </c>
      <c r="S19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4" s="68">
        <f ca="1">IF(PROVEEDORES[[#This Row],[FECHA DE PAGO]]=0,TODAY()-PROVEEDORES[[#This Row],[FECHA DE FACTURACIÓN]]-PROVEEDORES[[#This Row],[PLAZO Días]],0)</f>
        <v>0</v>
      </c>
      <c r="U1954" s="96" t="str">
        <f>+VLOOKUP(PROVEEDORES[[#This Row],[PROVEEDOR]],Terceros!$A:$D,4,FALSE)</f>
        <v>2,5% con base</v>
      </c>
      <c r="V1954" s="97">
        <f>+YEAR(PROVEEDORES[[#This Row],[FECHA DE FACTURACIÓN]])</f>
        <v>2021</v>
      </c>
      <c r="W1954" s="97">
        <f>+MATCH(PROVEEDORES[[#This Row],[año facturado]],Retenciones!$1:$1,0)</f>
        <v>4</v>
      </c>
      <c r="X1954" s="98">
        <f>+VLOOKUP(PROVEEDORES[[#This Row],[ID RETENCION]],Retenciones!$A$1:$O$25,PROVEEDORES[[#This Row],[indicador de columna]],FALSE)</f>
        <v>980000</v>
      </c>
      <c r="Y1954" s="99">
        <f>+VLOOKUP(PROVEEDORES[[#This Row],[ID RETENCION]],Retenciones!$A$1:$O$25,2,FALSE)</f>
        <v>2.5000000000000001E-2</v>
      </c>
      <c r="Z1954" s="125" t="b">
        <f>OR(COUNTIF(PROVEEDORES[[#This Row],[PROVEEDOR]],"*"&amp;'Palabra no opera'!$A$2&amp;"*"))</f>
        <v>0</v>
      </c>
    </row>
    <row r="1955" spans="1:31" ht="22.2" customHeight="1" x14ac:dyDescent="0.3">
      <c r="A1955" s="66" t="str">
        <f>+IF(PROVEEDORES[[#This Row],[FECHA DE PAGO]]=PROVEEDORES[[#This Row],[FECHA DE FACTURACIÓN]],"DE CONTADO","CRÉDITO")</f>
        <v>DE CONTADO</v>
      </c>
      <c r="B1955" s="38" t="b">
        <f>+IF((PROVEEDORES[[#This Row],[FECHA DE PAGO]]-PROVEEDORES[[#This Row],[FECHA DE FACTURACIÓN]])&gt;PROVEEDORES[[#This Row],[PLAZO Días]],"PAGO VENCIDO")</f>
        <v>0</v>
      </c>
      <c r="C1955" s="20">
        <f>+VLOOKUP(PROVEEDORES[[#This Row],[PROVEEDOR]],TERCEROS_INFO[#All],2,FALSE)</f>
        <v>30</v>
      </c>
      <c r="D1955" s="25">
        <f>+SUMIFS(PROVEEDORES[Total],PROVEEDORES[PROVEEDOR],PROVEEDORES[[#This Row],[PROVEEDOR]],PROVEEDORES[FECHA DE PAGO],"")</f>
        <v>0</v>
      </c>
      <c r="E1955" s="25"/>
      <c r="F1955" s="58" t="str">
        <f>+VLOOKUP(PROVEEDORES[[#This Row],[PROVEEDOR]],
                       Terceros!$A:$F,
                       5,
                       FALSE)</f>
        <v/>
      </c>
      <c r="G1955" s="161">
        <v>44377</v>
      </c>
      <c r="H1955" s="26" t="s">
        <v>644</v>
      </c>
      <c r="I1955" s="161">
        <v>44377</v>
      </c>
      <c r="J1955" s="35" t="s">
        <v>595</v>
      </c>
      <c r="K1955" s="21">
        <v>5550000</v>
      </c>
      <c r="L1955" s="21"/>
      <c r="M1955" s="22">
        <f>(PROVEEDORES[[#This Row],[SUBTOTAL]]-PROVEEDORES[[#This Row],[descuento sobre subtotal]])*VLOOKUP(PROVEEDORES[[#This Row],[PROVEEDOR]],TERCEROS_INFO[#All],3,FALSE)</f>
        <v>0</v>
      </c>
      <c r="N1955" s="23"/>
      <c r="O1955" s="22">
        <f>+PROVEEDORES[[#This Row],[Descuento sobre subtotal %]]*(PROVEEDORES[[#This Row],[SUBTOTAL]]-PROVEEDORES[[#This Row],[descuento sobre subtotal]])</f>
        <v>0</v>
      </c>
      <c r="P1955" s="83">
        <f>+IF(PROVEEDORES[[#This Row],[SUBTOTAL]]&lt;PROVEEDORES[[#This Row],[base retencion]],0,PROVEEDORES[[#This Row],[retención aplicada]])</f>
        <v>0</v>
      </c>
      <c r="Q1955" s="22">
        <f>+PROVEEDORES[[#This Row],[Rete Fuente %]]*(PROVEEDORES[[#This Row],[SUBTOTAL]]-PROVEEDORES[[#This Row],[descuento sobre subtotal]])</f>
        <v>0</v>
      </c>
      <c r="R1955" s="21">
        <f>+PROVEEDORES[[#This Row],[SUBTOTAL]]+PROVEEDORES[[#This Row],[IVA 19%]]-PROVEEDORES[[#This Row],[descuento sobre subtotal]]-PROVEEDORES[[#This Row],[Descuento sobre subtotal $2]]-PROVEEDORES[[#This Row],[Rete Fuente $]]</f>
        <v>5550000</v>
      </c>
      <c r="S19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5" s="68">
        <f ca="1">IF(PROVEEDORES[[#This Row],[FECHA DE PAGO]]=0,TODAY()-PROVEEDORES[[#This Row],[FECHA DE FACTURACIÓN]]-PROVEEDORES[[#This Row],[PLAZO Días]],0)</f>
        <v>0</v>
      </c>
      <c r="U1955" s="96">
        <f>+VLOOKUP(PROVEEDORES[[#This Row],[PROVEEDOR]],Terceros!$A:$D,4,FALSE)</f>
        <v>0</v>
      </c>
      <c r="V1955" s="97">
        <f>+YEAR(PROVEEDORES[[#This Row],[FECHA DE FACTURACIÓN]])</f>
        <v>2021</v>
      </c>
      <c r="W1955" s="97">
        <f>+MATCH(PROVEEDORES[[#This Row],[año facturado]],Retenciones!$1:$1,0)</f>
        <v>4</v>
      </c>
      <c r="X1955" s="98">
        <f>+VLOOKUP(PROVEEDORES[[#This Row],[ID RETENCION]],Retenciones!$A$1:$O$25,PROVEEDORES[[#This Row],[indicador de columna]],FALSE)</f>
        <v>0</v>
      </c>
      <c r="Y1955" s="99">
        <f>+VLOOKUP(PROVEEDORES[[#This Row],[ID RETENCION]],Retenciones!$A$1:$O$25,2,FALSE)</f>
        <v>0</v>
      </c>
      <c r="Z1955" s="125" t="b">
        <f>OR(COUNTIF(PROVEEDORES[[#This Row],[PROVEEDOR]],"*"&amp;'Palabra no opera'!$A$2&amp;"*"))</f>
        <v>0</v>
      </c>
    </row>
    <row r="1956" spans="1:31" ht="22.2" customHeight="1" x14ac:dyDescent="0.3">
      <c r="A1956" s="66" t="str">
        <f>+IF(PROVEEDORES[[#This Row],[FECHA DE PAGO]]=PROVEEDORES[[#This Row],[FECHA DE FACTURACIÓN]],"DE CONTADO","CRÉDITO")</f>
        <v>CRÉDITO</v>
      </c>
      <c r="B1956" s="38" t="str">
        <f>+IF((PROVEEDORES[[#This Row],[FECHA DE PAGO]]-PROVEEDORES[[#This Row],[FECHA DE FACTURACIÓN]])&gt;PROVEEDORES[[#This Row],[PLAZO Días]],"PAGO VENCIDO")</f>
        <v>PAGO VENCIDO</v>
      </c>
      <c r="C1956" s="20">
        <f>+VLOOKUP(PROVEEDORES[[#This Row],[PROVEEDOR]],TERCEROS_INFO[#All],2,FALSE)</f>
        <v>30</v>
      </c>
      <c r="D1956" s="25">
        <f>+SUMIFS(PROVEEDORES[Total],PROVEEDORES[PROVEEDOR],PROVEEDORES[[#This Row],[PROVEEDOR]],PROVEEDORES[FECHA DE PAGO],"")</f>
        <v>3430770</v>
      </c>
      <c r="E1956" s="25"/>
      <c r="F195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956" s="161">
        <v>44442</v>
      </c>
      <c r="H1956" s="26" t="s">
        <v>1448</v>
      </c>
      <c r="I1956" s="161">
        <v>44411</v>
      </c>
      <c r="J1956" s="35">
        <v>20400</v>
      </c>
      <c r="K1956" s="21">
        <v>4769920</v>
      </c>
      <c r="L1956" s="21"/>
      <c r="M1956" s="22">
        <f>(PROVEEDORES[[#This Row],[SUBTOTAL]]-PROVEEDORES[[#This Row],[descuento sobre subtotal]])*VLOOKUP(PROVEEDORES[[#This Row],[PROVEEDOR]],TERCEROS_INFO[#All],3,FALSE)</f>
        <v>906284.8</v>
      </c>
      <c r="N1956" s="23"/>
      <c r="O1956" s="22">
        <f>+PROVEEDORES[[#This Row],[Descuento sobre subtotal %]]*(PROVEEDORES[[#This Row],[SUBTOTAL]]-PROVEEDORES[[#This Row],[descuento sobre subtotal]])</f>
        <v>0</v>
      </c>
      <c r="P1956" s="83">
        <v>2.5000000000000001E-2</v>
      </c>
      <c r="Q1956" s="22">
        <f>+PROVEEDORES[[#This Row],[Rete Fuente %]]*(PROVEEDORES[[#This Row],[SUBTOTAL]]-PROVEEDORES[[#This Row],[descuento sobre subtotal]])</f>
        <v>119248</v>
      </c>
      <c r="R1956" s="21">
        <f>+PROVEEDORES[[#This Row],[SUBTOTAL]]+PROVEEDORES[[#This Row],[IVA 19%]]-PROVEEDORES[[#This Row],[descuento sobre subtotal]]-PROVEEDORES[[#This Row],[Descuento sobre subtotal $2]]-PROVEEDORES[[#This Row],[Rete Fuente $]]</f>
        <v>5556956.7999999998</v>
      </c>
      <c r="S195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6" s="68">
        <f ca="1">IF(PROVEEDORES[[#This Row],[FECHA DE PAGO]]=0,TODAY()-PROVEEDORES[[#This Row],[FECHA DE FACTURACIÓN]]-PROVEEDORES[[#This Row],[PLAZO Días]],0)</f>
        <v>0</v>
      </c>
      <c r="U1956" s="96">
        <f>+VLOOKUP(PROVEEDORES[[#This Row],[PROVEEDOR]],Terceros!$A:$D,4,FALSE)</f>
        <v>0</v>
      </c>
      <c r="V1956" s="97">
        <f>+YEAR(PROVEEDORES[[#This Row],[FECHA DE FACTURACIÓN]])</f>
        <v>2021</v>
      </c>
      <c r="W1956" s="97">
        <f>+MATCH(PROVEEDORES[[#This Row],[año facturado]],Retenciones!$1:$1,0)</f>
        <v>4</v>
      </c>
      <c r="X1956" s="98">
        <f>+VLOOKUP(PROVEEDORES[[#This Row],[ID RETENCION]],Retenciones!$A$1:$O$25,PROVEEDORES[[#This Row],[indicador de columna]],FALSE)</f>
        <v>0</v>
      </c>
      <c r="Y1956" s="99">
        <f>+VLOOKUP(PROVEEDORES[[#This Row],[ID RETENCION]],Retenciones!$A$1:$O$25,2,FALSE)</f>
        <v>0</v>
      </c>
      <c r="Z1956" s="125" t="b">
        <f>OR(COUNTIF(PROVEEDORES[[#This Row],[PROVEEDOR]],"*"&amp;'Palabra no opera'!$A$2&amp;"*"))</f>
        <v>0</v>
      </c>
    </row>
    <row r="1957" spans="1:31" ht="22.2" customHeight="1" x14ac:dyDescent="0.3">
      <c r="A1957" s="66" t="str">
        <f>+IF(PROVEEDORES[[#This Row],[FECHA DE PAGO]]=PROVEEDORES[[#This Row],[FECHA DE FACTURACIÓN]],"DE CONTADO","CRÉDITO")</f>
        <v>CRÉDITO</v>
      </c>
      <c r="B1957" s="38" t="str">
        <f>+IF((PROVEEDORES[[#This Row],[FECHA DE PAGO]]-PROVEEDORES[[#This Row],[FECHA DE FACTURACIÓN]])&gt;PROVEEDORES[[#This Row],[PLAZO Días]],"PAGO VENCIDO")</f>
        <v>PAGO VENCIDO</v>
      </c>
      <c r="C1957" s="20">
        <f>+VLOOKUP(PROVEEDORES[[#This Row],[PROVEEDOR]],TERCEROS_INFO[#All],2,FALSE)</f>
        <v>90</v>
      </c>
      <c r="D1957" s="25">
        <f>+SUMIFS(PROVEEDORES[Total],PROVEEDORES[PROVEEDOR],PROVEEDORES[[#This Row],[PROVEEDOR]],PROVEEDORES[FECHA DE PAGO],"")</f>
        <v>0</v>
      </c>
      <c r="E1957" s="25"/>
      <c r="F1957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957" s="161">
        <v>44491</v>
      </c>
      <c r="H1957" s="26" t="s">
        <v>387</v>
      </c>
      <c r="I1957" s="161">
        <v>44396</v>
      </c>
      <c r="J1957" s="35" t="s">
        <v>388</v>
      </c>
      <c r="K1957" s="21">
        <v>4774790</v>
      </c>
      <c r="L1957" s="21"/>
      <c r="M1957" s="22">
        <f>(PROVEEDORES[[#This Row],[SUBTOTAL]]-PROVEEDORES[[#This Row],[descuento sobre subtotal]])*VLOOKUP(PROVEEDORES[[#This Row],[PROVEEDOR]],TERCEROS_INFO[#All],3,FALSE)</f>
        <v>907210.1</v>
      </c>
      <c r="N1957" s="23"/>
      <c r="O1957" s="22">
        <f>+PROVEEDORES[[#This Row],[Descuento sobre subtotal %]]*(PROVEEDORES[[#This Row],[SUBTOTAL]]-PROVEEDORES[[#This Row],[descuento sobre subtotal]])</f>
        <v>0</v>
      </c>
      <c r="P1957" s="83">
        <f>+IF(PROVEEDORES[[#This Row],[SUBTOTAL]]&lt;PROVEEDORES[[#This Row],[base retencion]],0,PROVEEDORES[[#This Row],[retención aplicada]])</f>
        <v>2.5000000000000001E-2</v>
      </c>
      <c r="Q1957" s="22">
        <f>+PROVEEDORES[[#This Row],[Rete Fuente %]]*(PROVEEDORES[[#This Row],[SUBTOTAL]]-PROVEEDORES[[#This Row],[descuento sobre subtotal]])</f>
        <v>119369.75</v>
      </c>
      <c r="R1957" s="21">
        <f>+PROVEEDORES[[#This Row],[SUBTOTAL]]+PROVEEDORES[[#This Row],[IVA 19%]]-PROVEEDORES[[#This Row],[descuento sobre subtotal]]-PROVEEDORES[[#This Row],[Descuento sobre subtotal $2]]-PROVEEDORES[[#This Row],[Rete Fuente $]]</f>
        <v>5562630.3499999996</v>
      </c>
      <c r="S195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7" s="68">
        <f ca="1">IF(PROVEEDORES[[#This Row],[FECHA DE PAGO]]=0,TODAY()-PROVEEDORES[[#This Row],[FECHA DE FACTURACIÓN]]-PROVEEDORES[[#This Row],[PLAZO Días]],0)</f>
        <v>0</v>
      </c>
      <c r="U1957" s="96" t="str">
        <f>+VLOOKUP(PROVEEDORES[[#This Row],[PROVEEDOR]],Terceros!$A:$D,4,FALSE)</f>
        <v>2,5% con base</v>
      </c>
      <c r="V1957" s="97">
        <f>+YEAR(PROVEEDORES[[#This Row],[FECHA DE FACTURACIÓN]])</f>
        <v>2021</v>
      </c>
      <c r="W1957" s="97">
        <f>+MATCH(PROVEEDORES[[#This Row],[año facturado]],Retenciones!$1:$1,0)</f>
        <v>4</v>
      </c>
      <c r="X1957" s="98">
        <f>+VLOOKUP(PROVEEDORES[[#This Row],[ID RETENCION]],Retenciones!$A$1:$O$25,PROVEEDORES[[#This Row],[indicador de columna]],FALSE)</f>
        <v>980000</v>
      </c>
      <c r="Y1957" s="99">
        <f>+VLOOKUP(PROVEEDORES[[#This Row],[ID RETENCION]],Retenciones!$A$1:$O$25,2,FALSE)</f>
        <v>2.5000000000000001E-2</v>
      </c>
      <c r="Z1957" s="125" t="b">
        <f>OR(COUNTIF(PROVEEDORES[[#This Row],[PROVEEDOR]],"*"&amp;'Palabra no opera'!$A$2&amp;"*"))</f>
        <v>0</v>
      </c>
    </row>
    <row r="1958" spans="1:31" s="256" customFormat="1" ht="22.2" customHeight="1" x14ac:dyDescent="0.3">
      <c r="A1958" s="66" t="str">
        <f>+IF(PROVEEDORES[[#This Row],[FECHA DE PAGO]]=PROVEEDORES[[#This Row],[FECHA DE FACTURACIÓN]],"DE CONTADO","CRÉDITO")</f>
        <v>CRÉDITO</v>
      </c>
      <c r="B1958" s="38" t="str">
        <f>+IF((PROVEEDORES[[#This Row],[FECHA DE PAGO]]-PROVEEDORES[[#This Row],[FECHA DE FACTURACIÓN]])&gt;PROVEEDORES[[#This Row],[PLAZO Días]],"PAGO VENCIDO")</f>
        <v>PAGO VENCIDO</v>
      </c>
      <c r="C1958" s="20">
        <f>+VLOOKUP(PROVEEDORES[[#This Row],[PROVEEDOR]],TERCEROS_INFO[#All],2,FALSE)</f>
        <v>30</v>
      </c>
      <c r="D1958" s="25">
        <f>+SUMIFS(PROVEEDORES[Total],PROVEEDORES[PROVEEDOR],PROVEEDORES[[#This Row],[PROVEEDOR]],PROVEEDORES[FECHA DE PAGO],"")</f>
        <v>3430770</v>
      </c>
      <c r="E1958" s="25"/>
      <c r="F195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958" s="161">
        <v>44624</v>
      </c>
      <c r="H1958" s="26" t="s">
        <v>1448</v>
      </c>
      <c r="I1958" s="161">
        <v>44589</v>
      </c>
      <c r="J1958" s="35">
        <v>26650</v>
      </c>
      <c r="K1958" s="21">
        <v>4800000</v>
      </c>
      <c r="L1958" s="21"/>
      <c r="M1958" s="22">
        <f>(PROVEEDORES[[#This Row],[SUBTOTAL]]-PROVEEDORES[[#This Row],[descuento sobre subtotal]])*VLOOKUP(PROVEEDORES[[#This Row],[PROVEEDOR]],TERCEROS_INFO[#All],3,FALSE)</f>
        <v>912000</v>
      </c>
      <c r="N1958" s="23"/>
      <c r="O1958" s="22">
        <f>+PROVEEDORES[[#This Row],[Descuento sobre subtotal %]]*(PROVEEDORES[[#This Row],[SUBTOTAL]]-PROVEEDORES[[#This Row],[descuento sobre subtotal]])</f>
        <v>0</v>
      </c>
      <c r="P1958" s="83">
        <v>2.5000000000000001E-2</v>
      </c>
      <c r="Q1958" s="22">
        <f>+PROVEEDORES[[#This Row],[Rete Fuente %]]*(PROVEEDORES[[#This Row],[SUBTOTAL]]-PROVEEDORES[[#This Row],[descuento sobre subtotal]])</f>
        <v>120000</v>
      </c>
      <c r="R1958" s="21">
        <v>5592000</v>
      </c>
      <c r="S19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8" s="68">
        <f ca="1">IF(PROVEEDORES[[#This Row],[FECHA DE PAGO]]=0,TODAY()-PROVEEDORES[[#This Row],[FECHA DE FACTURACIÓN]]-PROVEEDORES[[#This Row],[PLAZO Días]],0)</f>
        <v>0</v>
      </c>
      <c r="U1958" s="96">
        <f>+VLOOKUP(PROVEEDORES[[#This Row],[PROVEEDOR]],Terceros!$A:$D,4,FALSE)</f>
        <v>0</v>
      </c>
      <c r="V1958" s="97">
        <f>+YEAR(PROVEEDORES[[#This Row],[FECHA DE FACTURACIÓN]])</f>
        <v>2022</v>
      </c>
      <c r="W1958" s="97">
        <f>+MATCH(PROVEEDORES[[#This Row],[año facturado]],Retenciones!$1:$1,0)</f>
        <v>5</v>
      </c>
      <c r="X1958" s="98">
        <f>+VLOOKUP(PROVEEDORES[[#This Row],[ID RETENCION]],Retenciones!$A$1:$O$25,PROVEEDORES[[#This Row],[indicador de columna]],FALSE)</f>
        <v>0</v>
      </c>
      <c r="Y1958" s="99">
        <f>+VLOOKUP(PROVEEDORES[[#This Row],[ID RETENCION]],Retenciones!$A$1:$O$25,2,FALSE)</f>
        <v>0</v>
      </c>
      <c r="Z1958" s="125" t="b">
        <f>OR(COUNTIF(PROVEEDORES[[#This Row],[PROVEEDOR]],"*"&amp;'Palabra no opera'!$A$2&amp;"*"))</f>
        <v>0</v>
      </c>
      <c r="AA1958" s="253"/>
      <c r="AB1958" s="254"/>
      <c r="AC1958" s="254"/>
      <c r="AD1958" s="255"/>
      <c r="AE1958" s="244"/>
    </row>
    <row r="1959" spans="1:31" ht="22.2" customHeight="1" x14ac:dyDescent="0.3">
      <c r="A1959" s="72" t="str">
        <f>+IF(PROVEEDORES[[#This Row],[FECHA DE PAGO]]=PROVEEDORES[[#This Row],[FECHA DE FACTURACIÓN]],"DE CONTADO","CRÉDITO")</f>
        <v>CRÉDITO</v>
      </c>
      <c r="B1959" s="38" t="str">
        <f>+IF((PROVEEDORES[[#This Row],[FECHA DE PAGO]]-PROVEEDORES[[#This Row],[FECHA DE FACTURACIÓN]])&gt;PROVEEDORES[[#This Row],[PLAZO Días]],"PAGO VENCIDO")</f>
        <v>PAGO VENCIDO</v>
      </c>
      <c r="C1959" s="20">
        <f>+VLOOKUP(PROVEEDORES[[#This Row],[PROVEEDOR]],TERCEROS_INFO[#All],2,FALSE)</f>
        <v>30</v>
      </c>
      <c r="D1959" s="25">
        <f>+SUMIFS(PROVEEDORES[Total],PROVEEDORES[PROVEEDOR],PROVEEDORES[[#This Row],[PROVEEDOR]],PROVEEDORES[FECHA DE PAGO],"")</f>
        <v>3430770</v>
      </c>
      <c r="E1959" s="25"/>
      <c r="F195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959" s="161">
        <v>44806</v>
      </c>
      <c r="H1959" s="26" t="s">
        <v>1448</v>
      </c>
      <c r="I1959" s="161">
        <v>44770</v>
      </c>
      <c r="J1959" s="35">
        <v>33833</v>
      </c>
      <c r="K1959" s="21">
        <v>4800000</v>
      </c>
      <c r="L1959" s="21"/>
      <c r="M1959" s="22">
        <f>(PROVEEDORES[[#This Row],[SUBTOTAL]]-PROVEEDORES[[#This Row],[descuento sobre subtotal]])*VLOOKUP(PROVEEDORES[[#This Row],[PROVEEDOR]],TERCEROS_INFO[#All],3,FALSE)</f>
        <v>912000</v>
      </c>
      <c r="N1959" s="23"/>
      <c r="O1959" s="22">
        <f>+PROVEEDORES[[#This Row],[Descuento sobre subtotal %]]*(PROVEEDORES[[#This Row],[SUBTOTAL]]-PROVEEDORES[[#This Row],[descuento sobre subtotal]])</f>
        <v>0</v>
      </c>
      <c r="P1959" s="83">
        <v>2.5000000000000001E-2</v>
      </c>
      <c r="Q1959" s="22">
        <f>+PROVEEDORES[[#This Row],[Rete Fuente %]]*(PROVEEDORES[[#This Row],[SUBTOTAL]]-PROVEEDORES[[#This Row],[descuento sobre subtotal]])</f>
        <v>120000</v>
      </c>
      <c r="R1959" s="21">
        <f>+PROVEEDORES[[#This Row],[SUBTOTAL]]+PROVEEDORES[[#This Row],[IVA 19%]]-PROVEEDORES[[#This Row],[descuento sobre subtotal]]-PROVEEDORES[[#This Row],[Descuento sobre subtotal $2]]-PROVEEDORES[[#This Row],[Rete Fuente $]]</f>
        <v>5592000</v>
      </c>
      <c r="S195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9" s="68">
        <f ca="1">IF(PROVEEDORES[[#This Row],[FECHA DE PAGO]]=0,TODAY()-PROVEEDORES[[#This Row],[FECHA DE FACTURACIÓN]]-PROVEEDORES[[#This Row],[PLAZO Días]],0)</f>
        <v>0</v>
      </c>
      <c r="U1959" s="113">
        <f>+VLOOKUP(PROVEEDORES[[#This Row],[PROVEEDOR]],Terceros!$A:$D,4,FALSE)</f>
        <v>0</v>
      </c>
      <c r="V1959" s="114">
        <f>+YEAR(PROVEEDORES[[#This Row],[FECHA DE FACTURACIÓN]])</f>
        <v>2022</v>
      </c>
      <c r="W1959" s="114">
        <f>+MATCH(PROVEEDORES[[#This Row],[año facturado]],Retenciones!$1:$1,0)</f>
        <v>5</v>
      </c>
      <c r="X1959" s="115">
        <f>+VLOOKUP(PROVEEDORES[[#This Row],[ID RETENCION]],Retenciones!$A$1:$O$25,PROVEEDORES[[#This Row],[indicador de columna]],FALSE)</f>
        <v>0</v>
      </c>
      <c r="Y1959" s="116">
        <f>+VLOOKUP(PROVEEDORES[[#This Row],[ID RETENCION]],Retenciones!$A$1:$O$25,2,FALSE)</f>
        <v>0</v>
      </c>
      <c r="Z1959" s="125" t="b">
        <f>OR(COUNTIF(PROVEEDORES[[#This Row],[PROVEEDOR]],"*"&amp;'Palabra no opera'!$A$2&amp;"*"))</f>
        <v>0</v>
      </c>
    </row>
    <row r="1960" spans="1:31" ht="22.2" customHeight="1" x14ac:dyDescent="0.3">
      <c r="A1960" s="269" t="str">
        <f>+IF(PROVEEDORES[[#This Row],[FECHA DE PAGO]]=PROVEEDORES[[#This Row],[FECHA DE FACTURACIÓN]],"DE CONTADO","CRÉDITO")</f>
        <v>CRÉDITO</v>
      </c>
      <c r="B1960" s="38" t="b">
        <f>+IF((PROVEEDORES[[#This Row],[FECHA DE PAGO]]-PROVEEDORES[[#This Row],[FECHA DE FACTURACIÓN]])&gt;PROVEEDORES[[#This Row],[PLAZO Días]],"PAGO VENCIDO")</f>
        <v>0</v>
      </c>
      <c r="C1960" s="20">
        <f>+VLOOKUP(PROVEEDORES[[#This Row],[PROVEEDOR]],TERCEROS_INFO[#All],2,FALSE)</f>
        <v>30</v>
      </c>
      <c r="D1960" s="25">
        <f>+SUMIFS(PROVEEDORES[Total],PROVEEDORES[PROVEEDOR],PROVEEDORES[[#This Row],[PROVEEDOR]],PROVEEDORES[FECHA DE PAGO],"")</f>
        <v>23124164.219999999</v>
      </c>
      <c r="E1960" s="25"/>
      <c r="F196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1960" s="26" t="s">
        <v>18</v>
      </c>
      <c r="I1960" s="161">
        <v>44847</v>
      </c>
      <c r="J1960" s="161" t="s">
        <v>1792</v>
      </c>
      <c r="K1960" s="21">
        <v>4809073</v>
      </c>
      <c r="L1960" s="21"/>
      <c r="M1960" s="22">
        <f>(PROVEEDORES[[#This Row],[SUBTOTAL]]-PROVEEDORES[[#This Row],[descuento sobre subtotal]])*VLOOKUP(PROVEEDORES[[#This Row],[PROVEEDOR]],TERCEROS_INFO[#All],3,FALSE)</f>
        <v>913723.87</v>
      </c>
      <c r="N1960" s="23"/>
      <c r="O1960" s="22">
        <f>+PROVEEDORES[[#This Row],[Descuento sobre subtotal %]]*(PROVEEDORES[[#This Row],[SUBTOTAL]]-PROVEEDORES[[#This Row],[descuento sobre subtotal]])</f>
        <v>0</v>
      </c>
      <c r="P1960" s="83">
        <f>+IF(PROVEEDORES[[#This Row],[SUBTOTAL]]&lt;PROVEEDORES[[#This Row],[base retencion]],0,PROVEEDORES[[#This Row],[retención aplicada]])</f>
        <v>2.5000000000000001E-2</v>
      </c>
      <c r="Q1960" s="22">
        <f>+PROVEEDORES[[#This Row],[Rete Fuente %]]*(PROVEEDORES[[#This Row],[SUBTOTAL]]-PROVEEDORES[[#This Row],[descuento sobre subtotal]])</f>
        <v>120226.82500000001</v>
      </c>
      <c r="R1960" s="21">
        <f>+PROVEEDORES[[#This Row],[SUBTOTAL]]+PROVEEDORES[[#This Row],[IVA 19%]]-PROVEEDORES[[#This Row],[descuento sobre subtotal]]-PROVEEDORES[[#This Row],[Descuento sobre subtotal $2]]-PROVEEDORES[[#This Row],[Rete Fuente $]]</f>
        <v>5602570.0449999999</v>
      </c>
      <c r="S1960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960" s="68">
        <f ca="1">IF(PROVEEDORES[[#This Row],[FECHA DE PAGO]]=0,TODAY()-PROVEEDORES[[#This Row],[FECHA DE FACTURACIÓN]]-PROVEEDORES[[#This Row],[PLAZO Días]],0)</f>
        <v>-2</v>
      </c>
      <c r="U1960" s="113" t="str">
        <f>+VLOOKUP(PROVEEDORES[[#This Row],[PROVEEDOR]],Terceros!$A:$D,4,FALSE)</f>
        <v>2,5% con base</v>
      </c>
      <c r="V1960" s="114">
        <f>+YEAR(PROVEEDORES[[#This Row],[FECHA DE FACTURACIÓN]])</f>
        <v>2022</v>
      </c>
      <c r="W1960" s="114">
        <f>+MATCH(PROVEEDORES[[#This Row],[año facturado]],Retenciones!$1:$1,0)</f>
        <v>5</v>
      </c>
      <c r="X1960" s="115">
        <f>+VLOOKUP(PROVEEDORES[[#This Row],[ID RETENCION]],Retenciones!$A$1:$O$25,PROVEEDORES[[#This Row],[indicador de columna]],FALSE)</f>
        <v>1026000</v>
      </c>
      <c r="Y1960" s="116">
        <f>+VLOOKUP(PROVEEDORES[[#This Row],[ID RETENCION]],Retenciones!$A$1:$O$25,2,FALSE)</f>
        <v>2.5000000000000001E-2</v>
      </c>
      <c r="Z1960" s="125" t="b">
        <f>OR(COUNTIF(PROVEEDORES[[#This Row],[PROVEEDOR]],"*"&amp;'Palabra no opera'!$A$2&amp;"*"))</f>
        <v>0</v>
      </c>
    </row>
    <row r="1961" spans="1:31" ht="22.2" customHeight="1" x14ac:dyDescent="0.3">
      <c r="A1961" s="269" t="str">
        <f>+IF(PROVEEDORES[[#This Row],[FECHA DE PAGO]]=PROVEEDORES[[#This Row],[FECHA DE FACTURACIÓN]],"DE CONTADO","CRÉDITO")</f>
        <v>CRÉDITO</v>
      </c>
      <c r="B1961" s="38" t="str">
        <f>+IF((PROVEEDORES[[#This Row],[FECHA DE PAGO]]-PROVEEDORES[[#This Row],[FECHA DE FACTURACIÓN]])&gt;PROVEEDORES[[#This Row],[PLAZO Días]],"PAGO VENCIDO")</f>
        <v>PAGO VENCIDO</v>
      </c>
      <c r="C1961" s="20">
        <f>+VLOOKUP(PROVEEDORES[[#This Row],[PROVEEDOR]],TERCEROS_INFO[#All],2,FALSE)</f>
        <v>10</v>
      </c>
      <c r="D1961" s="25">
        <f>+SUMIFS(PROVEEDORES[Total],PROVEEDORES[PROVEEDOR],PROVEEDORES[[#This Row],[PROVEEDOR]],PROVEEDORES[FECHA DE PAGO],"")</f>
        <v>0</v>
      </c>
      <c r="E1961" s="25"/>
      <c r="F1961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961" s="161">
        <v>44858</v>
      </c>
      <c r="H1961" s="26" t="s">
        <v>1776</v>
      </c>
      <c r="I1961" s="161">
        <v>44837</v>
      </c>
      <c r="J1961" s="35">
        <v>20</v>
      </c>
      <c r="K1961" s="21">
        <v>5628700</v>
      </c>
      <c r="L1961" s="21"/>
      <c r="M1961" s="22">
        <f>(PROVEEDORES[[#This Row],[SUBTOTAL]]-PROVEEDORES[[#This Row],[descuento sobre subtotal]])*VLOOKUP(PROVEEDORES[[#This Row],[PROVEEDOR]],TERCEROS_INFO[#All],3,FALSE)</f>
        <v>0</v>
      </c>
      <c r="N1961" s="23"/>
      <c r="O1961" s="22">
        <f>+PROVEEDORES[[#This Row],[Descuento sobre subtotal %]]*(PROVEEDORES[[#This Row],[SUBTOTAL]]-PROVEEDORES[[#This Row],[descuento sobre subtotal]])</f>
        <v>0</v>
      </c>
      <c r="P1961" s="83">
        <f>+IF(PROVEEDORES[[#This Row],[SUBTOTAL]]&lt;PROVEEDORES[[#This Row],[base retencion]],0,PROVEEDORES[[#This Row],[retención aplicada]])</f>
        <v>0</v>
      </c>
      <c r="Q1961" s="22">
        <f>+PROVEEDORES[[#This Row],[Rete Fuente %]]*(PROVEEDORES[[#This Row],[SUBTOTAL]]-PROVEEDORES[[#This Row],[descuento sobre subtotal]])</f>
        <v>0</v>
      </c>
      <c r="R1961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961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1" s="68">
        <f ca="1">IF(PROVEEDORES[[#This Row],[FECHA DE PAGO]]=0,TODAY()-PROVEEDORES[[#This Row],[FECHA DE FACTURACIÓN]]-PROVEEDORES[[#This Row],[PLAZO Días]],0)</f>
        <v>0</v>
      </c>
      <c r="U1961" s="113">
        <f>+VLOOKUP(PROVEEDORES[[#This Row],[PROVEEDOR]],Terceros!$A:$D,4,FALSE)</f>
        <v>0</v>
      </c>
      <c r="V1961" s="114">
        <f>+YEAR(PROVEEDORES[[#This Row],[FECHA DE FACTURACIÓN]])</f>
        <v>2022</v>
      </c>
      <c r="W1961" s="114">
        <f>+MATCH(PROVEEDORES[[#This Row],[año facturado]],Retenciones!$1:$1,0)</f>
        <v>5</v>
      </c>
      <c r="X1961" s="115">
        <f>+VLOOKUP(PROVEEDORES[[#This Row],[ID RETENCION]],Retenciones!$A$1:$O$25,PROVEEDORES[[#This Row],[indicador de columna]],FALSE)</f>
        <v>0</v>
      </c>
      <c r="Y1961" s="116">
        <f>+VLOOKUP(PROVEEDORES[[#This Row],[ID RETENCION]],Retenciones!$A$1:$O$25,2,FALSE)</f>
        <v>0</v>
      </c>
      <c r="Z1961" s="125" t="b">
        <f>OR(COUNTIF(PROVEEDORES[[#This Row],[PROVEEDOR]],"*"&amp;'Palabra no opera'!$A$2&amp;"*"))</f>
        <v>1</v>
      </c>
    </row>
    <row r="1962" spans="1:31" ht="22.2" customHeight="1" x14ac:dyDescent="0.3">
      <c r="A1962" s="72" t="str">
        <f>+IF(PROVEEDORES[[#This Row],[FECHA DE PAGO]]=PROVEEDORES[[#This Row],[FECHA DE FACTURACIÓN]],"DE CONTADO","CRÉDITO")</f>
        <v>CRÉDITO</v>
      </c>
      <c r="B1962" s="38" t="str">
        <f>+IF((PROVEEDORES[[#This Row],[FECHA DE PAGO]]-PROVEEDORES[[#This Row],[FECHA DE FACTURACIÓN]])&gt;PROVEEDORES[[#This Row],[PLAZO Días]],"PAGO VENCIDO")</f>
        <v>PAGO VENCIDO</v>
      </c>
      <c r="C1962" s="20">
        <f>+VLOOKUP(PROVEEDORES[[#This Row],[PROVEEDOR]],TERCEROS_INFO[#All],2,FALSE)</f>
        <v>30</v>
      </c>
      <c r="D1962" s="25">
        <f>+SUMIFS(PROVEEDORES[Total],PROVEEDORES[PROVEEDOR],PROVEEDORES[[#This Row],[PROVEEDOR]],PROVEEDORES[FECHA DE PAGO],"")</f>
        <v>0</v>
      </c>
      <c r="E1962" s="25"/>
      <c r="F1962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62" s="161">
        <v>44867</v>
      </c>
      <c r="H1962" s="26" t="s">
        <v>407</v>
      </c>
      <c r="I1962" s="161">
        <v>44767</v>
      </c>
      <c r="J1962" s="35">
        <v>157</v>
      </c>
      <c r="K1962" s="21">
        <v>4849845</v>
      </c>
      <c r="L1962" s="21"/>
      <c r="M1962" s="22">
        <f>(PROVEEDORES[[#This Row],[SUBTOTAL]]-PROVEEDORES[[#This Row],[descuento sobre subtotal]])*VLOOKUP(PROVEEDORES[[#This Row],[PROVEEDOR]],TERCEROS_INFO[#All],3,FALSE)</f>
        <v>921470.55</v>
      </c>
      <c r="N1962" s="23"/>
      <c r="O1962" s="22">
        <f>+PROVEEDORES[[#This Row],[Descuento sobre subtotal %]]*(PROVEEDORES[[#This Row],[SUBTOTAL]]-PROVEEDORES[[#This Row],[descuento sobre subtotal]])</f>
        <v>0</v>
      </c>
      <c r="P1962" s="83">
        <f>+IF(PROVEEDORES[[#This Row],[SUBTOTAL]]&lt;PROVEEDORES[[#This Row],[base retencion]],0,PROVEEDORES[[#This Row],[retención aplicada]])</f>
        <v>2.5000000000000001E-2</v>
      </c>
      <c r="Q1962" s="22">
        <f>+PROVEEDORES[[#This Row],[Rete Fuente %]]*(PROVEEDORES[[#This Row],[SUBTOTAL]]-PROVEEDORES[[#This Row],[descuento sobre subtotal]])</f>
        <v>121246.125</v>
      </c>
      <c r="R1962" s="21">
        <f>+PROVEEDORES[[#This Row],[SUBTOTAL]]+PROVEEDORES[[#This Row],[IVA 19%]]-PROVEEDORES[[#This Row],[descuento sobre subtotal]]-PROVEEDORES[[#This Row],[Descuento sobre subtotal $2]]-PROVEEDORES[[#This Row],[Rete Fuente $]]</f>
        <v>5650069.4249999998</v>
      </c>
      <c r="S196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2" s="68">
        <f ca="1">IF(PROVEEDORES[[#This Row],[FECHA DE PAGO]]=0,TODAY()-PROVEEDORES[[#This Row],[FECHA DE FACTURACIÓN]]-PROVEEDORES[[#This Row],[PLAZO Días]],0)</f>
        <v>0</v>
      </c>
      <c r="U1962" s="113" t="str">
        <f>+VLOOKUP(PROVEEDORES[[#This Row],[PROVEEDOR]],Terceros!$A:$D,4,FALSE)</f>
        <v>2,5% con base</v>
      </c>
      <c r="V1962" s="114">
        <f>+YEAR(PROVEEDORES[[#This Row],[FECHA DE FACTURACIÓN]])</f>
        <v>2022</v>
      </c>
      <c r="W1962" s="114">
        <f>+MATCH(PROVEEDORES[[#This Row],[año facturado]],Retenciones!$1:$1,0)</f>
        <v>5</v>
      </c>
      <c r="X1962" s="115">
        <f>+VLOOKUP(PROVEEDORES[[#This Row],[ID RETENCION]],Retenciones!$A$1:$O$25,PROVEEDORES[[#This Row],[indicador de columna]],FALSE)</f>
        <v>1026000</v>
      </c>
      <c r="Y1962" s="116">
        <f>+VLOOKUP(PROVEEDORES[[#This Row],[ID RETENCION]],Retenciones!$A$1:$O$25,2,FALSE)</f>
        <v>2.5000000000000001E-2</v>
      </c>
      <c r="Z1962" s="125" t="b">
        <f>OR(COUNTIF(PROVEEDORES[[#This Row],[PROVEEDOR]],"*"&amp;'Palabra no opera'!$A$2&amp;"*"))</f>
        <v>0</v>
      </c>
    </row>
    <row r="1963" spans="1:31" ht="22.2" customHeight="1" x14ac:dyDescent="0.3">
      <c r="A1963" s="66" t="str">
        <f>+IF(PROVEEDORES[[#This Row],[FECHA DE PAGO]]=PROVEEDORES[[#This Row],[FECHA DE FACTURACIÓN]],"DE CONTADO","CRÉDITO")</f>
        <v>CRÉDITO</v>
      </c>
      <c r="B1963" s="38" t="str">
        <f>+IF((PROVEEDORES[[#This Row],[FECHA DE PAGO]]-PROVEEDORES[[#This Row],[FECHA DE FACTURACIÓN]])&gt;PROVEEDORES[[#This Row],[PLAZO Días]],"PAGO VENCIDO")</f>
        <v>PAGO VENCIDO</v>
      </c>
      <c r="C1963" s="20">
        <f>+VLOOKUP(PROVEEDORES[[#This Row],[PROVEEDOR]],TERCEROS_INFO[#All],2,FALSE)</f>
        <v>30</v>
      </c>
      <c r="D1963" s="25">
        <f>+SUMIFS(PROVEEDORES[Total],PROVEEDORES[PROVEEDOR],PROVEEDORES[[#This Row],[PROVEEDOR]],PROVEEDORES[FECHA DE PAGO],"")</f>
        <v>2456000</v>
      </c>
      <c r="E1963" s="25"/>
      <c r="F1963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963" s="161">
        <v>44658</v>
      </c>
      <c r="H1963" s="26" t="s">
        <v>623</v>
      </c>
      <c r="I1963" s="161">
        <v>44573</v>
      </c>
      <c r="J1963" s="35" t="s">
        <v>1556</v>
      </c>
      <c r="K1963" s="21">
        <v>5650500</v>
      </c>
      <c r="L1963" s="21"/>
      <c r="M1963" s="22">
        <f>(PROVEEDORES[[#This Row],[SUBTOTAL]]-PROVEEDORES[[#This Row],[descuento sobre subtotal]])*VLOOKUP(PROVEEDORES[[#This Row],[PROVEEDOR]],TERCEROS_INFO[#All],3,FALSE)</f>
        <v>0</v>
      </c>
      <c r="N1963" s="23"/>
      <c r="O1963" s="22">
        <f>+PROVEEDORES[[#This Row],[Descuento sobre subtotal %]]*(PROVEEDORES[[#This Row],[SUBTOTAL]]-PROVEEDORES[[#This Row],[descuento sobre subtotal]])</f>
        <v>0</v>
      </c>
      <c r="P1963" s="83">
        <f>+IF(PROVEEDORES[[#This Row],[SUBTOTAL]]&lt;PROVEEDORES[[#This Row],[base retencion]],0,PROVEEDORES[[#This Row],[retención aplicada]])</f>
        <v>0</v>
      </c>
      <c r="Q1963" s="22">
        <f>+PROVEEDORES[[#This Row],[Rete Fuente %]]*(PROVEEDORES[[#This Row],[SUBTOTAL]]-PROVEEDORES[[#This Row],[descuento sobre subtotal]])</f>
        <v>0</v>
      </c>
      <c r="R1963" s="21">
        <v>5650500</v>
      </c>
      <c r="S19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3" s="68">
        <f ca="1">IF(PROVEEDORES[[#This Row],[FECHA DE PAGO]]=0,TODAY()-PROVEEDORES[[#This Row],[FECHA DE FACTURACIÓN]]-PROVEEDORES[[#This Row],[PLAZO Días]],0)</f>
        <v>0</v>
      </c>
      <c r="U1963" s="96">
        <f>+VLOOKUP(PROVEEDORES[[#This Row],[PROVEEDOR]],Terceros!$A:$D,4,FALSE)</f>
        <v>0</v>
      </c>
      <c r="V1963" s="97">
        <f>+YEAR(PROVEEDORES[[#This Row],[FECHA DE FACTURACIÓN]])</f>
        <v>2022</v>
      </c>
      <c r="W1963" s="97">
        <f>+MATCH(PROVEEDORES[[#This Row],[año facturado]],Retenciones!$1:$1,0)</f>
        <v>5</v>
      </c>
      <c r="X1963" s="98">
        <f>+VLOOKUP(PROVEEDORES[[#This Row],[ID RETENCION]],Retenciones!$A$1:$O$25,PROVEEDORES[[#This Row],[indicador de columna]],FALSE)</f>
        <v>0</v>
      </c>
      <c r="Y1963" s="99">
        <f>+VLOOKUP(PROVEEDORES[[#This Row],[ID RETENCION]],Retenciones!$A$1:$O$25,2,FALSE)</f>
        <v>0</v>
      </c>
      <c r="Z1963" s="125" t="b">
        <f>OR(COUNTIF(PROVEEDORES[[#This Row],[PROVEEDOR]],"*"&amp;'Palabra no opera'!$A$2&amp;"*"))</f>
        <v>0</v>
      </c>
    </row>
    <row r="1964" spans="1:31" ht="22.2" customHeight="1" x14ac:dyDescent="0.3">
      <c r="A1964" s="157" t="str">
        <f>+IF(PROVEEDORES[[#This Row],[FECHA DE PAGO]]=PROVEEDORES[[#This Row],[FECHA DE FACTURACIÓN]],"DE CONTADO","CRÉDITO")</f>
        <v>CRÉDITO</v>
      </c>
      <c r="B1964" s="38" t="str">
        <f>+IF((PROVEEDORES[[#This Row],[FECHA DE PAGO]]-PROVEEDORES[[#This Row],[FECHA DE FACTURACIÓN]])&gt;PROVEEDORES[[#This Row],[PLAZO Días]],"PAGO VENCIDO")</f>
        <v>PAGO VENCIDO</v>
      </c>
      <c r="C1964" s="20">
        <f>+VLOOKUP(PROVEEDORES[[#This Row],[PROVEEDOR]],TERCEROS_INFO[#All],2,FALSE)</f>
        <v>30</v>
      </c>
      <c r="D1964" s="25">
        <f>+SUMIFS(PROVEEDORES[Total],PROVEEDORES[PROVEEDOR],PROVEEDORES[[#This Row],[PROVEEDOR]],PROVEEDORES[FECHA DE PAGO],"")</f>
        <v>23124164.219999999</v>
      </c>
      <c r="E1964" s="25"/>
      <c r="F196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64" s="161">
        <v>44758</v>
      </c>
      <c r="H1964" s="26" t="s">
        <v>18</v>
      </c>
      <c r="I1964" s="161">
        <v>44713</v>
      </c>
      <c r="J1964" s="35">
        <v>1054375</v>
      </c>
      <c r="K1964" s="21">
        <v>4853296</v>
      </c>
      <c r="L1964" s="21"/>
      <c r="M1964" s="22">
        <f>(PROVEEDORES[[#This Row],[SUBTOTAL]]-PROVEEDORES[[#This Row],[descuento sobre subtotal]])*VLOOKUP(PROVEEDORES[[#This Row],[PROVEEDOR]],TERCEROS_INFO[#All],3,FALSE)</f>
        <v>922126.24</v>
      </c>
      <c r="N1964" s="23"/>
      <c r="O1964" s="22">
        <f>+PROVEEDORES[[#This Row],[Descuento sobre subtotal %]]*(PROVEEDORES[[#This Row],[SUBTOTAL]]-PROVEEDORES[[#This Row],[descuento sobre subtotal]])</f>
        <v>0</v>
      </c>
      <c r="P1964" s="83">
        <f>+IF(PROVEEDORES[[#This Row],[SUBTOTAL]]&lt;PROVEEDORES[[#This Row],[base retencion]],0,PROVEEDORES[[#This Row],[retención aplicada]])</f>
        <v>2.5000000000000001E-2</v>
      </c>
      <c r="Q1964" s="22">
        <f>+PROVEEDORES[[#This Row],[Rete Fuente %]]*(PROVEEDORES[[#This Row],[SUBTOTAL]]-PROVEEDORES[[#This Row],[descuento sobre subtotal]])</f>
        <v>121332.40000000001</v>
      </c>
      <c r="R1964" s="21">
        <f>+PROVEEDORES[[#This Row],[SUBTOTAL]]+PROVEEDORES[[#This Row],[IVA 19%]]-PROVEEDORES[[#This Row],[descuento sobre subtotal]]-PROVEEDORES[[#This Row],[Descuento sobre subtotal $2]]-PROVEEDORES[[#This Row],[Rete Fuente $]]</f>
        <v>5654089.8399999999</v>
      </c>
      <c r="S1964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4" s="68">
        <f ca="1">IF(PROVEEDORES[[#This Row],[FECHA DE PAGO]]=0,TODAY()-PROVEEDORES[[#This Row],[FECHA DE FACTURACIÓN]]-PROVEEDORES[[#This Row],[PLAZO Días]],0)</f>
        <v>0</v>
      </c>
      <c r="U1964" s="113" t="str">
        <f>+VLOOKUP(PROVEEDORES[[#This Row],[PROVEEDOR]],Terceros!$A:$D,4,FALSE)</f>
        <v>2,5% con base</v>
      </c>
      <c r="V1964" s="114">
        <f>+YEAR(PROVEEDORES[[#This Row],[FECHA DE FACTURACIÓN]])</f>
        <v>2022</v>
      </c>
      <c r="W1964" s="114">
        <f>+MATCH(PROVEEDORES[[#This Row],[año facturado]],Retenciones!$1:$1,0)</f>
        <v>5</v>
      </c>
      <c r="X1964" s="115">
        <f>+VLOOKUP(PROVEEDORES[[#This Row],[ID RETENCION]],Retenciones!$A$1:$O$25,PROVEEDORES[[#This Row],[indicador de columna]],FALSE)</f>
        <v>1026000</v>
      </c>
      <c r="Y1964" s="116">
        <f>+VLOOKUP(PROVEEDORES[[#This Row],[ID RETENCION]],Retenciones!$A$1:$O$25,2,FALSE)</f>
        <v>2.5000000000000001E-2</v>
      </c>
      <c r="Z1964" s="125" t="b">
        <f>OR(COUNTIF(PROVEEDORES[[#This Row],[PROVEEDOR]],"*"&amp;'Palabra no opera'!$A$2&amp;"*"))</f>
        <v>0</v>
      </c>
    </row>
    <row r="1965" spans="1:31" ht="22.2" customHeight="1" x14ac:dyDescent="0.3">
      <c r="A1965" s="66" t="str">
        <f>+IF(PROVEEDORES[[#This Row],[FECHA DE PAGO]]=PROVEEDORES[[#This Row],[FECHA DE FACTURACIÓN]],"DE CONTADO","CRÉDITO")</f>
        <v>CRÉDITO</v>
      </c>
      <c r="B1965" s="38" t="b">
        <f>+IF((PROVEEDORES[[#This Row],[FECHA DE PAGO]]-PROVEEDORES[[#This Row],[FECHA DE FACTURACIÓN]])&gt;PROVEEDORES[[#This Row],[PLAZO Días]],"PAGO VENCIDO")</f>
        <v>0</v>
      </c>
      <c r="C1965" s="20">
        <f>+VLOOKUP(PROVEEDORES[[#This Row],[PROVEEDOR]],TERCEROS_INFO[#All],2,FALSE)</f>
        <v>30</v>
      </c>
      <c r="D1965" s="25">
        <f>+SUMIFS(PROVEEDORES[Total],PROVEEDORES[PROVEEDOR],PROVEEDORES[[#This Row],[PROVEEDOR]],PROVEEDORES[FECHA DE PAGO],"")</f>
        <v>5272763.2050000001</v>
      </c>
      <c r="E1965" s="25"/>
      <c r="F196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65" s="161">
        <v>44558</v>
      </c>
      <c r="H1965" s="26" t="s">
        <v>11</v>
      </c>
      <c r="I1965" s="161">
        <v>44533</v>
      </c>
      <c r="J1965" s="35" t="s">
        <v>556</v>
      </c>
      <c r="K1965" s="21">
        <v>4995000</v>
      </c>
      <c r="L1965" s="21"/>
      <c r="M1965" s="22">
        <f>(PROVEEDORES[[#This Row],[SUBTOTAL]]-PROVEEDORES[[#This Row],[descuento sobre subtotal]])*VLOOKUP(PROVEEDORES[[#This Row],[PROVEEDOR]],TERCEROS_INFO[#All],3,FALSE)</f>
        <v>949050</v>
      </c>
      <c r="N1965" s="23"/>
      <c r="O1965" s="22">
        <f>+PROVEEDORES[[#This Row],[Descuento sobre subtotal %]]*(PROVEEDORES[[#This Row],[SUBTOTAL]]-PROVEEDORES[[#This Row],[descuento sobre subtotal]])</f>
        <v>0</v>
      </c>
      <c r="P1965" s="83">
        <f>+IF(PROVEEDORES[[#This Row],[SUBTOTAL]]&lt;PROVEEDORES[[#This Row],[base retencion]],0,PROVEEDORES[[#This Row],[retención aplicada]])</f>
        <v>2.5000000000000001E-2</v>
      </c>
      <c r="Q1965" s="22">
        <f>+PROVEEDORES[[#This Row],[Rete Fuente %]]*(PROVEEDORES[[#This Row],[SUBTOTAL]]-PROVEEDORES[[#This Row],[descuento sobre subtotal]])</f>
        <v>124875</v>
      </c>
      <c r="R1965" s="21">
        <f>+PROVEEDORES[[#This Row],[SUBTOTAL]]+PROVEEDORES[[#This Row],[IVA 19%]]-PROVEEDORES[[#This Row],[descuento sobre subtotal]]-PROVEEDORES[[#This Row],[Descuento sobre subtotal $2]]-PROVEEDORES[[#This Row],[Rete Fuente $]]</f>
        <v>5819175</v>
      </c>
      <c r="S196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5" s="68">
        <f ca="1">IF(PROVEEDORES[[#This Row],[FECHA DE PAGO]]=0,TODAY()-PROVEEDORES[[#This Row],[FECHA DE FACTURACIÓN]]-PROVEEDORES[[#This Row],[PLAZO Días]],0)</f>
        <v>0</v>
      </c>
      <c r="U1965" s="96" t="str">
        <f>+VLOOKUP(PROVEEDORES[[#This Row],[PROVEEDOR]],Terceros!$A:$D,4,FALSE)</f>
        <v>2,5% con base</v>
      </c>
      <c r="V1965" s="97">
        <f>+YEAR(PROVEEDORES[[#This Row],[FECHA DE FACTURACIÓN]])</f>
        <v>2021</v>
      </c>
      <c r="W1965" s="97">
        <f>+MATCH(PROVEEDORES[[#This Row],[año facturado]],Retenciones!$1:$1,0)</f>
        <v>4</v>
      </c>
      <c r="X1965" s="98">
        <f>+VLOOKUP(PROVEEDORES[[#This Row],[ID RETENCION]],Retenciones!$A$1:$O$25,PROVEEDORES[[#This Row],[indicador de columna]],FALSE)</f>
        <v>980000</v>
      </c>
      <c r="Y1965" s="99">
        <f>+VLOOKUP(PROVEEDORES[[#This Row],[ID RETENCION]],Retenciones!$A$1:$O$25,2,FALSE)</f>
        <v>2.5000000000000001E-2</v>
      </c>
      <c r="Z1965" s="127" t="b">
        <f>OR(COUNTIF(PROVEEDORES[[#This Row],[PROVEEDOR]],"*"&amp;'Palabra no opera'!$A$2&amp;"*"))</f>
        <v>0</v>
      </c>
    </row>
    <row r="1966" spans="1:31" ht="22.2" customHeight="1" x14ac:dyDescent="0.3">
      <c r="A1966" s="221" t="str">
        <f>+IF(PROVEEDORES[[#This Row],[FECHA DE PAGO]]=PROVEEDORES[[#This Row],[FECHA DE FACTURACIÓN]],"DE CONTADO","CRÉDITO")</f>
        <v>CRÉDITO</v>
      </c>
      <c r="B1966" s="38" t="b">
        <f>+IF((PROVEEDORES[[#This Row],[FECHA DE PAGO]]-PROVEEDORES[[#This Row],[FECHA DE FACTURACIÓN]])&gt;PROVEEDORES[[#This Row],[PLAZO Días]],"PAGO VENCIDO")</f>
        <v>0</v>
      </c>
      <c r="C1966" s="20">
        <f>+VLOOKUP(PROVEEDORES[[#This Row],[PROVEEDOR]],TERCEROS_INFO[#All],2,FALSE)</f>
        <v>45</v>
      </c>
      <c r="D1966" s="25">
        <f>+SUMIFS(PROVEEDORES[Total],PROVEEDORES[PROVEEDOR],PROVEEDORES[[#This Row],[PROVEEDOR]],PROVEEDORES[FECHA DE PAGO],"")</f>
        <v>31891814.359999999</v>
      </c>
      <c r="E1966" s="25"/>
      <c r="F196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1966" s="26" t="s">
        <v>19</v>
      </c>
      <c r="I1966" s="161">
        <v>44823</v>
      </c>
      <c r="J1966" s="35" t="s">
        <v>1675</v>
      </c>
      <c r="K1966" s="21">
        <v>4903680</v>
      </c>
      <c r="L1966" s="21"/>
      <c r="M1966" s="22">
        <f>(PROVEEDORES[[#This Row],[SUBTOTAL]]-PROVEEDORES[[#This Row],[descuento sobre subtotal]])*VLOOKUP(PROVEEDORES[[#This Row],[PROVEEDOR]],TERCEROS_INFO[#All],3,FALSE)</f>
        <v>931699.19999999995</v>
      </c>
      <c r="N1966" s="23"/>
      <c r="O1966" s="22">
        <f>+PROVEEDORES[[#This Row],[Descuento sobre subtotal %]]*(PROVEEDORES[[#This Row],[SUBTOTAL]]-PROVEEDORES[[#This Row],[descuento sobre subtotal]])</f>
        <v>0</v>
      </c>
      <c r="P1966" s="83">
        <f>+IF(PROVEEDORES[[#This Row],[SUBTOTAL]]&lt;PROVEEDORES[[#This Row],[base retencion]],0,PROVEEDORES[[#This Row],[retención aplicada]])</f>
        <v>0</v>
      </c>
      <c r="Q1966" s="22">
        <f>+PROVEEDORES[[#This Row],[Rete Fuente %]]*(PROVEEDORES[[#This Row],[SUBTOTAL]]-PROVEEDORES[[#This Row],[descuento sobre subtotal]])</f>
        <v>0</v>
      </c>
      <c r="R1966" s="21">
        <f>+PROVEEDORES[[#This Row],[SUBTOTAL]]+PROVEEDORES[[#This Row],[IVA 19%]]-PROVEEDORES[[#This Row],[descuento sobre subtotal]]-PROVEEDORES[[#This Row],[Descuento sobre subtotal $2]]-PROVEEDORES[[#This Row],[Rete Fuente $]]</f>
        <v>5835379.2000000002</v>
      </c>
      <c r="S1966" s="22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966" s="68">
        <f ca="1">IF(PROVEEDORES[[#This Row],[FECHA DE PAGO]]=0,TODAY()-PROVEEDORES[[#This Row],[FECHA DE FACTURACIÓN]]-PROVEEDORES[[#This Row],[PLAZO Días]],0)</f>
        <v>7</v>
      </c>
      <c r="U1966" s="113">
        <f>+VLOOKUP(PROVEEDORES[[#This Row],[PROVEEDOR]],Terceros!$A:$D,4,FALSE)</f>
        <v>0</v>
      </c>
      <c r="V1966" s="114">
        <f>+YEAR(PROVEEDORES[[#This Row],[FECHA DE FACTURACIÓN]])</f>
        <v>2022</v>
      </c>
      <c r="W1966" s="114">
        <f>+MATCH(PROVEEDORES[[#This Row],[año facturado]],Retenciones!$1:$1,0)</f>
        <v>5</v>
      </c>
      <c r="X1966" s="115">
        <f>+VLOOKUP(PROVEEDORES[[#This Row],[ID RETENCION]],Retenciones!$A$1:$O$25,PROVEEDORES[[#This Row],[indicador de columna]],FALSE)</f>
        <v>0</v>
      </c>
      <c r="Y1966" s="116">
        <f>+VLOOKUP(PROVEEDORES[[#This Row],[ID RETENCION]],Retenciones!$A$1:$O$25,2,FALSE)</f>
        <v>0</v>
      </c>
      <c r="Z1966" s="125" t="b">
        <f>OR(COUNTIF(PROVEEDORES[[#This Row],[PROVEEDOR]],"*"&amp;'Palabra no opera'!$A$2&amp;"*"))</f>
        <v>0</v>
      </c>
    </row>
    <row r="1967" spans="1:31" ht="22.2" customHeight="1" x14ac:dyDescent="0.3">
      <c r="A1967" s="66" t="str">
        <f>+IF(PROVEEDORES[[#This Row],[FECHA DE PAGO]]=PROVEEDORES[[#This Row],[FECHA DE FACTURACIÓN]],"DE CONTADO","CRÉDITO")</f>
        <v>CRÉDITO</v>
      </c>
      <c r="B1967" s="38" t="str">
        <f>+IF((PROVEEDORES[[#This Row],[FECHA DE PAGO]]-PROVEEDORES[[#This Row],[FECHA DE FACTURACIÓN]])&gt;PROVEEDORES[[#This Row],[PLAZO Días]],"PAGO VENCIDO")</f>
        <v>PAGO VENCIDO</v>
      </c>
      <c r="C1967" s="20">
        <f>+VLOOKUP(PROVEEDORES[[#This Row],[PROVEEDOR]],TERCEROS_INFO[#All],2,FALSE)</f>
        <v>60</v>
      </c>
      <c r="D1967" s="25">
        <f>+SUMIFS(PROVEEDORES[Total],PROVEEDORES[PROVEEDOR],PROVEEDORES[[#This Row],[PROVEEDOR]],PROVEEDORES[FECHA DE PAGO],"")</f>
        <v>23264500</v>
      </c>
      <c r="E1967" s="25"/>
      <c r="F1967" s="58">
        <f>+VLOOKUP(PROVEEDORES[[#This Row],[PROVEEDOR]],
                       Terceros!$A:$F,
                       5,
                       FALSE)</f>
        <v>0</v>
      </c>
      <c r="G1967" s="161">
        <v>44497</v>
      </c>
      <c r="H1967" s="26" t="s">
        <v>1429</v>
      </c>
      <c r="I1967" s="161">
        <v>44428</v>
      </c>
      <c r="J1967" s="35" t="s">
        <v>457</v>
      </c>
      <c r="K1967" s="21">
        <v>5056294</v>
      </c>
      <c r="L1967" s="21"/>
      <c r="M1967" s="22">
        <f>(PROVEEDORES[[#This Row],[SUBTOTAL]]-PROVEEDORES[[#This Row],[descuento sobre subtotal]])*VLOOKUP(PROVEEDORES[[#This Row],[PROVEEDOR]],TERCEROS_INFO[#All],3,FALSE)</f>
        <v>960695.86</v>
      </c>
      <c r="N1967" s="23"/>
      <c r="O1967" s="22">
        <f>+PROVEEDORES[[#This Row],[Descuento sobre subtotal %]]*(PROVEEDORES[[#This Row],[SUBTOTAL]]-PROVEEDORES[[#This Row],[descuento sobre subtotal]])</f>
        <v>0</v>
      </c>
      <c r="P1967" s="83">
        <f>+IF(PROVEEDORES[[#This Row],[SUBTOTAL]]&lt;PROVEEDORES[[#This Row],[base retencion]],0,PROVEEDORES[[#This Row],[retención aplicada]])</f>
        <v>0</v>
      </c>
      <c r="Q1967" s="22">
        <f>+PROVEEDORES[[#This Row],[Rete Fuente %]]*(PROVEEDORES[[#This Row],[SUBTOTAL]]-PROVEEDORES[[#This Row],[descuento sobre subtotal]])</f>
        <v>0</v>
      </c>
      <c r="R1967" s="21">
        <f>+PROVEEDORES[[#This Row],[SUBTOTAL]]+PROVEEDORES[[#This Row],[IVA 19%]]-PROVEEDORES[[#This Row],[descuento sobre subtotal]]-PROVEEDORES[[#This Row],[Descuento sobre subtotal $2]]-PROVEEDORES[[#This Row],[Rete Fuente $]]</f>
        <v>6016989.8600000003</v>
      </c>
      <c r="S19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7" s="68">
        <f ca="1">IF(PROVEEDORES[[#This Row],[FECHA DE PAGO]]=0,TODAY()-PROVEEDORES[[#This Row],[FECHA DE FACTURACIÓN]]-PROVEEDORES[[#This Row],[PLAZO Días]],0)</f>
        <v>0</v>
      </c>
      <c r="U1967" s="96">
        <f>+VLOOKUP(PROVEEDORES[[#This Row],[PROVEEDOR]],Terceros!$A:$D,4,FALSE)</f>
        <v>0</v>
      </c>
      <c r="V1967" s="97">
        <f>+YEAR(PROVEEDORES[[#This Row],[FECHA DE FACTURACIÓN]])</f>
        <v>2021</v>
      </c>
      <c r="W1967" s="97">
        <f>+MATCH(PROVEEDORES[[#This Row],[año facturado]],Retenciones!$1:$1,0)</f>
        <v>4</v>
      </c>
      <c r="X1967" s="98">
        <f>+VLOOKUP(PROVEEDORES[[#This Row],[ID RETENCION]],Retenciones!$A$1:$O$25,PROVEEDORES[[#This Row],[indicador de columna]],FALSE)</f>
        <v>0</v>
      </c>
      <c r="Y1967" s="99">
        <f>+VLOOKUP(PROVEEDORES[[#This Row],[ID RETENCION]],Retenciones!$A$1:$O$25,2,FALSE)</f>
        <v>0</v>
      </c>
      <c r="Z1967" s="125" t="b">
        <f>OR(COUNTIF(PROVEEDORES[[#This Row],[PROVEEDOR]],"*"&amp;'Palabra no opera'!$A$2&amp;"*"))</f>
        <v>1</v>
      </c>
    </row>
    <row r="1968" spans="1:31" ht="22.2" customHeight="1" x14ac:dyDescent="0.3">
      <c r="A1968" s="66" t="str">
        <f>+IF(PROVEEDORES[[#This Row],[FECHA DE PAGO]]=PROVEEDORES[[#This Row],[FECHA DE FACTURACIÓN]],"DE CONTADO","CRÉDITO")</f>
        <v>CRÉDITO</v>
      </c>
      <c r="B1968" s="38" t="str">
        <f>+IF((PROVEEDORES[[#This Row],[FECHA DE PAGO]]-PROVEEDORES[[#This Row],[FECHA DE FACTURACIÓN]])&gt;PROVEEDORES[[#This Row],[PLAZO Días]],"PAGO VENCIDO")</f>
        <v>PAGO VENCIDO</v>
      </c>
      <c r="C1968" s="20">
        <f>+VLOOKUP(PROVEEDORES[[#This Row],[PROVEEDOR]],TERCEROS_INFO[#All],2,FALSE)</f>
        <v>60</v>
      </c>
      <c r="D1968" s="25">
        <f>+SUMIFS(PROVEEDORES[Total],PROVEEDORES[PROVEEDOR],PROVEEDORES[[#This Row],[PROVEEDOR]],PROVEEDORES[FECHA DE PAGO],"")</f>
        <v>23264500</v>
      </c>
      <c r="E1968" s="25"/>
      <c r="F1968" s="58">
        <f>+VLOOKUP(PROVEEDORES[[#This Row],[PROVEEDOR]],
                       Terceros!$A:$F,
                       5,
                       FALSE)</f>
        <v>0</v>
      </c>
      <c r="G1968" s="161">
        <v>44656</v>
      </c>
      <c r="H1968" s="26" t="s">
        <v>1429</v>
      </c>
      <c r="I1968" s="161">
        <v>44546</v>
      </c>
      <c r="J1968" s="35" t="s">
        <v>730</v>
      </c>
      <c r="K1968" s="21">
        <v>5190000</v>
      </c>
      <c r="L1968" s="21"/>
      <c r="M1968" s="22">
        <v>986100</v>
      </c>
      <c r="N1968" s="23"/>
      <c r="O1968" s="22">
        <v>0</v>
      </c>
      <c r="P1968" s="83">
        <f>+IF(PROVEEDORES[[#This Row],[SUBTOTAL]]&lt;PROVEEDORES[[#This Row],[base retencion]],0,PROVEEDORES[[#This Row],[retención aplicada]])</f>
        <v>0</v>
      </c>
      <c r="Q1968" s="22">
        <f>+PROVEEDORES[[#This Row],[Rete Fuente %]]*(PROVEEDORES[[#This Row],[SUBTOTAL]]-PROVEEDORES[[#This Row],[descuento sobre subtotal]])</f>
        <v>0</v>
      </c>
      <c r="R1968" s="21">
        <v>6046350</v>
      </c>
      <c r="S19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8" s="68">
        <f ca="1">IF(PROVEEDORES[[#This Row],[FECHA DE PAGO]]=0,TODAY()-PROVEEDORES[[#This Row],[FECHA DE FACTURACIÓN]]-PROVEEDORES[[#This Row],[PLAZO Días]],0)</f>
        <v>0</v>
      </c>
      <c r="U1968" s="96">
        <f>+VLOOKUP(PROVEEDORES[[#This Row],[PROVEEDOR]],Terceros!$A:$D,4,FALSE)</f>
        <v>0</v>
      </c>
      <c r="V1968" s="97">
        <f>+YEAR(PROVEEDORES[[#This Row],[FECHA DE FACTURACIÓN]])</f>
        <v>2021</v>
      </c>
      <c r="W1968" s="97">
        <f>+MATCH(PROVEEDORES[[#This Row],[año facturado]],Retenciones!$1:$1,0)</f>
        <v>4</v>
      </c>
      <c r="X1968" s="98">
        <f>+VLOOKUP(PROVEEDORES[[#This Row],[ID RETENCION]],Retenciones!$A$1:$O$25,PROVEEDORES[[#This Row],[indicador de columna]],FALSE)</f>
        <v>0</v>
      </c>
      <c r="Y1968" s="99">
        <f>+VLOOKUP(PROVEEDORES[[#This Row],[ID RETENCION]],Retenciones!$A$1:$O$25,2,FALSE)</f>
        <v>0</v>
      </c>
      <c r="Z1968" s="125" t="b">
        <f>OR(COUNTIF(PROVEEDORES[[#This Row],[PROVEEDOR]],"*"&amp;'Palabra no opera'!$A$2&amp;"*"))</f>
        <v>1</v>
      </c>
    </row>
    <row r="1969" spans="1:26" ht="22.2" customHeight="1" x14ac:dyDescent="0.3">
      <c r="A1969" s="66" t="str">
        <f>+IF(PROVEEDORES[[#This Row],[FECHA DE PAGO]]=PROVEEDORES[[#This Row],[FECHA DE FACTURACIÓN]],"DE CONTADO","CRÉDITO")</f>
        <v>CRÉDITO</v>
      </c>
      <c r="B1969" s="38" t="b">
        <f>+IF((PROVEEDORES[[#This Row],[FECHA DE PAGO]]-PROVEEDORES[[#This Row],[FECHA DE FACTURACIÓN]])&gt;PROVEEDORES[[#This Row],[PLAZO Días]],"PAGO VENCIDO")</f>
        <v>0</v>
      </c>
      <c r="C1969" s="20">
        <f>+VLOOKUP(PROVEEDORES[[#This Row],[PROVEEDOR]],TERCEROS_INFO[#All],2,FALSE)</f>
        <v>30</v>
      </c>
      <c r="D1969" s="25">
        <f>+SUMIFS(PROVEEDORES[Total],PROVEEDORES[PROVEEDOR],PROVEEDORES[[#This Row],[PROVEEDOR]],PROVEEDORES[FECHA DE PAGO],"")</f>
        <v>0</v>
      </c>
      <c r="E1969" s="25"/>
      <c r="F1969" s="58" t="str">
        <f>+VLOOKUP(PROVEEDORES[[#This Row],[PROVEEDOR]],
                       Terceros!$A:$F,
                       5,
                       FALSE)</f>
        <v/>
      </c>
      <c r="G1969" s="161">
        <v>44505</v>
      </c>
      <c r="H1969" s="26" t="s">
        <v>27</v>
      </c>
      <c r="I1969" s="161">
        <v>44504</v>
      </c>
      <c r="J1969" s="35" t="s">
        <v>521</v>
      </c>
      <c r="K1969" s="21">
        <v>6054360</v>
      </c>
      <c r="L1969" s="21"/>
      <c r="M1969" s="22">
        <f>(PROVEEDORES[[#This Row],[SUBTOTAL]]-PROVEEDORES[[#This Row],[descuento sobre subtotal]])*VLOOKUP(PROVEEDORES[[#This Row],[PROVEEDOR]],TERCEROS_INFO[#All],3,FALSE)</f>
        <v>0</v>
      </c>
      <c r="N1969" s="23"/>
      <c r="O1969" s="22">
        <f>+PROVEEDORES[[#This Row],[Descuento sobre subtotal %]]*(PROVEEDORES[[#This Row],[SUBTOTAL]]-PROVEEDORES[[#This Row],[descuento sobre subtotal]])</f>
        <v>0</v>
      </c>
      <c r="P1969" s="83">
        <f>+IF(PROVEEDORES[[#This Row],[SUBTOTAL]]&lt;PROVEEDORES[[#This Row],[base retencion]],0,PROVEEDORES[[#This Row],[retención aplicada]])</f>
        <v>0</v>
      </c>
      <c r="Q1969" s="22">
        <f>+PROVEEDORES[[#This Row],[Rete Fuente %]]*(PROVEEDORES[[#This Row],[SUBTOTAL]]-PROVEEDORES[[#This Row],[descuento sobre subtotal]])</f>
        <v>0</v>
      </c>
      <c r="R1969" s="21">
        <f>+PROVEEDORES[[#This Row],[SUBTOTAL]]+PROVEEDORES[[#This Row],[IVA 19%]]-PROVEEDORES[[#This Row],[descuento sobre subtotal]]-PROVEEDORES[[#This Row],[Descuento sobre subtotal $2]]-PROVEEDORES[[#This Row],[Rete Fuente $]]</f>
        <v>6054360</v>
      </c>
      <c r="S19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9" s="68">
        <f ca="1">IF(PROVEEDORES[[#This Row],[FECHA DE PAGO]]=0,TODAY()-PROVEEDORES[[#This Row],[FECHA DE FACTURACIÓN]]-PROVEEDORES[[#This Row],[PLAZO Días]],0)</f>
        <v>0</v>
      </c>
      <c r="U1969" s="96">
        <f>+VLOOKUP(PROVEEDORES[[#This Row],[PROVEEDOR]],Terceros!$A:$D,4,FALSE)</f>
        <v>0</v>
      </c>
      <c r="V1969" s="97">
        <f>+YEAR(PROVEEDORES[[#This Row],[FECHA DE FACTURACIÓN]])</f>
        <v>2021</v>
      </c>
      <c r="W1969" s="97">
        <f>+MATCH(PROVEEDORES[[#This Row],[año facturado]],Retenciones!$1:$1,0)</f>
        <v>4</v>
      </c>
      <c r="X1969" s="98">
        <f>+VLOOKUP(PROVEEDORES[[#This Row],[ID RETENCION]],Retenciones!$A$1:$O$25,PROVEEDORES[[#This Row],[indicador de columna]],FALSE)</f>
        <v>0</v>
      </c>
      <c r="Y1969" s="99">
        <f>+VLOOKUP(PROVEEDORES[[#This Row],[ID RETENCION]],Retenciones!$A$1:$O$25,2,FALSE)</f>
        <v>0</v>
      </c>
      <c r="Z1969" s="125" t="b">
        <f>OR(COUNTIF(PROVEEDORES[[#This Row],[PROVEEDOR]],"*"&amp;'Palabra no opera'!$A$2&amp;"*"))</f>
        <v>0</v>
      </c>
    </row>
    <row r="1970" spans="1:26" ht="22.2" customHeight="1" x14ac:dyDescent="0.3">
      <c r="A1970" s="144" t="str">
        <f>+IF(PROVEEDORES[[#This Row],[FECHA DE PAGO]]=PROVEEDORES[[#This Row],[FECHA DE FACTURACIÓN]],"DE CONTADO","CRÉDITO")</f>
        <v>CRÉDITO</v>
      </c>
      <c r="B1970" s="38" t="str">
        <f>+IF((PROVEEDORES[[#This Row],[FECHA DE PAGO]]-PROVEEDORES[[#This Row],[FECHA DE FACTURACIÓN]])&gt;PROVEEDORES[[#This Row],[PLAZO Días]],"PAGO VENCIDO")</f>
        <v>PAGO VENCIDO</v>
      </c>
      <c r="C1970" s="20">
        <f>+VLOOKUP(PROVEEDORES[[#This Row],[PROVEEDOR]],TERCEROS_INFO[#All],2,FALSE)</f>
        <v>30</v>
      </c>
      <c r="D1970" s="25">
        <f>+SUMIFS(PROVEEDORES[Total],PROVEEDORES[PROVEEDOR],PROVEEDORES[[#This Row],[PROVEEDOR]],PROVEEDORES[FECHA DE PAGO],"")</f>
        <v>0</v>
      </c>
      <c r="E1970" s="25"/>
      <c r="F1970" s="58">
        <f>+VLOOKUP(PROVEEDORES[[#This Row],[PROVEEDOR]],
                       Terceros!$A:$F,
                       5,
                       FALSE)</f>
        <v>0</v>
      </c>
      <c r="G1970" s="161">
        <v>44725</v>
      </c>
      <c r="H1970" s="26" t="s">
        <v>932</v>
      </c>
      <c r="I1970" s="161">
        <v>44682</v>
      </c>
      <c r="J1970" s="35" t="s">
        <v>982</v>
      </c>
      <c r="K1970" s="21">
        <v>6054880</v>
      </c>
      <c r="L1970" s="21"/>
      <c r="M1970" s="22">
        <f>(PROVEEDORES[[#This Row],[SUBTOTAL]]-PROVEEDORES[[#This Row],[descuento sobre subtotal]])*VLOOKUP(PROVEEDORES[[#This Row],[PROVEEDOR]],TERCEROS_INFO[#All],3,FALSE)</f>
        <v>0</v>
      </c>
      <c r="N1970" s="23"/>
      <c r="O1970" s="22">
        <f>+PROVEEDORES[[#This Row],[Descuento sobre subtotal %]]*(PROVEEDORES[[#This Row],[SUBTOTAL]]-PROVEEDORES[[#This Row],[descuento sobre subtotal]])</f>
        <v>0</v>
      </c>
      <c r="P1970" s="83">
        <f>+IF(PROVEEDORES[[#This Row],[SUBTOTAL]]&lt;PROVEEDORES[[#This Row],[base retencion]],0,PROVEEDORES[[#This Row],[retención aplicada]])</f>
        <v>0</v>
      </c>
      <c r="Q1970" s="22">
        <f>+PROVEEDORES[[#This Row],[Rete Fuente %]]*(PROVEEDORES[[#This Row],[SUBTOTAL]]-PROVEEDORES[[#This Row],[descuento sobre subtotal]])</f>
        <v>0</v>
      </c>
      <c r="R1970" s="21">
        <f>+PROVEEDORES[[#This Row],[SUBTOTAL]]+PROVEEDORES[[#This Row],[IVA 19%]]-PROVEEDORES[[#This Row],[descuento sobre subtotal]]-PROVEEDORES[[#This Row],[Descuento sobre subtotal $2]]-PROVEEDORES[[#This Row],[Rete Fuente $]]</f>
        <v>6054880</v>
      </c>
      <c r="S1970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0" s="68">
        <f ca="1">IF(PROVEEDORES[[#This Row],[FECHA DE PAGO]]=0,TODAY()-PROVEEDORES[[#This Row],[FECHA DE FACTURACIÓN]]-PROVEEDORES[[#This Row],[PLAZO Días]],0)</f>
        <v>0</v>
      </c>
      <c r="U1970" s="113">
        <f>+VLOOKUP(PROVEEDORES[[#This Row],[PROVEEDOR]],Terceros!$A:$D,4,FALSE)</f>
        <v>0</v>
      </c>
      <c r="V1970" s="114">
        <f>+YEAR(PROVEEDORES[[#This Row],[FECHA DE FACTURACIÓN]])</f>
        <v>2022</v>
      </c>
      <c r="W1970" s="114">
        <f>+MATCH(PROVEEDORES[[#This Row],[año facturado]],Retenciones!$1:$1,0)</f>
        <v>5</v>
      </c>
      <c r="X1970" s="115">
        <f>+VLOOKUP(PROVEEDORES[[#This Row],[ID RETENCION]],Retenciones!$A$1:$O$25,PROVEEDORES[[#This Row],[indicador de columna]],FALSE)</f>
        <v>0</v>
      </c>
      <c r="Y1970" s="116">
        <f>+VLOOKUP(PROVEEDORES[[#This Row],[ID RETENCION]],Retenciones!$A$1:$O$25,2,FALSE)</f>
        <v>0</v>
      </c>
      <c r="Z1970" s="125" t="b">
        <f>OR(COUNTIF(PROVEEDORES[[#This Row],[PROVEEDOR]],"*"&amp;'Palabra no opera'!$A$2&amp;"*"))</f>
        <v>1</v>
      </c>
    </row>
    <row r="1971" spans="1:26" ht="22.2" customHeight="1" x14ac:dyDescent="0.3">
      <c r="A1971" s="66" t="str">
        <f>+IF(PROVEEDORES[[#This Row],[FECHA DE PAGO]]=PROVEEDORES[[#This Row],[FECHA DE FACTURACIÓN]],"DE CONTADO","CRÉDITO")</f>
        <v>CRÉDITO</v>
      </c>
      <c r="B1971" s="38" t="b">
        <f>+IF((PROVEEDORES[[#This Row],[FECHA DE PAGO]]-PROVEEDORES[[#This Row],[FECHA DE FACTURACIÓN]])&gt;PROVEEDORES[[#This Row],[PLAZO Días]],"PAGO VENCIDO")</f>
        <v>0</v>
      </c>
      <c r="C1971" s="20">
        <f>+VLOOKUP(PROVEEDORES[[#This Row],[PROVEEDOR]],TERCEROS_INFO[#All],2,FALSE)</f>
        <v>90</v>
      </c>
      <c r="D1971" s="25">
        <f>+SUMIFS(PROVEEDORES[Total],PROVEEDORES[PROVEEDOR],PROVEEDORES[[#This Row],[PROVEEDOR]],PROVEEDORES[FECHA DE PAGO],"")</f>
        <v>2410000</v>
      </c>
      <c r="E1971" s="25"/>
      <c r="F1971" s="58" t="str">
        <f>+VLOOKUP(PROVEEDORES[[#This Row],[PROVEEDOR]],
                       Terceros!$A:$F,
                       5,
                       FALSE)</f>
        <v/>
      </c>
      <c r="G1971" s="161">
        <v>44240</v>
      </c>
      <c r="H1971" s="26" t="s">
        <v>651</v>
      </c>
      <c r="I1971" s="161">
        <v>44168</v>
      </c>
      <c r="J1971" s="35">
        <v>1483</v>
      </c>
      <c r="K1971" s="21">
        <v>6064000</v>
      </c>
      <c r="L1971" s="21"/>
      <c r="M1971" s="22">
        <f>(PROVEEDORES[[#This Row],[SUBTOTAL]]-PROVEEDORES[[#This Row],[descuento sobre subtotal]])*VLOOKUP(PROVEEDORES[[#This Row],[PROVEEDOR]],TERCEROS_INFO[#All],3,FALSE)</f>
        <v>0</v>
      </c>
      <c r="N1971" s="23"/>
      <c r="O1971" s="22">
        <f>+PROVEEDORES[[#This Row],[Descuento sobre subtotal %]]*(PROVEEDORES[[#This Row],[SUBTOTAL]]-PROVEEDORES[[#This Row],[descuento sobre subtotal]])</f>
        <v>0</v>
      </c>
      <c r="P1971" s="83">
        <f>+IF(PROVEEDORES[[#This Row],[SUBTOTAL]]&lt;PROVEEDORES[[#This Row],[base retencion]],0,PROVEEDORES[[#This Row],[retención aplicada]])</f>
        <v>0</v>
      </c>
      <c r="Q1971" s="22">
        <f>+PROVEEDORES[[#This Row],[Rete Fuente %]]*(PROVEEDORES[[#This Row],[SUBTOTAL]]-PROVEEDORES[[#This Row],[descuento sobre subtotal]])</f>
        <v>0</v>
      </c>
      <c r="R1971" s="21">
        <f>+PROVEEDORES[[#This Row],[SUBTOTAL]]+PROVEEDORES[[#This Row],[IVA 19%]]-PROVEEDORES[[#This Row],[descuento sobre subtotal]]-PROVEEDORES[[#This Row],[Descuento sobre subtotal $2]]-PROVEEDORES[[#This Row],[Rete Fuente $]]</f>
        <v>6064000</v>
      </c>
      <c r="S197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1" s="68">
        <f ca="1">IF(PROVEEDORES[[#This Row],[FECHA DE PAGO]]=0,TODAY()-PROVEEDORES[[#This Row],[FECHA DE FACTURACIÓN]]-PROVEEDORES[[#This Row],[PLAZO Días]],0)</f>
        <v>0</v>
      </c>
      <c r="U1971" s="96">
        <f>+VLOOKUP(PROVEEDORES[[#This Row],[PROVEEDOR]],Terceros!$A:$D,4,FALSE)</f>
        <v>0</v>
      </c>
      <c r="V1971" s="97">
        <f>+YEAR(PROVEEDORES[[#This Row],[FECHA DE FACTURACIÓN]])</f>
        <v>2020</v>
      </c>
      <c r="W1971" s="97">
        <f>+MATCH(PROVEEDORES[[#This Row],[año facturado]],Retenciones!$1:$1,0)</f>
        <v>3</v>
      </c>
      <c r="X1971" s="98">
        <f>+VLOOKUP(PROVEEDORES[[#This Row],[ID RETENCION]],Retenciones!$A$1:$O$25,PROVEEDORES[[#This Row],[indicador de columna]],FALSE)</f>
        <v>0</v>
      </c>
      <c r="Y1971" s="99">
        <f>+VLOOKUP(PROVEEDORES[[#This Row],[ID RETENCION]],Retenciones!$A$1:$O$25,2,FALSE)</f>
        <v>0</v>
      </c>
      <c r="Z1971" s="125" t="b">
        <f>OR(COUNTIF(PROVEEDORES[[#This Row],[PROVEEDOR]],"*"&amp;'Palabra no opera'!$A$2&amp;"*"))</f>
        <v>0</v>
      </c>
    </row>
    <row r="1972" spans="1:26" ht="22.2" customHeight="1" x14ac:dyDescent="0.3">
      <c r="A1972" s="66" t="str">
        <f>+IF(PROVEEDORES[[#This Row],[FECHA DE PAGO]]=PROVEEDORES[[#This Row],[FECHA DE FACTURACIÓN]],"DE CONTADO","CRÉDITO")</f>
        <v>CRÉDITO</v>
      </c>
      <c r="B1972" s="38" t="str">
        <f>+IF((PROVEEDORES[[#This Row],[FECHA DE PAGO]]-PROVEEDORES[[#This Row],[FECHA DE FACTURACIÓN]])&gt;PROVEEDORES[[#This Row],[PLAZO Días]],"PAGO VENCIDO")</f>
        <v>PAGO VENCIDO</v>
      </c>
      <c r="C1972" s="20">
        <f>+VLOOKUP(PROVEEDORES[[#This Row],[PROVEEDOR]],TERCEROS_INFO[#All],2,FALSE)</f>
        <v>30</v>
      </c>
      <c r="D1972" s="25">
        <f>+SUMIFS(PROVEEDORES[Total],PROVEEDORES[PROVEEDOR],PROVEEDORES[[#This Row],[PROVEEDOR]],PROVEEDORES[FECHA DE PAGO],"")</f>
        <v>23124164.219999999</v>
      </c>
      <c r="E1972" s="25"/>
      <c r="F197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72" s="161">
        <v>44582</v>
      </c>
      <c r="H1972" s="26" t="s">
        <v>18</v>
      </c>
      <c r="I1972" s="161">
        <v>44540</v>
      </c>
      <c r="J1972" s="35">
        <v>1047095</v>
      </c>
      <c r="K1972" s="21">
        <v>5212873.47</v>
      </c>
      <c r="L1972" s="21"/>
      <c r="M1972" s="22">
        <v>990445.95929999999</v>
      </c>
      <c r="N1972" s="23"/>
      <c r="O1972" s="22">
        <v>0</v>
      </c>
      <c r="P1972" s="83">
        <f>+IF(PROVEEDORES[[#This Row],[SUBTOTAL]]&lt;PROVEEDORES[[#This Row],[base retencion]],0,PROVEEDORES[[#This Row],[retención aplicada]])</f>
        <v>2.5000000000000001E-2</v>
      </c>
      <c r="Q1972" s="22">
        <f>+PROVEEDORES[[#This Row],[Rete Fuente %]]*(PROVEEDORES[[#This Row],[SUBTOTAL]]-PROVEEDORES[[#This Row],[descuento sobre subtotal]])</f>
        <v>130321.83675</v>
      </c>
      <c r="R1972" s="21">
        <v>6072997.5925500002</v>
      </c>
      <c r="S19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2" s="68">
        <f ca="1">IF(PROVEEDORES[[#This Row],[FECHA DE PAGO]]=0,TODAY()-PROVEEDORES[[#This Row],[FECHA DE FACTURACIÓN]]-PROVEEDORES[[#This Row],[PLAZO Días]],0)</f>
        <v>0</v>
      </c>
      <c r="U1972" s="96" t="str">
        <f>+VLOOKUP(PROVEEDORES[[#This Row],[PROVEEDOR]],Terceros!$A:$D,4,FALSE)</f>
        <v>2,5% con base</v>
      </c>
      <c r="V1972" s="97">
        <f>+YEAR(PROVEEDORES[[#This Row],[FECHA DE FACTURACIÓN]])</f>
        <v>2021</v>
      </c>
      <c r="W1972" s="97">
        <f>+MATCH(PROVEEDORES[[#This Row],[año facturado]],Retenciones!$1:$1,0)</f>
        <v>4</v>
      </c>
      <c r="X1972" s="98">
        <f>+VLOOKUP(PROVEEDORES[[#This Row],[ID RETENCION]],Retenciones!$A$1:$O$25,PROVEEDORES[[#This Row],[indicador de columna]],FALSE)</f>
        <v>980000</v>
      </c>
      <c r="Y1972" s="99">
        <f>+VLOOKUP(PROVEEDORES[[#This Row],[ID RETENCION]],Retenciones!$A$1:$O$25,2,FALSE)</f>
        <v>2.5000000000000001E-2</v>
      </c>
      <c r="Z1972" s="125" t="b">
        <f>OR(COUNTIF(PROVEEDORES[[#This Row],[PROVEEDOR]],"*"&amp;'Palabra no opera'!$A$2&amp;"*"))</f>
        <v>0</v>
      </c>
    </row>
    <row r="1973" spans="1:26" ht="22.2" customHeight="1" x14ac:dyDescent="0.3">
      <c r="A1973" s="199" t="str">
        <f>+IF(PROVEEDORES[[#This Row],[FECHA DE PAGO]]=PROVEEDORES[[#This Row],[FECHA DE FACTURACIÓN]],"DE CONTADO","CRÉDITO")</f>
        <v>CRÉDITO</v>
      </c>
      <c r="B1973" s="38" t="str">
        <f>+IF((PROVEEDORES[[#This Row],[FECHA DE PAGO]]-PROVEEDORES[[#This Row],[FECHA DE FACTURACIÓN]])&gt;PROVEEDORES[[#This Row],[PLAZO Días]],"PAGO VENCIDO")</f>
        <v>PAGO VENCIDO</v>
      </c>
      <c r="C1973" s="20">
        <f>+VLOOKUP(PROVEEDORES[[#This Row],[PROVEEDOR]],TERCEROS_INFO[#All],2,FALSE)</f>
        <v>45</v>
      </c>
      <c r="D1973" s="25">
        <f>+SUMIFS(PROVEEDORES[Total],PROVEEDORES[PROVEEDOR],PROVEEDORES[[#This Row],[PROVEEDOR]],PROVEEDORES[FECHA DE PAGO],"")</f>
        <v>31891814.359999999</v>
      </c>
      <c r="E1973" s="25"/>
      <c r="F197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73" s="161">
        <v>44855</v>
      </c>
      <c r="H1973" s="26" t="s">
        <v>19</v>
      </c>
      <c r="I1973" s="161">
        <v>44785</v>
      </c>
      <c r="J1973" s="35" t="s">
        <v>1398</v>
      </c>
      <c r="K1973" s="21">
        <v>5111248</v>
      </c>
      <c r="L1973" s="21"/>
      <c r="M1973" s="22">
        <f>(PROVEEDORES[[#This Row],[SUBTOTAL]]-PROVEEDORES[[#This Row],[descuento sobre subtotal]])*VLOOKUP(PROVEEDORES[[#This Row],[PROVEEDOR]],TERCEROS_INFO[#All],3,FALSE)</f>
        <v>971137.12</v>
      </c>
      <c r="N1973" s="23"/>
      <c r="O1973" s="22">
        <f>+PROVEEDORES[[#This Row],[Descuento sobre subtotal %]]*(PROVEEDORES[[#This Row],[SUBTOTAL]]-PROVEEDORES[[#This Row],[descuento sobre subtotal]])</f>
        <v>0</v>
      </c>
      <c r="P1973" s="83">
        <f>+IF(PROVEEDORES[[#This Row],[SUBTOTAL]]&lt;PROVEEDORES[[#This Row],[base retencion]],0,PROVEEDORES[[#This Row],[retención aplicada]])</f>
        <v>0</v>
      </c>
      <c r="Q1973" s="22">
        <f>+PROVEEDORES[[#This Row],[Rete Fuente %]]*(PROVEEDORES[[#This Row],[SUBTOTAL]]-PROVEEDORES[[#This Row],[descuento sobre subtotal]])</f>
        <v>0</v>
      </c>
      <c r="R1973" s="21">
        <f>+PROVEEDORES[[#This Row],[SUBTOTAL]]+PROVEEDORES[[#This Row],[IVA 19%]]-PROVEEDORES[[#This Row],[descuento sobre subtotal]]-PROVEEDORES[[#This Row],[Descuento sobre subtotal $2]]-PROVEEDORES[[#This Row],[Rete Fuente $]]</f>
        <v>6082385.1200000001</v>
      </c>
      <c r="S1973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3" s="68">
        <f ca="1">IF(PROVEEDORES[[#This Row],[FECHA DE PAGO]]=0,TODAY()-PROVEEDORES[[#This Row],[FECHA DE FACTURACIÓN]]-PROVEEDORES[[#This Row],[PLAZO Días]],0)</f>
        <v>0</v>
      </c>
      <c r="U1973" s="113">
        <f>+VLOOKUP(PROVEEDORES[[#This Row],[PROVEEDOR]],Terceros!$A:$D,4,FALSE)</f>
        <v>0</v>
      </c>
      <c r="V1973" s="114">
        <f>+YEAR(PROVEEDORES[[#This Row],[FECHA DE FACTURACIÓN]])</f>
        <v>2022</v>
      </c>
      <c r="W1973" s="114">
        <f>+MATCH(PROVEEDORES[[#This Row],[año facturado]],Retenciones!$1:$1,0)</f>
        <v>5</v>
      </c>
      <c r="X1973" s="115">
        <f>+VLOOKUP(PROVEEDORES[[#This Row],[ID RETENCION]],Retenciones!$A$1:$O$25,PROVEEDORES[[#This Row],[indicador de columna]],FALSE)</f>
        <v>0</v>
      </c>
      <c r="Y1973" s="116">
        <f>+VLOOKUP(PROVEEDORES[[#This Row],[ID RETENCION]],Retenciones!$A$1:$O$25,2,FALSE)</f>
        <v>0</v>
      </c>
      <c r="Z1973" s="125" t="b">
        <f>OR(COUNTIF(PROVEEDORES[[#This Row],[PROVEEDOR]],"*"&amp;'Palabra no opera'!$A$2&amp;"*"))</f>
        <v>0</v>
      </c>
    </row>
    <row r="1974" spans="1:26" ht="22.2" customHeight="1" x14ac:dyDescent="0.3">
      <c r="A1974" s="66" t="str">
        <f>+IF(PROVEEDORES[[#This Row],[FECHA DE PAGO]]=PROVEEDORES[[#This Row],[FECHA DE FACTURACIÓN]],"DE CONTADO","CRÉDITO")</f>
        <v>CRÉDITO</v>
      </c>
      <c r="B1974" s="38" t="str">
        <f>+IF((PROVEEDORES[[#This Row],[FECHA DE PAGO]]-PROVEEDORES[[#This Row],[FECHA DE FACTURACIÓN]])&gt;PROVEEDORES[[#This Row],[PLAZO Días]],"PAGO VENCIDO")</f>
        <v>PAGO VENCIDO</v>
      </c>
      <c r="C1974" s="20">
        <f>+VLOOKUP(PROVEEDORES[[#This Row],[PROVEEDOR]],TERCEROS_INFO[#All],2,FALSE)</f>
        <v>30</v>
      </c>
      <c r="D1974" s="25">
        <f>+SUMIFS(PROVEEDORES[Total],PROVEEDORES[PROVEEDOR],PROVEEDORES[[#This Row],[PROVEEDOR]],PROVEEDORES[FECHA DE PAGO],"")</f>
        <v>5272763.2050000001</v>
      </c>
      <c r="E1974" s="25"/>
      <c r="F197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74" s="161">
        <v>44396</v>
      </c>
      <c r="H1974" s="26" t="s">
        <v>11</v>
      </c>
      <c r="I1974" s="161">
        <v>44362</v>
      </c>
      <c r="J1974" s="35">
        <v>2476</v>
      </c>
      <c r="K1974" s="21">
        <v>5280000</v>
      </c>
      <c r="L1974" s="21"/>
      <c r="M1974" s="22">
        <f>(PROVEEDORES[[#This Row],[SUBTOTAL]]-PROVEEDORES[[#This Row],[descuento sobre subtotal]])*VLOOKUP(PROVEEDORES[[#This Row],[PROVEEDOR]],TERCEROS_INFO[#All],3,FALSE)</f>
        <v>1003200</v>
      </c>
      <c r="N1974" s="23"/>
      <c r="O1974" s="22">
        <f>+PROVEEDORES[[#This Row],[Descuento sobre subtotal %]]*(PROVEEDORES[[#This Row],[SUBTOTAL]]-PROVEEDORES[[#This Row],[descuento sobre subtotal]])</f>
        <v>0</v>
      </c>
      <c r="P1974" s="83">
        <f>+IF(PROVEEDORES[[#This Row],[SUBTOTAL]]&lt;PROVEEDORES[[#This Row],[base retencion]],0,PROVEEDORES[[#This Row],[retención aplicada]])</f>
        <v>2.5000000000000001E-2</v>
      </c>
      <c r="Q1974" s="22">
        <f>+PROVEEDORES[[#This Row],[Rete Fuente %]]*(PROVEEDORES[[#This Row],[SUBTOTAL]]-PROVEEDORES[[#This Row],[descuento sobre subtotal]])</f>
        <v>132000</v>
      </c>
      <c r="R1974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197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4" s="68">
        <f ca="1">IF(PROVEEDORES[[#This Row],[FECHA DE PAGO]]=0,TODAY()-PROVEEDORES[[#This Row],[FECHA DE FACTURACIÓN]]-PROVEEDORES[[#This Row],[PLAZO Días]],0)</f>
        <v>0</v>
      </c>
      <c r="U1974" s="96" t="str">
        <f>+VLOOKUP(PROVEEDORES[[#This Row],[PROVEEDOR]],Terceros!$A:$D,4,FALSE)</f>
        <v>2,5% con base</v>
      </c>
      <c r="V1974" s="97">
        <f>+YEAR(PROVEEDORES[[#This Row],[FECHA DE FACTURACIÓN]])</f>
        <v>2021</v>
      </c>
      <c r="W1974" s="97">
        <f>+MATCH(PROVEEDORES[[#This Row],[año facturado]],Retenciones!$1:$1,0)</f>
        <v>4</v>
      </c>
      <c r="X1974" s="98">
        <f>+VLOOKUP(PROVEEDORES[[#This Row],[ID RETENCION]],Retenciones!$A$1:$O$25,PROVEEDORES[[#This Row],[indicador de columna]],FALSE)</f>
        <v>980000</v>
      </c>
      <c r="Y1974" s="99">
        <f>+VLOOKUP(PROVEEDORES[[#This Row],[ID RETENCION]],Retenciones!$A$1:$O$25,2,FALSE)</f>
        <v>2.5000000000000001E-2</v>
      </c>
      <c r="Z1974" s="127" t="b">
        <f>OR(COUNTIF(PROVEEDORES[[#This Row],[PROVEEDOR]],"*"&amp;'Palabra no opera'!$A$2&amp;"*"))</f>
        <v>0</v>
      </c>
    </row>
    <row r="1975" spans="1:26" ht="22.2" customHeight="1" x14ac:dyDescent="0.3">
      <c r="A1975" s="66" t="str">
        <f>+IF(PROVEEDORES[[#This Row],[FECHA DE PAGO]]=PROVEEDORES[[#This Row],[FECHA DE FACTURACIÓN]],"DE CONTADO","CRÉDITO")</f>
        <v>CRÉDITO</v>
      </c>
      <c r="B1975" s="38" t="str">
        <f>+IF((PROVEEDORES[[#This Row],[FECHA DE PAGO]]-PROVEEDORES[[#This Row],[FECHA DE FACTURACIÓN]])&gt;PROVEEDORES[[#This Row],[PLAZO Días]],"PAGO VENCIDO")</f>
        <v>PAGO VENCIDO</v>
      </c>
      <c r="C1975" s="20">
        <f>+VLOOKUP(PROVEEDORES[[#This Row],[PROVEEDOR]],TERCEROS_INFO[#All],2,FALSE)</f>
        <v>30</v>
      </c>
      <c r="D1975" s="25">
        <f>+SUMIFS(PROVEEDORES[Total],PROVEEDORES[PROVEEDOR],PROVEEDORES[[#This Row],[PROVEEDOR]],PROVEEDORES[FECHA DE PAGO],"")</f>
        <v>5272763.2050000001</v>
      </c>
      <c r="E1975" s="25"/>
      <c r="F197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75" s="161">
        <v>44704</v>
      </c>
      <c r="H1975" s="26" t="s">
        <v>11</v>
      </c>
      <c r="I1975" s="161">
        <v>44657</v>
      </c>
      <c r="J1975" s="35" t="s">
        <v>858</v>
      </c>
      <c r="K1975" s="21">
        <v>5280000</v>
      </c>
      <c r="L1975" s="21"/>
      <c r="M1975" s="22">
        <f>(PROVEEDORES[[#This Row],[SUBTOTAL]]-PROVEEDORES[[#This Row],[descuento sobre subtotal]])*VLOOKUP(PROVEEDORES[[#This Row],[PROVEEDOR]],TERCEROS_INFO[#All],3,FALSE)</f>
        <v>1003200</v>
      </c>
      <c r="N1975" s="23"/>
      <c r="O1975" s="22">
        <f>+PROVEEDORES[[#This Row],[Descuento sobre subtotal %]]*(PROVEEDORES[[#This Row],[SUBTOTAL]]-PROVEEDORES[[#This Row],[descuento sobre subtotal]])</f>
        <v>0</v>
      </c>
      <c r="P1975" s="83">
        <f>+IF(PROVEEDORES[[#This Row],[SUBTOTAL]]&lt;PROVEEDORES[[#This Row],[base retencion]],0,PROVEEDORES[[#This Row],[retención aplicada]])</f>
        <v>2.5000000000000001E-2</v>
      </c>
      <c r="Q1975" s="22">
        <f>+PROVEEDORES[[#This Row],[Rete Fuente %]]*(PROVEEDORES[[#This Row],[SUBTOTAL]]-PROVEEDORES[[#This Row],[descuento sobre subtotal]])</f>
        <v>132000</v>
      </c>
      <c r="R1975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197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5" s="68">
        <f ca="1">IF(PROVEEDORES[[#This Row],[FECHA DE PAGO]]=0,TODAY()-PROVEEDORES[[#This Row],[FECHA DE FACTURACIÓN]]-PROVEEDORES[[#This Row],[PLAZO Días]],0)</f>
        <v>0</v>
      </c>
      <c r="U1975" s="96" t="str">
        <f>+VLOOKUP(PROVEEDORES[[#This Row],[PROVEEDOR]],Terceros!$A:$D,4,FALSE)</f>
        <v>2,5% con base</v>
      </c>
      <c r="V1975" s="97">
        <f>+YEAR(PROVEEDORES[[#This Row],[FECHA DE FACTURACIÓN]])</f>
        <v>2022</v>
      </c>
      <c r="W1975" s="97">
        <f>+MATCH(PROVEEDORES[[#This Row],[año facturado]],Retenciones!$1:$1,0)</f>
        <v>5</v>
      </c>
      <c r="X1975" s="98">
        <f>+VLOOKUP(PROVEEDORES[[#This Row],[ID RETENCION]],Retenciones!$A$1:$O$25,PROVEEDORES[[#This Row],[indicador de columna]],FALSE)</f>
        <v>1026000</v>
      </c>
      <c r="Y1975" s="99">
        <f>+VLOOKUP(PROVEEDORES[[#This Row],[ID RETENCION]],Retenciones!$A$1:$O$25,2,FALSE)</f>
        <v>2.5000000000000001E-2</v>
      </c>
      <c r="Z1975" s="127" t="b">
        <f>OR(COUNTIF(PROVEEDORES[[#This Row],[PROVEEDOR]],"*"&amp;'Palabra no opera'!$A$2&amp;"*"))</f>
        <v>0</v>
      </c>
    </row>
    <row r="1976" spans="1:26" ht="22.2" customHeight="1" x14ac:dyDescent="0.3">
      <c r="A1976" s="66" t="str">
        <f>+IF(PROVEEDORES[[#This Row],[FECHA DE PAGO]]=PROVEEDORES[[#This Row],[FECHA DE FACTURACIÓN]],"DE CONTADO","CRÉDITO")</f>
        <v>CRÉDITO</v>
      </c>
      <c r="B1976" s="38" t="b">
        <f>+IF((PROVEEDORES[[#This Row],[FECHA DE PAGO]]-PROVEEDORES[[#This Row],[FECHA DE FACTURACIÓN]])&gt;PROVEEDORES[[#This Row],[PLAZO Días]],"PAGO VENCIDO")</f>
        <v>0</v>
      </c>
      <c r="C1976" s="20">
        <f>+VLOOKUP(PROVEEDORES[[#This Row],[PROVEEDOR]],TERCEROS_INFO[#All],2,FALSE)</f>
        <v>10</v>
      </c>
      <c r="D1976" s="25">
        <f>+SUMIFS(PROVEEDORES[Total],PROVEEDORES[PROVEEDOR],PROVEEDORES[[#This Row],[PROVEEDOR]],PROVEEDORES[FECHA DE PAGO],"")</f>
        <v>0</v>
      </c>
      <c r="E1976" s="25"/>
      <c r="F1976" s="58" t="str">
        <f>+VLOOKUP(PROVEEDORES[[#This Row],[PROVEEDOR]],
                       Terceros!$A:$F,
                       5,
                       FALSE)</f>
        <v/>
      </c>
      <c r="G1976" s="161">
        <v>44368</v>
      </c>
      <c r="H1976" s="26" t="s">
        <v>23</v>
      </c>
      <c r="I1976" s="161">
        <v>44364</v>
      </c>
      <c r="J1976" s="35">
        <v>283198</v>
      </c>
      <c r="K1976" s="21">
        <v>6232000</v>
      </c>
      <c r="L1976" s="21"/>
      <c r="M1976" s="22">
        <f>(PROVEEDORES[[#This Row],[SUBTOTAL]]-PROVEEDORES[[#This Row],[descuento sobre subtotal]])*VLOOKUP(PROVEEDORES[[#This Row],[PROVEEDOR]],TERCEROS_INFO[#All],3,FALSE)</f>
        <v>0</v>
      </c>
      <c r="N1976" s="23"/>
      <c r="O1976" s="22">
        <f>+PROVEEDORES[[#This Row],[Descuento sobre subtotal %]]*(PROVEEDORES[[#This Row],[SUBTOTAL]]-PROVEEDORES[[#This Row],[descuento sobre subtotal]])</f>
        <v>0</v>
      </c>
      <c r="P1976" s="83">
        <f>+IF(PROVEEDORES[[#This Row],[SUBTOTAL]]&lt;PROVEEDORES[[#This Row],[base retencion]],0,PROVEEDORES[[#This Row],[retención aplicada]])</f>
        <v>0</v>
      </c>
      <c r="Q1976" s="22">
        <f>+PROVEEDORES[[#This Row],[Rete Fuente %]]*(PROVEEDORES[[#This Row],[SUBTOTAL]]-PROVEEDORES[[#This Row],[descuento sobre subtotal]])</f>
        <v>0</v>
      </c>
      <c r="R1976" s="21">
        <f>+PROVEEDORES[[#This Row],[SUBTOTAL]]+PROVEEDORES[[#This Row],[IVA 19%]]-PROVEEDORES[[#This Row],[descuento sobre subtotal]]-PROVEEDORES[[#This Row],[Descuento sobre subtotal $2]]-PROVEEDORES[[#This Row],[Rete Fuente $]]</f>
        <v>6232000</v>
      </c>
      <c r="S197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6" s="68">
        <f ca="1">IF(PROVEEDORES[[#This Row],[FECHA DE PAGO]]=0,TODAY()-PROVEEDORES[[#This Row],[FECHA DE FACTURACIÓN]]-PROVEEDORES[[#This Row],[PLAZO Días]],0)</f>
        <v>0</v>
      </c>
      <c r="U1976" s="96">
        <f>+VLOOKUP(PROVEEDORES[[#This Row],[PROVEEDOR]],Terceros!$A:$D,4,FALSE)</f>
        <v>0</v>
      </c>
      <c r="V1976" s="97">
        <f>+YEAR(PROVEEDORES[[#This Row],[FECHA DE FACTURACIÓN]])</f>
        <v>2021</v>
      </c>
      <c r="W1976" s="97">
        <f>+MATCH(PROVEEDORES[[#This Row],[año facturado]],Retenciones!$1:$1,0)</f>
        <v>4</v>
      </c>
      <c r="X1976" s="98">
        <f>+VLOOKUP(PROVEEDORES[[#This Row],[ID RETENCION]],Retenciones!$A$1:$O$25,PROVEEDORES[[#This Row],[indicador de columna]],FALSE)</f>
        <v>0</v>
      </c>
      <c r="Y1976" s="99">
        <f>+VLOOKUP(PROVEEDORES[[#This Row],[ID RETENCION]],Retenciones!$A$1:$O$25,2,FALSE)</f>
        <v>0</v>
      </c>
      <c r="Z1976" s="125" t="b">
        <f>OR(COUNTIF(PROVEEDORES[[#This Row],[PROVEEDOR]],"*"&amp;'Palabra no opera'!$A$2&amp;"*"))</f>
        <v>0</v>
      </c>
    </row>
    <row r="1977" spans="1:26" ht="22.2" customHeight="1" x14ac:dyDescent="0.3">
      <c r="A1977" s="207" t="str">
        <f>+IF(PROVEEDORES[[#This Row],[FECHA DE PAGO]]=PROVEEDORES[[#This Row],[FECHA DE FACTURACIÓN]],"DE CONTADO","CRÉDITO")</f>
        <v>CRÉDITO</v>
      </c>
      <c r="B1977" s="38" t="b">
        <f>+IF((PROVEEDORES[[#This Row],[FECHA DE PAGO]]-PROVEEDORES[[#This Row],[FECHA DE FACTURACIÓN]])&gt;PROVEEDORES[[#This Row],[PLAZO Días]],"PAGO VENCIDO")</f>
        <v>0</v>
      </c>
      <c r="C1977" s="20">
        <f>+VLOOKUP(PROVEEDORES[[#This Row],[PROVEEDOR]],TERCEROS_INFO[#All],2,FALSE)</f>
        <v>30</v>
      </c>
      <c r="D1977" s="25">
        <f>+SUMIFS(PROVEEDORES[Total],PROVEEDORES[PROVEEDOR],PROVEEDORES[[#This Row],[PROVEEDOR]],PROVEEDORES[FECHA DE PAGO],"")</f>
        <v>0</v>
      </c>
      <c r="E1977" s="25"/>
      <c r="F1977" s="58" t="str">
        <f>+VLOOKUP(PROVEEDORES[[#This Row],[PROVEEDOR]],
                       Terceros!$A:$F,
                       5,
                       FALSE)</f>
        <v/>
      </c>
      <c r="G1977" s="161">
        <v>44788</v>
      </c>
      <c r="H1977" s="26" t="s">
        <v>638</v>
      </c>
      <c r="I1977" s="161">
        <v>44781</v>
      </c>
      <c r="J1977" s="35" t="s">
        <v>1427</v>
      </c>
      <c r="K1977" s="21">
        <v>6240000</v>
      </c>
      <c r="L1977" s="21"/>
      <c r="M1977" s="22">
        <f>(PROVEEDORES[[#This Row],[SUBTOTAL]]-PROVEEDORES[[#This Row],[descuento sobre subtotal]])*VLOOKUP(PROVEEDORES[[#This Row],[PROVEEDOR]],TERCEROS_INFO[#All],3,FALSE)</f>
        <v>0</v>
      </c>
      <c r="N1977" s="23"/>
      <c r="O1977" s="22">
        <f>+PROVEEDORES[[#This Row],[Descuento sobre subtotal %]]*(PROVEEDORES[[#This Row],[SUBTOTAL]]-PROVEEDORES[[#This Row],[descuento sobre subtotal]])</f>
        <v>0</v>
      </c>
      <c r="P1977" s="83">
        <f>+IF(PROVEEDORES[[#This Row],[SUBTOTAL]]&lt;PROVEEDORES[[#This Row],[base retencion]],0,PROVEEDORES[[#This Row],[retención aplicada]])</f>
        <v>0</v>
      </c>
      <c r="Q1977" s="22">
        <f>+PROVEEDORES[[#This Row],[Rete Fuente %]]*(PROVEEDORES[[#This Row],[SUBTOTAL]]-PROVEEDORES[[#This Row],[descuento sobre subtotal]])</f>
        <v>0</v>
      </c>
      <c r="R1977" s="21">
        <f>+PROVEEDORES[[#This Row],[SUBTOTAL]]+PROVEEDORES[[#This Row],[IVA 19%]]-PROVEEDORES[[#This Row],[descuento sobre subtotal]]-PROVEEDORES[[#This Row],[Descuento sobre subtotal $2]]-PROVEEDORES[[#This Row],[Rete Fuente $]]</f>
        <v>6240000</v>
      </c>
      <c r="S1977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7" s="68">
        <f ca="1">IF(PROVEEDORES[[#This Row],[FECHA DE PAGO]]=0,TODAY()-PROVEEDORES[[#This Row],[FECHA DE FACTURACIÓN]]-PROVEEDORES[[#This Row],[PLAZO Días]],0)</f>
        <v>0</v>
      </c>
      <c r="U1977" s="113">
        <f>+VLOOKUP(PROVEEDORES[[#This Row],[PROVEEDOR]],Terceros!$A:$D,4,FALSE)</f>
        <v>0</v>
      </c>
      <c r="V1977" s="114">
        <f>+YEAR(PROVEEDORES[[#This Row],[FECHA DE FACTURACIÓN]])</f>
        <v>2022</v>
      </c>
      <c r="W1977" s="114">
        <f>+MATCH(PROVEEDORES[[#This Row],[año facturado]],Retenciones!$1:$1,0)</f>
        <v>5</v>
      </c>
      <c r="X1977" s="115">
        <f>+VLOOKUP(PROVEEDORES[[#This Row],[ID RETENCION]],Retenciones!$A$1:$O$25,PROVEEDORES[[#This Row],[indicador de columna]],FALSE)</f>
        <v>0</v>
      </c>
      <c r="Y1977" s="116">
        <f>+VLOOKUP(PROVEEDORES[[#This Row],[ID RETENCION]],Retenciones!$A$1:$O$25,2,FALSE)</f>
        <v>0</v>
      </c>
      <c r="Z1977" s="125" t="b">
        <f>OR(COUNTIF(PROVEEDORES[[#This Row],[PROVEEDOR]],"*"&amp;'Palabra no opera'!$A$2&amp;"*"))</f>
        <v>0</v>
      </c>
    </row>
    <row r="1978" spans="1:26" ht="22.2" customHeight="1" x14ac:dyDescent="0.3">
      <c r="A1978" s="66" t="str">
        <f>+IF(PROVEEDORES[[#This Row],[FECHA DE PAGO]]=PROVEEDORES[[#This Row],[FECHA DE FACTURACIÓN]],"DE CONTADO","CRÉDITO")</f>
        <v>CRÉDITO</v>
      </c>
      <c r="B1978" s="38" t="str">
        <f>+IF((PROVEEDORES[[#This Row],[FECHA DE PAGO]]-PROVEEDORES[[#This Row],[FECHA DE FACTURACIÓN]])&gt;PROVEEDORES[[#This Row],[PLAZO Días]],"PAGO VENCIDO")</f>
        <v>PAGO VENCIDO</v>
      </c>
      <c r="C1978" s="20">
        <f>+VLOOKUP(PROVEEDORES[[#This Row],[PROVEEDOR]],TERCEROS_INFO[#All],2,FALSE)</f>
        <v>45</v>
      </c>
      <c r="D1978" s="25">
        <f>+SUMIFS(PROVEEDORES[Total],PROVEEDORES[PROVEEDOR],PROVEEDORES[[#This Row],[PROVEEDOR]],PROVEEDORES[FECHA DE PAGO],"")</f>
        <v>31891814.359999999</v>
      </c>
      <c r="E1978" s="25"/>
      <c r="F197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78" s="161">
        <v>44376</v>
      </c>
      <c r="H1978" s="26" t="s">
        <v>19</v>
      </c>
      <c r="I1978" s="161">
        <v>44313</v>
      </c>
      <c r="J1978" s="35" t="s">
        <v>301</v>
      </c>
      <c r="K1978" s="21">
        <v>5391660</v>
      </c>
      <c r="L1978" s="21"/>
      <c r="M1978" s="22">
        <f>(PROVEEDORES[[#This Row],[SUBTOTAL]]-PROVEEDORES[[#This Row],[descuento sobre subtotal]])*VLOOKUP(PROVEEDORES[[#This Row],[PROVEEDOR]],TERCEROS_INFO[#All],3,FALSE)</f>
        <v>1024415.4</v>
      </c>
      <c r="N1978" s="23"/>
      <c r="O1978" s="22">
        <f>+PROVEEDORES[[#This Row],[Descuento sobre subtotal %]]*(PROVEEDORES[[#This Row],[SUBTOTAL]]-PROVEEDORES[[#This Row],[descuento sobre subtotal]])</f>
        <v>0</v>
      </c>
      <c r="P1978" s="83">
        <f>+IF(PROVEEDORES[[#This Row],[SUBTOTAL]]&lt;PROVEEDORES[[#This Row],[base retencion]],0,PROVEEDORES[[#This Row],[retención aplicada]])</f>
        <v>0</v>
      </c>
      <c r="Q1978" s="22">
        <f>+PROVEEDORES[[#This Row],[Rete Fuente %]]*(PROVEEDORES[[#This Row],[SUBTOTAL]]-PROVEEDORES[[#This Row],[descuento sobre subtotal]])</f>
        <v>0</v>
      </c>
      <c r="R1978" s="21">
        <f>+PROVEEDORES[[#This Row],[SUBTOTAL]]+PROVEEDORES[[#This Row],[IVA 19%]]-PROVEEDORES[[#This Row],[descuento sobre subtotal]]-PROVEEDORES[[#This Row],[Descuento sobre subtotal $2]]-PROVEEDORES[[#This Row],[Rete Fuente $]]</f>
        <v>6416075.4000000004</v>
      </c>
      <c r="S197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8" s="68">
        <f ca="1">IF(PROVEEDORES[[#This Row],[FECHA DE PAGO]]=0,TODAY()-PROVEEDORES[[#This Row],[FECHA DE FACTURACIÓN]]-PROVEEDORES[[#This Row],[PLAZO Días]],0)</f>
        <v>0</v>
      </c>
      <c r="U1978" s="96">
        <f>+VLOOKUP(PROVEEDORES[[#This Row],[PROVEEDOR]],Terceros!$A:$D,4,FALSE)</f>
        <v>0</v>
      </c>
      <c r="V1978" s="97">
        <f>+YEAR(PROVEEDORES[[#This Row],[FECHA DE FACTURACIÓN]])</f>
        <v>2021</v>
      </c>
      <c r="W1978" s="97">
        <f>+MATCH(PROVEEDORES[[#This Row],[año facturado]],Retenciones!$1:$1,0)</f>
        <v>4</v>
      </c>
      <c r="X1978" s="98">
        <f>+VLOOKUP(PROVEEDORES[[#This Row],[ID RETENCION]],Retenciones!$A$1:$O$25,PROVEEDORES[[#This Row],[indicador de columna]],FALSE)</f>
        <v>0</v>
      </c>
      <c r="Y1978" s="99">
        <f>+VLOOKUP(PROVEEDORES[[#This Row],[ID RETENCION]],Retenciones!$A$1:$O$25,2,FALSE)</f>
        <v>0</v>
      </c>
      <c r="Z1978" s="125" t="b">
        <f>OR(COUNTIF(PROVEEDORES[[#This Row],[PROVEEDOR]],"*"&amp;'Palabra no opera'!$A$2&amp;"*"))</f>
        <v>0</v>
      </c>
    </row>
    <row r="1979" spans="1:26" ht="22.2" customHeight="1" x14ac:dyDescent="0.3">
      <c r="A1979" s="66" t="str">
        <f>+IF(PROVEEDORES[[#This Row],[FECHA DE PAGO]]=PROVEEDORES[[#This Row],[FECHA DE FACTURACIÓN]],"DE CONTADO","CRÉDITO")</f>
        <v>DE CONTADO</v>
      </c>
      <c r="B1979" s="38" t="b">
        <f>+IF((PROVEEDORES[[#This Row],[FECHA DE PAGO]]-PROVEEDORES[[#This Row],[FECHA DE FACTURACIÓN]])&gt;PROVEEDORES[[#This Row],[PLAZO Días]],"PAGO VENCIDO")</f>
        <v>0</v>
      </c>
      <c r="C1979" s="20">
        <f>+VLOOKUP(PROVEEDORES[[#This Row],[PROVEEDOR]],TERCEROS_INFO[#All],2,FALSE)</f>
        <v>30</v>
      </c>
      <c r="D1979" s="25">
        <f>+SUMIFS(PROVEEDORES[Total],PROVEEDORES[PROVEEDOR],PROVEEDORES[[#This Row],[PROVEEDOR]],PROVEEDORES[FECHA DE PAGO],"")</f>
        <v>0</v>
      </c>
      <c r="E1979" s="25"/>
      <c r="F1979" s="58" t="str">
        <f>+VLOOKUP(PROVEEDORES[[#This Row],[PROVEEDOR]],
                       Terceros!$A:$F,
                       5,
                       FALSE)</f>
        <v/>
      </c>
      <c r="G1979" s="161">
        <v>44408</v>
      </c>
      <c r="H1979" s="26" t="s">
        <v>644</v>
      </c>
      <c r="I1979" s="161">
        <v>44408</v>
      </c>
      <c r="J1979" s="35" t="s">
        <v>595</v>
      </c>
      <c r="K1979" s="21">
        <v>6425000</v>
      </c>
      <c r="L1979" s="21"/>
      <c r="M1979" s="22">
        <f>(PROVEEDORES[[#This Row],[SUBTOTAL]]-PROVEEDORES[[#This Row],[descuento sobre subtotal]])*VLOOKUP(PROVEEDORES[[#This Row],[PROVEEDOR]],TERCEROS_INFO[#All],3,FALSE)</f>
        <v>0</v>
      </c>
      <c r="N1979" s="23"/>
      <c r="O1979" s="22">
        <f>+PROVEEDORES[[#This Row],[Descuento sobre subtotal %]]*(PROVEEDORES[[#This Row],[SUBTOTAL]]-PROVEEDORES[[#This Row],[descuento sobre subtotal]])</f>
        <v>0</v>
      </c>
      <c r="P1979" s="83">
        <f>+IF(PROVEEDORES[[#This Row],[SUBTOTAL]]&lt;PROVEEDORES[[#This Row],[base retencion]],0,PROVEEDORES[[#This Row],[retención aplicada]])</f>
        <v>0</v>
      </c>
      <c r="Q1979" s="22">
        <f>+PROVEEDORES[[#This Row],[Rete Fuente %]]*(PROVEEDORES[[#This Row],[SUBTOTAL]]-PROVEEDORES[[#This Row],[descuento sobre subtotal]])</f>
        <v>0</v>
      </c>
      <c r="R1979" s="21">
        <f>+PROVEEDORES[[#This Row],[SUBTOTAL]]+PROVEEDORES[[#This Row],[IVA 19%]]-PROVEEDORES[[#This Row],[descuento sobre subtotal]]-PROVEEDORES[[#This Row],[Descuento sobre subtotal $2]]-PROVEEDORES[[#This Row],[Rete Fuente $]]</f>
        <v>6425000</v>
      </c>
      <c r="S19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9" s="68">
        <f ca="1">IF(PROVEEDORES[[#This Row],[FECHA DE PAGO]]=0,TODAY()-PROVEEDORES[[#This Row],[FECHA DE FACTURACIÓN]]-PROVEEDORES[[#This Row],[PLAZO Días]],0)</f>
        <v>0</v>
      </c>
      <c r="U1979" s="96">
        <f>+VLOOKUP(PROVEEDORES[[#This Row],[PROVEEDOR]],Terceros!$A:$D,4,FALSE)</f>
        <v>0</v>
      </c>
      <c r="V1979" s="97">
        <f>+YEAR(PROVEEDORES[[#This Row],[FECHA DE FACTURACIÓN]])</f>
        <v>2021</v>
      </c>
      <c r="W1979" s="97">
        <f>+MATCH(PROVEEDORES[[#This Row],[año facturado]],Retenciones!$1:$1,0)</f>
        <v>4</v>
      </c>
      <c r="X1979" s="98">
        <f>+VLOOKUP(PROVEEDORES[[#This Row],[ID RETENCION]],Retenciones!$A$1:$O$25,PROVEEDORES[[#This Row],[indicador de columna]],FALSE)</f>
        <v>0</v>
      </c>
      <c r="Y1979" s="99">
        <f>+VLOOKUP(PROVEEDORES[[#This Row],[ID RETENCION]],Retenciones!$A$1:$O$25,2,FALSE)</f>
        <v>0</v>
      </c>
      <c r="Z1979" s="125" t="b">
        <f>OR(COUNTIF(PROVEEDORES[[#This Row],[PROVEEDOR]],"*"&amp;'Palabra no opera'!$A$2&amp;"*"))</f>
        <v>0</v>
      </c>
    </row>
    <row r="1980" spans="1:26" ht="22.2" customHeight="1" x14ac:dyDescent="0.3">
      <c r="A1980" s="144" t="str">
        <f>+IF(PROVEEDORES[[#This Row],[FECHA DE PAGO]]=PROVEEDORES[[#This Row],[FECHA DE FACTURACIÓN]],"DE CONTADO","CRÉDITO")</f>
        <v>CRÉDITO</v>
      </c>
      <c r="B1980" s="38" t="str">
        <f>+IF((PROVEEDORES[[#This Row],[FECHA DE PAGO]]-PROVEEDORES[[#This Row],[FECHA DE FACTURACIÓN]])&gt;PROVEEDORES[[#This Row],[PLAZO Días]],"PAGO VENCIDO")</f>
        <v>PAGO VENCIDO</v>
      </c>
      <c r="C1980" s="20">
        <f>+VLOOKUP(PROVEEDORES[[#This Row],[PROVEEDOR]],TERCEROS_INFO[#All],2,FALSE)</f>
        <v>30</v>
      </c>
      <c r="D1980" s="25">
        <f>+SUMIFS(PROVEEDORES[Total],PROVEEDORES[PROVEEDOR],PROVEEDORES[[#This Row],[PROVEEDOR]],PROVEEDORES[FECHA DE PAGO],"")</f>
        <v>0</v>
      </c>
      <c r="E1980" s="25"/>
      <c r="F198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980" s="161">
        <v>44749</v>
      </c>
      <c r="H1980" s="26" t="s">
        <v>510</v>
      </c>
      <c r="I1980" s="161">
        <v>44705</v>
      </c>
      <c r="J1980" s="35" t="s">
        <v>992</v>
      </c>
      <c r="K1980" s="21">
        <v>6120000</v>
      </c>
      <c r="L1980" s="21"/>
      <c r="M1980" s="22">
        <v>306000</v>
      </c>
      <c r="N1980" s="23"/>
      <c r="O1980" s="22">
        <f>+PROVEEDORES[[#This Row],[Descuento sobre subtotal %]]*(PROVEEDORES[[#This Row],[SUBTOTAL]]-PROVEEDORES[[#This Row],[descuento sobre subtotal]])</f>
        <v>0</v>
      </c>
      <c r="P1980" s="83">
        <f>+IF(PROVEEDORES[[#This Row],[SUBTOTAL]]&lt;PROVEEDORES[[#This Row],[base retencion]],0,PROVEEDORES[[#This Row],[retención aplicada]])</f>
        <v>0</v>
      </c>
      <c r="Q1980" s="22">
        <f>+PROVEEDORES[[#This Row],[Rete Fuente %]]*(PROVEEDORES[[#This Row],[SUBTOTAL]]-PROVEEDORES[[#This Row],[descuento sobre subtotal]])</f>
        <v>0</v>
      </c>
      <c r="R1980" s="21">
        <f>+PROVEEDORES[[#This Row],[SUBTOTAL]]+PROVEEDORES[[#This Row],[IVA 19%]]-PROVEEDORES[[#This Row],[descuento sobre subtotal]]-PROVEEDORES[[#This Row],[Descuento sobre subtotal $2]]-PROVEEDORES[[#This Row],[Rete Fuente $]]</f>
        <v>6426000</v>
      </c>
      <c r="S1980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0" s="68">
        <f ca="1">IF(PROVEEDORES[[#This Row],[FECHA DE PAGO]]=0,TODAY()-PROVEEDORES[[#This Row],[FECHA DE FACTURACIÓN]]-PROVEEDORES[[#This Row],[PLAZO Días]],0)</f>
        <v>0</v>
      </c>
      <c r="U1980" s="113">
        <f>+VLOOKUP(PROVEEDORES[[#This Row],[PROVEEDOR]],Terceros!$A:$D,4,FALSE)</f>
        <v>0</v>
      </c>
      <c r="V1980" s="114">
        <f>+YEAR(PROVEEDORES[[#This Row],[FECHA DE FACTURACIÓN]])</f>
        <v>2022</v>
      </c>
      <c r="W1980" s="114">
        <f>+MATCH(PROVEEDORES[[#This Row],[año facturado]],Retenciones!$1:$1,0)</f>
        <v>5</v>
      </c>
      <c r="X1980" s="115">
        <f>+VLOOKUP(PROVEEDORES[[#This Row],[ID RETENCION]],Retenciones!$A$1:$O$25,PROVEEDORES[[#This Row],[indicador de columna]],FALSE)</f>
        <v>0</v>
      </c>
      <c r="Y1980" s="116">
        <f>+VLOOKUP(PROVEEDORES[[#This Row],[ID RETENCION]],Retenciones!$A$1:$O$25,2,FALSE)</f>
        <v>0</v>
      </c>
      <c r="Z1980" s="125" t="b">
        <f>OR(COUNTIF(PROVEEDORES[[#This Row],[PROVEEDOR]],"*"&amp;'Palabra no opera'!$A$2&amp;"*"))</f>
        <v>0</v>
      </c>
    </row>
    <row r="1981" spans="1:26" ht="22.2" customHeight="1" x14ac:dyDescent="0.3">
      <c r="A1981" s="66" t="str">
        <f>+IF(PROVEEDORES[[#This Row],[FECHA DE PAGO]]=PROVEEDORES[[#This Row],[FECHA DE FACTURACIÓN]],"DE CONTADO","CRÉDITO")</f>
        <v>CRÉDITO</v>
      </c>
      <c r="B1981" s="38" t="str">
        <f>+IF((PROVEEDORES[[#This Row],[FECHA DE PAGO]]-PROVEEDORES[[#This Row],[FECHA DE FACTURACIÓN]])&gt;PROVEEDORES[[#This Row],[PLAZO Días]],"PAGO VENCIDO")</f>
        <v>PAGO VENCIDO</v>
      </c>
      <c r="C1981" s="20">
        <f>+VLOOKUP(PROVEEDORES[[#This Row],[PROVEEDOR]],TERCEROS_INFO[#All],2,FALSE)</f>
        <v>30</v>
      </c>
      <c r="D1981" s="25">
        <f>+SUMIFS(PROVEEDORES[Total],PROVEEDORES[PROVEEDOR],PROVEEDORES[[#This Row],[PROVEEDOR]],PROVEEDORES[FECHA DE PAGO],"")</f>
        <v>5272763.2050000001</v>
      </c>
      <c r="E1981" s="25"/>
      <c r="F198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81" s="161">
        <v>44279</v>
      </c>
      <c r="H1981" s="26" t="s">
        <v>11</v>
      </c>
      <c r="I1981" s="161">
        <v>44235</v>
      </c>
      <c r="J1981" s="35" t="s">
        <v>183</v>
      </c>
      <c r="K1981" s="21">
        <v>5532101</v>
      </c>
      <c r="L1981" s="21"/>
      <c r="M1981" s="22">
        <f>(PROVEEDORES[[#This Row],[SUBTOTAL]]-PROVEEDORES[[#This Row],[descuento sobre subtotal]])*VLOOKUP(PROVEEDORES[[#This Row],[PROVEEDOR]],TERCEROS_INFO[#All],3,FALSE)</f>
        <v>1051099.19</v>
      </c>
      <c r="N1981" s="23"/>
      <c r="O1981" s="22">
        <f>+PROVEEDORES[[#This Row],[Descuento sobre subtotal %]]*(PROVEEDORES[[#This Row],[SUBTOTAL]]-PROVEEDORES[[#This Row],[descuento sobre subtotal]])</f>
        <v>0</v>
      </c>
      <c r="P1981" s="83">
        <f>+IF(PROVEEDORES[[#This Row],[SUBTOTAL]]&lt;PROVEEDORES[[#This Row],[base retencion]],0,PROVEEDORES[[#This Row],[retención aplicada]])</f>
        <v>2.5000000000000001E-2</v>
      </c>
      <c r="Q1981" s="22">
        <f>+PROVEEDORES[[#This Row],[Rete Fuente %]]*(PROVEEDORES[[#This Row],[SUBTOTAL]]-PROVEEDORES[[#This Row],[descuento sobre subtotal]])</f>
        <v>138302.52499999999</v>
      </c>
      <c r="R1981" s="21">
        <f>+PROVEEDORES[[#This Row],[SUBTOTAL]]+PROVEEDORES[[#This Row],[IVA 19%]]-PROVEEDORES[[#This Row],[descuento sobre subtotal]]-PROVEEDORES[[#This Row],[Descuento sobre subtotal $2]]-PROVEEDORES[[#This Row],[Rete Fuente $]]</f>
        <v>6444897.6649999991</v>
      </c>
      <c r="S198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1" s="68">
        <f ca="1">IF(PROVEEDORES[[#This Row],[FECHA DE PAGO]]=0,TODAY()-PROVEEDORES[[#This Row],[FECHA DE FACTURACIÓN]]-PROVEEDORES[[#This Row],[PLAZO Días]],0)</f>
        <v>0</v>
      </c>
      <c r="U1981" s="96" t="str">
        <f>+VLOOKUP(PROVEEDORES[[#This Row],[PROVEEDOR]],Terceros!$A:$D,4,FALSE)</f>
        <v>2,5% con base</v>
      </c>
      <c r="V1981" s="97">
        <f>+YEAR(PROVEEDORES[[#This Row],[FECHA DE FACTURACIÓN]])</f>
        <v>2021</v>
      </c>
      <c r="W1981" s="97">
        <f>+MATCH(PROVEEDORES[[#This Row],[año facturado]],Retenciones!$1:$1,0)</f>
        <v>4</v>
      </c>
      <c r="X1981" s="98">
        <f>+VLOOKUP(PROVEEDORES[[#This Row],[ID RETENCION]],Retenciones!$A$1:$O$25,PROVEEDORES[[#This Row],[indicador de columna]],FALSE)</f>
        <v>980000</v>
      </c>
      <c r="Y1981" s="99">
        <f>+VLOOKUP(PROVEEDORES[[#This Row],[ID RETENCION]],Retenciones!$A$1:$O$25,2,FALSE)</f>
        <v>2.5000000000000001E-2</v>
      </c>
      <c r="Z1981" s="127" t="b">
        <f>OR(COUNTIF(PROVEEDORES[[#This Row],[PROVEEDOR]],"*"&amp;'Palabra no opera'!$A$2&amp;"*"))</f>
        <v>0</v>
      </c>
    </row>
    <row r="1982" spans="1:26" ht="22.2" customHeight="1" x14ac:dyDescent="0.3">
      <c r="A1982" s="66" t="str">
        <f>+IF(PROVEEDORES[[#This Row],[FECHA DE PAGO]]=PROVEEDORES[[#This Row],[FECHA DE FACTURACIÓN]],"DE CONTADO","CRÉDITO")</f>
        <v>CRÉDITO</v>
      </c>
      <c r="B1982" s="38" t="b">
        <f>+IF((PROVEEDORES[[#This Row],[FECHA DE PAGO]]-PROVEEDORES[[#This Row],[FECHA DE FACTURACIÓN]])&gt;PROVEEDORES[[#This Row],[PLAZO Días]],"PAGO VENCIDO")</f>
        <v>0</v>
      </c>
      <c r="C1982" s="20">
        <f>+VLOOKUP(PROVEEDORES[[#This Row],[PROVEEDOR]],TERCEROS_INFO[#All],2,FALSE)</f>
        <v>90</v>
      </c>
      <c r="D1982" s="25">
        <f>+SUMIFS(PROVEEDORES[Total],PROVEEDORES[PROVEEDOR],PROVEEDORES[[#This Row],[PROVEEDOR]],PROVEEDORES[FECHA DE PAGO],"")</f>
        <v>0</v>
      </c>
      <c r="E1982" s="25"/>
      <c r="F198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82" s="161">
        <v>44243</v>
      </c>
      <c r="H1982" s="26" t="s">
        <v>9</v>
      </c>
      <c r="I1982" s="161">
        <v>44187</v>
      </c>
      <c r="J1982" s="35">
        <v>68545</v>
      </c>
      <c r="K1982" s="21">
        <v>5954922</v>
      </c>
      <c r="L1982" s="21"/>
      <c r="M1982" s="22">
        <f>(PROVEEDORES[[#This Row],[SUBTOTAL]]-PROVEEDORES[[#This Row],[descuento sobre subtotal]])*VLOOKUP(PROVEEDORES[[#This Row],[PROVEEDOR]],TERCEROS_INFO[#All],3,FALSE)</f>
        <v>1131435.18</v>
      </c>
      <c r="N1982" s="23">
        <v>0.04</v>
      </c>
      <c r="O1982" s="22">
        <f>+PROVEEDORES[[#This Row],[Descuento sobre subtotal %]]*(PROVEEDORES[[#This Row],[SUBTOTAL]]-PROVEEDORES[[#This Row],[descuento sobre subtotal]])</f>
        <v>238196.88</v>
      </c>
      <c r="P1982" s="83">
        <f>+IF(PROVEEDORES[[#This Row],[SUBTOTAL]]&lt;PROVEEDORES[[#This Row],[base retencion]],0,PROVEEDORES[[#This Row],[retención aplicada]])</f>
        <v>2.5000000000000001E-2</v>
      </c>
      <c r="Q1982" s="22">
        <f>+PROVEEDORES[[#This Row],[Rete Fuente %]]*(PROVEEDORES[[#This Row],[SUBTOTAL]]-PROVEEDORES[[#This Row],[descuento sobre subtotal]])</f>
        <v>148873.05000000002</v>
      </c>
      <c r="R1982" s="21">
        <f>+PROVEEDORES[[#This Row],[SUBTOTAL]]+PROVEEDORES[[#This Row],[IVA 19%]]-PROVEEDORES[[#This Row],[descuento sobre subtotal]]-PROVEEDORES[[#This Row],[Descuento sobre subtotal $2]]-PROVEEDORES[[#This Row],[Rete Fuente $]]</f>
        <v>6699287.25</v>
      </c>
      <c r="S19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2" s="68">
        <f ca="1">IF(PROVEEDORES[[#This Row],[FECHA DE PAGO]]=0,TODAY()-PROVEEDORES[[#This Row],[FECHA DE FACTURACIÓN]]-PROVEEDORES[[#This Row],[PLAZO Días]],0)</f>
        <v>0</v>
      </c>
      <c r="U1982" s="96" t="str">
        <f>+VLOOKUP(PROVEEDORES[[#This Row],[PROVEEDOR]],Terceros!$A:$D,4,FALSE)</f>
        <v>2,5% con base</v>
      </c>
      <c r="V1982" s="97">
        <f>+YEAR(PROVEEDORES[[#This Row],[FECHA DE FACTURACIÓN]])</f>
        <v>2020</v>
      </c>
      <c r="W1982" s="97">
        <f>+MATCH(PROVEEDORES[[#This Row],[año facturado]],Retenciones!$1:$1,0)</f>
        <v>3</v>
      </c>
      <c r="X1982" s="98">
        <f>+VLOOKUP(PROVEEDORES[[#This Row],[ID RETENCION]],Retenciones!$A$1:$O$25,PROVEEDORES[[#This Row],[indicador de columna]],FALSE)</f>
        <v>961000</v>
      </c>
      <c r="Y1982" s="99">
        <f>+VLOOKUP(PROVEEDORES[[#This Row],[ID RETENCION]],Retenciones!$A$1:$O$25,2,FALSE)</f>
        <v>2.5000000000000001E-2</v>
      </c>
      <c r="Z1982" s="125" t="b">
        <f>OR(COUNTIF(PROVEEDORES[[#This Row],[PROVEEDOR]],"*"&amp;'Palabra no opera'!$A$2&amp;"*"))</f>
        <v>0</v>
      </c>
    </row>
    <row r="1983" spans="1:26" ht="22.2" customHeight="1" x14ac:dyDescent="0.3">
      <c r="A1983" s="66" t="str">
        <f>+IF(PROVEEDORES[[#This Row],[FECHA DE PAGO]]=PROVEEDORES[[#This Row],[FECHA DE FACTURACIÓN]],"DE CONTADO","CRÉDITO")</f>
        <v>CRÉDITO</v>
      </c>
      <c r="B1983" s="38" t="str">
        <f>+IF((PROVEEDORES[[#This Row],[FECHA DE PAGO]]-PROVEEDORES[[#This Row],[FECHA DE FACTURACIÓN]])&gt;PROVEEDORES[[#This Row],[PLAZO Días]],"PAGO VENCIDO")</f>
        <v>PAGO VENCIDO</v>
      </c>
      <c r="C1983" s="20">
        <f>+VLOOKUP(PROVEEDORES[[#This Row],[PROVEEDOR]],TERCEROS_INFO[#All],2,FALSE)</f>
        <v>30</v>
      </c>
      <c r="D1983" s="25">
        <f>+SUMIFS(PROVEEDORES[Total],PROVEEDORES[PROVEEDOR],PROVEEDORES[[#This Row],[PROVEEDOR]],PROVEEDORES[FECHA DE PAGO],"")</f>
        <v>3215000</v>
      </c>
      <c r="E1983" s="25"/>
      <c r="F1983" s="58" t="str">
        <f>+VLOOKUP(PROVEEDORES[[#This Row],[PROVEEDOR]],
                       Terceros!$A:$F,
                       5,
                       FALSE)</f>
        <v/>
      </c>
      <c r="G1983" s="161">
        <v>44704</v>
      </c>
      <c r="H1983" s="26" t="s">
        <v>671</v>
      </c>
      <c r="I1983" s="161">
        <v>44624</v>
      </c>
      <c r="J1983" s="35" t="s">
        <v>749</v>
      </c>
      <c r="K1983" s="21">
        <v>6748000</v>
      </c>
      <c r="L1983" s="21"/>
      <c r="M1983" s="22">
        <f>(PROVEEDORES[[#This Row],[SUBTOTAL]]-PROVEEDORES[[#This Row],[descuento sobre subtotal]])*VLOOKUP(PROVEEDORES[[#This Row],[PROVEEDOR]],TERCEROS_INFO[#All],3,FALSE)</f>
        <v>0</v>
      </c>
      <c r="N1983" s="23"/>
      <c r="O1983" s="22">
        <f>+PROVEEDORES[[#This Row],[Descuento sobre subtotal %]]*(PROVEEDORES[[#This Row],[SUBTOTAL]]-PROVEEDORES[[#This Row],[descuento sobre subtotal]])</f>
        <v>0</v>
      </c>
      <c r="P1983" s="83">
        <f>+IF(PROVEEDORES[[#This Row],[SUBTOTAL]]&lt;PROVEEDORES[[#This Row],[base retencion]],0,PROVEEDORES[[#This Row],[retención aplicada]])</f>
        <v>0</v>
      </c>
      <c r="Q1983" s="22">
        <f>+PROVEEDORES[[#This Row],[Rete Fuente %]]*(PROVEEDORES[[#This Row],[SUBTOTAL]]-PROVEEDORES[[#This Row],[descuento sobre subtotal]])</f>
        <v>0</v>
      </c>
      <c r="R1983" s="21">
        <f>+PROVEEDORES[[#This Row],[SUBTOTAL]]+PROVEEDORES[[#This Row],[IVA 19%]]-PROVEEDORES[[#This Row],[descuento sobre subtotal]]-PROVEEDORES[[#This Row],[Descuento sobre subtotal $2]]-PROVEEDORES[[#This Row],[Rete Fuente $]]</f>
        <v>6748000</v>
      </c>
      <c r="S19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3" s="68">
        <f ca="1">IF(PROVEEDORES[[#This Row],[FECHA DE PAGO]]=0,TODAY()-PROVEEDORES[[#This Row],[FECHA DE FACTURACIÓN]]-PROVEEDORES[[#This Row],[PLAZO Días]],0)</f>
        <v>0</v>
      </c>
      <c r="U1983" s="96">
        <f>+VLOOKUP(PROVEEDORES[[#This Row],[PROVEEDOR]],Terceros!$A:$D,4,FALSE)</f>
        <v>0</v>
      </c>
      <c r="V1983" s="97">
        <f>+YEAR(PROVEEDORES[[#This Row],[FECHA DE FACTURACIÓN]])</f>
        <v>2022</v>
      </c>
      <c r="W1983" s="97">
        <f>+MATCH(PROVEEDORES[[#This Row],[año facturado]],Retenciones!$1:$1,0)</f>
        <v>5</v>
      </c>
      <c r="X1983" s="98">
        <f>+VLOOKUP(PROVEEDORES[[#This Row],[ID RETENCION]],Retenciones!$A$1:$O$25,PROVEEDORES[[#This Row],[indicador de columna]],FALSE)</f>
        <v>0</v>
      </c>
      <c r="Y1983" s="99">
        <f>+VLOOKUP(PROVEEDORES[[#This Row],[ID RETENCION]],Retenciones!$A$1:$O$25,2,FALSE)</f>
        <v>0</v>
      </c>
      <c r="Z1983" s="125" t="b">
        <f>OR(COUNTIF(PROVEEDORES[[#This Row],[PROVEEDOR]],"*"&amp;'Palabra no opera'!$A$2&amp;"*"))</f>
        <v>0</v>
      </c>
    </row>
    <row r="1984" spans="1:26" ht="22.2" customHeight="1" x14ac:dyDescent="0.3">
      <c r="A1984" s="66" t="str">
        <f>+IF(PROVEEDORES[[#This Row],[FECHA DE PAGO]]=PROVEEDORES[[#This Row],[FECHA DE FACTURACIÓN]],"DE CONTADO","CRÉDITO")</f>
        <v>CRÉDITO</v>
      </c>
      <c r="B1984" s="38" t="str">
        <f>+IF((PROVEEDORES[[#This Row],[FECHA DE PAGO]]-PROVEEDORES[[#This Row],[FECHA DE FACTURACIÓN]])&gt;PROVEEDORES[[#This Row],[PLAZO Días]],"PAGO VENCIDO")</f>
        <v>PAGO VENCIDO</v>
      </c>
      <c r="C1984" s="20">
        <f>+VLOOKUP(PROVEEDORES[[#This Row],[PROVEEDOR]],TERCEROS_INFO[#All],2,FALSE)</f>
        <v>90</v>
      </c>
      <c r="D1984" s="25">
        <f>+SUMIFS(PROVEEDORES[Total],PROVEEDORES[PROVEEDOR],PROVEEDORES[[#This Row],[PROVEEDOR]],PROVEEDORES[FECHA DE PAGO],"")</f>
        <v>26350422.770000003</v>
      </c>
      <c r="E1984" s="25"/>
      <c r="F198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84" s="161">
        <v>44351</v>
      </c>
      <c r="H1984" s="26" t="s">
        <v>12</v>
      </c>
      <c r="I1984" s="161">
        <v>44185</v>
      </c>
      <c r="J1984" s="35" t="s">
        <v>96</v>
      </c>
      <c r="K1984" s="21">
        <v>5804201.6890756302</v>
      </c>
      <c r="L1984" s="21"/>
      <c r="M1984" s="22">
        <f>(PROVEEDORES[[#This Row],[SUBTOTAL]]-PROVEEDORES[[#This Row],[descuento sobre subtotal]])*VLOOKUP(PROVEEDORES[[#This Row],[PROVEEDOR]],TERCEROS_INFO[#All],3,FALSE)</f>
        <v>1102798.3209243699</v>
      </c>
      <c r="N1984" s="23"/>
      <c r="O1984" s="22">
        <f>+PROVEEDORES[[#This Row],[Descuento sobre subtotal %]]*(PROVEEDORES[[#This Row],[SUBTOTAL]]-PROVEEDORES[[#This Row],[descuento sobre subtotal]])</f>
        <v>0</v>
      </c>
      <c r="P1984" s="83">
        <f>+IF(PROVEEDORES[[#This Row],[SUBTOTAL]]&lt;PROVEEDORES[[#This Row],[base retencion]],0,PROVEEDORES[[#This Row],[retención aplicada]])</f>
        <v>2.5000000000000001E-2</v>
      </c>
      <c r="Q1984" s="22">
        <f>+PROVEEDORES[[#This Row],[Rete Fuente %]]*(PROVEEDORES[[#This Row],[SUBTOTAL]]-PROVEEDORES[[#This Row],[descuento sobre subtotal]])</f>
        <v>145105.04222689077</v>
      </c>
      <c r="R1984" s="21">
        <f>+PROVEEDORES[[#This Row],[SUBTOTAL]]+PROVEEDORES[[#This Row],[IVA 19%]]-PROVEEDORES[[#This Row],[descuento sobre subtotal]]-PROVEEDORES[[#This Row],[Descuento sobre subtotal $2]]-PROVEEDORES[[#This Row],[Rete Fuente $]]</f>
        <v>6761894.9677731087</v>
      </c>
      <c r="S198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4" s="68">
        <f ca="1">IF(PROVEEDORES[[#This Row],[FECHA DE PAGO]]=0,TODAY()-PROVEEDORES[[#This Row],[FECHA DE FACTURACIÓN]]-PROVEEDORES[[#This Row],[PLAZO Días]],0)</f>
        <v>0</v>
      </c>
      <c r="U1984" s="96" t="str">
        <f>+VLOOKUP(PROVEEDORES[[#This Row],[PROVEEDOR]],Terceros!$A:$D,4,FALSE)</f>
        <v>2,5% con base</v>
      </c>
      <c r="V1984" s="97">
        <f>+YEAR(PROVEEDORES[[#This Row],[FECHA DE FACTURACIÓN]])</f>
        <v>2020</v>
      </c>
      <c r="W1984" s="97">
        <f>+MATCH(PROVEEDORES[[#This Row],[año facturado]],Retenciones!$1:$1,0)</f>
        <v>3</v>
      </c>
      <c r="X1984" s="98">
        <f>+VLOOKUP(PROVEEDORES[[#This Row],[ID RETENCION]],Retenciones!$A$1:$O$25,PROVEEDORES[[#This Row],[indicador de columna]],FALSE)</f>
        <v>961000</v>
      </c>
      <c r="Y1984" s="99">
        <f>+VLOOKUP(PROVEEDORES[[#This Row],[ID RETENCION]],Retenciones!$A$1:$O$25,2,FALSE)</f>
        <v>2.5000000000000001E-2</v>
      </c>
      <c r="Z1984" s="125" t="b">
        <f>OR(COUNTIF(PROVEEDORES[[#This Row],[PROVEEDOR]],"*"&amp;'Palabra no opera'!$A$2&amp;"*"))</f>
        <v>0</v>
      </c>
    </row>
    <row r="1985" spans="1:26" ht="22.2" customHeight="1" x14ac:dyDescent="0.3">
      <c r="A1985" s="66" t="str">
        <f>+IF(PROVEEDORES[[#This Row],[FECHA DE PAGO]]=PROVEEDORES[[#This Row],[FECHA DE FACTURACIÓN]],"DE CONTADO","CRÉDITO")</f>
        <v>CRÉDITO</v>
      </c>
      <c r="B1985" s="38" t="b">
        <f>+IF((PROVEEDORES[[#This Row],[FECHA DE PAGO]]-PROVEEDORES[[#This Row],[FECHA DE FACTURACIÓN]])&gt;PROVEEDORES[[#This Row],[PLAZO Días]],"PAGO VENCIDO")</f>
        <v>0</v>
      </c>
      <c r="C1985" s="20">
        <f>+VLOOKUP(PROVEEDORES[[#This Row],[PROVEEDOR]],TERCEROS_INFO[#All],2,FALSE)</f>
        <v>10</v>
      </c>
      <c r="D1985" s="25">
        <f>+SUMIFS(PROVEEDORES[Total],PROVEEDORES[PROVEEDOR],PROVEEDORES[[#This Row],[PROVEEDOR]],PROVEEDORES[FECHA DE PAGO],"")</f>
        <v>0</v>
      </c>
      <c r="E1985" s="25"/>
      <c r="F1985" s="58" t="str">
        <f>+VLOOKUP(PROVEEDORES[[#This Row],[PROVEEDOR]],
                       Terceros!$A:$F,
                       5,
                       FALSE)</f>
        <v/>
      </c>
      <c r="G1985" s="161">
        <v>44239</v>
      </c>
      <c r="H1985" s="26" t="s">
        <v>23</v>
      </c>
      <c r="I1985" s="161">
        <v>44238</v>
      </c>
      <c r="J1985" s="35">
        <v>280191</v>
      </c>
      <c r="K1985" s="21">
        <v>6801300</v>
      </c>
      <c r="L1985" s="21"/>
      <c r="M1985" s="22">
        <f>(PROVEEDORES[[#This Row],[SUBTOTAL]]-PROVEEDORES[[#This Row],[descuento sobre subtotal]])*VLOOKUP(PROVEEDORES[[#This Row],[PROVEEDOR]],TERCEROS_INFO[#All],3,FALSE)</f>
        <v>0</v>
      </c>
      <c r="N1985" s="23"/>
      <c r="O1985" s="22">
        <f>+PROVEEDORES[[#This Row],[Descuento sobre subtotal %]]*(PROVEEDORES[[#This Row],[SUBTOTAL]]-PROVEEDORES[[#This Row],[descuento sobre subtotal]])</f>
        <v>0</v>
      </c>
      <c r="P1985" s="83">
        <f>+IF(PROVEEDORES[[#This Row],[SUBTOTAL]]&lt;PROVEEDORES[[#This Row],[base retencion]],0,PROVEEDORES[[#This Row],[retención aplicada]])</f>
        <v>0</v>
      </c>
      <c r="Q1985" s="22">
        <f>+PROVEEDORES[[#This Row],[Rete Fuente %]]*(PROVEEDORES[[#This Row],[SUBTOTAL]]-PROVEEDORES[[#This Row],[descuento sobre subtotal]])</f>
        <v>0</v>
      </c>
      <c r="R1985" s="21">
        <f>+PROVEEDORES[[#This Row],[SUBTOTAL]]+PROVEEDORES[[#This Row],[IVA 19%]]-PROVEEDORES[[#This Row],[descuento sobre subtotal]]-PROVEEDORES[[#This Row],[Descuento sobre subtotal $2]]-PROVEEDORES[[#This Row],[Rete Fuente $]]</f>
        <v>6801300</v>
      </c>
      <c r="S19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5" s="68">
        <f ca="1">IF(PROVEEDORES[[#This Row],[FECHA DE PAGO]]=0,TODAY()-PROVEEDORES[[#This Row],[FECHA DE FACTURACIÓN]]-PROVEEDORES[[#This Row],[PLAZO Días]],0)</f>
        <v>0</v>
      </c>
      <c r="U1985" s="96">
        <f>+VLOOKUP(PROVEEDORES[[#This Row],[PROVEEDOR]],Terceros!$A:$D,4,FALSE)</f>
        <v>0</v>
      </c>
      <c r="V1985" s="97">
        <f>+YEAR(PROVEEDORES[[#This Row],[FECHA DE FACTURACIÓN]])</f>
        <v>2021</v>
      </c>
      <c r="W1985" s="97">
        <f>+MATCH(PROVEEDORES[[#This Row],[año facturado]],Retenciones!$1:$1,0)</f>
        <v>4</v>
      </c>
      <c r="X1985" s="98">
        <f>+VLOOKUP(PROVEEDORES[[#This Row],[ID RETENCION]],Retenciones!$A$1:$O$25,PROVEEDORES[[#This Row],[indicador de columna]],FALSE)</f>
        <v>0</v>
      </c>
      <c r="Y1985" s="99">
        <f>+VLOOKUP(PROVEEDORES[[#This Row],[ID RETENCION]],Retenciones!$A$1:$O$25,2,FALSE)</f>
        <v>0</v>
      </c>
      <c r="Z1985" s="125" t="b">
        <f>OR(COUNTIF(PROVEEDORES[[#This Row],[PROVEEDOR]],"*"&amp;'Palabra no opera'!$A$2&amp;"*"))</f>
        <v>0</v>
      </c>
    </row>
    <row r="1986" spans="1:26" ht="22.2" customHeight="1" x14ac:dyDescent="0.3">
      <c r="A1986" s="66" t="str">
        <f>+IF(PROVEEDORES[[#This Row],[FECHA DE PAGO]]=PROVEEDORES[[#This Row],[FECHA DE FACTURACIÓN]],"DE CONTADO","CRÉDITO")</f>
        <v>CRÉDITO</v>
      </c>
      <c r="B1986" s="38" t="str">
        <f>+IF((PROVEEDORES[[#This Row],[FECHA DE PAGO]]-PROVEEDORES[[#This Row],[FECHA DE FACTURACIÓN]])&gt;PROVEEDORES[[#This Row],[PLAZO Días]],"PAGO VENCIDO")</f>
        <v>PAGO VENCIDO</v>
      </c>
      <c r="C1986" s="20">
        <f>+VLOOKUP(PROVEEDORES[[#This Row],[PROVEEDOR]],TERCEROS_INFO[#All],2,FALSE)</f>
        <v>30</v>
      </c>
      <c r="D1986" s="25">
        <f>+SUMIFS(PROVEEDORES[Total],PROVEEDORES[PROVEEDOR],PROVEEDORES[[#This Row],[PROVEEDOR]],PROVEEDORES[FECHA DE PAGO],"")</f>
        <v>0</v>
      </c>
      <c r="E1986" s="25"/>
      <c r="F1986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986" s="161">
        <v>44690</v>
      </c>
      <c r="H1986" s="26" t="s">
        <v>33</v>
      </c>
      <c r="I1986" s="161">
        <v>44623</v>
      </c>
      <c r="J1986" s="35">
        <v>2314</v>
      </c>
      <c r="K1986" s="21">
        <v>5856000</v>
      </c>
      <c r="L1986" s="21"/>
      <c r="M1986" s="22">
        <f>(PROVEEDORES[[#This Row],[SUBTOTAL]]-PROVEEDORES[[#This Row],[descuento sobre subtotal]])*VLOOKUP(PROVEEDORES[[#This Row],[PROVEEDOR]],TERCEROS_INFO[#All],3,FALSE)</f>
        <v>1112640</v>
      </c>
      <c r="N1986" s="23"/>
      <c r="O1986" s="22">
        <f>+PROVEEDORES[[#This Row],[Descuento sobre subtotal %]]*(PROVEEDORES[[#This Row],[SUBTOTAL]]-PROVEEDORES[[#This Row],[descuento sobre subtotal]])</f>
        <v>0</v>
      </c>
      <c r="P1986" s="83">
        <f>+IF(PROVEEDORES[[#This Row],[SUBTOTAL]]&lt;PROVEEDORES[[#This Row],[base retencion]],0,PROVEEDORES[[#This Row],[retención aplicada]])</f>
        <v>2.5000000000000001E-2</v>
      </c>
      <c r="Q1986" s="22">
        <f>+PROVEEDORES[[#This Row],[Rete Fuente %]]*(PROVEEDORES[[#This Row],[SUBTOTAL]]-PROVEEDORES[[#This Row],[descuento sobre subtotal]])</f>
        <v>146400</v>
      </c>
      <c r="R1986" s="21">
        <f>+PROVEEDORES[[#This Row],[SUBTOTAL]]+PROVEEDORES[[#This Row],[IVA 19%]]-PROVEEDORES[[#This Row],[descuento sobre subtotal]]-PROVEEDORES[[#This Row],[Descuento sobre subtotal $2]]-PROVEEDORES[[#This Row],[Rete Fuente $]]</f>
        <v>6822240</v>
      </c>
      <c r="S198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6" s="68">
        <f ca="1">IF(PROVEEDORES[[#This Row],[FECHA DE PAGO]]=0,TODAY()-PROVEEDORES[[#This Row],[FECHA DE FACTURACIÓN]]-PROVEEDORES[[#This Row],[PLAZO Días]],0)</f>
        <v>0</v>
      </c>
      <c r="U1986" s="96" t="str">
        <f>+VLOOKUP(PROVEEDORES[[#This Row],[PROVEEDOR]],Terceros!$A:$D,4,FALSE)</f>
        <v>2,5% con base</v>
      </c>
      <c r="V1986" s="97">
        <f>+YEAR(PROVEEDORES[[#This Row],[FECHA DE FACTURACIÓN]])</f>
        <v>2022</v>
      </c>
      <c r="W1986" s="97">
        <f>+MATCH(PROVEEDORES[[#This Row],[año facturado]],Retenciones!$1:$1,0)</f>
        <v>5</v>
      </c>
      <c r="X1986" s="98">
        <f>+VLOOKUP(PROVEEDORES[[#This Row],[ID RETENCION]],Retenciones!$A$1:$O$25,PROVEEDORES[[#This Row],[indicador de columna]],FALSE)</f>
        <v>1026000</v>
      </c>
      <c r="Y1986" s="99">
        <f>+VLOOKUP(PROVEEDORES[[#This Row],[ID RETENCION]],Retenciones!$A$1:$O$25,2,FALSE)</f>
        <v>2.5000000000000001E-2</v>
      </c>
      <c r="Z1986" s="125" t="b">
        <f>OR(COUNTIF(PROVEEDORES[[#This Row],[PROVEEDOR]],"*"&amp;'Palabra no opera'!$A$2&amp;"*"))</f>
        <v>0</v>
      </c>
    </row>
    <row r="1987" spans="1:26" ht="22.2" customHeight="1" x14ac:dyDescent="0.3">
      <c r="A1987" s="66" t="str">
        <f>+IF(PROVEEDORES[[#This Row],[FECHA DE PAGO]]=PROVEEDORES[[#This Row],[FECHA DE FACTURACIÓN]],"DE CONTADO","CRÉDITO")</f>
        <v>CRÉDITO</v>
      </c>
      <c r="B1987" s="38" t="str">
        <f>+IF((PROVEEDORES[[#This Row],[FECHA DE PAGO]]-PROVEEDORES[[#This Row],[FECHA DE FACTURACIÓN]])&gt;PROVEEDORES[[#This Row],[PLAZO Días]],"PAGO VENCIDO")</f>
        <v>PAGO VENCIDO</v>
      </c>
      <c r="C1987" s="20">
        <f>+VLOOKUP(PROVEEDORES[[#This Row],[PROVEEDOR]],TERCEROS_INFO[#All],2,FALSE)</f>
        <v>30</v>
      </c>
      <c r="D1987" s="25">
        <f>+SUMIFS(PROVEEDORES[Total],PROVEEDORES[PROVEEDOR],PROVEEDORES[[#This Row],[PROVEEDOR]],PROVEEDORES[FECHA DE PAGO],"")</f>
        <v>0</v>
      </c>
      <c r="E1987" s="25"/>
      <c r="F198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87" s="161">
        <v>44456</v>
      </c>
      <c r="H1987" s="26" t="s">
        <v>218</v>
      </c>
      <c r="I1987" s="161">
        <v>44364</v>
      </c>
      <c r="J1987" s="35">
        <v>51</v>
      </c>
      <c r="K1987" s="21">
        <v>5949000</v>
      </c>
      <c r="L1987" s="21"/>
      <c r="M1987" s="22">
        <f>(PROVEEDORES[[#This Row],[SUBTOTAL]]-PROVEEDORES[[#This Row],[descuento sobre subtotal]])*VLOOKUP(PROVEEDORES[[#This Row],[PROVEEDOR]],TERCEROS_INFO[#All],3,FALSE)</f>
        <v>1130310</v>
      </c>
      <c r="N1987" s="23"/>
      <c r="O1987" s="22">
        <f>+PROVEEDORES[[#This Row],[Descuento sobre subtotal %]]*(PROVEEDORES[[#This Row],[SUBTOTAL]]-PROVEEDORES[[#This Row],[descuento sobre subtotal]])</f>
        <v>0</v>
      </c>
      <c r="P1987" s="83">
        <f>+IF(PROVEEDORES[[#This Row],[SUBTOTAL]]&lt;PROVEEDORES[[#This Row],[base retencion]],0,PROVEEDORES[[#This Row],[retención aplicada]])</f>
        <v>2.5000000000000001E-2</v>
      </c>
      <c r="Q1987" s="22">
        <f>+PROVEEDORES[[#This Row],[Rete Fuente %]]*(PROVEEDORES[[#This Row],[SUBTOTAL]]-PROVEEDORES[[#This Row],[descuento sobre subtotal]])</f>
        <v>148725</v>
      </c>
      <c r="R1987" s="21">
        <f>+PROVEEDORES[[#This Row],[SUBTOTAL]]+PROVEEDORES[[#This Row],[IVA 19%]]-PROVEEDORES[[#This Row],[descuento sobre subtotal]]-PROVEEDORES[[#This Row],[Descuento sobre subtotal $2]]-PROVEEDORES[[#This Row],[Rete Fuente $]]</f>
        <v>6930585</v>
      </c>
      <c r="S198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7" s="68">
        <f ca="1">IF(PROVEEDORES[[#This Row],[FECHA DE PAGO]]=0,TODAY()-PROVEEDORES[[#This Row],[FECHA DE FACTURACIÓN]]-PROVEEDORES[[#This Row],[PLAZO Días]],0)</f>
        <v>0</v>
      </c>
      <c r="U1987" s="96" t="str">
        <f>+VLOOKUP(PROVEEDORES[[#This Row],[PROVEEDOR]],Terceros!$A:$D,4,FALSE)</f>
        <v>2,5% con base</v>
      </c>
      <c r="V1987" s="97">
        <f>+YEAR(PROVEEDORES[[#This Row],[FECHA DE FACTURACIÓN]])</f>
        <v>2021</v>
      </c>
      <c r="W1987" s="97">
        <f>+MATCH(PROVEEDORES[[#This Row],[año facturado]],Retenciones!$1:$1,0)</f>
        <v>4</v>
      </c>
      <c r="X1987" s="98">
        <f>+VLOOKUP(PROVEEDORES[[#This Row],[ID RETENCION]],Retenciones!$A$1:$O$25,PROVEEDORES[[#This Row],[indicador de columna]],FALSE)</f>
        <v>980000</v>
      </c>
      <c r="Y1987" s="99">
        <f>+VLOOKUP(PROVEEDORES[[#This Row],[ID RETENCION]],Retenciones!$A$1:$O$25,2,FALSE)</f>
        <v>2.5000000000000001E-2</v>
      </c>
      <c r="Z1987" s="125" t="b">
        <f>OR(COUNTIF(PROVEEDORES[[#This Row],[PROVEEDOR]],"*"&amp;'Palabra no opera'!$A$2&amp;"*"))</f>
        <v>0</v>
      </c>
    </row>
    <row r="1988" spans="1:26" ht="22.2" customHeight="1" x14ac:dyDescent="0.3">
      <c r="A1988" s="66" t="str">
        <f>+IF(PROVEEDORES[[#This Row],[FECHA DE PAGO]]=PROVEEDORES[[#This Row],[FECHA DE FACTURACIÓN]],"DE CONTADO","CRÉDITO")</f>
        <v>CRÉDITO</v>
      </c>
      <c r="B1988" s="38" t="str">
        <f>+IF((PROVEEDORES[[#This Row],[FECHA DE PAGO]]-PROVEEDORES[[#This Row],[FECHA DE FACTURACIÓN]])&gt;PROVEEDORES[[#This Row],[PLAZO Días]],"PAGO VENCIDO")</f>
        <v>PAGO VENCIDO</v>
      </c>
      <c r="C1988" s="20">
        <f>+VLOOKUP(PROVEEDORES[[#This Row],[PROVEEDOR]],TERCEROS_INFO[#All],2,FALSE)</f>
        <v>30</v>
      </c>
      <c r="D1988" s="25">
        <f>+SUMIFS(PROVEEDORES[Total],PROVEEDORES[PROVEEDOR],PROVEEDORES[[#This Row],[PROVEEDOR]],PROVEEDORES[FECHA DE PAGO],"")</f>
        <v>23124164.219999999</v>
      </c>
      <c r="E1988" s="25"/>
      <c r="F198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88" s="161">
        <v>44403</v>
      </c>
      <c r="H1988" s="26" t="s">
        <v>18</v>
      </c>
      <c r="I1988" s="161">
        <v>44365</v>
      </c>
      <c r="J1988" s="35">
        <v>1039175</v>
      </c>
      <c r="K1988" s="21">
        <v>5950201.4400000004</v>
      </c>
      <c r="L1988" s="21"/>
      <c r="M1988" s="22">
        <f>(PROVEEDORES[[#This Row],[SUBTOTAL]]-PROVEEDORES[[#This Row],[descuento sobre subtotal]])*VLOOKUP(PROVEEDORES[[#This Row],[PROVEEDOR]],TERCEROS_INFO[#All],3,FALSE)</f>
        <v>1130538.2736000002</v>
      </c>
      <c r="N1988" s="23"/>
      <c r="O1988" s="22">
        <f>+PROVEEDORES[[#This Row],[Descuento sobre subtotal %]]*(PROVEEDORES[[#This Row],[SUBTOTAL]]-PROVEEDORES[[#This Row],[descuento sobre subtotal]])</f>
        <v>0</v>
      </c>
      <c r="P1988" s="83">
        <f>+IF(PROVEEDORES[[#This Row],[SUBTOTAL]]&lt;PROVEEDORES[[#This Row],[base retencion]],0,PROVEEDORES[[#This Row],[retención aplicada]])</f>
        <v>2.5000000000000001E-2</v>
      </c>
      <c r="Q1988" s="22">
        <f>+PROVEEDORES[[#This Row],[Rete Fuente %]]*(PROVEEDORES[[#This Row],[SUBTOTAL]]-PROVEEDORES[[#This Row],[descuento sobre subtotal]])</f>
        <v>148755.03600000002</v>
      </c>
      <c r="R1988" s="21">
        <f>+PROVEEDORES[[#This Row],[SUBTOTAL]]+PROVEEDORES[[#This Row],[IVA 19%]]-PROVEEDORES[[#This Row],[descuento sobre subtotal]]-PROVEEDORES[[#This Row],[Descuento sobre subtotal $2]]-PROVEEDORES[[#This Row],[Rete Fuente $]]</f>
        <v>6931984.6776000001</v>
      </c>
      <c r="S19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8" s="68">
        <f ca="1">IF(PROVEEDORES[[#This Row],[FECHA DE PAGO]]=0,TODAY()-PROVEEDORES[[#This Row],[FECHA DE FACTURACIÓN]]-PROVEEDORES[[#This Row],[PLAZO Días]],0)</f>
        <v>0</v>
      </c>
      <c r="U1988" s="96" t="str">
        <f>+VLOOKUP(PROVEEDORES[[#This Row],[PROVEEDOR]],Terceros!$A:$D,4,FALSE)</f>
        <v>2,5% con base</v>
      </c>
      <c r="V1988" s="97">
        <f>+YEAR(PROVEEDORES[[#This Row],[FECHA DE FACTURACIÓN]])</f>
        <v>2021</v>
      </c>
      <c r="W1988" s="97">
        <f>+MATCH(PROVEEDORES[[#This Row],[año facturado]],Retenciones!$1:$1,0)</f>
        <v>4</v>
      </c>
      <c r="X1988" s="98">
        <f>+VLOOKUP(PROVEEDORES[[#This Row],[ID RETENCION]],Retenciones!$A$1:$O$25,PROVEEDORES[[#This Row],[indicador de columna]],FALSE)</f>
        <v>980000</v>
      </c>
      <c r="Y1988" s="99">
        <f>+VLOOKUP(PROVEEDORES[[#This Row],[ID RETENCION]],Retenciones!$A$1:$O$25,2,FALSE)</f>
        <v>2.5000000000000001E-2</v>
      </c>
      <c r="Z1988" s="125" t="b">
        <f>OR(COUNTIF(PROVEEDORES[[#This Row],[PROVEEDOR]],"*"&amp;'Palabra no opera'!$A$2&amp;"*"))</f>
        <v>0</v>
      </c>
    </row>
    <row r="1989" spans="1:26" ht="22.2" customHeight="1" x14ac:dyDescent="0.3">
      <c r="A1989" s="66" t="str">
        <f>+IF(PROVEEDORES[[#This Row],[FECHA DE PAGO]]=PROVEEDORES[[#This Row],[FECHA DE FACTURACIÓN]],"DE CONTADO","CRÉDITO")</f>
        <v>CRÉDITO</v>
      </c>
      <c r="B1989" s="38" t="b">
        <f>+IF((PROVEEDORES[[#This Row],[FECHA DE PAGO]]-PROVEEDORES[[#This Row],[FECHA DE FACTURACIÓN]])&gt;PROVEEDORES[[#This Row],[PLAZO Días]],"PAGO VENCIDO")</f>
        <v>0</v>
      </c>
      <c r="C1989" s="20">
        <f>+VLOOKUP(PROVEEDORES[[#This Row],[PROVEEDOR]],TERCEROS_INFO[#All],2,FALSE)</f>
        <v>30</v>
      </c>
      <c r="D1989" s="25">
        <f>+SUMIFS(PROVEEDORES[Total],PROVEEDORES[PROVEEDOR],PROVEEDORES[[#This Row],[PROVEEDOR]],PROVEEDORES[FECHA DE PAGO],"")</f>
        <v>0</v>
      </c>
      <c r="E1989" s="25"/>
      <c r="F1989" s="58" t="str">
        <f>+VLOOKUP(PROVEEDORES[[#This Row],[PROVEEDOR]],
                       Terceros!$A:$F,
                       5,
                       FALSE)</f>
        <v/>
      </c>
      <c r="G1989" s="161">
        <v>44579</v>
      </c>
      <c r="H1989" s="26" t="s">
        <v>115</v>
      </c>
      <c r="I1989" s="161">
        <v>44578</v>
      </c>
      <c r="J1989" s="35" t="s">
        <v>614</v>
      </c>
      <c r="K1989" s="21">
        <v>6935000</v>
      </c>
      <c r="L1989" s="21"/>
      <c r="M1989" s="22">
        <f>(PROVEEDORES[[#This Row],[SUBTOTAL]]-PROVEEDORES[[#This Row],[descuento sobre subtotal]])*VLOOKUP(PROVEEDORES[[#This Row],[PROVEEDOR]],TERCEROS_INFO[#All],3,FALSE)</f>
        <v>0</v>
      </c>
      <c r="N1989" s="23"/>
      <c r="O1989" s="22">
        <f>+PROVEEDORES[[#This Row],[Descuento sobre subtotal %]]*(PROVEEDORES[[#This Row],[SUBTOTAL]]-PROVEEDORES[[#This Row],[descuento sobre subtotal]])</f>
        <v>0</v>
      </c>
      <c r="P1989" s="83">
        <f>+IF(PROVEEDORES[[#This Row],[SUBTOTAL]]&lt;PROVEEDORES[[#This Row],[base retencion]],0,PROVEEDORES[[#This Row],[retención aplicada]])</f>
        <v>0</v>
      </c>
      <c r="Q1989" s="22">
        <f>+PROVEEDORES[[#This Row],[Rete Fuente %]]*(PROVEEDORES[[#This Row],[SUBTOTAL]]-PROVEEDORES[[#This Row],[descuento sobre subtotal]])</f>
        <v>0</v>
      </c>
      <c r="R1989" s="21">
        <v>6935000</v>
      </c>
      <c r="S19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9" s="68">
        <f ca="1">IF(PROVEEDORES[[#This Row],[FECHA DE PAGO]]=0,TODAY()-PROVEEDORES[[#This Row],[FECHA DE FACTURACIÓN]]-PROVEEDORES[[#This Row],[PLAZO Días]],0)</f>
        <v>0</v>
      </c>
      <c r="U1989" s="96">
        <f>+VLOOKUP(PROVEEDORES[[#This Row],[PROVEEDOR]],Terceros!$A:$D,4,FALSE)</f>
        <v>0</v>
      </c>
      <c r="V1989" s="97">
        <f>+YEAR(PROVEEDORES[[#This Row],[FECHA DE FACTURACIÓN]])</f>
        <v>2022</v>
      </c>
      <c r="W1989" s="97">
        <f>+MATCH(PROVEEDORES[[#This Row],[año facturado]],Retenciones!$1:$1,0)</f>
        <v>5</v>
      </c>
      <c r="X1989" s="98">
        <f>+VLOOKUP(PROVEEDORES[[#This Row],[ID RETENCION]],Retenciones!$A$1:$O$25,PROVEEDORES[[#This Row],[indicador de columna]],FALSE)</f>
        <v>0</v>
      </c>
      <c r="Y1989" s="99">
        <f>+VLOOKUP(PROVEEDORES[[#This Row],[ID RETENCION]],Retenciones!$A$1:$O$25,2,FALSE)</f>
        <v>0</v>
      </c>
      <c r="Z1989" s="125" t="b">
        <f>OR(COUNTIF(PROVEEDORES[[#This Row],[PROVEEDOR]],"*"&amp;'Palabra no opera'!$A$2&amp;"*"))</f>
        <v>0</v>
      </c>
    </row>
    <row r="1990" spans="1:26" ht="22.2" customHeight="1" x14ac:dyDescent="0.3">
      <c r="A1990" s="66" t="str">
        <f>+IF(PROVEEDORES[[#This Row],[FECHA DE PAGO]]=PROVEEDORES[[#This Row],[FECHA DE FACTURACIÓN]],"DE CONTADO","CRÉDITO")</f>
        <v>CRÉDITO</v>
      </c>
      <c r="B1990" s="38" t="b">
        <f>+IF((PROVEEDORES[[#This Row],[FECHA DE PAGO]]-PROVEEDORES[[#This Row],[FECHA DE FACTURACIÓN]])&gt;PROVEEDORES[[#This Row],[PLAZO Días]],"PAGO VENCIDO")</f>
        <v>0</v>
      </c>
      <c r="C1990" s="20">
        <f>+VLOOKUP(PROVEEDORES[[#This Row],[PROVEEDOR]],TERCEROS_INFO[#All],2,FALSE)</f>
        <v>90</v>
      </c>
      <c r="D1990" s="25">
        <f>+SUMIFS(PROVEEDORES[Total],PROVEEDORES[PROVEEDOR],PROVEEDORES[[#This Row],[PROVEEDOR]],PROVEEDORES[FECHA DE PAGO],"")</f>
        <v>26350422.770000003</v>
      </c>
      <c r="E1990" s="25"/>
      <c r="F199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90" s="161">
        <v>44543</v>
      </c>
      <c r="H1990" s="26" t="s">
        <v>12</v>
      </c>
      <c r="I1990" s="161">
        <v>44462</v>
      </c>
      <c r="J1990" s="35" t="s">
        <v>479</v>
      </c>
      <c r="K1990" s="21">
        <v>5963030</v>
      </c>
      <c r="L1990" s="21"/>
      <c r="M1990" s="22">
        <f>(PROVEEDORES[[#This Row],[SUBTOTAL]]-PROVEEDORES[[#This Row],[descuento sobre subtotal]])*VLOOKUP(PROVEEDORES[[#This Row],[PROVEEDOR]],TERCEROS_INFO[#All],3,FALSE)</f>
        <v>1132975.7</v>
      </c>
      <c r="N1990" s="23"/>
      <c r="O1990" s="22">
        <f>+PROVEEDORES[[#This Row],[Descuento sobre subtotal %]]*(PROVEEDORES[[#This Row],[SUBTOTAL]]-PROVEEDORES[[#This Row],[descuento sobre subtotal]])</f>
        <v>0</v>
      </c>
      <c r="P1990" s="83">
        <f>+IF(PROVEEDORES[[#This Row],[SUBTOTAL]]&lt;PROVEEDORES[[#This Row],[base retencion]],0,PROVEEDORES[[#This Row],[retención aplicada]])</f>
        <v>2.5000000000000001E-2</v>
      </c>
      <c r="Q1990" s="22">
        <f>+PROVEEDORES[[#This Row],[Rete Fuente %]]*(PROVEEDORES[[#This Row],[SUBTOTAL]]-PROVEEDORES[[#This Row],[descuento sobre subtotal]])</f>
        <v>149075.75</v>
      </c>
      <c r="R1990" s="21">
        <f>+PROVEEDORES[[#This Row],[SUBTOTAL]]+PROVEEDORES[[#This Row],[IVA 19%]]-PROVEEDORES[[#This Row],[descuento sobre subtotal]]-PROVEEDORES[[#This Row],[Descuento sobre subtotal $2]]-PROVEEDORES[[#This Row],[Rete Fuente $]]</f>
        <v>6946929.9500000002</v>
      </c>
      <c r="S19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0" s="68">
        <f ca="1">IF(PROVEEDORES[[#This Row],[FECHA DE PAGO]]=0,TODAY()-PROVEEDORES[[#This Row],[FECHA DE FACTURACIÓN]]-PROVEEDORES[[#This Row],[PLAZO Días]],0)</f>
        <v>0</v>
      </c>
      <c r="U1990" s="96" t="str">
        <f>+VLOOKUP(PROVEEDORES[[#This Row],[PROVEEDOR]],Terceros!$A:$D,4,FALSE)</f>
        <v>2,5% con base</v>
      </c>
      <c r="V1990" s="97">
        <f>+YEAR(PROVEEDORES[[#This Row],[FECHA DE FACTURACIÓN]])</f>
        <v>2021</v>
      </c>
      <c r="W1990" s="97">
        <f>+MATCH(PROVEEDORES[[#This Row],[año facturado]],Retenciones!$1:$1,0)</f>
        <v>4</v>
      </c>
      <c r="X1990" s="98">
        <f>+VLOOKUP(PROVEEDORES[[#This Row],[ID RETENCION]],Retenciones!$A$1:$O$25,PROVEEDORES[[#This Row],[indicador de columna]],FALSE)</f>
        <v>980000</v>
      </c>
      <c r="Y1990" s="99">
        <f>+VLOOKUP(PROVEEDORES[[#This Row],[ID RETENCION]],Retenciones!$A$1:$O$25,2,FALSE)</f>
        <v>2.5000000000000001E-2</v>
      </c>
      <c r="Z1990" s="125" t="b">
        <f>OR(COUNTIF(PROVEEDORES[[#This Row],[PROVEEDOR]],"*"&amp;'Palabra no opera'!$A$2&amp;"*"))</f>
        <v>0</v>
      </c>
    </row>
    <row r="1991" spans="1:26" ht="22.2" customHeight="1" x14ac:dyDescent="0.3">
      <c r="A1991" s="66" t="str">
        <f>+IF(PROVEEDORES[[#This Row],[FECHA DE PAGO]]=PROVEEDORES[[#This Row],[FECHA DE FACTURACIÓN]],"DE CONTADO","CRÉDITO")</f>
        <v>CRÉDITO</v>
      </c>
      <c r="B1991" s="38" t="b">
        <f>+IF((PROVEEDORES[[#This Row],[FECHA DE PAGO]]-PROVEEDORES[[#This Row],[FECHA DE FACTURACIÓN]])&gt;PROVEEDORES[[#This Row],[PLAZO Días]],"PAGO VENCIDO")</f>
        <v>0</v>
      </c>
      <c r="C1991" s="20">
        <f>+VLOOKUP(PROVEEDORES[[#This Row],[PROVEEDOR]],TERCEROS_INFO[#All],2,FALSE)</f>
        <v>30</v>
      </c>
      <c r="D1991" s="25">
        <f>+SUMIFS(PROVEEDORES[Total],PROVEEDORES[PROVEEDOR],PROVEEDORES[[#This Row],[PROVEEDOR]],PROVEEDORES[FECHA DE PAGO],"")</f>
        <v>0</v>
      </c>
      <c r="E1991" s="25"/>
      <c r="F1991" s="58" t="str">
        <f>+VLOOKUP(PROVEEDORES[[#This Row],[PROVEEDOR]],
                       Terceros!$A:$F,
                       5,
                       FALSE)</f>
        <v/>
      </c>
      <c r="G1991" s="161">
        <v>44331</v>
      </c>
      <c r="H1991" s="26" t="s">
        <v>27</v>
      </c>
      <c r="I1991" s="161">
        <v>44319</v>
      </c>
      <c r="J1991" s="35" t="s">
        <v>324</v>
      </c>
      <c r="K1991" s="21">
        <v>7035320</v>
      </c>
      <c r="L1991" s="21"/>
      <c r="M1991" s="22">
        <f>(PROVEEDORES[[#This Row],[SUBTOTAL]]-PROVEEDORES[[#This Row],[descuento sobre subtotal]])*VLOOKUP(PROVEEDORES[[#This Row],[PROVEEDOR]],TERCEROS_INFO[#All],3,FALSE)</f>
        <v>0</v>
      </c>
      <c r="N1991" s="23"/>
      <c r="O1991" s="22">
        <f>+PROVEEDORES[[#This Row],[Descuento sobre subtotal %]]*(PROVEEDORES[[#This Row],[SUBTOTAL]]-PROVEEDORES[[#This Row],[descuento sobre subtotal]])</f>
        <v>0</v>
      </c>
      <c r="P1991" s="83">
        <f>+IF(PROVEEDORES[[#This Row],[SUBTOTAL]]&lt;PROVEEDORES[[#This Row],[base retencion]],0,PROVEEDORES[[#This Row],[retención aplicada]])</f>
        <v>0</v>
      </c>
      <c r="Q1991" s="22">
        <f>+PROVEEDORES[[#This Row],[Rete Fuente %]]*(PROVEEDORES[[#This Row],[SUBTOTAL]]-PROVEEDORES[[#This Row],[descuento sobre subtotal]])</f>
        <v>0</v>
      </c>
      <c r="R1991" s="21">
        <f>+PROVEEDORES[[#This Row],[SUBTOTAL]]+PROVEEDORES[[#This Row],[IVA 19%]]-PROVEEDORES[[#This Row],[descuento sobre subtotal]]-PROVEEDORES[[#This Row],[Descuento sobre subtotal $2]]-PROVEEDORES[[#This Row],[Rete Fuente $]]</f>
        <v>7035320</v>
      </c>
      <c r="S19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1" s="68">
        <f ca="1">IF(PROVEEDORES[[#This Row],[FECHA DE PAGO]]=0,TODAY()-PROVEEDORES[[#This Row],[FECHA DE FACTURACIÓN]]-PROVEEDORES[[#This Row],[PLAZO Días]],0)</f>
        <v>0</v>
      </c>
      <c r="U1991" s="96">
        <f>+VLOOKUP(PROVEEDORES[[#This Row],[PROVEEDOR]],Terceros!$A:$D,4,FALSE)</f>
        <v>0</v>
      </c>
      <c r="V1991" s="97">
        <f>+YEAR(PROVEEDORES[[#This Row],[FECHA DE FACTURACIÓN]])</f>
        <v>2021</v>
      </c>
      <c r="W1991" s="97">
        <f>+MATCH(PROVEEDORES[[#This Row],[año facturado]],Retenciones!$1:$1,0)</f>
        <v>4</v>
      </c>
      <c r="X1991" s="98">
        <f>+VLOOKUP(PROVEEDORES[[#This Row],[ID RETENCION]],Retenciones!$A$1:$O$25,PROVEEDORES[[#This Row],[indicador de columna]],FALSE)</f>
        <v>0</v>
      </c>
      <c r="Y1991" s="99">
        <f>+VLOOKUP(PROVEEDORES[[#This Row],[ID RETENCION]],Retenciones!$A$1:$O$25,2,FALSE)</f>
        <v>0</v>
      </c>
      <c r="Z1991" s="125" t="b">
        <f>OR(COUNTIF(PROVEEDORES[[#This Row],[PROVEEDOR]],"*"&amp;'Palabra no opera'!$A$2&amp;"*"))</f>
        <v>0</v>
      </c>
    </row>
    <row r="1992" spans="1:26" ht="22.2" customHeight="1" x14ac:dyDescent="0.3">
      <c r="A1992" s="66" t="str">
        <f>+IF(PROVEEDORES[[#This Row],[FECHA DE PAGO]]=PROVEEDORES[[#This Row],[FECHA DE FACTURACIÓN]],"DE CONTADO","CRÉDITO")</f>
        <v>CRÉDITO</v>
      </c>
      <c r="B1992" s="38" t="str">
        <f>+IF((PROVEEDORES[[#This Row],[FECHA DE PAGO]]-PROVEEDORES[[#This Row],[FECHA DE FACTURACIÓN]])&gt;PROVEEDORES[[#This Row],[PLAZO Días]],"PAGO VENCIDO")</f>
        <v>PAGO VENCIDO</v>
      </c>
      <c r="C1992" s="20">
        <f>+VLOOKUP(PROVEEDORES[[#This Row],[PROVEEDOR]],TERCEROS_INFO[#All],2,FALSE)</f>
        <v>30</v>
      </c>
      <c r="D1992" s="25">
        <f>+SUMIFS(PROVEEDORES[Total],PROVEEDORES[PROVEEDOR],PROVEEDORES[[#This Row],[PROVEEDOR]],PROVEEDORES[FECHA DE PAGO],"")</f>
        <v>3215000</v>
      </c>
      <c r="E1992" s="25"/>
      <c r="F1992" s="58" t="str">
        <f>+VLOOKUP(PROVEEDORES[[#This Row],[PROVEEDOR]],
                       Terceros!$A:$F,
                       5,
                       FALSE)</f>
        <v/>
      </c>
      <c r="G1992" s="161">
        <v>44620</v>
      </c>
      <c r="H1992" s="26" t="s">
        <v>671</v>
      </c>
      <c r="I1992" s="161">
        <v>44545</v>
      </c>
      <c r="J1992" s="35" t="s">
        <v>1362</v>
      </c>
      <c r="K1992" s="21">
        <v>7060000</v>
      </c>
      <c r="L1992" s="21"/>
      <c r="M1992" s="22">
        <v>0</v>
      </c>
      <c r="N1992" s="23"/>
      <c r="O1992" s="22">
        <v>0</v>
      </c>
      <c r="P1992" s="83">
        <f>+IF(PROVEEDORES[[#This Row],[SUBTOTAL]]&lt;PROVEEDORES[[#This Row],[base retencion]],0,PROVEEDORES[[#This Row],[retención aplicada]])</f>
        <v>0</v>
      </c>
      <c r="Q1992" s="22">
        <f>+PROVEEDORES[[#This Row],[Rete Fuente %]]*(PROVEEDORES[[#This Row],[SUBTOTAL]]-PROVEEDORES[[#This Row],[descuento sobre subtotal]])</f>
        <v>0</v>
      </c>
      <c r="R1992" s="21">
        <v>7060000</v>
      </c>
      <c r="S199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2" s="68">
        <f ca="1">IF(PROVEEDORES[[#This Row],[FECHA DE PAGO]]=0,TODAY()-PROVEEDORES[[#This Row],[FECHA DE FACTURACIÓN]]-PROVEEDORES[[#This Row],[PLAZO Días]],0)</f>
        <v>0</v>
      </c>
      <c r="U1992" s="96">
        <f>+VLOOKUP(PROVEEDORES[[#This Row],[PROVEEDOR]],Terceros!$A:$D,4,FALSE)</f>
        <v>0</v>
      </c>
      <c r="V1992" s="97">
        <f>+YEAR(PROVEEDORES[[#This Row],[FECHA DE FACTURACIÓN]])</f>
        <v>2021</v>
      </c>
      <c r="W1992" s="97">
        <f>+MATCH(PROVEEDORES[[#This Row],[año facturado]],Retenciones!$1:$1,0)</f>
        <v>4</v>
      </c>
      <c r="X1992" s="98">
        <f>+VLOOKUP(PROVEEDORES[[#This Row],[ID RETENCION]],Retenciones!$A$1:$O$25,PROVEEDORES[[#This Row],[indicador de columna]],FALSE)</f>
        <v>0</v>
      </c>
      <c r="Y1992" s="99">
        <f>+VLOOKUP(PROVEEDORES[[#This Row],[ID RETENCION]],Retenciones!$A$1:$O$25,2,FALSE)</f>
        <v>0</v>
      </c>
      <c r="Z1992" s="125" t="b">
        <f>OR(COUNTIF(PROVEEDORES[[#This Row],[PROVEEDOR]],"*"&amp;'Palabra no opera'!$A$2&amp;"*"))</f>
        <v>0</v>
      </c>
    </row>
    <row r="1993" spans="1:26" ht="22.2" customHeight="1" x14ac:dyDescent="0.3">
      <c r="A1993" s="66" t="str">
        <f>+IF(PROVEEDORES[[#This Row],[FECHA DE PAGO]]=PROVEEDORES[[#This Row],[FECHA DE FACTURACIÓN]],"DE CONTADO","CRÉDITO")</f>
        <v>DE CONTADO</v>
      </c>
      <c r="B1993" s="38" t="b">
        <f>+IF((PROVEEDORES[[#This Row],[FECHA DE PAGO]]-PROVEEDORES[[#This Row],[FECHA DE FACTURACIÓN]])&gt;PROVEEDORES[[#This Row],[PLAZO Días]],"PAGO VENCIDO")</f>
        <v>0</v>
      </c>
      <c r="C1993" s="20">
        <f>+VLOOKUP(PROVEEDORES[[#This Row],[PROVEEDOR]],TERCEROS_INFO[#All],2,FALSE)</f>
        <v>30</v>
      </c>
      <c r="D1993" s="25">
        <f>+SUMIFS(PROVEEDORES[Total],PROVEEDORES[PROVEEDOR],PROVEEDORES[[#This Row],[PROVEEDOR]],PROVEEDORES[FECHA DE PAGO],"")</f>
        <v>0</v>
      </c>
      <c r="E1993" s="25"/>
      <c r="F1993" s="5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1993" s="161">
        <v>44327</v>
      </c>
      <c r="H1993" s="26" t="s">
        <v>325</v>
      </c>
      <c r="I1993" s="161">
        <v>44327</v>
      </c>
      <c r="J1993" s="35" t="s">
        <v>1223</v>
      </c>
      <c r="K1993" s="21">
        <v>6017000</v>
      </c>
      <c r="L1993" s="21"/>
      <c r="M1993" s="22">
        <f>(PROVEEDORES[[#This Row],[SUBTOTAL]]-PROVEEDORES[[#This Row],[descuento sobre subtotal]])*VLOOKUP(PROVEEDORES[[#This Row],[PROVEEDOR]],TERCEROS_INFO[#All],3,FALSE)</f>
        <v>1143230</v>
      </c>
      <c r="N1993" s="23"/>
      <c r="O1993" s="22">
        <f>+PROVEEDORES[[#This Row],[Descuento sobre subtotal %]]*(PROVEEDORES[[#This Row],[SUBTOTAL]]-PROVEEDORES[[#This Row],[descuento sobre subtotal]])</f>
        <v>0</v>
      </c>
      <c r="P1993" s="83">
        <f>+IF(PROVEEDORES[[#This Row],[SUBTOTAL]]&lt;PROVEEDORES[[#This Row],[base retencion]],0,PROVEEDORES[[#This Row],[retención aplicada]])</f>
        <v>0.01</v>
      </c>
      <c r="Q1993" s="22">
        <f>+PROVEEDORES[[#This Row],[Rete Fuente %]]*(PROVEEDORES[[#This Row],[SUBTOTAL]]-PROVEEDORES[[#This Row],[descuento sobre subtotal]])</f>
        <v>60170</v>
      </c>
      <c r="R1993" s="21">
        <f>+PROVEEDORES[[#This Row],[SUBTOTAL]]+PROVEEDORES[[#This Row],[IVA 19%]]-PROVEEDORES[[#This Row],[descuento sobre subtotal]]-PROVEEDORES[[#This Row],[Descuento sobre subtotal $2]]-PROVEEDORES[[#This Row],[Rete Fuente $]]</f>
        <v>7100060</v>
      </c>
      <c r="S19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3" s="68">
        <f ca="1">IF(PROVEEDORES[[#This Row],[FECHA DE PAGO]]=0,TODAY()-PROVEEDORES[[#This Row],[FECHA DE FACTURACIÓN]]-PROVEEDORES[[#This Row],[PLAZO Días]],0)</f>
        <v>0</v>
      </c>
      <c r="U1993" s="96" t="str">
        <f>+VLOOKUP(PROVEEDORES[[#This Row],[PROVEEDOR]],Terceros!$A:$D,4,FALSE)</f>
        <v>1% sin base</v>
      </c>
      <c r="V1993" s="97">
        <f>+YEAR(PROVEEDORES[[#This Row],[FECHA DE FACTURACIÓN]])</f>
        <v>2021</v>
      </c>
      <c r="W1993" s="97">
        <f>+MATCH(PROVEEDORES[[#This Row],[año facturado]],Retenciones!$1:$1,0)</f>
        <v>4</v>
      </c>
      <c r="X1993" s="98">
        <f>+VLOOKUP(PROVEEDORES[[#This Row],[ID RETENCION]],Retenciones!$A$1:$O$25,PROVEEDORES[[#This Row],[indicador de columna]],FALSE)</f>
        <v>0</v>
      </c>
      <c r="Y1993" s="99">
        <f>+VLOOKUP(PROVEEDORES[[#This Row],[ID RETENCION]],Retenciones!$A$1:$O$25,2,FALSE)</f>
        <v>0.01</v>
      </c>
      <c r="Z1993" s="125" t="b">
        <f>OR(COUNTIF(PROVEEDORES[[#This Row],[PROVEEDOR]],"*"&amp;'Palabra no opera'!$A$2&amp;"*"))</f>
        <v>0</v>
      </c>
    </row>
    <row r="1994" spans="1:26" ht="22.2" customHeight="1" x14ac:dyDescent="0.3">
      <c r="A1994" s="66" t="str">
        <f>+IF(PROVEEDORES[[#This Row],[FECHA DE PAGO]]=PROVEEDORES[[#This Row],[FECHA DE FACTURACIÓN]],"DE CONTADO","CRÉDITO")</f>
        <v>CRÉDITO</v>
      </c>
      <c r="B1994" s="38" t="str">
        <f>+IF((PROVEEDORES[[#This Row],[FECHA DE PAGO]]-PROVEEDORES[[#This Row],[FECHA DE FACTURACIÓN]])&gt;PROVEEDORES[[#This Row],[PLAZO Días]],"PAGO VENCIDO")</f>
        <v>PAGO VENCIDO</v>
      </c>
      <c r="C1994" s="20">
        <f>+VLOOKUP(PROVEEDORES[[#This Row],[PROVEEDOR]],TERCEROS_INFO[#All],2,FALSE)</f>
        <v>30</v>
      </c>
      <c r="D1994" s="25">
        <f>+SUMIFS(PROVEEDORES[Total],PROVEEDORES[PROVEEDOR],PROVEEDORES[[#This Row],[PROVEEDOR]],PROVEEDORES[FECHA DE PAGO],"")</f>
        <v>0</v>
      </c>
      <c r="E1994" s="25"/>
      <c r="F1994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994" s="161">
        <v>44432</v>
      </c>
      <c r="H1994" s="26" t="s">
        <v>46</v>
      </c>
      <c r="I1994" s="161">
        <v>44371</v>
      </c>
      <c r="J1994" s="35">
        <v>160218083</v>
      </c>
      <c r="K1994" s="21">
        <v>5978400</v>
      </c>
      <c r="L1994" s="21"/>
      <c r="M1994" s="22">
        <f>(PROVEEDORES[[#This Row],[SUBTOTAL]]-PROVEEDORES[[#This Row],[descuento sobre subtotal]])*VLOOKUP(PROVEEDORES[[#This Row],[PROVEEDOR]],TERCEROS_INFO[#All],3,FALSE)</f>
        <v>1135896</v>
      </c>
      <c r="N1994" s="23"/>
      <c r="O1994" s="22">
        <f>+PROVEEDORES[[#This Row],[Descuento sobre subtotal %]]*(PROVEEDORES[[#This Row],[SUBTOTAL]]-PROVEEDORES[[#This Row],[descuento sobre subtotal]])</f>
        <v>0</v>
      </c>
      <c r="P1994" s="83">
        <f>+IF(PROVEEDORES[[#This Row],[SUBTOTAL]]&lt;PROVEEDORES[[#This Row],[base retencion]],0,PROVEEDORES[[#This Row],[retención aplicada]])</f>
        <v>0</v>
      </c>
      <c r="Q1994" s="22">
        <f>+PROVEEDORES[[#This Row],[Rete Fuente %]]*(PROVEEDORES[[#This Row],[SUBTOTAL]]-PROVEEDORES[[#This Row],[descuento sobre subtotal]])</f>
        <v>0</v>
      </c>
      <c r="R1994" s="21">
        <f>+PROVEEDORES[[#This Row],[SUBTOTAL]]+PROVEEDORES[[#This Row],[IVA 19%]]-PROVEEDORES[[#This Row],[descuento sobre subtotal]]-PROVEEDORES[[#This Row],[Descuento sobre subtotal $2]]-PROVEEDORES[[#This Row],[Rete Fuente $]]</f>
        <v>7114296</v>
      </c>
      <c r="S199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4" s="68">
        <f ca="1">IF(PROVEEDORES[[#This Row],[FECHA DE PAGO]]=0,TODAY()-PROVEEDORES[[#This Row],[FECHA DE FACTURACIÓN]]-PROVEEDORES[[#This Row],[PLAZO Días]],0)</f>
        <v>0</v>
      </c>
      <c r="U1994" s="96">
        <f>+VLOOKUP(PROVEEDORES[[#This Row],[PROVEEDOR]],Terceros!$A:$D,4,FALSE)</f>
        <v>0</v>
      </c>
      <c r="V1994" s="97">
        <f>+YEAR(PROVEEDORES[[#This Row],[FECHA DE FACTURACIÓN]])</f>
        <v>2021</v>
      </c>
      <c r="W1994" s="97">
        <f>+MATCH(PROVEEDORES[[#This Row],[año facturado]],Retenciones!$1:$1,0)</f>
        <v>4</v>
      </c>
      <c r="X1994" s="98">
        <f>+VLOOKUP(PROVEEDORES[[#This Row],[ID RETENCION]],Retenciones!$A$1:$O$25,PROVEEDORES[[#This Row],[indicador de columna]],FALSE)</f>
        <v>0</v>
      </c>
      <c r="Y1994" s="99">
        <f>+VLOOKUP(PROVEEDORES[[#This Row],[ID RETENCION]],Retenciones!$A$1:$O$25,2,FALSE)</f>
        <v>0</v>
      </c>
      <c r="Z1994" s="125" t="b">
        <f>OR(COUNTIF(PROVEEDORES[[#This Row],[PROVEEDOR]],"*"&amp;'Palabra no opera'!$A$2&amp;"*"))</f>
        <v>0</v>
      </c>
    </row>
    <row r="1995" spans="1:26" ht="22.2" customHeight="1" x14ac:dyDescent="0.3">
      <c r="A1995" s="66" t="str">
        <f>+IF(PROVEEDORES[[#This Row],[FECHA DE PAGO]]=PROVEEDORES[[#This Row],[FECHA DE FACTURACIÓN]],"DE CONTADO","CRÉDITO")</f>
        <v>DE CONTADO</v>
      </c>
      <c r="B1995" s="38" t="b">
        <f>+IF((PROVEEDORES[[#This Row],[FECHA DE PAGO]]-PROVEEDORES[[#This Row],[FECHA DE FACTURACIÓN]])&gt;PROVEEDORES[[#This Row],[PLAZO Días]],"PAGO VENCIDO")</f>
        <v>0</v>
      </c>
      <c r="C1995" s="20">
        <f>+VLOOKUP(PROVEEDORES[[#This Row],[PROVEEDOR]],TERCEROS_INFO[#All],2,FALSE)</f>
        <v>30</v>
      </c>
      <c r="D1995" s="25">
        <f>+SUMIFS(PROVEEDORES[Total],PROVEEDORES[PROVEEDOR],PROVEEDORES[[#This Row],[PROVEEDOR]],PROVEEDORES[FECHA DE PAGO],"")</f>
        <v>5430852.9800000004</v>
      </c>
      <c r="E1995" s="25"/>
      <c r="F199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995" s="161">
        <v>44420</v>
      </c>
      <c r="H1995" s="26" t="s">
        <v>408</v>
      </c>
      <c r="I1995" s="161">
        <v>44420</v>
      </c>
      <c r="J1995" s="35">
        <v>129428</v>
      </c>
      <c r="K1995" s="21">
        <v>6870528</v>
      </c>
      <c r="L1995" s="21">
        <v>878741</v>
      </c>
      <c r="M1995" s="22">
        <f>(PROVEEDORES[[#This Row],[SUBTOTAL]]-PROVEEDORES[[#This Row],[descuento sobre subtotal]])*VLOOKUP(PROVEEDORES[[#This Row],[PROVEEDOR]],TERCEROS_INFO[#All],3,FALSE)</f>
        <v>1138439.53</v>
      </c>
      <c r="N1995" s="23"/>
      <c r="O1995" s="22">
        <f>+PROVEEDORES[[#This Row],[Descuento sobre subtotal %]]*(PROVEEDORES[[#This Row],[SUBTOTAL]]-PROVEEDORES[[#This Row],[descuento sobre subtotal]])</f>
        <v>0</v>
      </c>
      <c r="P1995" s="83">
        <f>+IF(PROVEEDORES[[#This Row],[SUBTOTAL]]&lt;PROVEEDORES[[#This Row],[base retencion]],0,PROVEEDORES[[#This Row],[retención aplicada]])</f>
        <v>0</v>
      </c>
      <c r="Q1995" s="22">
        <f>+PROVEEDORES[[#This Row],[Rete Fuente %]]*(PROVEEDORES[[#This Row],[SUBTOTAL]]-PROVEEDORES[[#This Row],[descuento sobre subtotal]])</f>
        <v>0</v>
      </c>
      <c r="R1995" s="21">
        <f>+PROVEEDORES[[#This Row],[SUBTOTAL]]+PROVEEDORES[[#This Row],[IVA 19%]]-PROVEEDORES[[#This Row],[descuento sobre subtotal]]-PROVEEDORES[[#This Row],[Descuento sobre subtotal $2]]-PROVEEDORES[[#This Row],[Rete Fuente $]]</f>
        <v>7130226.5300000003</v>
      </c>
      <c r="S19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5" s="68">
        <f ca="1">IF(PROVEEDORES[[#This Row],[FECHA DE PAGO]]=0,TODAY()-PROVEEDORES[[#This Row],[FECHA DE FACTURACIÓN]]-PROVEEDORES[[#This Row],[PLAZO Días]],0)</f>
        <v>0</v>
      </c>
      <c r="U1995" s="96">
        <f>+VLOOKUP(PROVEEDORES[[#This Row],[PROVEEDOR]],Terceros!$A:$D,4,FALSE)</f>
        <v>0</v>
      </c>
      <c r="V1995" s="97">
        <f>+YEAR(PROVEEDORES[[#This Row],[FECHA DE FACTURACIÓN]])</f>
        <v>2021</v>
      </c>
      <c r="W1995" s="97">
        <f>+MATCH(PROVEEDORES[[#This Row],[año facturado]],Retenciones!$1:$1,0)</f>
        <v>4</v>
      </c>
      <c r="X1995" s="98">
        <f>+VLOOKUP(PROVEEDORES[[#This Row],[ID RETENCION]],Retenciones!$A$1:$O$25,PROVEEDORES[[#This Row],[indicador de columna]],FALSE)</f>
        <v>0</v>
      </c>
      <c r="Y1995" s="99">
        <f>+VLOOKUP(PROVEEDORES[[#This Row],[ID RETENCION]],Retenciones!$A$1:$O$25,2,FALSE)</f>
        <v>0</v>
      </c>
      <c r="Z1995" s="125" t="b">
        <f>OR(COUNTIF(PROVEEDORES[[#This Row],[PROVEEDOR]],"*"&amp;'Palabra no opera'!$A$2&amp;"*"))</f>
        <v>0</v>
      </c>
    </row>
    <row r="1996" spans="1:26" ht="22.2" customHeight="1" x14ac:dyDescent="0.3">
      <c r="A1996" s="66" t="str">
        <f>+IF(PROVEEDORES[[#This Row],[FECHA DE PAGO]]=PROVEEDORES[[#This Row],[FECHA DE FACTURACIÓN]],"DE CONTADO","CRÉDITO")</f>
        <v>CRÉDITO</v>
      </c>
      <c r="B1996" s="38" t="b">
        <f>+IF((PROVEEDORES[[#This Row],[FECHA DE PAGO]]-PROVEEDORES[[#This Row],[FECHA DE FACTURACIÓN]])&gt;PROVEEDORES[[#This Row],[PLAZO Días]],"PAGO VENCIDO")</f>
        <v>0</v>
      </c>
      <c r="C1996" s="20">
        <f>+VLOOKUP(PROVEEDORES[[#This Row],[PROVEEDOR]],TERCEROS_INFO[#All],2,FALSE)</f>
        <v>10</v>
      </c>
      <c r="D1996" s="25">
        <f>+SUMIFS(PROVEEDORES[Total],PROVEEDORES[PROVEEDOR],PROVEEDORES[[#This Row],[PROVEEDOR]],PROVEEDORES[FECHA DE PAGO],"")</f>
        <v>0</v>
      </c>
      <c r="E1996" s="25"/>
      <c r="F1996" s="58" t="str">
        <f>+VLOOKUP(PROVEEDORES[[#This Row],[PROVEEDOR]],
                       Terceros!$A:$F,
                       5,
                       FALSE)</f>
        <v/>
      </c>
      <c r="G1996" s="161">
        <v>44484</v>
      </c>
      <c r="H1996" s="26" t="s">
        <v>23</v>
      </c>
      <c r="I1996" s="161">
        <v>44475</v>
      </c>
      <c r="J1996" s="35">
        <v>285759</v>
      </c>
      <c r="K1996" s="21">
        <v>7167218</v>
      </c>
      <c r="L1996" s="21"/>
      <c r="M1996" s="22">
        <f>(PROVEEDORES[[#This Row],[SUBTOTAL]]-PROVEEDORES[[#This Row],[descuento sobre subtotal]])*VLOOKUP(PROVEEDORES[[#This Row],[PROVEEDOR]],TERCEROS_INFO[#All],3,FALSE)</f>
        <v>0</v>
      </c>
      <c r="N1996" s="23"/>
      <c r="O1996" s="22">
        <f>+PROVEEDORES[[#This Row],[Descuento sobre subtotal %]]*(PROVEEDORES[[#This Row],[SUBTOTAL]]-PROVEEDORES[[#This Row],[descuento sobre subtotal]])</f>
        <v>0</v>
      </c>
      <c r="P1996" s="83">
        <f>+IF(PROVEEDORES[[#This Row],[SUBTOTAL]]&lt;PROVEEDORES[[#This Row],[base retencion]],0,PROVEEDORES[[#This Row],[retención aplicada]])</f>
        <v>0</v>
      </c>
      <c r="Q1996" s="22">
        <f>+PROVEEDORES[[#This Row],[Rete Fuente %]]*(PROVEEDORES[[#This Row],[SUBTOTAL]]-PROVEEDORES[[#This Row],[descuento sobre subtotal]])</f>
        <v>0</v>
      </c>
      <c r="R1996" s="21">
        <f>+PROVEEDORES[[#This Row],[SUBTOTAL]]+PROVEEDORES[[#This Row],[IVA 19%]]-PROVEEDORES[[#This Row],[descuento sobre subtotal]]-PROVEEDORES[[#This Row],[Descuento sobre subtotal $2]]-PROVEEDORES[[#This Row],[Rete Fuente $]]</f>
        <v>7167218</v>
      </c>
      <c r="S19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6" s="68">
        <f ca="1">IF(PROVEEDORES[[#This Row],[FECHA DE PAGO]]=0,TODAY()-PROVEEDORES[[#This Row],[FECHA DE FACTURACIÓN]]-PROVEEDORES[[#This Row],[PLAZO Días]],0)</f>
        <v>0</v>
      </c>
      <c r="U1996" s="96">
        <f>+VLOOKUP(PROVEEDORES[[#This Row],[PROVEEDOR]],Terceros!$A:$D,4,FALSE)</f>
        <v>0</v>
      </c>
      <c r="V1996" s="97">
        <f>+YEAR(PROVEEDORES[[#This Row],[FECHA DE FACTURACIÓN]])</f>
        <v>2021</v>
      </c>
      <c r="W1996" s="97">
        <f>+MATCH(PROVEEDORES[[#This Row],[año facturado]],Retenciones!$1:$1,0)</f>
        <v>4</v>
      </c>
      <c r="X1996" s="98">
        <f>+VLOOKUP(PROVEEDORES[[#This Row],[ID RETENCION]],Retenciones!$A$1:$O$25,PROVEEDORES[[#This Row],[indicador de columna]],FALSE)</f>
        <v>0</v>
      </c>
      <c r="Y1996" s="99">
        <f>+VLOOKUP(PROVEEDORES[[#This Row],[ID RETENCION]],Retenciones!$A$1:$O$25,2,FALSE)</f>
        <v>0</v>
      </c>
      <c r="Z1996" s="125" t="b">
        <f>OR(COUNTIF(PROVEEDORES[[#This Row],[PROVEEDOR]],"*"&amp;'Palabra no opera'!$A$2&amp;"*"))</f>
        <v>0</v>
      </c>
    </row>
    <row r="1997" spans="1:26" ht="22.2" customHeight="1" x14ac:dyDescent="0.3">
      <c r="A1997" s="66" t="str">
        <f>+IF(PROVEEDORES[[#This Row],[FECHA DE PAGO]]=PROVEEDORES[[#This Row],[FECHA DE FACTURACIÓN]],"DE CONTADO","CRÉDITO")</f>
        <v>CRÉDITO</v>
      </c>
      <c r="B1997" s="38" t="b">
        <f>+IF((PROVEEDORES[[#This Row],[FECHA DE PAGO]]-PROVEEDORES[[#This Row],[FECHA DE FACTURACIÓN]])&gt;PROVEEDORES[[#This Row],[PLAZO Días]],"PAGO VENCIDO")</f>
        <v>0</v>
      </c>
      <c r="C1997" s="20">
        <f>+VLOOKUP(PROVEEDORES[[#This Row],[PROVEEDOR]],TERCEROS_INFO[#All],2,FALSE)</f>
        <v>30</v>
      </c>
      <c r="D1997" s="25">
        <f>+SUMIFS(PROVEEDORES[Total],PROVEEDORES[PROVEEDOR],PROVEEDORES[[#This Row],[PROVEEDOR]],PROVEEDORES[FECHA DE PAGO],"")</f>
        <v>0</v>
      </c>
      <c r="E1997" s="25"/>
      <c r="F1997" s="58" t="str">
        <f>+VLOOKUP(PROVEEDORES[[#This Row],[PROVEEDOR]],
                       Terceros!$A:$F,
                       5,
                       FALSE)</f>
        <v/>
      </c>
      <c r="G1997" s="161">
        <v>44540</v>
      </c>
      <c r="H1997" s="26" t="s">
        <v>638</v>
      </c>
      <c r="I1997" s="161">
        <v>44539</v>
      </c>
      <c r="J1997" s="35" t="s">
        <v>1358</v>
      </c>
      <c r="K1997" s="21">
        <v>7237400</v>
      </c>
      <c r="L1997" s="21"/>
      <c r="M1997" s="22">
        <f>(PROVEEDORES[[#This Row],[SUBTOTAL]]-PROVEEDORES[[#This Row],[descuento sobre subtotal]])*VLOOKUP(PROVEEDORES[[#This Row],[PROVEEDOR]],TERCEROS_INFO[#All],3,FALSE)</f>
        <v>0</v>
      </c>
      <c r="N1997" s="23"/>
      <c r="O1997" s="22">
        <f>+PROVEEDORES[[#This Row],[Descuento sobre subtotal %]]*(PROVEEDORES[[#This Row],[SUBTOTAL]]-PROVEEDORES[[#This Row],[descuento sobre subtotal]])</f>
        <v>0</v>
      </c>
      <c r="P1997" s="83">
        <f>+IF(PROVEEDORES[[#This Row],[SUBTOTAL]]&lt;PROVEEDORES[[#This Row],[base retencion]],0,PROVEEDORES[[#This Row],[retención aplicada]])</f>
        <v>0</v>
      </c>
      <c r="Q1997" s="22">
        <f>+PROVEEDORES[[#This Row],[Rete Fuente %]]*(PROVEEDORES[[#This Row],[SUBTOTAL]]-PROVEEDORES[[#This Row],[descuento sobre subtotal]])</f>
        <v>0</v>
      </c>
      <c r="R1997" s="21">
        <f>+PROVEEDORES[[#This Row],[SUBTOTAL]]+PROVEEDORES[[#This Row],[IVA 19%]]-PROVEEDORES[[#This Row],[descuento sobre subtotal]]-PROVEEDORES[[#This Row],[Descuento sobre subtotal $2]]-PROVEEDORES[[#This Row],[Rete Fuente $]]</f>
        <v>7237400</v>
      </c>
      <c r="S19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7" s="68">
        <f ca="1">IF(PROVEEDORES[[#This Row],[FECHA DE PAGO]]=0,TODAY()-PROVEEDORES[[#This Row],[FECHA DE FACTURACIÓN]]-PROVEEDORES[[#This Row],[PLAZO Días]],0)</f>
        <v>0</v>
      </c>
      <c r="U1997" s="96">
        <f>+VLOOKUP(PROVEEDORES[[#This Row],[PROVEEDOR]],Terceros!$A:$D,4,FALSE)</f>
        <v>0</v>
      </c>
      <c r="V1997" s="97">
        <f>+YEAR(PROVEEDORES[[#This Row],[FECHA DE FACTURACIÓN]])</f>
        <v>2021</v>
      </c>
      <c r="W1997" s="97">
        <f>+MATCH(PROVEEDORES[[#This Row],[año facturado]],Retenciones!$1:$1,0)</f>
        <v>4</v>
      </c>
      <c r="X1997" s="98">
        <f>+VLOOKUP(PROVEEDORES[[#This Row],[ID RETENCION]],Retenciones!$A$1:$O$25,PROVEEDORES[[#This Row],[indicador de columna]],FALSE)</f>
        <v>0</v>
      </c>
      <c r="Y1997" s="99">
        <f>+VLOOKUP(PROVEEDORES[[#This Row],[ID RETENCION]],Retenciones!$A$1:$O$25,2,FALSE)</f>
        <v>0</v>
      </c>
      <c r="Z1997" s="125" t="b">
        <f>OR(COUNTIF(PROVEEDORES[[#This Row],[PROVEEDOR]],"*"&amp;'Palabra no opera'!$A$2&amp;"*"))</f>
        <v>0</v>
      </c>
    </row>
    <row r="1998" spans="1:26" ht="22.2" customHeight="1" x14ac:dyDescent="0.3">
      <c r="A1998" s="66" t="str">
        <f>+IF(PROVEEDORES[[#This Row],[FECHA DE PAGO]]=PROVEEDORES[[#This Row],[FECHA DE FACTURACIÓN]],"DE CONTADO","CRÉDITO")</f>
        <v>CRÉDITO</v>
      </c>
      <c r="B1998" s="38" t="str">
        <f>+IF((PROVEEDORES[[#This Row],[FECHA DE PAGO]]-PROVEEDORES[[#This Row],[FECHA DE FACTURACIÓN]])&gt;PROVEEDORES[[#This Row],[PLAZO Días]],"PAGO VENCIDO")</f>
        <v>PAGO VENCIDO</v>
      </c>
      <c r="C1998" s="20">
        <f>+VLOOKUP(PROVEEDORES[[#This Row],[PROVEEDOR]],TERCEROS_INFO[#All],2,FALSE)</f>
        <v>90</v>
      </c>
      <c r="D1998" s="25">
        <f>+SUMIFS(PROVEEDORES[Total],PROVEEDORES[PROVEEDOR],PROVEEDORES[[#This Row],[PROVEEDOR]],PROVEEDORES[FECHA DE PAGO],"")</f>
        <v>26350422.770000003</v>
      </c>
      <c r="E1998" s="25"/>
      <c r="F199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98" s="161">
        <v>44491</v>
      </c>
      <c r="H1998" s="26" t="s">
        <v>12</v>
      </c>
      <c r="I1998" s="161">
        <v>44390</v>
      </c>
      <c r="J1998" s="35" t="s">
        <v>385</v>
      </c>
      <c r="K1998" s="21">
        <v>6247056</v>
      </c>
      <c r="L1998" s="21"/>
      <c r="M1998" s="22">
        <f>(PROVEEDORES[[#This Row],[SUBTOTAL]]-PROVEEDORES[[#This Row],[descuento sobre subtotal]])*VLOOKUP(PROVEEDORES[[#This Row],[PROVEEDOR]],TERCEROS_INFO[#All],3,FALSE)</f>
        <v>1186940.6399999999</v>
      </c>
      <c r="N1998" s="23"/>
      <c r="O1998" s="22">
        <f>+PROVEEDORES[[#This Row],[Descuento sobre subtotal %]]*(PROVEEDORES[[#This Row],[SUBTOTAL]]-PROVEEDORES[[#This Row],[descuento sobre subtotal]])</f>
        <v>0</v>
      </c>
      <c r="P1998" s="83">
        <f>+IF(PROVEEDORES[[#This Row],[SUBTOTAL]]&lt;PROVEEDORES[[#This Row],[base retencion]],0,PROVEEDORES[[#This Row],[retención aplicada]])</f>
        <v>2.5000000000000001E-2</v>
      </c>
      <c r="Q1998" s="22">
        <f>+PROVEEDORES[[#This Row],[Rete Fuente %]]*(PROVEEDORES[[#This Row],[SUBTOTAL]]-PROVEEDORES[[#This Row],[descuento sobre subtotal]])</f>
        <v>156176.4</v>
      </c>
      <c r="R1998" s="21">
        <f>+PROVEEDORES[[#This Row],[SUBTOTAL]]+PROVEEDORES[[#This Row],[IVA 19%]]-PROVEEDORES[[#This Row],[descuento sobre subtotal]]-PROVEEDORES[[#This Row],[Descuento sobre subtotal $2]]-PROVEEDORES[[#This Row],[Rete Fuente $]]</f>
        <v>7277820.2399999993</v>
      </c>
      <c r="S19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8" s="68">
        <f ca="1">IF(PROVEEDORES[[#This Row],[FECHA DE PAGO]]=0,TODAY()-PROVEEDORES[[#This Row],[FECHA DE FACTURACIÓN]]-PROVEEDORES[[#This Row],[PLAZO Días]],0)</f>
        <v>0</v>
      </c>
      <c r="U1998" s="96" t="str">
        <f>+VLOOKUP(PROVEEDORES[[#This Row],[PROVEEDOR]],Terceros!$A:$D,4,FALSE)</f>
        <v>2,5% con base</v>
      </c>
      <c r="V1998" s="97">
        <f>+YEAR(PROVEEDORES[[#This Row],[FECHA DE FACTURACIÓN]])</f>
        <v>2021</v>
      </c>
      <c r="W1998" s="97">
        <f>+MATCH(PROVEEDORES[[#This Row],[año facturado]],Retenciones!$1:$1,0)</f>
        <v>4</v>
      </c>
      <c r="X1998" s="98">
        <f>+VLOOKUP(PROVEEDORES[[#This Row],[ID RETENCION]],Retenciones!$A$1:$O$25,PROVEEDORES[[#This Row],[indicador de columna]],FALSE)</f>
        <v>980000</v>
      </c>
      <c r="Y1998" s="99">
        <f>+VLOOKUP(PROVEEDORES[[#This Row],[ID RETENCION]],Retenciones!$A$1:$O$25,2,FALSE)</f>
        <v>2.5000000000000001E-2</v>
      </c>
      <c r="Z1998" s="125" t="b">
        <f>OR(COUNTIF(PROVEEDORES[[#This Row],[PROVEEDOR]],"*"&amp;'Palabra no opera'!$A$2&amp;"*"))</f>
        <v>0</v>
      </c>
    </row>
    <row r="1999" spans="1:26" ht="22.2" customHeight="1" x14ac:dyDescent="0.3">
      <c r="A1999" s="66" t="str">
        <f>+IF(PROVEEDORES[[#This Row],[FECHA DE PAGO]]=PROVEEDORES[[#This Row],[FECHA DE FACTURACIÓN]],"DE CONTADO","CRÉDITO")</f>
        <v>CRÉDITO</v>
      </c>
      <c r="B1999" s="38" t="str">
        <f>+IF((PROVEEDORES[[#This Row],[FECHA DE PAGO]]-PROVEEDORES[[#This Row],[FECHA DE FACTURACIÓN]])&gt;PROVEEDORES[[#This Row],[PLAZO Días]],"PAGO VENCIDO")</f>
        <v>PAGO VENCIDO</v>
      </c>
      <c r="C1999" s="20">
        <f>+VLOOKUP(PROVEEDORES[[#This Row],[PROVEEDOR]],TERCEROS_INFO[#All],2,FALSE)</f>
        <v>60</v>
      </c>
      <c r="D1999" s="25">
        <f>+SUMIFS(PROVEEDORES[Total],PROVEEDORES[PROVEEDOR],PROVEEDORES[[#This Row],[PROVEEDOR]],PROVEEDORES[FECHA DE PAGO],"")</f>
        <v>23264500</v>
      </c>
      <c r="E1999" s="25"/>
      <c r="F1999" s="58">
        <f>+VLOOKUP(PROVEEDORES[[#This Row],[PROVEEDOR]],
                       Terceros!$A:$F,
                       5,
                       FALSE)</f>
        <v>0</v>
      </c>
      <c r="G1999" s="161">
        <v>44638</v>
      </c>
      <c r="H1999" s="26" t="s">
        <v>1429</v>
      </c>
      <c r="I1999" s="161">
        <v>44550</v>
      </c>
      <c r="J1999" s="35" t="s">
        <v>731</v>
      </c>
      <c r="K1999" s="21">
        <v>6258400</v>
      </c>
      <c r="L1999" s="21"/>
      <c r="M1999" s="22">
        <v>1189096</v>
      </c>
      <c r="N1999" s="23"/>
      <c r="O1999" s="22">
        <v>0</v>
      </c>
      <c r="P1999" s="83">
        <f>+IF(PROVEEDORES[[#This Row],[SUBTOTAL]]&lt;PROVEEDORES[[#This Row],[base retencion]],0,PROVEEDORES[[#This Row],[retención aplicada]])</f>
        <v>0</v>
      </c>
      <c r="Q1999" s="22">
        <f>+PROVEEDORES[[#This Row],[Rete Fuente %]]*(PROVEEDORES[[#This Row],[SUBTOTAL]]-PROVEEDORES[[#This Row],[descuento sobre subtotal]])</f>
        <v>0</v>
      </c>
      <c r="R1999" s="21">
        <v>7291036</v>
      </c>
      <c r="S19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9" s="68">
        <f ca="1">IF(PROVEEDORES[[#This Row],[FECHA DE PAGO]]=0,TODAY()-PROVEEDORES[[#This Row],[FECHA DE FACTURACIÓN]]-PROVEEDORES[[#This Row],[PLAZO Días]],0)</f>
        <v>0</v>
      </c>
      <c r="U1999" s="96">
        <f>+VLOOKUP(PROVEEDORES[[#This Row],[PROVEEDOR]],Terceros!$A:$D,4,FALSE)</f>
        <v>0</v>
      </c>
      <c r="V1999" s="97">
        <f>+YEAR(PROVEEDORES[[#This Row],[FECHA DE FACTURACIÓN]])</f>
        <v>2021</v>
      </c>
      <c r="W1999" s="97">
        <f>+MATCH(PROVEEDORES[[#This Row],[año facturado]],Retenciones!$1:$1,0)</f>
        <v>4</v>
      </c>
      <c r="X1999" s="98">
        <f>+VLOOKUP(PROVEEDORES[[#This Row],[ID RETENCION]],Retenciones!$A$1:$O$25,PROVEEDORES[[#This Row],[indicador de columna]],FALSE)</f>
        <v>0</v>
      </c>
      <c r="Y1999" s="99">
        <f>+VLOOKUP(PROVEEDORES[[#This Row],[ID RETENCION]],Retenciones!$A$1:$O$25,2,FALSE)</f>
        <v>0</v>
      </c>
      <c r="Z1999" s="125" t="b">
        <f>OR(COUNTIF(PROVEEDORES[[#This Row],[PROVEEDOR]],"*"&amp;'Palabra no opera'!$A$2&amp;"*"))</f>
        <v>1</v>
      </c>
    </row>
    <row r="2000" spans="1:26" ht="22.2" customHeight="1" x14ac:dyDescent="0.3">
      <c r="A2000" s="66" t="str">
        <f>+IF(PROVEEDORES[[#This Row],[FECHA DE PAGO]]=PROVEEDORES[[#This Row],[FECHA DE FACTURACIÓN]],"DE CONTADO","CRÉDITO")</f>
        <v>CRÉDITO</v>
      </c>
      <c r="B2000" s="38" t="b">
        <f>+IF((PROVEEDORES[[#This Row],[FECHA DE PAGO]]-PROVEEDORES[[#This Row],[FECHA DE FACTURACIÓN]])&gt;PROVEEDORES[[#This Row],[PLAZO Días]],"PAGO VENCIDO")</f>
        <v>0</v>
      </c>
      <c r="C2000" s="20">
        <f>+VLOOKUP(PROVEEDORES[[#This Row],[PROVEEDOR]],TERCEROS_INFO[#All],2,FALSE)</f>
        <v>60</v>
      </c>
      <c r="D2000" s="25">
        <f>+SUMIFS(PROVEEDORES[Total],PROVEEDORES[PROVEEDOR],PROVEEDORES[[#This Row],[PROVEEDOR]],PROVEEDORES[FECHA DE PAGO],"")</f>
        <v>23264500</v>
      </c>
      <c r="E2000" s="25"/>
      <c r="F2000" s="58">
        <f>+VLOOKUP(PROVEEDORES[[#This Row],[PROVEEDOR]],
                       Terceros!$A:$F,
                       5,
                       FALSE)</f>
        <v>0</v>
      </c>
      <c r="G2000" s="161">
        <v>44488</v>
      </c>
      <c r="H2000" s="26" t="s">
        <v>1429</v>
      </c>
      <c r="I2000" s="161">
        <v>44428</v>
      </c>
      <c r="J2000" s="35" t="s">
        <v>459</v>
      </c>
      <c r="K2000" s="21">
        <v>6142846</v>
      </c>
      <c r="L2000" s="21"/>
      <c r="M2000" s="22">
        <f>(PROVEEDORES[[#This Row],[SUBTOTAL]]-PROVEEDORES[[#This Row],[descuento sobre subtotal]])*VLOOKUP(PROVEEDORES[[#This Row],[PROVEEDOR]],TERCEROS_INFO[#All],3,FALSE)</f>
        <v>1167140.74</v>
      </c>
      <c r="N2000" s="23"/>
      <c r="O2000" s="22">
        <f>+PROVEEDORES[[#This Row],[Descuento sobre subtotal %]]*(PROVEEDORES[[#This Row],[SUBTOTAL]]-PROVEEDORES[[#This Row],[descuento sobre subtotal]])</f>
        <v>0</v>
      </c>
      <c r="P2000" s="83">
        <f>+IF(PROVEEDORES[[#This Row],[SUBTOTAL]]&lt;PROVEEDORES[[#This Row],[base retencion]],0,PROVEEDORES[[#This Row],[retención aplicada]])</f>
        <v>0</v>
      </c>
      <c r="Q2000" s="22">
        <f>+PROVEEDORES[[#This Row],[Rete Fuente %]]*(PROVEEDORES[[#This Row],[SUBTOTAL]]-PROVEEDORES[[#This Row],[descuento sobre subtotal]])</f>
        <v>0</v>
      </c>
      <c r="R2000" s="21">
        <f>+PROVEEDORES[[#This Row],[SUBTOTAL]]+PROVEEDORES[[#This Row],[IVA 19%]]-PROVEEDORES[[#This Row],[descuento sobre subtotal]]-PROVEEDORES[[#This Row],[Descuento sobre subtotal $2]]-PROVEEDORES[[#This Row],[Rete Fuente $]]</f>
        <v>7309986.7400000002</v>
      </c>
      <c r="S20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0" s="68">
        <f ca="1">IF(PROVEEDORES[[#This Row],[FECHA DE PAGO]]=0,TODAY()-PROVEEDORES[[#This Row],[FECHA DE FACTURACIÓN]]-PROVEEDORES[[#This Row],[PLAZO Días]],0)</f>
        <v>0</v>
      </c>
      <c r="U2000" s="96">
        <f>+VLOOKUP(PROVEEDORES[[#This Row],[PROVEEDOR]],Terceros!$A:$D,4,FALSE)</f>
        <v>0</v>
      </c>
      <c r="V2000" s="97">
        <f>+YEAR(PROVEEDORES[[#This Row],[FECHA DE FACTURACIÓN]])</f>
        <v>2021</v>
      </c>
      <c r="W2000" s="97">
        <f>+MATCH(PROVEEDORES[[#This Row],[año facturado]],Retenciones!$1:$1,0)</f>
        <v>4</v>
      </c>
      <c r="X2000" s="98">
        <f>+VLOOKUP(PROVEEDORES[[#This Row],[ID RETENCION]],Retenciones!$A$1:$O$25,PROVEEDORES[[#This Row],[indicador de columna]],FALSE)</f>
        <v>0</v>
      </c>
      <c r="Y2000" s="99">
        <f>+VLOOKUP(PROVEEDORES[[#This Row],[ID RETENCION]],Retenciones!$A$1:$O$25,2,FALSE)</f>
        <v>0</v>
      </c>
      <c r="Z2000" s="125" t="b">
        <f>OR(COUNTIF(PROVEEDORES[[#This Row],[PROVEEDOR]],"*"&amp;'Palabra no opera'!$A$2&amp;"*"))</f>
        <v>1</v>
      </c>
    </row>
    <row r="2001" spans="1:26" ht="22.2" customHeight="1" x14ac:dyDescent="0.3">
      <c r="A2001" s="66" t="str">
        <f>+IF(PROVEEDORES[[#This Row],[FECHA DE PAGO]]=PROVEEDORES[[#This Row],[FECHA DE FACTURACIÓN]],"DE CONTADO","CRÉDITO")</f>
        <v>CRÉDITO</v>
      </c>
      <c r="B2001" s="38" t="str">
        <f>+IF((PROVEEDORES[[#This Row],[FECHA DE PAGO]]-PROVEEDORES[[#This Row],[FECHA DE FACTURACIÓN]])&gt;PROVEEDORES[[#This Row],[PLAZO Días]],"PAGO VENCIDO")</f>
        <v>PAGO VENCIDO</v>
      </c>
      <c r="C2001" s="20">
        <f>+VLOOKUP(PROVEEDORES[[#This Row],[PROVEEDOR]],TERCEROS_INFO[#All],2,FALSE)</f>
        <v>60</v>
      </c>
      <c r="D2001" s="25">
        <f>+SUMIFS(PROVEEDORES[Total],PROVEEDORES[PROVEEDOR],PROVEEDORES[[#This Row],[PROVEEDOR]],PROVEEDORES[FECHA DE PAGO],"")</f>
        <v>23264500</v>
      </c>
      <c r="E2001" s="25"/>
      <c r="F2001" s="58">
        <f>+VLOOKUP(PROVEEDORES[[#This Row],[PROVEEDOR]],
                       Terceros!$A:$F,
                       5,
                       FALSE)</f>
        <v>0</v>
      </c>
      <c r="G2001" s="161">
        <v>44678</v>
      </c>
      <c r="H2001" s="26" t="s">
        <v>1429</v>
      </c>
      <c r="I2001" s="161">
        <v>44585</v>
      </c>
      <c r="J2001" s="35" t="s">
        <v>777</v>
      </c>
      <c r="K2001" s="21">
        <v>6152000</v>
      </c>
      <c r="L2001" s="21"/>
      <c r="M2001" s="22">
        <f>(PROVEEDORES[[#This Row],[SUBTOTAL]]-PROVEEDORES[[#This Row],[descuento sobre subtotal]])*VLOOKUP(PROVEEDORES[[#This Row],[PROVEEDOR]],TERCEROS_INFO[#All],3,FALSE)</f>
        <v>1168880</v>
      </c>
      <c r="N2001" s="23"/>
      <c r="O2001" s="22">
        <f>+PROVEEDORES[[#This Row],[Descuento sobre subtotal %]]*(PROVEEDORES[[#This Row],[SUBTOTAL]]-PROVEEDORES[[#This Row],[descuento sobre subtotal]])</f>
        <v>0</v>
      </c>
      <c r="P2001" s="83">
        <f>+IF(PROVEEDORES[[#This Row],[SUBTOTAL]]&lt;PROVEEDORES[[#This Row],[base retencion]],0,PROVEEDORES[[#This Row],[retención aplicada]])</f>
        <v>0</v>
      </c>
      <c r="Q2001" s="22">
        <f>+PROVEEDORES[[#This Row],[Rete Fuente %]]*(PROVEEDORES[[#This Row],[SUBTOTAL]]-PROVEEDORES[[#This Row],[descuento sobre subtotal]])</f>
        <v>0</v>
      </c>
      <c r="R2001" s="21">
        <f>+PROVEEDORES[[#This Row],[SUBTOTAL]]+PROVEEDORES[[#This Row],[IVA 19%]]-PROVEEDORES[[#This Row],[descuento sobre subtotal]]-PROVEEDORES[[#This Row],[Descuento sobre subtotal $2]]-PROVEEDORES[[#This Row],[Rete Fuente $]]</f>
        <v>7320880</v>
      </c>
      <c r="S20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1" s="68">
        <f ca="1">IF(PROVEEDORES[[#This Row],[FECHA DE PAGO]]=0,TODAY()-PROVEEDORES[[#This Row],[FECHA DE FACTURACIÓN]]-PROVEEDORES[[#This Row],[PLAZO Días]],0)</f>
        <v>0</v>
      </c>
      <c r="U2001" s="96">
        <f>+VLOOKUP(PROVEEDORES[[#This Row],[PROVEEDOR]],Terceros!$A:$D,4,FALSE)</f>
        <v>0</v>
      </c>
      <c r="V2001" s="97">
        <f>+YEAR(PROVEEDORES[[#This Row],[FECHA DE FACTURACIÓN]])</f>
        <v>2022</v>
      </c>
      <c r="W2001" s="97">
        <f>+MATCH(PROVEEDORES[[#This Row],[año facturado]],Retenciones!$1:$1,0)</f>
        <v>5</v>
      </c>
      <c r="X2001" s="98">
        <f>+VLOOKUP(PROVEEDORES[[#This Row],[ID RETENCION]],Retenciones!$A$1:$O$25,PROVEEDORES[[#This Row],[indicador de columna]],FALSE)</f>
        <v>0</v>
      </c>
      <c r="Y2001" s="99">
        <f>+VLOOKUP(PROVEEDORES[[#This Row],[ID RETENCION]],Retenciones!$A$1:$O$25,2,FALSE)</f>
        <v>0</v>
      </c>
      <c r="Z2001" s="125" t="b">
        <f>OR(COUNTIF(PROVEEDORES[[#This Row],[PROVEEDOR]],"*"&amp;'Palabra no opera'!$A$2&amp;"*"))</f>
        <v>1</v>
      </c>
    </row>
    <row r="2002" spans="1:26" ht="22.2" customHeight="1" x14ac:dyDescent="0.3">
      <c r="A2002" s="72" t="str">
        <f>+IF(PROVEEDORES[[#This Row],[FECHA DE PAGO]]=PROVEEDORES[[#This Row],[FECHA DE FACTURACIÓN]],"DE CONTADO","CRÉDITO")</f>
        <v>CRÉDITO</v>
      </c>
      <c r="B2002" s="38" t="str">
        <f>+IF((PROVEEDORES[[#This Row],[FECHA DE PAGO]]-PROVEEDORES[[#This Row],[FECHA DE FACTURACIÓN]])&gt;PROVEEDORES[[#This Row],[PLAZO Días]],"PAGO VENCIDO")</f>
        <v>PAGO VENCIDO</v>
      </c>
      <c r="C2002" s="20">
        <f>+VLOOKUP(PROVEEDORES[[#This Row],[PROVEEDOR]],TERCEROS_INFO[#All],2,FALSE)</f>
        <v>30</v>
      </c>
      <c r="D2002" s="25">
        <f>+SUMIFS(PROVEEDORES[Total],PROVEEDORES[PROVEEDOR],PROVEEDORES[[#This Row],[PROVEEDOR]],PROVEEDORES[FECHA DE PAGO],"")</f>
        <v>1333437.8400000001</v>
      </c>
      <c r="E2002" s="25"/>
      <c r="F200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02" s="161">
        <v>44834</v>
      </c>
      <c r="H2002" s="26" t="s">
        <v>905</v>
      </c>
      <c r="I2002" s="161">
        <v>44767</v>
      </c>
      <c r="J2002" s="35" t="s">
        <v>1152</v>
      </c>
      <c r="K2002" s="21">
        <v>6170070</v>
      </c>
      <c r="L2002" s="21"/>
      <c r="M2002" s="22">
        <f>(PROVEEDORES[[#This Row],[SUBTOTAL]]-PROVEEDORES[[#This Row],[descuento sobre subtotal]])*VLOOKUP(PROVEEDORES[[#This Row],[PROVEEDOR]],TERCEROS_INFO[#All],3,FALSE)</f>
        <v>1172313.3</v>
      </c>
      <c r="N2002" s="23"/>
      <c r="O2002" s="22">
        <f>+PROVEEDORES[[#This Row],[Descuento sobre subtotal %]]*(PROVEEDORES[[#This Row],[SUBTOTAL]]-PROVEEDORES[[#This Row],[descuento sobre subtotal]])</f>
        <v>0</v>
      </c>
      <c r="P2002" s="83">
        <f>+IF(PROVEEDORES[[#This Row],[SUBTOTAL]]&lt;PROVEEDORES[[#This Row],[base retencion]],0,PROVEEDORES[[#This Row],[retención aplicada]])</f>
        <v>0</v>
      </c>
      <c r="Q2002" s="22">
        <f>+PROVEEDORES[[#This Row],[Rete Fuente %]]*(PROVEEDORES[[#This Row],[SUBTOTAL]]-PROVEEDORES[[#This Row],[descuento sobre subtotal]])</f>
        <v>0</v>
      </c>
      <c r="R2002" s="21">
        <f>+PROVEEDORES[[#This Row],[SUBTOTAL]]+PROVEEDORES[[#This Row],[IVA 19%]]-PROVEEDORES[[#This Row],[descuento sobre subtotal]]-PROVEEDORES[[#This Row],[Descuento sobre subtotal $2]]-PROVEEDORES[[#This Row],[Rete Fuente $]]</f>
        <v>7342383.2999999998</v>
      </c>
      <c r="S2002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2" s="68">
        <f ca="1">IF(PROVEEDORES[[#This Row],[FECHA DE PAGO]]=0,TODAY()-PROVEEDORES[[#This Row],[FECHA DE FACTURACIÓN]]-PROVEEDORES[[#This Row],[PLAZO Días]],0)</f>
        <v>0</v>
      </c>
      <c r="U2002" s="113">
        <f>+VLOOKUP(PROVEEDORES[[#This Row],[PROVEEDOR]],Terceros!$A:$D,4,FALSE)</f>
        <v>0</v>
      </c>
      <c r="V2002" s="114">
        <f>+YEAR(PROVEEDORES[[#This Row],[FECHA DE FACTURACIÓN]])</f>
        <v>2022</v>
      </c>
      <c r="W2002" s="114">
        <f>+MATCH(PROVEEDORES[[#This Row],[año facturado]],Retenciones!$1:$1,0)</f>
        <v>5</v>
      </c>
      <c r="X2002" s="115">
        <f>+VLOOKUP(PROVEEDORES[[#This Row],[ID RETENCION]],Retenciones!$A$1:$O$25,PROVEEDORES[[#This Row],[indicador de columna]],FALSE)</f>
        <v>0</v>
      </c>
      <c r="Y2002" s="116">
        <f>+VLOOKUP(PROVEEDORES[[#This Row],[ID RETENCION]],Retenciones!$A$1:$O$25,2,FALSE)</f>
        <v>0</v>
      </c>
      <c r="Z2002" s="125" t="b">
        <f>OR(COUNTIF(PROVEEDORES[[#This Row],[PROVEEDOR]],"*"&amp;'Palabra no opera'!$A$2&amp;"*"))</f>
        <v>1</v>
      </c>
    </row>
    <row r="2003" spans="1:26" ht="22.2" customHeight="1" x14ac:dyDescent="0.3">
      <c r="A2003" s="66" t="str">
        <f>+IF(PROVEEDORES[[#This Row],[FECHA DE PAGO]]=PROVEEDORES[[#This Row],[FECHA DE FACTURACIÓN]],"DE CONTADO","CRÉDITO")</f>
        <v>CRÉDITO</v>
      </c>
      <c r="B2003" s="38" t="str">
        <f>+IF((PROVEEDORES[[#This Row],[FECHA DE PAGO]]-PROVEEDORES[[#This Row],[FECHA DE FACTURACIÓN]])&gt;PROVEEDORES[[#This Row],[PLAZO Días]],"PAGO VENCIDO")</f>
        <v>PAGO VENCIDO</v>
      </c>
      <c r="C2003" s="20">
        <f>+VLOOKUP(PROVEEDORES[[#This Row],[PROVEEDOR]],TERCEROS_INFO[#All],2,FALSE)</f>
        <v>30</v>
      </c>
      <c r="D2003" s="25">
        <f>+SUMIFS(PROVEEDORES[Total],PROVEEDORES[PROVEEDOR],PROVEEDORES[[#This Row],[PROVEEDOR]],PROVEEDORES[FECHA DE PAGO],"")</f>
        <v>1333437.8400000001</v>
      </c>
      <c r="E2003" s="25"/>
      <c r="F200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03" s="161">
        <v>44473</v>
      </c>
      <c r="H2003" s="26" t="s">
        <v>905</v>
      </c>
      <c r="I2003" s="161">
        <v>44414</v>
      </c>
      <c r="J2003" s="35" t="s">
        <v>414</v>
      </c>
      <c r="K2003" s="21">
        <v>6178310</v>
      </c>
      <c r="L2003" s="21"/>
      <c r="M2003" s="22">
        <f>(PROVEEDORES[[#This Row],[SUBTOTAL]]-PROVEEDORES[[#This Row],[descuento sobre subtotal]])*VLOOKUP(PROVEEDORES[[#This Row],[PROVEEDOR]],TERCEROS_INFO[#All],3,FALSE)</f>
        <v>1173878.8999999999</v>
      </c>
      <c r="N2003" s="23"/>
      <c r="O2003" s="22">
        <f>+PROVEEDORES[[#This Row],[Descuento sobre subtotal %]]*(PROVEEDORES[[#This Row],[SUBTOTAL]]-PROVEEDORES[[#This Row],[descuento sobre subtotal]])</f>
        <v>0</v>
      </c>
      <c r="P2003" s="83">
        <f>+IF(PROVEEDORES[[#This Row],[SUBTOTAL]]&lt;PROVEEDORES[[#This Row],[base retencion]],0,PROVEEDORES[[#This Row],[retención aplicada]])</f>
        <v>0</v>
      </c>
      <c r="Q2003" s="22">
        <f>+PROVEEDORES[[#This Row],[Rete Fuente %]]*(PROVEEDORES[[#This Row],[SUBTOTAL]]-PROVEEDORES[[#This Row],[descuento sobre subtotal]])</f>
        <v>0</v>
      </c>
      <c r="R2003" s="21">
        <f>+PROVEEDORES[[#This Row],[SUBTOTAL]]+PROVEEDORES[[#This Row],[IVA 19%]]-PROVEEDORES[[#This Row],[descuento sobre subtotal]]-PROVEEDORES[[#This Row],[Descuento sobre subtotal $2]]-PROVEEDORES[[#This Row],[Rete Fuente $]]</f>
        <v>7352188.9000000004</v>
      </c>
      <c r="S20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3" s="68">
        <f ca="1">IF(PROVEEDORES[[#This Row],[FECHA DE PAGO]]=0,TODAY()-PROVEEDORES[[#This Row],[FECHA DE FACTURACIÓN]]-PROVEEDORES[[#This Row],[PLAZO Días]],0)</f>
        <v>0</v>
      </c>
      <c r="U2003" s="96">
        <f>+VLOOKUP(PROVEEDORES[[#This Row],[PROVEEDOR]],Terceros!$A:$D,4,FALSE)</f>
        <v>0</v>
      </c>
      <c r="V2003" s="97">
        <f>+YEAR(PROVEEDORES[[#This Row],[FECHA DE FACTURACIÓN]])</f>
        <v>2021</v>
      </c>
      <c r="W2003" s="97">
        <f>+MATCH(PROVEEDORES[[#This Row],[año facturado]],Retenciones!$1:$1,0)</f>
        <v>4</v>
      </c>
      <c r="X2003" s="98">
        <f>+VLOOKUP(PROVEEDORES[[#This Row],[ID RETENCION]],Retenciones!$A$1:$O$25,PROVEEDORES[[#This Row],[indicador de columna]],FALSE)</f>
        <v>0</v>
      </c>
      <c r="Y2003" s="99">
        <f>+VLOOKUP(PROVEEDORES[[#This Row],[ID RETENCION]],Retenciones!$A$1:$O$25,2,FALSE)</f>
        <v>0</v>
      </c>
      <c r="Z2003" s="125" t="b">
        <f>OR(COUNTIF(PROVEEDORES[[#This Row],[PROVEEDOR]],"*"&amp;'Palabra no opera'!$A$2&amp;"*"))</f>
        <v>1</v>
      </c>
    </row>
    <row r="2004" spans="1:26" ht="22.2" customHeight="1" x14ac:dyDescent="0.3">
      <c r="A2004" s="123" t="str">
        <f>+IF(PROVEEDORES[[#This Row],[FECHA DE PAGO]]=PROVEEDORES[[#This Row],[FECHA DE FACTURACIÓN]],"DE CONTADO","CRÉDITO")</f>
        <v>CRÉDITO</v>
      </c>
      <c r="B2004" s="38" t="b">
        <f>+IF((PROVEEDORES[[#This Row],[FECHA DE PAGO]]-PROVEEDORES[[#This Row],[FECHA DE FACTURACIÓN]])&gt;PROVEEDORES[[#This Row],[PLAZO Días]],"PAGO VENCIDO")</f>
        <v>0</v>
      </c>
      <c r="C2004" s="20">
        <v>12</v>
      </c>
      <c r="D2004" s="25">
        <f>+SUMIFS(PROVEEDORES[Total],PROVEEDORES[PROVEEDOR],PROVEEDORES[[#This Row],[PROVEEDOR]],PROVEEDORES[FECHA DE PAGO],"")</f>
        <v>0</v>
      </c>
      <c r="E2004" s="25"/>
      <c r="F2004" s="58">
        <f>+VLOOKUP(PROVEEDORES[[#This Row],[PROVEEDOR]],
                       Terceros!$A:$F,
                       5,
                       FALSE)</f>
        <v>0</v>
      </c>
      <c r="G2004" s="161">
        <v>44691</v>
      </c>
      <c r="H2004" s="26" t="s">
        <v>931</v>
      </c>
      <c r="I2004" s="161">
        <v>44682</v>
      </c>
      <c r="J2004" s="35" t="s">
        <v>1382</v>
      </c>
      <c r="K2004" s="21">
        <v>6445820</v>
      </c>
      <c r="L2004" s="21"/>
      <c r="M2004" s="22">
        <f>(PROVEEDORES[[#This Row],[SUBTOTAL]]-PROVEEDORES[[#This Row],[descuento sobre subtotal]])*VLOOKUP(PROVEEDORES[[#This Row],[PROVEEDOR]],TERCEROS_INFO[#All],3,FALSE)</f>
        <v>1224705.8</v>
      </c>
      <c r="N2004" s="23"/>
      <c r="O2004" s="22">
        <f>+PROVEEDORES[[#This Row],[Descuento sobre subtotal %]]*(PROVEEDORES[[#This Row],[SUBTOTAL]]-PROVEEDORES[[#This Row],[descuento sobre subtotal]])</f>
        <v>0</v>
      </c>
      <c r="P2004" s="83">
        <f>+IF(PROVEEDORES[[#This Row],[SUBTOTAL]]&lt;PROVEEDORES[[#This Row],[base retencion]],0,PROVEEDORES[[#This Row],[retención aplicada]])</f>
        <v>3.5000000000000003E-2</v>
      </c>
      <c r="Q2004" s="22">
        <f>+PROVEEDORES[[#This Row],[Rete Fuente %]]*(PROVEEDORES[[#This Row],[SUBTOTAL]]-PROVEEDORES[[#This Row],[descuento sobre subtotal]])</f>
        <v>225603.7</v>
      </c>
      <c r="R2004" s="21">
        <f>+PROVEEDORES[[#This Row],[SUBTOTAL]]+PROVEEDORES[[#This Row],[IVA 19%]]-PROVEEDORES[[#This Row],[descuento sobre subtotal]]-PROVEEDORES[[#This Row],[Descuento sobre subtotal $2]]-PROVEEDORES[[#This Row],[Rete Fuente $]]</f>
        <v>7444922.0999999996</v>
      </c>
      <c r="S2004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4" s="68">
        <f ca="1">IF(PROVEEDORES[[#This Row],[FECHA DE PAGO]]=0,TODAY()-PROVEEDORES[[#This Row],[FECHA DE FACTURACIÓN]]-PROVEEDORES[[#This Row],[PLAZO Días]],0)</f>
        <v>0</v>
      </c>
      <c r="U2004" s="113" t="str">
        <f>+VLOOKUP(PROVEEDORES[[#This Row],[PROVEEDOR]],Terceros!$A:$D,4,FALSE)</f>
        <v>3,5% sin base</v>
      </c>
      <c r="V2004" s="114">
        <f>+YEAR(PROVEEDORES[[#This Row],[FECHA DE FACTURACIÓN]])</f>
        <v>2022</v>
      </c>
      <c r="W2004" s="114">
        <f>+MATCH(PROVEEDORES[[#This Row],[año facturado]],Retenciones!$1:$1,0)</f>
        <v>5</v>
      </c>
      <c r="X2004" s="115">
        <f>+VLOOKUP(PROVEEDORES[[#This Row],[ID RETENCION]],Retenciones!$A$1:$O$25,PROVEEDORES[[#This Row],[indicador de columna]],FALSE)</f>
        <v>0</v>
      </c>
      <c r="Y2004" s="116">
        <f>+VLOOKUP(PROVEEDORES[[#This Row],[ID RETENCION]],Retenciones!$A$1:$O$25,2,FALSE)</f>
        <v>3.5000000000000003E-2</v>
      </c>
      <c r="Z2004" s="125" t="b">
        <f>OR(COUNTIF(PROVEEDORES[[#This Row],[PROVEEDOR]],"*"&amp;'Palabra no opera'!$A$2&amp;"*"))</f>
        <v>1</v>
      </c>
    </row>
    <row r="2005" spans="1:26" ht="22.2" customHeight="1" x14ac:dyDescent="0.3">
      <c r="A2005" s="66" t="str">
        <f>+IF(PROVEEDORES[[#This Row],[FECHA DE PAGO]]=PROVEEDORES[[#This Row],[FECHA DE FACTURACIÓN]],"DE CONTADO","CRÉDITO")</f>
        <v>CRÉDITO</v>
      </c>
      <c r="B2005" s="38" t="b">
        <f>+IF((PROVEEDORES[[#This Row],[FECHA DE PAGO]]-PROVEEDORES[[#This Row],[FECHA DE FACTURACIÓN]])&gt;PROVEEDORES[[#This Row],[PLAZO Días]],"PAGO VENCIDO")</f>
        <v>0</v>
      </c>
      <c r="C2005" s="20">
        <f>+VLOOKUP(PROVEEDORES[[#This Row],[PROVEEDOR]],TERCEROS_INFO[#All],2,FALSE)</f>
        <v>10</v>
      </c>
      <c r="D2005" s="25">
        <f>+SUMIFS(PROVEEDORES[Total],PROVEEDORES[PROVEEDOR],PROVEEDORES[[#This Row],[PROVEEDOR]],PROVEEDORES[FECHA DE PAGO],"")</f>
        <v>0</v>
      </c>
      <c r="E2005" s="25"/>
      <c r="F2005" s="58" t="str">
        <f>+VLOOKUP(PROVEEDORES[[#This Row],[PROVEEDOR]],
                       Terceros!$A:$F,
                       5,
                       FALSE)</f>
        <v/>
      </c>
      <c r="G2005" s="161">
        <v>44270</v>
      </c>
      <c r="H2005" s="26" t="s">
        <v>23</v>
      </c>
      <c r="I2005" s="161">
        <v>44265</v>
      </c>
      <c r="J2005" s="35">
        <v>280663</v>
      </c>
      <c r="K2005" s="21">
        <v>7538400</v>
      </c>
      <c r="L2005" s="21"/>
      <c r="M2005" s="22">
        <f>(PROVEEDORES[[#This Row],[SUBTOTAL]]-PROVEEDORES[[#This Row],[descuento sobre subtotal]])*VLOOKUP(PROVEEDORES[[#This Row],[PROVEEDOR]],TERCEROS_INFO[#All],3,FALSE)</f>
        <v>0</v>
      </c>
      <c r="N2005" s="23"/>
      <c r="O2005" s="22">
        <f>+PROVEEDORES[[#This Row],[Descuento sobre subtotal %]]*(PROVEEDORES[[#This Row],[SUBTOTAL]]-PROVEEDORES[[#This Row],[descuento sobre subtotal]])</f>
        <v>0</v>
      </c>
      <c r="P2005" s="83">
        <f>+IF(PROVEEDORES[[#This Row],[SUBTOTAL]]&lt;PROVEEDORES[[#This Row],[base retencion]],0,PROVEEDORES[[#This Row],[retención aplicada]])</f>
        <v>0</v>
      </c>
      <c r="Q2005" s="22">
        <f>+PROVEEDORES[[#This Row],[Rete Fuente %]]*(PROVEEDORES[[#This Row],[SUBTOTAL]]-PROVEEDORES[[#This Row],[descuento sobre subtotal]])</f>
        <v>0</v>
      </c>
      <c r="R2005" s="21">
        <f>+PROVEEDORES[[#This Row],[SUBTOTAL]]+PROVEEDORES[[#This Row],[IVA 19%]]-PROVEEDORES[[#This Row],[descuento sobre subtotal]]-PROVEEDORES[[#This Row],[Descuento sobre subtotal $2]]-PROVEEDORES[[#This Row],[Rete Fuente $]]</f>
        <v>7538400</v>
      </c>
      <c r="S200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5" s="68">
        <f ca="1">IF(PROVEEDORES[[#This Row],[FECHA DE PAGO]]=0,TODAY()-PROVEEDORES[[#This Row],[FECHA DE FACTURACIÓN]]-PROVEEDORES[[#This Row],[PLAZO Días]],0)</f>
        <v>0</v>
      </c>
      <c r="U2005" s="96">
        <f>+VLOOKUP(PROVEEDORES[[#This Row],[PROVEEDOR]],Terceros!$A:$D,4,FALSE)</f>
        <v>0</v>
      </c>
      <c r="V2005" s="97">
        <f>+YEAR(PROVEEDORES[[#This Row],[FECHA DE FACTURACIÓN]])</f>
        <v>2021</v>
      </c>
      <c r="W2005" s="97">
        <f>+MATCH(PROVEEDORES[[#This Row],[año facturado]],Retenciones!$1:$1,0)</f>
        <v>4</v>
      </c>
      <c r="X2005" s="98">
        <f>+VLOOKUP(PROVEEDORES[[#This Row],[ID RETENCION]],Retenciones!$A$1:$O$25,PROVEEDORES[[#This Row],[indicador de columna]],FALSE)</f>
        <v>0</v>
      </c>
      <c r="Y2005" s="99">
        <f>+VLOOKUP(PROVEEDORES[[#This Row],[ID RETENCION]],Retenciones!$A$1:$O$25,2,FALSE)</f>
        <v>0</v>
      </c>
      <c r="Z2005" s="125" t="b">
        <f>OR(COUNTIF(PROVEEDORES[[#This Row],[PROVEEDOR]],"*"&amp;'Palabra no opera'!$A$2&amp;"*"))</f>
        <v>0</v>
      </c>
    </row>
    <row r="2006" spans="1:26" ht="22.2" customHeight="1" x14ac:dyDescent="0.3">
      <c r="A2006" s="66" t="str">
        <f>+IF(PROVEEDORES[[#This Row],[FECHA DE PAGO]]=PROVEEDORES[[#This Row],[FECHA DE FACTURACIÓN]],"DE CONTADO","CRÉDITO")</f>
        <v>CRÉDITO</v>
      </c>
      <c r="B2006" s="38" t="b">
        <f>+IF((PROVEEDORES[[#This Row],[FECHA DE PAGO]]-PROVEEDORES[[#This Row],[FECHA DE FACTURACIÓN]])&gt;PROVEEDORES[[#This Row],[PLAZO Días]],"PAGO VENCIDO")</f>
        <v>0</v>
      </c>
      <c r="C2006" s="20">
        <f>+VLOOKUP(PROVEEDORES[[#This Row],[PROVEEDOR]],TERCEROS_INFO[#All],2,FALSE)</f>
        <v>10</v>
      </c>
      <c r="D2006" s="25">
        <f>+SUMIFS(PROVEEDORES[Total],PROVEEDORES[PROVEEDOR],PROVEEDORES[[#This Row],[PROVEEDOR]],PROVEEDORES[FECHA DE PAGO],"")</f>
        <v>0</v>
      </c>
      <c r="E2006" s="25"/>
      <c r="F2006" s="58" t="str">
        <f>+VLOOKUP(PROVEEDORES[[#This Row],[PROVEEDOR]],
                       Terceros!$A:$F,
                       5,
                       FALSE)</f>
        <v/>
      </c>
      <c r="G2006" s="161">
        <v>44431</v>
      </c>
      <c r="H2006" s="26" t="s">
        <v>23</v>
      </c>
      <c r="I2006" s="161">
        <v>44426</v>
      </c>
      <c r="J2006" s="35">
        <v>284593</v>
      </c>
      <c r="K2006" s="21">
        <v>7774650</v>
      </c>
      <c r="L2006" s="21"/>
      <c r="M2006" s="22">
        <f>(PROVEEDORES[[#This Row],[SUBTOTAL]]-PROVEEDORES[[#This Row],[descuento sobre subtotal]])*VLOOKUP(PROVEEDORES[[#This Row],[PROVEEDOR]],TERCEROS_INFO[#All],3,FALSE)</f>
        <v>0</v>
      </c>
      <c r="N2006" s="23"/>
      <c r="O2006" s="22">
        <f>+PROVEEDORES[[#This Row],[Descuento sobre subtotal %]]*(PROVEEDORES[[#This Row],[SUBTOTAL]]-PROVEEDORES[[#This Row],[descuento sobre subtotal]])</f>
        <v>0</v>
      </c>
      <c r="P2006" s="83">
        <f>+IF(PROVEEDORES[[#This Row],[SUBTOTAL]]&lt;PROVEEDORES[[#This Row],[base retencion]],0,PROVEEDORES[[#This Row],[retención aplicada]])</f>
        <v>0</v>
      </c>
      <c r="Q2006" s="22">
        <f>+PROVEEDORES[[#This Row],[Rete Fuente %]]*(PROVEEDORES[[#This Row],[SUBTOTAL]]-PROVEEDORES[[#This Row],[descuento sobre subtotal]])</f>
        <v>0</v>
      </c>
      <c r="R2006" s="21">
        <f>+PROVEEDORES[[#This Row],[SUBTOTAL]]+PROVEEDORES[[#This Row],[IVA 19%]]-PROVEEDORES[[#This Row],[descuento sobre subtotal]]-PROVEEDORES[[#This Row],[Descuento sobre subtotal $2]]-PROVEEDORES[[#This Row],[Rete Fuente $]]</f>
        <v>7774650</v>
      </c>
      <c r="S200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6" s="68">
        <f ca="1">IF(PROVEEDORES[[#This Row],[FECHA DE PAGO]]=0,TODAY()-PROVEEDORES[[#This Row],[FECHA DE FACTURACIÓN]]-PROVEEDORES[[#This Row],[PLAZO Días]],0)</f>
        <v>0</v>
      </c>
      <c r="U2006" s="96">
        <f>+VLOOKUP(PROVEEDORES[[#This Row],[PROVEEDOR]],Terceros!$A:$D,4,FALSE)</f>
        <v>0</v>
      </c>
      <c r="V2006" s="97">
        <f>+YEAR(PROVEEDORES[[#This Row],[FECHA DE FACTURACIÓN]])</f>
        <v>2021</v>
      </c>
      <c r="W2006" s="97">
        <f>+MATCH(PROVEEDORES[[#This Row],[año facturado]],Retenciones!$1:$1,0)</f>
        <v>4</v>
      </c>
      <c r="X2006" s="98">
        <f>+VLOOKUP(PROVEEDORES[[#This Row],[ID RETENCION]],Retenciones!$A$1:$O$25,PROVEEDORES[[#This Row],[indicador de columna]],FALSE)</f>
        <v>0</v>
      </c>
      <c r="Y2006" s="99">
        <f>+VLOOKUP(PROVEEDORES[[#This Row],[ID RETENCION]],Retenciones!$A$1:$O$25,2,FALSE)</f>
        <v>0</v>
      </c>
      <c r="Z2006" s="125" t="b">
        <f>OR(COUNTIF(PROVEEDORES[[#This Row],[PROVEEDOR]],"*"&amp;'Palabra no opera'!$A$2&amp;"*"))</f>
        <v>0</v>
      </c>
    </row>
    <row r="2007" spans="1:26" ht="22.2" customHeight="1" x14ac:dyDescent="0.3">
      <c r="A2007" s="66" t="str">
        <f>+IF(PROVEEDORES[[#This Row],[FECHA DE PAGO]]=PROVEEDORES[[#This Row],[FECHA DE FACTURACIÓN]],"DE CONTADO","CRÉDITO")</f>
        <v>CRÉDITO</v>
      </c>
      <c r="B2007" s="38" t="str">
        <f>+IF((PROVEEDORES[[#This Row],[FECHA DE PAGO]]-PROVEEDORES[[#This Row],[FECHA DE FACTURACIÓN]])&gt;PROVEEDORES[[#This Row],[PLAZO Días]],"PAGO VENCIDO")</f>
        <v>PAGO VENCIDO</v>
      </c>
      <c r="C2007" s="20">
        <f>+VLOOKUP(PROVEEDORES[[#This Row],[PROVEEDOR]],TERCEROS_INFO[#All],2,FALSE)</f>
        <v>30</v>
      </c>
      <c r="D2007" s="25">
        <f>+SUMIFS(PROVEEDORES[Total],PROVEEDORES[PROVEEDOR],PROVEEDORES[[#This Row],[PROVEEDOR]],PROVEEDORES[FECHA DE PAGO],"")</f>
        <v>1333437.8400000001</v>
      </c>
      <c r="E2007" s="25"/>
      <c r="F2007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07" s="161">
        <v>44575</v>
      </c>
      <c r="H2007" s="26" t="s">
        <v>905</v>
      </c>
      <c r="I2007" s="161">
        <v>44519</v>
      </c>
      <c r="J2007" s="35" t="s">
        <v>540</v>
      </c>
      <c r="K2007" s="21">
        <v>6535284</v>
      </c>
      <c r="L2007" s="21"/>
      <c r="M2007" s="22">
        <v>1241703.96</v>
      </c>
      <c r="N2007" s="23"/>
      <c r="O2007" s="22">
        <v>0</v>
      </c>
      <c r="P2007" s="83">
        <f>+IF(PROVEEDORES[[#This Row],[SUBTOTAL]]&lt;PROVEEDORES[[#This Row],[base retencion]],0,PROVEEDORES[[#This Row],[retención aplicada]])</f>
        <v>0</v>
      </c>
      <c r="Q2007" s="22">
        <f>+PROVEEDORES[[#This Row],[Rete Fuente %]]*(PROVEEDORES[[#This Row],[SUBTOTAL]]-PROVEEDORES[[#This Row],[descuento sobre subtotal]])</f>
        <v>0</v>
      </c>
      <c r="R2007" s="21">
        <v>7776987.96</v>
      </c>
      <c r="S200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7" s="68">
        <f ca="1">IF(PROVEEDORES[[#This Row],[FECHA DE PAGO]]=0,TODAY()-PROVEEDORES[[#This Row],[FECHA DE FACTURACIÓN]]-PROVEEDORES[[#This Row],[PLAZO Días]],0)</f>
        <v>0</v>
      </c>
      <c r="U2007" s="96">
        <f>+VLOOKUP(PROVEEDORES[[#This Row],[PROVEEDOR]],Terceros!$A:$D,4,FALSE)</f>
        <v>0</v>
      </c>
      <c r="V2007" s="97">
        <f>+YEAR(PROVEEDORES[[#This Row],[FECHA DE FACTURACIÓN]])</f>
        <v>2021</v>
      </c>
      <c r="W2007" s="97">
        <f>+MATCH(PROVEEDORES[[#This Row],[año facturado]],Retenciones!$1:$1,0)</f>
        <v>4</v>
      </c>
      <c r="X2007" s="98">
        <f>+VLOOKUP(PROVEEDORES[[#This Row],[ID RETENCION]],Retenciones!$A$1:$O$25,PROVEEDORES[[#This Row],[indicador de columna]],FALSE)</f>
        <v>0</v>
      </c>
      <c r="Y2007" s="99">
        <f>+VLOOKUP(PROVEEDORES[[#This Row],[ID RETENCION]],Retenciones!$A$1:$O$25,2,FALSE)</f>
        <v>0</v>
      </c>
      <c r="Z2007" s="125" t="b">
        <f>OR(COUNTIF(PROVEEDORES[[#This Row],[PROVEEDOR]],"*"&amp;'Palabra no opera'!$A$2&amp;"*"))</f>
        <v>1</v>
      </c>
    </row>
    <row r="2008" spans="1:26" ht="22.2" customHeight="1" x14ac:dyDescent="0.3">
      <c r="A2008" s="66" t="str">
        <f>+IF(PROVEEDORES[[#This Row],[FECHA DE PAGO]]=PROVEEDORES[[#This Row],[FECHA DE FACTURACIÓN]],"DE CONTADO","CRÉDITO")</f>
        <v>CRÉDITO</v>
      </c>
      <c r="B2008" s="38" t="b">
        <f>+IF((PROVEEDORES[[#This Row],[FECHA DE PAGO]]-PROVEEDORES[[#This Row],[FECHA DE FACTURACIÓN]])&gt;PROVEEDORES[[#This Row],[PLAZO Días]],"PAGO VENCIDO")</f>
        <v>0</v>
      </c>
      <c r="C2008" s="20">
        <f>+VLOOKUP(PROVEEDORES[[#This Row],[PROVEEDOR]],TERCEROS_INFO[#All],2,FALSE)</f>
        <v>10</v>
      </c>
      <c r="D2008" s="25">
        <f>+SUMIFS(PROVEEDORES[Total],PROVEEDORES[PROVEEDOR],PROVEEDORES[[#This Row],[PROVEEDOR]],PROVEEDORES[FECHA DE PAGO],"")</f>
        <v>0</v>
      </c>
      <c r="E2008" s="25"/>
      <c r="F2008" s="58" t="str">
        <f>+VLOOKUP(PROVEEDORES[[#This Row],[PROVEEDOR]],
                       Terceros!$A:$F,
                       5,
                       FALSE)</f>
        <v/>
      </c>
      <c r="G2008" s="161">
        <v>44342</v>
      </c>
      <c r="H2008" s="26" t="s">
        <v>23</v>
      </c>
      <c r="I2008" s="161">
        <v>44341</v>
      </c>
      <c r="J2008" s="35">
        <v>282538</v>
      </c>
      <c r="K2008" s="21">
        <v>7810900</v>
      </c>
      <c r="L2008" s="21"/>
      <c r="M2008" s="22">
        <f>(PROVEEDORES[[#This Row],[SUBTOTAL]]-PROVEEDORES[[#This Row],[descuento sobre subtotal]])*VLOOKUP(PROVEEDORES[[#This Row],[PROVEEDOR]],TERCEROS_INFO[#All],3,FALSE)</f>
        <v>0</v>
      </c>
      <c r="N2008" s="23"/>
      <c r="O2008" s="22">
        <f>+PROVEEDORES[[#This Row],[Descuento sobre subtotal %]]*(PROVEEDORES[[#This Row],[SUBTOTAL]]-PROVEEDORES[[#This Row],[descuento sobre subtotal]])</f>
        <v>0</v>
      </c>
      <c r="P2008" s="83">
        <f>+IF(PROVEEDORES[[#This Row],[SUBTOTAL]]&lt;PROVEEDORES[[#This Row],[base retencion]],0,PROVEEDORES[[#This Row],[retención aplicada]])</f>
        <v>0</v>
      </c>
      <c r="Q2008" s="22">
        <f>+PROVEEDORES[[#This Row],[Rete Fuente %]]*(PROVEEDORES[[#This Row],[SUBTOTAL]]-PROVEEDORES[[#This Row],[descuento sobre subtotal]])</f>
        <v>0</v>
      </c>
      <c r="R2008" s="21">
        <f>+PROVEEDORES[[#This Row],[SUBTOTAL]]+PROVEEDORES[[#This Row],[IVA 19%]]-PROVEEDORES[[#This Row],[descuento sobre subtotal]]-PROVEEDORES[[#This Row],[Descuento sobre subtotal $2]]-PROVEEDORES[[#This Row],[Rete Fuente $]]</f>
        <v>7810900</v>
      </c>
      <c r="S200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8" s="68">
        <f ca="1">IF(PROVEEDORES[[#This Row],[FECHA DE PAGO]]=0,TODAY()-PROVEEDORES[[#This Row],[FECHA DE FACTURACIÓN]]-PROVEEDORES[[#This Row],[PLAZO Días]],0)</f>
        <v>0</v>
      </c>
      <c r="U2008" s="96">
        <f>+VLOOKUP(PROVEEDORES[[#This Row],[PROVEEDOR]],Terceros!$A:$D,4,FALSE)</f>
        <v>0</v>
      </c>
      <c r="V2008" s="97">
        <f>+YEAR(PROVEEDORES[[#This Row],[FECHA DE FACTURACIÓN]])</f>
        <v>2021</v>
      </c>
      <c r="W2008" s="97">
        <f>+MATCH(PROVEEDORES[[#This Row],[año facturado]],Retenciones!$1:$1,0)</f>
        <v>4</v>
      </c>
      <c r="X2008" s="98">
        <f>+VLOOKUP(PROVEEDORES[[#This Row],[ID RETENCION]],Retenciones!$A$1:$O$25,PROVEEDORES[[#This Row],[indicador de columna]],FALSE)</f>
        <v>0</v>
      </c>
      <c r="Y2008" s="99">
        <f>+VLOOKUP(PROVEEDORES[[#This Row],[ID RETENCION]],Retenciones!$A$1:$O$25,2,FALSE)</f>
        <v>0</v>
      </c>
      <c r="Z2008" s="125" t="b">
        <f>OR(COUNTIF(PROVEEDORES[[#This Row],[PROVEEDOR]],"*"&amp;'Palabra no opera'!$A$2&amp;"*"))</f>
        <v>0</v>
      </c>
    </row>
    <row r="2009" spans="1:26" ht="22.2" customHeight="1" x14ac:dyDescent="0.3">
      <c r="A2009" s="66" t="str">
        <f>+IF(PROVEEDORES[[#This Row],[FECHA DE PAGO]]=PROVEEDORES[[#This Row],[FECHA DE FACTURACIÓN]],"DE CONTADO","CRÉDITO")</f>
        <v>CRÉDITO</v>
      </c>
      <c r="B2009" s="38" t="b">
        <f>+IF((PROVEEDORES[[#This Row],[FECHA DE PAGO]]-PROVEEDORES[[#This Row],[FECHA DE FACTURACIÓN]])&gt;PROVEEDORES[[#This Row],[PLAZO Días]],"PAGO VENCIDO")</f>
        <v>0</v>
      </c>
      <c r="C2009" s="20">
        <f>+VLOOKUP(PROVEEDORES[[#This Row],[PROVEEDOR]],TERCEROS_INFO[#All],2,FALSE)</f>
        <v>30</v>
      </c>
      <c r="D2009" s="25">
        <f>+SUMIFS(PROVEEDORES[Total],PROVEEDORES[PROVEEDOR],PROVEEDORES[[#This Row],[PROVEEDOR]],PROVEEDORES[FECHA DE PAGO],"")</f>
        <v>0</v>
      </c>
      <c r="E2009" s="25"/>
      <c r="F2009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2009" s="161">
        <v>44250</v>
      </c>
      <c r="H2009" s="26" t="s">
        <v>46</v>
      </c>
      <c r="I2009" s="161">
        <v>44323</v>
      </c>
      <c r="J2009" s="35">
        <v>160217364</v>
      </c>
      <c r="K2009" s="21">
        <v>6636590</v>
      </c>
      <c r="L2009" s="21"/>
      <c r="M2009" s="22">
        <f>(PROVEEDORES[[#This Row],[SUBTOTAL]]-PROVEEDORES[[#This Row],[descuento sobre subtotal]])*VLOOKUP(PROVEEDORES[[#This Row],[PROVEEDOR]],TERCEROS_INFO[#All],3,FALSE)</f>
        <v>1260952.1000000001</v>
      </c>
      <c r="N2009" s="23"/>
      <c r="O2009" s="22">
        <f>+PROVEEDORES[[#This Row],[Descuento sobre subtotal %]]*(PROVEEDORES[[#This Row],[SUBTOTAL]]-PROVEEDORES[[#This Row],[descuento sobre subtotal]])</f>
        <v>0</v>
      </c>
      <c r="P2009" s="83">
        <f>+IF(PROVEEDORES[[#This Row],[SUBTOTAL]]&lt;PROVEEDORES[[#This Row],[base retencion]],0,PROVEEDORES[[#This Row],[retención aplicada]])</f>
        <v>0</v>
      </c>
      <c r="Q2009" s="22">
        <f>+PROVEEDORES[[#This Row],[Rete Fuente %]]*(PROVEEDORES[[#This Row],[SUBTOTAL]]-PROVEEDORES[[#This Row],[descuento sobre subtotal]])</f>
        <v>0</v>
      </c>
      <c r="R2009" s="21">
        <f>+PROVEEDORES[[#This Row],[SUBTOTAL]]+PROVEEDORES[[#This Row],[IVA 19%]]-PROVEEDORES[[#This Row],[descuento sobre subtotal]]-PROVEEDORES[[#This Row],[Descuento sobre subtotal $2]]-PROVEEDORES[[#This Row],[Rete Fuente $]]</f>
        <v>7897542.0999999996</v>
      </c>
      <c r="S200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9" s="68">
        <f ca="1">IF(PROVEEDORES[[#This Row],[FECHA DE PAGO]]=0,TODAY()-PROVEEDORES[[#This Row],[FECHA DE FACTURACIÓN]]-PROVEEDORES[[#This Row],[PLAZO Días]],0)</f>
        <v>0</v>
      </c>
      <c r="U2009" s="96">
        <f>+VLOOKUP(PROVEEDORES[[#This Row],[PROVEEDOR]],Terceros!$A:$D,4,FALSE)</f>
        <v>0</v>
      </c>
      <c r="V2009" s="97">
        <f>+YEAR(PROVEEDORES[[#This Row],[FECHA DE FACTURACIÓN]])</f>
        <v>2021</v>
      </c>
      <c r="W2009" s="97">
        <f>+MATCH(PROVEEDORES[[#This Row],[año facturado]],Retenciones!$1:$1,0)</f>
        <v>4</v>
      </c>
      <c r="X2009" s="98">
        <f>+VLOOKUP(PROVEEDORES[[#This Row],[ID RETENCION]],Retenciones!$A$1:$O$25,PROVEEDORES[[#This Row],[indicador de columna]],FALSE)</f>
        <v>0</v>
      </c>
      <c r="Y2009" s="99">
        <f>+VLOOKUP(PROVEEDORES[[#This Row],[ID RETENCION]],Retenciones!$A$1:$O$25,2,FALSE)</f>
        <v>0</v>
      </c>
      <c r="Z2009" s="125" t="b">
        <f>OR(COUNTIF(PROVEEDORES[[#This Row],[PROVEEDOR]],"*"&amp;'Palabra no opera'!$A$2&amp;"*"))</f>
        <v>0</v>
      </c>
    </row>
    <row r="2010" spans="1:26" ht="22.2" customHeight="1" x14ac:dyDescent="0.3">
      <c r="A2010" s="66" t="str">
        <f>+IF(PROVEEDORES[[#This Row],[FECHA DE PAGO]]=PROVEEDORES[[#This Row],[FECHA DE FACTURACIÓN]],"DE CONTADO","CRÉDITO")</f>
        <v>CRÉDITO</v>
      </c>
      <c r="B2010" s="38" t="str">
        <f>+IF((PROVEEDORES[[#This Row],[FECHA DE PAGO]]-PROVEEDORES[[#This Row],[FECHA DE FACTURACIÓN]])&gt;PROVEEDORES[[#This Row],[PLAZO Días]],"PAGO VENCIDO")</f>
        <v>PAGO VENCIDO</v>
      </c>
      <c r="C2010" s="20">
        <f>+VLOOKUP(PROVEEDORES[[#This Row],[PROVEEDOR]],TERCEROS_INFO[#All],2,FALSE)</f>
        <v>90</v>
      </c>
      <c r="D2010" s="25">
        <f>+SUMIFS(PROVEEDORES[Total],PROVEEDORES[PROVEEDOR],PROVEEDORES[[#This Row],[PROVEEDOR]],PROVEEDORES[FECHA DE PAGO],"")</f>
        <v>2410000</v>
      </c>
      <c r="E2010" s="25"/>
      <c r="F2010" s="58" t="str">
        <f>+VLOOKUP(PROVEEDORES[[#This Row],[PROVEEDOR]],
                       Terceros!$A:$F,
                       5,
                       FALSE)</f>
        <v/>
      </c>
      <c r="G2010" s="161">
        <v>44503</v>
      </c>
      <c r="H2010" s="26" t="s">
        <v>651</v>
      </c>
      <c r="I2010" s="161">
        <v>44412</v>
      </c>
      <c r="J2010" s="35" t="s">
        <v>1480</v>
      </c>
      <c r="K2010" s="21">
        <v>7943000</v>
      </c>
      <c r="L2010" s="21"/>
      <c r="M2010" s="22">
        <f>(PROVEEDORES[[#This Row],[SUBTOTAL]]-PROVEEDORES[[#This Row],[descuento sobre subtotal]])*VLOOKUP(PROVEEDORES[[#This Row],[PROVEEDOR]],TERCEROS_INFO[#All],3,FALSE)</f>
        <v>0</v>
      </c>
      <c r="N2010" s="23"/>
      <c r="O2010" s="22">
        <f>+PROVEEDORES[[#This Row],[Descuento sobre subtotal %]]*(PROVEEDORES[[#This Row],[SUBTOTAL]]-PROVEEDORES[[#This Row],[descuento sobre subtotal]])</f>
        <v>0</v>
      </c>
      <c r="P2010" s="83">
        <f>+IF(PROVEEDORES[[#This Row],[SUBTOTAL]]&lt;PROVEEDORES[[#This Row],[base retencion]],0,PROVEEDORES[[#This Row],[retención aplicada]])</f>
        <v>0</v>
      </c>
      <c r="Q2010" s="22">
        <f>+PROVEEDORES[[#This Row],[Rete Fuente %]]*(PROVEEDORES[[#This Row],[SUBTOTAL]]-PROVEEDORES[[#This Row],[descuento sobre subtotal]])</f>
        <v>0</v>
      </c>
      <c r="R2010" s="21">
        <f>+PROVEEDORES[[#This Row],[SUBTOTAL]]+PROVEEDORES[[#This Row],[IVA 19%]]-PROVEEDORES[[#This Row],[descuento sobre subtotal]]-PROVEEDORES[[#This Row],[Descuento sobre subtotal $2]]-PROVEEDORES[[#This Row],[Rete Fuente $]]</f>
        <v>7943000</v>
      </c>
      <c r="S201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0" s="68">
        <f ca="1">IF(PROVEEDORES[[#This Row],[FECHA DE PAGO]]=0,TODAY()-PROVEEDORES[[#This Row],[FECHA DE FACTURACIÓN]]-PROVEEDORES[[#This Row],[PLAZO Días]],0)</f>
        <v>0</v>
      </c>
      <c r="U2010" s="96">
        <f>+VLOOKUP(PROVEEDORES[[#This Row],[PROVEEDOR]],Terceros!$A:$D,4,FALSE)</f>
        <v>0</v>
      </c>
      <c r="V2010" s="97">
        <f>+YEAR(PROVEEDORES[[#This Row],[FECHA DE FACTURACIÓN]])</f>
        <v>2021</v>
      </c>
      <c r="W2010" s="97">
        <f>+MATCH(PROVEEDORES[[#This Row],[año facturado]],Retenciones!$1:$1,0)</f>
        <v>4</v>
      </c>
      <c r="X2010" s="98">
        <f>+VLOOKUP(PROVEEDORES[[#This Row],[ID RETENCION]],Retenciones!$A$1:$O$25,PROVEEDORES[[#This Row],[indicador de columna]],FALSE)</f>
        <v>0</v>
      </c>
      <c r="Y2010" s="99">
        <f>+VLOOKUP(PROVEEDORES[[#This Row],[ID RETENCION]],Retenciones!$A$1:$O$25,2,FALSE)</f>
        <v>0</v>
      </c>
      <c r="Z2010" s="125" t="b">
        <f>OR(COUNTIF(PROVEEDORES[[#This Row],[PROVEEDOR]],"*"&amp;'Palabra no opera'!$A$2&amp;"*"))</f>
        <v>0</v>
      </c>
    </row>
    <row r="2011" spans="1:26" ht="22.2" customHeight="1" x14ac:dyDescent="0.3">
      <c r="A2011" s="66" t="str">
        <f>+IF(PROVEEDORES[[#This Row],[FECHA DE PAGO]]=PROVEEDORES[[#This Row],[FECHA DE FACTURACIÓN]],"DE CONTADO","CRÉDITO")</f>
        <v>CRÉDITO</v>
      </c>
      <c r="B2011" s="38" t="str">
        <f>+IF((PROVEEDORES[[#This Row],[FECHA DE PAGO]]-PROVEEDORES[[#This Row],[FECHA DE FACTURACIÓN]])&gt;PROVEEDORES[[#This Row],[PLAZO Días]],"PAGO VENCIDO")</f>
        <v>PAGO VENCIDO</v>
      </c>
      <c r="C2011" s="20">
        <f>+VLOOKUP(PROVEEDORES[[#This Row],[PROVEEDOR]],TERCEROS_INFO[#All],2,FALSE)</f>
        <v>90</v>
      </c>
      <c r="D2011" s="25">
        <f>+SUMIFS(PROVEEDORES[Total],PROVEEDORES[PROVEEDOR],PROVEEDORES[[#This Row],[PROVEEDOR]],PROVEEDORES[FECHA DE PAGO],"")</f>
        <v>75241004.385000005</v>
      </c>
      <c r="E2011" s="25"/>
      <c r="F2011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11" s="161">
        <v>44366</v>
      </c>
      <c r="H2011" s="26" t="s">
        <v>77</v>
      </c>
      <c r="I2011" s="161">
        <v>44186</v>
      </c>
      <c r="J2011" s="35" t="s">
        <v>92</v>
      </c>
      <c r="K2011" s="21">
        <v>6861342.8571428573</v>
      </c>
      <c r="L2011" s="21"/>
      <c r="M2011" s="22">
        <f>(PROVEEDORES[[#This Row],[SUBTOTAL]]-PROVEEDORES[[#This Row],[descuento sobre subtotal]])*VLOOKUP(PROVEEDORES[[#This Row],[PROVEEDOR]],TERCEROS_INFO[#All],3,FALSE)</f>
        <v>1303655.142857143</v>
      </c>
      <c r="N2011" s="23"/>
      <c r="O2011" s="22">
        <f>+PROVEEDORES[[#This Row],[Descuento sobre subtotal %]]*(PROVEEDORES[[#This Row],[SUBTOTAL]]-PROVEEDORES[[#This Row],[descuento sobre subtotal]])</f>
        <v>0</v>
      </c>
      <c r="P2011" s="83">
        <f>+IF(PROVEEDORES[[#This Row],[SUBTOTAL]]&lt;PROVEEDORES[[#This Row],[base retencion]],0,PROVEEDORES[[#This Row],[retención aplicada]])</f>
        <v>2.5000000000000001E-2</v>
      </c>
      <c r="Q2011" s="22">
        <f>+PROVEEDORES[[#This Row],[Rete Fuente %]]*(PROVEEDORES[[#This Row],[SUBTOTAL]]-PROVEEDORES[[#This Row],[descuento sobre subtotal]])</f>
        <v>171533.57142857145</v>
      </c>
      <c r="R2011" s="21">
        <f>+PROVEEDORES[[#This Row],[SUBTOTAL]]+PROVEEDORES[[#This Row],[IVA 19%]]-PROVEEDORES[[#This Row],[descuento sobre subtotal]]-PROVEEDORES[[#This Row],[Descuento sobre subtotal $2]]-PROVEEDORES[[#This Row],[Rete Fuente $]]</f>
        <v>7993464.4285714282</v>
      </c>
      <c r="S201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1" s="68">
        <f ca="1">IF(PROVEEDORES[[#This Row],[FECHA DE PAGO]]=0,TODAY()-PROVEEDORES[[#This Row],[FECHA DE FACTURACIÓN]]-PROVEEDORES[[#This Row],[PLAZO Días]],0)</f>
        <v>0</v>
      </c>
      <c r="U2011" s="96" t="str">
        <f>+VLOOKUP(PROVEEDORES[[#This Row],[PROVEEDOR]],Terceros!$A:$D,4,FALSE)</f>
        <v>2,5% con base</v>
      </c>
      <c r="V2011" s="97">
        <f>+YEAR(PROVEEDORES[[#This Row],[FECHA DE FACTURACIÓN]])</f>
        <v>2020</v>
      </c>
      <c r="W2011" s="97">
        <f>+MATCH(PROVEEDORES[[#This Row],[año facturado]],Retenciones!$1:$1,0)</f>
        <v>3</v>
      </c>
      <c r="X2011" s="98">
        <f>+VLOOKUP(PROVEEDORES[[#This Row],[ID RETENCION]],Retenciones!$A$1:$O$25,PROVEEDORES[[#This Row],[indicador de columna]],FALSE)</f>
        <v>961000</v>
      </c>
      <c r="Y2011" s="99">
        <f>+VLOOKUP(PROVEEDORES[[#This Row],[ID RETENCION]],Retenciones!$A$1:$O$25,2,FALSE)</f>
        <v>2.5000000000000001E-2</v>
      </c>
      <c r="Z2011" s="125" t="b">
        <f>OR(COUNTIF(PROVEEDORES[[#This Row],[PROVEEDOR]],"*"&amp;'Palabra no opera'!$A$2&amp;"*"))</f>
        <v>0</v>
      </c>
    </row>
    <row r="2012" spans="1:26" ht="22.2" customHeight="1" x14ac:dyDescent="0.3">
      <c r="A2012" s="195" t="str">
        <f>+IF(PROVEEDORES[[#This Row],[FECHA DE PAGO]]=PROVEEDORES[[#This Row],[FECHA DE FACTURACIÓN]],"DE CONTADO","CRÉDITO")</f>
        <v>DE CONTADO</v>
      </c>
      <c r="B2012" s="38" t="b">
        <f>+IF((PROVEEDORES[[#This Row],[FECHA DE PAGO]]-PROVEEDORES[[#This Row],[FECHA DE FACTURACIÓN]])&gt;PROVEEDORES[[#This Row],[PLAZO Días]],"PAGO VENCIDO")</f>
        <v>0</v>
      </c>
      <c r="C2012" s="20">
        <f>+VLOOKUP(PROVEEDORES[[#This Row],[PROVEEDOR]],TERCEROS_INFO[#All],2,FALSE)</f>
        <v>0</v>
      </c>
      <c r="D2012" s="25">
        <f>+SUMIFS(PROVEEDORES[Total],PROVEEDORES[PROVEEDOR],PROVEEDORES[[#This Row],[PROVEEDOR]],PROVEEDORES[FECHA DE PAGO],"")</f>
        <v>0</v>
      </c>
      <c r="E2012" s="25" t="s">
        <v>1159</v>
      </c>
      <c r="F2012" s="58">
        <f>+VLOOKUP(PROVEEDORES[[#This Row],[PROVEEDOR]],
                       Terceros!$A:$F,
                       5,
                       FALSE)</f>
        <v>0</v>
      </c>
      <c r="G2012" s="161">
        <v>44776</v>
      </c>
      <c r="H2012" s="26" t="s">
        <v>1050</v>
      </c>
      <c r="I2012" s="161">
        <v>44776</v>
      </c>
      <c r="J2012" s="35" t="s">
        <v>1385</v>
      </c>
      <c r="K2012" s="21">
        <v>8000000</v>
      </c>
      <c r="L2012" s="21"/>
      <c r="M2012" s="22">
        <f>(PROVEEDORES[[#This Row],[SUBTOTAL]]-PROVEEDORES[[#This Row],[descuento sobre subtotal]])*VLOOKUP(PROVEEDORES[[#This Row],[PROVEEDOR]],TERCEROS_INFO[#All],3,FALSE)</f>
        <v>0</v>
      </c>
      <c r="N2012" s="23"/>
      <c r="O2012" s="22">
        <f>+PROVEEDORES[[#This Row],[Descuento sobre subtotal %]]*(PROVEEDORES[[#This Row],[SUBTOTAL]]-PROVEEDORES[[#This Row],[descuento sobre subtotal]])</f>
        <v>0</v>
      </c>
      <c r="P2012" s="83">
        <f>+IF(PROVEEDORES[[#This Row],[SUBTOTAL]]&lt;PROVEEDORES[[#This Row],[base retencion]],0,PROVEEDORES[[#This Row],[retención aplicada]])</f>
        <v>0</v>
      </c>
      <c r="Q2012" s="22">
        <f>+PROVEEDORES[[#This Row],[Rete Fuente %]]*(PROVEEDORES[[#This Row],[SUBTOTAL]]-PROVEEDORES[[#This Row],[descuento sobre subtotal]])</f>
        <v>0</v>
      </c>
      <c r="R2012" s="21">
        <f>+PROVEEDORES[[#This Row],[SUBTOTAL]]+PROVEEDORES[[#This Row],[IVA 19%]]-PROVEEDORES[[#This Row],[descuento sobre subtotal]]-PROVEEDORES[[#This Row],[Descuento sobre subtotal $2]]-PROVEEDORES[[#This Row],[Rete Fuente $]]</f>
        <v>8000000</v>
      </c>
      <c r="S2012" s="19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2" s="68">
        <f ca="1">IF(PROVEEDORES[[#This Row],[FECHA DE PAGO]]=0,TODAY()-PROVEEDORES[[#This Row],[FECHA DE FACTURACIÓN]]-PROVEEDORES[[#This Row],[PLAZO Días]],0)</f>
        <v>0</v>
      </c>
      <c r="U2012" s="113">
        <f>+VLOOKUP(PROVEEDORES[[#This Row],[PROVEEDOR]],Terceros!$A:$D,4,FALSE)</f>
        <v>0</v>
      </c>
      <c r="V2012" s="114">
        <f>+YEAR(PROVEEDORES[[#This Row],[FECHA DE FACTURACIÓN]])</f>
        <v>2022</v>
      </c>
      <c r="W2012" s="114">
        <f>+MATCH(PROVEEDORES[[#This Row],[año facturado]],Retenciones!$1:$1,0)</f>
        <v>5</v>
      </c>
      <c r="X2012" s="115">
        <f>+VLOOKUP(PROVEEDORES[[#This Row],[ID RETENCION]],Retenciones!$A$1:$O$25,PROVEEDORES[[#This Row],[indicador de columna]],FALSE)</f>
        <v>0</v>
      </c>
      <c r="Y2012" s="116">
        <f>+VLOOKUP(PROVEEDORES[[#This Row],[ID RETENCION]],Retenciones!$A$1:$O$25,2,FALSE)</f>
        <v>0</v>
      </c>
      <c r="Z2012" s="125" t="b">
        <f>OR(COUNTIF(PROVEEDORES[[#This Row],[PROVEEDOR]],"*"&amp;'Palabra no opera'!$A$2&amp;"*"))</f>
        <v>1</v>
      </c>
    </row>
    <row r="2013" spans="1:26" ht="22.2" customHeight="1" x14ac:dyDescent="0.3">
      <c r="A2013" s="144" t="str">
        <f>+IF(PROVEEDORES[[#This Row],[FECHA DE PAGO]]=PROVEEDORES[[#This Row],[FECHA DE FACTURACIÓN]],"DE CONTADO","CRÉDITO")</f>
        <v>CRÉDITO</v>
      </c>
      <c r="B2013" s="38" t="str">
        <f>+IF((PROVEEDORES[[#This Row],[FECHA DE PAGO]]-PROVEEDORES[[#This Row],[FECHA DE FACTURACIÓN]])&gt;PROVEEDORES[[#This Row],[PLAZO Días]],"PAGO VENCIDO")</f>
        <v>PAGO VENCIDO</v>
      </c>
      <c r="C2013" s="20">
        <f>+VLOOKUP(PROVEEDORES[[#This Row],[PROVEEDOR]],TERCEROS_INFO[#All],2,FALSE)</f>
        <v>30</v>
      </c>
      <c r="D2013" s="25">
        <f>+SUMIFS(PROVEEDORES[Total],PROVEEDORES[PROVEEDOR],PROVEEDORES[[#This Row],[PROVEEDOR]],PROVEEDORES[FECHA DE PAGO],"")</f>
        <v>1333437.8400000001</v>
      </c>
      <c r="E2013" s="25"/>
      <c r="F201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13" s="161">
        <v>44766</v>
      </c>
      <c r="H2013" s="26" t="s">
        <v>905</v>
      </c>
      <c r="I2013" s="161">
        <v>44705</v>
      </c>
      <c r="J2013" s="35" t="s">
        <v>993</v>
      </c>
      <c r="K2013" s="21">
        <v>6739831</v>
      </c>
      <c r="L2013" s="21"/>
      <c r="M2013" s="22">
        <f>(PROVEEDORES[[#This Row],[SUBTOTAL]]-PROVEEDORES[[#This Row],[descuento sobre subtotal]])*VLOOKUP(PROVEEDORES[[#This Row],[PROVEEDOR]],TERCEROS_INFO[#All],3,FALSE)</f>
        <v>1280567.8900000001</v>
      </c>
      <c r="N2013" s="23"/>
      <c r="O2013" s="22">
        <f>+PROVEEDORES[[#This Row],[Descuento sobre subtotal %]]*(PROVEEDORES[[#This Row],[SUBTOTAL]]-PROVEEDORES[[#This Row],[descuento sobre subtotal]])</f>
        <v>0</v>
      </c>
      <c r="P2013" s="83">
        <f>+IF(PROVEEDORES[[#This Row],[SUBTOTAL]]&lt;PROVEEDORES[[#This Row],[base retencion]],0,PROVEEDORES[[#This Row],[retención aplicada]])</f>
        <v>0</v>
      </c>
      <c r="Q2013" s="22">
        <f>+PROVEEDORES[[#This Row],[Rete Fuente %]]*(PROVEEDORES[[#This Row],[SUBTOTAL]]-PROVEEDORES[[#This Row],[descuento sobre subtotal]])</f>
        <v>0</v>
      </c>
      <c r="R2013" s="21">
        <f>+PROVEEDORES[[#This Row],[SUBTOTAL]]+PROVEEDORES[[#This Row],[IVA 19%]]-PROVEEDORES[[#This Row],[descuento sobre subtotal]]-PROVEEDORES[[#This Row],[Descuento sobre subtotal $2]]-PROVEEDORES[[#This Row],[Rete Fuente $]]</f>
        <v>8020398.8900000006</v>
      </c>
      <c r="S2013" s="14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3" s="68">
        <f ca="1">IF(PROVEEDORES[[#This Row],[FECHA DE PAGO]]=0,TODAY()-PROVEEDORES[[#This Row],[FECHA DE FACTURACIÓN]]-PROVEEDORES[[#This Row],[PLAZO Días]],0)</f>
        <v>0</v>
      </c>
      <c r="U2013" s="113">
        <f>+VLOOKUP(PROVEEDORES[[#This Row],[PROVEEDOR]],Terceros!$A:$D,4,FALSE)</f>
        <v>0</v>
      </c>
      <c r="V2013" s="114">
        <f>+YEAR(PROVEEDORES[[#This Row],[FECHA DE FACTURACIÓN]])</f>
        <v>2022</v>
      </c>
      <c r="W2013" s="114">
        <f>+MATCH(PROVEEDORES[[#This Row],[año facturado]],Retenciones!$1:$1,0)</f>
        <v>5</v>
      </c>
      <c r="X2013" s="115">
        <f>+VLOOKUP(PROVEEDORES[[#This Row],[ID RETENCION]],Retenciones!$A$1:$O$25,PROVEEDORES[[#This Row],[indicador de columna]],FALSE)</f>
        <v>0</v>
      </c>
      <c r="Y2013" s="116">
        <f>+VLOOKUP(PROVEEDORES[[#This Row],[ID RETENCION]],Retenciones!$A$1:$O$25,2,FALSE)</f>
        <v>0</v>
      </c>
      <c r="Z2013" s="125" t="b">
        <f>OR(COUNTIF(PROVEEDORES[[#This Row],[PROVEEDOR]],"*"&amp;'Palabra no opera'!$A$2&amp;"*"))</f>
        <v>1</v>
      </c>
    </row>
    <row r="2014" spans="1:26" ht="22.2" customHeight="1" x14ac:dyDescent="0.3">
      <c r="A2014" s="159" t="str">
        <f>+IF(PROVEEDORES[[#This Row],[FECHA DE PAGO]]=PROVEEDORES[[#This Row],[FECHA DE FACTURACIÓN]],"DE CONTADO","CRÉDITO")</f>
        <v>CRÉDITO</v>
      </c>
      <c r="B2014" s="38" t="str">
        <f>+IF((PROVEEDORES[[#This Row],[FECHA DE PAGO]]-PROVEEDORES[[#This Row],[FECHA DE FACTURACIÓN]])&gt;PROVEEDORES[[#This Row],[PLAZO Días]],"PAGO VENCIDO")</f>
        <v>PAGO VENCIDO</v>
      </c>
      <c r="C2014" s="20">
        <f>+VLOOKUP(PROVEEDORES[[#This Row],[PROVEEDOR]],TERCEROS_INFO[#All],2,FALSE)</f>
        <v>30</v>
      </c>
      <c r="D2014" s="25">
        <f>+SUMIFS(PROVEEDORES[Total],PROVEEDORES[PROVEEDOR],PROVEEDORES[[#This Row],[PROVEEDOR]],PROVEEDORES[FECHA DE PAGO],"")</f>
        <v>0</v>
      </c>
      <c r="E2014" s="25"/>
      <c r="F2014" s="58">
        <f>+VLOOKUP(PROVEEDORES[[#This Row],[PROVEEDOR]],
                       Terceros!$A:$F,
                       5,
                       FALSE)</f>
        <v>0</v>
      </c>
      <c r="G2014" s="161">
        <v>44792</v>
      </c>
      <c r="H2014" s="26" t="s">
        <v>1073</v>
      </c>
      <c r="I2014" s="161">
        <v>44733</v>
      </c>
      <c r="J2014" s="35" t="s">
        <v>1387</v>
      </c>
      <c r="K2014" s="21">
        <v>8070000</v>
      </c>
      <c r="L2014" s="21"/>
      <c r="M2014" s="22">
        <f>(PROVEEDORES[[#This Row],[SUBTOTAL]]-PROVEEDORES[[#This Row],[descuento sobre subtotal]])*VLOOKUP(PROVEEDORES[[#This Row],[PROVEEDOR]],TERCEROS_INFO[#All],3,FALSE)</f>
        <v>0</v>
      </c>
      <c r="N2014" s="23"/>
      <c r="O2014" s="22">
        <f>+PROVEEDORES[[#This Row],[Descuento sobre subtotal %]]*(PROVEEDORES[[#This Row],[SUBTOTAL]]-PROVEEDORES[[#This Row],[descuento sobre subtotal]])</f>
        <v>0</v>
      </c>
      <c r="P2014" s="83">
        <f>+IF(PROVEEDORES[[#This Row],[SUBTOTAL]]&lt;PROVEEDORES[[#This Row],[base retencion]],0,PROVEEDORES[[#This Row],[retención aplicada]])</f>
        <v>0</v>
      </c>
      <c r="Q2014" s="22">
        <f>+PROVEEDORES[[#This Row],[Rete Fuente %]]*(PROVEEDORES[[#This Row],[SUBTOTAL]]-PROVEEDORES[[#This Row],[descuento sobre subtotal]])</f>
        <v>0</v>
      </c>
      <c r="R2014" s="21">
        <f>+PROVEEDORES[[#This Row],[SUBTOTAL]]+PROVEEDORES[[#This Row],[IVA 19%]]-PROVEEDORES[[#This Row],[descuento sobre subtotal]]-PROVEEDORES[[#This Row],[Descuento sobre subtotal $2]]-PROVEEDORES[[#This Row],[Rete Fuente $]]</f>
        <v>8070000</v>
      </c>
      <c r="S201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4" s="68">
        <f ca="1">IF(PROVEEDORES[[#This Row],[FECHA DE PAGO]]=0,TODAY()-PROVEEDORES[[#This Row],[FECHA DE FACTURACIÓN]]-PROVEEDORES[[#This Row],[PLAZO Días]],0)</f>
        <v>0</v>
      </c>
      <c r="U2014" s="113">
        <f>+VLOOKUP(PROVEEDORES[[#This Row],[PROVEEDOR]],Terceros!$A:$D,4,FALSE)</f>
        <v>0</v>
      </c>
      <c r="V2014" s="114">
        <f>+YEAR(PROVEEDORES[[#This Row],[FECHA DE FACTURACIÓN]])</f>
        <v>2022</v>
      </c>
      <c r="W2014" s="114">
        <f>+MATCH(PROVEEDORES[[#This Row],[año facturado]],Retenciones!$1:$1,0)</f>
        <v>5</v>
      </c>
      <c r="X2014" s="115">
        <f>+VLOOKUP(PROVEEDORES[[#This Row],[ID RETENCION]],Retenciones!$A$1:$O$25,PROVEEDORES[[#This Row],[indicador de columna]],FALSE)</f>
        <v>0</v>
      </c>
      <c r="Y2014" s="116">
        <f>+VLOOKUP(PROVEEDORES[[#This Row],[ID RETENCION]],Retenciones!$A$1:$O$25,2,FALSE)</f>
        <v>0</v>
      </c>
      <c r="Z2014" s="125" t="b">
        <f>OR(COUNTIF(PROVEEDORES[[#This Row],[PROVEEDOR]],"*"&amp;'Palabra no opera'!$A$2&amp;"*"))</f>
        <v>0</v>
      </c>
    </row>
    <row r="2015" spans="1:26" ht="22.2" customHeight="1" x14ac:dyDescent="0.3">
      <c r="A2015" s="66" t="str">
        <f>+IF(PROVEEDORES[[#This Row],[FECHA DE PAGO]]=PROVEEDORES[[#This Row],[FECHA DE FACTURACIÓN]],"DE CONTADO","CRÉDITO")</f>
        <v>DE CONTADO</v>
      </c>
      <c r="B2015" s="38" t="b">
        <f>+IF((PROVEEDORES[[#This Row],[FECHA DE PAGO]]-PROVEEDORES[[#This Row],[FECHA DE FACTURACIÓN]])&gt;PROVEEDORES[[#This Row],[PLAZO Días]],"PAGO VENCIDO")</f>
        <v>0</v>
      </c>
      <c r="C2015" s="20">
        <f>+VLOOKUP(PROVEEDORES[[#This Row],[PROVEEDOR]],TERCEROS_INFO[#All],2,FALSE)</f>
        <v>30</v>
      </c>
      <c r="D2015" s="25">
        <f>+SUMIFS(PROVEEDORES[Total],PROVEEDORES[PROVEEDOR],PROVEEDORES[[#This Row],[PROVEEDOR]],PROVEEDORES[FECHA DE PAGO],"")</f>
        <v>0</v>
      </c>
      <c r="E2015" s="25"/>
      <c r="F2015" s="58" t="str">
        <f>+VLOOKUP(PROVEEDORES[[#This Row],[PROVEEDOR]],
                       Terceros!$A:$F,
                       5,
                       FALSE)</f>
        <v/>
      </c>
      <c r="G2015" s="161">
        <v>44431</v>
      </c>
      <c r="H2015" s="26" t="s">
        <v>638</v>
      </c>
      <c r="I2015" s="161">
        <v>44431</v>
      </c>
      <c r="J2015" s="35" t="s">
        <v>1290</v>
      </c>
      <c r="K2015" s="21">
        <v>8149000</v>
      </c>
      <c r="L2015" s="21"/>
      <c r="M2015" s="22">
        <f>(PROVEEDORES[[#This Row],[SUBTOTAL]]-PROVEEDORES[[#This Row],[descuento sobre subtotal]])*VLOOKUP(PROVEEDORES[[#This Row],[PROVEEDOR]],TERCEROS_INFO[#All],3,FALSE)</f>
        <v>0</v>
      </c>
      <c r="N2015" s="23"/>
      <c r="O2015" s="22">
        <f>+PROVEEDORES[[#This Row],[Descuento sobre subtotal %]]*(PROVEEDORES[[#This Row],[SUBTOTAL]]-PROVEEDORES[[#This Row],[descuento sobre subtotal]])</f>
        <v>0</v>
      </c>
      <c r="P2015" s="83">
        <f>+IF(PROVEEDORES[[#This Row],[SUBTOTAL]]&lt;PROVEEDORES[[#This Row],[base retencion]],0,PROVEEDORES[[#This Row],[retención aplicada]])</f>
        <v>0</v>
      </c>
      <c r="Q2015" s="22">
        <f>+PROVEEDORES[[#This Row],[Rete Fuente %]]*(PROVEEDORES[[#This Row],[SUBTOTAL]]-PROVEEDORES[[#This Row],[descuento sobre subtotal]])</f>
        <v>0</v>
      </c>
      <c r="R2015" s="21">
        <f>+PROVEEDORES[[#This Row],[SUBTOTAL]]+PROVEEDORES[[#This Row],[IVA 19%]]-PROVEEDORES[[#This Row],[descuento sobre subtotal]]-PROVEEDORES[[#This Row],[Descuento sobre subtotal $2]]-PROVEEDORES[[#This Row],[Rete Fuente $]]</f>
        <v>8149000</v>
      </c>
      <c r="S201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5" s="68">
        <f ca="1">IF(PROVEEDORES[[#This Row],[FECHA DE PAGO]]=0,TODAY()-PROVEEDORES[[#This Row],[FECHA DE FACTURACIÓN]]-PROVEEDORES[[#This Row],[PLAZO Días]],0)</f>
        <v>0</v>
      </c>
      <c r="U2015" s="96">
        <f>+VLOOKUP(PROVEEDORES[[#This Row],[PROVEEDOR]],Terceros!$A:$D,4,FALSE)</f>
        <v>0</v>
      </c>
      <c r="V2015" s="97">
        <f>+YEAR(PROVEEDORES[[#This Row],[FECHA DE FACTURACIÓN]])</f>
        <v>2021</v>
      </c>
      <c r="W2015" s="97">
        <f>+MATCH(PROVEEDORES[[#This Row],[año facturado]],Retenciones!$1:$1,0)</f>
        <v>4</v>
      </c>
      <c r="X2015" s="98">
        <f>+VLOOKUP(PROVEEDORES[[#This Row],[ID RETENCION]],Retenciones!$A$1:$O$25,PROVEEDORES[[#This Row],[indicador de columna]],FALSE)</f>
        <v>0</v>
      </c>
      <c r="Y2015" s="99">
        <f>+VLOOKUP(PROVEEDORES[[#This Row],[ID RETENCION]],Retenciones!$A$1:$O$25,2,FALSE)</f>
        <v>0</v>
      </c>
      <c r="Z2015" s="125" t="b">
        <f>OR(COUNTIF(PROVEEDORES[[#This Row],[PROVEEDOR]],"*"&amp;'Palabra no opera'!$A$2&amp;"*"))</f>
        <v>0</v>
      </c>
    </row>
    <row r="2016" spans="1:26" ht="22.2" customHeight="1" x14ac:dyDescent="0.3">
      <c r="A2016" s="66" t="str">
        <f>+IF(PROVEEDORES[[#This Row],[FECHA DE PAGO]]=PROVEEDORES[[#This Row],[FECHA DE FACTURACIÓN]],"DE CONTADO","CRÉDITO")</f>
        <v>CRÉDITO</v>
      </c>
      <c r="B2016" s="38" t="b">
        <f>+IF((PROVEEDORES[[#This Row],[FECHA DE PAGO]]-PROVEEDORES[[#This Row],[FECHA DE FACTURACIÓN]])&gt;PROVEEDORES[[#This Row],[PLAZO Días]],"PAGO VENCIDO")</f>
        <v>0</v>
      </c>
      <c r="C2016" s="20">
        <f>+VLOOKUP(PROVEEDORES[[#This Row],[PROVEEDOR]],TERCEROS_INFO[#All],2,FALSE)</f>
        <v>30</v>
      </c>
      <c r="D2016" s="25">
        <f>+SUMIFS(PROVEEDORES[Total],PROVEEDORES[PROVEEDOR],PROVEEDORES[[#This Row],[PROVEEDOR]],PROVEEDORES[FECHA DE PAGO],"")</f>
        <v>0</v>
      </c>
      <c r="E2016" s="25"/>
      <c r="F2016" s="58" t="str">
        <f>+VLOOKUP(PROVEEDORES[[#This Row],[PROVEEDOR]],
                       Terceros!$A:$F,
                       5,
                       FALSE)</f>
        <v/>
      </c>
      <c r="G2016" s="161">
        <v>44502</v>
      </c>
      <c r="H2016" s="26" t="s">
        <v>55</v>
      </c>
      <c r="I2016" s="161">
        <v>44501</v>
      </c>
      <c r="J2016" s="35">
        <v>55161</v>
      </c>
      <c r="K2016" s="21">
        <v>8172000</v>
      </c>
      <c r="L2016" s="21"/>
      <c r="M2016" s="22">
        <f>(PROVEEDORES[[#This Row],[SUBTOTAL]]-PROVEEDORES[[#This Row],[descuento sobre subtotal]])*VLOOKUP(PROVEEDORES[[#This Row],[PROVEEDOR]],TERCEROS_INFO[#All],3,FALSE)</f>
        <v>0</v>
      </c>
      <c r="N2016" s="23"/>
      <c r="O2016" s="22">
        <f>+PROVEEDORES[[#This Row],[Descuento sobre subtotal %]]*(PROVEEDORES[[#This Row],[SUBTOTAL]]-PROVEEDORES[[#This Row],[descuento sobre subtotal]])</f>
        <v>0</v>
      </c>
      <c r="P2016" s="83">
        <f>+IF(PROVEEDORES[[#This Row],[SUBTOTAL]]&lt;PROVEEDORES[[#This Row],[base retencion]],0,PROVEEDORES[[#This Row],[retención aplicada]])</f>
        <v>0</v>
      </c>
      <c r="Q2016" s="22">
        <f>+PROVEEDORES[[#This Row],[Rete Fuente %]]*(PROVEEDORES[[#This Row],[SUBTOTAL]]-PROVEEDORES[[#This Row],[descuento sobre subtotal]])</f>
        <v>0</v>
      </c>
      <c r="R2016" s="21">
        <f>+PROVEEDORES[[#This Row],[SUBTOTAL]]+PROVEEDORES[[#This Row],[IVA 19%]]-PROVEEDORES[[#This Row],[descuento sobre subtotal]]-PROVEEDORES[[#This Row],[Descuento sobre subtotal $2]]-PROVEEDORES[[#This Row],[Rete Fuente $]]</f>
        <v>8172000</v>
      </c>
      <c r="S201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6" s="68">
        <f ca="1">IF(PROVEEDORES[[#This Row],[FECHA DE PAGO]]=0,TODAY()-PROVEEDORES[[#This Row],[FECHA DE FACTURACIÓN]]-PROVEEDORES[[#This Row],[PLAZO Días]],0)</f>
        <v>0</v>
      </c>
      <c r="U2016" s="96">
        <f>+VLOOKUP(PROVEEDORES[[#This Row],[PROVEEDOR]],Terceros!$A:$D,4,FALSE)</f>
        <v>0</v>
      </c>
      <c r="V2016" s="97">
        <f>+YEAR(PROVEEDORES[[#This Row],[FECHA DE FACTURACIÓN]])</f>
        <v>2021</v>
      </c>
      <c r="W2016" s="97">
        <f>+MATCH(PROVEEDORES[[#This Row],[año facturado]],Retenciones!$1:$1,0)</f>
        <v>4</v>
      </c>
      <c r="X2016" s="98">
        <f>+VLOOKUP(PROVEEDORES[[#This Row],[ID RETENCION]],Retenciones!$A$1:$O$25,PROVEEDORES[[#This Row],[indicador de columna]],FALSE)</f>
        <v>0</v>
      </c>
      <c r="Y2016" s="99">
        <f>+VLOOKUP(PROVEEDORES[[#This Row],[ID RETENCION]],Retenciones!$A$1:$O$25,2,FALSE)</f>
        <v>0</v>
      </c>
      <c r="Z2016" s="125" t="b">
        <f>OR(COUNTIF(PROVEEDORES[[#This Row],[PROVEEDOR]],"*"&amp;'Palabra no opera'!$A$2&amp;"*"))</f>
        <v>0</v>
      </c>
    </row>
    <row r="2017" spans="1:26" ht="22.2" customHeight="1" x14ac:dyDescent="0.3">
      <c r="A2017" s="66" t="str">
        <f>+IF(PROVEEDORES[[#This Row],[FECHA DE PAGO]]=PROVEEDORES[[#This Row],[FECHA DE FACTURACIÓN]],"DE CONTADO","CRÉDITO")</f>
        <v>CRÉDITO</v>
      </c>
      <c r="B2017" s="38" t="b">
        <f>+IF((PROVEEDORES[[#This Row],[FECHA DE PAGO]]-PROVEEDORES[[#This Row],[FECHA DE FACTURACIÓN]])&gt;PROVEEDORES[[#This Row],[PLAZO Días]],"PAGO VENCIDO")</f>
        <v>0</v>
      </c>
      <c r="C2017" s="20">
        <f>+VLOOKUP(PROVEEDORES[[#This Row],[PROVEEDOR]],TERCEROS_INFO[#All],2,FALSE)</f>
        <v>30</v>
      </c>
      <c r="D2017" s="25">
        <f>+SUMIFS(PROVEEDORES[Total],PROVEEDORES[PROVEEDOR],PROVEEDORES[[#This Row],[PROVEEDOR]],PROVEEDORES[FECHA DE PAGO],"")</f>
        <v>0</v>
      </c>
      <c r="E2017" s="25"/>
      <c r="F2017" s="58" t="str">
        <f>+VLOOKUP(PROVEEDORES[[#This Row],[PROVEEDOR]],
                       Terceros!$A:$F,
                       5,
                       FALSE)</f>
        <v/>
      </c>
      <c r="G2017" s="161">
        <v>44279</v>
      </c>
      <c r="H2017" s="26" t="s">
        <v>27</v>
      </c>
      <c r="I2017" s="161">
        <v>44400</v>
      </c>
      <c r="J2017" s="35">
        <v>129398</v>
      </c>
      <c r="K2017" s="21">
        <v>8204000</v>
      </c>
      <c r="L2017" s="21"/>
      <c r="M2017" s="22">
        <f>(PROVEEDORES[[#This Row],[SUBTOTAL]]-PROVEEDORES[[#This Row],[descuento sobre subtotal]])*VLOOKUP(PROVEEDORES[[#This Row],[PROVEEDOR]],TERCEROS_INFO[#All],3,FALSE)</f>
        <v>0</v>
      </c>
      <c r="N2017" s="23"/>
      <c r="O2017" s="22">
        <f>+PROVEEDORES[[#This Row],[Descuento sobre subtotal %]]*(PROVEEDORES[[#This Row],[SUBTOTAL]]-PROVEEDORES[[#This Row],[descuento sobre subtotal]])</f>
        <v>0</v>
      </c>
      <c r="P2017" s="83">
        <f>+IF(PROVEEDORES[[#This Row],[SUBTOTAL]]&lt;PROVEEDORES[[#This Row],[base retencion]],0,PROVEEDORES[[#This Row],[retención aplicada]])</f>
        <v>0</v>
      </c>
      <c r="Q2017" s="22">
        <f>+PROVEEDORES[[#This Row],[Rete Fuente %]]*(PROVEEDORES[[#This Row],[SUBTOTAL]]-PROVEEDORES[[#This Row],[descuento sobre subtotal]])</f>
        <v>0</v>
      </c>
      <c r="R2017" s="21">
        <f>+PROVEEDORES[[#This Row],[SUBTOTAL]]+PROVEEDORES[[#This Row],[IVA 19%]]-PROVEEDORES[[#This Row],[descuento sobre subtotal]]-PROVEEDORES[[#This Row],[Descuento sobre subtotal $2]]-PROVEEDORES[[#This Row],[Rete Fuente $]]</f>
        <v>8204000</v>
      </c>
      <c r="S201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7" s="68">
        <f ca="1">IF(PROVEEDORES[[#This Row],[FECHA DE PAGO]]=0,TODAY()-PROVEEDORES[[#This Row],[FECHA DE FACTURACIÓN]]-PROVEEDORES[[#This Row],[PLAZO Días]],0)</f>
        <v>0</v>
      </c>
      <c r="U2017" s="96">
        <f>+VLOOKUP(PROVEEDORES[[#This Row],[PROVEEDOR]],Terceros!$A:$D,4,FALSE)</f>
        <v>0</v>
      </c>
      <c r="V2017" s="97">
        <f>+YEAR(PROVEEDORES[[#This Row],[FECHA DE FACTURACIÓN]])</f>
        <v>2021</v>
      </c>
      <c r="W2017" s="97">
        <f>+MATCH(PROVEEDORES[[#This Row],[año facturado]],Retenciones!$1:$1,0)</f>
        <v>4</v>
      </c>
      <c r="X2017" s="98">
        <f>+VLOOKUP(PROVEEDORES[[#This Row],[ID RETENCION]],Retenciones!$A$1:$O$25,PROVEEDORES[[#This Row],[indicador de columna]],FALSE)</f>
        <v>0</v>
      </c>
      <c r="Y2017" s="99">
        <f>+VLOOKUP(PROVEEDORES[[#This Row],[ID RETENCION]],Retenciones!$A$1:$O$25,2,FALSE)</f>
        <v>0</v>
      </c>
      <c r="Z2017" s="125" t="b">
        <f>OR(COUNTIF(PROVEEDORES[[#This Row],[PROVEEDOR]],"*"&amp;'Palabra no opera'!$A$2&amp;"*"))</f>
        <v>0</v>
      </c>
    </row>
    <row r="2018" spans="1:26" ht="22.2" customHeight="1" x14ac:dyDescent="0.3">
      <c r="A2018" s="66" t="str">
        <f>+IF(PROVEEDORES[[#This Row],[FECHA DE PAGO]]=PROVEEDORES[[#This Row],[FECHA DE FACTURACIÓN]],"DE CONTADO","CRÉDITO")</f>
        <v>CRÉDITO</v>
      </c>
      <c r="B2018" s="38" t="str">
        <f>+IF((PROVEEDORES[[#This Row],[FECHA DE PAGO]]-PROVEEDORES[[#This Row],[FECHA DE FACTURACIÓN]])&gt;PROVEEDORES[[#This Row],[PLAZO Días]],"PAGO VENCIDO")</f>
        <v>PAGO VENCIDO</v>
      </c>
      <c r="C2018" s="20">
        <f>+VLOOKUP(PROVEEDORES[[#This Row],[PROVEEDOR]],TERCEROS_INFO[#All],2,FALSE)</f>
        <v>30</v>
      </c>
      <c r="D2018" s="25">
        <f>+SUMIFS(PROVEEDORES[Total],PROVEEDORES[PROVEEDOR],PROVEEDORES[[#This Row],[PROVEEDOR]],PROVEEDORES[FECHA DE PAGO],"")</f>
        <v>23124164.219999999</v>
      </c>
      <c r="E2018" s="25"/>
      <c r="F201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18" s="161">
        <v>44617</v>
      </c>
      <c r="H2018" s="26" t="s">
        <v>18</v>
      </c>
      <c r="I2018" s="161">
        <v>44574</v>
      </c>
      <c r="J2018" s="35">
        <v>1048362</v>
      </c>
      <c r="K2018" s="21">
        <v>7141767.0800000001</v>
      </c>
      <c r="L2018" s="21"/>
      <c r="M2018" s="22">
        <v>1356935.7452</v>
      </c>
      <c r="N2018" s="23"/>
      <c r="O2018" s="22">
        <v>0</v>
      </c>
      <c r="P2018" s="83">
        <f>+IF(PROVEEDORES[[#This Row],[SUBTOTAL]]&lt;PROVEEDORES[[#This Row],[base retencion]],0,PROVEEDORES[[#This Row],[retención aplicada]])</f>
        <v>2.5000000000000001E-2</v>
      </c>
      <c r="Q2018" s="22">
        <f>+PROVEEDORES[[#This Row],[Rete Fuente %]]*(PROVEEDORES[[#This Row],[SUBTOTAL]]-PROVEEDORES[[#This Row],[descuento sobre subtotal]])</f>
        <v>178544.17700000003</v>
      </c>
      <c r="R2018" s="21">
        <v>8320158.6482000006</v>
      </c>
      <c r="S201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8" s="68">
        <f ca="1">IF(PROVEEDORES[[#This Row],[FECHA DE PAGO]]=0,TODAY()-PROVEEDORES[[#This Row],[FECHA DE FACTURACIÓN]]-PROVEEDORES[[#This Row],[PLAZO Días]],0)</f>
        <v>0</v>
      </c>
      <c r="U2018" s="96" t="str">
        <f>+VLOOKUP(PROVEEDORES[[#This Row],[PROVEEDOR]],Terceros!$A:$D,4,FALSE)</f>
        <v>2,5% con base</v>
      </c>
      <c r="V2018" s="97">
        <f>+YEAR(PROVEEDORES[[#This Row],[FECHA DE FACTURACIÓN]])</f>
        <v>2022</v>
      </c>
      <c r="W2018" s="97">
        <f>+MATCH(PROVEEDORES[[#This Row],[año facturado]],Retenciones!$1:$1,0)</f>
        <v>5</v>
      </c>
      <c r="X2018" s="98">
        <f>+VLOOKUP(PROVEEDORES[[#This Row],[ID RETENCION]],Retenciones!$A$1:$O$25,PROVEEDORES[[#This Row],[indicador de columna]],FALSE)</f>
        <v>1026000</v>
      </c>
      <c r="Y2018" s="99">
        <f>+VLOOKUP(PROVEEDORES[[#This Row],[ID RETENCION]],Retenciones!$A$1:$O$25,2,FALSE)</f>
        <v>2.5000000000000001E-2</v>
      </c>
      <c r="Z2018" s="125" t="b">
        <f>OR(COUNTIF(PROVEEDORES[[#This Row],[PROVEEDOR]],"*"&amp;'Palabra no opera'!$A$2&amp;"*"))</f>
        <v>0</v>
      </c>
    </row>
    <row r="2019" spans="1:26" ht="22.2" customHeight="1" x14ac:dyDescent="0.3">
      <c r="A2019" s="66" t="str">
        <f>+IF(PROVEEDORES[[#This Row],[FECHA DE PAGO]]=PROVEEDORES[[#This Row],[FECHA DE FACTURACIÓN]],"DE CONTADO","CRÉDITO")</f>
        <v>CRÉDITO</v>
      </c>
      <c r="B2019" s="38" t="b">
        <f>+IF((PROVEEDORES[[#This Row],[FECHA DE PAGO]]-PROVEEDORES[[#This Row],[FECHA DE FACTURACIÓN]])&gt;PROVEEDORES[[#This Row],[PLAZO Días]],"PAGO VENCIDO")</f>
        <v>0</v>
      </c>
      <c r="C2019" s="20">
        <f>+VLOOKUP(PROVEEDORES[[#This Row],[PROVEEDOR]],TERCEROS_INFO[#All],2,FALSE)</f>
        <v>90</v>
      </c>
      <c r="D2019" s="25">
        <f>+SUMIFS(PROVEEDORES[Total],PROVEEDORES[PROVEEDOR],PROVEEDORES[[#This Row],[PROVEEDOR]],PROVEEDORES[FECHA DE PAGO],"")</f>
        <v>26350422.770000003</v>
      </c>
      <c r="E2019" s="25"/>
      <c r="F201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19" s="161">
        <v>44624</v>
      </c>
      <c r="H2019" s="26" t="s">
        <v>12</v>
      </c>
      <c r="I2019" s="161">
        <v>44541</v>
      </c>
      <c r="J2019" s="35" t="s">
        <v>563</v>
      </c>
      <c r="K2019" s="21">
        <v>7164707</v>
      </c>
      <c r="L2019" s="21"/>
      <c r="M2019" s="22">
        <v>1361294.33</v>
      </c>
      <c r="N2019" s="23"/>
      <c r="O2019" s="22">
        <v>0</v>
      </c>
      <c r="P2019" s="83">
        <f>+IF(PROVEEDORES[[#This Row],[SUBTOTAL]]&lt;PROVEEDORES[[#This Row],[base retencion]],0,PROVEEDORES[[#This Row],[retención aplicada]])</f>
        <v>2.5000000000000001E-2</v>
      </c>
      <c r="Q2019" s="22">
        <f>+PROVEEDORES[[#This Row],[Rete Fuente %]]*(PROVEEDORES[[#This Row],[SUBTOTAL]]-PROVEEDORES[[#This Row],[descuento sobre subtotal]])</f>
        <v>179117.67500000002</v>
      </c>
      <c r="R2019" s="21">
        <v>8346883.6550000003</v>
      </c>
      <c r="S201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9" s="68">
        <f ca="1">IF(PROVEEDORES[[#This Row],[FECHA DE PAGO]]=0,TODAY()-PROVEEDORES[[#This Row],[FECHA DE FACTURACIÓN]]-PROVEEDORES[[#This Row],[PLAZO Días]],0)</f>
        <v>0</v>
      </c>
      <c r="U2019" s="96" t="str">
        <f>+VLOOKUP(PROVEEDORES[[#This Row],[PROVEEDOR]],Terceros!$A:$D,4,FALSE)</f>
        <v>2,5% con base</v>
      </c>
      <c r="V2019" s="97">
        <f>+YEAR(PROVEEDORES[[#This Row],[FECHA DE FACTURACIÓN]])</f>
        <v>2021</v>
      </c>
      <c r="W2019" s="97">
        <f>+MATCH(PROVEEDORES[[#This Row],[año facturado]],Retenciones!$1:$1,0)</f>
        <v>4</v>
      </c>
      <c r="X2019" s="98">
        <f>+VLOOKUP(PROVEEDORES[[#This Row],[ID RETENCION]],Retenciones!$A$1:$O$25,PROVEEDORES[[#This Row],[indicador de columna]],FALSE)</f>
        <v>980000</v>
      </c>
      <c r="Y2019" s="99">
        <f>+VLOOKUP(PROVEEDORES[[#This Row],[ID RETENCION]],Retenciones!$A$1:$O$25,2,FALSE)</f>
        <v>2.5000000000000001E-2</v>
      </c>
      <c r="Z2019" s="125" t="b">
        <f>OR(COUNTIF(PROVEEDORES[[#This Row],[PROVEEDOR]],"*"&amp;'Palabra no opera'!$A$2&amp;"*"))</f>
        <v>0</v>
      </c>
    </row>
    <row r="2020" spans="1:26" ht="22.2" customHeight="1" x14ac:dyDescent="0.3">
      <c r="A2020" s="72" t="str">
        <f>+IF(PROVEEDORES[[#This Row],[FECHA DE PAGO]]=PROVEEDORES[[#This Row],[FECHA DE FACTURACIÓN]],"DE CONTADO","CRÉDITO")</f>
        <v>CRÉDITO</v>
      </c>
      <c r="B2020" s="38" t="b">
        <f>+IF((PROVEEDORES[[#This Row],[FECHA DE PAGO]]-PROVEEDORES[[#This Row],[FECHA DE FACTURACIÓN]])&gt;PROVEEDORES[[#This Row],[PLAZO Días]],"PAGO VENCIDO")</f>
        <v>0</v>
      </c>
      <c r="C2020" s="20">
        <f>+VLOOKUP(PROVEEDORES[[#This Row],[PROVEEDOR]],TERCEROS_INFO[#All],2,FALSE)</f>
        <v>60</v>
      </c>
      <c r="D2020" s="25">
        <f>+SUMIFS(PROVEEDORES[Total],PROVEEDORES[PROVEEDOR],PROVEEDORES[[#This Row],[PROVEEDOR]],PROVEEDORES[FECHA DE PAGO],"")</f>
        <v>23264500</v>
      </c>
      <c r="E2020" s="25"/>
      <c r="F2020" s="58">
        <f>+VLOOKUP(PROVEEDORES[[#This Row],[PROVEEDOR]],
                       Terceros!$A:$F,
                       5,
                       FALSE)</f>
        <v>0</v>
      </c>
      <c r="H2020" s="26" t="s">
        <v>1429</v>
      </c>
      <c r="I2020" s="161">
        <v>44834</v>
      </c>
      <c r="J2020" s="35" t="s">
        <v>1713</v>
      </c>
      <c r="K2020" s="21">
        <v>7050000</v>
      </c>
      <c r="L2020" s="21"/>
      <c r="M2020" s="22">
        <f>(PROVEEDORES[[#This Row],[SUBTOTAL]]-PROVEEDORES[[#This Row],[descuento sobre subtotal]])*VLOOKUP(PROVEEDORES[[#This Row],[PROVEEDOR]],TERCEROS_INFO[#All],3,FALSE)</f>
        <v>1339500</v>
      </c>
      <c r="N2020" s="23"/>
      <c r="O2020" s="22">
        <f>+PROVEEDORES[[#This Row],[Descuento sobre subtotal %]]*(PROVEEDORES[[#This Row],[SUBTOTAL]]-PROVEEDORES[[#This Row],[descuento sobre subtotal]])</f>
        <v>0</v>
      </c>
      <c r="P2020" s="83">
        <f>+IF(PROVEEDORES[[#This Row],[SUBTOTAL]]&lt;PROVEEDORES[[#This Row],[base retencion]],0,PROVEEDORES[[#This Row],[retención aplicada]])</f>
        <v>0</v>
      </c>
      <c r="Q2020" s="22">
        <f>+PROVEEDORES[[#This Row],[Rete Fuente %]]*(PROVEEDORES[[#This Row],[SUBTOTAL]]-PROVEEDORES[[#This Row],[descuento sobre subtotal]])</f>
        <v>0</v>
      </c>
      <c r="R2020" s="21">
        <f>+PROVEEDORES[[#This Row],[SUBTOTAL]]+PROVEEDORES[[#This Row],[IVA 19%]]-PROVEEDORES[[#This Row],[descuento sobre subtotal]]-PROVEEDORES[[#This Row],[Descuento sobre subtotal $2]]-PROVEEDORES[[#This Row],[Rete Fuente $]]</f>
        <v>8389500</v>
      </c>
      <c r="S2020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20" s="68">
        <f ca="1">IF(PROVEEDORES[[#This Row],[FECHA DE PAGO]]=0,TODAY()-PROVEEDORES[[#This Row],[FECHA DE FACTURACIÓN]]-PROVEEDORES[[#This Row],[PLAZO Días]],0)</f>
        <v>-19</v>
      </c>
      <c r="U2020" s="113">
        <f>+VLOOKUP(PROVEEDORES[[#This Row],[PROVEEDOR]],Terceros!$A:$D,4,FALSE)</f>
        <v>0</v>
      </c>
      <c r="V2020" s="114">
        <f>+YEAR(PROVEEDORES[[#This Row],[FECHA DE FACTURACIÓN]])</f>
        <v>2022</v>
      </c>
      <c r="W2020" s="114">
        <f>+MATCH(PROVEEDORES[[#This Row],[año facturado]],Retenciones!$1:$1,0)</f>
        <v>5</v>
      </c>
      <c r="X2020" s="115">
        <f>+VLOOKUP(PROVEEDORES[[#This Row],[ID RETENCION]],Retenciones!$A$1:$O$25,PROVEEDORES[[#This Row],[indicador de columna]],FALSE)</f>
        <v>0</v>
      </c>
      <c r="Y2020" s="116">
        <f>+VLOOKUP(PROVEEDORES[[#This Row],[ID RETENCION]],Retenciones!$A$1:$O$25,2,FALSE)</f>
        <v>0</v>
      </c>
      <c r="Z2020" s="125" t="b">
        <f>OR(COUNTIF(PROVEEDORES[[#This Row],[PROVEEDOR]],"*"&amp;'Palabra no opera'!$A$2&amp;"*"))</f>
        <v>1</v>
      </c>
    </row>
    <row r="2021" spans="1:26" ht="22.2" customHeight="1" x14ac:dyDescent="0.3">
      <c r="A2021" s="66" t="str">
        <f>+IF(PROVEEDORES[[#This Row],[FECHA DE PAGO]]=PROVEEDORES[[#This Row],[FECHA DE FACTURACIÓN]],"DE CONTADO","CRÉDITO")</f>
        <v>CRÉDITO</v>
      </c>
      <c r="B2021" s="38" t="str">
        <f>+IF((PROVEEDORES[[#This Row],[FECHA DE PAGO]]-PROVEEDORES[[#This Row],[FECHA DE FACTURACIÓN]])&gt;PROVEEDORES[[#This Row],[PLAZO Días]],"PAGO VENCIDO")</f>
        <v>PAGO VENCIDO</v>
      </c>
      <c r="C2021" s="20">
        <f>+VLOOKUP(PROVEEDORES[[#This Row],[PROVEEDOR]],TERCEROS_INFO[#All],2,FALSE)</f>
        <v>90</v>
      </c>
      <c r="D2021" s="25">
        <f>+SUMIFS(PROVEEDORES[Total],PROVEEDORES[PROVEEDOR],PROVEEDORES[[#This Row],[PROVEEDOR]],PROVEEDORES[FECHA DE PAGO],"")</f>
        <v>26350422.770000003</v>
      </c>
      <c r="E2021" s="25"/>
      <c r="F2021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21" s="161">
        <v>44250</v>
      </c>
      <c r="H2021" s="26" t="s">
        <v>12</v>
      </c>
      <c r="I2021" s="161">
        <v>44153</v>
      </c>
      <c r="J2021" s="35" t="s">
        <v>80</v>
      </c>
      <c r="K2021" s="21">
        <v>7241596.6470588241</v>
      </c>
      <c r="L2021" s="21"/>
      <c r="M2021" s="22">
        <f>(PROVEEDORES[[#This Row],[SUBTOTAL]]-PROVEEDORES[[#This Row],[descuento sobre subtotal]])*VLOOKUP(PROVEEDORES[[#This Row],[PROVEEDOR]],TERCEROS_INFO[#All],3,FALSE)</f>
        <v>1375903.3629411766</v>
      </c>
      <c r="N2021" s="23"/>
      <c r="O2021" s="22">
        <f>+PROVEEDORES[[#This Row],[Descuento sobre subtotal %]]*(PROVEEDORES[[#This Row],[SUBTOTAL]]-PROVEEDORES[[#This Row],[descuento sobre subtotal]])</f>
        <v>0</v>
      </c>
      <c r="P2021" s="83">
        <f>+IF(PROVEEDORES[[#This Row],[SUBTOTAL]]&lt;PROVEEDORES[[#This Row],[base retencion]],0,PROVEEDORES[[#This Row],[retención aplicada]])</f>
        <v>2.5000000000000001E-2</v>
      </c>
      <c r="Q2021" s="22">
        <f>+PROVEEDORES[[#This Row],[Rete Fuente %]]*(PROVEEDORES[[#This Row],[SUBTOTAL]]-PROVEEDORES[[#This Row],[descuento sobre subtotal]])</f>
        <v>181039.91617647061</v>
      </c>
      <c r="R2021" s="21">
        <f>+PROVEEDORES[[#This Row],[SUBTOTAL]]+PROVEEDORES[[#This Row],[IVA 19%]]-PROVEEDORES[[#This Row],[descuento sobre subtotal]]-PROVEEDORES[[#This Row],[Descuento sobre subtotal $2]]-PROVEEDORES[[#This Row],[Rete Fuente $]]</f>
        <v>8436460.0938235316</v>
      </c>
      <c r="S202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1" s="68">
        <f ca="1">IF(PROVEEDORES[[#This Row],[FECHA DE PAGO]]=0,TODAY()-PROVEEDORES[[#This Row],[FECHA DE FACTURACIÓN]]-PROVEEDORES[[#This Row],[PLAZO Días]],0)</f>
        <v>0</v>
      </c>
      <c r="U2021" s="96" t="str">
        <f>+VLOOKUP(PROVEEDORES[[#This Row],[PROVEEDOR]],Terceros!$A:$D,4,FALSE)</f>
        <v>2,5% con base</v>
      </c>
      <c r="V2021" s="97">
        <f>+YEAR(PROVEEDORES[[#This Row],[FECHA DE FACTURACIÓN]])</f>
        <v>2020</v>
      </c>
      <c r="W2021" s="97">
        <f>+MATCH(PROVEEDORES[[#This Row],[año facturado]],Retenciones!$1:$1,0)</f>
        <v>3</v>
      </c>
      <c r="X2021" s="98">
        <f>+VLOOKUP(PROVEEDORES[[#This Row],[ID RETENCION]],Retenciones!$A$1:$O$25,PROVEEDORES[[#This Row],[indicador de columna]],FALSE)</f>
        <v>961000</v>
      </c>
      <c r="Y2021" s="99">
        <f>+VLOOKUP(PROVEEDORES[[#This Row],[ID RETENCION]],Retenciones!$A$1:$O$25,2,FALSE)</f>
        <v>2.5000000000000001E-2</v>
      </c>
      <c r="Z2021" s="125" t="b">
        <f>OR(COUNTIF(PROVEEDORES[[#This Row],[PROVEEDOR]],"*"&amp;'Palabra no opera'!$A$2&amp;"*"))</f>
        <v>0</v>
      </c>
    </row>
    <row r="2022" spans="1:26" ht="22.2" customHeight="1" x14ac:dyDescent="0.3">
      <c r="A2022" s="207" t="str">
        <f>+IF(PROVEEDORES[[#This Row],[FECHA DE PAGO]]=PROVEEDORES[[#This Row],[FECHA DE FACTURACIÓN]],"DE CONTADO","CRÉDITO")</f>
        <v>CRÉDITO</v>
      </c>
      <c r="B2022" s="38" t="str">
        <f>+IF((PROVEEDORES[[#This Row],[FECHA DE PAGO]]-PROVEEDORES[[#This Row],[FECHA DE FACTURACIÓN]])&gt;PROVEEDORES[[#This Row],[PLAZO Días]],"PAGO VENCIDO")</f>
        <v>PAGO VENCIDO</v>
      </c>
      <c r="C2022" s="20">
        <f>+VLOOKUP(PROVEEDORES[[#This Row],[PROVEEDOR]],TERCEROS_INFO[#All],2,FALSE)</f>
        <v>30</v>
      </c>
      <c r="D2022" s="25">
        <f>+SUMIFS(PROVEEDORES[Total],PROVEEDORES[PROVEEDOR],PROVEEDORES[[#This Row],[PROVEEDOR]],PROVEEDORES[FECHA DE PAGO],"")</f>
        <v>5272763.2050000001</v>
      </c>
      <c r="E2022" s="25"/>
      <c r="F202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022" s="161">
        <v>44863</v>
      </c>
      <c r="H2022" s="26" t="s">
        <v>11</v>
      </c>
      <c r="I2022" s="161">
        <v>44797</v>
      </c>
      <c r="J2022" s="35" t="s">
        <v>1430</v>
      </c>
      <c r="K2022" s="21">
        <v>7260000</v>
      </c>
      <c r="L2022" s="21"/>
      <c r="M2022" s="22">
        <f>(PROVEEDORES[[#This Row],[SUBTOTAL]]-PROVEEDORES[[#This Row],[descuento sobre subtotal]])*VLOOKUP(PROVEEDORES[[#This Row],[PROVEEDOR]],TERCEROS_INFO[#All],3,FALSE)</f>
        <v>1379400</v>
      </c>
      <c r="N2022" s="23"/>
      <c r="O2022" s="22">
        <f>+PROVEEDORES[[#This Row],[Descuento sobre subtotal %]]*(PROVEEDORES[[#This Row],[SUBTOTAL]]-PROVEEDORES[[#This Row],[descuento sobre subtotal]])</f>
        <v>0</v>
      </c>
      <c r="P2022" s="83">
        <f>+IF(PROVEEDORES[[#This Row],[SUBTOTAL]]&lt;PROVEEDORES[[#This Row],[base retencion]],0,PROVEEDORES[[#This Row],[retención aplicada]])</f>
        <v>2.5000000000000001E-2</v>
      </c>
      <c r="Q2022" s="22">
        <f>+PROVEEDORES[[#This Row],[Rete Fuente %]]*(PROVEEDORES[[#This Row],[SUBTOTAL]]-PROVEEDORES[[#This Row],[descuento sobre subtotal]])</f>
        <v>181500</v>
      </c>
      <c r="R2022" s="21">
        <f>+PROVEEDORES[[#This Row],[SUBTOTAL]]+PROVEEDORES[[#This Row],[IVA 19%]]-PROVEEDORES[[#This Row],[descuento sobre subtotal]]-PROVEEDORES[[#This Row],[Descuento sobre subtotal $2]]-PROVEEDORES[[#This Row],[Rete Fuente $]]</f>
        <v>8457900</v>
      </c>
      <c r="S2022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2" s="68">
        <f ca="1">IF(PROVEEDORES[[#This Row],[FECHA DE PAGO]]=0,TODAY()-PROVEEDORES[[#This Row],[FECHA DE FACTURACIÓN]]-PROVEEDORES[[#This Row],[PLAZO Días]],0)</f>
        <v>0</v>
      </c>
      <c r="U2022" s="113" t="str">
        <f>+VLOOKUP(PROVEEDORES[[#This Row],[PROVEEDOR]],Terceros!$A:$D,4,FALSE)</f>
        <v>2,5% con base</v>
      </c>
      <c r="V2022" s="114">
        <f>+YEAR(PROVEEDORES[[#This Row],[FECHA DE FACTURACIÓN]])</f>
        <v>2022</v>
      </c>
      <c r="W2022" s="114">
        <f>+MATCH(PROVEEDORES[[#This Row],[año facturado]],Retenciones!$1:$1,0)</f>
        <v>5</v>
      </c>
      <c r="X2022" s="115">
        <f>+VLOOKUP(PROVEEDORES[[#This Row],[ID RETENCION]],Retenciones!$A$1:$O$25,PROVEEDORES[[#This Row],[indicador de columna]],FALSE)</f>
        <v>1026000</v>
      </c>
      <c r="Y2022" s="116">
        <f>+VLOOKUP(PROVEEDORES[[#This Row],[ID RETENCION]],Retenciones!$A$1:$O$25,2,FALSE)</f>
        <v>2.5000000000000001E-2</v>
      </c>
      <c r="Z2022" s="125" t="b">
        <f>OR(COUNTIF(PROVEEDORES[[#This Row],[PROVEEDOR]],"*"&amp;'Palabra no opera'!$A$2&amp;"*"))</f>
        <v>0</v>
      </c>
    </row>
    <row r="2023" spans="1:26" ht="22.2" customHeight="1" x14ac:dyDescent="0.3">
      <c r="A2023" s="66" t="str">
        <f>+IF(PROVEEDORES[[#This Row],[FECHA DE PAGO]]=PROVEEDORES[[#This Row],[FECHA DE FACTURACIÓN]],"DE CONTADO","CRÉDITO")</f>
        <v>CRÉDITO</v>
      </c>
      <c r="B2023" s="38" t="str">
        <f>+IF((PROVEEDORES[[#This Row],[FECHA DE PAGO]]-PROVEEDORES[[#This Row],[FECHA DE FACTURACIÓN]])&gt;PROVEEDORES[[#This Row],[PLAZO Días]],"PAGO VENCIDO")</f>
        <v>PAGO VENCIDO</v>
      </c>
      <c r="C2023" s="20">
        <f>+VLOOKUP(PROVEEDORES[[#This Row],[PROVEEDOR]],TERCEROS_INFO[#All],2,FALSE)</f>
        <v>30</v>
      </c>
      <c r="D2023" s="25">
        <f>+SUMIFS(PROVEEDORES[Total],PROVEEDORES[PROVEEDOR],PROVEEDORES[[#This Row],[PROVEEDOR]],PROVEEDORES[FECHA DE PAGO],"")</f>
        <v>1333437.8400000001</v>
      </c>
      <c r="E2023" s="25"/>
      <c r="F202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23" s="161">
        <v>44637</v>
      </c>
      <c r="H2023" s="26" t="s">
        <v>905</v>
      </c>
      <c r="I2023" s="161">
        <v>44588</v>
      </c>
      <c r="J2023" s="35" t="s">
        <v>709</v>
      </c>
      <c r="K2023" s="21">
        <v>7179945</v>
      </c>
      <c r="L2023" s="21"/>
      <c r="M2023" s="22">
        <v>1364189.55</v>
      </c>
      <c r="N2023" s="23"/>
      <c r="O2023" s="22">
        <v>0</v>
      </c>
      <c r="P2023" s="83">
        <f>+IF(PROVEEDORES[[#This Row],[SUBTOTAL]]&lt;PROVEEDORES[[#This Row],[base retencion]],0,PROVEEDORES[[#This Row],[retención aplicada]])</f>
        <v>0</v>
      </c>
      <c r="Q2023" s="22">
        <f>+PROVEEDORES[[#This Row],[Rete Fuente %]]*(PROVEEDORES[[#This Row],[SUBTOTAL]]-PROVEEDORES[[#This Row],[descuento sobre subtotal]])</f>
        <v>0</v>
      </c>
      <c r="R2023" s="21">
        <v>8544134.5500000007</v>
      </c>
      <c r="S202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3" s="68">
        <f ca="1">IF(PROVEEDORES[[#This Row],[FECHA DE PAGO]]=0,TODAY()-PROVEEDORES[[#This Row],[FECHA DE FACTURACIÓN]]-PROVEEDORES[[#This Row],[PLAZO Días]],0)</f>
        <v>0</v>
      </c>
      <c r="U2023" s="96">
        <f>+VLOOKUP(PROVEEDORES[[#This Row],[PROVEEDOR]],Terceros!$A:$D,4,FALSE)</f>
        <v>0</v>
      </c>
      <c r="V2023" s="97">
        <f>+YEAR(PROVEEDORES[[#This Row],[FECHA DE FACTURACIÓN]])</f>
        <v>2022</v>
      </c>
      <c r="W2023" s="97">
        <f>+MATCH(PROVEEDORES[[#This Row],[año facturado]],Retenciones!$1:$1,0)</f>
        <v>5</v>
      </c>
      <c r="X2023" s="98">
        <f>+VLOOKUP(PROVEEDORES[[#This Row],[ID RETENCION]],Retenciones!$A$1:$O$25,PROVEEDORES[[#This Row],[indicador de columna]],FALSE)</f>
        <v>0</v>
      </c>
      <c r="Y2023" s="99">
        <f>+VLOOKUP(PROVEEDORES[[#This Row],[ID RETENCION]],Retenciones!$A$1:$O$25,2,FALSE)</f>
        <v>0</v>
      </c>
      <c r="Z2023" s="125" t="b">
        <f>OR(COUNTIF(PROVEEDORES[[#This Row],[PROVEEDOR]],"*"&amp;'Palabra no opera'!$A$2&amp;"*"))</f>
        <v>1</v>
      </c>
    </row>
    <row r="2024" spans="1:26" ht="22.2" customHeight="1" x14ac:dyDescent="0.3">
      <c r="A2024" s="66" t="str">
        <f>+IF(PROVEEDORES[[#This Row],[FECHA DE PAGO]]=PROVEEDORES[[#This Row],[FECHA DE FACTURACIÓN]],"DE CONTADO","CRÉDITO")</f>
        <v>CRÉDITO</v>
      </c>
      <c r="B2024" s="38" t="str">
        <f>+IF((PROVEEDORES[[#This Row],[FECHA DE PAGO]]-PROVEEDORES[[#This Row],[FECHA DE FACTURACIÓN]])&gt;PROVEEDORES[[#This Row],[PLAZO Días]],"PAGO VENCIDO")</f>
        <v>PAGO VENCIDO</v>
      </c>
      <c r="C2024" s="20">
        <f>+VLOOKUP(PROVEEDORES[[#This Row],[PROVEEDOR]],TERCEROS_INFO[#All],2,FALSE)</f>
        <v>30</v>
      </c>
      <c r="D2024" s="25">
        <f>+SUMIFS(PROVEEDORES[Total],PROVEEDORES[PROVEEDOR],PROVEEDORES[[#This Row],[PROVEEDOR]],PROVEEDORES[FECHA DE PAGO],"")</f>
        <v>0</v>
      </c>
      <c r="E2024" s="25"/>
      <c r="F2024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024" s="161">
        <v>44573</v>
      </c>
      <c r="H2024" s="26" t="s">
        <v>670</v>
      </c>
      <c r="I2024" s="161">
        <v>44539</v>
      </c>
      <c r="J2024" s="35" t="s">
        <v>1540</v>
      </c>
      <c r="K2024" s="21">
        <v>9473700</v>
      </c>
      <c r="L2024" s="21"/>
      <c r="M2024" s="22">
        <v>0</v>
      </c>
      <c r="N2024" s="23">
        <v>0.09</v>
      </c>
      <c r="O2024" s="22">
        <v>852633</v>
      </c>
      <c r="P2024" s="83">
        <f>+IF(PROVEEDORES[[#This Row],[SUBTOTAL]]&lt;PROVEEDORES[[#This Row],[base retencion]],0,PROVEEDORES[[#This Row],[retención aplicada]])</f>
        <v>0</v>
      </c>
      <c r="Q2024" s="22">
        <f>+PROVEEDORES[[#This Row],[Rete Fuente %]]*(PROVEEDORES[[#This Row],[SUBTOTAL]]-PROVEEDORES[[#This Row],[descuento sobre subtotal]])</f>
        <v>0</v>
      </c>
      <c r="R2024" s="21">
        <v>8621067</v>
      </c>
      <c r="S202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4" s="68">
        <f ca="1">IF(PROVEEDORES[[#This Row],[FECHA DE PAGO]]=0,TODAY()-PROVEEDORES[[#This Row],[FECHA DE FACTURACIÓN]]-PROVEEDORES[[#This Row],[PLAZO Días]],0)</f>
        <v>0</v>
      </c>
      <c r="U2024" s="96">
        <f>+VLOOKUP(PROVEEDORES[[#This Row],[PROVEEDOR]],Terceros!$A:$D,4,FALSE)</f>
        <v>0</v>
      </c>
      <c r="V2024" s="97">
        <f>+YEAR(PROVEEDORES[[#This Row],[FECHA DE FACTURACIÓN]])</f>
        <v>2021</v>
      </c>
      <c r="W2024" s="97">
        <f>+MATCH(PROVEEDORES[[#This Row],[año facturado]],Retenciones!$1:$1,0)</f>
        <v>4</v>
      </c>
      <c r="X2024" s="98">
        <f>+VLOOKUP(PROVEEDORES[[#This Row],[ID RETENCION]],Retenciones!$A$1:$O$25,PROVEEDORES[[#This Row],[indicador de columna]],FALSE)</f>
        <v>0</v>
      </c>
      <c r="Y2024" s="99">
        <f>+VLOOKUP(PROVEEDORES[[#This Row],[ID RETENCION]],Retenciones!$A$1:$O$25,2,FALSE)</f>
        <v>0</v>
      </c>
      <c r="Z2024" s="125" t="b">
        <f>OR(COUNTIF(PROVEEDORES[[#This Row],[PROVEEDOR]],"*"&amp;'Palabra no opera'!$A$2&amp;"*"))</f>
        <v>0</v>
      </c>
    </row>
    <row r="2025" spans="1:26" ht="22.2" customHeight="1" x14ac:dyDescent="0.3">
      <c r="A2025" s="66" t="str">
        <f>+IF(PROVEEDORES[[#This Row],[FECHA DE PAGO]]=PROVEEDORES[[#This Row],[FECHA DE FACTURACIÓN]],"DE CONTADO","CRÉDITO")</f>
        <v>CRÉDITO</v>
      </c>
      <c r="B2025" s="38" t="b">
        <f>+IF((PROVEEDORES[[#This Row],[FECHA DE PAGO]]-PROVEEDORES[[#This Row],[FECHA DE FACTURACIÓN]])&gt;PROVEEDORES[[#This Row],[PLAZO Días]],"PAGO VENCIDO")</f>
        <v>0</v>
      </c>
      <c r="C2025" s="20">
        <f>+VLOOKUP(PROVEEDORES[[#This Row],[PROVEEDOR]],TERCEROS_INFO[#All],2,FALSE)</f>
        <v>90</v>
      </c>
      <c r="D2025" s="25">
        <f>+SUMIFS(PROVEEDORES[Total],PROVEEDORES[PROVEEDOR],PROVEEDORES[[#This Row],[PROVEEDOR]],PROVEEDORES[FECHA DE PAGO],"")</f>
        <v>2410000</v>
      </c>
      <c r="E2025" s="25"/>
      <c r="F2025" s="58" t="str">
        <f>+VLOOKUP(PROVEEDORES[[#This Row],[PROVEEDOR]],
                       Terceros!$A:$F,
                       5,
                       FALSE)</f>
        <v/>
      </c>
      <c r="G2025" s="161">
        <v>44567</v>
      </c>
      <c r="H2025" s="26" t="s">
        <v>651</v>
      </c>
      <c r="I2025" s="161">
        <v>44517</v>
      </c>
      <c r="J2025" s="35" t="s">
        <v>1526</v>
      </c>
      <c r="K2025" s="21">
        <v>8659500</v>
      </c>
      <c r="L2025" s="21"/>
      <c r="M2025" s="22">
        <f>(PROVEEDORES[[#This Row],[SUBTOTAL]]-PROVEEDORES[[#This Row],[descuento sobre subtotal]])*VLOOKUP(PROVEEDORES[[#This Row],[PROVEEDOR]],TERCEROS_INFO[#All],3,FALSE)</f>
        <v>0</v>
      </c>
      <c r="N2025" s="23"/>
      <c r="O2025" s="22">
        <f>+PROVEEDORES[[#This Row],[Descuento sobre subtotal %]]*(PROVEEDORES[[#This Row],[SUBTOTAL]]-PROVEEDORES[[#This Row],[descuento sobre subtotal]])</f>
        <v>0</v>
      </c>
      <c r="P2025" s="83">
        <f>+IF(PROVEEDORES[[#This Row],[SUBTOTAL]]&lt;PROVEEDORES[[#This Row],[base retencion]],0,PROVEEDORES[[#This Row],[retención aplicada]])</f>
        <v>0</v>
      </c>
      <c r="Q2025" s="22">
        <f>+PROVEEDORES[[#This Row],[Rete Fuente %]]*(PROVEEDORES[[#This Row],[SUBTOTAL]]-PROVEEDORES[[#This Row],[descuento sobre subtotal]])</f>
        <v>0</v>
      </c>
      <c r="R2025" s="21">
        <v>8659500</v>
      </c>
      <c r="S202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5" s="68">
        <f ca="1">IF(PROVEEDORES[[#This Row],[FECHA DE PAGO]]=0,TODAY()-PROVEEDORES[[#This Row],[FECHA DE FACTURACIÓN]]-PROVEEDORES[[#This Row],[PLAZO Días]],0)</f>
        <v>0</v>
      </c>
      <c r="U2025" s="96">
        <f>+VLOOKUP(PROVEEDORES[[#This Row],[PROVEEDOR]],Terceros!$A:$D,4,FALSE)</f>
        <v>0</v>
      </c>
      <c r="V2025" s="97">
        <f>+YEAR(PROVEEDORES[[#This Row],[FECHA DE FACTURACIÓN]])</f>
        <v>2021</v>
      </c>
      <c r="W2025" s="97">
        <f>+MATCH(PROVEEDORES[[#This Row],[año facturado]],Retenciones!$1:$1,0)</f>
        <v>4</v>
      </c>
      <c r="X2025" s="98">
        <f>+VLOOKUP(PROVEEDORES[[#This Row],[ID RETENCION]],Retenciones!$A$1:$O$25,PROVEEDORES[[#This Row],[indicador de columna]],FALSE)</f>
        <v>0</v>
      </c>
      <c r="Y2025" s="99">
        <f>+VLOOKUP(PROVEEDORES[[#This Row],[ID RETENCION]],Retenciones!$A$1:$O$25,2,FALSE)</f>
        <v>0</v>
      </c>
      <c r="Z2025" s="125" t="b">
        <f>OR(COUNTIF(PROVEEDORES[[#This Row],[PROVEEDOR]],"*"&amp;'Palabra no opera'!$A$2&amp;"*"))</f>
        <v>0</v>
      </c>
    </row>
    <row r="2026" spans="1:26" ht="22.2" customHeight="1" x14ac:dyDescent="0.3">
      <c r="A2026" s="66" t="str">
        <f>+IF(PROVEEDORES[[#This Row],[FECHA DE PAGO]]=PROVEEDORES[[#This Row],[FECHA DE FACTURACIÓN]],"DE CONTADO","CRÉDITO")</f>
        <v>CRÉDITO</v>
      </c>
      <c r="B2026" s="38" t="str">
        <f>+IF((PROVEEDORES[[#This Row],[FECHA DE PAGO]]-PROVEEDORES[[#This Row],[FECHA DE FACTURACIÓN]])&gt;PROVEEDORES[[#This Row],[PLAZO Días]],"PAGO VENCIDO")</f>
        <v>PAGO VENCIDO</v>
      </c>
      <c r="C2026" s="20">
        <f>+VLOOKUP(PROVEEDORES[[#This Row],[PROVEEDOR]],TERCEROS_INFO[#All],2,FALSE)</f>
        <v>60</v>
      </c>
      <c r="D2026" s="25">
        <f>+SUMIFS(PROVEEDORES[Total],PROVEEDORES[PROVEEDOR],PROVEEDORES[[#This Row],[PROVEEDOR]],PROVEEDORES[FECHA DE PAGO],"")</f>
        <v>23264500</v>
      </c>
      <c r="E2026" s="25"/>
      <c r="F2026" s="58">
        <f>+VLOOKUP(PROVEEDORES[[#This Row],[PROVEEDOR]],
                       Terceros!$A:$F,
                       5,
                       FALSE)</f>
        <v>0</v>
      </c>
      <c r="G2026" s="161">
        <v>44676</v>
      </c>
      <c r="H2026" s="26" t="s">
        <v>1429</v>
      </c>
      <c r="I2026" s="161">
        <v>44591</v>
      </c>
      <c r="J2026" s="35" t="s">
        <v>775</v>
      </c>
      <c r="K2026" s="21">
        <v>7278800</v>
      </c>
      <c r="L2026" s="21"/>
      <c r="M2026" s="22">
        <f>(PROVEEDORES[[#This Row],[SUBTOTAL]]-PROVEEDORES[[#This Row],[descuento sobre subtotal]])*VLOOKUP(PROVEEDORES[[#This Row],[PROVEEDOR]],TERCEROS_INFO[#All],3,FALSE)</f>
        <v>1382972</v>
      </c>
      <c r="N2026" s="23"/>
      <c r="O2026" s="22">
        <f>+PROVEEDORES[[#This Row],[Descuento sobre subtotal %]]*(PROVEEDORES[[#This Row],[SUBTOTAL]]-PROVEEDORES[[#This Row],[descuento sobre subtotal]])</f>
        <v>0</v>
      </c>
      <c r="P2026" s="83">
        <f>+IF(PROVEEDORES[[#This Row],[SUBTOTAL]]&lt;PROVEEDORES[[#This Row],[base retencion]],0,PROVEEDORES[[#This Row],[retención aplicada]])</f>
        <v>0</v>
      </c>
      <c r="Q2026" s="22">
        <f>+PROVEEDORES[[#This Row],[Rete Fuente %]]*(PROVEEDORES[[#This Row],[SUBTOTAL]]-PROVEEDORES[[#This Row],[descuento sobre subtotal]])</f>
        <v>0</v>
      </c>
      <c r="R2026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202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6" s="68">
        <f ca="1">IF(PROVEEDORES[[#This Row],[FECHA DE PAGO]]=0,TODAY()-PROVEEDORES[[#This Row],[FECHA DE FACTURACIÓN]]-PROVEEDORES[[#This Row],[PLAZO Días]],0)</f>
        <v>0</v>
      </c>
      <c r="U2026" s="96">
        <f>+VLOOKUP(PROVEEDORES[[#This Row],[PROVEEDOR]],Terceros!$A:$D,4,FALSE)</f>
        <v>0</v>
      </c>
      <c r="V2026" s="97">
        <f>+YEAR(PROVEEDORES[[#This Row],[FECHA DE FACTURACIÓN]])</f>
        <v>2022</v>
      </c>
      <c r="W2026" s="97">
        <f>+MATCH(PROVEEDORES[[#This Row],[año facturado]],Retenciones!$1:$1,0)</f>
        <v>5</v>
      </c>
      <c r="X2026" s="98">
        <f>+VLOOKUP(PROVEEDORES[[#This Row],[ID RETENCION]],Retenciones!$A$1:$O$25,PROVEEDORES[[#This Row],[indicador de columna]],FALSE)</f>
        <v>0</v>
      </c>
      <c r="Y2026" s="99">
        <f>+VLOOKUP(PROVEEDORES[[#This Row],[ID RETENCION]],Retenciones!$A$1:$O$25,2,FALSE)</f>
        <v>0</v>
      </c>
      <c r="Z2026" s="125" t="b">
        <f>OR(COUNTIF(PROVEEDORES[[#This Row],[PROVEEDOR]],"*"&amp;'Palabra no opera'!$A$2&amp;"*"))</f>
        <v>1</v>
      </c>
    </row>
    <row r="2027" spans="1:26" ht="22.2" customHeight="1" x14ac:dyDescent="0.3">
      <c r="A2027" s="66" t="str">
        <f>+IF(PROVEEDORES[[#This Row],[FECHA DE PAGO]]=PROVEEDORES[[#This Row],[FECHA DE FACTURACIÓN]],"DE CONTADO","CRÉDITO")</f>
        <v>CRÉDITO</v>
      </c>
      <c r="B2027" s="38" t="str">
        <f>+IF((PROVEEDORES[[#This Row],[FECHA DE PAGO]]-PROVEEDORES[[#This Row],[FECHA DE FACTURACIÓN]])&gt;PROVEEDORES[[#This Row],[PLAZO Días]],"PAGO VENCIDO")</f>
        <v>PAGO VENCIDO</v>
      </c>
      <c r="C2027" s="20">
        <f>+VLOOKUP(PROVEEDORES[[#This Row],[PROVEEDOR]],TERCEROS_INFO[#All],2,FALSE)</f>
        <v>60</v>
      </c>
      <c r="D2027" s="25">
        <f>+SUMIFS(PROVEEDORES[Total],PROVEEDORES[PROVEEDOR],PROVEEDORES[[#This Row],[PROVEEDOR]],PROVEEDORES[FECHA DE PAGO],"")</f>
        <v>23264500</v>
      </c>
      <c r="E2027" s="25"/>
      <c r="F2027" s="58">
        <f>+VLOOKUP(PROVEEDORES[[#This Row],[PROVEEDOR]],
                       Terceros!$A:$F,
                       5,
                       FALSE)</f>
        <v>0</v>
      </c>
      <c r="G2027" s="161">
        <v>44684</v>
      </c>
      <c r="H2027" s="26" t="s">
        <v>1429</v>
      </c>
      <c r="I2027" s="161">
        <v>44593</v>
      </c>
      <c r="J2027" s="35" t="s">
        <v>773</v>
      </c>
      <c r="K2027" s="21">
        <v>7278800</v>
      </c>
      <c r="L2027" s="21"/>
      <c r="M2027" s="22">
        <f>(PROVEEDORES[[#This Row],[SUBTOTAL]]-PROVEEDORES[[#This Row],[descuento sobre subtotal]])*VLOOKUP(PROVEEDORES[[#This Row],[PROVEEDOR]],TERCEROS_INFO[#All],3,FALSE)</f>
        <v>1382972</v>
      </c>
      <c r="N2027" s="23"/>
      <c r="O2027" s="22">
        <f>+PROVEEDORES[[#This Row],[Descuento sobre subtotal %]]*(PROVEEDORES[[#This Row],[SUBTOTAL]]-PROVEEDORES[[#This Row],[descuento sobre subtotal]])</f>
        <v>0</v>
      </c>
      <c r="P2027" s="83">
        <f>+IF(PROVEEDORES[[#This Row],[SUBTOTAL]]&lt;PROVEEDORES[[#This Row],[base retencion]],0,PROVEEDORES[[#This Row],[retención aplicada]])</f>
        <v>0</v>
      </c>
      <c r="Q2027" s="22">
        <f>+PROVEEDORES[[#This Row],[Rete Fuente %]]*(PROVEEDORES[[#This Row],[SUBTOTAL]]-PROVEEDORES[[#This Row],[descuento sobre subtotal]])</f>
        <v>0</v>
      </c>
      <c r="R2027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202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7" s="68">
        <f ca="1">IF(PROVEEDORES[[#This Row],[FECHA DE PAGO]]=0,TODAY()-PROVEEDORES[[#This Row],[FECHA DE FACTURACIÓN]]-PROVEEDORES[[#This Row],[PLAZO Días]],0)</f>
        <v>0</v>
      </c>
      <c r="U2027" s="96">
        <f>+VLOOKUP(PROVEEDORES[[#This Row],[PROVEEDOR]],Terceros!$A:$D,4,FALSE)</f>
        <v>0</v>
      </c>
      <c r="V2027" s="97">
        <f>+YEAR(PROVEEDORES[[#This Row],[FECHA DE FACTURACIÓN]])</f>
        <v>2022</v>
      </c>
      <c r="W2027" s="97">
        <f>+MATCH(PROVEEDORES[[#This Row],[año facturado]],Retenciones!$1:$1,0)</f>
        <v>5</v>
      </c>
      <c r="X2027" s="98">
        <f>+VLOOKUP(PROVEEDORES[[#This Row],[ID RETENCION]],Retenciones!$A$1:$O$25,PROVEEDORES[[#This Row],[indicador de columna]],FALSE)</f>
        <v>0</v>
      </c>
      <c r="Y2027" s="99">
        <f>+VLOOKUP(PROVEEDORES[[#This Row],[ID RETENCION]],Retenciones!$A$1:$O$25,2,FALSE)</f>
        <v>0</v>
      </c>
      <c r="Z2027" s="125" t="b">
        <f>OR(COUNTIF(PROVEEDORES[[#This Row],[PROVEEDOR]],"*"&amp;'Palabra no opera'!$A$2&amp;"*"))</f>
        <v>1</v>
      </c>
    </row>
    <row r="2028" spans="1:26" ht="22.2" customHeight="1" x14ac:dyDescent="0.3">
      <c r="A2028" s="66" t="str">
        <f>+IF(PROVEEDORES[[#This Row],[FECHA DE PAGO]]=PROVEEDORES[[#This Row],[FECHA DE FACTURACIÓN]],"DE CONTADO","CRÉDITO")</f>
        <v>CRÉDITO</v>
      </c>
      <c r="B2028" s="38" t="str">
        <f>+IF((PROVEEDORES[[#This Row],[FECHA DE PAGO]]-PROVEEDORES[[#This Row],[FECHA DE FACTURACIÓN]])&gt;PROVEEDORES[[#This Row],[PLAZO Días]],"PAGO VENCIDO")</f>
        <v>PAGO VENCIDO</v>
      </c>
      <c r="C2028" s="20">
        <f>+VLOOKUP(PROVEEDORES[[#This Row],[PROVEEDOR]],TERCEROS_INFO[#All],2,FALSE)</f>
        <v>30</v>
      </c>
      <c r="D2028" s="25">
        <f>+SUMIFS(PROVEEDORES[Total],PROVEEDORES[PROVEEDOR],PROVEEDORES[[#This Row],[PROVEEDOR]],PROVEEDORES[FECHA DE PAGO],"")</f>
        <v>0</v>
      </c>
      <c r="E2028" s="25"/>
      <c r="F202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028" s="161">
        <v>44214</v>
      </c>
      <c r="H2028" s="26" t="s">
        <v>746</v>
      </c>
      <c r="I2028" s="161">
        <v>44169</v>
      </c>
      <c r="J2028" s="35">
        <v>470</v>
      </c>
      <c r="K2028" s="21">
        <v>7478183.1932773115</v>
      </c>
      <c r="L2028" s="21"/>
      <c r="M2028" s="22">
        <f>(PROVEEDORES[[#This Row],[SUBTOTAL]]-PROVEEDORES[[#This Row],[descuento sobre subtotal]])*VLOOKUP(PROVEEDORES[[#This Row],[PROVEEDOR]],TERCEROS_INFO[#All],3,FALSE)</f>
        <v>1420854.8067226892</v>
      </c>
      <c r="N2028" s="23"/>
      <c r="O2028" s="22">
        <f>+PROVEEDORES[[#This Row],[Descuento sobre subtotal %]]*(PROVEEDORES[[#This Row],[SUBTOTAL]]-PROVEEDORES[[#This Row],[descuento sobre subtotal]])</f>
        <v>0</v>
      </c>
      <c r="P2028" s="83">
        <f>+IF(PROVEEDORES[[#This Row],[SUBTOTAL]]&lt;PROVEEDORES[[#This Row],[base retencion]],0,PROVEEDORES[[#This Row],[retención aplicada]])</f>
        <v>2.5000000000000001E-2</v>
      </c>
      <c r="Q2028" s="22">
        <f>+PROVEEDORES[[#This Row],[Rete Fuente %]]*(PROVEEDORES[[#This Row],[SUBTOTAL]]-PROVEEDORES[[#This Row],[descuento sobre subtotal]])</f>
        <v>186954.57983193279</v>
      </c>
      <c r="R2028" s="21">
        <f>+PROVEEDORES[[#This Row],[SUBTOTAL]]+PROVEEDORES[[#This Row],[IVA 19%]]-PROVEEDORES[[#This Row],[descuento sobre subtotal]]-PROVEEDORES[[#This Row],[Descuento sobre subtotal $2]]-PROVEEDORES[[#This Row],[Rete Fuente $]]</f>
        <v>8712083.4201680664</v>
      </c>
      <c r="S202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8" s="68">
        <f ca="1">IF(PROVEEDORES[[#This Row],[FECHA DE PAGO]]=0,TODAY()-PROVEEDORES[[#This Row],[FECHA DE FACTURACIÓN]]-PROVEEDORES[[#This Row],[PLAZO Días]],0)</f>
        <v>0</v>
      </c>
      <c r="U2028" s="96" t="str">
        <f>+VLOOKUP(PROVEEDORES[[#This Row],[PROVEEDOR]],Terceros!$A:$D,4,FALSE)</f>
        <v>2,5% con base</v>
      </c>
      <c r="V2028" s="97">
        <f>+YEAR(PROVEEDORES[[#This Row],[FECHA DE FACTURACIÓN]])</f>
        <v>2020</v>
      </c>
      <c r="W2028" s="97">
        <f>+MATCH(PROVEEDORES[[#This Row],[año facturado]],Retenciones!$1:$1,0)</f>
        <v>3</v>
      </c>
      <c r="X2028" s="98">
        <f>+VLOOKUP(PROVEEDORES[[#This Row],[ID RETENCION]],Retenciones!$A$1:$O$25,PROVEEDORES[[#This Row],[indicador de columna]],FALSE)</f>
        <v>961000</v>
      </c>
      <c r="Y2028" s="99">
        <f>+VLOOKUP(PROVEEDORES[[#This Row],[ID RETENCION]],Retenciones!$A$1:$O$25,2,FALSE)</f>
        <v>2.5000000000000001E-2</v>
      </c>
      <c r="Z2028" s="125" t="b">
        <f>OR(COUNTIF(PROVEEDORES[[#This Row],[PROVEEDOR]],"*"&amp;'Palabra no opera'!$A$2&amp;"*"))</f>
        <v>0</v>
      </c>
    </row>
    <row r="2029" spans="1:26" ht="22.2" customHeight="1" x14ac:dyDescent="0.3">
      <c r="A2029" s="66" t="str">
        <f>+IF(PROVEEDORES[[#This Row],[FECHA DE PAGO]]=PROVEEDORES[[#This Row],[FECHA DE FACTURACIÓN]],"DE CONTADO","CRÉDITO")</f>
        <v>CRÉDITO</v>
      </c>
      <c r="B2029" s="38" t="str">
        <f>+IF((PROVEEDORES[[#This Row],[FECHA DE PAGO]]-PROVEEDORES[[#This Row],[FECHA DE FACTURACIÓN]])&gt;PROVEEDORES[[#This Row],[PLAZO Días]],"PAGO VENCIDO")</f>
        <v>PAGO VENCIDO</v>
      </c>
      <c r="C2029" s="20">
        <f>+VLOOKUP(PROVEEDORES[[#This Row],[PROVEEDOR]],TERCEROS_INFO[#All],2,FALSE)</f>
        <v>90</v>
      </c>
      <c r="D2029" s="25">
        <f>+SUMIFS(PROVEEDORES[Total],PROVEEDORES[PROVEEDOR],PROVEEDORES[[#This Row],[PROVEEDOR]],PROVEEDORES[FECHA DE PAGO],"")</f>
        <v>26350422.770000003</v>
      </c>
      <c r="E2029" s="25"/>
      <c r="F202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29" s="161">
        <v>44648</v>
      </c>
      <c r="H2029" s="26" t="s">
        <v>12</v>
      </c>
      <c r="I2029" s="161">
        <v>44551</v>
      </c>
      <c r="J2029" s="35" t="s">
        <v>572</v>
      </c>
      <c r="K2029" s="21">
        <v>7573109</v>
      </c>
      <c r="L2029" s="21"/>
      <c r="M2029" s="22">
        <v>1438890.71</v>
      </c>
      <c r="N2029" s="23"/>
      <c r="O2029" s="22">
        <v>0</v>
      </c>
      <c r="P2029" s="83">
        <f>+IF(PROVEEDORES[[#This Row],[SUBTOTAL]]&lt;PROVEEDORES[[#This Row],[base retencion]],0,PROVEEDORES[[#This Row],[retención aplicada]])</f>
        <v>2.5000000000000001E-2</v>
      </c>
      <c r="Q2029" s="22">
        <f>+PROVEEDORES[[#This Row],[Rete Fuente %]]*(PROVEEDORES[[#This Row],[SUBTOTAL]]-PROVEEDORES[[#This Row],[descuento sobre subtotal]])</f>
        <v>189327.72500000001</v>
      </c>
      <c r="R2029" s="21">
        <v>8822671.9850000013</v>
      </c>
      <c r="S202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9" s="68">
        <f ca="1">IF(PROVEEDORES[[#This Row],[FECHA DE PAGO]]=0,TODAY()-PROVEEDORES[[#This Row],[FECHA DE FACTURACIÓN]]-PROVEEDORES[[#This Row],[PLAZO Días]],0)</f>
        <v>0</v>
      </c>
      <c r="U2029" s="96" t="str">
        <f>+VLOOKUP(PROVEEDORES[[#This Row],[PROVEEDOR]],Terceros!$A:$D,4,FALSE)</f>
        <v>2,5% con base</v>
      </c>
      <c r="V2029" s="97">
        <f>+YEAR(PROVEEDORES[[#This Row],[FECHA DE FACTURACIÓN]])</f>
        <v>2021</v>
      </c>
      <c r="W2029" s="97">
        <f>+MATCH(PROVEEDORES[[#This Row],[año facturado]],Retenciones!$1:$1,0)</f>
        <v>4</v>
      </c>
      <c r="X2029" s="98">
        <f>+VLOOKUP(PROVEEDORES[[#This Row],[ID RETENCION]],Retenciones!$A$1:$O$25,PROVEEDORES[[#This Row],[indicador de columna]],FALSE)</f>
        <v>980000</v>
      </c>
      <c r="Y2029" s="99">
        <f>+VLOOKUP(PROVEEDORES[[#This Row],[ID RETENCION]],Retenciones!$A$1:$O$25,2,FALSE)</f>
        <v>2.5000000000000001E-2</v>
      </c>
      <c r="Z2029" s="125" t="b">
        <f>OR(COUNTIF(PROVEEDORES[[#This Row],[PROVEEDOR]],"*"&amp;'Palabra no opera'!$A$2&amp;"*"))</f>
        <v>0</v>
      </c>
    </row>
    <row r="2030" spans="1:26" ht="22.2" customHeight="1" x14ac:dyDescent="0.3">
      <c r="A2030" s="66" t="str">
        <f>+IF(PROVEEDORES[[#This Row],[FECHA DE PAGO]]=PROVEEDORES[[#This Row],[FECHA DE FACTURACIÓN]],"DE CONTADO","CRÉDITO")</f>
        <v>CRÉDITO</v>
      </c>
      <c r="B2030" s="38" t="b">
        <f>+IF((PROVEEDORES[[#This Row],[FECHA DE PAGO]]-PROVEEDORES[[#This Row],[FECHA DE FACTURACIÓN]])&gt;PROVEEDORES[[#This Row],[PLAZO Días]],"PAGO VENCIDO")</f>
        <v>0</v>
      </c>
      <c r="C2030" s="20">
        <f>+VLOOKUP(PROVEEDORES[[#This Row],[PROVEEDOR]],TERCEROS_INFO[#All],2,FALSE)</f>
        <v>30</v>
      </c>
      <c r="D2030" s="25">
        <f>+SUMIFS(PROVEEDORES[Total],PROVEEDORES[PROVEEDOR],PROVEEDORES[[#This Row],[PROVEEDOR]],PROVEEDORES[FECHA DE PAGO],"")</f>
        <v>0</v>
      </c>
      <c r="E2030" s="25"/>
      <c r="F2030" s="58" t="str">
        <f>+VLOOKUP(PROVEEDORES[[#This Row],[PROVEEDOR]],
                       Terceros!$A:$F,
                       5,
                       FALSE)</f>
        <v/>
      </c>
      <c r="G2030" s="161">
        <v>44585</v>
      </c>
      <c r="H2030" s="26" t="s">
        <v>27</v>
      </c>
      <c r="I2030" s="161">
        <v>44580</v>
      </c>
      <c r="J2030" s="35">
        <v>130713</v>
      </c>
      <c r="K2030" s="21">
        <v>8864000</v>
      </c>
      <c r="L2030" s="21"/>
      <c r="M2030" s="22">
        <f>(PROVEEDORES[[#This Row],[SUBTOTAL]]-PROVEEDORES[[#This Row],[descuento sobre subtotal]])*VLOOKUP(PROVEEDORES[[#This Row],[PROVEEDOR]],TERCEROS_INFO[#All],3,FALSE)</f>
        <v>0</v>
      </c>
      <c r="N2030" s="23"/>
      <c r="O2030" s="22">
        <f>+PROVEEDORES[[#This Row],[Descuento sobre subtotal %]]*(PROVEEDORES[[#This Row],[SUBTOTAL]]-PROVEEDORES[[#This Row],[descuento sobre subtotal]])</f>
        <v>0</v>
      </c>
      <c r="P2030" s="83">
        <f>+IF(PROVEEDORES[[#This Row],[SUBTOTAL]]&lt;PROVEEDORES[[#This Row],[base retencion]],0,PROVEEDORES[[#This Row],[retención aplicada]])</f>
        <v>0</v>
      </c>
      <c r="Q2030" s="22">
        <f>+PROVEEDORES[[#This Row],[Rete Fuente %]]*(PROVEEDORES[[#This Row],[SUBTOTAL]]-PROVEEDORES[[#This Row],[descuento sobre subtotal]])</f>
        <v>0</v>
      </c>
      <c r="R2030" s="21">
        <v>8864000</v>
      </c>
      <c r="S203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0" s="68">
        <f ca="1">IF(PROVEEDORES[[#This Row],[FECHA DE PAGO]]=0,TODAY()-PROVEEDORES[[#This Row],[FECHA DE FACTURACIÓN]]-PROVEEDORES[[#This Row],[PLAZO Días]],0)</f>
        <v>0</v>
      </c>
      <c r="U2030" s="96">
        <f>+VLOOKUP(PROVEEDORES[[#This Row],[PROVEEDOR]],Terceros!$A:$D,4,FALSE)</f>
        <v>0</v>
      </c>
      <c r="V2030" s="97">
        <f>+YEAR(PROVEEDORES[[#This Row],[FECHA DE FACTURACIÓN]])</f>
        <v>2022</v>
      </c>
      <c r="W2030" s="97">
        <f>+MATCH(PROVEEDORES[[#This Row],[año facturado]],Retenciones!$1:$1,0)</f>
        <v>5</v>
      </c>
      <c r="X2030" s="98">
        <f>+VLOOKUP(PROVEEDORES[[#This Row],[ID RETENCION]],Retenciones!$A$1:$O$25,PROVEEDORES[[#This Row],[indicador de columna]],FALSE)</f>
        <v>0</v>
      </c>
      <c r="Y2030" s="99">
        <f>+VLOOKUP(PROVEEDORES[[#This Row],[ID RETENCION]],Retenciones!$A$1:$O$25,2,FALSE)</f>
        <v>0</v>
      </c>
      <c r="Z2030" s="125" t="b">
        <f>OR(COUNTIF(PROVEEDORES[[#This Row],[PROVEEDOR]],"*"&amp;'Palabra no opera'!$A$2&amp;"*"))</f>
        <v>0</v>
      </c>
    </row>
    <row r="2031" spans="1:26" ht="22.2" customHeight="1" x14ac:dyDescent="0.3">
      <c r="A2031" s="221" t="str">
        <f>+IF(PROVEEDORES[[#This Row],[FECHA DE PAGO]]=PROVEEDORES[[#This Row],[FECHA DE FACTURACIÓN]],"DE CONTADO","CRÉDITO")</f>
        <v>CRÉDITO</v>
      </c>
      <c r="B2031" s="38" t="b">
        <f>+IF((PROVEEDORES[[#This Row],[FECHA DE PAGO]]-PROVEEDORES[[#This Row],[FECHA DE FACTURACIÓN]])&gt;PROVEEDORES[[#This Row],[PLAZO Días]],"PAGO VENCIDO")</f>
        <v>0</v>
      </c>
      <c r="C2031" s="20">
        <f>+VLOOKUP(PROVEEDORES[[#This Row],[PROVEEDOR]],TERCEROS_INFO[#All],2,FALSE)</f>
        <v>45</v>
      </c>
      <c r="D2031" s="25">
        <f>+SUMIFS(PROVEEDORES[Total],PROVEEDORES[PROVEEDOR],PROVEEDORES[[#This Row],[PROVEEDOR]],PROVEEDORES[FECHA DE PAGO],"")</f>
        <v>31891814.359999999</v>
      </c>
      <c r="E2031" s="25"/>
      <c r="F203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2031" s="26" t="s">
        <v>19</v>
      </c>
      <c r="I2031" s="161">
        <v>44824</v>
      </c>
      <c r="J2031" s="35" t="s">
        <v>1678</v>
      </c>
      <c r="K2031" s="21">
        <v>7481600</v>
      </c>
      <c r="L2031" s="21"/>
      <c r="M2031" s="22">
        <f>(PROVEEDORES[[#This Row],[SUBTOTAL]]-PROVEEDORES[[#This Row],[descuento sobre subtotal]])*VLOOKUP(PROVEEDORES[[#This Row],[PROVEEDOR]],TERCEROS_INFO[#All],3,FALSE)</f>
        <v>1421504</v>
      </c>
      <c r="N2031" s="23"/>
      <c r="O2031" s="22">
        <f>+PROVEEDORES[[#This Row],[Descuento sobre subtotal %]]*(PROVEEDORES[[#This Row],[SUBTOTAL]]-PROVEEDORES[[#This Row],[descuento sobre subtotal]])</f>
        <v>0</v>
      </c>
      <c r="P2031" s="83">
        <f>+IF(PROVEEDORES[[#This Row],[SUBTOTAL]]&lt;PROVEEDORES[[#This Row],[base retencion]],0,PROVEEDORES[[#This Row],[retención aplicada]])</f>
        <v>0</v>
      </c>
      <c r="Q2031" s="22">
        <f>+PROVEEDORES[[#This Row],[Rete Fuente %]]*(PROVEEDORES[[#This Row],[SUBTOTAL]]-PROVEEDORES[[#This Row],[descuento sobre subtotal]])</f>
        <v>0</v>
      </c>
      <c r="R2031" s="21">
        <f>+PROVEEDORES[[#This Row],[SUBTOTAL]]+PROVEEDORES[[#This Row],[IVA 19%]]-PROVEEDORES[[#This Row],[descuento sobre subtotal]]-PROVEEDORES[[#This Row],[Descuento sobre subtotal $2]]-PROVEEDORES[[#This Row],[Rete Fuente $]]</f>
        <v>8903104</v>
      </c>
      <c r="S2031" s="22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31" s="68">
        <f ca="1">IF(PROVEEDORES[[#This Row],[FECHA DE PAGO]]=0,TODAY()-PROVEEDORES[[#This Row],[FECHA DE FACTURACIÓN]]-PROVEEDORES[[#This Row],[PLAZO Días]],0)</f>
        <v>6</v>
      </c>
      <c r="U2031" s="113">
        <f>+VLOOKUP(PROVEEDORES[[#This Row],[PROVEEDOR]],Terceros!$A:$D,4,FALSE)</f>
        <v>0</v>
      </c>
      <c r="V2031" s="114">
        <f>+YEAR(PROVEEDORES[[#This Row],[FECHA DE FACTURACIÓN]])</f>
        <v>2022</v>
      </c>
      <c r="W2031" s="114">
        <f>+MATCH(PROVEEDORES[[#This Row],[año facturado]],Retenciones!$1:$1,0)</f>
        <v>5</v>
      </c>
      <c r="X2031" s="115">
        <f>+VLOOKUP(PROVEEDORES[[#This Row],[ID RETENCION]],Retenciones!$A$1:$O$25,PROVEEDORES[[#This Row],[indicador de columna]],FALSE)</f>
        <v>0</v>
      </c>
      <c r="Y2031" s="116">
        <f>+VLOOKUP(PROVEEDORES[[#This Row],[ID RETENCION]],Retenciones!$A$1:$O$25,2,FALSE)</f>
        <v>0</v>
      </c>
      <c r="Z2031" s="125" t="b">
        <f>OR(COUNTIF(PROVEEDORES[[#This Row],[PROVEEDOR]],"*"&amp;'Palabra no opera'!$A$2&amp;"*"))</f>
        <v>0</v>
      </c>
    </row>
    <row r="2032" spans="1:26" ht="22.2" customHeight="1" x14ac:dyDescent="0.3">
      <c r="A2032" s="199" t="str">
        <f>+IF(PROVEEDORES[[#This Row],[FECHA DE PAGO]]=PROVEEDORES[[#This Row],[FECHA DE FACTURACIÓN]],"DE CONTADO","CRÉDITO")</f>
        <v>CRÉDITO</v>
      </c>
      <c r="B2032" s="38" t="str">
        <f>+IF((PROVEEDORES[[#This Row],[FECHA DE PAGO]]-PROVEEDORES[[#This Row],[FECHA DE FACTURACIÓN]])&gt;PROVEEDORES[[#This Row],[PLAZO Días]],"PAGO VENCIDO")</f>
        <v>PAGO VENCIDO</v>
      </c>
      <c r="C2032" s="20">
        <f>+VLOOKUP(PROVEEDORES[[#This Row],[PROVEEDOR]],TERCEROS_INFO[#All],2,FALSE)</f>
        <v>30</v>
      </c>
      <c r="D2032" s="25">
        <f>+SUMIFS(PROVEEDORES[Total],PROVEEDORES[PROVEEDOR],PROVEEDORES[[#This Row],[PROVEEDOR]],PROVEEDORES[FECHA DE PAGO],"")</f>
        <v>0</v>
      </c>
      <c r="E2032" s="25"/>
      <c r="F2032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032" s="161">
        <v>44863</v>
      </c>
      <c r="H2032" s="26" t="s">
        <v>33</v>
      </c>
      <c r="I2032" s="161">
        <v>44785</v>
      </c>
      <c r="J2032" s="35">
        <v>3002</v>
      </c>
      <c r="K2032" s="21">
        <v>7753500</v>
      </c>
      <c r="L2032" s="21"/>
      <c r="M2032" s="22">
        <f>(PROVEEDORES[[#This Row],[SUBTOTAL]]-PROVEEDORES[[#This Row],[descuento sobre subtotal]])*VLOOKUP(PROVEEDORES[[#This Row],[PROVEEDOR]],TERCEROS_INFO[#All],3,FALSE)</f>
        <v>1473165</v>
      </c>
      <c r="N2032" s="23"/>
      <c r="O2032" s="22">
        <f>+PROVEEDORES[[#This Row],[Descuento sobre subtotal %]]*(PROVEEDORES[[#This Row],[SUBTOTAL]]-PROVEEDORES[[#This Row],[descuento sobre subtotal]])</f>
        <v>0</v>
      </c>
      <c r="P2032" s="83">
        <f>+IF(PROVEEDORES[[#This Row],[SUBTOTAL]]&lt;PROVEEDORES[[#This Row],[base retencion]],0,PROVEEDORES[[#This Row],[retención aplicada]])</f>
        <v>2.5000000000000001E-2</v>
      </c>
      <c r="Q2032" s="22">
        <f>+PROVEEDORES[[#This Row],[Rete Fuente %]]*(PROVEEDORES[[#This Row],[SUBTOTAL]]-PROVEEDORES[[#This Row],[descuento sobre subtotal]])</f>
        <v>193837.5</v>
      </c>
      <c r="R2032" s="21">
        <f>+PROVEEDORES[[#This Row],[SUBTOTAL]]+PROVEEDORES[[#This Row],[IVA 19%]]-PROVEEDORES[[#This Row],[descuento sobre subtotal]]-PROVEEDORES[[#This Row],[Descuento sobre subtotal $2]]-PROVEEDORES[[#This Row],[Rete Fuente $]]</f>
        <v>9032827.5</v>
      </c>
      <c r="S2032" s="20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2" s="68">
        <f ca="1">IF(PROVEEDORES[[#This Row],[FECHA DE PAGO]]=0,TODAY()-PROVEEDORES[[#This Row],[FECHA DE FACTURACIÓN]]-PROVEEDORES[[#This Row],[PLAZO Días]],0)</f>
        <v>0</v>
      </c>
      <c r="U2032" s="113" t="str">
        <f>+VLOOKUP(PROVEEDORES[[#This Row],[PROVEEDOR]],Terceros!$A:$D,4,FALSE)</f>
        <v>2,5% con base</v>
      </c>
      <c r="V2032" s="114">
        <f>+YEAR(PROVEEDORES[[#This Row],[FECHA DE FACTURACIÓN]])</f>
        <v>2022</v>
      </c>
      <c r="W2032" s="114">
        <f>+MATCH(PROVEEDORES[[#This Row],[año facturado]],Retenciones!$1:$1,0)</f>
        <v>5</v>
      </c>
      <c r="X2032" s="115">
        <f>+VLOOKUP(PROVEEDORES[[#This Row],[ID RETENCION]],Retenciones!$A$1:$O$25,PROVEEDORES[[#This Row],[indicador de columna]],FALSE)</f>
        <v>1026000</v>
      </c>
      <c r="Y2032" s="116">
        <f>+VLOOKUP(PROVEEDORES[[#This Row],[ID RETENCION]],Retenciones!$A$1:$O$25,2,FALSE)</f>
        <v>2.5000000000000001E-2</v>
      </c>
      <c r="Z2032" s="125" t="b">
        <f>OR(COUNTIF(PROVEEDORES[[#This Row],[PROVEEDOR]],"*"&amp;'Palabra no opera'!$A$2&amp;"*"))</f>
        <v>0</v>
      </c>
    </row>
    <row r="2033" spans="1:26" ht="22.2" customHeight="1" x14ac:dyDescent="0.3">
      <c r="A2033" s="72" t="str">
        <f>+IF(PROVEEDORES[[#This Row],[FECHA DE PAGO]]=PROVEEDORES[[#This Row],[FECHA DE FACTURACIÓN]],"DE CONTADO","CRÉDITO")</f>
        <v>CRÉDITO</v>
      </c>
      <c r="B2033" s="38" t="b">
        <f>+IF((PROVEEDORES[[#This Row],[FECHA DE PAGO]]-PROVEEDORES[[#This Row],[FECHA DE FACTURACIÓN]])&gt;PROVEEDORES[[#This Row],[PLAZO Días]],"PAGO VENCIDO")</f>
        <v>0</v>
      </c>
      <c r="C2033" s="20">
        <f>+VLOOKUP(PROVEEDORES[[#This Row],[PROVEEDOR]],TERCEROS_INFO[#All],2,FALSE)</f>
        <v>90</v>
      </c>
      <c r="D2033" s="25">
        <f>+SUMIFS(PROVEEDORES[Total],PROVEEDORES[PROVEEDOR],PROVEEDORES[[#This Row],[PROVEEDOR]],PROVEEDORES[FECHA DE PAGO],"")</f>
        <v>75241004.385000005</v>
      </c>
      <c r="E2033" s="25"/>
      <c r="F203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33" s="26" t="s">
        <v>77</v>
      </c>
      <c r="I2033" s="161">
        <v>44809</v>
      </c>
      <c r="J2033" s="35" t="s">
        <v>1763</v>
      </c>
      <c r="K2033" s="21">
        <v>7849577</v>
      </c>
      <c r="L2033" s="21"/>
      <c r="M2033" s="22">
        <f>(PROVEEDORES[[#This Row],[SUBTOTAL]]-PROVEEDORES[[#This Row],[descuento sobre subtotal]])*VLOOKUP(PROVEEDORES[[#This Row],[PROVEEDOR]],TERCEROS_INFO[#All],3,FALSE)</f>
        <v>1491419.6300000001</v>
      </c>
      <c r="N2033" s="23"/>
      <c r="O2033" s="22">
        <f>+PROVEEDORES[[#This Row],[Descuento sobre subtotal %]]*(PROVEEDORES[[#This Row],[SUBTOTAL]]-PROVEEDORES[[#This Row],[descuento sobre subtotal]])</f>
        <v>0</v>
      </c>
      <c r="P2033" s="83">
        <f>+IF(PROVEEDORES[[#This Row],[SUBTOTAL]]&lt;PROVEEDORES[[#This Row],[base retencion]],0,PROVEEDORES[[#This Row],[retención aplicada]])</f>
        <v>2.5000000000000001E-2</v>
      </c>
      <c r="Q2033" s="22">
        <f>+PROVEEDORES[[#This Row],[Rete Fuente %]]*(PROVEEDORES[[#This Row],[SUBTOTAL]]-PROVEEDORES[[#This Row],[descuento sobre subtotal]])</f>
        <v>196239.42500000002</v>
      </c>
      <c r="R2033" s="21">
        <f>+PROVEEDORES[[#This Row],[SUBTOTAL]]+PROVEEDORES[[#This Row],[IVA 19%]]-PROVEEDORES[[#This Row],[descuento sobre subtotal]]-PROVEEDORES[[#This Row],[Descuento sobre subtotal $2]]-PROVEEDORES[[#This Row],[Rete Fuente $]]</f>
        <v>9144757.2050000001</v>
      </c>
      <c r="S2033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33" s="68">
        <f ca="1">IF(PROVEEDORES[[#This Row],[FECHA DE PAGO]]=0,TODAY()-PROVEEDORES[[#This Row],[FECHA DE FACTURACIÓN]]-PROVEEDORES[[#This Row],[PLAZO Días]],0)</f>
        <v>-24</v>
      </c>
      <c r="U2033" s="113" t="str">
        <f>+VLOOKUP(PROVEEDORES[[#This Row],[PROVEEDOR]],Terceros!$A:$D,4,FALSE)</f>
        <v>2,5% con base</v>
      </c>
      <c r="V2033" s="114">
        <f>+YEAR(PROVEEDORES[[#This Row],[FECHA DE FACTURACIÓN]])</f>
        <v>2022</v>
      </c>
      <c r="W2033" s="114">
        <f>+MATCH(PROVEEDORES[[#This Row],[año facturado]],Retenciones!$1:$1,0)</f>
        <v>5</v>
      </c>
      <c r="X2033" s="115">
        <f>+VLOOKUP(PROVEEDORES[[#This Row],[ID RETENCION]],Retenciones!$A$1:$O$25,PROVEEDORES[[#This Row],[indicador de columna]],FALSE)</f>
        <v>1026000</v>
      </c>
      <c r="Y2033" s="116">
        <f>+VLOOKUP(PROVEEDORES[[#This Row],[ID RETENCION]],Retenciones!$A$1:$O$25,2,FALSE)</f>
        <v>2.5000000000000001E-2</v>
      </c>
      <c r="Z2033" s="125" t="b">
        <f>OR(COUNTIF(PROVEEDORES[[#This Row],[PROVEEDOR]],"*"&amp;'Palabra no opera'!$A$2&amp;"*"))</f>
        <v>0</v>
      </c>
    </row>
    <row r="2034" spans="1:26" ht="22.2" customHeight="1" x14ac:dyDescent="0.3">
      <c r="A2034" s="66" t="str">
        <f>+IF(PROVEEDORES[[#This Row],[FECHA DE PAGO]]=PROVEEDORES[[#This Row],[FECHA DE FACTURACIÓN]],"DE CONTADO","CRÉDITO")</f>
        <v>CRÉDITO</v>
      </c>
      <c r="B2034" s="38" t="str">
        <f>+IF((PROVEEDORES[[#This Row],[FECHA DE PAGO]]-PROVEEDORES[[#This Row],[FECHA DE FACTURACIÓN]])&gt;PROVEEDORES[[#This Row],[PLAZO Días]],"PAGO VENCIDO")</f>
        <v>PAGO VENCIDO</v>
      </c>
      <c r="C2034" s="20">
        <f>+VLOOKUP(PROVEEDORES[[#This Row],[PROVEEDOR]],TERCEROS_INFO[#All],2,FALSE)</f>
        <v>30</v>
      </c>
      <c r="D2034" s="25">
        <f>+SUMIFS(PROVEEDORES[Total],PROVEEDORES[PROVEEDOR],PROVEEDORES[[#This Row],[PROVEEDOR]],PROVEEDORES[FECHA DE PAGO],"")</f>
        <v>0</v>
      </c>
      <c r="E2034" s="25"/>
      <c r="F2034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034" s="161">
        <v>44357</v>
      </c>
      <c r="H2034" s="26" t="s">
        <v>38</v>
      </c>
      <c r="I2034" s="161">
        <v>44257</v>
      </c>
      <c r="J2034" s="35" t="s">
        <v>281</v>
      </c>
      <c r="K2034" s="21">
        <v>9253877.5999999996</v>
      </c>
      <c r="L2034" s="21"/>
      <c r="M2034" s="22">
        <f>(PROVEEDORES[[#This Row],[SUBTOTAL]]-PROVEEDORES[[#This Row],[descuento sobre subtotal]])*VLOOKUP(PROVEEDORES[[#This Row],[PROVEEDOR]],TERCEROS_INFO[#All],3,FALSE)</f>
        <v>0</v>
      </c>
      <c r="N2034" s="23"/>
      <c r="O2034" s="22">
        <f>+PROVEEDORES[[#This Row],[Descuento sobre subtotal %]]*(PROVEEDORES[[#This Row],[SUBTOTAL]]-PROVEEDORES[[#This Row],[descuento sobre subtotal]])</f>
        <v>0</v>
      </c>
      <c r="P2034" s="83">
        <f>+IF(PROVEEDORES[[#This Row],[SUBTOTAL]]&lt;PROVEEDORES[[#This Row],[base retencion]],0,PROVEEDORES[[#This Row],[retención aplicada]])</f>
        <v>0</v>
      </c>
      <c r="Q2034" s="22">
        <f>+PROVEEDORES[[#This Row],[Rete Fuente %]]*(PROVEEDORES[[#This Row],[SUBTOTAL]]-PROVEEDORES[[#This Row],[descuento sobre subtotal]])</f>
        <v>0</v>
      </c>
      <c r="R2034" s="21">
        <f>+PROVEEDORES[[#This Row],[SUBTOTAL]]+PROVEEDORES[[#This Row],[IVA 19%]]-PROVEEDORES[[#This Row],[descuento sobre subtotal]]-PROVEEDORES[[#This Row],[Descuento sobre subtotal $2]]-PROVEEDORES[[#This Row],[Rete Fuente $]]</f>
        <v>9253877.5999999996</v>
      </c>
      <c r="S203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4" s="68">
        <f ca="1">IF(PROVEEDORES[[#This Row],[FECHA DE PAGO]]=0,TODAY()-PROVEEDORES[[#This Row],[FECHA DE FACTURACIÓN]]-PROVEEDORES[[#This Row],[PLAZO Días]],0)</f>
        <v>0</v>
      </c>
      <c r="U2034" s="96">
        <f>+VLOOKUP(PROVEEDORES[[#This Row],[PROVEEDOR]],Terceros!$A:$D,4,FALSE)</f>
        <v>0</v>
      </c>
      <c r="V2034" s="97">
        <f>+YEAR(PROVEEDORES[[#This Row],[FECHA DE FACTURACIÓN]])</f>
        <v>2021</v>
      </c>
      <c r="W2034" s="97">
        <f>+MATCH(PROVEEDORES[[#This Row],[año facturado]],Retenciones!$1:$1,0)</f>
        <v>4</v>
      </c>
      <c r="X2034" s="98">
        <f>+VLOOKUP(PROVEEDORES[[#This Row],[ID RETENCION]],Retenciones!$A$1:$O$25,PROVEEDORES[[#This Row],[indicador de columna]],FALSE)</f>
        <v>0</v>
      </c>
      <c r="Y2034" s="99">
        <f>+VLOOKUP(PROVEEDORES[[#This Row],[ID RETENCION]],Retenciones!$A$1:$O$25,2,FALSE)</f>
        <v>0</v>
      </c>
      <c r="Z2034" s="125" t="b">
        <f>OR(COUNTIF(PROVEEDORES[[#This Row],[PROVEEDOR]],"*"&amp;'Palabra no opera'!$A$2&amp;"*"))</f>
        <v>0</v>
      </c>
    </row>
    <row r="2035" spans="1:26" ht="22.2" customHeight="1" x14ac:dyDescent="0.3">
      <c r="A2035" s="66" t="str">
        <f>+IF(PROVEEDORES[[#This Row],[FECHA DE PAGO]]=PROVEEDORES[[#This Row],[FECHA DE FACTURACIÓN]],"DE CONTADO","CRÉDITO")</f>
        <v>CRÉDITO</v>
      </c>
      <c r="B2035" s="38" t="b">
        <f>+IF((PROVEEDORES[[#This Row],[FECHA DE PAGO]]-PROVEEDORES[[#This Row],[FECHA DE FACTURACIÓN]])&gt;PROVEEDORES[[#This Row],[PLAZO Días]],"PAGO VENCIDO")</f>
        <v>0</v>
      </c>
      <c r="C2035" s="20">
        <f>+VLOOKUP(PROVEEDORES[[#This Row],[PROVEEDOR]],TERCEROS_INFO[#All],2,FALSE)</f>
        <v>30</v>
      </c>
      <c r="D2035" s="25">
        <f>+SUMIFS(PROVEEDORES[Total],PROVEEDORES[PROVEEDOR],PROVEEDORES[[#This Row],[PROVEEDOR]],PROVEEDORES[FECHA DE PAGO],"")</f>
        <v>0</v>
      </c>
      <c r="E2035" s="25"/>
      <c r="F203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035" s="161">
        <v>44558</v>
      </c>
      <c r="H2035" s="26" t="s">
        <v>24</v>
      </c>
      <c r="I2035" s="161">
        <v>44533</v>
      </c>
      <c r="J2035" s="35" t="s">
        <v>558</v>
      </c>
      <c r="K2035" s="21">
        <v>7960000</v>
      </c>
      <c r="L2035" s="21"/>
      <c r="M2035" s="22">
        <f>(PROVEEDORES[[#This Row],[SUBTOTAL]]-PROVEEDORES[[#This Row],[descuento sobre subtotal]])*VLOOKUP(PROVEEDORES[[#This Row],[PROVEEDOR]],TERCEROS_INFO[#All],3,FALSE)</f>
        <v>1512400</v>
      </c>
      <c r="N2035" s="23"/>
      <c r="O2035" s="22">
        <f>+PROVEEDORES[[#This Row],[Descuento sobre subtotal %]]*(PROVEEDORES[[#This Row],[SUBTOTAL]]-PROVEEDORES[[#This Row],[descuento sobre subtotal]])</f>
        <v>0</v>
      </c>
      <c r="P2035" s="83">
        <f>+IF(PROVEEDORES[[#This Row],[SUBTOTAL]]&lt;PROVEEDORES[[#This Row],[base retencion]],0,PROVEEDORES[[#This Row],[retención aplicada]])</f>
        <v>2.5000000000000001E-2</v>
      </c>
      <c r="Q2035" s="22">
        <f>+PROVEEDORES[[#This Row],[Rete Fuente %]]*(PROVEEDORES[[#This Row],[SUBTOTAL]]-PROVEEDORES[[#This Row],[descuento sobre subtotal]])</f>
        <v>199000</v>
      </c>
      <c r="R2035" s="21">
        <f>+PROVEEDORES[[#This Row],[SUBTOTAL]]+PROVEEDORES[[#This Row],[IVA 19%]]-PROVEEDORES[[#This Row],[descuento sobre subtotal]]-PROVEEDORES[[#This Row],[Descuento sobre subtotal $2]]-PROVEEDORES[[#This Row],[Rete Fuente $]]</f>
        <v>9273400</v>
      </c>
      <c r="S203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5" s="68">
        <f ca="1">IF(PROVEEDORES[[#This Row],[FECHA DE PAGO]]=0,TODAY()-PROVEEDORES[[#This Row],[FECHA DE FACTURACIÓN]]-PROVEEDORES[[#This Row],[PLAZO Días]],0)</f>
        <v>0</v>
      </c>
      <c r="U2035" s="96" t="str">
        <f>+VLOOKUP(PROVEEDORES[[#This Row],[PROVEEDOR]],Terceros!$A:$D,4,FALSE)</f>
        <v>2,5% con base</v>
      </c>
      <c r="V2035" s="97">
        <f>+YEAR(PROVEEDORES[[#This Row],[FECHA DE FACTURACIÓN]])</f>
        <v>2021</v>
      </c>
      <c r="W2035" s="97">
        <f>+MATCH(PROVEEDORES[[#This Row],[año facturado]],Retenciones!$1:$1,0)</f>
        <v>4</v>
      </c>
      <c r="X2035" s="98">
        <f>+VLOOKUP(PROVEEDORES[[#This Row],[ID RETENCION]],Retenciones!$A$1:$O$25,PROVEEDORES[[#This Row],[indicador de columna]],FALSE)</f>
        <v>980000</v>
      </c>
      <c r="Y2035" s="99">
        <f>+VLOOKUP(PROVEEDORES[[#This Row],[ID RETENCION]],Retenciones!$A$1:$O$25,2,FALSE)</f>
        <v>2.5000000000000001E-2</v>
      </c>
      <c r="Z2035" s="125" t="b">
        <f>OR(COUNTIF(PROVEEDORES[[#This Row],[PROVEEDOR]],"*"&amp;'Palabra no opera'!$A$2&amp;"*"))</f>
        <v>0</v>
      </c>
    </row>
    <row r="2036" spans="1:26" ht="22.2" customHeight="1" x14ac:dyDescent="0.3">
      <c r="A2036" s="66" t="str">
        <f>+IF(PROVEEDORES[[#This Row],[FECHA DE PAGO]]=PROVEEDORES[[#This Row],[FECHA DE FACTURACIÓN]],"DE CONTADO","CRÉDITO")</f>
        <v>CRÉDITO</v>
      </c>
      <c r="B2036" s="38" t="b">
        <f>+IF((PROVEEDORES[[#This Row],[FECHA DE PAGO]]-PROVEEDORES[[#This Row],[FECHA DE FACTURACIÓN]])&gt;PROVEEDORES[[#This Row],[PLAZO Días]],"PAGO VENCIDO")</f>
        <v>0</v>
      </c>
      <c r="C2036" s="20">
        <f>+VLOOKUP(PROVEEDORES[[#This Row],[PROVEEDOR]],TERCEROS_INFO[#All],2,FALSE)</f>
        <v>10</v>
      </c>
      <c r="D2036" s="25">
        <f>+SUMIFS(PROVEEDORES[Total],PROVEEDORES[PROVEEDOR],PROVEEDORES[[#This Row],[PROVEEDOR]],PROVEEDORES[FECHA DE PAGO],"")</f>
        <v>0</v>
      </c>
      <c r="E2036" s="25"/>
      <c r="F2036" s="58" t="str">
        <f>+VLOOKUP(PROVEEDORES[[#This Row],[PROVEEDOR]],
                       Terceros!$A:$F,
                       5,
                       FALSE)</f>
        <v/>
      </c>
      <c r="G2036" s="161">
        <v>44454</v>
      </c>
      <c r="H2036" s="26" t="s">
        <v>23</v>
      </c>
      <c r="I2036" s="161">
        <v>44453</v>
      </c>
      <c r="J2036" s="35">
        <v>284978</v>
      </c>
      <c r="K2036" s="21">
        <v>9674769</v>
      </c>
      <c r="L2036" s="21"/>
      <c r="M2036" s="22">
        <f>(PROVEEDORES[[#This Row],[SUBTOTAL]]-PROVEEDORES[[#This Row],[descuento sobre subtotal]])*VLOOKUP(PROVEEDORES[[#This Row],[PROVEEDOR]],TERCEROS_INFO[#All],3,FALSE)</f>
        <v>0</v>
      </c>
      <c r="N2036" s="23"/>
      <c r="O2036" s="22">
        <f>+PROVEEDORES[[#This Row],[Descuento sobre subtotal %]]*(PROVEEDORES[[#This Row],[SUBTOTAL]]-PROVEEDORES[[#This Row],[descuento sobre subtotal]])</f>
        <v>0</v>
      </c>
      <c r="P2036" s="83">
        <f>+IF(PROVEEDORES[[#This Row],[SUBTOTAL]]&lt;PROVEEDORES[[#This Row],[base retencion]],0,PROVEEDORES[[#This Row],[retención aplicada]])</f>
        <v>0</v>
      </c>
      <c r="Q2036" s="22">
        <f>+PROVEEDORES[[#This Row],[Rete Fuente %]]*(PROVEEDORES[[#This Row],[SUBTOTAL]]-PROVEEDORES[[#This Row],[descuento sobre subtotal]])</f>
        <v>0</v>
      </c>
      <c r="R2036" s="21">
        <f>+PROVEEDORES[[#This Row],[SUBTOTAL]]+PROVEEDORES[[#This Row],[IVA 19%]]-PROVEEDORES[[#This Row],[descuento sobre subtotal]]-PROVEEDORES[[#This Row],[Descuento sobre subtotal $2]]-PROVEEDORES[[#This Row],[Rete Fuente $]]</f>
        <v>9674769</v>
      </c>
      <c r="S203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6" s="68">
        <f ca="1">IF(PROVEEDORES[[#This Row],[FECHA DE PAGO]]=0,TODAY()-PROVEEDORES[[#This Row],[FECHA DE FACTURACIÓN]]-PROVEEDORES[[#This Row],[PLAZO Días]],0)</f>
        <v>0</v>
      </c>
      <c r="U2036" s="96">
        <f>+VLOOKUP(PROVEEDORES[[#This Row],[PROVEEDOR]],Terceros!$A:$D,4,FALSE)</f>
        <v>0</v>
      </c>
      <c r="V2036" s="97">
        <f>+YEAR(PROVEEDORES[[#This Row],[FECHA DE FACTURACIÓN]])</f>
        <v>2021</v>
      </c>
      <c r="W2036" s="97">
        <f>+MATCH(PROVEEDORES[[#This Row],[año facturado]],Retenciones!$1:$1,0)</f>
        <v>4</v>
      </c>
      <c r="X2036" s="98">
        <f>+VLOOKUP(PROVEEDORES[[#This Row],[ID RETENCION]],Retenciones!$A$1:$O$25,PROVEEDORES[[#This Row],[indicador de columna]],FALSE)</f>
        <v>0</v>
      </c>
      <c r="Y2036" s="99">
        <f>+VLOOKUP(PROVEEDORES[[#This Row],[ID RETENCION]],Retenciones!$A$1:$O$25,2,FALSE)</f>
        <v>0</v>
      </c>
      <c r="Z2036" s="125" t="b">
        <f>OR(COUNTIF(PROVEEDORES[[#This Row],[PROVEEDOR]],"*"&amp;'Palabra no opera'!$A$2&amp;"*"))</f>
        <v>0</v>
      </c>
    </row>
    <row r="2037" spans="1:26" ht="22.2" customHeight="1" x14ac:dyDescent="0.3">
      <c r="A2037" s="185" t="str">
        <f>+IF(PROVEEDORES[[#This Row],[FECHA DE PAGO]]=PROVEEDORES[[#This Row],[FECHA DE FACTURACIÓN]],"DE CONTADO","CRÉDITO")</f>
        <v>CRÉDITO</v>
      </c>
      <c r="B2037" s="38" t="str">
        <f>+IF((PROVEEDORES[[#This Row],[FECHA DE PAGO]]-PROVEEDORES[[#This Row],[FECHA DE FACTURACIÓN]])&gt;PROVEEDORES[[#This Row],[PLAZO Días]],"PAGO VENCIDO")</f>
        <v>PAGO VENCIDO</v>
      </c>
      <c r="C2037" s="20">
        <f>+VLOOKUP(PROVEEDORES[[#This Row],[PROVEEDOR]],TERCEROS_INFO[#All],2,FALSE)</f>
        <v>30</v>
      </c>
      <c r="D2037" s="25">
        <f>+SUMIFS(PROVEEDORES[Total],PROVEEDORES[PROVEEDOR],PROVEEDORES[[#This Row],[PROVEEDOR]],PROVEEDORES[FECHA DE PAGO],"")</f>
        <v>0</v>
      </c>
      <c r="E2037" s="25"/>
      <c r="F203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037" s="161">
        <v>44842</v>
      </c>
      <c r="H2037" s="26" t="s">
        <v>670</v>
      </c>
      <c r="I2037" s="161">
        <v>44751</v>
      </c>
      <c r="J2037" s="35" t="s">
        <v>1616</v>
      </c>
      <c r="K2037" s="21">
        <v>9756105</v>
      </c>
      <c r="L2037" s="21"/>
      <c r="M2037" s="22">
        <f>(PROVEEDORES[[#This Row],[SUBTOTAL]]-PROVEEDORES[[#This Row],[descuento sobre subtotal]])*VLOOKUP(PROVEEDORES[[#This Row],[PROVEEDOR]],TERCEROS_INFO[#All],3,FALSE)</f>
        <v>0</v>
      </c>
      <c r="N2037" s="23"/>
      <c r="O2037" s="22">
        <f>+PROVEEDORES[[#This Row],[Descuento sobre subtotal %]]*(PROVEEDORES[[#This Row],[SUBTOTAL]]-PROVEEDORES[[#This Row],[descuento sobre subtotal]])</f>
        <v>0</v>
      </c>
      <c r="P2037" s="83">
        <f>+IF(PROVEEDORES[[#This Row],[SUBTOTAL]]&lt;PROVEEDORES[[#This Row],[base retencion]],0,PROVEEDORES[[#This Row],[retención aplicada]])</f>
        <v>0</v>
      </c>
      <c r="Q2037" s="22">
        <f>+PROVEEDORES[[#This Row],[Rete Fuente %]]*(PROVEEDORES[[#This Row],[SUBTOTAL]]-PROVEEDORES[[#This Row],[descuento sobre subtotal]])</f>
        <v>0</v>
      </c>
      <c r="R2037" s="21">
        <f>+PROVEEDORES[[#This Row],[SUBTOTAL]]+PROVEEDORES[[#This Row],[IVA 19%]]-PROVEEDORES[[#This Row],[descuento sobre subtotal]]-PROVEEDORES[[#This Row],[Descuento sobre subtotal $2]]-PROVEEDORES[[#This Row],[Rete Fuente $]]</f>
        <v>9756105</v>
      </c>
      <c r="S2037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7" s="68">
        <f ca="1">IF(PROVEEDORES[[#This Row],[FECHA DE PAGO]]=0,TODAY()-PROVEEDORES[[#This Row],[FECHA DE FACTURACIÓN]]-PROVEEDORES[[#This Row],[PLAZO Días]],0)</f>
        <v>0</v>
      </c>
      <c r="U2037" s="113">
        <f>+VLOOKUP(PROVEEDORES[[#This Row],[PROVEEDOR]],Terceros!$A:$D,4,FALSE)</f>
        <v>0</v>
      </c>
      <c r="V2037" s="114">
        <f>+YEAR(PROVEEDORES[[#This Row],[FECHA DE FACTURACIÓN]])</f>
        <v>2022</v>
      </c>
      <c r="W2037" s="114">
        <f>+MATCH(PROVEEDORES[[#This Row],[año facturado]],Retenciones!$1:$1,0)</f>
        <v>5</v>
      </c>
      <c r="X2037" s="115">
        <f>+VLOOKUP(PROVEEDORES[[#This Row],[ID RETENCION]],Retenciones!$A$1:$O$25,PROVEEDORES[[#This Row],[indicador de columna]],FALSE)</f>
        <v>0</v>
      </c>
      <c r="Y2037" s="116">
        <f>+VLOOKUP(PROVEEDORES[[#This Row],[ID RETENCION]],Retenciones!$A$1:$O$25,2,FALSE)</f>
        <v>0</v>
      </c>
      <c r="Z2037" s="125" t="b">
        <f>OR(COUNTIF(PROVEEDORES[[#This Row],[PROVEEDOR]],"*"&amp;'Palabra no opera'!$A$2&amp;"*"))</f>
        <v>0</v>
      </c>
    </row>
    <row r="2038" spans="1:26" ht="22.2" customHeight="1" x14ac:dyDescent="0.3">
      <c r="A2038" s="66" t="str">
        <f>+IF(PROVEEDORES[[#This Row],[FECHA DE PAGO]]=PROVEEDORES[[#This Row],[FECHA DE FACTURACIÓN]],"DE CONTADO","CRÉDITO")</f>
        <v>CRÉDITO</v>
      </c>
      <c r="B2038" s="38" t="str">
        <f>+IF((PROVEEDORES[[#This Row],[FECHA DE PAGO]]-PROVEEDORES[[#This Row],[FECHA DE FACTURACIÓN]])&gt;PROVEEDORES[[#This Row],[PLAZO Días]],"PAGO VENCIDO")</f>
        <v>PAGO VENCIDO</v>
      </c>
      <c r="C2038" s="20">
        <f>+VLOOKUP(PROVEEDORES[[#This Row],[PROVEEDOR]],TERCEROS_INFO[#All],2,FALSE)</f>
        <v>30</v>
      </c>
      <c r="D2038" s="25">
        <f>+SUMIFS(PROVEEDORES[Total],PROVEEDORES[PROVEEDOR],PROVEEDORES[[#This Row],[PROVEEDOR]],PROVEEDORES[FECHA DE PAGO],"")</f>
        <v>3430770</v>
      </c>
      <c r="E2038" s="25"/>
      <c r="F203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38" s="161">
        <v>44652</v>
      </c>
      <c r="H2038" s="26" t="s">
        <v>1448</v>
      </c>
      <c r="I2038" s="161">
        <v>44610</v>
      </c>
      <c r="J2038" s="35">
        <v>27516</v>
      </c>
      <c r="K2038" s="21">
        <v>8664000</v>
      </c>
      <c r="L2038" s="21"/>
      <c r="M2038" s="22">
        <f>(PROVEEDORES[[#This Row],[SUBTOTAL]]-PROVEEDORES[[#This Row],[descuento sobre subtotal]])*VLOOKUP(PROVEEDORES[[#This Row],[PROVEEDOR]],TERCEROS_INFO[#All],3,FALSE)</f>
        <v>1646160</v>
      </c>
      <c r="N2038" s="23"/>
      <c r="O2038" s="22">
        <f>+PROVEEDORES[[#This Row],[Descuento sobre subtotal %]]*(PROVEEDORES[[#This Row],[SUBTOTAL]]-PROVEEDORES[[#This Row],[descuento sobre subtotal]])</f>
        <v>0</v>
      </c>
      <c r="P2038" s="83">
        <v>2.5000000000000001E-2</v>
      </c>
      <c r="Q2038" s="22">
        <f>+PROVEEDORES[[#This Row],[Rete Fuente %]]*(PROVEEDORES[[#This Row],[SUBTOTAL]]-PROVEEDORES[[#This Row],[descuento sobre subtotal]])</f>
        <v>216600</v>
      </c>
      <c r="R2038" s="21">
        <v>10093560</v>
      </c>
      <c r="S203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8" s="68">
        <f ca="1">IF(PROVEEDORES[[#This Row],[FECHA DE PAGO]]=0,TODAY()-PROVEEDORES[[#This Row],[FECHA DE FACTURACIÓN]]-PROVEEDORES[[#This Row],[PLAZO Días]],0)</f>
        <v>0</v>
      </c>
      <c r="U2038" s="96">
        <f>+VLOOKUP(PROVEEDORES[[#This Row],[PROVEEDOR]],Terceros!$A:$D,4,FALSE)</f>
        <v>0</v>
      </c>
      <c r="V2038" s="97">
        <f>+YEAR(PROVEEDORES[[#This Row],[FECHA DE FACTURACIÓN]])</f>
        <v>2022</v>
      </c>
      <c r="W2038" s="97">
        <f>+MATCH(PROVEEDORES[[#This Row],[año facturado]],Retenciones!$1:$1,0)</f>
        <v>5</v>
      </c>
      <c r="X2038" s="98">
        <f>+VLOOKUP(PROVEEDORES[[#This Row],[ID RETENCION]],Retenciones!$A$1:$O$25,PROVEEDORES[[#This Row],[indicador de columna]],FALSE)</f>
        <v>0</v>
      </c>
      <c r="Y2038" s="99">
        <f>+VLOOKUP(PROVEEDORES[[#This Row],[ID RETENCION]],Retenciones!$A$1:$O$25,2,FALSE)</f>
        <v>0</v>
      </c>
      <c r="Z2038" s="125" t="b">
        <f>OR(COUNTIF(PROVEEDORES[[#This Row],[PROVEEDOR]],"*"&amp;'Palabra no opera'!$A$2&amp;"*"))</f>
        <v>0</v>
      </c>
    </row>
    <row r="2039" spans="1:26" ht="22.2" customHeight="1" x14ac:dyDescent="0.3">
      <c r="A2039" s="66" t="str">
        <f>+IF(PROVEEDORES[[#This Row],[FECHA DE PAGO]]=PROVEEDORES[[#This Row],[FECHA DE FACTURACIÓN]],"DE CONTADO","CRÉDITO")</f>
        <v>CRÉDITO</v>
      </c>
      <c r="B2039" s="38" t="b">
        <f>+IF((PROVEEDORES[[#This Row],[FECHA DE PAGO]]-PROVEEDORES[[#This Row],[FECHA DE FACTURACIÓN]])&gt;PROVEEDORES[[#This Row],[PLAZO Días]],"PAGO VENCIDO")</f>
        <v>0</v>
      </c>
      <c r="C2039" s="20">
        <f>+VLOOKUP(PROVEEDORES[[#This Row],[PROVEEDOR]],TERCEROS_INFO[#All],2,FALSE)</f>
        <v>10</v>
      </c>
      <c r="D2039" s="25">
        <f>+SUMIFS(PROVEEDORES[Total],PROVEEDORES[PROVEEDOR],PROVEEDORES[[#This Row],[PROVEEDOR]],PROVEEDORES[FECHA DE PAGO],"")</f>
        <v>0</v>
      </c>
      <c r="E2039" s="25"/>
      <c r="F2039" s="58" t="str">
        <f>+VLOOKUP(PROVEEDORES[[#This Row],[PROVEEDOR]],
                       Terceros!$A:$F,
                       5,
                       FALSE)</f>
        <v/>
      </c>
      <c r="G2039" s="161">
        <v>44536</v>
      </c>
      <c r="H2039" s="26" t="s">
        <v>23</v>
      </c>
      <c r="I2039" s="161">
        <v>44531</v>
      </c>
      <c r="J2039" s="35">
        <v>286942</v>
      </c>
      <c r="K2039" s="21">
        <v>10287615</v>
      </c>
      <c r="L2039" s="21"/>
      <c r="M2039" s="22">
        <f>(PROVEEDORES[[#This Row],[SUBTOTAL]]-PROVEEDORES[[#This Row],[descuento sobre subtotal]])*VLOOKUP(PROVEEDORES[[#This Row],[PROVEEDOR]],TERCEROS_INFO[#All],3,FALSE)</f>
        <v>0</v>
      </c>
      <c r="N2039" s="23"/>
      <c r="O2039" s="22">
        <f>+PROVEEDORES[[#This Row],[Descuento sobre subtotal %]]*(PROVEEDORES[[#This Row],[SUBTOTAL]]-PROVEEDORES[[#This Row],[descuento sobre subtotal]])</f>
        <v>0</v>
      </c>
      <c r="P2039" s="83">
        <f>+IF(PROVEEDORES[[#This Row],[SUBTOTAL]]&lt;PROVEEDORES[[#This Row],[base retencion]],0,PROVEEDORES[[#This Row],[retención aplicada]])</f>
        <v>0</v>
      </c>
      <c r="Q2039" s="22">
        <f>+PROVEEDORES[[#This Row],[Rete Fuente %]]*(PROVEEDORES[[#This Row],[SUBTOTAL]]-PROVEEDORES[[#This Row],[descuento sobre subtotal]])</f>
        <v>0</v>
      </c>
      <c r="R2039" s="21">
        <f>+PROVEEDORES[[#This Row],[SUBTOTAL]]+PROVEEDORES[[#This Row],[IVA 19%]]-PROVEEDORES[[#This Row],[descuento sobre subtotal]]-PROVEEDORES[[#This Row],[Descuento sobre subtotal $2]]-PROVEEDORES[[#This Row],[Rete Fuente $]]</f>
        <v>10287615</v>
      </c>
      <c r="S203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9" s="68">
        <f ca="1">IF(PROVEEDORES[[#This Row],[FECHA DE PAGO]]=0,TODAY()-PROVEEDORES[[#This Row],[FECHA DE FACTURACIÓN]]-PROVEEDORES[[#This Row],[PLAZO Días]],0)</f>
        <v>0</v>
      </c>
      <c r="U2039" s="96">
        <f>+VLOOKUP(PROVEEDORES[[#This Row],[PROVEEDOR]],Terceros!$A:$D,4,FALSE)</f>
        <v>0</v>
      </c>
      <c r="V2039" s="97">
        <f>+YEAR(PROVEEDORES[[#This Row],[FECHA DE FACTURACIÓN]])</f>
        <v>2021</v>
      </c>
      <c r="W2039" s="97">
        <f>+MATCH(PROVEEDORES[[#This Row],[año facturado]],Retenciones!$1:$1,0)</f>
        <v>4</v>
      </c>
      <c r="X2039" s="98">
        <f>+VLOOKUP(PROVEEDORES[[#This Row],[ID RETENCION]],Retenciones!$A$1:$O$25,PROVEEDORES[[#This Row],[indicador de columna]],FALSE)</f>
        <v>0</v>
      </c>
      <c r="Y2039" s="99">
        <f>+VLOOKUP(PROVEEDORES[[#This Row],[ID RETENCION]],Retenciones!$A$1:$O$25,2,FALSE)</f>
        <v>0</v>
      </c>
      <c r="Z2039" s="125" t="b">
        <f>OR(COUNTIF(PROVEEDORES[[#This Row],[PROVEEDOR]],"*"&amp;'Palabra no opera'!$A$2&amp;"*"))</f>
        <v>0</v>
      </c>
    </row>
    <row r="2040" spans="1:26" ht="22.2" customHeight="1" x14ac:dyDescent="0.3">
      <c r="A2040" s="157" t="str">
        <f>+IF(PROVEEDORES[[#This Row],[FECHA DE PAGO]]=PROVEEDORES[[#This Row],[FECHA DE FACTURACIÓN]],"DE CONTADO","CRÉDITO")</f>
        <v>CRÉDITO</v>
      </c>
      <c r="B2040" s="38" t="b">
        <f>+IF((PROVEEDORES[[#This Row],[FECHA DE PAGO]]-PROVEEDORES[[#This Row],[FECHA DE FACTURACIÓN]])&gt;PROVEEDORES[[#This Row],[PLAZO Días]],"PAGO VENCIDO")</f>
        <v>0</v>
      </c>
      <c r="C2040" s="20">
        <f>+VLOOKUP(PROVEEDORES[[#This Row],[PROVEEDOR]],TERCEROS_INFO[#All],2,FALSE)</f>
        <v>10</v>
      </c>
      <c r="D2040" s="25">
        <f>+SUMIFS(PROVEEDORES[Total],PROVEEDORES[PROVEEDOR],PROVEEDORES[[#This Row],[PROVEEDOR]],PROVEEDORES[FECHA DE PAGO],"")</f>
        <v>0</v>
      </c>
      <c r="E2040" s="25"/>
      <c r="F2040" s="58" t="str">
        <f>+VLOOKUP(PROVEEDORES[[#This Row],[PROVEEDOR]],
                       Terceros!$A:$F,
                       5,
                       FALSE)</f>
        <v/>
      </c>
      <c r="G2040" s="161">
        <v>44714</v>
      </c>
      <c r="H2040" s="26" t="s">
        <v>23</v>
      </c>
      <c r="I2040" s="161">
        <v>44713</v>
      </c>
      <c r="J2040" s="35">
        <v>291707</v>
      </c>
      <c r="K2040" s="21">
        <f>2641.96*3900</f>
        <v>10303644</v>
      </c>
      <c r="L2040" s="21"/>
      <c r="M2040" s="22">
        <f>(PROVEEDORES[[#This Row],[SUBTOTAL]]-PROVEEDORES[[#This Row],[descuento sobre subtotal]])*VLOOKUP(PROVEEDORES[[#This Row],[PROVEEDOR]],TERCEROS_INFO[#All],3,FALSE)</f>
        <v>0</v>
      </c>
      <c r="N2040" s="23"/>
      <c r="O2040" s="22">
        <f>+PROVEEDORES[[#This Row],[Descuento sobre subtotal %]]*(PROVEEDORES[[#This Row],[SUBTOTAL]]-PROVEEDORES[[#This Row],[descuento sobre subtotal]])</f>
        <v>0</v>
      </c>
      <c r="P2040" s="83">
        <f>+IF(PROVEEDORES[[#This Row],[SUBTOTAL]]&lt;PROVEEDORES[[#This Row],[base retencion]],0,PROVEEDORES[[#This Row],[retención aplicada]])</f>
        <v>0</v>
      </c>
      <c r="Q2040" s="22">
        <f>+PROVEEDORES[[#This Row],[Rete Fuente %]]*(PROVEEDORES[[#This Row],[SUBTOTAL]]-PROVEEDORES[[#This Row],[descuento sobre subtotal]])</f>
        <v>0</v>
      </c>
      <c r="R2040" s="21">
        <f>+PROVEEDORES[[#This Row],[SUBTOTAL]]+PROVEEDORES[[#This Row],[IVA 19%]]-PROVEEDORES[[#This Row],[descuento sobre subtotal]]-PROVEEDORES[[#This Row],[Descuento sobre subtotal $2]]-PROVEEDORES[[#This Row],[Rete Fuente $]]</f>
        <v>10303644</v>
      </c>
      <c r="S2040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0" s="68">
        <f ca="1">IF(PROVEEDORES[[#This Row],[FECHA DE PAGO]]=0,TODAY()-PROVEEDORES[[#This Row],[FECHA DE FACTURACIÓN]]-PROVEEDORES[[#This Row],[PLAZO Días]],0)</f>
        <v>0</v>
      </c>
      <c r="U2040" s="113">
        <f>+VLOOKUP(PROVEEDORES[[#This Row],[PROVEEDOR]],Terceros!$A:$D,4,FALSE)</f>
        <v>0</v>
      </c>
      <c r="V2040" s="114">
        <f>+YEAR(PROVEEDORES[[#This Row],[FECHA DE FACTURACIÓN]])</f>
        <v>2022</v>
      </c>
      <c r="W2040" s="114">
        <f>+MATCH(PROVEEDORES[[#This Row],[año facturado]],Retenciones!$1:$1,0)</f>
        <v>5</v>
      </c>
      <c r="X2040" s="115">
        <f>+VLOOKUP(PROVEEDORES[[#This Row],[ID RETENCION]],Retenciones!$A$1:$O$25,PROVEEDORES[[#This Row],[indicador de columna]],FALSE)</f>
        <v>0</v>
      </c>
      <c r="Y2040" s="116">
        <f>+VLOOKUP(PROVEEDORES[[#This Row],[ID RETENCION]],Retenciones!$A$1:$O$25,2,FALSE)</f>
        <v>0</v>
      </c>
      <c r="Z2040" s="125" t="b">
        <f>OR(COUNTIF(PROVEEDORES[[#This Row],[PROVEEDOR]],"*"&amp;'Palabra no opera'!$A$2&amp;"*"))</f>
        <v>0</v>
      </c>
    </row>
    <row r="2041" spans="1:26" ht="22.2" customHeight="1" x14ac:dyDescent="0.3">
      <c r="A2041" s="66" t="str">
        <f>+IF(PROVEEDORES[[#This Row],[FECHA DE PAGO]]=PROVEEDORES[[#This Row],[FECHA DE FACTURACIÓN]],"DE CONTADO","CRÉDITO")</f>
        <v>CRÉDITO</v>
      </c>
      <c r="B2041" s="38" t="b">
        <f>+IF((PROVEEDORES[[#This Row],[FECHA DE PAGO]]-PROVEEDORES[[#This Row],[FECHA DE FACTURACIÓN]])&gt;PROVEEDORES[[#This Row],[PLAZO Días]],"PAGO VENCIDO")</f>
        <v>0</v>
      </c>
      <c r="C2041" s="20">
        <f>+VLOOKUP(PROVEEDORES[[#This Row],[PROVEEDOR]],TERCEROS_INFO[#All],2,FALSE)</f>
        <v>30</v>
      </c>
      <c r="D2041" s="25">
        <f>+SUMIFS(PROVEEDORES[Total],PROVEEDORES[PROVEEDOR],PROVEEDORES[[#This Row],[PROVEEDOR]],PROVEEDORES[FECHA DE PAGO],"")</f>
        <v>0</v>
      </c>
      <c r="E2041" s="25"/>
      <c r="F204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41" s="161">
        <v>44558</v>
      </c>
      <c r="H2041" s="26" t="s">
        <v>510</v>
      </c>
      <c r="I2041" s="161">
        <v>44530</v>
      </c>
      <c r="J2041" s="35" t="s">
        <v>549</v>
      </c>
      <c r="K2041" s="21">
        <v>8804052</v>
      </c>
      <c r="L2041" s="21"/>
      <c r="M2041" s="22">
        <f>(PROVEEDORES[[#This Row],[SUBTOTAL]]-PROVEEDORES[[#This Row],[descuento sobre subtotal]])*VLOOKUP(PROVEEDORES[[#This Row],[PROVEEDOR]],TERCEROS_INFO[#All],3,FALSE)</f>
        <v>1672769.8800000001</v>
      </c>
      <c r="N2041" s="23"/>
      <c r="O2041" s="22">
        <f>+PROVEEDORES[[#This Row],[Descuento sobre subtotal %]]*(PROVEEDORES[[#This Row],[SUBTOTAL]]-PROVEEDORES[[#This Row],[descuento sobre subtotal]])</f>
        <v>0</v>
      </c>
      <c r="P2041" s="83">
        <f>+IF(PROVEEDORES[[#This Row],[SUBTOTAL]]&lt;PROVEEDORES[[#This Row],[base retencion]],0,PROVEEDORES[[#This Row],[retención aplicada]])</f>
        <v>0</v>
      </c>
      <c r="Q2041" s="22">
        <f>+PROVEEDORES[[#This Row],[Rete Fuente %]]*(PROVEEDORES[[#This Row],[SUBTOTAL]]-PROVEEDORES[[#This Row],[descuento sobre subtotal]])</f>
        <v>0</v>
      </c>
      <c r="R2041" s="21">
        <f>+PROVEEDORES[[#This Row],[SUBTOTAL]]+PROVEEDORES[[#This Row],[IVA 19%]]-PROVEEDORES[[#This Row],[descuento sobre subtotal]]-PROVEEDORES[[#This Row],[Descuento sobre subtotal $2]]-PROVEEDORES[[#This Row],[Rete Fuente $]]</f>
        <v>10476821.880000001</v>
      </c>
      <c r="S204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1" s="68">
        <f ca="1">IF(PROVEEDORES[[#This Row],[FECHA DE PAGO]]=0,TODAY()-PROVEEDORES[[#This Row],[FECHA DE FACTURACIÓN]]-PROVEEDORES[[#This Row],[PLAZO Días]],0)</f>
        <v>0</v>
      </c>
      <c r="U2041" s="96">
        <f>+VLOOKUP(PROVEEDORES[[#This Row],[PROVEEDOR]],Terceros!$A:$D,4,FALSE)</f>
        <v>0</v>
      </c>
      <c r="V2041" s="97">
        <f>+YEAR(PROVEEDORES[[#This Row],[FECHA DE FACTURACIÓN]])</f>
        <v>2021</v>
      </c>
      <c r="W2041" s="97">
        <f>+MATCH(PROVEEDORES[[#This Row],[año facturado]],Retenciones!$1:$1,0)</f>
        <v>4</v>
      </c>
      <c r="X2041" s="98">
        <f>+VLOOKUP(PROVEEDORES[[#This Row],[ID RETENCION]],Retenciones!$A$1:$O$25,PROVEEDORES[[#This Row],[indicador de columna]],FALSE)</f>
        <v>0</v>
      </c>
      <c r="Y2041" s="99">
        <f>+VLOOKUP(PROVEEDORES[[#This Row],[ID RETENCION]],Retenciones!$A$1:$O$25,2,FALSE)</f>
        <v>0</v>
      </c>
      <c r="Z2041" s="125" t="b">
        <f>OR(COUNTIF(PROVEEDORES[[#This Row],[PROVEEDOR]],"*"&amp;'Palabra no opera'!$A$2&amp;"*"))</f>
        <v>0</v>
      </c>
    </row>
    <row r="2042" spans="1:26" ht="22.2" customHeight="1" x14ac:dyDescent="0.3">
      <c r="A2042" s="66" t="str">
        <f>+IF(PROVEEDORES[[#This Row],[FECHA DE PAGO]]=PROVEEDORES[[#This Row],[FECHA DE FACTURACIÓN]],"DE CONTADO","CRÉDITO")</f>
        <v>CRÉDITO</v>
      </c>
      <c r="B2042" s="38" t="b">
        <f>+IF((PROVEEDORES[[#This Row],[FECHA DE PAGO]]-PROVEEDORES[[#This Row],[FECHA DE FACTURACIÓN]])&gt;PROVEEDORES[[#This Row],[PLAZO Días]],"PAGO VENCIDO")</f>
        <v>0</v>
      </c>
      <c r="C2042" s="20">
        <f>+VLOOKUP(PROVEEDORES[[#This Row],[PROVEEDOR]],TERCEROS_INFO[#All],2,FALSE)</f>
        <v>30</v>
      </c>
      <c r="D2042" s="25">
        <f>+SUMIFS(PROVEEDORES[Total],PROVEEDORES[PROVEEDOR],PROVEEDORES[[#This Row],[PROVEEDOR]],PROVEEDORES[FECHA DE PAGO],"")</f>
        <v>0</v>
      </c>
      <c r="E2042" s="25"/>
      <c r="F2042" s="58" t="str">
        <f>+VLOOKUP(PROVEEDORES[[#This Row],[PROVEEDOR]],
                       Terceros!$A:$F,
                       5,
                       FALSE)</f>
        <v/>
      </c>
      <c r="G2042" s="161">
        <v>44643</v>
      </c>
      <c r="H2042" s="26" t="s">
        <v>55</v>
      </c>
      <c r="I2042" s="161">
        <v>44641</v>
      </c>
      <c r="J2042" s="35">
        <v>56143</v>
      </c>
      <c r="K2042" s="21">
        <v>10531000</v>
      </c>
      <c r="L2042" s="21"/>
      <c r="M2042" s="22">
        <f>(PROVEEDORES[[#This Row],[SUBTOTAL]]-PROVEEDORES[[#This Row],[descuento sobre subtotal]])*VLOOKUP(PROVEEDORES[[#This Row],[PROVEEDOR]],TERCEROS_INFO[#All],3,FALSE)</f>
        <v>0</v>
      </c>
      <c r="N2042" s="23"/>
      <c r="O2042" s="22">
        <f>+PROVEEDORES[[#This Row],[Descuento sobre subtotal %]]*(PROVEEDORES[[#This Row],[SUBTOTAL]]-PROVEEDORES[[#This Row],[descuento sobre subtotal]])</f>
        <v>0</v>
      </c>
      <c r="P2042" s="83">
        <f>+IF(PROVEEDORES[[#This Row],[SUBTOTAL]]&lt;PROVEEDORES[[#This Row],[base retencion]],0,PROVEEDORES[[#This Row],[retención aplicada]])</f>
        <v>0</v>
      </c>
      <c r="Q2042" s="22">
        <f>+PROVEEDORES[[#This Row],[Rete Fuente %]]*(PROVEEDORES[[#This Row],[SUBTOTAL]]-PROVEEDORES[[#This Row],[descuento sobre subtotal]])</f>
        <v>0</v>
      </c>
      <c r="R2042" s="21">
        <v>10531000</v>
      </c>
      <c r="S204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2" s="68">
        <f ca="1">IF(PROVEEDORES[[#This Row],[FECHA DE PAGO]]=0,TODAY()-PROVEEDORES[[#This Row],[FECHA DE FACTURACIÓN]]-PROVEEDORES[[#This Row],[PLAZO Días]],0)</f>
        <v>0</v>
      </c>
      <c r="U2042" s="96">
        <f>+VLOOKUP(PROVEEDORES[[#This Row],[PROVEEDOR]],Terceros!$A:$D,4,FALSE)</f>
        <v>0</v>
      </c>
      <c r="V2042" s="97">
        <f>+YEAR(PROVEEDORES[[#This Row],[FECHA DE FACTURACIÓN]])</f>
        <v>2022</v>
      </c>
      <c r="W2042" s="97">
        <f>+MATCH(PROVEEDORES[[#This Row],[año facturado]],Retenciones!$1:$1,0)</f>
        <v>5</v>
      </c>
      <c r="X2042" s="98">
        <f>+VLOOKUP(PROVEEDORES[[#This Row],[ID RETENCION]],Retenciones!$A$1:$O$25,PROVEEDORES[[#This Row],[indicador de columna]],FALSE)</f>
        <v>0</v>
      </c>
      <c r="Y2042" s="99">
        <f>+VLOOKUP(PROVEEDORES[[#This Row],[ID RETENCION]],Retenciones!$A$1:$O$25,2,FALSE)</f>
        <v>0</v>
      </c>
      <c r="Z2042" s="125" t="b">
        <f>OR(COUNTIF(PROVEEDORES[[#This Row],[PROVEEDOR]],"*"&amp;'Palabra no opera'!$A$2&amp;"*"))</f>
        <v>0</v>
      </c>
    </row>
    <row r="2043" spans="1:26" ht="22.2" customHeight="1" x14ac:dyDescent="0.3">
      <c r="A2043" s="72" t="str">
        <f>+IF(PROVEEDORES[[#This Row],[FECHA DE PAGO]]=PROVEEDORES[[#This Row],[FECHA DE FACTURACIÓN]],"DE CONTADO","CRÉDITO")</f>
        <v>CRÉDITO</v>
      </c>
      <c r="B2043" s="38" t="b">
        <f>+IF((PROVEEDORES[[#This Row],[FECHA DE PAGO]]-PROVEEDORES[[#This Row],[FECHA DE FACTURACIÓN]])&gt;PROVEEDORES[[#This Row],[PLAZO Días]],"PAGO VENCIDO")</f>
        <v>0</v>
      </c>
      <c r="C2043" s="20">
        <f>+VLOOKUP(PROVEEDORES[[#This Row],[PROVEEDOR]],TERCEROS_INFO[#All],2,FALSE)</f>
        <v>10</v>
      </c>
      <c r="D2043" s="25">
        <f>+SUMIFS(PROVEEDORES[Total],PROVEEDORES[PROVEEDOR],PROVEEDORES[[#This Row],[PROVEEDOR]],PROVEEDORES[FECHA DE PAGO],"")</f>
        <v>0</v>
      </c>
      <c r="E2043" s="25"/>
      <c r="F2043" s="58" t="str">
        <f>+VLOOKUP(PROVEEDORES[[#This Row],[PROVEEDOR]],
                       Terceros!$A:$F,
                       5,
                       FALSE)</f>
        <v>logistic@grupozambrano.com;info@servipilas.com;girlesa.ruiz@servipilas.com;joriescobar64@gmail.com</v>
      </c>
      <c r="G2043" s="161">
        <v>44809</v>
      </c>
      <c r="H2043" s="26" t="s">
        <v>1641</v>
      </c>
      <c r="I2043" s="161">
        <v>44805</v>
      </c>
      <c r="J2043" s="35" t="s">
        <v>1643</v>
      </c>
      <c r="K2043" s="21">
        <v>10543092</v>
      </c>
      <c r="L2043" s="21"/>
      <c r="M2043" s="22">
        <v>0</v>
      </c>
      <c r="N2043" s="23"/>
      <c r="O2043" s="22">
        <f>+PROVEEDORES[[#This Row],[Descuento sobre subtotal %]]*(PROVEEDORES[[#This Row],[SUBTOTAL]]-PROVEEDORES[[#This Row],[descuento sobre subtotal]])</f>
        <v>0</v>
      </c>
      <c r="P2043" s="83">
        <v>0</v>
      </c>
      <c r="Q2043" s="22">
        <f>+PROVEEDORES[[#This Row],[Rete Fuente %]]*(PROVEEDORES[[#This Row],[SUBTOTAL]]-PROVEEDORES[[#This Row],[descuento sobre subtotal]])</f>
        <v>0</v>
      </c>
      <c r="R2043" s="21">
        <f>+PROVEEDORES[[#This Row],[SUBTOTAL]]+PROVEEDORES[[#This Row],[IVA 19%]]-PROVEEDORES[[#This Row],[descuento sobre subtotal]]-PROVEEDORES[[#This Row],[Descuento sobre subtotal $2]]-PROVEEDORES[[#This Row],[Rete Fuente $]]</f>
        <v>10543092</v>
      </c>
      <c r="S2043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3" s="68">
        <f ca="1">IF(PROVEEDORES[[#This Row],[FECHA DE PAGO]]=0,TODAY()-PROVEEDORES[[#This Row],[FECHA DE FACTURACIÓN]]-PROVEEDORES[[#This Row],[PLAZO Días]],0)</f>
        <v>0</v>
      </c>
      <c r="U2043" s="113" t="str">
        <f>+VLOOKUP(PROVEEDORES[[#This Row],[PROVEEDOR]],Terceros!$A:$D,4,FALSE)</f>
        <v>2,5% con base</v>
      </c>
      <c r="V2043" s="114">
        <f>+YEAR(PROVEEDORES[[#This Row],[FECHA DE FACTURACIÓN]])</f>
        <v>2022</v>
      </c>
      <c r="W2043" s="114">
        <f>+MATCH(PROVEEDORES[[#This Row],[año facturado]],Retenciones!$1:$1,0)</f>
        <v>5</v>
      </c>
      <c r="X2043" s="115">
        <f>+VLOOKUP(PROVEEDORES[[#This Row],[ID RETENCION]],Retenciones!$A$1:$O$25,PROVEEDORES[[#This Row],[indicador de columna]],FALSE)</f>
        <v>1026000</v>
      </c>
      <c r="Y2043" s="116">
        <f>+VLOOKUP(PROVEEDORES[[#This Row],[ID RETENCION]],Retenciones!$A$1:$O$25,2,FALSE)</f>
        <v>2.5000000000000001E-2</v>
      </c>
      <c r="Z2043" s="125" t="b">
        <f>OR(COUNTIF(PROVEEDORES[[#This Row],[PROVEEDOR]],"*"&amp;'Palabra no opera'!$A$2&amp;"*"))</f>
        <v>0</v>
      </c>
    </row>
    <row r="2044" spans="1:26" ht="22.2" customHeight="1" x14ac:dyDescent="0.3">
      <c r="A2044" s="66" t="str">
        <f>+IF(PROVEEDORES[[#This Row],[FECHA DE PAGO]]=PROVEEDORES[[#This Row],[FECHA DE FACTURACIÓN]],"DE CONTADO","CRÉDITO")</f>
        <v>CRÉDITO</v>
      </c>
      <c r="B2044" s="38" t="str">
        <f>+IF((PROVEEDORES[[#This Row],[FECHA DE PAGO]]-PROVEEDORES[[#This Row],[FECHA DE FACTURACIÓN]])&gt;PROVEEDORES[[#This Row],[PLAZO Días]],"PAGO VENCIDO")</f>
        <v>PAGO VENCIDO</v>
      </c>
      <c r="C2044" s="20">
        <f>+VLOOKUP(PROVEEDORES[[#This Row],[PROVEEDOR]],TERCEROS_INFO[#All],2,FALSE)</f>
        <v>45</v>
      </c>
      <c r="D2044" s="25">
        <f>+SUMIFS(PROVEEDORES[Total],PROVEEDORES[PROVEEDOR],PROVEEDORES[[#This Row],[PROVEEDOR]],PROVEEDORES[FECHA DE PAGO],"")</f>
        <v>2604910</v>
      </c>
      <c r="E2044" s="25"/>
      <c r="F204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44" s="161">
        <v>44552</v>
      </c>
      <c r="H2044" s="26" t="s">
        <v>10</v>
      </c>
      <c r="I2044" s="161">
        <v>44503</v>
      </c>
      <c r="J2044" s="35" t="s">
        <v>524</v>
      </c>
      <c r="K2044" s="21">
        <v>8899600</v>
      </c>
      <c r="L2044" s="21"/>
      <c r="M2044" s="22">
        <f>(PROVEEDORES[[#This Row],[SUBTOTAL]]-PROVEEDORES[[#This Row],[descuento sobre subtotal]])*VLOOKUP(PROVEEDORES[[#This Row],[PROVEEDOR]],TERCEROS_INFO[#All],3,FALSE)</f>
        <v>1690924</v>
      </c>
      <c r="N2044" s="23"/>
      <c r="O2044" s="22">
        <f>+PROVEEDORES[[#This Row],[Descuento sobre subtotal %]]*(PROVEEDORES[[#This Row],[SUBTOTAL]]-PROVEEDORES[[#This Row],[descuento sobre subtotal]])</f>
        <v>0</v>
      </c>
      <c r="P2044" s="83">
        <f>+IF(PROVEEDORES[[#This Row],[SUBTOTAL]]&lt;PROVEEDORES[[#This Row],[base retencion]],0,PROVEEDORES[[#This Row],[retención aplicada]])</f>
        <v>0</v>
      </c>
      <c r="Q2044" s="22">
        <f>+PROVEEDORES[[#This Row],[Rete Fuente %]]*(PROVEEDORES[[#This Row],[SUBTOTAL]]-PROVEEDORES[[#This Row],[descuento sobre subtotal]])</f>
        <v>0</v>
      </c>
      <c r="R2044" s="21">
        <f>+PROVEEDORES[[#This Row],[SUBTOTAL]]+PROVEEDORES[[#This Row],[IVA 19%]]-PROVEEDORES[[#This Row],[descuento sobre subtotal]]-PROVEEDORES[[#This Row],[Descuento sobre subtotal $2]]-PROVEEDORES[[#This Row],[Rete Fuente $]]</f>
        <v>10590524</v>
      </c>
      <c r="S204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4" s="68">
        <f ca="1">IF(PROVEEDORES[[#This Row],[FECHA DE PAGO]]=0,TODAY()-PROVEEDORES[[#This Row],[FECHA DE FACTURACIÓN]]-PROVEEDORES[[#This Row],[PLAZO Días]],0)</f>
        <v>0</v>
      </c>
      <c r="U2044" s="96">
        <f>+VLOOKUP(PROVEEDORES[[#This Row],[PROVEEDOR]],Terceros!$A:$D,4,FALSE)</f>
        <v>0</v>
      </c>
      <c r="V2044" s="97">
        <f>+YEAR(PROVEEDORES[[#This Row],[FECHA DE FACTURACIÓN]])</f>
        <v>2021</v>
      </c>
      <c r="W2044" s="97">
        <f>+MATCH(PROVEEDORES[[#This Row],[año facturado]],Retenciones!$1:$1,0)</f>
        <v>4</v>
      </c>
      <c r="X2044" s="98">
        <f>+VLOOKUP(PROVEEDORES[[#This Row],[ID RETENCION]],Retenciones!$A$1:$O$25,PROVEEDORES[[#This Row],[indicador de columna]],FALSE)</f>
        <v>0</v>
      </c>
      <c r="Y2044" s="99">
        <f>+VLOOKUP(PROVEEDORES[[#This Row],[ID RETENCION]],Retenciones!$A$1:$O$25,2,FALSE)</f>
        <v>0</v>
      </c>
      <c r="Z2044" s="125" t="b">
        <f>OR(COUNTIF(PROVEEDORES[[#This Row],[PROVEEDOR]],"*"&amp;'Palabra no opera'!$A$2&amp;"*"))</f>
        <v>0</v>
      </c>
    </row>
    <row r="2045" spans="1:26" ht="22.2" customHeight="1" x14ac:dyDescent="0.3">
      <c r="A2045" s="66" t="str">
        <f>+IF(PROVEEDORES[[#This Row],[FECHA DE PAGO]]=PROVEEDORES[[#This Row],[FECHA DE FACTURACIÓN]],"DE CONTADO","CRÉDITO")</f>
        <v>CRÉDITO</v>
      </c>
      <c r="B2045" s="38" t="str">
        <f>+IF((PROVEEDORES[[#This Row],[FECHA DE PAGO]]-PROVEEDORES[[#This Row],[FECHA DE FACTURACIÓN]])&gt;PROVEEDORES[[#This Row],[PLAZO Días]],"PAGO VENCIDO")</f>
        <v>PAGO VENCIDO</v>
      </c>
      <c r="C2045" s="20">
        <f>+VLOOKUP(PROVEEDORES[[#This Row],[PROVEEDOR]],TERCEROS_INFO[#All],2,FALSE)</f>
        <v>30</v>
      </c>
      <c r="D2045" s="25">
        <f>+SUMIFS(PROVEEDORES[Total],PROVEEDORES[PROVEEDOR],PROVEEDORES[[#This Row],[PROVEEDOR]],PROVEEDORES[FECHA DE PAGO],"")</f>
        <v>0</v>
      </c>
      <c r="E2045" s="25"/>
      <c r="F2045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045" s="161">
        <v>44600</v>
      </c>
      <c r="H2045" s="26" t="s">
        <v>33</v>
      </c>
      <c r="I2045" s="161">
        <v>44527</v>
      </c>
      <c r="J2045" s="35">
        <v>1728</v>
      </c>
      <c r="K2045" s="21">
        <v>9365300</v>
      </c>
      <c r="L2045" s="21"/>
      <c r="M2045" s="22">
        <f>(PROVEEDORES[[#This Row],[SUBTOTAL]]-PROVEEDORES[[#This Row],[descuento sobre subtotal]])*VLOOKUP(PROVEEDORES[[#This Row],[PROVEEDOR]],TERCEROS_INFO[#All],3,FALSE)</f>
        <v>1779407</v>
      </c>
      <c r="N2045" s="23"/>
      <c r="O2045" s="22">
        <f>+PROVEEDORES[[#This Row],[Descuento sobre subtotal %]]*(PROVEEDORES[[#This Row],[SUBTOTAL]]-PROVEEDORES[[#This Row],[descuento sobre subtotal]])</f>
        <v>0</v>
      </c>
      <c r="P2045" s="83">
        <f>+IF(PROVEEDORES[[#This Row],[SUBTOTAL]]&lt;PROVEEDORES[[#This Row],[base retencion]],0,PROVEEDORES[[#This Row],[retención aplicada]])</f>
        <v>2.5000000000000001E-2</v>
      </c>
      <c r="Q2045" s="22">
        <f>+PROVEEDORES[[#This Row],[Rete Fuente %]]*(PROVEEDORES[[#This Row],[SUBTOTAL]]-PROVEEDORES[[#This Row],[descuento sobre subtotal]])</f>
        <v>234132.5</v>
      </c>
      <c r="R2045" s="21">
        <v>10910574.5</v>
      </c>
      <c r="S204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5" s="68">
        <f ca="1">IF(PROVEEDORES[[#This Row],[FECHA DE PAGO]]=0,TODAY()-PROVEEDORES[[#This Row],[FECHA DE FACTURACIÓN]]-PROVEEDORES[[#This Row],[PLAZO Días]],0)</f>
        <v>0</v>
      </c>
      <c r="U2045" s="96" t="str">
        <f>+VLOOKUP(PROVEEDORES[[#This Row],[PROVEEDOR]],Terceros!$A:$D,4,FALSE)</f>
        <v>2,5% con base</v>
      </c>
      <c r="V2045" s="97">
        <f>+YEAR(PROVEEDORES[[#This Row],[FECHA DE FACTURACIÓN]])</f>
        <v>2021</v>
      </c>
      <c r="W2045" s="97">
        <f>+MATCH(PROVEEDORES[[#This Row],[año facturado]],Retenciones!$1:$1,0)</f>
        <v>4</v>
      </c>
      <c r="X2045" s="98">
        <f>+VLOOKUP(PROVEEDORES[[#This Row],[ID RETENCION]],Retenciones!$A$1:$O$25,PROVEEDORES[[#This Row],[indicador de columna]],FALSE)</f>
        <v>980000</v>
      </c>
      <c r="Y2045" s="99">
        <f>+VLOOKUP(PROVEEDORES[[#This Row],[ID RETENCION]],Retenciones!$A$1:$O$25,2,FALSE)</f>
        <v>2.5000000000000001E-2</v>
      </c>
      <c r="Z2045" s="125" t="b">
        <f>OR(COUNTIF(PROVEEDORES[[#This Row],[PROVEEDOR]],"*"&amp;'Palabra no opera'!$A$2&amp;"*"))</f>
        <v>0</v>
      </c>
    </row>
    <row r="2046" spans="1:26" ht="22.2" customHeight="1" x14ac:dyDescent="0.3">
      <c r="A2046" s="157" t="str">
        <f>+IF(PROVEEDORES[[#This Row],[FECHA DE PAGO]]=PROVEEDORES[[#This Row],[FECHA DE FACTURACIÓN]],"DE CONTADO","CRÉDITO")</f>
        <v>CRÉDITO</v>
      </c>
      <c r="B2046" s="38" t="b">
        <f>+IF((PROVEEDORES[[#This Row],[FECHA DE PAGO]]-PROVEEDORES[[#This Row],[FECHA DE FACTURACIÓN]])&gt;PROVEEDORES[[#This Row],[PLAZO Días]],"PAGO VENCIDO")</f>
        <v>0</v>
      </c>
      <c r="C2046" s="20">
        <f>+VLOOKUP(PROVEEDORES[[#This Row],[PROVEEDOR]],TERCEROS_INFO[#All],2,FALSE)</f>
        <v>10</v>
      </c>
      <c r="D2046" s="25">
        <f>+SUMIFS(PROVEEDORES[Total],PROVEEDORES[PROVEEDOR],PROVEEDORES[[#This Row],[PROVEEDOR]],PROVEEDORES[FECHA DE PAGO],"")</f>
        <v>0</v>
      </c>
      <c r="E2046" s="25"/>
      <c r="F2046" s="58" t="str">
        <f>+VLOOKUP(PROVEEDORES[[#This Row],[PROVEEDOR]],
                       Terceros!$A:$F,
                       5,
                       FALSE)</f>
        <v/>
      </c>
      <c r="G2046" s="161">
        <v>44714</v>
      </c>
      <c r="H2046" s="26" t="s">
        <v>23</v>
      </c>
      <c r="I2046" s="161">
        <v>44713</v>
      </c>
      <c r="J2046" s="35">
        <v>291706</v>
      </c>
      <c r="K2046" s="21">
        <v>11058911.52</v>
      </c>
      <c r="L2046" s="21"/>
      <c r="M2046" s="22">
        <f>(PROVEEDORES[[#This Row],[SUBTOTAL]]-PROVEEDORES[[#This Row],[descuento sobre subtotal]])*VLOOKUP(PROVEEDORES[[#This Row],[PROVEEDOR]],TERCEROS_INFO[#All],3,FALSE)</f>
        <v>0</v>
      </c>
      <c r="N2046" s="23"/>
      <c r="O2046" s="22">
        <f>+PROVEEDORES[[#This Row],[Descuento sobre subtotal %]]*(PROVEEDORES[[#This Row],[SUBTOTAL]]-PROVEEDORES[[#This Row],[descuento sobre subtotal]])</f>
        <v>0</v>
      </c>
      <c r="P2046" s="83">
        <f>+IF(PROVEEDORES[[#This Row],[SUBTOTAL]]&lt;PROVEEDORES[[#This Row],[base retencion]],0,PROVEEDORES[[#This Row],[retención aplicada]])</f>
        <v>0</v>
      </c>
      <c r="Q2046" s="22">
        <f>+PROVEEDORES[[#This Row],[Rete Fuente %]]*(PROVEEDORES[[#This Row],[SUBTOTAL]]-PROVEEDORES[[#This Row],[descuento sobre subtotal]])</f>
        <v>0</v>
      </c>
      <c r="R2046" s="21">
        <f>+PROVEEDORES[[#This Row],[SUBTOTAL]]+PROVEEDORES[[#This Row],[IVA 19%]]-PROVEEDORES[[#This Row],[descuento sobre subtotal]]-PROVEEDORES[[#This Row],[Descuento sobre subtotal $2]]-PROVEEDORES[[#This Row],[Rete Fuente $]]</f>
        <v>11058911.52</v>
      </c>
      <c r="S2046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6" s="68">
        <f ca="1">IF(PROVEEDORES[[#This Row],[FECHA DE PAGO]]=0,TODAY()-PROVEEDORES[[#This Row],[FECHA DE FACTURACIÓN]]-PROVEEDORES[[#This Row],[PLAZO Días]],0)</f>
        <v>0</v>
      </c>
      <c r="U2046" s="113">
        <f>+VLOOKUP(PROVEEDORES[[#This Row],[PROVEEDOR]],Terceros!$A:$D,4,FALSE)</f>
        <v>0</v>
      </c>
      <c r="V2046" s="114">
        <f>+YEAR(PROVEEDORES[[#This Row],[FECHA DE FACTURACIÓN]])</f>
        <v>2022</v>
      </c>
      <c r="W2046" s="114">
        <f>+MATCH(PROVEEDORES[[#This Row],[año facturado]],Retenciones!$1:$1,0)</f>
        <v>5</v>
      </c>
      <c r="X2046" s="115">
        <f>+VLOOKUP(PROVEEDORES[[#This Row],[ID RETENCION]],Retenciones!$A$1:$O$25,PROVEEDORES[[#This Row],[indicador de columna]],FALSE)</f>
        <v>0</v>
      </c>
      <c r="Y2046" s="116">
        <f>+VLOOKUP(PROVEEDORES[[#This Row],[ID RETENCION]],Retenciones!$A$1:$O$25,2,FALSE)</f>
        <v>0</v>
      </c>
      <c r="Z2046" s="125" t="b">
        <f>OR(COUNTIF(PROVEEDORES[[#This Row],[PROVEEDOR]],"*"&amp;'Palabra no opera'!$A$2&amp;"*"))</f>
        <v>0</v>
      </c>
    </row>
    <row r="2047" spans="1:26" ht="22.2" customHeight="1" x14ac:dyDescent="0.3">
      <c r="A2047" s="72" t="str">
        <f>+IF(PROVEEDORES[[#This Row],[FECHA DE PAGO]]=PROVEEDORES[[#This Row],[FECHA DE FACTURACIÓN]],"DE CONTADO","CRÉDITO")</f>
        <v>CRÉDITO</v>
      </c>
      <c r="B2047" s="38" t="b">
        <f>+IF((PROVEEDORES[[#This Row],[FECHA DE PAGO]]-PROVEEDORES[[#This Row],[FECHA DE FACTURACIÓN]])&gt;PROVEEDORES[[#This Row],[PLAZO Días]],"PAGO VENCIDO")</f>
        <v>0</v>
      </c>
      <c r="C2047" s="20">
        <f>+VLOOKUP(PROVEEDORES[[#This Row],[PROVEEDOR]],TERCEROS_INFO[#All],2,FALSE)</f>
        <v>90</v>
      </c>
      <c r="D2047" s="25">
        <f>+SUMIFS(PROVEEDORES[Total],PROVEEDORES[PROVEEDOR],PROVEEDORES[[#This Row],[PROVEEDOR]],PROVEEDORES[FECHA DE PAGO],"")</f>
        <v>75241004.385000005</v>
      </c>
      <c r="E2047" s="25"/>
      <c r="F204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47" s="26" t="s">
        <v>77</v>
      </c>
      <c r="I2047" s="161">
        <v>44809</v>
      </c>
      <c r="J2047" s="35" t="s">
        <v>1764</v>
      </c>
      <c r="K2047" s="21">
        <v>9538645</v>
      </c>
      <c r="L2047" s="21"/>
      <c r="M2047" s="22">
        <f>(PROVEEDORES[[#This Row],[SUBTOTAL]]-PROVEEDORES[[#This Row],[descuento sobre subtotal]])*VLOOKUP(PROVEEDORES[[#This Row],[PROVEEDOR]],TERCEROS_INFO[#All],3,FALSE)</f>
        <v>1812342.55</v>
      </c>
      <c r="N2047" s="23"/>
      <c r="O2047" s="22">
        <f>+PROVEEDORES[[#This Row],[Descuento sobre subtotal %]]*(PROVEEDORES[[#This Row],[SUBTOTAL]]-PROVEEDORES[[#This Row],[descuento sobre subtotal]])</f>
        <v>0</v>
      </c>
      <c r="P2047" s="83">
        <f>+IF(PROVEEDORES[[#This Row],[SUBTOTAL]]&lt;PROVEEDORES[[#This Row],[base retencion]],0,PROVEEDORES[[#This Row],[retención aplicada]])</f>
        <v>2.5000000000000001E-2</v>
      </c>
      <c r="Q2047" s="22">
        <f>+PROVEEDORES[[#This Row],[Rete Fuente %]]*(PROVEEDORES[[#This Row],[SUBTOTAL]]-PROVEEDORES[[#This Row],[descuento sobre subtotal]])</f>
        <v>238466.125</v>
      </c>
      <c r="R2047" s="21">
        <f>+PROVEEDORES[[#This Row],[SUBTOTAL]]+PROVEEDORES[[#This Row],[IVA 19%]]-PROVEEDORES[[#This Row],[descuento sobre subtotal]]-PROVEEDORES[[#This Row],[Descuento sobre subtotal $2]]-PROVEEDORES[[#This Row],[Rete Fuente $]]</f>
        <v>11112521.425000001</v>
      </c>
      <c r="S2047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47" s="68">
        <f ca="1">IF(PROVEEDORES[[#This Row],[FECHA DE PAGO]]=0,TODAY()-PROVEEDORES[[#This Row],[FECHA DE FACTURACIÓN]]-PROVEEDORES[[#This Row],[PLAZO Días]],0)</f>
        <v>-24</v>
      </c>
      <c r="U2047" s="113" t="str">
        <f>+VLOOKUP(PROVEEDORES[[#This Row],[PROVEEDOR]],Terceros!$A:$D,4,FALSE)</f>
        <v>2,5% con base</v>
      </c>
      <c r="V2047" s="114">
        <f>+YEAR(PROVEEDORES[[#This Row],[FECHA DE FACTURACIÓN]])</f>
        <v>2022</v>
      </c>
      <c r="W2047" s="114">
        <f>+MATCH(PROVEEDORES[[#This Row],[año facturado]],Retenciones!$1:$1,0)</f>
        <v>5</v>
      </c>
      <c r="X2047" s="115">
        <f>+VLOOKUP(PROVEEDORES[[#This Row],[ID RETENCION]],Retenciones!$A$1:$O$25,PROVEEDORES[[#This Row],[indicador de columna]],FALSE)</f>
        <v>1026000</v>
      </c>
      <c r="Y2047" s="116">
        <f>+VLOOKUP(PROVEEDORES[[#This Row],[ID RETENCION]],Retenciones!$A$1:$O$25,2,FALSE)</f>
        <v>2.5000000000000001E-2</v>
      </c>
      <c r="Z2047" s="125" t="b">
        <f>OR(COUNTIF(PROVEEDORES[[#This Row],[PROVEEDOR]],"*"&amp;'Palabra no opera'!$A$2&amp;"*"))</f>
        <v>0</v>
      </c>
    </row>
    <row r="2048" spans="1:26" ht="22.2" customHeight="1" x14ac:dyDescent="0.3">
      <c r="A2048" s="66" t="str">
        <f>+IF(PROVEEDORES[[#This Row],[FECHA DE PAGO]]=PROVEEDORES[[#This Row],[FECHA DE FACTURACIÓN]],"DE CONTADO","CRÉDITO")</f>
        <v>CRÉDITO</v>
      </c>
      <c r="B2048" s="38" t="str">
        <f>+IF((PROVEEDORES[[#This Row],[FECHA DE PAGO]]-PROVEEDORES[[#This Row],[FECHA DE FACTURACIÓN]])&gt;PROVEEDORES[[#This Row],[PLAZO Días]],"PAGO VENCIDO")</f>
        <v>PAGO VENCIDO</v>
      </c>
      <c r="C2048" s="20">
        <f>+VLOOKUP(PROVEEDORES[[#This Row],[PROVEEDOR]],TERCEROS_INFO[#All],2,FALSE)</f>
        <v>30</v>
      </c>
      <c r="D2048" s="25">
        <f>+SUMIFS(PROVEEDORES[Total],PROVEEDORES[PROVEEDOR],PROVEEDORES[[#This Row],[PROVEEDOR]],PROVEEDORES[FECHA DE PAGO],"")</f>
        <v>3430770</v>
      </c>
      <c r="E2048" s="25"/>
      <c r="F204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48" s="161">
        <v>44426</v>
      </c>
      <c r="H2048" s="26" t="s">
        <v>1448</v>
      </c>
      <c r="I2048" s="161">
        <v>44390</v>
      </c>
      <c r="J2048" s="35">
        <v>19575</v>
      </c>
      <c r="K2048" s="21">
        <v>9750000</v>
      </c>
      <c r="L2048" s="21"/>
      <c r="M2048" s="22">
        <f>(PROVEEDORES[[#This Row],[SUBTOTAL]]-PROVEEDORES[[#This Row],[descuento sobre subtotal]])*VLOOKUP(PROVEEDORES[[#This Row],[PROVEEDOR]],TERCEROS_INFO[#All],3,FALSE)</f>
        <v>1852500</v>
      </c>
      <c r="N2048" s="23"/>
      <c r="O2048" s="22">
        <f>+PROVEEDORES[[#This Row],[Descuento sobre subtotal %]]*(PROVEEDORES[[#This Row],[SUBTOTAL]]-PROVEEDORES[[#This Row],[descuento sobre subtotal]])</f>
        <v>0</v>
      </c>
      <c r="P2048" s="83">
        <v>2.5000000000000001E-2</v>
      </c>
      <c r="Q2048" s="22">
        <f>+PROVEEDORES[[#This Row],[Rete Fuente %]]*(PROVEEDORES[[#This Row],[SUBTOTAL]]-PROVEEDORES[[#This Row],[descuento sobre subtotal]])</f>
        <v>243750</v>
      </c>
      <c r="R2048" s="21">
        <f>+PROVEEDORES[[#This Row],[SUBTOTAL]]+PROVEEDORES[[#This Row],[IVA 19%]]-PROVEEDORES[[#This Row],[descuento sobre subtotal]]-PROVEEDORES[[#This Row],[Descuento sobre subtotal $2]]-PROVEEDORES[[#This Row],[Rete Fuente $]]</f>
        <v>11358750</v>
      </c>
      <c r="S204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8" s="68">
        <f ca="1">IF(PROVEEDORES[[#This Row],[FECHA DE PAGO]]=0,TODAY()-PROVEEDORES[[#This Row],[FECHA DE FACTURACIÓN]]-PROVEEDORES[[#This Row],[PLAZO Días]],0)</f>
        <v>0</v>
      </c>
      <c r="U2048" s="96">
        <f>+VLOOKUP(PROVEEDORES[[#This Row],[PROVEEDOR]],Terceros!$A:$D,4,FALSE)</f>
        <v>0</v>
      </c>
      <c r="V2048" s="97">
        <f>+YEAR(PROVEEDORES[[#This Row],[FECHA DE FACTURACIÓN]])</f>
        <v>2021</v>
      </c>
      <c r="W2048" s="97">
        <f>+MATCH(PROVEEDORES[[#This Row],[año facturado]],Retenciones!$1:$1,0)</f>
        <v>4</v>
      </c>
      <c r="X2048" s="98">
        <f>+VLOOKUP(PROVEEDORES[[#This Row],[ID RETENCION]],Retenciones!$A$1:$O$25,PROVEEDORES[[#This Row],[indicador de columna]],FALSE)</f>
        <v>0</v>
      </c>
      <c r="Y2048" s="99">
        <f>+VLOOKUP(PROVEEDORES[[#This Row],[ID RETENCION]],Retenciones!$A$1:$O$25,2,FALSE)</f>
        <v>0</v>
      </c>
      <c r="Z2048" s="125" t="b">
        <f>OR(COUNTIF(PROVEEDORES[[#This Row],[PROVEEDOR]],"*"&amp;'Palabra no opera'!$A$2&amp;"*"))</f>
        <v>0</v>
      </c>
    </row>
    <row r="2049" spans="1:26" ht="22.2" customHeight="1" x14ac:dyDescent="0.3">
      <c r="A2049" s="66" t="str">
        <f>+IF(PROVEEDORES[[#This Row],[FECHA DE PAGO]]=PROVEEDORES[[#This Row],[FECHA DE FACTURACIÓN]],"DE CONTADO","CRÉDITO")</f>
        <v>CRÉDITO</v>
      </c>
      <c r="B2049" s="38" t="b">
        <f>+IF((PROVEEDORES[[#This Row],[FECHA DE PAGO]]-PROVEEDORES[[#This Row],[FECHA DE FACTURACIÓN]])&gt;PROVEEDORES[[#This Row],[PLAZO Días]],"PAGO VENCIDO")</f>
        <v>0</v>
      </c>
      <c r="C2049" s="20">
        <f>+VLOOKUP(PROVEEDORES[[#This Row],[PROVEEDOR]],TERCEROS_INFO[#All],2,FALSE)</f>
        <v>20</v>
      </c>
      <c r="D2049" s="25">
        <f>+SUMIFS(PROVEEDORES[Total],PROVEEDORES[PROVEEDOR],PROVEEDORES[[#This Row],[PROVEEDOR]],PROVEEDORES[FECHA DE PAGO],"")</f>
        <v>0</v>
      </c>
      <c r="E2049" s="25"/>
      <c r="F2049" s="58" t="str">
        <f>+VLOOKUP(PROVEEDORES[[#This Row],[PROVEEDOR]],
                       Terceros!$A:$F,
                       5,
                       FALSE)</f>
        <v>alexenriquez73.ae@gmail.com;girlesa.ruiz@servipilas.com;joriescobar64@gmail.com;info@servipilas.com</v>
      </c>
      <c r="G2049" s="161">
        <v>44494</v>
      </c>
      <c r="H2049" s="26" t="s">
        <v>497</v>
      </c>
      <c r="I2049" s="161">
        <v>44488</v>
      </c>
      <c r="J2049" s="35" t="s">
        <v>499</v>
      </c>
      <c r="K2049" s="21">
        <v>12000000</v>
      </c>
      <c r="L2049" s="21"/>
      <c r="M2049" s="22">
        <f>(PROVEEDORES[[#This Row],[SUBTOTAL]]-PROVEEDORES[[#This Row],[descuento sobre subtotal]])*VLOOKUP(PROVEEDORES[[#This Row],[PROVEEDOR]],TERCEROS_INFO[#All],3,FALSE)</f>
        <v>0</v>
      </c>
      <c r="N2049" s="23"/>
      <c r="O2049" s="22">
        <f>+PROVEEDORES[[#This Row],[Descuento sobre subtotal %]]*(PROVEEDORES[[#This Row],[SUBTOTAL]]-PROVEEDORES[[#This Row],[descuento sobre subtotal]])</f>
        <v>0</v>
      </c>
      <c r="P2049" s="83">
        <f>+IF(PROVEEDORES[[#This Row],[SUBTOTAL]]&lt;PROVEEDORES[[#This Row],[base retencion]],0,PROVEEDORES[[#This Row],[retención aplicada]])</f>
        <v>0.04</v>
      </c>
      <c r="Q2049" s="22">
        <f>+PROVEEDORES[[#This Row],[Rete Fuente %]]*(PROVEEDORES[[#This Row],[SUBTOTAL]]-PROVEEDORES[[#This Row],[descuento sobre subtotal]])</f>
        <v>480000</v>
      </c>
      <c r="R2049" s="21">
        <f>+PROVEEDORES[[#This Row],[SUBTOTAL]]+PROVEEDORES[[#This Row],[IVA 19%]]-PROVEEDORES[[#This Row],[descuento sobre subtotal]]-PROVEEDORES[[#This Row],[Descuento sobre subtotal $2]]-PROVEEDORES[[#This Row],[Rete Fuente $]]</f>
        <v>11520000</v>
      </c>
      <c r="S204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9" s="68">
        <f ca="1">IF(PROVEEDORES[[#This Row],[FECHA DE PAGO]]=0,TODAY()-PROVEEDORES[[#This Row],[FECHA DE FACTURACIÓN]]-PROVEEDORES[[#This Row],[PLAZO Días]],0)</f>
        <v>0</v>
      </c>
      <c r="U2049" s="96" t="str">
        <f>+VLOOKUP(PROVEEDORES[[#This Row],[PROVEEDOR]],Terceros!$A:$D,4,FALSE)</f>
        <v>4% sin base</v>
      </c>
      <c r="V2049" s="97">
        <f>+YEAR(PROVEEDORES[[#This Row],[FECHA DE FACTURACIÓN]])</f>
        <v>2021</v>
      </c>
      <c r="W2049" s="97">
        <f>+MATCH(PROVEEDORES[[#This Row],[año facturado]],Retenciones!$1:$1,0)</f>
        <v>4</v>
      </c>
      <c r="X2049" s="98">
        <f>+VLOOKUP(PROVEEDORES[[#This Row],[ID RETENCION]],Retenciones!$A$1:$O$25,PROVEEDORES[[#This Row],[indicador de columna]],FALSE)</f>
        <v>0</v>
      </c>
      <c r="Y2049" s="99">
        <f>+VLOOKUP(PROVEEDORES[[#This Row],[ID RETENCION]],Retenciones!$A$1:$O$25,2,FALSE)</f>
        <v>0.04</v>
      </c>
      <c r="Z2049" s="125" t="b">
        <f>OR(COUNTIF(PROVEEDORES[[#This Row],[PROVEEDOR]],"*"&amp;'Palabra no opera'!$A$2&amp;"*"))</f>
        <v>0</v>
      </c>
    </row>
    <row r="2050" spans="1:26" ht="22.2" customHeight="1" x14ac:dyDescent="0.3">
      <c r="A2050" s="207" t="str">
        <f>+IF(PROVEEDORES[[#This Row],[FECHA DE PAGO]]=PROVEEDORES[[#This Row],[FECHA DE FACTURACIÓN]],"DE CONTADO","CRÉDITO")</f>
        <v>CRÉDITO</v>
      </c>
      <c r="B2050" s="38" t="str">
        <f>+IF((PROVEEDORES[[#This Row],[FECHA DE PAGO]]-PROVEEDORES[[#This Row],[FECHA DE FACTURACIÓN]])&gt;PROVEEDORES[[#This Row],[PLAZO Días]],"PAGO VENCIDO")</f>
        <v>PAGO VENCIDO</v>
      </c>
      <c r="C2050" s="20">
        <f>+VLOOKUP(PROVEEDORES[[#This Row],[PROVEEDOR]],TERCEROS_INFO[#All],2,FALSE)</f>
        <v>30</v>
      </c>
      <c r="D2050" s="25">
        <f>+SUMIFS(PROVEEDORES[Total],PROVEEDORES[PROVEEDOR],PROVEEDORES[[#This Row],[PROVEEDOR]],PROVEEDORES[FECHA DE PAGO],"")</f>
        <v>23124164.219999999</v>
      </c>
      <c r="E2050" s="25"/>
      <c r="F205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50" s="161">
        <v>44853</v>
      </c>
      <c r="H2050" s="26" t="s">
        <v>18</v>
      </c>
      <c r="I2050" s="161">
        <v>44799</v>
      </c>
      <c r="J2050" s="35">
        <v>1058365</v>
      </c>
      <c r="K2050" s="21">
        <v>10446232.35</v>
      </c>
      <c r="L2050" s="21"/>
      <c r="M2050" s="22">
        <f>(PROVEEDORES[[#This Row],[SUBTOTAL]]-PROVEEDORES[[#This Row],[descuento sobre subtotal]])*VLOOKUP(PROVEEDORES[[#This Row],[PROVEEDOR]],TERCEROS_INFO[#All],3,FALSE)</f>
        <v>1984784.1465</v>
      </c>
      <c r="N2050" s="23"/>
      <c r="O2050" s="22">
        <f>+PROVEEDORES[[#This Row],[Descuento sobre subtotal %]]*(PROVEEDORES[[#This Row],[SUBTOTAL]]-PROVEEDORES[[#This Row],[descuento sobre subtotal]])</f>
        <v>0</v>
      </c>
      <c r="P2050" s="83">
        <f>+IF(PROVEEDORES[[#This Row],[SUBTOTAL]]&lt;PROVEEDORES[[#This Row],[base retencion]],0,PROVEEDORES[[#This Row],[retención aplicada]])</f>
        <v>2.5000000000000001E-2</v>
      </c>
      <c r="Q2050" s="22">
        <f>+PROVEEDORES[[#This Row],[Rete Fuente %]]*(PROVEEDORES[[#This Row],[SUBTOTAL]]-PROVEEDORES[[#This Row],[descuento sobre subtotal]])</f>
        <v>261155.80875</v>
      </c>
      <c r="R2050" s="21">
        <f>+PROVEEDORES[[#This Row],[SUBTOTAL]]+PROVEEDORES[[#This Row],[IVA 19%]]-PROVEEDORES[[#This Row],[descuento sobre subtotal]]-PROVEEDORES[[#This Row],[Descuento sobre subtotal $2]]-PROVEEDORES[[#This Row],[Rete Fuente $]]</f>
        <v>12169860.687750001</v>
      </c>
      <c r="S205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0" s="68">
        <f ca="1">IF(PROVEEDORES[[#This Row],[FECHA DE PAGO]]=0,TODAY()-PROVEEDORES[[#This Row],[FECHA DE FACTURACIÓN]]-PROVEEDORES[[#This Row],[PLAZO Días]],0)</f>
        <v>0</v>
      </c>
      <c r="U2050" s="113" t="str">
        <f>+VLOOKUP(PROVEEDORES[[#This Row],[PROVEEDOR]],Terceros!$A:$D,4,FALSE)</f>
        <v>2,5% con base</v>
      </c>
      <c r="V2050" s="114">
        <f>+YEAR(PROVEEDORES[[#This Row],[FECHA DE FACTURACIÓN]])</f>
        <v>2022</v>
      </c>
      <c r="W2050" s="114">
        <f>+MATCH(PROVEEDORES[[#This Row],[año facturado]],Retenciones!$1:$1,0)</f>
        <v>5</v>
      </c>
      <c r="X2050" s="115">
        <f>+VLOOKUP(PROVEEDORES[[#This Row],[ID RETENCION]],Retenciones!$A$1:$O$25,PROVEEDORES[[#This Row],[indicador de columna]],FALSE)</f>
        <v>1026000</v>
      </c>
      <c r="Y2050" s="116">
        <f>+VLOOKUP(PROVEEDORES[[#This Row],[ID RETENCION]],Retenciones!$A$1:$O$25,2,FALSE)</f>
        <v>2.5000000000000001E-2</v>
      </c>
      <c r="Z2050" s="125" t="b">
        <f>OR(COUNTIF(PROVEEDORES[[#This Row],[PROVEEDOR]],"*"&amp;'Palabra no opera'!$A$2&amp;"*"))</f>
        <v>0</v>
      </c>
    </row>
    <row r="2051" spans="1:26" ht="22.2" customHeight="1" x14ac:dyDescent="0.3">
      <c r="A2051" s="66" t="str">
        <f>+IF(PROVEEDORES[[#This Row],[FECHA DE PAGO]]=PROVEEDORES[[#This Row],[FECHA DE FACTURACIÓN]],"DE CONTADO","CRÉDITO")</f>
        <v>CRÉDITO</v>
      </c>
      <c r="B2051" s="38" t="str">
        <f>+IF((PROVEEDORES[[#This Row],[FECHA DE PAGO]]-PROVEEDORES[[#This Row],[FECHA DE FACTURACIÓN]])&gt;PROVEEDORES[[#This Row],[PLAZO Días]],"PAGO VENCIDO")</f>
        <v>PAGO VENCIDO</v>
      </c>
      <c r="C2051" s="20">
        <f>+VLOOKUP(PROVEEDORES[[#This Row],[PROVEEDOR]],TERCEROS_INFO[#All],2,FALSE)</f>
        <v>45</v>
      </c>
      <c r="D2051" s="25">
        <f>+SUMIFS(PROVEEDORES[Total],PROVEEDORES[PROVEEDOR],PROVEEDORES[[#This Row],[PROVEEDOR]],PROVEEDORES[FECHA DE PAGO],"")</f>
        <v>31891814.359999999</v>
      </c>
      <c r="E2051" s="25"/>
      <c r="F205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1" s="161">
        <v>44523</v>
      </c>
      <c r="H2051" s="26" t="s">
        <v>19</v>
      </c>
      <c r="I2051" s="161">
        <v>44469</v>
      </c>
      <c r="J2051" s="35" t="s">
        <v>483</v>
      </c>
      <c r="K2051" s="21">
        <v>10316800</v>
      </c>
      <c r="L2051" s="21"/>
      <c r="M2051" s="22">
        <f>(PROVEEDORES[[#This Row],[SUBTOTAL]]-PROVEEDORES[[#This Row],[descuento sobre subtotal]])*VLOOKUP(PROVEEDORES[[#This Row],[PROVEEDOR]],TERCEROS_INFO[#All],3,FALSE)</f>
        <v>1960192</v>
      </c>
      <c r="N2051" s="23"/>
      <c r="O2051" s="22">
        <f>+PROVEEDORES[[#This Row],[Descuento sobre subtotal %]]*(PROVEEDORES[[#This Row],[SUBTOTAL]]-PROVEEDORES[[#This Row],[descuento sobre subtotal]])</f>
        <v>0</v>
      </c>
      <c r="P2051" s="83">
        <f>+IF(PROVEEDORES[[#This Row],[SUBTOTAL]]&lt;PROVEEDORES[[#This Row],[base retencion]],0,PROVEEDORES[[#This Row],[retención aplicada]])</f>
        <v>0</v>
      </c>
      <c r="Q2051" s="22">
        <f>+PROVEEDORES[[#This Row],[Rete Fuente %]]*(PROVEEDORES[[#This Row],[SUBTOTAL]]-PROVEEDORES[[#This Row],[descuento sobre subtotal]])</f>
        <v>0</v>
      </c>
      <c r="R2051" s="21">
        <f>+PROVEEDORES[[#This Row],[SUBTOTAL]]+PROVEEDORES[[#This Row],[IVA 19%]]-PROVEEDORES[[#This Row],[descuento sobre subtotal]]-PROVEEDORES[[#This Row],[Descuento sobre subtotal $2]]-PROVEEDORES[[#This Row],[Rete Fuente $]]</f>
        <v>12276992</v>
      </c>
      <c r="S205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1" s="68">
        <f ca="1">IF(PROVEEDORES[[#This Row],[FECHA DE PAGO]]=0,TODAY()-PROVEEDORES[[#This Row],[FECHA DE FACTURACIÓN]]-PROVEEDORES[[#This Row],[PLAZO Días]],0)</f>
        <v>0</v>
      </c>
      <c r="U2051" s="96">
        <f>+VLOOKUP(PROVEEDORES[[#This Row],[PROVEEDOR]],Terceros!$A:$D,4,FALSE)</f>
        <v>0</v>
      </c>
      <c r="V2051" s="97">
        <f>+YEAR(PROVEEDORES[[#This Row],[FECHA DE FACTURACIÓN]])</f>
        <v>2021</v>
      </c>
      <c r="W2051" s="97">
        <f>+MATCH(PROVEEDORES[[#This Row],[año facturado]],Retenciones!$1:$1,0)</f>
        <v>4</v>
      </c>
      <c r="X2051" s="98">
        <f>+VLOOKUP(PROVEEDORES[[#This Row],[ID RETENCION]],Retenciones!$A$1:$O$25,PROVEEDORES[[#This Row],[indicador de columna]],FALSE)</f>
        <v>0</v>
      </c>
      <c r="Y2051" s="99">
        <f>+VLOOKUP(PROVEEDORES[[#This Row],[ID RETENCION]],Retenciones!$A$1:$O$25,2,FALSE)</f>
        <v>0</v>
      </c>
      <c r="Z2051" s="125" t="b">
        <f>OR(COUNTIF(PROVEEDORES[[#This Row],[PROVEEDOR]],"*"&amp;'Palabra no opera'!$A$2&amp;"*"))</f>
        <v>0</v>
      </c>
    </row>
    <row r="2052" spans="1:26" ht="22.2" customHeight="1" x14ac:dyDescent="0.3">
      <c r="A2052" s="66" t="str">
        <f>+IF(PROVEEDORES[[#This Row],[FECHA DE PAGO]]=PROVEEDORES[[#This Row],[FECHA DE FACTURACIÓN]],"DE CONTADO","CRÉDITO")</f>
        <v>CRÉDITO</v>
      </c>
      <c r="B2052" s="38" t="str">
        <f>+IF((PROVEEDORES[[#This Row],[FECHA DE PAGO]]-PROVEEDORES[[#This Row],[FECHA DE FACTURACIÓN]])&gt;PROVEEDORES[[#This Row],[PLAZO Días]],"PAGO VENCIDO")</f>
        <v>PAGO VENCIDO</v>
      </c>
      <c r="C2052" s="20">
        <f>+VLOOKUP(PROVEEDORES[[#This Row],[PROVEEDOR]],TERCEROS_INFO[#All],2,FALSE)</f>
        <v>45</v>
      </c>
      <c r="D2052" s="25">
        <f>+SUMIFS(PROVEEDORES[Total],PROVEEDORES[PROVEEDOR],PROVEEDORES[[#This Row],[PROVEEDOR]],PROVEEDORES[FECHA DE PAGO],"")</f>
        <v>31891814.359999999</v>
      </c>
      <c r="E2052" s="25"/>
      <c r="F205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2" s="161">
        <v>44491</v>
      </c>
      <c r="H2052" s="26" t="s">
        <v>19</v>
      </c>
      <c r="I2052" s="161">
        <v>44441</v>
      </c>
      <c r="J2052" s="35" t="s">
        <v>462</v>
      </c>
      <c r="K2052" s="21">
        <v>10347345</v>
      </c>
      <c r="L2052" s="21"/>
      <c r="M2052" s="22">
        <f>(PROVEEDORES[[#This Row],[SUBTOTAL]]-PROVEEDORES[[#This Row],[descuento sobre subtotal]])*VLOOKUP(PROVEEDORES[[#This Row],[PROVEEDOR]],TERCEROS_INFO[#All],3,FALSE)</f>
        <v>1965995.55</v>
      </c>
      <c r="N2052" s="23"/>
      <c r="O2052" s="22">
        <f>+PROVEEDORES[[#This Row],[Descuento sobre subtotal %]]*(PROVEEDORES[[#This Row],[SUBTOTAL]]-PROVEEDORES[[#This Row],[descuento sobre subtotal]])</f>
        <v>0</v>
      </c>
      <c r="P2052" s="83">
        <f>+IF(PROVEEDORES[[#This Row],[SUBTOTAL]]&lt;PROVEEDORES[[#This Row],[base retencion]],0,PROVEEDORES[[#This Row],[retención aplicada]])</f>
        <v>0</v>
      </c>
      <c r="Q2052" s="22">
        <f>+PROVEEDORES[[#This Row],[Rete Fuente %]]*(PROVEEDORES[[#This Row],[SUBTOTAL]]-PROVEEDORES[[#This Row],[descuento sobre subtotal]])</f>
        <v>0</v>
      </c>
      <c r="R2052" s="21">
        <f>+PROVEEDORES[[#This Row],[SUBTOTAL]]+PROVEEDORES[[#This Row],[IVA 19%]]-PROVEEDORES[[#This Row],[descuento sobre subtotal]]-PROVEEDORES[[#This Row],[Descuento sobre subtotal $2]]-PROVEEDORES[[#This Row],[Rete Fuente $]]</f>
        <v>12313340.550000001</v>
      </c>
      <c r="S205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2" s="68">
        <f ca="1">IF(PROVEEDORES[[#This Row],[FECHA DE PAGO]]=0,TODAY()-PROVEEDORES[[#This Row],[FECHA DE FACTURACIÓN]]-PROVEEDORES[[#This Row],[PLAZO Días]],0)</f>
        <v>0</v>
      </c>
      <c r="U2052" s="96">
        <f>+VLOOKUP(PROVEEDORES[[#This Row],[PROVEEDOR]],Terceros!$A:$D,4,FALSE)</f>
        <v>0</v>
      </c>
      <c r="V2052" s="97">
        <f>+YEAR(PROVEEDORES[[#This Row],[FECHA DE FACTURACIÓN]])</f>
        <v>2021</v>
      </c>
      <c r="W2052" s="97">
        <f>+MATCH(PROVEEDORES[[#This Row],[año facturado]],Retenciones!$1:$1,0)</f>
        <v>4</v>
      </c>
      <c r="X2052" s="98">
        <f>+VLOOKUP(PROVEEDORES[[#This Row],[ID RETENCION]],Retenciones!$A$1:$O$25,PROVEEDORES[[#This Row],[indicador de columna]],FALSE)</f>
        <v>0</v>
      </c>
      <c r="Y2052" s="99">
        <f>+VLOOKUP(PROVEEDORES[[#This Row],[ID RETENCION]],Retenciones!$A$1:$O$25,2,FALSE)</f>
        <v>0</v>
      </c>
      <c r="Z2052" s="125" t="b">
        <f>OR(COUNTIF(PROVEEDORES[[#This Row],[PROVEEDOR]],"*"&amp;'Palabra no opera'!$A$2&amp;"*"))</f>
        <v>0</v>
      </c>
    </row>
    <row r="2053" spans="1:26" ht="22.2" customHeight="1" x14ac:dyDescent="0.3">
      <c r="A2053" s="72" t="str">
        <f>+IF(PROVEEDORES[[#This Row],[FECHA DE PAGO]]=PROVEEDORES[[#This Row],[FECHA DE FACTURACIÓN]],"DE CONTADO","CRÉDITO")</f>
        <v>CRÉDITO</v>
      </c>
      <c r="B2053" s="38" t="b">
        <f>+IF((PROVEEDORES[[#This Row],[FECHA DE PAGO]]-PROVEEDORES[[#This Row],[FECHA DE FACTURACIÓN]])&gt;PROVEEDORES[[#This Row],[PLAZO Días]],"PAGO VENCIDO")</f>
        <v>0</v>
      </c>
      <c r="C2053" s="20">
        <f>+VLOOKUP(PROVEEDORES[[#This Row],[PROVEEDOR]],TERCEROS_INFO[#All],2,FALSE)</f>
        <v>30</v>
      </c>
      <c r="D2053" s="25">
        <f>+SUMIFS(PROVEEDORES[Total],PROVEEDORES[PROVEEDOR],PROVEEDORES[[#This Row],[PROVEEDOR]],PROVEEDORES[FECHA DE PAGO],"")</f>
        <v>23124164.219999999</v>
      </c>
      <c r="E2053" s="25"/>
      <c r="F205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053" s="26" t="s">
        <v>18</v>
      </c>
      <c r="I2053" s="161">
        <v>44860</v>
      </c>
      <c r="J2053" s="35" t="s">
        <v>1813</v>
      </c>
      <c r="K2053" s="21">
        <v>10592433</v>
      </c>
      <c r="L2053" s="21"/>
      <c r="M2053" s="22">
        <f>(PROVEEDORES[[#This Row],[SUBTOTAL]]-PROVEEDORES[[#This Row],[descuento sobre subtotal]])*VLOOKUP(PROVEEDORES[[#This Row],[PROVEEDOR]],TERCEROS_INFO[#All],3,FALSE)</f>
        <v>2012562.27</v>
      </c>
      <c r="N2053" s="23"/>
      <c r="O2053" s="22">
        <f>+PROVEEDORES[[#This Row],[Descuento sobre subtotal %]]*(PROVEEDORES[[#This Row],[SUBTOTAL]]-PROVEEDORES[[#This Row],[descuento sobre subtotal]])</f>
        <v>0</v>
      </c>
      <c r="P2053" s="83">
        <f>+IF(PROVEEDORES[[#This Row],[SUBTOTAL]]&lt;PROVEEDORES[[#This Row],[base retencion]],0,PROVEEDORES[[#This Row],[retención aplicada]])</f>
        <v>2.5000000000000001E-2</v>
      </c>
      <c r="Q2053" s="22">
        <f>+PROVEEDORES[[#This Row],[Rete Fuente %]]*(PROVEEDORES[[#This Row],[SUBTOTAL]]-PROVEEDORES[[#This Row],[descuento sobre subtotal]])</f>
        <v>264810.82500000001</v>
      </c>
      <c r="R2053" s="21">
        <f>+PROVEEDORES[[#This Row],[SUBTOTAL]]+PROVEEDORES[[#This Row],[IVA 19%]]-PROVEEDORES[[#This Row],[descuento sobre subtotal]]-PROVEEDORES[[#This Row],[Descuento sobre subtotal $2]]-PROVEEDORES[[#This Row],[Rete Fuente $]]</f>
        <v>12340184.445</v>
      </c>
      <c r="S2053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53" s="68">
        <f ca="1">IF(PROVEEDORES[[#This Row],[FECHA DE PAGO]]=0,TODAY()-PROVEEDORES[[#This Row],[FECHA DE FACTURACIÓN]]-PROVEEDORES[[#This Row],[PLAZO Días]],0)</f>
        <v>-15</v>
      </c>
      <c r="U2053" s="113" t="str">
        <f>+VLOOKUP(PROVEEDORES[[#This Row],[PROVEEDOR]],Terceros!$A:$D,4,FALSE)</f>
        <v>2,5% con base</v>
      </c>
      <c r="V2053" s="114">
        <f>+YEAR(PROVEEDORES[[#This Row],[FECHA DE FACTURACIÓN]])</f>
        <v>2022</v>
      </c>
      <c r="W2053" s="114">
        <f>+MATCH(PROVEEDORES[[#This Row],[año facturado]],Retenciones!$1:$1,0)</f>
        <v>5</v>
      </c>
      <c r="X2053" s="115">
        <f>+VLOOKUP(PROVEEDORES[[#This Row],[ID RETENCION]],Retenciones!$A$1:$O$25,PROVEEDORES[[#This Row],[indicador de columna]],FALSE)</f>
        <v>1026000</v>
      </c>
      <c r="Y2053" s="116">
        <f>+VLOOKUP(PROVEEDORES[[#This Row],[ID RETENCION]],Retenciones!$A$1:$O$25,2,FALSE)</f>
        <v>2.5000000000000001E-2</v>
      </c>
      <c r="Z2053" s="125" t="b">
        <f>OR(COUNTIF(PROVEEDORES[[#This Row],[PROVEEDOR]],"*"&amp;'Palabra no opera'!$A$2&amp;"*"))</f>
        <v>0</v>
      </c>
    </row>
    <row r="2054" spans="1:26" ht="22.2" customHeight="1" x14ac:dyDescent="0.3">
      <c r="A2054" s="66" t="str">
        <f>+IF(PROVEEDORES[[#This Row],[FECHA DE PAGO]]=PROVEEDORES[[#This Row],[FECHA DE FACTURACIÓN]],"DE CONTADO","CRÉDITO")</f>
        <v>CRÉDITO</v>
      </c>
      <c r="B2054" s="38" t="str">
        <f>+IF((PROVEEDORES[[#This Row],[FECHA DE PAGO]]-PROVEEDORES[[#This Row],[FECHA DE FACTURACIÓN]])&gt;PROVEEDORES[[#This Row],[PLAZO Días]],"PAGO VENCIDO")</f>
        <v>PAGO VENCIDO</v>
      </c>
      <c r="C2054" s="20">
        <f>+VLOOKUP(PROVEEDORES[[#This Row],[PROVEEDOR]],TERCEROS_INFO[#All],2,FALSE)</f>
        <v>45</v>
      </c>
      <c r="D2054" s="25">
        <f>+SUMIFS(PROVEEDORES[Total],PROVEEDORES[PROVEEDOR],PROVEEDORES[[#This Row],[PROVEEDOR]],PROVEEDORES[FECHA DE PAGO],"")</f>
        <v>31891814.359999999</v>
      </c>
      <c r="E2054" s="25"/>
      <c r="F205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4" s="161">
        <v>44690</v>
      </c>
      <c r="H2054" s="26" t="s">
        <v>19</v>
      </c>
      <c r="I2054" s="161">
        <v>44638</v>
      </c>
      <c r="J2054" s="35" t="s">
        <v>732</v>
      </c>
      <c r="K2054" s="21">
        <v>10665600</v>
      </c>
      <c r="L2054" s="21"/>
      <c r="M2054" s="22">
        <f>(PROVEEDORES[[#This Row],[SUBTOTAL]]-PROVEEDORES[[#This Row],[descuento sobre subtotal]])*VLOOKUP(PROVEEDORES[[#This Row],[PROVEEDOR]],TERCEROS_INFO[#All],3,FALSE)</f>
        <v>2026464</v>
      </c>
      <c r="N2054" s="23"/>
      <c r="O2054" s="22">
        <f>+PROVEEDORES[[#This Row],[Descuento sobre subtotal %]]*(PROVEEDORES[[#This Row],[SUBTOTAL]]-PROVEEDORES[[#This Row],[descuento sobre subtotal]])</f>
        <v>0</v>
      </c>
      <c r="P2054" s="83">
        <f>+IF(PROVEEDORES[[#This Row],[SUBTOTAL]]&lt;PROVEEDORES[[#This Row],[base retencion]],0,PROVEEDORES[[#This Row],[retención aplicada]])</f>
        <v>0</v>
      </c>
      <c r="Q2054" s="22">
        <f>+PROVEEDORES[[#This Row],[Rete Fuente %]]*(PROVEEDORES[[#This Row],[SUBTOTAL]]-PROVEEDORES[[#This Row],[descuento sobre subtotal]])</f>
        <v>0</v>
      </c>
      <c r="R2054" s="21">
        <f>+PROVEEDORES[[#This Row],[SUBTOTAL]]+PROVEEDORES[[#This Row],[IVA 19%]]-PROVEEDORES[[#This Row],[descuento sobre subtotal]]-PROVEEDORES[[#This Row],[Descuento sobre subtotal $2]]-PROVEEDORES[[#This Row],[Rete Fuente $]]</f>
        <v>12692064</v>
      </c>
      <c r="S205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4" s="68">
        <f ca="1">IF(PROVEEDORES[[#This Row],[FECHA DE PAGO]]=0,TODAY()-PROVEEDORES[[#This Row],[FECHA DE FACTURACIÓN]]-PROVEEDORES[[#This Row],[PLAZO Días]],0)</f>
        <v>0</v>
      </c>
      <c r="U2054" s="96">
        <f>+VLOOKUP(PROVEEDORES[[#This Row],[PROVEEDOR]],Terceros!$A:$D,4,FALSE)</f>
        <v>0</v>
      </c>
      <c r="V2054" s="97">
        <f>+YEAR(PROVEEDORES[[#This Row],[FECHA DE FACTURACIÓN]])</f>
        <v>2022</v>
      </c>
      <c r="W2054" s="97">
        <f>+MATCH(PROVEEDORES[[#This Row],[año facturado]],Retenciones!$1:$1,0)</f>
        <v>5</v>
      </c>
      <c r="X2054" s="98">
        <f>+VLOOKUP(PROVEEDORES[[#This Row],[ID RETENCION]],Retenciones!$A$1:$O$25,PROVEEDORES[[#This Row],[indicador de columna]],FALSE)</f>
        <v>0</v>
      </c>
      <c r="Y2054" s="99">
        <f>+VLOOKUP(PROVEEDORES[[#This Row],[ID RETENCION]],Retenciones!$A$1:$O$25,2,FALSE)</f>
        <v>0</v>
      </c>
      <c r="Z2054" s="125" t="b">
        <f>OR(COUNTIF(PROVEEDORES[[#This Row],[PROVEEDOR]],"*"&amp;'Palabra no opera'!$A$2&amp;"*"))</f>
        <v>0</v>
      </c>
    </row>
    <row r="2055" spans="1:26" ht="22.2" customHeight="1" x14ac:dyDescent="0.3">
      <c r="A2055" s="66" t="str">
        <f>+IF(PROVEEDORES[[#This Row],[FECHA DE PAGO]]=PROVEEDORES[[#This Row],[FECHA DE FACTURACIÓN]],"DE CONTADO","CRÉDITO")</f>
        <v>CRÉDITO</v>
      </c>
      <c r="B2055" s="38" t="str">
        <f>+IF((PROVEEDORES[[#This Row],[FECHA DE PAGO]]-PROVEEDORES[[#This Row],[FECHA DE FACTURACIÓN]])&gt;PROVEEDORES[[#This Row],[PLAZO Días]],"PAGO VENCIDO")</f>
        <v>PAGO VENCIDO</v>
      </c>
      <c r="C2055" s="20">
        <f>+VLOOKUP(PROVEEDORES[[#This Row],[PROVEEDOR]],TERCEROS_INFO[#All],2,FALSE)</f>
        <v>90</v>
      </c>
      <c r="D2055" s="25">
        <f>+SUMIFS(PROVEEDORES[Total],PROVEEDORES[PROVEEDOR],PROVEEDORES[[#This Row],[PROVEEDOR]],PROVEEDORES[FECHA DE PAGO],"")</f>
        <v>75241004.385000005</v>
      </c>
      <c r="E2055" s="25"/>
      <c r="F205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55" s="161">
        <v>44292</v>
      </c>
      <c r="H2055" s="26" t="s">
        <v>77</v>
      </c>
      <c r="I2055" s="161">
        <v>44186</v>
      </c>
      <c r="J2055" s="35" t="s">
        <v>94</v>
      </c>
      <c r="K2055" s="21">
        <v>10899167.226890758</v>
      </c>
      <c r="L2055" s="21"/>
      <c r="M2055" s="22">
        <f>(PROVEEDORES[[#This Row],[SUBTOTAL]]-PROVEEDORES[[#This Row],[descuento sobre subtotal]])*VLOOKUP(PROVEEDORES[[#This Row],[PROVEEDOR]],TERCEROS_INFO[#All],3,FALSE)</f>
        <v>2070841.7731092439</v>
      </c>
      <c r="N2055" s="23"/>
      <c r="O2055" s="22">
        <f>+PROVEEDORES[[#This Row],[Descuento sobre subtotal %]]*(PROVEEDORES[[#This Row],[SUBTOTAL]]-PROVEEDORES[[#This Row],[descuento sobre subtotal]])</f>
        <v>0</v>
      </c>
      <c r="P2055" s="83">
        <f>+IF(PROVEEDORES[[#This Row],[SUBTOTAL]]&lt;PROVEEDORES[[#This Row],[base retencion]],0,PROVEEDORES[[#This Row],[retención aplicada]])</f>
        <v>2.5000000000000001E-2</v>
      </c>
      <c r="Q2055" s="22">
        <f>+PROVEEDORES[[#This Row],[Rete Fuente %]]*(PROVEEDORES[[#This Row],[SUBTOTAL]]-PROVEEDORES[[#This Row],[descuento sobre subtotal]])</f>
        <v>272479.18067226897</v>
      </c>
      <c r="R2055" s="21">
        <f>+PROVEEDORES[[#This Row],[SUBTOTAL]]+PROVEEDORES[[#This Row],[IVA 19%]]-PROVEEDORES[[#This Row],[descuento sobre subtotal]]-PROVEEDORES[[#This Row],[Descuento sobre subtotal $2]]-PROVEEDORES[[#This Row],[Rete Fuente $]]</f>
        <v>12697529.819327733</v>
      </c>
      <c r="S205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5" s="68">
        <f ca="1">IF(PROVEEDORES[[#This Row],[FECHA DE PAGO]]=0,TODAY()-PROVEEDORES[[#This Row],[FECHA DE FACTURACIÓN]]-PROVEEDORES[[#This Row],[PLAZO Días]],0)</f>
        <v>0</v>
      </c>
      <c r="U2055" s="96" t="str">
        <f>+VLOOKUP(PROVEEDORES[[#This Row],[PROVEEDOR]],Terceros!$A:$D,4,FALSE)</f>
        <v>2,5% con base</v>
      </c>
      <c r="V2055" s="97">
        <f>+YEAR(PROVEEDORES[[#This Row],[FECHA DE FACTURACIÓN]])</f>
        <v>2020</v>
      </c>
      <c r="W2055" s="97">
        <f>+MATCH(PROVEEDORES[[#This Row],[año facturado]],Retenciones!$1:$1,0)</f>
        <v>3</v>
      </c>
      <c r="X2055" s="98">
        <f>+VLOOKUP(PROVEEDORES[[#This Row],[ID RETENCION]],Retenciones!$A$1:$O$25,PROVEEDORES[[#This Row],[indicador de columna]],FALSE)</f>
        <v>961000</v>
      </c>
      <c r="Y2055" s="99">
        <f>+VLOOKUP(PROVEEDORES[[#This Row],[ID RETENCION]],Retenciones!$A$1:$O$25,2,FALSE)</f>
        <v>2.5000000000000001E-2</v>
      </c>
      <c r="Z2055" s="125" t="b">
        <f>OR(COUNTIF(PROVEEDORES[[#This Row],[PROVEEDOR]],"*"&amp;'Palabra no opera'!$A$2&amp;"*"))</f>
        <v>0</v>
      </c>
    </row>
    <row r="2056" spans="1:26" ht="22.2" customHeight="1" x14ac:dyDescent="0.3">
      <c r="A2056" s="269" t="str">
        <f>+IF(PROVEEDORES[[#This Row],[FECHA DE PAGO]]=PROVEEDORES[[#This Row],[FECHA DE FACTURACIÓN]],"DE CONTADO","CRÉDITO")</f>
        <v>CRÉDITO</v>
      </c>
      <c r="B2056" s="38" t="b">
        <f>+IF((PROVEEDORES[[#This Row],[FECHA DE PAGO]]-PROVEEDORES[[#This Row],[FECHA DE FACTURACIÓN]])&gt;PROVEEDORES[[#This Row],[PLAZO Días]],"PAGO VENCIDO")</f>
        <v>0</v>
      </c>
      <c r="C2056" s="20">
        <f>+VLOOKUP(PROVEEDORES[[#This Row],[PROVEEDOR]],TERCEROS_INFO[#All],2,FALSE)</f>
        <v>45</v>
      </c>
      <c r="D2056" s="25">
        <f>+SUMIFS(PROVEEDORES[Total],PROVEEDORES[PROVEEDOR],PROVEEDORES[[#This Row],[PROVEEDOR]],PROVEEDORES[FECHA DE PAGO],"")</f>
        <v>31891814.359999999</v>
      </c>
      <c r="E2056" s="25"/>
      <c r="F205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2056" s="26" t="s">
        <v>19</v>
      </c>
      <c r="I2056" s="161">
        <v>44858</v>
      </c>
      <c r="J2056" s="35">
        <v>57889</v>
      </c>
      <c r="K2056" s="21">
        <v>10709440</v>
      </c>
      <c r="L2056" s="21"/>
      <c r="M2056" s="22">
        <f>(PROVEEDORES[[#This Row],[SUBTOTAL]]-PROVEEDORES[[#This Row],[descuento sobre subtotal]])*VLOOKUP(PROVEEDORES[[#This Row],[PROVEEDOR]],TERCEROS_INFO[#All],3,FALSE)</f>
        <v>2034793.6</v>
      </c>
      <c r="N2056" s="23"/>
      <c r="O2056" s="22">
        <f>+PROVEEDORES[[#This Row],[Descuento sobre subtotal %]]*(PROVEEDORES[[#This Row],[SUBTOTAL]]-PROVEEDORES[[#This Row],[descuento sobre subtotal]])</f>
        <v>0</v>
      </c>
      <c r="P2056" s="83">
        <f>+IF(PROVEEDORES[[#This Row],[SUBTOTAL]]&lt;PROVEEDORES[[#This Row],[base retencion]],0,PROVEEDORES[[#This Row],[retención aplicada]])</f>
        <v>0</v>
      </c>
      <c r="Q2056" s="22">
        <f>+PROVEEDORES[[#This Row],[Rete Fuente %]]*(PROVEEDORES[[#This Row],[SUBTOTAL]]-PROVEEDORES[[#This Row],[descuento sobre subtotal]])</f>
        <v>0</v>
      </c>
      <c r="R2056" s="21">
        <f>+PROVEEDORES[[#This Row],[SUBTOTAL]]+PROVEEDORES[[#This Row],[IVA 19%]]-PROVEEDORES[[#This Row],[descuento sobre subtotal]]-PROVEEDORES[[#This Row],[Descuento sobre subtotal $2]]-PROVEEDORES[[#This Row],[Rete Fuente $]]</f>
        <v>12744233.6</v>
      </c>
      <c r="S2056" s="270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56" s="68">
        <f ca="1">IF(PROVEEDORES[[#This Row],[FECHA DE PAGO]]=0,TODAY()-PROVEEDORES[[#This Row],[FECHA DE FACTURACIÓN]]-PROVEEDORES[[#This Row],[PLAZO Días]],0)</f>
        <v>-28</v>
      </c>
      <c r="U2056" s="113">
        <f>+VLOOKUP(PROVEEDORES[[#This Row],[PROVEEDOR]],Terceros!$A:$D,4,FALSE)</f>
        <v>0</v>
      </c>
      <c r="V2056" s="114">
        <f>+YEAR(PROVEEDORES[[#This Row],[FECHA DE FACTURACIÓN]])</f>
        <v>2022</v>
      </c>
      <c r="W2056" s="114">
        <f>+MATCH(PROVEEDORES[[#This Row],[año facturado]],Retenciones!$1:$1,0)</f>
        <v>5</v>
      </c>
      <c r="X2056" s="115">
        <f>+VLOOKUP(PROVEEDORES[[#This Row],[ID RETENCION]],Retenciones!$A$1:$O$25,PROVEEDORES[[#This Row],[indicador de columna]],FALSE)</f>
        <v>0</v>
      </c>
      <c r="Y2056" s="116">
        <f>+VLOOKUP(PROVEEDORES[[#This Row],[ID RETENCION]],Retenciones!$A$1:$O$25,2,FALSE)</f>
        <v>0</v>
      </c>
      <c r="Z2056" s="125" t="b">
        <f>OR(COUNTIF(PROVEEDORES[[#This Row],[PROVEEDOR]],"*"&amp;'Palabra no opera'!$A$2&amp;"*"))</f>
        <v>0</v>
      </c>
    </row>
    <row r="2057" spans="1:26" ht="22.2" customHeight="1" x14ac:dyDescent="0.3">
      <c r="A2057" s="72" t="str">
        <f>+IF(PROVEEDORES[[#This Row],[FECHA DE PAGO]]=PROVEEDORES[[#This Row],[FECHA DE FACTURACIÓN]],"DE CONTADO","CRÉDITO")</f>
        <v>CRÉDITO</v>
      </c>
      <c r="B2057" s="38" t="str">
        <f>+IF((PROVEEDORES[[#This Row],[FECHA DE PAGO]]-PROVEEDORES[[#This Row],[FECHA DE FACTURACIÓN]])&gt;PROVEEDORES[[#This Row],[PLAZO Días]],"PAGO VENCIDO")</f>
        <v>PAGO VENCIDO</v>
      </c>
      <c r="C2057" s="20">
        <f>+VLOOKUP(PROVEEDORES[[#This Row],[PROVEEDOR]],TERCEROS_INFO[#All],2,FALSE)</f>
        <v>45</v>
      </c>
      <c r="D2057" s="25">
        <f>+SUMIFS(PROVEEDORES[Total],PROVEEDORES[PROVEEDOR],PROVEEDORES[[#This Row],[PROVEEDOR]],PROVEEDORES[FECHA DE PAGO],"")</f>
        <v>31891814.359999999</v>
      </c>
      <c r="E2057" s="25"/>
      <c r="F205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7" s="161">
        <v>44810</v>
      </c>
      <c r="H2057" s="26" t="s">
        <v>19</v>
      </c>
      <c r="I2057" s="161">
        <v>44757</v>
      </c>
      <c r="J2057" s="35" t="s">
        <v>1147</v>
      </c>
      <c r="K2057" s="21">
        <v>10739200</v>
      </c>
      <c r="L2057" s="21"/>
      <c r="M2057" s="22">
        <f>(PROVEEDORES[[#This Row],[SUBTOTAL]]-PROVEEDORES[[#This Row],[descuento sobre subtotal]])*VLOOKUP(PROVEEDORES[[#This Row],[PROVEEDOR]],TERCEROS_INFO[#All],3,FALSE)</f>
        <v>2040448</v>
      </c>
      <c r="N2057" s="23"/>
      <c r="O2057" s="22">
        <f>+PROVEEDORES[[#This Row],[Descuento sobre subtotal %]]*(PROVEEDORES[[#This Row],[SUBTOTAL]]-PROVEEDORES[[#This Row],[descuento sobre subtotal]])</f>
        <v>0</v>
      </c>
      <c r="P2057" s="83">
        <f>+IF(PROVEEDORES[[#This Row],[SUBTOTAL]]&lt;PROVEEDORES[[#This Row],[base retencion]],0,PROVEEDORES[[#This Row],[retención aplicada]])</f>
        <v>0</v>
      </c>
      <c r="Q2057" s="22">
        <f>+PROVEEDORES[[#This Row],[Rete Fuente %]]*(PROVEEDORES[[#This Row],[SUBTOTAL]]-PROVEEDORES[[#This Row],[descuento sobre subtotal]])</f>
        <v>0</v>
      </c>
      <c r="R2057" s="21">
        <f>+PROVEEDORES[[#This Row],[SUBTOTAL]]+PROVEEDORES[[#This Row],[IVA 19%]]-PROVEEDORES[[#This Row],[descuento sobre subtotal]]-PROVEEDORES[[#This Row],[Descuento sobre subtotal $2]]-PROVEEDORES[[#This Row],[Rete Fuente $]]</f>
        <v>12779648</v>
      </c>
      <c r="S205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7" s="68">
        <f ca="1">IF(PROVEEDORES[[#This Row],[FECHA DE PAGO]]=0,TODAY()-PROVEEDORES[[#This Row],[FECHA DE FACTURACIÓN]]-PROVEEDORES[[#This Row],[PLAZO Días]],0)</f>
        <v>0</v>
      </c>
      <c r="U2057" s="113">
        <f>+VLOOKUP(PROVEEDORES[[#This Row],[PROVEEDOR]],Terceros!$A:$D,4,FALSE)</f>
        <v>0</v>
      </c>
      <c r="V2057" s="114">
        <f>+YEAR(PROVEEDORES[[#This Row],[FECHA DE FACTURACIÓN]])</f>
        <v>2022</v>
      </c>
      <c r="W2057" s="114">
        <f>+MATCH(PROVEEDORES[[#This Row],[año facturado]],Retenciones!$1:$1,0)</f>
        <v>5</v>
      </c>
      <c r="X2057" s="115">
        <f>+VLOOKUP(PROVEEDORES[[#This Row],[ID RETENCION]],Retenciones!$A$1:$O$25,PROVEEDORES[[#This Row],[indicador de columna]],FALSE)</f>
        <v>0</v>
      </c>
      <c r="Y2057" s="116">
        <f>+VLOOKUP(PROVEEDORES[[#This Row],[ID RETENCION]],Retenciones!$A$1:$O$25,2,FALSE)</f>
        <v>0</v>
      </c>
      <c r="Z2057" s="125" t="b">
        <f>OR(COUNTIF(PROVEEDORES[[#This Row],[PROVEEDOR]],"*"&amp;'Palabra no opera'!$A$2&amp;"*"))</f>
        <v>0</v>
      </c>
    </row>
    <row r="2058" spans="1:26" ht="22.2" customHeight="1" x14ac:dyDescent="0.3">
      <c r="A2058" s="66" t="str">
        <f>+IF(PROVEEDORES[[#This Row],[FECHA DE PAGO]]=PROVEEDORES[[#This Row],[FECHA DE FACTURACIÓN]],"DE CONTADO","CRÉDITO")</f>
        <v>CRÉDITO</v>
      </c>
      <c r="B2058" s="38" t="str">
        <f>+IF((PROVEEDORES[[#This Row],[FECHA DE PAGO]]-PROVEEDORES[[#This Row],[FECHA DE FACTURACIÓN]])&gt;PROVEEDORES[[#This Row],[PLAZO Días]],"PAGO VENCIDO")</f>
        <v>PAGO VENCIDO</v>
      </c>
      <c r="C2058" s="20">
        <f>+VLOOKUP(PROVEEDORES[[#This Row],[PROVEEDOR]],TERCEROS_INFO[#All],2,FALSE)</f>
        <v>45</v>
      </c>
      <c r="D2058" s="25">
        <f>+SUMIFS(PROVEEDORES[Total],PROVEEDORES[PROVEEDOR],PROVEEDORES[[#This Row],[PROVEEDOR]],PROVEEDORES[FECHA DE PAGO],"")</f>
        <v>31891814.359999999</v>
      </c>
      <c r="E2058" s="25"/>
      <c r="F205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8" s="161">
        <v>44608</v>
      </c>
      <c r="H2058" s="26" t="s">
        <v>19</v>
      </c>
      <c r="I2058" s="161">
        <v>44551</v>
      </c>
      <c r="J2058" s="35" t="s">
        <v>571</v>
      </c>
      <c r="K2058" s="21">
        <v>10867200</v>
      </c>
      <c r="L2058" s="21"/>
      <c r="M2058" s="22">
        <f>(PROVEEDORES[[#This Row],[SUBTOTAL]]-PROVEEDORES[[#This Row],[descuento sobre subtotal]])*VLOOKUP(PROVEEDORES[[#This Row],[PROVEEDOR]],TERCEROS_INFO[#All],3,FALSE)</f>
        <v>2064768</v>
      </c>
      <c r="N2058" s="23"/>
      <c r="O2058" s="22">
        <f>+PROVEEDORES[[#This Row],[Descuento sobre subtotal %]]*(PROVEEDORES[[#This Row],[SUBTOTAL]]-PROVEEDORES[[#This Row],[descuento sobre subtotal]])</f>
        <v>0</v>
      </c>
      <c r="P2058" s="83">
        <f>+IF(PROVEEDORES[[#This Row],[SUBTOTAL]]&lt;PROVEEDORES[[#This Row],[base retencion]],0,PROVEEDORES[[#This Row],[retención aplicada]])</f>
        <v>0</v>
      </c>
      <c r="Q2058" s="22">
        <f>+PROVEEDORES[[#This Row],[Rete Fuente %]]*(PROVEEDORES[[#This Row],[SUBTOTAL]]-PROVEEDORES[[#This Row],[descuento sobre subtotal]])</f>
        <v>0</v>
      </c>
      <c r="R2058" s="21">
        <v>12931968</v>
      </c>
      <c r="S205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8" s="68">
        <f ca="1">IF(PROVEEDORES[[#This Row],[FECHA DE PAGO]]=0,TODAY()-PROVEEDORES[[#This Row],[FECHA DE FACTURACIÓN]]-PROVEEDORES[[#This Row],[PLAZO Días]],0)</f>
        <v>0</v>
      </c>
      <c r="U2058" s="96">
        <f>+VLOOKUP(PROVEEDORES[[#This Row],[PROVEEDOR]],Terceros!$A:$D,4,FALSE)</f>
        <v>0</v>
      </c>
      <c r="V2058" s="97">
        <f>+YEAR(PROVEEDORES[[#This Row],[FECHA DE FACTURACIÓN]])</f>
        <v>2021</v>
      </c>
      <c r="W2058" s="97">
        <f>+MATCH(PROVEEDORES[[#This Row],[año facturado]],Retenciones!$1:$1,0)</f>
        <v>4</v>
      </c>
      <c r="X2058" s="98">
        <f>+VLOOKUP(PROVEEDORES[[#This Row],[ID RETENCION]],Retenciones!$A$1:$O$25,PROVEEDORES[[#This Row],[indicador de columna]],FALSE)</f>
        <v>0</v>
      </c>
      <c r="Y2058" s="99">
        <f>+VLOOKUP(PROVEEDORES[[#This Row],[ID RETENCION]],Retenciones!$A$1:$O$25,2,FALSE)</f>
        <v>0</v>
      </c>
      <c r="Z2058" s="125" t="b">
        <f>OR(COUNTIF(PROVEEDORES[[#This Row],[PROVEEDOR]],"*"&amp;'Palabra no opera'!$A$2&amp;"*"))</f>
        <v>0</v>
      </c>
    </row>
    <row r="2059" spans="1:26" ht="22.2" customHeight="1" x14ac:dyDescent="0.3">
      <c r="A2059" s="140" t="str">
        <f>+IF(PROVEEDORES[[#This Row],[FECHA DE PAGO]]=PROVEEDORES[[#This Row],[FECHA DE FACTURACIÓN]],"DE CONTADO","CRÉDITO")</f>
        <v>CRÉDITO</v>
      </c>
      <c r="B2059" s="38" t="str">
        <f>+IF((PROVEEDORES[[#This Row],[FECHA DE PAGO]]-PROVEEDORES[[#This Row],[FECHA DE FACTURACIÓN]])&gt;PROVEEDORES[[#This Row],[PLAZO Días]],"PAGO VENCIDO")</f>
        <v>PAGO VENCIDO</v>
      </c>
      <c r="C2059" s="20">
        <f>+VLOOKUP(PROVEEDORES[[#This Row],[PROVEEDOR]],TERCEROS_INFO[#All],2,FALSE)</f>
        <v>45</v>
      </c>
      <c r="D2059" s="25">
        <f>+SUMIFS(PROVEEDORES[Total],PROVEEDORES[PROVEEDOR],PROVEEDORES[[#This Row],[PROVEEDOR]],PROVEEDORES[FECHA DE PAGO],"")</f>
        <v>31891814.359999999</v>
      </c>
      <c r="E2059" s="25"/>
      <c r="F205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9" s="161">
        <v>44750</v>
      </c>
      <c r="H2059" s="26" t="s">
        <v>19</v>
      </c>
      <c r="I2059" s="161">
        <v>44694</v>
      </c>
      <c r="J2059" s="35" t="s">
        <v>970</v>
      </c>
      <c r="K2059" s="21">
        <v>11010000</v>
      </c>
      <c r="L2059" s="21"/>
      <c r="M2059" s="22">
        <f>(PROVEEDORES[[#This Row],[SUBTOTAL]]-PROVEEDORES[[#This Row],[descuento sobre subtotal]])*VLOOKUP(PROVEEDORES[[#This Row],[PROVEEDOR]],TERCEROS_INFO[#All],3,FALSE)</f>
        <v>2091900</v>
      </c>
      <c r="N2059" s="23"/>
      <c r="O2059" s="22">
        <f>+PROVEEDORES[[#This Row],[Descuento sobre subtotal %]]*(PROVEEDORES[[#This Row],[SUBTOTAL]]-PROVEEDORES[[#This Row],[descuento sobre subtotal]])</f>
        <v>0</v>
      </c>
      <c r="P2059" s="83">
        <f>+IF(PROVEEDORES[[#This Row],[SUBTOTAL]]&lt;PROVEEDORES[[#This Row],[base retencion]],0,PROVEEDORES[[#This Row],[retención aplicada]])</f>
        <v>0</v>
      </c>
      <c r="Q2059" s="22">
        <f>+PROVEEDORES[[#This Row],[Rete Fuente %]]*(PROVEEDORES[[#This Row],[SUBTOTAL]]-PROVEEDORES[[#This Row],[descuento sobre subtotal]])</f>
        <v>0</v>
      </c>
      <c r="R2059" s="21">
        <f>+PROVEEDORES[[#This Row],[SUBTOTAL]]+PROVEEDORES[[#This Row],[IVA 19%]]-PROVEEDORES[[#This Row],[descuento sobre subtotal]]-PROVEEDORES[[#This Row],[Descuento sobre subtotal $2]]-PROVEEDORES[[#This Row],[Rete Fuente $]]</f>
        <v>13101900</v>
      </c>
      <c r="S2059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9" s="68">
        <f ca="1">IF(PROVEEDORES[[#This Row],[FECHA DE PAGO]]=0,TODAY()-PROVEEDORES[[#This Row],[FECHA DE FACTURACIÓN]]-PROVEEDORES[[#This Row],[PLAZO Días]],0)</f>
        <v>0</v>
      </c>
      <c r="U2059" s="113">
        <f>+VLOOKUP(PROVEEDORES[[#This Row],[PROVEEDOR]],Terceros!$A:$D,4,FALSE)</f>
        <v>0</v>
      </c>
      <c r="V2059" s="114">
        <f>+YEAR(PROVEEDORES[[#This Row],[FECHA DE FACTURACIÓN]])</f>
        <v>2022</v>
      </c>
      <c r="W2059" s="114">
        <f>+MATCH(PROVEEDORES[[#This Row],[año facturado]],Retenciones!$1:$1,0)</f>
        <v>5</v>
      </c>
      <c r="X2059" s="115">
        <f>+VLOOKUP(PROVEEDORES[[#This Row],[ID RETENCION]],Retenciones!$A$1:$O$25,PROVEEDORES[[#This Row],[indicador de columna]],FALSE)</f>
        <v>0</v>
      </c>
      <c r="Y2059" s="116">
        <f>+VLOOKUP(PROVEEDORES[[#This Row],[ID RETENCION]],Retenciones!$A$1:$O$25,2,FALSE)</f>
        <v>0</v>
      </c>
      <c r="Z2059" s="125" t="b">
        <f>OR(COUNTIF(PROVEEDORES[[#This Row],[PROVEEDOR]],"*"&amp;'Palabra no opera'!$A$2&amp;"*"))</f>
        <v>0</v>
      </c>
    </row>
    <row r="2060" spans="1:26" ht="22.2" customHeight="1" x14ac:dyDescent="0.3">
      <c r="A2060" s="66" t="str">
        <f>+IF(PROVEEDORES[[#This Row],[FECHA DE PAGO]]=PROVEEDORES[[#This Row],[FECHA DE FACTURACIÓN]],"DE CONTADO","CRÉDITO")</f>
        <v>CRÉDITO</v>
      </c>
      <c r="B2060" s="38" t="str">
        <f>+IF((PROVEEDORES[[#This Row],[FECHA DE PAGO]]-PROVEEDORES[[#This Row],[FECHA DE FACTURACIÓN]])&gt;PROVEEDORES[[#This Row],[PLAZO Días]],"PAGO VENCIDO")</f>
        <v>PAGO VENCIDO</v>
      </c>
      <c r="C2060" s="20">
        <f>+VLOOKUP(PROVEEDORES[[#This Row],[PROVEEDOR]],TERCEROS_INFO[#All],2,FALSE)</f>
        <v>45</v>
      </c>
      <c r="D2060" s="25">
        <f>+SUMIFS(PROVEEDORES[Total],PROVEEDORES[PROVEEDOR],PROVEEDORES[[#This Row],[PROVEEDOR]],PROVEEDORES[FECHA DE PAGO],"")</f>
        <v>31891814.359999999</v>
      </c>
      <c r="E2060" s="25"/>
      <c r="F206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60" s="161">
        <v>44637</v>
      </c>
      <c r="H2060" s="26" t="s">
        <v>19</v>
      </c>
      <c r="I2060" s="161">
        <v>44588</v>
      </c>
      <c r="J2060" s="35" t="s">
        <v>752</v>
      </c>
      <c r="K2060" s="21">
        <v>11068800</v>
      </c>
      <c r="L2060" s="21"/>
      <c r="M2060" s="22">
        <f>(PROVEEDORES[[#This Row],[SUBTOTAL]]-PROVEEDORES[[#This Row],[descuento sobre subtotal]])*VLOOKUP(PROVEEDORES[[#This Row],[PROVEEDOR]],TERCEROS_INFO[#All],3,FALSE)</f>
        <v>2103072</v>
      </c>
      <c r="N2060" s="23"/>
      <c r="O2060" s="22">
        <f>+PROVEEDORES[[#This Row],[Descuento sobre subtotal %]]*(PROVEEDORES[[#This Row],[SUBTOTAL]]-PROVEEDORES[[#This Row],[descuento sobre subtotal]])</f>
        <v>0</v>
      </c>
      <c r="P2060" s="83">
        <f>+IF(PROVEEDORES[[#This Row],[SUBTOTAL]]&lt;PROVEEDORES[[#This Row],[base retencion]],0,PROVEEDORES[[#This Row],[retención aplicada]])</f>
        <v>0</v>
      </c>
      <c r="Q2060" s="22">
        <f>+PROVEEDORES[[#This Row],[Rete Fuente %]]*(PROVEEDORES[[#This Row],[SUBTOTAL]]-PROVEEDORES[[#This Row],[descuento sobre subtotal]])</f>
        <v>0</v>
      </c>
      <c r="R2060" s="21">
        <v>13171872</v>
      </c>
      <c r="S206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0" s="68">
        <f ca="1">IF(PROVEEDORES[[#This Row],[FECHA DE PAGO]]=0,TODAY()-PROVEEDORES[[#This Row],[FECHA DE FACTURACIÓN]]-PROVEEDORES[[#This Row],[PLAZO Días]],0)</f>
        <v>0</v>
      </c>
      <c r="U2060" s="96">
        <f>+VLOOKUP(PROVEEDORES[[#This Row],[PROVEEDOR]],Terceros!$A:$D,4,FALSE)</f>
        <v>0</v>
      </c>
      <c r="V2060" s="97">
        <f>+YEAR(PROVEEDORES[[#This Row],[FECHA DE FACTURACIÓN]])</f>
        <v>2022</v>
      </c>
      <c r="W2060" s="97">
        <f>+MATCH(PROVEEDORES[[#This Row],[año facturado]],Retenciones!$1:$1,0)</f>
        <v>5</v>
      </c>
      <c r="X2060" s="98">
        <f>+VLOOKUP(PROVEEDORES[[#This Row],[ID RETENCION]],Retenciones!$A$1:$O$25,PROVEEDORES[[#This Row],[indicador de columna]],FALSE)</f>
        <v>0</v>
      </c>
      <c r="Y2060" s="99">
        <f>+VLOOKUP(PROVEEDORES[[#This Row],[ID RETENCION]],Retenciones!$A$1:$O$25,2,FALSE)</f>
        <v>0</v>
      </c>
      <c r="Z2060" s="125" t="b">
        <f>OR(COUNTIF(PROVEEDORES[[#This Row],[PROVEEDOR]],"*"&amp;'Palabra no opera'!$A$2&amp;"*"))</f>
        <v>0</v>
      </c>
    </row>
    <row r="2061" spans="1:26" ht="22.2" customHeight="1" x14ac:dyDescent="0.3">
      <c r="A2061" s="66" t="str">
        <f>+IF(PROVEEDORES[[#This Row],[FECHA DE PAGO]]=PROVEEDORES[[#This Row],[FECHA DE FACTURACIÓN]],"DE CONTADO","CRÉDITO")</f>
        <v>CRÉDITO</v>
      </c>
      <c r="B2061" s="38" t="b">
        <f>+IF((PROVEEDORES[[#This Row],[FECHA DE PAGO]]-PROVEEDORES[[#This Row],[FECHA DE FACTURACIÓN]])&gt;PROVEEDORES[[#This Row],[PLAZO Días]],"PAGO VENCIDO")</f>
        <v>0</v>
      </c>
      <c r="C2061" s="20">
        <f>+VLOOKUP(PROVEEDORES[[#This Row],[PROVEEDOR]],TERCEROS_INFO[#All],2,FALSE)</f>
        <v>30</v>
      </c>
      <c r="D2061" s="25">
        <f>+SUMIFS(PROVEEDORES[Total],PROVEEDORES[PROVEEDOR],PROVEEDORES[[#This Row],[PROVEEDOR]],PROVEEDORES[FECHA DE PAGO],"")</f>
        <v>0</v>
      </c>
      <c r="E2061" s="25"/>
      <c r="F2061" s="58" t="str">
        <f>+VLOOKUP(PROVEEDORES[[#This Row],[PROVEEDOR]],
                       Terceros!$A:$F,
                       5,
                       FALSE)</f>
        <v/>
      </c>
      <c r="G2061" s="161">
        <v>44393</v>
      </c>
      <c r="H2061" s="26" t="s">
        <v>55</v>
      </c>
      <c r="I2061" s="161">
        <v>44391</v>
      </c>
      <c r="J2061" s="35">
        <v>54504</v>
      </c>
      <c r="K2061" s="21">
        <v>13177000</v>
      </c>
      <c r="L2061" s="21"/>
      <c r="M2061" s="22">
        <f>(PROVEEDORES[[#This Row],[SUBTOTAL]]-PROVEEDORES[[#This Row],[descuento sobre subtotal]])*VLOOKUP(PROVEEDORES[[#This Row],[PROVEEDOR]],TERCEROS_INFO[#All],3,FALSE)</f>
        <v>0</v>
      </c>
      <c r="N2061" s="23"/>
      <c r="O2061" s="22">
        <f>+PROVEEDORES[[#This Row],[Descuento sobre subtotal %]]*(PROVEEDORES[[#This Row],[SUBTOTAL]]-PROVEEDORES[[#This Row],[descuento sobre subtotal]])</f>
        <v>0</v>
      </c>
      <c r="P2061" s="83">
        <f>+IF(PROVEEDORES[[#This Row],[SUBTOTAL]]&lt;PROVEEDORES[[#This Row],[base retencion]],0,PROVEEDORES[[#This Row],[retención aplicada]])</f>
        <v>0</v>
      </c>
      <c r="Q2061" s="22">
        <f>+PROVEEDORES[[#This Row],[Rete Fuente %]]*(PROVEEDORES[[#This Row],[SUBTOTAL]]-PROVEEDORES[[#This Row],[descuento sobre subtotal]])</f>
        <v>0</v>
      </c>
      <c r="R2061" s="21">
        <f>+PROVEEDORES[[#This Row],[SUBTOTAL]]+PROVEEDORES[[#This Row],[IVA 19%]]-PROVEEDORES[[#This Row],[descuento sobre subtotal]]-PROVEEDORES[[#This Row],[Descuento sobre subtotal $2]]-PROVEEDORES[[#This Row],[Rete Fuente $]]</f>
        <v>13177000</v>
      </c>
      <c r="S206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1" s="68">
        <f ca="1">IF(PROVEEDORES[[#This Row],[FECHA DE PAGO]]=0,TODAY()-PROVEEDORES[[#This Row],[FECHA DE FACTURACIÓN]]-PROVEEDORES[[#This Row],[PLAZO Días]],0)</f>
        <v>0</v>
      </c>
      <c r="U2061" s="96">
        <f>+VLOOKUP(PROVEEDORES[[#This Row],[PROVEEDOR]],Terceros!$A:$D,4,FALSE)</f>
        <v>0</v>
      </c>
      <c r="V2061" s="97">
        <f>+YEAR(PROVEEDORES[[#This Row],[FECHA DE FACTURACIÓN]])</f>
        <v>2021</v>
      </c>
      <c r="W2061" s="97">
        <f>+MATCH(PROVEEDORES[[#This Row],[año facturado]],Retenciones!$1:$1,0)</f>
        <v>4</v>
      </c>
      <c r="X2061" s="98">
        <f>+VLOOKUP(PROVEEDORES[[#This Row],[ID RETENCION]],Retenciones!$A$1:$O$25,PROVEEDORES[[#This Row],[indicador de columna]],FALSE)</f>
        <v>0</v>
      </c>
      <c r="Y2061" s="99">
        <f>+VLOOKUP(PROVEEDORES[[#This Row],[ID RETENCION]],Retenciones!$A$1:$O$25,2,FALSE)</f>
        <v>0</v>
      </c>
      <c r="Z2061" s="125" t="b">
        <f>OR(COUNTIF(PROVEEDORES[[#This Row],[PROVEEDOR]],"*"&amp;'Palabra no opera'!$A$2&amp;"*"))</f>
        <v>0</v>
      </c>
    </row>
    <row r="2062" spans="1:26" ht="22.2" customHeight="1" x14ac:dyDescent="0.3">
      <c r="A2062" s="66" t="str">
        <f>+IF(PROVEEDORES[[#This Row],[FECHA DE PAGO]]=PROVEEDORES[[#This Row],[FECHA DE FACTURACIÓN]],"DE CONTADO","CRÉDITO")</f>
        <v>CRÉDITO</v>
      </c>
      <c r="B2062" s="38" t="b">
        <f>+IF((PROVEEDORES[[#This Row],[FECHA DE PAGO]]-PROVEEDORES[[#This Row],[FECHA DE FACTURACIÓN]])&gt;PROVEEDORES[[#This Row],[PLAZO Días]],"PAGO VENCIDO")</f>
        <v>0</v>
      </c>
      <c r="C2062" s="20">
        <f>+VLOOKUP(PROVEEDORES[[#This Row],[PROVEEDOR]],TERCEROS_INFO[#All],2,FALSE)</f>
        <v>10</v>
      </c>
      <c r="D2062" s="25">
        <f>+SUMIFS(PROVEEDORES[Total],PROVEEDORES[PROVEEDOR],PROVEEDORES[[#This Row],[PROVEEDOR]],PROVEEDORES[FECHA DE PAGO],"")</f>
        <v>0</v>
      </c>
      <c r="E2062" s="25"/>
      <c r="F2062" s="58" t="str">
        <f>+VLOOKUP(PROVEEDORES[[#This Row],[PROVEEDOR]],
                       Terceros!$A:$F,
                       5,
                       FALSE)</f>
        <v/>
      </c>
      <c r="G2062" s="161">
        <v>44299</v>
      </c>
      <c r="H2062" s="26" t="s">
        <v>23</v>
      </c>
      <c r="I2062" s="161">
        <v>44296</v>
      </c>
      <c r="J2062" s="35">
        <v>281564</v>
      </c>
      <c r="K2062" s="21">
        <v>13266350</v>
      </c>
      <c r="L2062" s="21"/>
      <c r="M2062" s="22">
        <f>(PROVEEDORES[[#This Row],[SUBTOTAL]]-PROVEEDORES[[#This Row],[descuento sobre subtotal]])*VLOOKUP(PROVEEDORES[[#This Row],[PROVEEDOR]],TERCEROS_INFO[#All],3,FALSE)</f>
        <v>0</v>
      </c>
      <c r="N2062" s="23"/>
      <c r="O2062" s="22">
        <f>+PROVEEDORES[[#This Row],[Descuento sobre subtotal %]]*(PROVEEDORES[[#This Row],[SUBTOTAL]]-PROVEEDORES[[#This Row],[descuento sobre subtotal]])</f>
        <v>0</v>
      </c>
      <c r="P2062" s="83">
        <f>+IF(PROVEEDORES[[#This Row],[SUBTOTAL]]&lt;PROVEEDORES[[#This Row],[base retencion]],0,PROVEEDORES[[#This Row],[retención aplicada]])</f>
        <v>0</v>
      </c>
      <c r="Q2062" s="22">
        <f>+PROVEEDORES[[#This Row],[Rete Fuente %]]*(PROVEEDORES[[#This Row],[SUBTOTAL]]-PROVEEDORES[[#This Row],[descuento sobre subtotal]])</f>
        <v>0</v>
      </c>
      <c r="R2062" s="21">
        <f>+PROVEEDORES[[#This Row],[SUBTOTAL]]+PROVEEDORES[[#This Row],[IVA 19%]]-PROVEEDORES[[#This Row],[descuento sobre subtotal]]-PROVEEDORES[[#This Row],[Descuento sobre subtotal $2]]-PROVEEDORES[[#This Row],[Rete Fuente $]]</f>
        <v>13266350</v>
      </c>
      <c r="S206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2" s="68">
        <f ca="1">IF(PROVEEDORES[[#This Row],[FECHA DE PAGO]]=0,TODAY()-PROVEEDORES[[#This Row],[FECHA DE FACTURACIÓN]]-PROVEEDORES[[#This Row],[PLAZO Días]],0)</f>
        <v>0</v>
      </c>
      <c r="U2062" s="96">
        <f>+VLOOKUP(PROVEEDORES[[#This Row],[PROVEEDOR]],Terceros!$A:$D,4,FALSE)</f>
        <v>0</v>
      </c>
      <c r="V2062" s="97">
        <f>+YEAR(PROVEEDORES[[#This Row],[FECHA DE FACTURACIÓN]])</f>
        <v>2021</v>
      </c>
      <c r="W2062" s="97">
        <f>+MATCH(PROVEEDORES[[#This Row],[año facturado]],Retenciones!$1:$1,0)</f>
        <v>4</v>
      </c>
      <c r="X2062" s="98">
        <f>+VLOOKUP(PROVEEDORES[[#This Row],[ID RETENCION]],Retenciones!$A$1:$O$25,PROVEEDORES[[#This Row],[indicador de columna]],FALSE)</f>
        <v>0</v>
      </c>
      <c r="Y2062" s="99">
        <f>+VLOOKUP(PROVEEDORES[[#This Row],[ID RETENCION]],Retenciones!$A$1:$O$25,2,FALSE)</f>
        <v>0</v>
      </c>
      <c r="Z2062" s="125" t="b">
        <f>OR(COUNTIF(PROVEEDORES[[#This Row],[PROVEEDOR]],"*"&amp;'Palabra no opera'!$A$2&amp;"*"))</f>
        <v>0</v>
      </c>
    </row>
    <row r="2063" spans="1:26" ht="22.2" customHeight="1" x14ac:dyDescent="0.3">
      <c r="A2063" s="66" t="str">
        <f>+IF(PROVEEDORES[[#This Row],[FECHA DE PAGO]]=PROVEEDORES[[#This Row],[FECHA DE FACTURACIÓN]],"DE CONTADO","CRÉDITO")</f>
        <v>CRÉDITO</v>
      </c>
      <c r="B2063" s="38" t="str">
        <f>+IF((PROVEEDORES[[#This Row],[FECHA DE PAGO]]-PROVEEDORES[[#This Row],[FECHA DE FACTURACIÓN]])&gt;PROVEEDORES[[#This Row],[PLAZO Días]],"PAGO VENCIDO")</f>
        <v>PAGO VENCIDO</v>
      </c>
      <c r="C2063" s="20">
        <f>+VLOOKUP(PROVEEDORES[[#This Row],[PROVEEDOR]],TERCEROS_INFO[#All],2,FALSE)</f>
        <v>90</v>
      </c>
      <c r="D2063" s="25">
        <f>+SUMIFS(PROVEEDORES[Total],PROVEEDORES[PROVEEDOR],PROVEEDORES[[#This Row],[PROVEEDOR]],PROVEEDORES[FECHA DE PAGO],"")</f>
        <v>75241004.385000005</v>
      </c>
      <c r="E2063" s="25"/>
      <c r="F206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63" s="161">
        <v>44427</v>
      </c>
      <c r="H2063" s="26" t="s">
        <v>77</v>
      </c>
      <c r="I2063" s="161">
        <v>44306</v>
      </c>
      <c r="J2063" s="35" t="s">
        <v>298</v>
      </c>
      <c r="K2063" s="21">
        <v>11575598</v>
      </c>
      <c r="L2063" s="21"/>
      <c r="M2063" s="22">
        <f>(PROVEEDORES[[#This Row],[SUBTOTAL]]-PROVEEDORES[[#This Row],[descuento sobre subtotal]])*VLOOKUP(PROVEEDORES[[#This Row],[PROVEEDOR]],TERCEROS_INFO[#All],3,FALSE)</f>
        <v>2199363.62</v>
      </c>
      <c r="N2063" s="23"/>
      <c r="O2063" s="22">
        <f>+PROVEEDORES[[#This Row],[Descuento sobre subtotal %]]*(PROVEEDORES[[#This Row],[SUBTOTAL]]-PROVEEDORES[[#This Row],[descuento sobre subtotal]])</f>
        <v>0</v>
      </c>
      <c r="P2063" s="83">
        <f>+IF(PROVEEDORES[[#This Row],[SUBTOTAL]]&lt;PROVEEDORES[[#This Row],[base retencion]],0,PROVEEDORES[[#This Row],[retención aplicada]])</f>
        <v>2.5000000000000001E-2</v>
      </c>
      <c r="Q2063" s="22">
        <f>+PROVEEDORES[[#This Row],[Rete Fuente %]]*(PROVEEDORES[[#This Row],[SUBTOTAL]]-PROVEEDORES[[#This Row],[descuento sobre subtotal]])</f>
        <v>289389.95</v>
      </c>
      <c r="R2063" s="21">
        <f>+PROVEEDORES[[#This Row],[SUBTOTAL]]+PROVEEDORES[[#This Row],[IVA 19%]]-PROVEEDORES[[#This Row],[descuento sobre subtotal]]-PROVEEDORES[[#This Row],[Descuento sobre subtotal $2]]-PROVEEDORES[[#This Row],[Rete Fuente $]]</f>
        <v>13485571.670000002</v>
      </c>
      <c r="S206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3" s="68">
        <f ca="1">IF(PROVEEDORES[[#This Row],[FECHA DE PAGO]]=0,TODAY()-PROVEEDORES[[#This Row],[FECHA DE FACTURACIÓN]]-PROVEEDORES[[#This Row],[PLAZO Días]],0)</f>
        <v>0</v>
      </c>
      <c r="U2063" s="96" t="str">
        <f>+VLOOKUP(PROVEEDORES[[#This Row],[PROVEEDOR]],Terceros!$A:$D,4,FALSE)</f>
        <v>2,5% con base</v>
      </c>
      <c r="V2063" s="97">
        <f>+YEAR(PROVEEDORES[[#This Row],[FECHA DE FACTURACIÓN]])</f>
        <v>2021</v>
      </c>
      <c r="W2063" s="97">
        <f>+MATCH(PROVEEDORES[[#This Row],[año facturado]],Retenciones!$1:$1,0)</f>
        <v>4</v>
      </c>
      <c r="X2063" s="98">
        <f>+VLOOKUP(PROVEEDORES[[#This Row],[ID RETENCION]],Retenciones!$A$1:$O$25,PROVEEDORES[[#This Row],[indicador de columna]],FALSE)</f>
        <v>980000</v>
      </c>
      <c r="Y2063" s="99">
        <f>+VLOOKUP(PROVEEDORES[[#This Row],[ID RETENCION]],Retenciones!$A$1:$O$25,2,FALSE)</f>
        <v>2.5000000000000001E-2</v>
      </c>
      <c r="Z2063" s="125" t="b">
        <f>OR(COUNTIF(PROVEEDORES[[#This Row],[PROVEEDOR]],"*"&amp;'Palabra no opera'!$A$2&amp;"*"))</f>
        <v>0</v>
      </c>
    </row>
    <row r="2064" spans="1:26" ht="22.2" customHeight="1" x14ac:dyDescent="0.3">
      <c r="A2064" s="66" t="str">
        <f>+IF(PROVEEDORES[[#This Row],[FECHA DE PAGO]]=PROVEEDORES[[#This Row],[FECHA DE FACTURACIÓN]],"DE CONTADO","CRÉDITO")</f>
        <v>CRÉDITO</v>
      </c>
      <c r="B2064" s="38" t="str">
        <f>+IF((PROVEEDORES[[#This Row],[FECHA DE PAGO]]-PROVEEDORES[[#This Row],[FECHA DE FACTURACIÓN]])&gt;PROVEEDORES[[#This Row],[PLAZO Días]],"PAGO VENCIDO")</f>
        <v>PAGO VENCIDO</v>
      </c>
      <c r="C2064" s="20">
        <f>+VLOOKUP(PROVEEDORES[[#This Row],[PROVEEDOR]],TERCEROS_INFO[#All],2,FALSE)</f>
        <v>30</v>
      </c>
      <c r="D2064" s="25">
        <f>+SUMIFS(PROVEEDORES[Total],PROVEEDORES[PROVEEDOR],PROVEEDORES[[#This Row],[PROVEEDOR]],PROVEEDORES[FECHA DE PAGO],"")</f>
        <v>3430770</v>
      </c>
      <c r="E2064" s="25"/>
      <c r="F206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64" s="161">
        <v>44343</v>
      </c>
      <c r="H2064" s="26" t="s">
        <v>1448</v>
      </c>
      <c r="I2064" s="161">
        <v>44284</v>
      </c>
      <c r="J2064" s="35">
        <v>15631</v>
      </c>
      <c r="K2064" s="21">
        <v>11868000</v>
      </c>
      <c r="L2064" s="21"/>
      <c r="M2064" s="22">
        <f>(PROVEEDORES[[#This Row],[SUBTOTAL]]-PROVEEDORES[[#This Row],[descuento sobre subtotal]])*VLOOKUP(PROVEEDORES[[#This Row],[PROVEEDOR]],TERCEROS_INFO[#All],3,FALSE)</f>
        <v>2254920</v>
      </c>
      <c r="N2064" s="23"/>
      <c r="O2064" s="22">
        <f>+PROVEEDORES[[#This Row],[Descuento sobre subtotal %]]*(PROVEEDORES[[#This Row],[SUBTOTAL]]-PROVEEDORES[[#This Row],[descuento sobre subtotal]])</f>
        <v>0</v>
      </c>
      <c r="P2064" s="83">
        <v>2.5000000000000001E-2</v>
      </c>
      <c r="Q2064" s="22">
        <f>+PROVEEDORES[[#This Row],[Rete Fuente %]]*(PROVEEDORES[[#This Row],[SUBTOTAL]]-PROVEEDORES[[#This Row],[descuento sobre subtotal]])</f>
        <v>296700</v>
      </c>
      <c r="R2064" s="21">
        <f>+PROVEEDORES[[#This Row],[SUBTOTAL]]+PROVEEDORES[[#This Row],[IVA 19%]]-PROVEEDORES[[#This Row],[descuento sobre subtotal]]-PROVEEDORES[[#This Row],[Descuento sobre subtotal $2]]-PROVEEDORES[[#This Row],[Rete Fuente $]]</f>
        <v>13826220</v>
      </c>
      <c r="S206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4" s="68">
        <f ca="1">IF(PROVEEDORES[[#This Row],[FECHA DE PAGO]]=0,TODAY()-PROVEEDORES[[#This Row],[FECHA DE FACTURACIÓN]]-PROVEEDORES[[#This Row],[PLAZO Días]],0)</f>
        <v>0</v>
      </c>
      <c r="U2064" s="96">
        <f>+VLOOKUP(PROVEEDORES[[#This Row],[PROVEEDOR]],Terceros!$A:$D,4,FALSE)</f>
        <v>0</v>
      </c>
      <c r="V2064" s="97">
        <f>+YEAR(PROVEEDORES[[#This Row],[FECHA DE FACTURACIÓN]])</f>
        <v>2021</v>
      </c>
      <c r="W2064" s="97">
        <f>+MATCH(PROVEEDORES[[#This Row],[año facturado]],Retenciones!$1:$1,0)</f>
        <v>4</v>
      </c>
      <c r="X2064" s="98">
        <f>+VLOOKUP(PROVEEDORES[[#This Row],[ID RETENCION]],Retenciones!$A$1:$O$25,PROVEEDORES[[#This Row],[indicador de columna]],FALSE)</f>
        <v>0</v>
      </c>
      <c r="Y2064" s="99">
        <f>+VLOOKUP(PROVEEDORES[[#This Row],[ID RETENCION]],Retenciones!$A$1:$O$25,2,FALSE)</f>
        <v>0</v>
      </c>
      <c r="Z2064" s="125" t="b">
        <f>OR(COUNTIF(PROVEEDORES[[#This Row],[PROVEEDOR]],"*"&amp;'Palabra no opera'!$A$2&amp;"*"))</f>
        <v>0</v>
      </c>
    </row>
    <row r="2065" spans="1:26" ht="22.2" customHeight="1" x14ac:dyDescent="0.3">
      <c r="A2065" s="269" t="str">
        <f>+IF(PROVEEDORES[[#This Row],[FECHA DE PAGO]]=PROVEEDORES[[#This Row],[FECHA DE FACTURACIÓN]],"DE CONTADO","CRÉDITO")</f>
        <v>CRÉDITO</v>
      </c>
      <c r="B2065" s="38" t="b">
        <f>+IF((PROVEEDORES[[#This Row],[FECHA DE PAGO]]-PROVEEDORES[[#This Row],[FECHA DE FACTURACIÓN]])&gt;PROVEEDORES[[#This Row],[PLAZO Días]],"PAGO VENCIDO")</f>
        <v>0</v>
      </c>
      <c r="C2065" s="20">
        <f>+VLOOKUP(PROVEEDORES[[#This Row],[PROVEEDOR]],TERCEROS_INFO[#All],2,FALSE)</f>
        <v>30</v>
      </c>
      <c r="D2065" s="25">
        <f>+SUMIFS(PROVEEDORES[Total],PROVEEDORES[PROVEEDOR],PROVEEDORES[[#This Row],[PROVEEDOR]],PROVEEDORES[FECHA DE PAGO],"")</f>
        <v>0</v>
      </c>
      <c r="E2065" s="25"/>
      <c r="F2065" s="58" t="str">
        <f>+VLOOKUP(PROVEEDORES[[#This Row],[PROVEEDOR]],
                       Terceros!$A:$F,
                       5,
                       FALSE)</f>
        <v/>
      </c>
      <c r="G2065" s="161">
        <v>44859</v>
      </c>
      <c r="H2065" s="26" t="s">
        <v>1767</v>
      </c>
      <c r="I2065" s="161">
        <v>44858</v>
      </c>
      <c r="J2065" s="35" t="s">
        <v>1798</v>
      </c>
      <c r="K2065" s="21">
        <v>13934000</v>
      </c>
      <c r="L2065" s="21"/>
      <c r="M2065" s="22">
        <f>(PROVEEDORES[[#This Row],[SUBTOTAL]]-PROVEEDORES[[#This Row],[descuento sobre subtotal]])*VLOOKUP(PROVEEDORES[[#This Row],[PROVEEDOR]],TERCEROS_INFO[#All],3,FALSE)</f>
        <v>0</v>
      </c>
      <c r="N2065" s="23"/>
      <c r="O2065" s="22">
        <f>+PROVEEDORES[[#This Row],[Descuento sobre subtotal %]]*(PROVEEDORES[[#This Row],[SUBTOTAL]]-PROVEEDORES[[#This Row],[descuento sobre subtotal]])</f>
        <v>0</v>
      </c>
      <c r="P2065" s="83">
        <f>+IF(PROVEEDORES[[#This Row],[SUBTOTAL]]&lt;PROVEEDORES[[#This Row],[base retencion]],0,PROVEEDORES[[#This Row],[retención aplicada]])</f>
        <v>0</v>
      </c>
      <c r="Q2065" s="22">
        <f>+PROVEEDORES[[#This Row],[Rete Fuente %]]*(PROVEEDORES[[#This Row],[SUBTOTAL]]-PROVEEDORES[[#This Row],[descuento sobre subtotal]])</f>
        <v>0</v>
      </c>
      <c r="R2065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2065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5" s="68">
        <f ca="1">IF(PROVEEDORES[[#This Row],[FECHA DE PAGO]]=0,TODAY()-PROVEEDORES[[#This Row],[FECHA DE FACTURACIÓN]]-PROVEEDORES[[#This Row],[PLAZO Días]],0)</f>
        <v>0</v>
      </c>
      <c r="U2065" s="113">
        <f>+VLOOKUP(PROVEEDORES[[#This Row],[PROVEEDOR]],Terceros!$A:$D,4,FALSE)</f>
        <v>0</v>
      </c>
      <c r="V2065" s="114">
        <f>+YEAR(PROVEEDORES[[#This Row],[FECHA DE FACTURACIÓN]])</f>
        <v>2022</v>
      </c>
      <c r="W2065" s="114">
        <f>+MATCH(PROVEEDORES[[#This Row],[año facturado]],Retenciones!$1:$1,0)</f>
        <v>5</v>
      </c>
      <c r="X2065" s="115">
        <f>+VLOOKUP(PROVEEDORES[[#This Row],[ID RETENCION]],Retenciones!$A$1:$O$25,PROVEEDORES[[#This Row],[indicador de columna]],FALSE)</f>
        <v>0</v>
      </c>
      <c r="Y2065" s="116">
        <f>+VLOOKUP(PROVEEDORES[[#This Row],[ID RETENCION]],Retenciones!$A$1:$O$25,2,FALSE)</f>
        <v>0</v>
      </c>
      <c r="Z2065" s="125" t="b">
        <f>OR(COUNTIF(PROVEEDORES[[#This Row],[PROVEEDOR]],"*"&amp;'Palabra no opera'!$A$2&amp;"*"))</f>
        <v>0</v>
      </c>
    </row>
    <row r="2066" spans="1:26" ht="22.2" customHeight="1" x14ac:dyDescent="0.3">
      <c r="A2066" s="72" t="str">
        <f>+IF(PROVEEDORES[[#This Row],[FECHA DE PAGO]]=PROVEEDORES[[#This Row],[FECHA DE FACTURACIÓN]],"DE CONTADO","CRÉDITO")</f>
        <v>CRÉDITO</v>
      </c>
      <c r="B2066" s="38" t="b">
        <f>+IF((PROVEEDORES[[#This Row],[FECHA DE PAGO]]-PROVEEDORES[[#This Row],[FECHA DE FACTURACIÓN]])&gt;PROVEEDORES[[#This Row],[PLAZO Días]],"PAGO VENCIDO")</f>
        <v>0</v>
      </c>
      <c r="C2066" s="20">
        <f>+VLOOKUP(PROVEEDORES[[#This Row],[PROVEEDOR]],TERCEROS_INFO[#All],2,FALSE)</f>
        <v>30</v>
      </c>
      <c r="D2066" s="25">
        <f>+SUMIFS(PROVEEDORES[Total],PROVEEDORES[PROVEEDOR],PROVEEDORES[[#This Row],[PROVEEDOR]],PROVEEDORES[FECHA DE PAGO],"")</f>
        <v>0</v>
      </c>
      <c r="E2066" s="25"/>
      <c r="F2066" s="58" t="str">
        <f>+VLOOKUP(PROVEEDORES[[#This Row],[PROVEEDOR]],
                       Terceros!$A:$F,
                       5,
                       FALSE)</f>
        <v/>
      </c>
      <c r="G2066" s="161">
        <v>44859</v>
      </c>
      <c r="H2066" s="26" t="s">
        <v>638</v>
      </c>
      <c r="I2066" s="161">
        <v>44858</v>
      </c>
      <c r="J2066" s="35" t="s">
        <v>1798</v>
      </c>
      <c r="K2066" s="21">
        <v>13934000</v>
      </c>
      <c r="L2066" s="21"/>
      <c r="M2066" s="22">
        <f>(PROVEEDORES[[#This Row],[SUBTOTAL]]-PROVEEDORES[[#This Row],[descuento sobre subtotal]])*VLOOKUP(PROVEEDORES[[#This Row],[PROVEEDOR]],TERCEROS_INFO[#All],3,FALSE)</f>
        <v>0</v>
      </c>
      <c r="N2066" s="23"/>
      <c r="O2066" s="22">
        <f>+PROVEEDORES[[#This Row],[Descuento sobre subtotal %]]*(PROVEEDORES[[#This Row],[SUBTOTAL]]-PROVEEDORES[[#This Row],[descuento sobre subtotal]])</f>
        <v>0</v>
      </c>
      <c r="P2066" s="83">
        <f>+IF(PROVEEDORES[[#This Row],[SUBTOTAL]]&lt;PROVEEDORES[[#This Row],[base retencion]],0,PROVEEDORES[[#This Row],[retención aplicada]])</f>
        <v>0</v>
      </c>
      <c r="Q2066" s="22">
        <f>+PROVEEDORES[[#This Row],[Rete Fuente %]]*(PROVEEDORES[[#This Row],[SUBTOTAL]]-PROVEEDORES[[#This Row],[descuento sobre subtotal]])</f>
        <v>0</v>
      </c>
      <c r="R2066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206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6" s="68">
        <f ca="1">IF(PROVEEDORES[[#This Row],[FECHA DE PAGO]]=0,TODAY()-PROVEEDORES[[#This Row],[FECHA DE FACTURACIÓN]]-PROVEEDORES[[#This Row],[PLAZO Días]],0)</f>
        <v>0</v>
      </c>
      <c r="U2066" s="113">
        <f>+VLOOKUP(PROVEEDORES[[#This Row],[PROVEEDOR]],Terceros!$A:$D,4,FALSE)</f>
        <v>0</v>
      </c>
      <c r="V2066" s="114">
        <f>+YEAR(PROVEEDORES[[#This Row],[FECHA DE FACTURACIÓN]])</f>
        <v>2022</v>
      </c>
      <c r="W2066" s="114">
        <f>+MATCH(PROVEEDORES[[#This Row],[año facturado]],Retenciones!$1:$1,0)</f>
        <v>5</v>
      </c>
      <c r="X2066" s="115">
        <f>+VLOOKUP(PROVEEDORES[[#This Row],[ID RETENCION]],Retenciones!$A$1:$O$25,PROVEEDORES[[#This Row],[indicador de columna]],FALSE)</f>
        <v>0</v>
      </c>
      <c r="Y2066" s="116">
        <f>+VLOOKUP(PROVEEDORES[[#This Row],[ID RETENCION]],Retenciones!$A$1:$O$25,2,FALSE)</f>
        <v>0</v>
      </c>
      <c r="Z2066" s="125" t="b">
        <f>OR(COUNTIF(PROVEEDORES[[#This Row],[PROVEEDOR]],"*"&amp;'Palabra no opera'!$A$2&amp;"*"))</f>
        <v>0</v>
      </c>
    </row>
    <row r="2067" spans="1:26" ht="22.2" customHeight="1" x14ac:dyDescent="0.3">
      <c r="A2067" s="66" t="str">
        <f>+IF(PROVEEDORES[[#This Row],[FECHA DE PAGO]]=PROVEEDORES[[#This Row],[FECHA DE FACTURACIÓN]],"DE CONTADO","CRÉDITO")</f>
        <v>CRÉDITO</v>
      </c>
      <c r="B2067" s="38" t="str">
        <f>+IF((PROVEEDORES[[#This Row],[FECHA DE PAGO]]-PROVEEDORES[[#This Row],[FECHA DE FACTURACIÓN]])&gt;PROVEEDORES[[#This Row],[PLAZO Días]],"PAGO VENCIDO")</f>
        <v>PAGO VENCIDO</v>
      </c>
      <c r="C2067" s="20">
        <f>+VLOOKUP(PROVEEDORES[[#This Row],[PROVEEDOR]],TERCEROS_INFO[#All],2,FALSE)</f>
        <v>45</v>
      </c>
      <c r="D2067" s="25">
        <f>+SUMIFS(PROVEEDORES[Total],PROVEEDORES[PROVEEDOR],PROVEEDORES[[#This Row],[PROVEEDOR]],PROVEEDORES[FECHA DE PAGO],"")</f>
        <v>31891814.359999999</v>
      </c>
      <c r="E2067" s="25"/>
      <c r="F206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67" s="161">
        <v>44284</v>
      </c>
      <c r="H2067" s="26" t="s">
        <v>19</v>
      </c>
      <c r="I2067" s="161">
        <v>44224</v>
      </c>
      <c r="J2067" s="35" t="s">
        <v>166</v>
      </c>
      <c r="K2067" s="21">
        <v>11854200</v>
      </c>
      <c r="L2067" s="21"/>
      <c r="M2067" s="22">
        <f>(PROVEEDORES[[#This Row],[SUBTOTAL]]-PROVEEDORES[[#This Row],[descuento sobre subtotal]])*VLOOKUP(PROVEEDORES[[#This Row],[PROVEEDOR]],TERCEROS_INFO[#All],3,FALSE)</f>
        <v>2252298</v>
      </c>
      <c r="N2067" s="23"/>
      <c r="O2067" s="22">
        <f>+PROVEEDORES[[#This Row],[Descuento sobre subtotal %]]*(PROVEEDORES[[#This Row],[SUBTOTAL]]-PROVEEDORES[[#This Row],[descuento sobre subtotal]])</f>
        <v>0</v>
      </c>
      <c r="P2067" s="83">
        <f>+IF(PROVEEDORES[[#This Row],[SUBTOTAL]]&lt;PROVEEDORES[[#This Row],[base retencion]],0,PROVEEDORES[[#This Row],[retención aplicada]])</f>
        <v>0</v>
      </c>
      <c r="Q2067" s="22">
        <f>+PROVEEDORES[[#This Row],[Rete Fuente %]]*(PROVEEDORES[[#This Row],[SUBTOTAL]]-PROVEEDORES[[#This Row],[descuento sobre subtotal]])</f>
        <v>0</v>
      </c>
      <c r="R2067" s="21">
        <f>+PROVEEDORES[[#This Row],[SUBTOTAL]]+PROVEEDORES[[#This Row],[IVA 19%]]-PROVEEDORES[[#This Row],[descuento sobre subtotal]]-PROVEEDORES[[#This Row],[Descuento sobre subtotal $2]]-PROVEEDORES[[#This Row],[Rete Fuente $]]</f>
        <v>14106498</v>
      </c>
      <c r="S206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7" s="68">
        <f ca="1">IF(PROVEEDORES[[#This Row],[FECHA DE PAGO]]=0,TODAY()-PROVEEDORES[[#This Row],[FECHA DE FACTURACIÓN]]-PROVEEDORES[[#This Row],[PLAZO Días]],0)</f>
        <v>0</v>
      </c>
      <c r="U2067" s="96">
        <f>+VLOOKUP(PROVEEDORES[[#This Row],[PROVEEDOR]],Terceros!$A:$D,4,FALSE)</f>
        <v>0</v>
      </c>
      <c r="V2067" s="97">
        <f>+YEAR(PROVEEDORES[[#This Row],[FECHA DE FACTURACIÓN]])</f>
        <v>2021</v>
      </c>
      <c r="W2067" s="97">
        <f>+MATCH(PROVEEDORES[[#This Row],[año facturado]],Retenciones!$1:$1,0)</f>
        <v>4</v>
      </c>
      <c r="X2067" s="98">
        <f>+VLOOKUP(PROVEEDORES[[#This Row],[ID RETENCION]],Retenciones!$A$1:$O$25,PROVEEDORES[[#This Row],[indicador de columna]],FALSE)</f>
        <v>0</v>
      </c>
      <c r="Y2067" s="99">
        <f>+VLOOKUP(PROVEEDORES[[#This Row],[ID RETENCION]],Retenciones!$A$1:$O$25,2,FALSE)</f>
        <v>0</v>
      </c>
      <c r="Z2067" s="125" t="b">
        <f>OR(COUNTIF(PROVEEDORES[[#This Row],[PROVEEDOR]],"*"&amp;'Palabra no opera'!$A$2&amp;"*"))</f>
        <v>0</v>
      </c>
    </row>
    <row r="2068" spans="1:26" ht="22.2" customHeight="1" x14ac:dyDescent="0.3">
      <c r="A2068" s="66" t="str">
        <f>+IF(PROVEEDORES[[#This Row],[FECHA DE PAGO]]=PROVEEDORES[[#This Row],[FECHA DE FACTURACIÓN]],"DE CONTADO","CRÉDITO")</f>
        <v>CRÉDITO</v>
      </c>
      <c r="B2068" s="38" t="b">
        <f>+IF((PROVEEDORES[[#This Row],[FECHA DE PAGO]]-PROVEEDORES[[#This Row],[FECHA DE FACTURACIÓN]])&gt;PROVEEDORES[[#This Row],[PLAZO Días]],"PAGO VENCIDO")</f>
        <v>0</v>
      </c>
      <c r="C2068" s="20">
        <f>+VLOOKUP(PROVEEDORES[[#This Row],[PROVEEDOR]],TERCEROS_INFO[#All],2,FALSE)</f>
        <v>90</v>
      </c>
      <c r="D2068" s="25">
        <f>+SUMIFS(PROVEEDORES[Total],PROVEEDORES[PROVEEDOR],PROVEEDORES[[#This Row],[PROVEEDOR]],PROVEEDORES[FECHA DE PAGO],"")</f>
        <v>26350422.770000003</v>
      </c>
      <c r="E2068" s="25"/>
      <c r="F206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68" s="161">
        <v>44568</v>
      </c>
      <c r="H2068" s="26" t="s">
        <v>12</v>
      </c>
      <c r="I2068" s="161">
        <v>44495</v>
      </c>
      <c r="J2068" s="35" t="s">
        <v>514</v>
      </c>
      <c r="K2068" s="21">
        <v>12134469</v>
      </c>
      <c r="L2068" s="21"/>
      <c r="M2068" s="22">
        <v>2305549.11</v>
      </c>
      <c r="N2068" s="23"/>
      <c r="O2068" s="22">
        <v>0</v>
      </c>
      <c r="P2068" s="83">
        <f>+IF(PROVEEDORES[[#This Row],[SUBTOTAL]]&lt;PROVEEDORES[[#This Row],[base retencion]],0,PROVEEDORES[[#This Row],[retención aplicada]])</f>
        <v>2.5000000000000001E-2</v>
      </c>
      <c r="Q2068" s="22">
        <f>+PROVEEDORES[[#This Row],[Rete Fuente %]]*(PROVEEDORES[[#This Row],[SUBTOTAL]]-PROVEEDORES[[#This Row],[descuento sobre subtotal]])</f>
        <v>303361.72500000003</v>
      </c>
      <c r="R2068" s="21">
        <v>14136656.385</v>
      </c>
      <c r="S206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8" s="68">
        <f ca="1">IF(PROVEEDORES[[#This Row],[FECHA DE PAGO]]=0,TODAY()-PROVEEDORES[[#This Row],[FECHA DE FACTURACIÓN]]-PROVEEDORES[[#This Row],[PLAZO Días]],0)</f>
        <v>0</v>
      </c>
      <c r="U2068" s="96" t="str">
        <f>+VLOOKUP(PROVEEDORES[[#This Row],[PROVEEDOR]],Terceros!$A:$D,4,FALSE)</f>
        <v>2,5% con base</v>
      </c>
      <c r="V2068" s="97">
        <f>+YEAR(PROVEEDORES[[#This Row],[FECHA DE FACTURACIÓN]])</f>
        <v>2021</v>
      </c>
      <c r="W2068" s="97">
        <f>+MATCH(PROVEEDORES[[#This Row],[año facturado]],Retenciones!$1:$1,0)</f>
        <v>4</v>
      </c>
      <c r="X2068" s="98">
        <f>+VLOOKUP(PROVEEDORES[[#This Row],[ID RETENCION]],Retenciones!$A$1:$O$25,PROVEEDORES[[#This Row],[indicador de columna]],FALSE)</f>
        <v>980000</v>
      </c>
      <c r="Y2068" s="99">
        <f>+VLOOKUP(PROVEEDORES[[#This Row],[ID RETENCION]],Retenciones!$A$1:$O$25,2,FALSE)</f>
        <v>2.5000000000000001E-2</v>
      </c>
      <c r="Z2068" s="125" t="b">
        <f>OR(COUNTIF(PROVEEDORES[[#This Row],[PROVEEDOR]],"*"&amp;'Palabra no opera'!$A$2&amp;"*"))</f>
        <v>0</v>
      </c>
    </row>
    <row r="2069" spans="1:26" ht="22.2" customHeight="1" x14ac:dyDescent="0.3">
      <c r="A2069" s="66" t="str">
        <f>+IF(PROVEEDORES[[#This Row],[FECHA DE PAGO]]=PROVEEDORES[[#This Row],[FECHA DE FACTURACIÓN]],"DE CONTADO","CRÉDITO")</f>
        <v>CRÉDITO</v>
      </c>
      <c r="B2069" s="38" t="str">
        <f>+IF((PROVEEDORES[[#This Row],[FECHA DE PAGO]]-PROVEEDORES[[#This Row],[FECHA DE FACTURACIÓN]])&gt;PROVEEDORES[[#This Row],[PLAZO Días]],"PAGO VENCIDO")</f>
        <v>PAGO VENCIDO</v>
      </c>
      <c r="C2069" s="20">
        <f>+VLOOKUP(PROVEEDORES[[#This Row],[PROVEEDOR]],TERCEROS_INFO[#All],2,FALSE)</f>
        <v>90</v>
      </c>
      <c r="D2069" s="25">
        <f>+SUMIFS(PROVEEDORES[Total],PROVEEDORES[PROVEEDOR],PROVEEDORES[[#This Row],[PROVEEDOR]],PROVEEDORES[FECHA DE PAGO],"")</f>
        <v>26350422.770000003</v>
      </c>
      <c r="E2069" s="25"/>
      <c r="F206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69" s="161">
        <v>44351</v>
      </c>
      <c r="H2069" s="26" t="s">
        <v>12</v>
      </c>
      <c r="I2069" s="161">
        <v>44185</v>
      </c>
      <c r="J2069" s="35" t="s">
        <v>95</v>
      </c>
      <c r="K2069" s="21">
        <v>12248739.529411765</v>
      </c>
      <c r="L2069" s="21"/>
      <c r="M2069" s="22">
        <f>(PROVEEDORES[[#This Row],[SUBTOTAL]]-PROVEEDORES[[#This Row],[descuento sobre subtotal]])*VLOOKUP(PROVEEDORES[[#This Row],[PROVEEDOR]],TERCEROS_INFO[#All],3,FALSE)</f>
        <v>2327260.5105882352</v>
      </c>
      <c r="N2069" s="23"/>
      <c r="O2069" s="22">
        <f>+PROVEEDORES[[#This Row],[Descuento sobre subtotal %]]*(PROVEEDORES[[#This Row],[SUBTOTAL]]-PROVEEDORES[[#This Row],[descuento sobre subtotal]])</f>
        <v>0</v>
      </c>
      <c r="P2069" s="83">
        <f>+IF(PROVEEDORES[[#This Row],[SUBTOTAL]]&lt;PROVEEDORES[[#This Row],[base retencion]],0,PROVEEDORES[[#This Row],[retención aplicada]])</f>
        <v>2.5000000000000001E-2</v>
      </c>
      <c r="Q2069" s="22">
        <f>+PROVEEDORES[[#This Row],[Rete Fuente %]]*(PROVEEDORES[[#This Row],[SUBTOTAL]]-PROVEEDORES[[#This Row],[descuento sobre subtotal]])</f>
        <v>306218.48823529412</v>
      </c>
      <c r="R2069" s="21">
        <f>+PROVEEDORES[[#This Row],[SUBTOTAL]]+PROVEEDORES[[#This Row],[IVA 19%]]-PROVEEDORES[[#This Row],[descuento sobre subtotal]]-PROVEEDORES[[#This Row],[Descuento sobre subtotal $2]]-PROVEEDORES[[#This Row],[Rete Fuente $]]</f>
        <v>14269781.551764704</v>
      </c>
      <c r="S206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9" s="68">
        <f ca="1">IF(PROVEEDORES[[#This Row],[FECHA DE PAGO]]=0,TODAY()-PROVEEDORES[[#This Row],[FECHA DE FACTURACIÓN]]-PROVEEDORES[[#This Row],[PLAZO Días]],0)</f>
        <v>0</v>
      </c>
      <c r="U2069" s="96" t="str">
        <f>+VLOOKUP(PROVEEDORES[[#This Row],[PROVEEDOR]],Terceros!$A:$D,4,FALSE)</f>
        <v>2,5% con base</v>
      </c>
      <c r="V2069" s="97">
        <f>+YEAR(PROVEEDORES[[#This Row],[FECHA DE FACTURACIÓN]])</f>
        <v>2020</v>
      </c>
      <c r="W2069" s="97">
        <f>+MATCH(PROVEEDORES[[#This Row],[año facturado]],Retenciones!$1:$1,0)</f>
        <v>3</v>
      </c>
      <c r="X2069" s="98">
        <f>+VLOOKUP(PROVEEDORES[[#This Row],[ID RETENCION]],Retenciones!$A$1:$O$25,PROVEEDORES[[#This Row],[indicador de columna]],FALSE)</f>
        <v>961000</v>
      </c>
      <c r="Y2069" s="99">
        <f>+VLOOKUP(PROVEEDORES[[#This Row],[ID RETENCION]],Retenciones!$A$1:$O$25,2,FALSE)</f>
        <v>2.5000000000000001E-2</v>
      </c>
      <c r="Z2069" s="125" t="b">
        <f>OR(COUNTIF(PROVEEDORES[[#This Row],[PROVEEDOR]],"*"&amp;'Palabra no opera'!$A$2&amp;"*"))</f>
        <v>0</v>
      </c>
    </row>
    <row r="2070" spans="1:26" ht="22.2" customHeight="1" x14ac:dyDescent="0.3">
      <c r="A2070" s="66" t="str">
        <f>+IF(PROVEEDORES[[#This Row],[FECHA DE PAGO]]=PROVEEDORES[[#This Row],[FECHA DE FACTURACIÓN]],"DE CONTADO","CRÉDITO")</f>
        <v>CRÉDITO</v>
      </c>
      <c r="B2070" s="38" t="str">
        <f>+IF((PROVEEDORES[[#This Row],[FECHA DE PAGO]]-PROVEEDORES[[#This Row],[FECHA DE FACTURACIÓN]])&gt;PROVEEDORES[[#This Row],[PLAZO Días]],"PAGO VENCIDO")</f>
        <v>PAGO VENCIDO</v>
      </c>
      <c r="C2070" s="20">
        <f>+VLOOKUP(PROVEEDORES[[#This Row],[PROVEEDOR]],TERCEROS_INFO[#All],2,FALSE)</f>
        <v>30</v>
      </c>
      <c r="D2070" s="25">
        <f>+SUMIFS(PROVEEDORES[Total],PROVEEDORES[PROVEEDOR],PROVEEDORES[[#This Row],[PROVEEDOR]],PROVEEDORES[FECHA DE PAGO],"")</f>
        <v>3430770</v>
      </c>
      <c r="E2070" s="25"/>
      <c r="F207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70" s="161">
        <v>44389</v>
      </c>
      <c r="H2070" s="26" t="s">
        <v>1448</v>
      </c>
      <c r="I2070" s="161">
        <v>44343</v>
      </c>
      <c r="J2070" s="35">
        <v>17710</v>
      </c>
      <c r="K2070" s="21">
        <v>12588000</v>
      </c>
      <c r="L2070" s="21"/>
      <c r="M2070" s="22">
        <f>(PROVEEDORES[[#This Row],[SUBTOTAL]]-PROVEEDORES[[#This Row],[descuento sobre subtotal]])*VLOOKUP(PROVEEDORES[[#This Row],[PROVEEDOR]],TERCEROS_INFO[#All],3,FALSE)</f>
        <v>2391720</v>
      </c>
      <c r="N2070" s="23"/>
      <c r="O2070" s="22">
        <f>+PROVEEDORES[[#This Row],[Descuento sobre subtotal %]]*(PROVEEDORES[[#This Row],[SUBTOTAL]]-PROVEEDORES[[#This Row],[descuento sobre subtotal]])</f>
        <v>0</v>
      </c>
      <c r="P2070" s="83">
        <v>2.5000000000000001E-2</v>
      </c>
      <c r="Q2070" s="22">
        <f>+PROVEEDORES[[#This Row],[Rete Fuente %]]*(PROVEEDORES[[#This Row],[SUBTOTAL]]-PROVEEDORES[[#This Row],[descuento sobre subtotal]])</f>
        <v>314700</v>
      </c>
      <c r="R2070" s="21">
        <f>+PROVEEDORES[[#This Row],[SUBTOTAL]]+PROVEEDORES[[#This Row],[IVA 19%]]-PROVEEDORES[[#This Row],[descuento sobre subtotal]]-PROVEEDORES[[#This Row],[Descuento sobre subtotal $2]]-PROVEEDORES[[#This Row],[Rete Fuente $]]</f>
        <v>14665020</v>
      </c>
      <c r="S207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0" s="68">
        <f ca="1">IF(PROVEEDORES[[#This Row],[FECHA DE PAGO]]=0,TODAY()-PROVEEDORES[[#This Row],[FECHA DE FACTURACIÓN]]-PROVEEDORES[[#This Row],[PLAZO Días]],0)</f>
        <v>0</v>
      </c>
      <c r="U2070" s="96">
        <f>+VLOOKUP(PROVEEDORES[[#This Row],[PROVEEDOR]],Terceros!$A:$D,4,FALSE)</f>
        <v>0</v>
      </c>
      <c r="V2070" s="97">
        <f>+YEAR(PROVEEDORES[[#This Row],[FECHA DE FACTURACIÓN]])</f>
        <v>2021</v>
      </c>
      <c r="W2070" s="97">
        <f>+MATCH(PROVEEDORES[[#This Row],[año facturado]],Retenciones!$1:$1,0)</f>
        <v>4</v>
      </c>
      <c r="X2070" s="98">
        <f>+VLOOKUP(PROVEEDORES[[#This Row],[ID RETENCION]],Retenciones!$A$1:$O$25,PROVEEDORES[[#This Row],[indicador de columna]],FALSE)</f>
        <v>0</v>
      </c>
      <c r="Y2070" s="99">
        <f>+VLOOKUP(PROVEEDORES[[#This Row],[ID RETENCION]],Retenciones!$A$1:$O$25,2,FALSE)</f>
        <v>0</v>
      </c>
      <c r="Z2070" s="125" t="b">
        <f>OR(COUNTIF(PROVEEDORES[[#This Row],[PROVEEDOR]],"*"&amp;'Palabra no opera'!$A$2&amp;"*"))</f>
        <v>0</v>
      </c>
    </row>
    <row r="2071" spans="1:26" ht="22.2" customHeight="1" x14ac:dyDescent="0.3">
      <c r="A2071" s="72" t="str">
        <f>+IF(PROVEEDORES[[#This Row],[FECHA DE PAGO]]=PROVEEDORES[[#This Row],[FECHA DE FACTURACIÓN]],"DE CONTADO","CRÉDITO")</f>
        <v>CRÉDITO</v>
      </c>
      <c r="B2071" s="38" t="b">
        <f>+IF((PROVEEDORES[[#This Row],[FECHA DE PAGO]]-PROVEEDORES[[#This Row],[FECHA DE FACTURACIÓN]])&gt;PROVEEDORES[[#This Row],[PLAZO Días]],"PAGO VENCIDO")</f>
        <v>0</v>
      </c>
      <c r="C2071" s="20">
        <f>+VLOOKUP(PROVEEDORES[[#This Row],[PROVEEDOR]],TERCEROS_INFO[#All],2,FALSE)</f>
        <v>60</v>
      </c>
      <c r="D2071" s="25">
        <f>+SUMIFS(PROVEEDORES[Total],PROVEEDORES[PROVEEDOR],PROVEEDORES[[#This Row],[PROVEEDOR]],PROVEEDORES[FECHA DE PAGO],"")</f>
        <v>23264500</v>
      </c>
      <c r="E2071" s="25"/>
      <c r="F2071" s="58">
        <f>+VLOOKUP(PROVEEDORES[[#This Row],[PROVEEDOR]],
                       Terceros!$A:$F,
                       5,
                       FALSE)</f>
        <v>0</v>
      </c>
      <c r="H2071" s="26" t="s">
        <v>1429</v>
      </c>
      <c r="I2071" s="161">
        <v>44865</v>
      </c>
      <c r="J2071" s="35" t="s">
        <v>1815</v>
      </c>
      <c r="K2071" s="21">
        <v>12500000</v>
      </c>
      <c r="L2071" s="21"/>
      <c r="M2071" s="22">
        <f>(PROVEEDORES[[#This Row],[SUBTOTAL]]-PROVEEDORES[[#This Row],[descuento sobre subtotal]])*VLOOKUP(PROVEEDORES[[#This Row],[PROVEEDOR]],TERCEROS_INFO[#All],3,FALSE)</f>
        <v>2375000</v>
      </c>
      <c r="N2071" s="23"/>
      <c r="O2071" s="22">
        <f>+PROVEEDORES[[#This Row],[Descuento sobre subtotal %]]*(PROVEEDORES[[#This Row],[SUBTOTAL]]-PROVEEDORES[[#This Row],[descuento sobre subtotal]])</f>
        <v>0</v>
      </c>
      <c r="P2071" s="83">
        <f>+IF(PROVEEDORES[[#This Row],[SUBTOTAL]]&lt;PROVEEDORES[[#This Row],[base retencion]],0,PROVEEDORES[[#This Row],[retención aplicada]])</f>
        <v>0</v>
      </c>
      <c r="Q2071" s="22">
        <f>+PROVEEDORES[[#This Row],[Rete Fuente %]]*(PROVEEDORES[[#This Row],[SUBTOTAL]]-PROVEEDORES[[#This Row],[descuento sobre subtotal]])</f>
        <v>0</v>
      </c>
      <c r="R2071" s="21">
        <f>+PROVEEDORES[[#This Row],[SUBTOTAL]]+PROVEEDORES[[#This Row],[IVA 19%]]-PROVEEDORES[[#This Row],[descuento sobre subtotal]]-PROVEEDORES[[#This Row],[Descuento sobre subtotal $2]]-PROVEEDORES[[#This Row],[Rete Fuente $]]</f>
        <v>14875000</v>
      </c>
      <c r="S2071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71" s="68">
        <f ca="1">IF(PROVEEDORES[[#This Row],[FECHA DE PAGO]]=0,TODAY()-PROVEEDORES[[#This Row],[FECHA DE FACTURACIÓN]]-PROVEEDORES[[#This Row],[PLAZO Días]],0)</f>
        <v>-50</v>
      </c>
      <c r="U2071" s="113">
        <f>+VLOOKUP(PROVEEDORES[[#This Row],[PROVEEDOR]],Terceros!$A:$D,4,FALSE)</f>
        <v>0</v>
      </c>
      <c r="V2071" s="114">
        <f>+YEAR(PROVEEDORES[[#This Row],[FECHA DE FACTURACIÓN]])</f>
        <v>2022</v>
      </c>
      <c r="W2071" s="114">
        <f>+MATCH(PROVEEDORES[[#This Row],[año facturado]],Retenciones!$1:$1,0)</f>
        <v>5</v>
      </c>
      <c r="X2071" s="115">
        <f>+VLOOKUP(PROVEEDORES[[#This Row],[ID RETENCION]],Retenciones!$A$1:$O$25,PROVEEDORES[[#This Row],[indicador de columna]],FALSE)</f>
        <v>0</v>
      </c>
      <c r="Y2071" s="116">
        <f>+VLOOKUP(PROVEEDORES[[#This Row],[ID RETENCION]],Retenciones!$A$1:$O$25,2,FALSE)</f>
        <v>0</v>
      </c>
      <c r="Z2071" s="125" t="b">
        <f>OR(COUNTIF(PROVEEDORES[[#This Row],[PROVEEDOR]],"*"&amp;'Palabra no opera'!$A$2&amp;"*"))</f>
        <v>1</v>
      </c>
    </row>
    <row r="2072" spans="1:26" ht="22.2" customHeight="1" x14ac:dyDescent="0.3">
      <c r="A2072" s="66" t="str">
        <f>+IF(PROVEEDORES[[#This Row],[FECHA DE PAGO]]=PROVEEDORES[[#This Row],[FECHA DE FACTURACIÓN]],"DE CONTADO","CRÉDITO")</f>
        <v>CRÉDITO</v>
      </c>
      <c r="B2072" s="38" t="b">
        <f>+IF((PROVEEDORES[[#This Row],[FECHA DE PAGO]]-PROVEEDORES[[#This Row],[FECHA DE FACTURACIÓN]])&gt;PROVEEDORES[[#This Row],[PLAZO Días]],"PAGO VENCIDO")</f>
        <v>0</v>
      </c>
      <c r="C2072" s="20">
        <f>+VLOOKUP(PROVEEDORES[[#This Row],[PROVEEDOR]],TERCEROS_INFO[#All],2,FALSE)</f>
        <v>30</v>
      </c>
      <c r="D2072" s="25">
        <f>+SUMIFS(PROVEEDORES[Total],PROVEEDORES[PROVEEDOR],PROVEEDORES[[#This Row],[PROVEEDOR]],PROVEEDORES[FECHA DE PAGO],"")</f>
        <v>0</v>
      </c>
      <c r="E2072" s="25"/>
      <c r="F2072" s="58" t="str">
        <f>+VLOOKUP(PROVEEDORES[[#This Row],[PROVEEDOR]],
                       Terceros!$A:$F,
                       5,
                       FALSE)</f>
        <v/>
      </c>
      <c r="G2072" s="161">
        <v>44543</v>
      </c>
      <c r="H2072" s="26" t="s">
        <v>55</v>
      </c>
      <c r="I2072" s="161">
        <v>44542</v>
      </c>
      <c r="J2072" s="35">
        <v>55546</v>
      </c>
      <c r="K2072" s="21">
        <v>14909000</v>
      </c>
      <c r="L2072" s="21"/>
      <c r="M2072" s="22">
        <f>(PROVEEDORES[[#This Row],[SUBTOTAL]]-PROVEEDORES[[#This Row],[descuento sobre subtotal]])*VLOOKUP(PROVEEDORES[[#This Row],[PROVEEDOR]],TERCEROS_INFO[#All],3,FALSE)</f>
        <v>0</v>
      </c>
      <c r="N2072" s="23"/>
      <c r="O2072" s="22">
        <f>+PROVEEDORES[[#This Row],[Descuento sobre subtotal %]]*(PROVEEDORES[[#This Row],[SUBTOTAL]]-PROVEEDORES[[#This Row],[descuento sobre subtotal]])</f>
        <v>0</v>
      </c>
      <c r="P2072" s="83">
        <f>+IF(PROVEEDORES[[#This Row],[SUBTOTAL]]&lt;PROVEEDORES[[#This Row],[base retencion]],0,PROVEEDORES[[#This Row],[retención aplicada]])</f>
        <v>0</v>
      </c>
      <c r="Q2072" s="22">
        <f>+PROVEEDORES[[#This Row],[Rete Fuente %]]*(PROVEEDORES[[#This Row],[SUBTOTAL]]-PROVEEDORES[[#This Row],[descuento sobre subtotal]])</f>
        <v>0</v>
      </c>
      <c r="R2072" s="21">
        <f>+PROVEEDORES[[#This Row],[SUBTOTAL]]+PROVEEDORES[[#This Row],[IVA 19%]]-PROVEEDORES[[#This Row],[descuento sobre subtotal]]-PROVEEDORES[[#This Row],[Descuento sobre subtotal $2]]-PROVEEDORES[[#This Row],[Rete Fuente $]]</f>
        <v>14909000</v>
      </c>
      <c r="S207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2" s="68">
        <f ca="1">IF(PROVEEDORES[[#This Row],[FECHA DE PAGO]]=0,TODAY()-PROVEEDORES[[#This Row],[FECHA DE FACTURACIÓN]]-PROVEEDORES[[#This Row],[PLAZO Días]],0)</f>
        <v>0</v>
      </c>
      <c r="U2072" s="96">
        <f>+VLOOKUP(PROVEEDORES[[#This Row],[PROVEEDOR]],Terceros!$A:$D,4,FALSE)</f>
        <v>0</v>
      </c>
      <c r="V2072" s="97">
        <f>+YEAR(PROVEEDORES[[#This Row],[FECHA DE FACTURACIÓN]])</f>
        <v>2021</v>
      </c>
      <c r="W2072" s="97">
        <f>+MATCH(PROVEEDORES[[#This Row],[año facturado]],Retenciones!$1:$1,0)</f>
        <v>4</v>
      </c>
      <c r="X2072" s="98">
        <f>+VLOOKUP(PROVEEDORES[[#This Row],[ID RETENCION]],Retenciones!$A$1:$O$25,PROVEEDORES[[#This Row],[indicador de columna]],FALSE)</f>
        <v>0</v>
      </c>
      <c r="Y2072" s="99">
        <f>+VLOOKUP(PROVEEDORES[[#This Row],[ID RETENCION]],Retenciones!$A$1:$O$25,2,FALSE)</f>
        <v>0</v>
      </c>
      <c r="Z2072" s="125" t="b">
        <f>OR(COUNTIF(PROVEEDORES[[#This Row],[PROVEEDOR]],"*"&amp;'Palabra no opera'!$A$2&amp;"*"))</f>
        <v>0</v>
      </c>
    </row>
    <row r="2073" spans="1:26" ht="22.2" customHeight="1" x14ac:dyDescent="0.3">
      <c r="A2073" s="72" t="str">
        <f>+IF(PROVEEDORES[[#This Row],[FECHA DE PAGO]]=PROVEEDORES[[#This Row],[FECHA DE FACTURACIÓN]],"DE CONTADO","CRÉDITO")</f>
        <v>CRÉDITO</v>
      </c>
      <c r="B2073" s="38" t="b">
        <f>+IF((PROVEEDORES[[#This Row],[FECHA DE PAGO]]-PROVEEDORES[[#This Row],[FECHA DE FACTURACIÓN]])&gt;PROVEEDORES[[#This Row],[PLAZO Días]],"PAGO VENCIDO")</f>
        <v>0</v>
      </c>
      <c r="C2073" s="20">
        <f>+VLOOKUP(PROVEEDORES[[#This Row],[PROVEEDOR]],TERCEROS_INFO[#All],2,FALSE)</f>
        <v>90</v>
      </c>
      <c r="D2073" s="25">
        <f>+SUMIFS(PROVEEDORES[Total],PROVEEDORES[PROVEEDOR],PROVEEDORES[[#This Row],[PROVEEDOR]],PROVEEDORES[FECHA DE PAGO],"")</f>
        <v>75241004.385000005</v>
      </c>
      <c r="E2073" s="25"/>
      <c r="F207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73" s="26" t="s">
        <v>77</v>
      </c>
      <c r="I2073" s="161">
        <v>44809</v>
      </c>
      <c r="J2073" s="35" t="s">
        <v>1766</v>
      </c>
      <c r="K2073" s="21">
        <v>12912594</v>
      </c>
      <c r="L2073" s="21"/>
      <c r="M2073" s="22">
        <f>(PROVEEDORES[[#This Row],[SUBTOTAL]]-PROVEEDORES[[#This Row],[descuento sobre subtotal]])*VLOOKUP(PROVEEDORES[[#This Row],[PROVEEDOR]],TERCEROS_INFO[#All],3,FALSE)</f>
        <v>2453392.86</v>
      </c>
      <c r="N2073" s="23"/>
      <c r="O2073" s="22">
        <f>+PROVEEDORES[[#This Row],[Descuento sobre subtotal %]]*(PROVEEDORES[[#This Row],[SUBTOTAL]]-PROVEEDORES[[#This Row],[descuento sobre subtotal]])</f>
        <v>0</v>
      </c>
      <c r="P2073" s="83">
        <f>+IF(PROVEEDORES[[#This Row],[SUBTOTAL]]&lt;PROVEEDORES[[#This Row],[base retencion]],0,PROVEEDORES[[#This Row],[retención aplicada]])</f>
        <v>2.5000000000000001E-2</v>
      </c>
      <c r="Q2073" s="22">
        <f>+PROVEEDORES[[#This Row],[Rete Fuente %]]*(PROVEEDORES[[#This Row],[SUBTOTAL]]-PROVEEDORES[[#This Row],[descuento sobre subtotal]])</f>
        <v>322814.85000000003</v>
      </c>
      <c r="R2073" s="21">
        <f>+PROVEEDORES[[#This Row],[SUBTOTAL]]+PROVEEDORES[[#This Row],[IVA 19%]]-PROVEEDORES[[#This Row],[descuento sobre subtotal]]-PROVEEDORES[[#This Row],[Descuento sobre subtotal $2]]-PROVEEDORES[[#This Row],[Rete Fuente $]]</f>
        <v>15043172.01</v>
      </c>
      <c r="S2073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73" s="68">
        <f ca="1">IF(PROVEEDORES[[#This Row],[FECHA DE PAGO]]=0,TODAY()-PROVEEDORES[[#This Row],[FECHA DE FACTURACIÓN]]-PROVEEDORES[[#This Row],[PLAZO Días]],0)</f>
        <v>-24</v>
      </c>
      <c r="U2073" s="113" t="str">
        <f>+VLOOKUP(PROVEEDORES[[#This Row],[PROVEEDOR]],Terceros!$A:$D,4,FALSE)</f>
        <v>2,5% con base</v>
      </c>
      <c r="V2073" s="114">
        <f>+YEAR(PROVEEDORES[[#This Row],[FECHA DE FACTURACIÓN]])</f>
        <v>2022</v>
      </c>
      <c r="W2073" s="114">
        <f>+MATCH(PROVEEDORES[[#This Row],[año facturado]],Retenciones!$1:$1,0)</f>
        <v>5</v>
      </c>
      <c r="X2073" s="115">
        <f>+VLOOKUP(PROVEEDORES[[#This Row],[ID RETENCION]],Retenciones!$A$1:$O$25,PROVEEDORES[[#This Row],[indicador de columna]],FALSE)</f>
        <v>1026000</v>
      </c>
      <c r="Y2073" s="116">
        <f>+VLOOKUP(PROVEEDORES[[#This Row],[ID RETENCION]],Retenciones!$A$1:$O$25,2,FALSE)</f>
        <v>2.5000000000000001E-2</v>
      </c>
      <c r="Z2073" s="125" t="b">
        <f>OR(COUNTIF(PROVEEDORES[[#This Row],[PROVEEDOR]],"*"&amp;'Palabra no opera'!$A$2&amp;"*"))</f>
        <v>0</v>
      </c>
    </row>
    <row r="2074" spans="1:26" ht="22.2" customHeight="1" x14ac:dyDescent="0.3">
      <c r="A2074" s="211" t="str">
        <f>+IF(PROVEEDORES[[#This Row],[FECHA DE PAGO]]=PROVEEDORES[[#This Row],[FECHA DE FACTURACIÓN]],"DE CONTADO","CRÉDITO")</f>
        <v>CRÉDITO</v>
      </c>
      <c r="B2074" s="38" t="b">
        <f>+IF((PROVEEDORES[[#This Row],[FECHA DE PAGO]]-PROVEEDORES[[#This Row],[FECHA DE FACTURACIÓN]])&gt;PROVEEDORES[[#This Row],[PLAZO Días]],"PAGO VENCIDO")</f>
        <v>0</v>
      </c>
      <c r="C2074" s="20">
        <f>+VLOOKUP(PROVEEDORES[[#This Row],[PROVEEDOR]],TERCEROS_INFO[#All],2,FALSE)</f>
        <v>10</v>
      </c>
      <c r="D2074" s="25">
        <f>+SUMIFS(PROVEEDORES[Total],PROVEEDORES[PROVEEDOR],PROVEEDORES[[#This Row],[PROVEEDOR]],PROVEEDORES[FECHA DE PAGO],"")</f>
        <v>0</v>
      </c>
      <c r="E2074" s="25"/>
      <c r="F2074" s="58" t="str">
        <f>+VLOOKUP(PROVEEDORES[[#This Row],[PROVEEDOR]],
                       Terceros!$A:$F,
                       5,
                       FALSE)</f>
        <v/>
      </c>
      <c r="G2074" s="161">
        <v>44797</v>
      </c>
      <c r="H2074" s="26" t="s">
        <v>23</v>
      </c>
      <c r="I2074" s="161">
        <v>44796</v>
      </c>
      <c r="J2074" s="35">
        <v>293703</v>
      </c>
      <c r="K2074" s="21">
        <v>15669538</v>
      </c>
      <c r="L2074" s="21"/>
      <c r="M2074" s="22">
        <f>(PROVEEDORES[[#This Row],[SUBTOTAL]]-PROVEEDORES[[#This Row],[descuento sobre subtotal]])*VLOOKUP(PROVEEDORES[[#This Row],[PROVEEDOR]],TERCEROS_INFO[#All],3,FALSE)</f>
        <v>0</v>
      </c>
      <c r="N2074" s="23"/>
      <c r="O2074" s="22">
        <f>+PROVEEDORES[[#This Row],[Descuento sobre subtotal %]]*(PROVEEDORES[[#This Row],[SUBTOTAL]]-PROVEEDORES[[#This Row],[descuento sobre subtotal]])</f>
        <v>0</v>
      </c>
      <c r="P2074" s="83">
        <f>+IF(PROVEEDORES[[#This Row],[SUBTOTAL]]&lt;PROVEEDORES[[#This Row],[base retencion]],0,PROVEEDORES[[#This Row],[retención aplicada]])</f>
        <v>0</v>
      </c>
      <c r="Q2074" s="22">
        <f>+PROVEEDORES[[#This Row],[Rete Fuente %]]*(PROVEEDORES[[#This Row],[SUBTOTAL]]-PROVEEDORES[[#This Row],[descuento sobre subtotal]])</f>
        <v>0</v>
      </c>
      <c r="R2074" s="21">
        <f>+PROVEEDORES[[#This Row],[SUBTOTAL]]+PROVEEDORES[[#This Row],[IVA 19%]]-PROVEEDORES[[#This Row],[descuento sobre subtotal]]-PROVEEDORES[[#This Row],[Descuento sobre subtotal $2]]-PROVEEDORES[[#This Row],[Rete Fuente $]]</f>
        <v>15669538</v>
      </c>
      <c r="S2074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4" s="68">
        <f ca="1">IF(PROVEEDORES[[#This Row],[FECHA DE PAGO]]=0,TODAY()-PROVEEDORES[[#This Row],[FECHA DE FACTURACIÓN]]-PROVEEDORES[[#This Row],[PLAZO Días]],0)</f>
        <v>0</v>
      </c>
      <c r="U2074" s="113">
        <f>+VLOOKUP(PROVEEDORES[[#This Row],[PROVEEDOR]],Terceros!$A:$D,4,FALSE)</f>
        <v>0</v>
      </c>
      <c r="V2074" s="114">
        <f>+YEAR(PROVEEDORES[[#This Row],[FECHA DE FACTURACIÓN]])</f>
        <v>2022</v>
      </c>
      <c r="W2074" s="114">
        <f>+MATCH(PROVEEDORES[[#This Row],[año facturado]],Retenciones!$1:$1,0)</f>
        <v>5</v>
      </c>
      <c r="X2074" s="115">
        <f>+VLOOKUP(PROVEEDORES[[#This Row],[ID RETENCION]],Retenciones!$A$1:$O$25,PROVEEDORES[[#This Row],[indicador de columna]],FALSE)</f>
        <v>0</v>
      </c>
      <c r="Y2074" s="116">
        <f>+VLOOKUP(PROVEEDORES[[#This Row],[ID RETENCION]],Retenciones!$A$1:$O$25,2,FALSE)</f>
        <v>0</v>
      </c>
      <c r="Z2074" s="125" t="b">
        <f>OR(COUNTIF(PROVEEDORES[[#This Row],[PROVEEDOR]],"*"&amp;'Palabra no opera'!$A$2&amp;"*"))</f>
        <v>0</v>
      </c>
    </row>
    <row r="2075" spans="1:26" ht="22.2" customHeight="1" x14ac:dyDescent="0.3">
      <c r="A2075" s="72" t="str">
        <f>+IF(PROVEEDORES[[#This Row],[FECHA DE PAGO]]=PROVEEDORES[[#This Row],[FECHA DE FACTURACIÓN]],"DE CONTADO","CRÉDITO")</f>
        <v>CRÉDITO</v>
      </c>
      <c r="B2075" s="38" t="b">
        <f>+IF((PROVEEDORES[[#This Row],[FECHA DE PAGO]]-PROVEEDORES[[#This Row],[FECHA DE FACTURACIÓN]])&gt;PROVEEDORES[[#This Row],[PLAZO Días]],"PAGO VENCIDO")</f>
        <v>0</v>
      </c>
      <c r="C2075" s="20">
        <f>+VLOOKUP(PROVEEDORES[[#This Row],[PROVEEDOR]],TERCEROS_INFO[#All],2,FALSE)</f>
        <v>30</v>
      </c>
      <c r="D2075" s="25">
        <f>+SUMIFS(PROVEEDORES[Total],PROVEEDORES[PROVEEDOR],PROVEEDORES[[#This Row],[PROVEEDOR]],PROVEEDORES[FECHA DE PAGO],"")</f>
        <v>0</v>
      </c>
      <c r="E2075" s="25"/>
      <c r="F2075" s="58" t="str">
        <f>+VLOOKUP(PROVEEDORES[[#This Row],[PROVEEDOR]],
                       Terceros!$A:$F,
                       5,
                       FALSE)</f>
        <v/>
      </c>
      <c r="G2075" s="161">
        <v>44769</v>
      </c>
      <c r="H2075" s="26" t="s">
        <v>55</v>
      </c>
      <c r="I2075" s="161">
        <v>44768</v>
      </c>
      <c r="J2075" s="35">
        <v>57126</v>
      </c>
      <c r="K2075" s="21">
        <v>16214000</v>
      </c>
      <c r="L2075" s="21"/>
      <c r="M2075" s="22">
        <f>(PROVEEDORES[[#This Row],[SUBTOTAL]]-PROVEEDORES[[#This Row],[descuento sobre subtotal]])*VLOOKUP(PROVEEDORES[[#This Row],[PROVEEDOR]],TERCEROS_INFO[#All],3,FALSE)</f>
        <v>0</v>
      </c>
      <c r="N2075" s="23"/>
      <c r="O2075" s="22">
        <f>+PROVEEDORES[[#This Row],[Descuento sobre subtotal %]]*(PROVEEDORES[[#This Row],[SUBTOTAL]]-PROVEEDORES[[#This Row],[descuento sobre subtotal]])</f>
        <v>0</v>
      </c>
      <c r="P2075" s="83">
        <f>+IF(PROVEEDORES[[#This Row],[SUBTOTAL]]&lt;PROVEEDORES[[#This Row],[base retencion]],0,PROVEEDORES[[#This Row],[retención aplicada]])</f>
        <v>0</v>
      </c>
      <c r="Q2075" s="22">
        <f>+PROVEEDORES[[#This Row],[Rete Fuente %]]*(PROVEEDORES[[#This Row],[SUBTOTAL]]-PROVEEDORES[[#This Row],[descuento sobre subtotal]])</f>
        <v>0</v>
      </c>
      <c r="R2075" s="21">
        <f>+PROVEEDORES[[#This Row],[SUBTOTAL]]+PROVEEDORES[[#This Row],[IVA 19%]]-PROVEEDORES[[#This Row],[descuento sobre subtotal]]-PROVEEDORES[[#This Row],[Descuento sobre subtotal $2]]-PROVEEDORES[[#This Row],[Rete Fuente $]]</f>
        <v>16214000</v>
      </c>
      <c r="S2075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5" s="68">
        <f ca="1">IF(PROVEEDORES[[#This Row],[FECHA DE PAGO]]=0,TODAY()-PROVEEDORES[[#This Row],[FECHA DE FACTURACIÓN]]-PROVEEDORES[[#This Row],[PLAZO Días]],0)</f>
        <v>0</v>
      </c>
      <c r="U2075" s="113">
        <f>+VLOOKUP(PROVEEDORES[[#This Row],[PROVEEDOR]],Terceros!$A:$D,4,FALSE)</f>
        <v>0</v>
      </c>
      <c r="V2075" s="114">
        <f>+YEAR(PROVEEDORES[[#This Row],[FECHA DE FACTURACIÓN]])</f>
        <v>2022</v>
      </c>
      <c r="W2075" s="114">
        <f>+MATCH(PROVEEDORES[[#This Row],[año facturado]],Retenciones!$1:$1,0)</f>
        <v>5</v>
      </c>
      <c r="X2075" s="115">
        <f>+VLOOKUP(PROVEEDORES[[#This Row],[ID RETENCION]],Retenciones!$A$1:$O$25,PROVEEDORES[[#This Row],[indicador de columna]],FALSE)</f>
        <v>0</v>
      </c>
      <c r="Y2075" s="116">
        <f>+VLOOKUP(PROVEEDORES[[#This Row],[ID RETENCION]],Retenciones!$A$1:$O$25,2,FALSE)</f>
        <v>0</v>
      </c>
      <c r="Z2075" s="125" t="b">
        <f>OR(COUNTIF(PROVEEDORES[[#This Row],[PROVEEDOR]],"*"&amp;'Palabra no opera'!$A$2&amp;"*"))</f>
        <v>0</v>
      </c>
    </row>
    <row r="2076" spans="1:26" ht="22.2" customHeight="1" x14ac:dyDescent="0.3">
      <c r="A2076" s="159" t="str">
        <f>+IF(PROVEEDORES[[#This Row],[FECHA DE PAGO]]=PROVEEDORES[[#This Row],[FECHA DE FACTURACIÓN]],"DE CONTADO","CRÉDITO")</f>
        <v>CRÉDITO</v>
      </c>
      <c r="B2076" s="38" t="str">
        <f>+IF((PROVEEDORES[[#This Row],[FECHA DE PAGO]]-PROVEEDORES[[#This Row],[FECHA DE FACTURACIÓN]])&gt;PROVEEDORES[[#This Row],[PLAZO Días]],"PAGO VENCIDO")</f>
        <v>PAGO VENCIDO</v>
      </c>
      <c r="C2076" s="20">
        <f>+VLOOKUP(PROVEEDORES[[#This Row],[PROVEEDOR]],TERCEROS_INFO[#All],2,FALSE)</f>
        <v>45</v>
      </c>
      <c r="D2076" s="25">
        <f>+SUMIFS(PROVEEDORES[Total],PROVEEDORES[PROVEEDOR],PROVEEDORES[[#This Row],[PROVEEDOR]],PROVEEDORES[FECHA DE PAGO],"")</f>
        <v>31891814.359999999</v>
      </c>
      <c r="E2076" s="25"/>
      <c r="F207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76" s="161">
        <v>44796</v>
      </c>
      <c r="H2076" s="26" t="s">
        <v>19</v>
      </c>
      <c r="I2076" s="161">
        <v>44734</v>
      </c>
      <c r="J2076" s="35" t="s">
        <v>1060</v>
      </c>
      <c r="K2076" s="21">
        <v>14080000</v>
      </c>
      <c r="L2076" s="21"/>
      <c r="M2076" s="22">
        <f>(PROVEEDORES[[#This Row],[SUBTOTAL]]-PROVEEDORES[[#This Row],[descuento sobre subtotal]])*VLOOKUP(PROVEEDORES[[#This Row],[PROVEEDOR]],TERCEROS_INFO[#All],3,FALSE)</f>
        <v>2675200</v>
      </c>
      <c r="N2076" s="23"/>
      <c r="O2076" s="22">
        <f>+PROVEEDORES[[#This Row],[Descuento sobre subtotal %]]*(PROVEEDORES[[#This Row],[SUBTOTAL]]-PROVEEDORES[[#This Row],[descuento sobre subtotal]])</f>
        <v>0</v>
      </c>
      <c r="P2076" s="83">
        <f>+IF(PROVEEDORES[[#This Row],[SUBTOTAL]]&lt;PROVEEDORES[[#This Row],[base retencion]],0,PROVEEDORES[[#This Row],[retención aplicada]])</f>
        <v>0</v>
      </c>
      <c r="Q2076" s="22">
        <f>+PROVEEDORES[[#This Row],[Rete Fuente %]]*(PROVEEDORES[[#This Row],[SUBTOTAL]]-PROVEEDORES[[#This Row],[descuento sobre subtotal]])</f>
        <v>0</v>
      </c>
      <c r="R2076" s="21">
        <f>+PROVEEDORES[[#This Row],[SUBTOTAL]]+PROVEEDORES[[#This Row],[IVA 19%]]-PROVEEDORES[[#This Row],[descuento sobre subtotal]]-PROVEEDORES[[#This Row],[Descuento sobre subtotal $2]]-PROVEEDORES[[#This Row],[Rete Fuente $]]</f>
        <v>16755200</v>
      </c>
      <c r="S2076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6" s="68">
        <f ca="1">IF(PROVEEDORES[[#This Row],[FECHA DE PAGO]]=0,TODAY()-PROVEEDORES[[#This Row],[FECHA DE FACTURACIÓN]]-PROVEEDORES[[#This Row],[PLAZO Días]],0)</f>
        <v>0</v>
      </c>
      <c r="U2076" s="113">
        <f>+VLOOKUP(PROVEEDORES[[#This Row],[PROVEEDOR]],Terceros!$A:$D,4,FALSE)</f>
        <v>0</v>
      </c>
      <c r="V2076" s="114">
        <f>+YEAR(PROVEEDORES[[#This Row],[FECHA DE FACTURACIÓN]])</f>
        <v>2022</v>
      </c>
      <c r="W2076" s="114">
        <f>+MATCH(PROVEEDORES[[#This Row],[año facturado]],Retenciones!$1:$1,0)</f>
        <v>5</v>
      </c>
      <c r="X2076" s="115">
        <f>+VLOOKUP(PROVEEDORES[[#This Row],[ID RETENCION]],Retenciones!$A$1:$O$25,PROVEEDORES[[#This Row],[indicador de columna]],FALSE)</f>
        <v>0</v>
      </c>
      <c r="Y2076" s="116">
        <f>+VLOOKUP(PROVEEDORES[[#This Row],[ID RETENCION]],Retenciones!$A$1:$O$25,2,FALSE)</f>
        <v>0</v>
      </c>
      <c r="Z2076" s="125" t="b">
        <f>OR(COUNTIF(PROVEEDORES[[#This Row],[PROVEEDOR]],"*"&amp;'Palabra no opera'!$A$2&amp;"*"))</f>
        <v>0</v>
      </c>
    </row>
    <row r="2077" spans="1:26" ht="22.2" customHeight="1" x14ac:dyDescent="0.3">
      <c r="A2077" s="112" t="str">
        <f>+IF(PROVEEDORES[[#This Row],[FECHA DE PAGO]]=PROVEEDORES[[#This Row],[FECHA DE FACTURACIÓN]],"DE CONTADO","CRÉDITO")</f>
        <v>CRÉDITO</v>
      </c>
      <c r="B2077" s="38" t="str">
        <f>+IF((PROVEEDORES[[#This Row],[FECHA DE PAGO]]-PROVEEDORES[[#This Row],[FECHA DE FACTURACIÓN]])&gt;PROVEEDORES[[#This Row],[PLAZO Días]],"PAGO VENCIDO")</f>
        <v>PAGO VENCIDO</v>
      </c>
      <c r="C2077" s="20">
        <f>+VLOOKUP(PROVEEDORES[[#This Row],[PROVEEDOR]],TERCEROS_INFO[#All],2,FALSE)</f>
        <v>45</v>
      </c>
      <c r="D2077" s="25">
        <f>+SUMIFS(PROVEEDORES[Total],PROVEEDORES[PROVEEDOR],PROVEEDORES[[#This Row],[PROVEEDOR]],PROVEEDORES[FECHA DE PAGO],"")</f>
        <v>31891814.359999999</v>
      </c>
      <c r="E2077" s="25"/>
      <c r="F207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77" s="161">
        <v>44676</v>
      </c>
      <c r="H2077" s="26" t="s">
        <v>19</v>
      </c>
      <c r="I2077" s="161">
        <v>44622</v>
      </c>
      <c r="J2077" s="35" t="s">
        <v>881</v>
      </c>
      <c r="K2077" s="21">
        <v>14220800</v>
      </c>
      <c r="L2077" s="21"/>
      <c r="M2077" s="22">
        <f>(PROVEEDORES[[#This Row],[SUBTOTAL]]-PROVEEDORES[[#This Row],[descuento sobre subtotal]])*VLOOKUP(PROVEEDORES[[#This Row],[PROVEEDOR]],TERCEROS_INFO[#All],3,FALSE)</f>
        <v>2701952</v>
      </c>
      <c r="N2077" s="23"/>
      <c r="O2077" s="22">
        <f>+PROVEEDORES[[#This Row],[Descuento sobre subtotal %]]*(PROVEEDORES[[#This Row],[SUBTOTAL]]-PROVEEDORES[[#This Row],[descuento sobre subtotal]])</f>
        <v>0</v>
      </c>
      <c r="P2077" s="83">
        <f>+IF(PROVEEDORES[[#This Row],[SUBTOTAL]]&lt;PROVEEDORES[[#This Row],[base retencion]],0,PROVEEDORES[[#This Row],[retención aplicada]])</f>
        <v>0</v>
      </c>
      <c r="Q2077" s="22">
        <f>+PROVEEDORES[[#This Row],[Rete Fuente %]]*(PROVEEDORES[[#This Row],[SUBTOTAL]]-PROVEEDORES[[#This Row],[descuento sobre subtotal]])</f>
        <v>0</v>
      </c>
      <c r="R2077" s="21">
        <f>+PROVEEDORES[[#This Row],[SUBTOTAL]]+PROVEEDORES[[#This Row],[IVA 19%]]-PROVEEDORES[[#This Row],[descuento sobre subtotal]]-PROVEEDORES[[#This Row],[Descuento sobre subtotal $2]]-PROVEEDORES[[#This Row],[Rete Fuente $]]</f>
        <v>16922752</v>
      </c>
      <c r="S207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7" s="68">
        <f ca="1">IF(PROVEEDORES[[#This Row],[FECHA DE PAGO]]=0,TODAY()-PROVEEDORES[[#This Row],[FECHA DE FACTURACIÓN]]-PROVEEDORES[[#This Row],[PLAZO Días]],0)</f>
        <v>0</v>
      </c>
      <c r="U2077" s="113">
        <f>+VLOOKUP(PROVEEDORES[[#This Row],[PROVEEDOR]],Terceros!$A:$D,4,FALSE)</f>
        <v>0</v>
      </c>
      <c r="V2077" s="114">
        <f>+YEAR(PROVEEDORES[[#This Row],[FECHA DE FACTURACIÓN]])</f>
        <v>2022</v>
      </c>
      <c r="W2077" s="114">
        <f>+MATCH(PROVEEDORES[[#This Row],[año facturado]],Retenciones!$1:$1,0)</f>
        <v>5</v>
      </c>
      <c r="X2077" s="115">
        <f>+VLOOKUP(PROVEEDORES[[#This Row],[ID RETENCION]],Retenciones!$A$1:$O$25,PROVEEDORES[[#This Row],[indicador de columna]],FALSE)</f>
        <v>0</v>
      </c>
      <c r="Y2077" s="116">
        <f>+VLOOKUP(PROVEEDORES[[#This Row],[ID RETENCION]],Retenciones!$A$1:$O$25,2,FALSE)</f>
        <v>0</v>
      </c>
      <c r="Z2077" s="125" t="b">
        <f>OR(COUNTIF(PROVEEDORES[[#This Row],[PROVEEDOR]],"*"&amp;'Palabra no opera'!$A$2&amp;"*"))</f>
        <v>0</v>
      </c>
    </row>
    <row r="2078" spans="1:26" ht="22.2" customHeight="1" x14ac:dyDescent="0.3">
      <c r="A2078" s="72" t="str">
        <f>+IF(PROVEEDORES[[#This Row],[FECHA DE PAGO]]=PROVEEDORES[[#This Row],[FECHA DE FACTURACIÓN]],"DE CONTADO","CRÉDITO")</f>
        <v>CRÉDITO</v>
      </c>
      <c r="B2078" s="38" t="b">
        <f>+IF((PROVEEDORES[[#This Row],[FECHA DE PAGO]]-PROVEEDORES[[#This Row],[FECHA DE FACTURACIÓN]])&gt;PROVEEDORES[[#This Row],[PLAZO Días]],"PAGO VENCIDO")</f>
        <v>0</v>
      </c>
      <c r="C2078" s="20">
        <f>+VLOOKUP(PROVEEDORES[[#This Row],[PROVEEDOR]],TERCEROS_INFO[#All],2,FALSE)</f>
        <v>90</v>
      </c>
      <c r="D2078" s="25">
        <f>+SUMIFS(PROVEEDORES[Total],PROVEEDORES[PROVEEDOR],PROVEEDORES[[#This Row],[PROVEEDOR]],PROVEEDORES[FECHA DE PAGO],"")</f>
        <v>26350422.770000003</v>
      </c>
      <c r="E2078" s="25"/>
      <c r="F207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2078" s="26" t="s">
        <v>12</v>
      </c>
      <c r="I2078" s="161">
        <v>44810</v>
      </c>
      <c r="J2078" s="35" t="s">
        <v>1759</v>
      </c>
      <c r="K2078" s="21">
        <v>14578156</v>
      </c>
      <c r="L2078" s="21"/>
      <c r="M2078" s="22">
        <f>(PROVEEDORES[[#This Row],[SUBTOTAL]]-PROVEEDORES[[#This Row],[descuento sobre subtotal]])*VLOOKUP(PROVEEDORES[[#This Row],[PROVEEDOR]],TERCEROS_INFO[#All],3,FALSE)</f>
        <v>2769849.64</v>
      </c>
      <c r="N2078" s="23"/>
      <c r="O2078" s="22">
        <f>+PROVEEDORES[[#This Row],[Descuento sobre subtotal %]]*(PROVEEDORES[[#This Row],[SUBTOTAL]]-PROVEEDORES[[#This Row],[descuento sobre subtotal]])</f>
        <v>0</v>
      </c>
      <c r="P2078" s="83">
        <f>+IF(PROVEEDORES[[#This Row],[SUBTOTAL]]&lt;PROVEEDORES[[#This Row],[base retencion]],0,PROVEEDORES[[#This Row],[retención aplicada]])</f>
        <v>2.5000000000000001E-2</v>
      </c>
      <c r="Q2078" s="22">
        <f>+PROVEEDORES[[#This Row],[Rete Fuente %]]*(PROVEEDORES[[#This Row],[SUBTOTAL]]-PROVEEDORES[[#This Row],[descuento sobre subtotal]])</f>
        <v>364453.9</v>
      </c>
      <c r="R2078" s="21">
        <f>+PROVEEDORES[[#This Row],[SUBTOTAL]]+PROVEEDORES[[#This Row],[IVA 19%]]-PROVEEDORES[[#This Row],[descuento sobre subtotal]]-PROVEEDORES[[#This Row],[Descuento sobre subtotal $2]]-PROVEEDORES[[#This Row],[Rete Fuente $]]</f>
        <v>16983551.740000002</v>
      </c>
      <c r="S2078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78" s="68">
        <f ca="1">IF(PROVEEDORES[[#This Row],[FECHA DE PAGO]]=0,TODAY()-PROVEEDORES[[#This Row],[FECHA DE FACTURACIÓN]]-PROVEEDORES[[#This Row],[PLAZO Días]],0)</f>
        <v>-25</v>
      </c>
      <c r="U2078" s="113" t="str">
        <f>+VLOOKUP(PROVEEDORES[[#This Row],[PROVEEDOR]],Terceros!$A:$D,4,FALSE)</f>
        <v>2,5% con base</v>
      </c>
      <c r="V2078" s="114">
        <f>+YEAR(PROVEEDORES[[#This Row],[FECHA DE FACTURACIÓN]])</f>
        <v>2022</v>
      </c>
      <c r="W2078" s="114">
        <f>+MATCH(PROVEEDORES[[#This Row],[año facturado]],Retenciones!$1:$1,0)</f>
        <v>5</v>
      </c>
      <c r="X2078" s="115">
        <f>+VLOOKUP(PROVEEDORES[[#This Row],[ID RETENCION]],Retenciones!$A$1:$O$25,PROVEEDORES[[#This Row],[indicador de columna]],FALSE)</f>
        <v>1026000</v>
      </c>
      <c r="Y2078" s="116">
        <f>+VLOOKUP(PROVEEDORES[[#This Row],[ID RETENCION]],Retenciones!$A$1:$O$25,2,FALSE)</f>
        <v>2.5000000000000001E-2</v>
      </c>
      <c r="Z2078" s="125" t="b">
        <f>OR(COUNTIF(PROVEEDORES[[#This Row],[PROVEEDOR]],"*"&amp;'Palabra no opera'!$A$2&amp;"*"))</f>
        <v>0</v>
      </c>
    </row>
    <row r="2079" spans="1:26" ht="22.2" customHeight="1" x14ac:dyDescent="0.3">
      <c r="A2079" s="66" t="str">
        <f>+IF(PROVEEDORES[[#This Row],[FECHA DE PAGO]]=PROVEEDORES[[#This Row],[FECHA DE FACTURACIÓN]],"DE CONTADO","CRÉDITO")</f>
        <v>CRÉDITO</v>
      </c>
      <c r="B2079" s="38" t="b">
        <f>+IF((PROVEEDORES[[#This Row],[FECHA DE PAGO]]-PROVEEDORES[[#This Row],[FECHA DE FACTURACIÓN]])&gt;PROVEEDORES[[#This Row],[PLAZO Días]],"PAGO VENCIDO")</f>
        <v>0</v>
      </c>
      <c r="C2079" s="20">
        <f>+VLOOKUP(PROVEEDORES[[#This Row],[PROVEEDOR]],TERCEROS_INFO[#All],2,FALSE)</f>
        <v>10</v>
      </c>
      <c r="D2079" s="25">
        <f>+SUMIFS(PROVEEDORES[Total],PROVEEDORES[PROVEEDOR],PROVEEDORES[[#This Row],[PROVEEDOR]],PROVEEDORES[FECHA DE PAGO],"")</f>
        <v>0</v>
      </c>
      <c r="E2079" s="25"/>
      <c r="F2079" s="58" t="str">
        <f>+VLOOKUP(PROVEEDORES[[#This Row],[PROVEEDOR]],
                       Terceros!$A:$F,
                       5,
                       FALSE)</f>
        <v/>
      </c>
      <c r="G2079" s="161">
        <v>44649</v>
      </c>
      <c r="H2079" s="26" t="s">
        <v>23</v>
      </c>
      <c r="I2079" s="161">
        <v>44640</v>
      </c>
      <c r="J2079" s="35">
        <v>289692</v>
      </c>
      <c r="K2079" s="21">
        <v>17000987.710000001</v>
      </c>
      <c r="L2079" s="21"/>
      <c r="M2079" s="22">
        <f>(PROVEEDORES[[#This Row],[SUBTOTAL]]-PROVEEDORES[[#This Row],[descuento sobre subtotal]])*VLOOKUP(PROVEEDORES[[#This Row],[PROVEEDOR]],TERCEROS_INFO[#All],3,FALSE)</f>
        <v>0</v>
      </c>
      <c r="N2079" s="23"/>
      <c r="O2079" s="22">
        <f>+PROVEEDORES[[#This Row],[Descuento sobre subtotal %]]*(PROVEEDORES[[#This Row],[SUBTOTAL]]-PROVEEDORES[[#This Row],[descuento sobre subtotal]])</f>
        <v>0</v>
      </c>
      <c r="P2079" s="83">
        <f>+IF(PROVEEDORES[[#This Row],[SUBTOTAL]]&lt;PROVEEDORES[[#This Row],[base retencion]],0,PROVEEDORES[[#This Row],[retención aplicada]])</f>
        <v>0</v>
      </c>
      <c r="Q2079" s="22">
        <f>+PROVEEDORES[[#This Row],[Rete Fuente %]]*(PROVEEDORES[[#This Row],[SUBTOTAL]]-PROVEEDORES[[#This Row],[descuento sobre subtotal]])</f>
        <v>0</v>
      </c>
      <c r="R2079" s="21">
        <v>17000987.710000001</v>
      </c>
      <c r="S207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9" s="68">
        <f ca="1">IF(PROVEEDORES[[#This Row],[FECHA DE PAGO]]=0,TODAY()-PROVEEDORES[[#This Row],[FECHA DE FACTURACIÓN]]-PROVEEDORES[[#This Row],[PLAZO Días]],0)</f>
        <v>0</v>
      </c>
      <c r="U2079" s="96">
        <f>+VLOOKUP(PROVEEDORES[[#This Row],[PROVEEDOR]],Terceros!$A:$D,4,FALSE)</f>
        <v>0</v>
      </c>
      <c r="V2079" s="97">
        <f>+YEAR(PROVEEDORES[[#This Row],[FECHA DE FACTURACIÓN]])</f>
        <v>2022</v>
      </c>
      <c r="W2079" s="97">
        <f>+MATCH(PROVEEDORES[[#This Row],[año facturado]],Retenciones!$1:$1,0)</f>
        <v>5</v>
      </c>
      <c r="X2079" s="98">
        <f>+VLOOKUP(PROVEEDORES[[#This Row],[ID RETENCION]],Retenciones!$A$1:$O$25,PROVEEDORES[[#This Row],[indicador de columna]],FALSE)</f>
        <v>0</v>
      </c>
      <c r="Y2079" s="99">
        <f>+VLOOKUP(PROVEEDORES[[#This Row],[ID RETENCION]],Retenciones!$A$1:$O$25,2,FALSE)</f>
        <v>0</v>
      </c>
      <c r="Z2079" s="125" t="b">
        <f>OR(COUNTIF(PROVEEDORES[[#This Row],[PROVEEDOR]],"*"&amp;'Palabra no opera'!$A$2&amp;"*"))</f>
        <v>0</v>
      </c>
    </row>
    <row r="2080" spans="1:26" ht="22.2" customHeight="1" x14ac:dyDescent="0.3">
      <c r="A2080" s="66" t="str">
        <f>+IF(PROVEEDORES[[#This Row],[FECHA DE PAGO]]=PROVEEDORES[[#This Row],[FECHA DE FACTURACIÓN]],"DE CONTADO","CRÉDITO")</f>
        <v>CRÉDITO</v>
      </c>
      <c r="B2080" s="38" t="str">
        <f>+IF((PROVEEDORES[[#This Row],[FECHA DE PAGO]]-PROVEEDORES[[#This Row],[FECHA DE FACTURACIÓN]])&gt;PROVEEDORES[[#This Row],[PLAZO Días]],"PAGO VENCIDO")</f>
        <v>PAGO VENCIDO</v>
      </c>
      <c r="C2080" s="20">
        <f>+VLOOKUP(PROVEEDORES[[#This Row],[PROVEEDOR]],TERCEROS_INFO[#All],2,FALSE)</f>
        <v>90</v>
      </c>
      <c r="D2080" s="25">
        <f>+SUMIFS(PROVEEDORES[Total],PROVEEDORES[PROVEEDOR],PROVEEDORES[[#This Row],[PROVEEDOR]],PROVEEDORES[FECHA DE PAGO],"")</f>
        <v>0</v>
      </c>
      <c r="E2080" s="25"/>
      <c r="F208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80" s="161">
        <v>44533</v>
      </c>
      <c r="H2080" s="26" t="s">
        <v>9</v>
      </c>
      <c r="I2080" s="161">
        <v>44435</v>
      </c>
      <c r="J2080" s="35">
        <v>71593</v>
      </c>
      <c r="K2080" s="21">
        <v>14809823</v>
      </c>
      <c r="L2080" s="21"/>
      <c r="M2080" s="22">
        <f>(PROVEEDORES[[#This Row],[SUBTOTAL]]-PROVEEDORES[[#This Row],[descuento sobre subtotal]])*VLOOKUP(PROVEEDORES[[#This Row],[PROVEEDOR]],TERCEROS_INFO[#All],3,FALSE)</f>
        <v>2813866.37</v>
      </c>
      <c r="N2080" s="23"/>
      <c r="O2080" s="22">
        <f>+PROVEEDORES[[#This Row],[Descuento sobre subtotal %]]*(PROVEEDORES[[#This Row],[SUBTOTAL]]-PROVEEDORES[[#This Row],[descuento sobre subtotal]])</f>
        <v>0</v>
      </c>
      <c r="P2080" s="83">
        <f>+IF(PROVEEDORES[[#This Row],[SUBTOTAL]]&lt;PROVEEDORES[[#This Row],[base retencion]],0,PROVEEDORES[[#This Row],[retención aplicada]])</f>
        <v>2.5000000000000001E-2</v>
      </c>
      <c r="Q2080" s="22">
        <f>+PROVEEDORES[[#This Row],[Rete Fuente %]]*(PROVEEDORES[[#This Row],[SUBTOTAL]]-PROVEEDORES[[#This Row],[descuento sobre subtotal]])</f>
        <v>370245.57500000001</v>
      </c>
      <c r="R2080" s="21">
        <f>+PROVEEDORES[[#This Row],[SUBTOTAL]]+PROVEEDORES[[#This Row],[IVA 19%]]-PROVEEDORES[[#This Row],[descuento sobre subtotal]]-PROVEEDORES[[#This Row],[Descuento sobre subtotal $2]]-PROVEEDORES[[#This Row],[Rete Fuente $]]</f>
        <v>17253443.795000002</v>
      </c>
      <c r="S208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0" s="68">
        <f ca="1">IF(PROVEEDORES[[#This Row],[FECHA DE PAGO]]=0,TODAY()-PROVEEDORES[[#This Row],[FECHA DE FACTURACIÓN]]-PROVEEDORES[[#This Row],[PLAZO Días]],0)</f>
        <v>0</v>
      </c>
      <c r="U2080" s="96" t="str">
        <f>+VLOOKUP(PROVEEDORES[[#This Row],[PROVEEDOR]],Terceros!$A:$D,4,FALSE)</f>
        <v>2,5% con base</v>
      </c>
      <c r="V2080" s="97">
        <f>+YEAR(PROVEEDORES[[#This Row],[FECHA DE FACTURACIÓN]])</f>
        <v>2021</v>
      </c>
      <c r="W2080" s="97">
        <f>+MATCH(PROVEEDORES[[#This Row],[año facturado]],Retenciones!$1:$1,0)</f>
        <v>4</v>
      </c>
      <c r="X2080" s="98">
        <f>+VLOOKUP(PROVEEDORES[[#This Row],[ID RETENCION]],Retenciones!$A$1:$O$25,PROVEEDORES[[#This Row],[indicador de columna]],FALSE)</f>
        <v>980000</v>
      </c>
      <c r="Y2080" s="99">
        <f>+VLOOKUP(PROVEEDORES[[#This Row],[ID RETENCION]],Retenciones!$A$1:$O$25,2,FALSE)</f>
        <v>2.5000000000000001E-2</v>
      </c>
      <c r="Z2080" s="125" t="b">
        <f>OR(COUNTIF(PROVEEDORES[[#This Row],[PROVEEDOR]],"*"&amp;'Palabra no opera'!$A$2&amp;"*"))</f>
        <v>0</v>
      </c>
    </row>
    <row r="2081" spans="1:26" ht="22.2" customHeight="1" x14ac:dyDescent="0.3">
      <c r="A2081" s="72" t="str">
        <f>+IF(PROVEEDORES[[#This Row],[FECHA DE PAGO]]=PROVEEDORES[[#This Row],[FECHA DE FACTURACIÓN]],"DE CONTADO","CRÉDITO")</f>
        <v>CRÉDITO</v>
      </c>
      <c r="B2081" s="38" t="b">
        <f>+IF((PROVEEDORES[[#This Row],[FECHA DE PAGO]]-PROVEEDORES[[#This Row],[FECHA DE FACTURACIÓN]])&gt;PROVEEDORES[[#This Row],[PLAZO Días]],"PAGO VENCIDO")</f>
        <v>0</v>
      </c>
      <c r="C2081" s="20">
        <f>+VLOOKUP(PROVEEDORES[[#This Row],[PROVEEDOR]],TERCEROS_INFO[#All],2,FALSE)</f>
        <v>90</v>
      </c>
      <c r="D2081" s="25">
        <f>+SUMIFS(PROVEEDORES[Total],PROVEEDORES[PROVEEDOR],PROVEEDORES[[#This Row],[PROVEEDOR]],PROVEEDORES[FECHA DE PAGO],"")</f>
        <v>75241004.385000005</v>
      </c>
      <c r="E2081" s="25"/>
      <c r="F2081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81" s="26" t="s">
        <v>77</v>
      </c>
      <c r="I2081" s="161">
        <v>44809</v>
      </c>
      <c r="J2081" s="35" t="s">
        <v>1762</v>
      </c>
      <c r="K2081" s="21">
        <v>14901668</v>
      </c>
      <c r="L2081" s="21"/>
      <c r="M2081" s="22">
        <f>(PROVEEDORES[[#This Row],[SUBTOTAL]]-PROVEEDORES[[#This Row],[descuento sobre subtotal]])*VLOOKUP(PROVEEDORES[[#This Row],[PROVEEDOR]],TERCEROS_INFO[#All],3,FALSE)</f>
        <v>2831316.92</v>
      </c>
      <c r="N2081" s="23"/>
      <c r="O2081" s="22">
        <f>+PROVEEDORES[[#This Row],[Descuento sobre subtotal %]]*(PROVEEDORES[[#This Row],[SUBTOTAL]]-PROVEEDORES[[#This Row],[descuento sobre subtotal]])</f>
        <v>0</v>
      </c>
      <c r="P2081" s="83">
        <f>+IF(PROVEEDORES[[#This Row],[SUBTOTAL]]&lt;PROVEEDORES[[#This Row],[base retencion]],0,PROVEEDORES[[#This Row],[retención aplicada]])</f>
        <v>2.5000000000000001E-2</v>
      </c>
      <c r="Q2081" s="22">
        <f>+PROVEEDORES[[#This Row],[Rete Fuente %]]*(PROVEEDORES[[#This Row],[SUBTOTAL]]-PROVEEDORES[[#This Row],[descuento sobre subtotal]])</f>
        <v>372541.7</v>
      </c>
      <c r="R2081" s="21">
        <f>+PROVEEDORES[[#This Row],[SUBTOTAL]]+PROVEEDORES[[#This Row],[IVA 19%]]-PROVEEDORES[[#This Row],[descuento sobre subtotal]]-PROVEEDORES[[#This Row],[Descuento sobre subtotal $2]]-PROVEEDORES[[#This Row],[Rete Fuente $]]</f>
        <v>17360443.220000003</v>
      </c>
      <c r="S2081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81" s="68">
        <f ca="1">IF(PROVEEDORES[[#This Row],[FECHA DE PAGO]]=0,TODAY()-PROVEEDORES[[#This Row],[FECHA DE FACTURACIÓN]]-PROVEEDORES[[#This Row],[PLAZO Días]],0)</f>
        <v>-24</v>
      </c>
      <c r="U2081" s="113" t="str">
        <f>+VLOOKUP(PROVEEDORES[[#This Row],[PROVEEDOR]],Terceros!$A:$D,4,FALSE)</f>
        <v>2,5% con base</v>
      </c>
      <c r="V2081" s="114">
        <f>+YEAR(PROVEEDORES[[#This Row],[FECHA DE FACTURACIÓN]])</f>
        <v>2022</v>
      </c>
      <c r="W2081" s="114">
        <f>+MATCH(PROVEEDORES[[#This Row],[año facturado]],Retenciones!$1:$1,0)</f>
        <v>5</v>
      </c>
      <c r="X2081" s="115">
        <f>+VLOOKUP(PROVEEDORES[[#This Row],[ID RETENCION]],Retenciones!$A$1:$O$25,PROVEEDORES[[#This Row],[indicador de columna]],FALSE)</f>
        <v>1026000</v>
      </c>
      <c r="Y2081" s="116">
        <f>+VLOOKUP(PROVEEDORES[[#This Row],[ID RETENCION]],Retenciones!$A$1:$O$25,2,FALSE)</f>
        <v>2.5000000000000001E-2</v>
      </c>
      <c r="Z2081" s="125" t="b">
        <f>OR(COUNTIF(PROVEEDORES[[#This Row],[PROVEEDOR]],"*"&amp;'Palabra no opera'!$A$2&amp;"*"))</f>
        <v>0</v>
      </c>
    </row>
    <row r="2082" spans="1:26" ht="22.2" customHeight="1" x14ac:dyDescent="0.3">
      <c r="A2082" s="66" t="str">
        <f>+IF(PROVEEDORES[[#This Row],[FECHA DE PAGO]]=PROVEEDORES[[#This Row],[FECHA DE FACTURACIÓN]],"DE CONTADO","CRÉDITO")</f>
        <v>DE CONTADO</v>
      </c>
      <c r="B2082" s="38" t="b">
        <f>+IF((PROVEEDORES[[#This Row],[FECHA DE PAGO]]-PROVEEDORES[[#This Row],[FECHA DE FACTURACIÓN]])&gt;PROVEEDORES[[#This Row],[PLAZO Días]],"PAGO VENCIDO")</f>
        <v>0</v>
      </c>
      <c r="C2082" s="20">
        <f>+VLOOKUP(PROVEEDORES[[#This Row],[PROVEEDOR]],TERCEROS_INFO[#All],2,FALSE)</f>
        <v>30</v>
      </c>
      <c r="D2082" s="25">
        <f>+SUMIFS(PROVEEDORES[Total],PROVEEDORES[PROVEEDOR],PROVEEDORES[[#This Row],[PROVEEDOR]],PROVEEDORES[FECHA DE PAGO],"")</f>
        <v>0</v>
      </c>
      <c r="E2082" s="25"/>
      <c r="F2082" s="58" t="str">
        <f>+VLOOKUP(PROVEEDORES[[#This Row],[PROVEEDOR]],
                       Terceros!$A:$F,
                       5,
                       FALSE)</f>
        <v>jack@sinomingproducts.com;info@servipilas.com</v>
      </c>
      <c r="G2082" s="161">
        <v>44223</v>
      </c>
      <c r="H2082" s="26" t="s">
        <v>156</v>
      </c>
      <c r="I2082" s="161">
        <v>44223</v>
      </c>
      <c r="J2082" s="35">
        <v>114001</v>
      </c>
      <c r="K2082" s="21">
        <v>17969355</v>
      </c>
      <c r="L2082" s="21"/>
      <c r="M2082" s="22">
        <f>(PROVEEDORES[[#This Row],[SUBTOTAL]]-PROVEEDORES[[#This Row],[descuento sobre subtotal]])*VLOOKUP(PROVEEDORES[[#This Row],[PROVEEDOR]],TERCEROS_INFO[#All],3,FALSE)</f>
        <v>0</v>
      </c>
      <c r="N2082" s="23"/>
      <c r="O2082" s="22">
        <f>+PROVEEDORES[[#This Row],[Descuento sobre subtotal %]]*(PROVEEDORES[[#This Row],[SUBTOTAL]]-PROVEEDORES[[#This Row],[descuento sobre subtotal]])</f>
        <v>0</v>
      </c>
      <c r="P2082" s="83">
        <f>+IF(PROVEEDORES[[#This Row],[SUBTOTAL]]&lt;PROVEEDORES[[#This Row],[base retencion]],0,PROVEEDORES[[#This Row],[retención aplicada]])</f>
        <v>0</v>
      </c>
      <c r="Q2082" s="22">
        <f>+PROVEEDORES[[#This Row],[Rete Fuente %]]*(PROVEEDORES[[#This Row],[SUBTOTAL]]-PROVEEDORES[[#This Row],[descuento sobre subtotal]])</f>
        <v>0</v>
      </c>
      <c r="R2082" s="21">
        <f>+PROVEEDORES[[#This Row],[SUBTOTAL]]+PROVEEDORES[[#This Row],[IVA 19%]]-PROVEEDORES[[#This Row],[descuento sobre subtotal]]-PROVEEDORES[[#This Row],[Descuento sobre subtotal $2]]-PROVEEDORES[[#This Row],[Rete Fuente $]]</f>
        <v>17969355</v>
      </c>
      <c r="S208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2" s="68">
        <f ca="1">IF(PROVEEDORES[[#This Row],[FECHA DE PAGO]]=0,TODAY()-PROVEEDORES[[#This Row],[FECHA DE FACTURACIÓN]]-PROVEEDORES[[#This Row],[PLAZO Días]],0)</f>
        <v>0</v>
      </c>
      <c r="U2082" s="96">
        <f>+VLOOKUP(PROVEEDORES[[#This Row],[PROVEEDOR]],Terceros!$A:$D,4,FALSE)</f>
        <v>0</v>
      </c>
      <c r="V2082" s="97">
        <f>+YEAR(PROVEEDORES[[#This Row],[FECHA DE FACTURACIÓN]])</f>
        <v>2021</v>
      </c>
      <c r="W2082" s="97">
        <f>+MATCH(PROVEEDORES[[#This Row],[año facturado]],Retenciones!$1:$1,0)</f>
        <v>4</v>
      </c>
      <c r="X2082" s="98">
        <f>+VLOOKUP(PROVEEDORES[[#This Row],[ID RETENCION]],Retenciones!$A$1:$O$25,PROVEEDORES[[#This Row],[indicador de columna]],FALSE)</f>
        <v>0</v>
      </c>
      <c r="Y2082" s="99">
        <f>+VLOOKUP(PROVEEDORES[[#This Row],[ID RETENCION]],Retenciones!$A$1:$O$25,2,FALSE)</f>
        <v>0</v>
      </c>
      <c r="Z2082" s="125" t="b">
        <f>OR(COUNTIF(PROVEEDORES[[#This Row],[PROVEEDOR]],"*"&amp;'Palabra no opera'!$A$2&amp;"*"))</f>
        <v>0</v>
      </c>
    </row>
    <row r="2083" spans="1:26" ht="22.2" customHeight="1" x14ac:dyDescent="0.3">
      <c r="A2083" s="66" t="str">
        <f>+IF(PROVEEDORES[[#This Row],[FECHA DE PAGO]]=PROVEEDORES[[#This Row],[FECHA DE FACTURACIÓN]],"DE CONTADO","CRÉDITO")</f>
        <v>CRÉDITO</v>
      </c>
      <c r="B2083" s="38" t="str">
        <f>+IF((PROVEEDORES[[#This Row],[FECHA DE PAGO]]-PROVEEDORES[[#This Row],[FECHA DE FACTURACIÓN]])&gt;PROVEEDORES[[#This Row],[PLAZO Días]],"PAGO VENCIDO")</f>
        <v>PAGO VENCIDO</v>
      </c>
      <c r="C2083" s="20">
        <f>+VLOOKUP(PROVEEDORES[[#This Row],[PROVEEDOR]],TERCEROS_INFO[#All],2,FALSE)</f>
        <v>10</v>
      </c>
      <c r="D2083" s="25">
        <f>+SUMIFS(PROVEEDORES[Total],PROVEEDORES[PROVEEDOR],PROVEEDORES[[#This Row],[PROVEEDOR]],PROVEEDORES[FECHA DE PAGO],"")</f>
        <v>0</v>
      </c>
      <c r="E2083" s="25"/>
      <c r="F2083" s="58" t="str">
        <f>+VLOOKUP(PROVEEDORES[[#This Row],[PROVEEDOR]],
                       Terceros!$A:$F,
                       5,
                       FALSE)</f>
        <v/>
      </c>
      <c r="G2083" s="161">
        <v>44487</v>
      </c>
      <c r="H2083" s="26" t="s">
        <v>23</v>
      </c>
      <c r="I2083" s="161">
        <v>44476</v>
      </c>
      <c r="J2083" s="35">
        <v>285851</v>
      </c>
      <c r="K2083" s="21">
        <v>18021500</v>
      </c>
      <c r="L2083" s="21"/>
      <c r="M2083" s="22">
        <f>(PROVEEDORES[[#This Row],[SUBTOTAL]]-PROVEEDORES[[#This Row],[descuento sobre subtotal]])*VLOOKUP(PROVEEDORES[[#This Row],[PROVEEDOR]],TERCEROS_INFO[#All],3,FALSE)</f>
        <v>0</v>
      </c>
      <c r="N2083" s="23"/>
      <c r="O2083" s="22">
        <f>+PROVEEDORES[[#This Row],[Descuento sobre subtotal %]]*(PROVEEDORES[[#This Row],[SUBTOTAL]]-PROVEEDORES[[#This Row],[descuento sobre subtotal]])</f>
        <v>0</v>
      </c>
      <c r="P2083" s="83">
        <f>+IF(PROVEEDORES[[#This Row],[SUBTOTAL]]&lt;PROVEEDORES[[#This Row],[base retencion]],0,PROVEEDORES[[#This Row],[retención aplicada]])</f>
        <v>0</v>
      </c>
      <c r="Q2083" s="22">
        <f>+PROVEEDORES[[#This Row],[Rete Fuente %]]*(PROVEEDORES[[#This Row],[SUBTOTAL]]-PROVEEDORES[[#This Row],[descuento sobre subtotal]])</f>
        <v>0</v>
      </c>
      <c r="R2083" s="21">
        <f>+PROVEEDORES[[#This Row],[SUBTOTAL]]+PROVEEDORES[[#This Row],[IVA 19%]]-PROVEEDORES[[#This Row],[descuento sobre subtotal]]-PROVEEDORES[[#This Row],[Descuento sobre subtotal $2]]-PROVEEDORES[[#This Row],[Rete Fuente $]]</f>
        <v>18021500</v>
      </c>
      <c r="S208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3" s="68">
        <f ca="1">IF(PROVEEDORES[[#This Row],[FECHA DE PAGO]]=0,TODAY()-PROVEEDORES[[#This Row],[FECHA DE FACTURACIÓN]]-PROVEEDORES[[#This Row],[PLAZO Días]],0)</f>
        <v>0</v>
      </c>
      <c r="U2083" s="96">
        <f>+VLOOKUP(PROVEEDORES[[#This Row],[PROVEEDOR]],Terceros!$A:$D,4,FALSE)</f>
        <v>0</v>
      </c>
      <c r="V2083" s="97">
        <f>+YEAR(PROVEEDORES[[#This Row],[FECHA DE FACTURACIÓN]])</f>
        <v>2021</v>
      </c>
      <c r="W2083" s="97">
        <f>+MATCH(PROVEEDORES[[#This Row],[año facturado]],Retenciones!$1:$1,0)</f>
        <v>4</v>
      </c>
      <c r="X2083" s="98">
        <f>+VLOOKUP(PROVEEDORES[[#This Row],[ID RETENCION]],Retenciones!$A$1:$O$25,PROVEEDORES[[#This Row],[indicador de columna]],FALSE)</f>
        <v>0</v>
      </c>
      <c r="Y2083" s="99">
        <f>+VLOOKUP(PROVEEDORES[[#This Row],[ID RETENCION]],Retenciones!$A$1:$O$25,2,FALSE)</f>
        <v>0</v>
      </c>
      <c r="Z2083" s="125" t="b">
        <f>OR(COUNTIF(PROVEEDORES[[#This Row],[PROVEEDOR]],"*"&amp;'Palabra no opera'!$A$2&amp;"*"))</f>
        <v>0</v>
      </c>
    </row>
    <row r="2084" spans="1:26" ht="22.2" customHeight="1" x14ac:dyDescent="0.3">
      <c r="A2084" s="185" t="str">
        <f>+IF(PROVEEDORES[[#This Row],[FECHA DE PAGO]]=PROVEEDORES[[#This Row],[FECHA DE FACTURACIÓN]],"DE CONTADO","CRÉDITO")</f>
        <v>CRÉDITO</v>
      </c>
      <c r="B2084" s="38" t="str">
        <f>+IF((PROVEEDORES[[#This Row],[FECHA DE PAGO]]-PROVEEDORES[[#This Row],[FECHA DE FACTURACIÓN]])&gt;PROVEEDORES[[#This Row],[PLAZO Días]],"PAGO VENCIDO")</f>
        <v>PAGO VENCIDO</v>
      </c>
      <c r="C2084" s="20">
        <f>+VLOOKUP(PROVEEDORES[[#This Row],[PROVEEDOR]],TERCEROS_INFO[#All],2,FALSE)</f>
        <v>90</v>
      </c>
      <c r="D2084" s="25">
        <f>+SUMIFS(PROVEEDORES[Total],PROVEEDORES[PROVEEDOR],PROVEEDORES[[#This Row],[PROVEEDOR]],PROVEEDORES[FECHA DE PAGO],"")</f>
        <v>0</v>
      </c>
      <c r="E2084" s="25"/>
      <c r="F208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84" s="161">
        <v>44852</v>
      </c>
      <c r="H2084" s="26" t="s">
        <v>9</v>
      </c>
      <c r="I2084" s="161">
        <v>44754</v>
      </c>
      <c r="J2084" s="35">
        <v>77683</v>
      </c>
      <c r="K2084" s="21">
        <v>15524476</v>
      </c>
      <c r="L2084" s="21"/>
      <c r="M2084" s="22">
        <f>(PROVEEDORES[[#This Row],[SUBTOTAL]]-PROVEEDORES[[#This Row],[descuento sobre subtotal]])*VLOOKUP(PROVEEDORES[[#This Row],[PROVEEDOR]],TERCEROS_INFO[#All],3,FALSE)</f>
        <v>2949650.44</v>
      </c>
      <c r="N2084" s="23"/>
      <c r="O2084" s="22">
        <f>+PROVEEDORES[[#This Row],[Descuento sobre subtotal %]]*(PROVEEDORES[[#This Row],[SUBTOTAL]]-PROVEEDORES[[#This Row],[descuento sobre subtotal]])</f>
        <v>0</v>
      </c>
      <c r="P2084" s="83">
        <f>+IF(PROVEEDORES[[#This Row],[SUBTOTAL]]&lt;PROVEEDORES[[#This Row],[base retencion]],0,PROVEEDORES[[#This Row],[retención aplicada]])</f>
        <v>2.5000000000000001E-2</v>
      </c>
      <c r="Q2084" s="22">
        <f>+PROVEEDORES[[#This Row],[Rete Fuente %]]*(PROVEEDORES[[#This Row],[SUBTOTAL]]-PROVEEDORES[[#This Row],[descuento sobre subtotal]])</f>
        <v>388111.9</v>
      </c>
      <c r="R2084" s="21">
        <f>+PROVEEDORES[[#This Row],[SUBTOTAL]]+PROVEEDORES[[#This Row],[IVA 19%]]-PROVEEDORES[[#This Row],[descuento sobre subtotal]]-PROVEEDORES[[#This Row],[Descuento sobre subtotal $2]]-PROVEEDORES[[#This Row],[Rete Fuente $]]</f>
        <v>18086014.540000003</v>
      </c>
      <c r="S2084" s="1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4" s="68">
        <f ca="1">IF(PROVEEDORES[[#This Row],[FECHA DE PAGO]]=0,TODAY()-PROVEEDORES[[#This Row],[FECHA DE FACTURACIÓN]]-PROVEEDORES[[#This Row],[PLAZO Días]],0)</f>
        <v>0</v>
      </c>
      <c r="U2084" s="113" t="str">
        <f>+VLOOKUP(PROVEEDORES[[#This Row],[PROVEEDOR]],Terceros!$A:$D,4,FALSE)</f>
        <v>2,5% con base</v>
      </c>
      <c r="V2084" s="114">
        <f>+YEAR(PROVEEDORES[[#This Row],[FECHA DE FACTURACIÓN]])</f>
        <v>2022</v>
      </c>
      <c r="W2084" s="114">
        <f>+MATCH(PROVEEDORES[[#This Row],[año facturado]],Retenciones!$1:$1,0)</f>
        <v>5</v>
      </c>
      <c r="X2084" s="115">
        <f>+VLOOKUP(PROVEEDORES[[#This Row],[ID RETENCION]],Retenciones!$A$1:$O$25,PROVEEDORES[[#This Row],[indicador de columna]],FALSE)</f>
        <v>1026000</v>
      </c>
      <c r="Y2084" s="116">
        <f>+VLOOKUP(PROVEEDORES[[#This Row],[ID RETENCION]],Retenciones!$A$1:$O$25,2,FALSE)</f>
        <v>2.5000000000000001E-2</v>
      </c>
      <c r="Z2084" s="125" t="b">
        <f>OR(COUNTIF(PROVEEDORES[[#This Row],[PROVEEDOR]],"*"&amp;'Palabra no opera'!$A$2&amp;"*"))</f>
        <v>0</v>
      </c>
    </row>
    <row r="2085" spans="1:26" ht="22.2" customHeight="1" x14ac:dyDescent="0.3">
      <c r="A2085" s="66" t="str">
        <f>+IF(PROVEEDORES[[#This Row],[FECHA DE PAGO]]=PROVEEDORES[[#This Row],[FECHA DE FACTURACIÓN]],"DE CONTADO","CRÉDITO")</f>
        <v>CRÉDITO</v>
      </c>
      <c r="B2085" s="38" t="str">
        <f>+IF((PROVEEDORES[[#This Row],[FECHA DE PAGO]]-PROVEEDORES[[#This Row],[FECHA DE FACTURACIÓN]])&gt;PROVEEDORES[[#This Row],[PLAZO Días]],"PAGO VENCIDO")</f>
        <v>PAGO VENCIDO</v>
      </c>
      <c r="C2085" s="20">
        <f>+VLOOKUP(PROVEEDORES[[#This Row],[PROVEEDOR]],TERCEROS_INFO[#All],2,FALSE)</f>
        <v>90</v>
      </c>
      <c r="D2085" s="25">
        <f>+SUMIFS(PROVEEDORES[Total],PROVEEDORES[PROVEEDOR],PROVEEDORES[[#This Row],[PROVEEDOR]],PROVEEDORES[FECHA DE PAGO],"")</f>
        <v>75241004.385000005</v>
      </c>
      <c r="E2085" s="25"/>
      <c r="F208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85" s="161">
        <v>44533</v>
      </c>
      <c r="H2085" s="26" t="s">
        <v>77</v>
      </c>
      <c r="I2085" s="161">
        <v>44414</v>
      </c>
      <c r="J2085" s="35" t="s">
        <v>409</v>
      </c>
      <c r="K2085" s="21">
        <v>16113446</v>
      </c>
      <c r="L2085" s="21"/>
      <c r="M2085" s="22">
        <f>(PROVEEDORES[[#This Row],[SUBTOTAL]]-PROVEEDORES[[#This Row],[descuento sobre subtotal]])*VLOOKUP(PROVEEDORES[[#This Row],[PROVEEDOR]],TERCEROS_INFO[#All],3,FALSE)</f>
        <v>3061554.74</v>
      </c>
      <c r="N2085" s="23"/>
      <c r="O2085" s="22">
        <f>+PROVEEDORES[[#This Row],[Descuento sobre subtotal %]]*(PROVEEDORES[[#This Row],[SUBTOTAL]]-PROVEEDORES[[#This Row],[descuento sobre subtotal]])</f>
        <v>0</v>
      </c>
      <c r="P2085" s="83">
        <f>+IF(PROVEEDORES[[#This Row],[SUBTOTAL]]&lt;PROVEEDORES[[#This Row],[base retencion]],0,PROVEEDORES[[#This Row],[retención aplicada]])</f>
        <v>2.5000000000000001E-2</v>
      </c>
      <c r="Q2085" s="22">
        <f>+PROVEEDORES[[#This Row],[Rete Fuente %]]*(PROVEEDORES[[#This Row],[SUBTOTAL]]-PROVEEDORES[[#This Row],[descuento sobre subtotal]])</f>
        <v>402836.15</v>
      </c>
      <c r="R2085" s="21">
        <f>+PROVEEDORES[[#This Row],[SUBTOTAL]]+PROVEEDORES[[#This Row],[IVA 19%]]-PROVEEDORES[[#This Row],[descuento sobre subtotal]]-PROVEEDORES[[#This Row],[Descuento sobre subtotal $2]]-PROVEEDORES[[#This Row],[Rete Fuente $]]</f>
        <v>18772164.590000004</v>
      </c>
      <c r="S208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5" s="68">
        <f ca="1">IF(PROVEEDORES[[#This Row],[FECHA DE PAGO]]=0,TODAY()-PROVEEDORES[[#This Row],[FECHA DE FACTURACIÓN]]-PROVEEDORES[[#This Row],[PLAZO Días]],0)</f>
        <v>0</v>
      </c>
      <c r="U2085" s="96" t="str">
        <f>+VLOOKUP(PROVEEDORES[[#This Row],[PROVEEDOR]],Terceros!$A:$D,4,FALSE)</f>
        <v>2,5% con base</v>
      </c>
      <c r="V2085" s="97">
        <f>+YEAR(PROVEEDORES[[#This Row],[FECHA DE FACTURACIÓN]])</f>
        <v>2021</v>
      </c>
      <c r="W2085" s="97">
        <f>+MATCH(PROVEEDORES[[#This Row],[año facturado]],Retenciones!$1:$1,0)</f>
        <v>4</v>
      </c>
      <c r="X2085" s="98">
        <f>+VLOOKUP(PROVEEDORES[[#This Row],[ID RETENCION]],Retenciones!$A$1:$O$25,PROVEEDORES[[#This Row],[indicador de columna]],FALSE)</f>
        <v>980000</v>
      </c>
      <c r="Y2085" s="99">
        <f>+VLOOKUP(PROVEEDORES[[#This Row],[ID RETENCION]],Retenciones!$A$1:$O$25,2,FALSE)</f>
        <v>2.5000000000000001E-2</v>
      </c>
      <c r="Z2085" s="125" t="b">
        <f>OR(COUNTIF(PROVEEDORES[[#This Row],[PROVEEDOR]],"*"&amp;'Palabra no opera'!$A$2&amp;"*"))</f>
        <v>0</v>
      </c>
    </row>
    <row r="2086" spans="1:26" ht="22.2" customHeight="1" x14ac:dyDescent="0.3">
      <c r="A2086" s="123" t="str">
        <f>+IF(PROVEEDORES[[#This Row],[FECHA DE PAGO]]=PROVEEDORES[[#This Row],[FECHA DE FACTURACIÓN]],"DE CONTADO","CRÉDITO")</f>
        <v>CRÉDITO</v>
      </c>
      <c r="B2086" s="38" t="str">
        <f>+IF((PROVEEDORES[[#This Row],[FECHA DE PAGO]]-PROVEEDORES[[#This Row],[FECHA DE FACTURACIÓN]])&gt;PROVEEDORES[[#This Row],[PLAZO Días]],"PAGO VENCIDO")</f>
        <v>PAGO VENCIDO</v>
      </c>
      <c r="C2086" s="20">
        <f>+VLOOKUP(PROVEEDORES[[#This Row],[PROVEEDOR]],TERCEROS_INFO[#All],2,FALSE)</f>
        <v>45</v>
      </c>
      <c r="D2086" s="25">
        <f>+SUMIFS(PROVEEDORES[Total],PROVEEDORES[PROVEEDOR],PROVEEDORES[[#This Row],[PROVEEDOR]],PROVEEDORES[FECHA DE PAGO],"")</f>
        <v>31891814.359999999</v>
      </c>
      <c r="E2086" s="25"/>
      <c r="F208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86" s="161">
        <v>44729</v>
      </c>
      <c r="H2086" s="26" t="s">
        <v>19</v>
      </c>
      <c r="I2086" s="161">
        <v>44677</v>
      </c>
      <c r="J2086" s="35" t="s">
        <v>896</v>
      </c>
      <c r="K2086" s="21">
        <v>16175936</v>
      </c>
      <c r="L2086" s="21"/>
      <c r="M2086" s="22">
        <f>(PROVEEDORES[[#This Row],[SUBTOTAL]]-PROVEEDORES[[#This Row],[descuento sobre subtotal]])*VLOOKUP(PROVEEDORES[[#This Row],[PROVEEDOR]],TERCEROS_INFO[#All],3,FALSE)</f>
        <v>3073427.84</v>
      </c>
      <c r="N2086" s="23"/>
      <c r="O2086" s="22">
        <f>+PROVEEDORES[[#This Row],[Descuento sobre subtotal %]]*(PROVEEDORES[[#This Row],[SUBTOTAL]]-PROVEEDORES[[#This Row],[descuento sobre subtotal]])</f>
        <v>0</v>
      </c>
      <c r="P2086" s="83">
        <f>+IF(PROVEEDORES[[#This Row],[SUBTOTAL]]&lt;PROVEEDORES[[#This Row],[base retencion]],0,PROVEEDORES[[#This Row],[retención aplicada]])</f>
        <v>0</v>
      </c>
      <c r="Q2086" s="22">
        <f>+PROVEEDORES[[#This Row],[Rete Fuente %]]*(PROVEEDORES[[#This Row],[SUBTOTAL]]-PROVEEDORES[[#This Row],[descuento sobre subtotal]])</f>
        <v>0</v>
      </c>
      <c r="R2086" s="21">
        <f>+PROVEEDORES[[#This Row],[SUBTOTAL]]+PROVEEDORES[[#This Row],[IVA 19%]]-PROVEEDORES[[#This Row],[descuento sobre subtotal]]-PROVEEDORES[[#This Row],[Descuento sobre subtotal $2]]-PROVEEDORES[[#This Row],[Rete Fuente $]]</f>
        <v>19249363.84</v>
      </c>
      <c r="S2086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6" s="68">
        <f ca="1">IF(PROVEEDORES[[#This Row],[FECHA DE PAGO]]=0,TODAY()-PROVEEDORES[[#This Row],[FECHA DE FACTURACIÓN]]-PROVEEDORES[[#This Row],[PLAZO Días]],0)</f>
        <v>0</v>
      </c>
      <c r="U2086" s="113">
        <f>+VLOOKUP(PROVEEDORES[[#This Row],[PROVEEDOR]],Terceros!$A:$D,4,FALSE)</f>
        <v>0</v>
      </c>
      <c r="V2086" s="114">
        <f>+YEAR(PROVEEDORES[[#This Row],[FECHA DE FACTURACIÓN]])</f>
        <v>2022</v>
      </c>
      <c r="W2086" s="114">
        <f>+MATCH(PROVEEDORES[[#This Row],[año facturado]],Retenciones!$1:$1,0)</f>
        <v>5</v>
      </c>
      <c r="X2086" s="115">
        <f>+VLOOKUP(PROVEEDORES[[#This Row],[ID RETENCION]],Retenciones!$A$1:$O$25,PROVEEDORES[[#This Row],[indicador de columna]],FALSE)</f>
        <v>0</v>
      </c>
      <c r="Y2086" s="116">
        <f>+VLOOKUP(PROVEEDORES[[#This Row],[ID RETENCION]],Retenciones!$A$1:$O$25,2,FALSE)</f>
        <v>0</v>
      </c>
      <c r="Z2086" s="125" t="b">
        <f>OR(COUNTIF(PROVEEDORES[[#This Row],[PROVEEDOR]],"*"&amp;'Palabra no opera'!$A$2&amp;"*"))</f>
        <v>0</v>
      </c>
    </row>
    <row r="2087" spans="1:26" ht="22.2" customHeight="1" x14ac:dyDescent="0.3">
      <c r="A2087" s="140" t="str">
        <f>+IF(PROVEEDORES[[#This Row],[FECHA DE PAGO]]=PROVEEDORES[[#This Row],[FECHA DE FACTURACIÓN]],"DE CONTADO","CRÉDITO")</f>
        <v>CRÉDITO</v>
      </c>
      <c r="B2087" s="38" t="str">
        <f>+IF((PROVEEDORES[[#This Row],[FECHA DE PAGO]]-PROVEEDORES[[#This Row],[FECHA DE FACTURACIÓN]])&gt;PROVEEDORES[[#This Row],[PLAZO Días]],"PAGO VENCIDO")</f>
        <v>PAGO VENCIDO</v>
      </c>
      <c r="C2087" s="20">
        <f>+VLOOKUP(PROVEEDORES[[#This Row],[PROVEEDOR]],TERCEROS_INFO[#All],2,FALSE)</f>
        <v>45</v>
      </c>
      <c r="D2087" s="25">
        <f>+SUMIFS(PROVEEDORES[Total],PROVEEDORES[PROVEEDOR],PROVEEDORES[[#This Row],[PROVEEDOR]],PROVEEDORES[FECHA DE PAGO],"")</f>
        <v>31891814.359999999</v>
      </c>
      <c r="E2087" s="25"/>
      <c r="F208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87" s="161">
        <v>44757</v>
      </c>
      <c r="H2087" s="26" t="s">
        <v>19</v>
      </c>
      <c r="I2087" s="161">
        <v>44698</v>
      </c>
      <c r="J2087" s="35" t="s">
        <v>971</v>
      </c>
      <c r="K2087" s="21">
        <v>17616000</v>
      </c>
      <c r="L2087" s="21"/>
      <c r="M2087" s="22">
        <f>(PROVEEDORES[[#This Row],[SUBTOTAL]]-PROVEEDORES[[#This Row],[descuento sobre subtotal]])*VLOOKUP(PROVEEDORES[[#This Row],[PROVEEDOR]],TERCEROS_INFO[#All],3,FALSE)</f>
        <v>3347040</v>
      </c>
      <c r="N2087" s="23"/>
      <c r="O2087" s="22">
        <f>+PROVEEDORES[[#This Row],[Descuento sobre subtotal %]]*(PROVEEDORES[[#This Row],[SUBTOTAL]]-PROVEEDORES[[#This Row],[descuento sobre subtotal]])</f>
        <v>0</v>
      </c>
      <c r="P2087" s="83">
        <f>+IF(PROVEEDORES[[#This Row],[SUBTOTAL]]&lt;PROVEEDORES[[#This Row],[base retencion]],0,PROVEEDORES[[#This Row],[retención aplicada]])</f>
        <v>0</v>
      </c>
      <c r="Q2087" s="22">
        <f>+PROVEEDORES[[#This Row],[Rete Fuente %]]*(PROVEEDORES[[#This Row],[SUBTOTAL]]-PROVEEDORES[[#This Row],[descuento sobre subtotal]])</f>
        <v>0</v>
      </c>
      <c r="R2087" s="21">
        <f>+PROVEEDORES[[#This Row],[SUBTOTAL]]+PROVEEDORES[[#This Row],[IVA 19%]]-PROVEEDORES[[#This Row],[descuento sobre subtotal]]-PROVEEDORES[[#This Row],[Descuento sobre subtotal $2]]-PROVEEDORES[[#This Row],[Rete Fuente $]]</f>
        <v>20963040</v>
      </c>
      <c r="S2087" s="1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7" s="68">
        <f ca="1">IF(PROVEEDORES[[#This Row],[FECHA DE PAGO]]=0,TODAY()-PROVEEDORES[[#This Row],[FECHA DE FACTURACIÓN]]-PROVEEDORES[[#This Row],[PLAZO Días]],0)</f>
        <v>0</v>
      </c>
      <c r="U2087" s="113">
        <f>+VLOOKUP(PROVEEDORES[[#This Row],[PROVEEDOR]],Terceros!$A:$D,4,FALSE)</f>
        <v>0</v>
      </c>
      <c r="V2087" s="114">
        <f>+YEAR(PROVEEDORES[[#This Row],[FECHA DE FACTURACIÓN]])</f>
        <v>2022</v>
      </c>
      <c r="W2087" s="114">
        <f>+MATCH(PROVEEDORES[[#This Row],[año facturado]],Retenciones!$1:$1,0)</f>
        <v>5</v>
      </c>
      <c r="X2087" s="115">
        <f>+VLOOKUP(PROVEEDORES[[#This Row],[ID RETENCION]],Retenciones!$A$1:$O$25,PROVEEDORES[[#This Row],[indicador de columna]],FALSE)</f>
        <v>0</v>
      </c>
      <c r="Y2087" s="116">
        <f>+VLOOKUP(PROVEEDORES[[#This Row],[ID RETENCION]],Retenciones!$A$1:$O$25,2,FALSE)</f>
        <v>0</v>
      </c>
      <c r="Z2087" s="125" t="b">
        <f>OR(COUNTIF(PROVEEDORES[[#This Row],[PROVEEDOR]],"*"&amp;'Palabra no opera'!$A$2&amp;"*"))</f>
        <v>0</v>
      </c>
    </row>
    <row r="2088" spans="1:26" ht="22.2" customHeight="1" x14ac:dyDescent="0.3">
      <c r="A2088" s="66" t="str">
        <f>+IF(PROVEEDORES[[#This Row],[FECHA DE PAGO]]=PROVEEDORES[[#This Row],[FECHA DE FACTURACIÓN]],"DE CONTADO","CRÉDITO")</f>
        <v>CRÉDITO</v>
      </c>
      <c r="B2088" s="38" t="str">
        <f>+IF((PROVEEDORES[[#This Row],[FECHA DE PAGO]]-PROVEEDORES[[#This Row],[FECHA DE FACTURACIÓN]])&gt;PROVEEDORES[[#This Row],[PLAZO Días]],"PAGO VENCIDO")</f>
        <v>PAGO VENCIDO</v>
      </c>
      <c r="C2088" s="20">
        <f>+VLOOKUP(PROVEEDORES[[#This Row],[PROVEEDOR]],TERCEROS_INFO[#All],2,FALSE)</f>
        <v>90</v>
      </c>
      <c r="D2088" s="25">
        <f>+SUMIFS(PROVEEDORES[Total],PROVEEDORES[PROVEEDOR],PROVEEDORES[[#This Row],[PROVEEDOR]],PROVEEDORES[FECHA DE PAGO],"")</f>
        <v>2410000</v>
      </c>
      <c r="E2088" s="25"/>
      <c r="F2088" s="58" t="str">
        <f>+VLOOKUP(PROVEEDORES[[#This Row],[PROVEEDOR]],
                       Terceros!$A:$F,
                       5,
                       FALSE)</f>
        <v/>
      </c>
      <c r="G2088" s="161">
        <v>44375</v>
      </c>
      <c r="H2088" s="26" t="s">
        <v>651</v>
      </c>
      <c r="I2088" s="161">
        <v>44169</v>
      </c>
      <c r="J2088" s="35">
        <v>1493</v>
      </c>
      <c r="K2088" s="21">
        <v>21277000</v>
      </c>
      <c r="L2088" s="21"/>
      <c r="M2088" s="22">
        <f>(PROVEEDORES[[#This Row],[SUBTOTAL]]-PROVEEDORES[[#This Row],[descuento sobre subtotal]])*VLOOKUP(PROVEEDORES[[#This Row],[PROVEEDOR]],TERCEROS_INFO[#All],3,FALSE)</f>
        <v>0</v>
      </c>
      <c r="N2088" s="23"/>
      <c r="O2088" s="22">
        <f>+PROVEEDORES[[#This Row],[Descuento sobre subtotal %]]*(PROVEEDORES[[#This Row],[SUBTOTAL]]-PROVEEDORES[[#This Row],[descuento sobre subtotal]])</f>
        <v>0</v>
      </c>
      <c r="P2088" s="83">
        <f>+IF(PROVEEDORES[[#This Row],[SUBTOTAL]]&lt;PROVEEDORES[[#This Row],[base retencion]],0,PROVEEDORES[[#This Row],[retención aplicada]])</f>
        <v>0</v>
      </c>
      <c r="Q2088" s="22">
        <f>+PROVEEDORES[[#This Row],[Rete Fuente %]]*(PROVEEDORES[[#This Row],[SUBTOTAL]]-PROVEEDORES[[#This Row],[descuento sobre subtotal]])</f>
        <v>0</v>
      </c>
      <c r="R2088" s="21">
        <f>+PROVEEDORES[[#This Row],[SUBTOTAL]]+PROVEEDORES[[#This Row],[IVA 19%]]-PROVEEDORES[[#This Row],[descuento sobre subtotal]]-PROVEEDORES[[#This Row],[Descuento sobre subtotal $2]]-PROVEEDORES[[#This Row],[Rete Fuente $]]</f>
        <v>21277000</v>
      </c>
      <c r="S208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8" s="68">
        <f ca="1">IF(PROVEEDORES[[#This Row],[FECHA DE PAGO]]=0,TODAY()-PROVEEDORES[[#This Row],[FECHA DE FACTURACIÓN]]-PROVEEDORES[[#This Row],[PLAZO Días]],0)</f>
        <v>0</v>
      </c>
      <c r="U2088" s="96">
        <f>+VLOOKUP(PROVEEDORES[[#This Row],[PROVEEDOR]],Terceros!$A:$D,4,FALSE)</f>
        <v>0</v>
      </c>
      <c r="V2088" s="97">
        <f>+YEAR(PROVEEDORES[[#This Row],[FECHA DE FACTURACIÓN]])</f>
        <v>2020</v>
      </c>
      <c r="W2088" s="97">
        <f>+MATCH(PROVEEDORES[[#This Row],[año facturado]],Retenciones!$1:$1,0)</f>
        <v>3</v>
      </c>
      <c r="X2088" s="98">
        <f>+VLOOKUP(PROVEEDORES[[#This Row],[ID RETENCION]],Retenciones!$A$1:$O$25,PROVEEDORES[[#This Row],[indicador de columna]],FALSE)</f>
        <v>0</v>
      </c>
      <c r="Y2088" s="99">
        <f>+VLOOKUP(PROVEEDORES[[#This Row],[ID RETENCION]],Retenciones!$A$1:$O$25,2,FALSE)</f>
        <v>0</v>
      </c>
      <c r="Z2088" s="125" t="b">
        <f>OR(COUNTIF(PROVEEDORES[[#This Row],[PROVEEDOR]],"*"&amp;'Palabra no opera'!$A$2&amp;"*"))</f>
        <v>0</v>
      </c>
    </row>
    <row r="2089" spans="1:26" ht="22.2" customHeight="1" x14ac:dyDescent="0.3">
      <c r="A2089" s="66" t="str">
        <f>+IF(PROVEEDORES[[#This Row],[FECHA DE PAGO]]=PROVEEDORES[[#This Row],[FECHA DE FACTURACIÓN]],"DE CONTADO","CRÉDITO")</f>
        <v>CRÉDITO</v>
      </c>
      <c r="B2089" s="38" t="b">
        <f>+IF((PROVEEDORES[[#This Row],[FECHA DE PAGO]]-PROVEEDORES[[#This Row],[FECHA DE FACTURACIÓN]])&gt;PROVEEDORES[[#This Row],[PLAZO Días]],"PAGO VENCIDO")</f>
        <v>0</v>
      </c>
      <c r="C2089" s="20">
        <f>+VLOOKUP(PROVEEDORES[[#This Row],[PROVEEDOR]],TERCEROS_INFO[#All],2,FALSE)</f>
        <v>90</v>
      </c>
      <c r="D2089" s="25">
        <f>+SUMIFS(PROVEEDORES[Total],PROVEEDORES[PROVEEDOR],PROVEEDORES[[#This Row],[PROVEEDOR]],PROVEEDORES[FECHA DE PAGO],"")</f>
        <v>0</v>
      </c>
      <c r="E2089" s="25"/>
      <c r="F2089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089" s="161">
        <v>44377</v>
      </c>
      <c r="H2089" s="26" t="s">
        <v>31</v>
      </c>
      <c r="I2089" s="161">
        <v>44293</v>
      </c>
      <c r="J2089" s="35">
        <v>53922</v>
      </c>
      <c r="K2089" s="21">
        <v>21930011</v>
      </c>
      <c r="L2089" s="21"/>
      <c r="M2089" s="22">
        <f>(PROVEEDORES[[#This Row],[SUBTOTAL]]-PROVEEDORES[[#This Row],[descuento sobre subtotal]])*VLOOKUP(PROVEEDORES[[#This Row],[PROVEEDOR]],TERCEROS_INFO[#All],3,FALSE)</f>
        <v>0</v>
      </c>
      <c r="N2089" s="23"/>
      <c r="O2089" s="22">
        <f>+PROVEEDORES[[#This Row],[Descuento sobre subtotal %]]*(PROVEEDORES[[#This Row],[SUBTOTAL]]-PROVEEDORES[[#This Row],[descuento sobre subtotal]])</f>
        <v>0</v>
      </c>
      <c r="P2089" s="83">
        <f>+IF(PROVEEDORES[[#This Row],[SUBTOTAL]]&lt;PROVEEDORES[[#This Row],[base retencion]],0,PROVEEDORES[[#This Row],[retención aplicada]])</f>
        <v>0</v>
      </c>
      <c r="Q2089" s="22">
        <f>+PROVEEDORES[[#This Row],[Rete Fuente %]]*(PROVEEDORES[[#This Row],[SUBTOTAL]]-PROVEEDORES[[#This Row],[descuento sobre subtotal]])</f>
        <v>0</v>
      </c>
      <c r="R2089" s="21">
        <f>+PROVEEDORES[[#This Row],[SUBTOTAL]]+PROVEEDORES[[#This Row],[IVA 19%]]-PROVEEDORES[[#This Row],[descuento sobre subtotal]]-PROVEEDORES[[#This Row],[Descuento sobre subtotal $2]]-PROVEEDORES[[#This Row],[Rete Fuente $]]</f>
        <v>21930011</v>
      </c>
      <c r="S208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9" s="68">
        <f ca="1">IF(PROVEEDORES[[#This Row],[FECHA DE PAGO]]=0,TODAY()-PROVEEDORES[[#This Row],[FECHA DE FACTURACIÓN]]-PROVEEDORES[[#This Row],[PLAZO Días]],0)</f>
        <v>0</v>
      </c>
      <c r="U2089" s="96">
        <f>+VLOOKUP(PROVEEDORES[[#This Row],[PROVEEDOR]],Terceros!$A:$D,4,FALSE)</f>
        <v>0</v>
      </c>
      <c r="V2089" s="97">
        <f>+YEAR(PROVEEDORES[[#This Row],[FECHA DE FACTURACIÓN]])</f>
        <v>2021</v>
      </c>
      <c r="W2089" s="97">
        <f>+MATCH(PROVEEDORES[[#This Row],[año facturado]],Retenciones!$1:$1,0)</f>
        <v>4</v>
      </c>
      <c r="X2089" s="98">
        <f>+VLOOKUP(PROVEEDORES[[#This Row],[ID RETENCION]],Retenciones!$A$1:$O$25,PROVEEDORES[[#This Row],[indicador de columna]],FALSE)</f>
        <v>0</v>
      </c>
      <c r="Y2089" s="99">
        <f>+VLOOKUP(PROVEEDORES[[#This Row],[ID RETENCION]],Retenciones!$A$1:$O$25,2,FALSE)</f>
        <v>0</v>
      </c>
      <c r="Z2089" s="125" t="b">
        <f>OR(COUNTIF(PROVEEDORES[[#This Row],[PROVEEDOR]],"*"&amp;'Palabra no opera'!$A$2&amp;"*"))</f>
        <v>0</v>
      </c>
    </row>
    <row r="2090" spans="1:26" ht="22.2" customHeight="1" x14ac:dyDescent="0.3">
      <c r="A2090" s="66" t="str">
        <f>+IF(PROVEEDORES[[#This Row],[FECHA DE PAGO]]=PROVEEDORES[[#This Row],[FECHA DE FACTURACIÓN]],"DE CONTADO","CRÉDITO")</f>
        <v>CRÉDITO</v>
      </c>
      <c r="B2090" s="38" t="str">
        <f>+IF((PROVEEDORES[[#This Row],[FECHA DE PAGO]]-PROVEEDORES[[#This Row],[FECHA DE FACTURACIÓN]])&gt;PROVEEDORES[[#This Row],[PLAZO Días]],"PAGO VENCIDO")</f>
        <v>PAGO VENCIDO</v>
      </c>
      <c r="C2090" s="20">
        <f>+VLOOKUP(PROVEEDORES[[#This Row],[PROVEEDOR]],TERCEROS_INFO[#All],2,FALSE)</f>
        <v>30</v>
      </c>
      <c r="D2090" s="25">
        <f>+SUMIFS(PROVEEDORES[Total],PROVEEDORES[PROVEEDOR],PROVEEDORES[[#This Row],[PROVEEDOR]],PROVEEDORES[FECHA DE PAGO],"")</f>
        <v>0</v>
      </c>
      <c r="E2090" s="25"/>
      <c r="F2090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090" s="161">
        <v>44572</v>
      </c>
      <c r="H2090" s="26" t="s">
        <v>38</v>
      </c>
      <c r="I2090" s="161">
        <v>44531</v>
      </c>
      <c r="J2090" s="35" t="s">
        <v>579</v>
      </c>
      <c r="K2090" s="21">
        <v>22083872</v>
      </c>
      <c r="L2090" s="21"/>
      <c r="M2090" s="22">
        <f>(PROVEEDORES[[#This Row],[SUBTOTAL]]-PROVEEDORES[[#This Row],[descuento sobre subtotal]])*VLOOKUP(PROVEEDORES[[#This Row],[PROVEEDOR]],TERCEROS_INFO[#All],3,FALSE)</f>
        <v>0</v>
      </c>
      <c r="N2090" s="23"/>
      <c r="O2090" s="22">
        <f>+PROVEEDORES[[#This Row],[Descuento sobre subtotal %]]*(PROVEEDORES[[#This Row],[SUBTOTAL]]-PROVEEDORES[[#This Row],[descuento sobre subtotal]])</f>
        <v>0</v>
      </c>
      <c r="P2090" s="83">
        <f>+IF(PROVEEDORES[[#This Row],[SUBTOTAL]]&lt;PROVEEDORES[[#This Row],[base retencion]],0,PROVEEDORES[[#This Row],[retención aplicada]])</f>
        <v>0</v>
      </c>
      <c r="Q2090" s="22">
        <f>+PROVEEDORES[[#This Row],[Rete Fuente %]]*(PROVEEDORES[[#This Row],[SUBTOTAL]]-PROVEEDORES[[#This Row],[descuento sobre subtotal]])</f>
        <v>0</v>
      </c>
      <c r="R2090" s="21">
        <v>22083872</v>
      </c>
      <c r="S209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0" s="68">
        <f ca="1">IF(PROVEEDORES[[#This Row],[FECHA DE PAGO]]=0,TODAY()-PROVEEDORES[[#This Row],[FECHA DE FACTURACIÓN]]-PROVEEDORES[[#This Row],[PLAZO Días]],0)</f>
        <v>0</v>
      </c>
      <c r="U2090" s="96">
        <f>+VLOOKUP(PROVEEDORES[[#This Row],[PROVEEDOR]],Terceros!$A:$D,4,FALSE)</f>
        <v>0</v>
      </c>
      <c r="V2090" s="97">
        <f>+YEAR(PROVEEDORES[[#This Row],[FECHA DE FACTURACIÓN]])</f>
        <v>2021</v>
      </c>
      <c r="W2090" s="97">
        <f>+MATCH(PROVEEDORES[[#This Row],[año facturado]],Retenciones!$1:$1,0)</f>
        <v>4</v>
      </c>
      <c r="X2090" s="98">
        <f>+VLOOKUP(PROVEEDORES[[#This Row],[ID RETENCION]],Retenciones!$A$1:$O$25,PROVEEDORES[[#This Row],[indicador de columna]],FALSE)</f>
        <v>0</v>
      </c>
      <c r="Y2090" s="99">
        <f>+VLOOKUP(PROVEEDORES[[#This Row],[ID RETENCION]],Retenciones!$A$1:$O$25,2,FALSE)</f>
        <v>0</v>
      </c>
      <c r="Z2090" s="125" t="b">
        <f>OR(COUNTIF(PROVEEDORES[[#This Row],[PROVEEDOR]],"*"&amp;'Palabra no opera'!$A$2&amp;"*"))</f>
        <v>0</v>
      </c>
    </row>
    <row r="2091" spans="1:26" ht="22.2" customHeight="1" x14ac:dyDescent="0.3">
      <c r="A2091" s="66" t="str">
        <f>+IF(PROVEEDORES[[#This Row],[FECHA DE PAGO]]=PROVEEDORES[[#This Row],[FECHA DE FACTURACIÓN]],"DE CONTADO","CRÉDITO")</f>
        <v>CRÉDITO</v>
      </c>
      <c r="B2091" s="38" t="b">
        <f>+IF((PROVEEDORES[[#This Row],[FECHA DE PAGO]]-PROVEEDORES[[#This Row],[FECHA DE FACTURACIÓN]])&gt;PROVEEDORES[[#This Row],[PLAZO Días]],"PAGO VENCIDO")</f>
        <v>0</v>
      </c>
      <c r="C2091" s="20">
        <f>+VLOOKUP(PROVEEDORES[[#This Row],[PROVEEDOR]],TERCEROS_INFO[#All],2,FALSE)</f>
        <v>90</v>
      </c>
      <c r="D2091" s="25">
        <f>+SUMIFS(PROVEEDORES[Total],PROVEEDORES[PROVEEDOR],PROVEEDORES[[#This Row],[PROVEEDOR]],PROVEEDORES[FECHA DE PAGO],"")</f>
        <v>0</v>
      </c>
      <c r="E2091" s="25"/>
      <c r="F2091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91" s="161">
        <v>44718</v>
      </c>
      <c r="H2091" s="26" t="s">
        <v>9</v>
      </c>
      <c r="I2091" s="161">
        <v>44649</v>
      </c>
      <c r="J2091" s="35">
        <v>75600</v>
      </c>
      <c r="K2091" s="21">
        <v>19035762</v>
      </c>
      <c r="L2091" s="21"/>
      <c r="M2091" s="22">
        <f>(PROVEEDORES[[#This Row],[SUBTOTAL]]-PROVEEDORES[[#This Row],[descuento sobre subtotal]])*VLOOKUP(PROVEEDORES[[#This Row],[PROVEEDOR]],TERCEROS_INFO[#All],3,FALSE)</f>
        <v>3616794.7800000003</v>
      </c>
      <c r="N2091" s="23"/>
      <c r="O2091" s="22">
        <f>+PROVEEDORES[[#This Row],[Descuento sobre subtotal %]]*(PROVEEDORES[[#This Row],[SUBTOTAL]]-PROVEEDORES[[#This Row],[descuento sobre subtotal]])</f>
        <v>0</v>
      </c>
      <c r="P2091" s="83">
        <f>+IF(PROVEEDORES[[#This Row],[SUBTOTAL]]&lt;PROVEEDORES[[#This Row],[base retencion]],0,PROVEEDORES[[#This Row],[retención aplicada]])</f>
        <v>2.5000000000000001E-2</v>
      </c>
      <c r="Q2091" s="22">
        <f>+PROVEEDORES[[#This Row],[Rete Fuente %]]*(PROVEEDORES[[#This Row],[SUBTOTAL]]-PROVEEDORES[[#This Row],[descuento sobre subtotal]])</f>
        <v>475894.05000000005</v>
      </c>
      <c r="R2091" s="21">
        <f>+PROVEEDORES[[#This Row],[SUBTOTAL]]+PROVEEDORES[[#This Row],[IVA 19%]]-PROVEEDORES[[#This Row],[descuento sobre subtotal]]-PROVEEDORES[[#This Row],[Descuento sobre subtotal $2]]-PROVEEDORES[[#This Row],[Rete Fuente $]]</f>
        <v>22176662.73</v>
      </c>
      <c r="S209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1" s="68">
        <f ca="1">IF(PROVEEDORES[[#This Row],[FECHA DE PAGO]]=0,TODAY()-PROVEEDORES[[#This Row],[FECHA DE FACTURACIÓN]]-PROVEEDORES[[#This Row],[PLAZO Días]],0)</f>
        <v>0</v>
      </c>
      <c r="U2091" s="96" t="str">
        <f>+VLOOKUP(PROVEEDORES[[#This Row],[PROVEEDOR]],Terceros!$A:$D,4,FALSE)</f>
        <v>2,5% con base</v>
      </c>
      <c r="V2091" s="97">
        <f>+YEAR(PROVEEDORES[[#This Row],[FECHA DE FACTURACIÓN]])</f>
        <v>2022</v>
      </c>
      <c r="W2091" s="97">
        <f>+MATCH(PROVEEDORES[[#This Row],[año facturado]],Retenciones!$1:$1,0)</f>
        <v>5</v>
      </c>
      <c r="X2091" s="98">
        <f>+VLOOKUP(PROVEEDORES[[#This Row],[ID RETENCION]],Retenciones!$A$1:$O$25,PROVEEDORES[[#This Row],[indicador de columna]],FALSE)</f>
        <v>1026000</v>
      </c>
      <c r="Y2091" s="99">
        <f>+VLOOKUP(PROVEEDORES[[#This Row],[ID RETENCION]],Retenciones!$A$1:$O$25,2,FALSE)</f>
        <v>2.5000000000000001E-2</v>
      </c>
      <c r="Z2091" s="125" t="b">
        <f>OR(COUNTIF(PROVEEDORES[[#This Row],[PROVEEDOR]],"*"&amp;'Palabra no opera'!$A$2&amp;"*"))</f>
        <v>0</v>
      </c>
    </row>
    <row r="2092" spans="1:26" ht="22.2" customHeight="1" x14ac:dyDescent="0.3">
      <c r="A2092" s="72" t="str">
        <f>+IF(PROVEEDORES[[#This Row],[FECHA DE PAGO]]=PROVEEDORES[[#This Row],[FECHA DE FACTURACIÓN]],"DE CONTADO","CRÉDITO")</f>
        <v>CRÉDITO</v>
      </c>
      <c r="B2092" s="38" t="b">
        <f>+IF((PROVEEDORES[[#This Row],[FECHA DE PAGO]]-PROVEEDORES[[#This Row],[FECHA DE FACTURACIÓN]])&gt;PROVEEDORES[[#This Row],[PLAZO Días]],"PAGO VENCIDO")</f>
        <v>0</v>
      </c>
      <c r="C2092" s="20">
        <f>+VLOOKUP(PROVEEDORES[[#This Row],[PROVEEDOR]],TERCEROS_INFO[#All],2,FALSE)</f>
        <v>90</v>
      </c>
      <c r="D2092" s="25">
        <f>+SUMIFS(PROVEEDORES[Total],PROVEEDORES[PROVEEDOR],PROVEEDORES[[#This Row],[PROVEEDOR]],PROVEEDORES[FECHA DE PAGO],"")</f>
        <v>75241004.385000005</v>
      </c>
      <c r="E2092" s="25"/>
      <c r="F2092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92" s="26" t="s">
        <v>77</v>
      </c>
      <c r="I2092" s="161">
        <v>44809</v>
      </c>
      <c r="J2092" s="35" t="s">
        <v>1765</v>
      </c>
      <c r="K2092" s="21">
        <v>19274773</v>
      </c>
      <c r="L2092" s="21"/>
      <c r="M2092" s="22">
        <f>(PROVEEDORES[[#This Row],[SUBTOTAL]]-PROVEEDORES[[#This Row],[descuento sobre subtotal]])*VLOOKUP(PROVEEDORES[[#This Row],[PROVEEDOR]],TERCEROS_INFO[#All],3,FALSE)</f>
        <v>3662206.87</v>
      </c>
      <c r="N2092" s="23"/>
      <c r="O2092" s="22">
        <f>+PROVEEDORES[[#This Row],[Descuento sobre subtotal %]]*(PROVEEDORES[[#This Row],[SUBTOTAL]]-PROVEEDORES[[#This Row],[descuento sobre subtotal]])</f>
        <v>0</v>
      </c>
      <c r="P2092" s="83">
        <f>+IF(PROVEEDORES[[#This Row],[SUBTOTAL]]&lt;PROVEEDORES[[#This Row],[base retencion]],0,PROVEEDORES[[#This Row],[retención aplicada]])</f>
        <v>2.5000000000000001E-2</v>
      </c>
      <c r="Q2092" s="22">
        <f>+PROVEEDORES[[#This Row],[Rete Fuente %]]*(PROVEEDORES[[#This Row],[SUBTOTAL]]-PROVEEDORES[[#This Row],[descuento sobre subtotal]])</f>
        <v>481869.32500000001</v>
      </c>
      <c r="R2092" s="21">
        <f>+PROVEEDORES[[#This Row],[SUBTOTAL]]+PROVEEDORES[[#This Row],[IVA 19%]]-PROVEEDORES[[#This Row],[descuento sobre subtotal]]-PROVEEDORES[[#This Row],[Descuento sobre subtotal $2]]-PROVEEDORES[[#This Row],[Rete Fuente $]]</f>
        <v>22455110.545000002</v>
      </c>
      <c r="S2092" s="13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092" s="68">
        <f ca="1">IF(PROVEEDORES[[#This Row],[FECHA DE PAGO]]=0,TODAY()-PROVEEDORES[[#This Row],[FECHA DE FACTURACIÓN]]-PROVEEDORES[[#This Row],[PLAZO Días]],0)</f>
        <v>-24</v>
      </c>
      <c r="U2092" s="113" t="str">
        <f>+VLOOKUP(PROVEEDORES[[#This Row],[PROVEEDOR]],Terceros!$A:$D,4,FALSE)</f>
        <v>2,5% con base</v>
      </c>
      <c r="V2092" s="114">
        <f>+YEAR(PROVEEDORES[[#This Row],[FECHA DE FACTURACIÓN]])</f>
        <v>2022</v>
      </c>
      <c r="W2092" s="114">
        <f>+MATCH(PROVEEDORES[[#This Row],[año facturado]],Retenciones!$1:$1,0)</f>
        <v>5</v>
      </c>
      <c r="X2092" s="115">
        <f>+VLOOKUP(PROVEEDORES[[#This Row],[ID RETENCION]],Retenciones!$A$1:$O$25,PROVEEDORES[[#This Row],[indicador de columna]],FALSE)</f>
        <v>1026000</v>
      </c>
      <c r="Y2092" s="116">
        <f>+VLOOKUP(PROVEEDORES[[#This Row],[ID RETENCION]],Retenciones!$A$1:$O$25,2,FALSE)</f>
        <v>2.5000000000000001E-2</v>
      </c>
      <c r="Z2092" s="125" t="b">
        <f>OR(COUNTIF(PROVEEDORES[[#This Row],[PROVEEDOR]],"*"&amp;'Palabra no opera'!$A$2&amp;"*"))</f>
        <v>0</v>
      </c>
    </row>
    <row r="2093" spans="1:26" ht="22.2" customHeight="1" x14ac:dyDescent="0.3">
      <c r="A2093" s="66" t="str">
        <f>+IF(PROVEEDORES[[#This Row],[FECHA DE PAGO]]=PROVEEDORES[[#This Row],[FECHA DE FACTURACIÓN]],"DE CONTADO","CRÉDITO")</f>
        <v>CRÉDITO</v>
      </c>
      <c r="B2093" s="38" t="str">
        <f>+IF((PROVEEDORES[[#This Row],[FECHA DE PAGO]]-PROVEEDORES[[#This Row],[FECHA DE FACTURACIÓN]])&gt;PROVEEDORES[[#This Row],[PLAZO Días]],"PAGO VENCIDO")</f>
        <v>PAGO VENCIDO</v>
      </c>
      <c r="C2093" s="20">
        <f>+VLOOKUP(PROVEEDORES[[#This Row],[PROVEEDOR]],TERCEROS_INFO[#All],2,FALSE)</f>
        <v>30</v>
      </c>
      <c r="D2093" s="25">
        <f>+SUMIFS(PROVEEDORES[Total],PROVEEDORES[PROVEEDOR],PROVEEDORES[[#This Row],[PROVEEDOR]],PROVEEDORES[FECHA DE PAGO],"")</f>
        <v>0</v>
      </c>
      <c r="E2093" s="25"/>
      <c r="F209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093" s="161">
        <v>44592</v>
      </c>
      <c r="H2093" s="26" t="s">
        <v>407</v>
      </c>
      <c r="I2093" s="161">
        <v>44539</v>
      </c>
      <c r="J2093" s="35">
        <v>111</v>
      </c>
      <c r="K2093" s="21">
        <v>21679100</v>
      </c>
      <c r="L2093" s="21"/>
      <c r="M2093" s="22">
        <f>(PROVEEDORES[[#This Row],[SUBTOTAL]]-PROVEEDORES[[#This Row],[descuento sobre subtotal]])*VLOOKUP(PROVEEDORES[[#This Row],[PROVEEDOR]],TERCEROS_INFO[#All],3,FALSE)</f>
        <v>4119029</v>
      </c>
      <c r="N2093" s="23">
        <v>0.09</v>
      </c>
      <c r="O2093" s="22">
        <f>+PROVEEDORES[[#This Row],[Descuento sobre subtotal %]]*(PROVEEDORES[[#This Row],[SUBTOTAL]]-PROVEEDORES[[#This Row],[descuento sobre subtotal]])</f>
        <v>1951119</v>
      </c>
      <c r="P2093" s="83">
        <f>+IF(PROVEEDORES[[#This Row],[SUBTOTAL]]&lt;PROVEEDORES[[#This Row],[base retencion]],0,PROVEEDORES[[#This Row],[retención aplicada]])</f>
        <v>2.5000000000000001E-2</v>
      </c>
      <c r="Q2093" s="22">
        <f>+PROVEEDORES[[#This Row],[Rete Fuente %]]*(PROVEEDORES[[#This Row],[SUBTOTAL]]-PROVEEDORES[[#This Row],[descuento sobre subtotal]])</f>
        <v>541977.5</v>
      </c>
      <c r="R2093" s="21">
        <v>23305032.5</v>
      </c>
      <c r="S209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3" s="68">
        <f ca="1">IF(PROVEEDORES[[#This Row],[FECHA DE PAGO]]=0,TODAY()-PROVEEDORES[[#This Row],[FECHA DE FACTURACIÓN]]-PROVEEDORES[[#This Row],[PLAZO Días]],0)</f>
        <v>0</v>
      </c>
      <c r="U2093" s="96" t="str">
        <f>+VLOOKUP(PROVEEDORES[[#This Row],[PROVEEDOR]],Terceros!$A:$D,4,FALSE)</f>
        <v>2,5% con base</v>
      </c>
      <c r="V2093" s="97">
        <f>+YEAR(PROVEEDORES[[#This Row],[FECHA DE FACTURACIÓN]])</f>
        <v>2021</v>
      </c>
      <c r="W2093" s="97">
        <f>+MATCH(PROVEEDORES[[#This Row],[año facturado]],Retenciones!$1:$1,0)</f>
        <v>4</v>
      </c>
      <c r="X2093" s="98">
        <f>+VLOOKUP(PROVEEDORES[[#This Row],[ID RETENCION]],Retenciones!$A$1:$O$25,PROVEEDORES[[#This Row],[indicador de columna]],FALSE)</f>
        <v>980000</v>
      </c>
      <c r="Y2093" s="99">
        <f>+VLOOKUP(PROVEEDORES[[#This Row],[ID RETENCION]],Retenciones!$A$1:$O$25,2,FALSE)</f>
        <v>2.5000000000000001E-2</v>
      </c>
      <c r="Z2093" s="125" t="b">
        <f>OR(COUNTIF(PROVEEDORES[[#This Row],[PROVEEDOR]],"*"&amp;'Palabra no opera'!$A$2&amp;"*"))</f>
        <v>0</v>
      </c>
    </row>
    <row r="2094" spans="1:26" ht="22.2" customHeight="1" x14ac:dyDescent="0.3">
      <c r="A2094" s="146" t="str">
        <f>+IF(PROVEEDORES[[#This Row],[FECHA DE PAGO]]=PROVEEDORES[[#This Row],[FECHA DE FACTURACIÓN]],"DE CONTADO","CRÉDITO")</f>
        <v>CRÉDITO</v>
      </c>
      <c r="B2094" s="38" t="b">
        <f>+IF((PROVEEDORES[[#This Row],[FECHA DE PAGO]]-PROVEEDORES[[#This Row],[FECHA DE FACTURACIÓN]])&gt;PROVEEDORES[[#This Row],[PLAZO Días]],"PAGO VENCIDO")</f>
        <v>0</v>
      </c>
      <c r="C2094" s="20">
        <f>+VLOOKUP(PROVEEDORES[[#This Row],[PROVEEDOR]],TERCEROS_INFO[#All],2,FALSE)</f>
        <v>30</v>
      </c>
      <c r="D2094" s="25">
        <f>+SUMIFS(PROVEEDORES[Total],PROVEEDORES[PROVEEDOR],PROVEEDORES[[#This Row],[PROVEEDOR]],PROVEEDORES[FECHA DE PAGO],"")</f>
        <v>0</v>
      </c>
      <c r="E2094" s="25"/>
      <c r="F2094" s="58" t="str">
        <f>+VLOOKUP(PROVEEDORES[[#This Row],[PROVEEDOR]],
                       Terceros!$A:$F,
                       5,
                       FALSE)</f>
        <v/>
      </c>
      <c r="G2094" s="161">
        <v>44712</v>
      </c>
      <c r="H2094" s="26" t="s">
        <v>638</v>
      </c>
      <c r="I2094" s="161">
        <v>44711</v>
      </c>
      <c r="J2094" s="35" t="s">
        <v>1001</v>
      </c>
      <c r="K2094" s="21">
        <v>25376000</v>
      </c>
      <c r="L2094" s="21"/>
      <c r="M2094" s="22">
        <f>(PROVEEDORES[[#This Row],[SUBTOTAL]]-PROVEEDORES[[#This Row],[descuento sobre subtotal]])*VLOOKUP(PROVEEDORES[[#This Row],[PROVEEDOR]],TERCEROS_INFO[#All],3,FALSE)</f>
        <v>0</v>
      </c>
      <c r="N2094" s="23"/>
      <c r="O2094" s="22">
        <f>+PROVEEDORES[[#This Row],[Descuento sobre subtotal %]]*(PROVEEDORES[[#This Row],[SUBTOTAL]]-PROVEEDORES[[#This Row],[descuento sobre subtotal]])</f>
        <v>0</v>
      </c>
      <c r="P2094" s="83">
        <f>+IF(PROVEEDORES[[#This Row],[SUBTOTAL]]&lt;PROVEEDORES[[#This Row],[base retencion]],0,PROVEEDORES[[#This Row],[retención aplicada]])</f>
        <v>0</v>
      </c>
      <c r="Q2094" s="22">
        <f>+PROVEEDORES[[#This Row],[Rete Fuente %]]*(PROVEEDORES[[#This Row],[SUBTOTAL]]-PROVEEDORES[[#This Row],[descuento sobre subtotal]])</f>
        <v>0</v>
      </c>
      <c r="R2094" s="21">
        <f>+PROVEEDORES[[#This Row],[SUBTOTAL]]+PROVEEDORES[[#This Row],[IVA 19%]]-PROVEEDORES[[#This Row],[descuento sobre subtotal]]-PROVEEDORES[[#This Row],[Descuento sobre subtotal $2]]-PROVEEDORES[[#This Row],[Rete Fuente $]]</f>
        <v>25376000</v>
      </c>
      <c r="S2094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4" s="68">
        <f ca="1">IF(PROVEEDORES[[#This Row],[FECHA DE PAGO]]=0,TODAY()-PROVEEDORES[[#This Row],[FECHA DE FACTURACIÓN]]-PROVEEDORES[[#This Row],[PLAZO Días]],0)</f>
        <v>0</v>
      </c>
      <c r="U2094" s="113">
        <f>+VLOOKUP(PROVEEDORES[[#This Row],[PROVEEDOR]],Terceros!$A:$D,4,FALSE)</f>
        <v>0</v>
      </c>
      <c r="V2094" s="114">
        <f>+YEAR(PROVEEDORES[[#This Row],[FECHA DE FACTURACIÓN]])</f>
        <v>2022</v>
      </c>
      <c r="W2094" s="114">
        <f>+MATCH(PROVEEDORES[[#This Row],[año facturado]],Retenciones!$1:$1,0)</f>
        <v>5</v>
      </c>
      <c r="X2094" s="115">
        <f>+VLOOKUP(PROVEEDORES[[#This Row],[ID RETENCION]],Retenciones!$A$1:$O$25,PROVEEDORES[[#This Row],[indicador de columna]],FALSE)</f>
        <v>0</v>
      </c>
      <c r="Y2094" s="116">
        <f>+VLOOKUP(PROVEEDORES[[#This Row],[ID RETENCION]],Retenciones!$A$1:$O$25,2,FALSE)</f>
        <v>0</v>
      </c>
      <c r="Z2094" s="125" t="b">
        <f>OR(COUNTIF(PROVEEDORES[[#This Row],[PROVEEDOR]],"*"&amp;'Palabra no opera'!$A$2&amp;"*"))</f>
        <v>0</v>
      </c>
    </row>
    <row r="2095" spans="1:26" ht="22.2" customHeight="1" x14ac:dyDescent="0.3">
      <c r="A2095" s="66" t="str">
        <f>+IF(PROVEEDORES[[#This Row],[FECHA DE PAGO]]=PROVEEDORES[[#This Row],[FECHA DE FACTURACIÓN]],"DE CONTADO","CRÉDITO")</f>
        <v>CRÉDITO</v>
      </c>
      <c r="B2095" s="38" t="b">
        <f>+IF((PROVEEDORES[[#This Row],[FECHA DE PAGO]]-PROVEEDORES[[#This Row],[FECHA DE FACTURACIÓN]])&gt;PROVEEDORES[[#This Row],[PLAZO Días]],"PAGO VENCIDO")</f>
        <v>0</v>
      </c>
      <c r="C2095" s="20">
        <f>+VLOOKUP(PROVEEDORES[[#This Row],[PROVEEDOR]],TERCEROS_INFO[#All],2,FALSE)</f>
        <v>90</v>
      </c>
      <c r="D2095" s="25">
        <f>+SUMIFS(PROVEEDORES[Total],PROVEEDORES[PROVEEDOR],PROVEEDORES[[#This Row],[PROVEEDOR]],PROVEEDORES[FECHA DE PAGO],"")</f>
        <v>75241004.385000005</v>
      </c>
      <c r="E2095" s="25"/>
      <c r="F209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95" s="161">
        <v>44712</v>
      </c>
      <c r="H2095" s="26" t="s">
        <v>77</v>
      </c>
      <c r="I2095" s="161">
        <v>44639</v>
      </c>
      <c r="J2095" s="35" t="s">
        <v>729</v>
      </c>
      <c r="K2095" s="21">
        <v>23357104</v>
      </c>
      <c r="L2095" s="21"/>
      <c r="M2095" s="22">
        <f>(PROVEEDORES[[#This Row],[SUBTOTAL]]-PROVEEDORES[[#This Row],[descuento sobre subtotal]])*VLOOKUP(PROVEEDORES[[#This Row],[PROVEEDOR]],TERCEROS_INFO[#All],3,FALSE)</f>
        <v>4437849.76</v>
      </c>
      <c r="N2095" s="23">
        <v>0.05</v>
      </c>
      <c r="O2095" s="22">
        <f>+PROVEEDORES[[#This Row],[Descuento sobre subtotal %]]*(PROVEEDORES[[#This Row],[SUBTOTAL]]-PROVEEDORES[[#This Row],[descuento sobre subtotal]])</f>
        <v>1167855.2</v>
      </c>
      <c r="P2095" s="83">
        <f>+IF(PROVEEDORES[[#This Row],[SUBTOTAL]]&lt;PROVEEDORES[[#This Row],[base retencion]],0,PROVEEDORES[[#This Row],[retención aplicada]])</f>
        <v>2.5000000000000001E-2</v>
      </c>
      <c r="Q2095" s="22">
        <f>+PROVEEDORES[[#This Row],[Rete Fuente %]]*(PROVEEDORES[[#This Row],[SUBTOTAL]]-PROVEEDORES[[#This Row],[descuento sobre subtotal]])</f>
        <v>583927.6</v>
      </c>
      <c r="R2095" s="21">
        <f>+PROVEEDORES[[#This Row],[SUBTOTAL]]+PROVEEDORES[[#This Row],[IVA 19%]]-PROVEEDORES[[#This Row],[descuento sobre subtotal]]-PROVEEDORES[[#This Row],[Descuento sobre subtotal $2]]-PROVEEDORES[[#This Row],[Rete Fuente $]]</f>
        <v>26043170.959999997</v>
      </c>
      <c r="S2095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5" s="68">
        <f ca="1">IF(PROVEEDORES[[#This Row],[FECHA DE PAGO]]=0,TODAY()-PROVEEDORES[[#This Row],[FECHA DE FACTURACIÓN]]-PROVEEDORES[[#This Row],[PLAZO Días]],0)</f>
        <v>0</v>
      </c>
      <c r="U2095" s="96" t="str">
        <f>+VLOOKUP(PROVEEDORES[[#This Row],[PROVEEDOR]],Terceros!$A:$D,4,FALSE)</f>
        <v>2,5% con base</v>
      </c>
      <c r="V2095" s="97">
        <f>+YEAR(PROVEEDORES[[#This Row],[FECHA DE FACTURACIÓN]])</f>
        <v>2022</v>
      </c>
      <c r="W2095" s="97">
        <f>+MATCH(PROVEEDORES[[#This Row],[año facturado]],Retenciones!$1:$1,0)</f>
        <v>5</v>
      </c>
      <c r="X2095" s="98">
        <f>+VLOOKUP(PROVEEDORES[[#This Row],[ID RETENCION]],Retenciones!$A$1:$O$25,PROVEEDORES[[#This Row],[indicador de columna]],FALSE)</f>
        <v>1026000</v>
      </c>
      <c r="Y2095" s="99">
        <f>+VLOOKUP(PROVEEDORES[[#This Row],[ID RETENCION]],Retenciones!$A$1:$O$25,2,FALSE)</f>
        <v>2.5000000000000001E-2</v>
      </c>
      <c r="Z2095" s="125" t="b">
        <f>OR(COUNTIF(PROVEEDORES[[#This Row],[PROVEEDOR]],"*"&amp;'Palabra no opera'!$A$2&amp;"*"))</f>
        <v>0</v>
      </c>
    </row>
    <row r="2096" spans="1:26" ht="22.2" customHeight="1" x14ac:dyDescent="0.3">
      <c r="A2096" s="66" t="str">
        <f>+IF(PROVEEDORES[[#This Row],[FECHA DE PAGO]]=PROVEEDORES[[#This Row],[FECHA DE FACTURACIÓN]],"DE CONTADO","CRÉDITO")</f>
        <v>CRÉDITO</v>
      </c>
      <c r="B2096" s="38" t="str">
        <f>+IF((PROVEEDORES[[#This Row],[FECHA DE PAGO]]-PROVEEDORES[[#This Row],[FECHA DE FACTURACIÓN]])&gt;PROVEEDORES[[#This Row],[PLAZO Días]],"PAGO VENCIDO")</f>
        <v>PAGO VENCIDO</v>
      </c>
      <c r="C2096" s="20">
        <f>+VLOOKUP(PROVEEDORES[[#This Row],[PROVEEDOR]],TERCEROS_INFO[#All],2,FALSE)</f>
        <v>90</v>
      </c>
      <c r="D2096" s="25">
        <f>+SUMIFS(PROVEEDORES[Total],PROVEEDORES[PROVEEDOR],PROVEEDORES[[#This Row],[PROVEEDOR]],PROVEEDORES[FECHA DE PAGO],"")</f>
        <v>26350422.770000003</v>
      </c>
      <c r="E2096" s="25"/>
      <c r="F209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96" s="161">
        <v>44764</v>
      </c>
      <c r="H2096" s="26" t="s">
        <v>12</v>
      </c>
      <c r="I2096" s="161">
        <v>44648</v>
      </c>
      <c r="J2096" s="35" t="s">
        <v>712</v>
      </c>
      <c r="K2096" s="21">
        <v>22630252.07</v>
      </c>
      <c r="L2096" s="21"/>
      <c r="M2096" s="22">
        <f>(PROVEEDORES[[#This Row],[SUBTOTAL]]-PROVEEDORES[[#This Row],[descuento sobre subtotal]])*VLOOKUP(PROVEEDORES[[#This Row],[PROVEEDOR]],TERCEROS_INFO[#All],3,FALSE)</f>
        <v>4299747.8932999996</v>
      </c>
      <c r="N2096" s="23"/>
      <c r="O2096" s="22">
        <f>+PROVEEDORES[[#This Row],[Descuento sobre subtotal %]]*(PROVEEDORES[[#This Row],[SUBTOTAL]]-PROVEEDORES[[#This Row],[descuento sobre subtotal]])</f>
        <v>0</v>
      </c>
      <c r="P2096" s="83">
        <f>+IF(PROVEEDORES[[#This Row],[SUBTOTAL]]&lt;PROVEEDORES[[#This Row],[base retencion]],0,PROVEEDORES[[#This Row],[retención aplicada]])</f>
        <v>2.5000000000000001E-2</v>
      </c>
      <c r="Q2096" s="22">
        <f>+PROVEEDORES[[#This Row],[Rete Fuente %]]*(PROVEEDORES[[#This Row],[SUBTOTAL]]-PROVEEDORES[[#This Row],[descuento sobre subtotal]])</f>
        <v>565756.30174999998</v>
      </c>
      <c r="R2096" s="21">
        <f>+PROVEEDORES[[#This Row],[SUBTOTAL]]+PROVEEDORES[[#This Row],[IVA 19%]]-PROVEEDORES[[#This Row],[descuento sobre subtotal]]-PROVEEDORES[[#This Row],[Descuento sobre subtotal $2]]-PROVEEDORES[[#This Row],[Rete Fuente $]]</f>
        <v>26364243.66155</v>
      </c>
      <c r="S2096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6" s="68">
        <f ca="1">IF(PROVEEDORES[[#This Row],[FECHA DE PAGO]]=0,TODAY()-PROVEEDORES[[#This Row],[FECHA DE FACTURACIÓN]]-PROVEEDORES[[#This Row],[PLAZO Días]],0)</f>
        <v>0</v>
      </c>
      <c r="U2096" s="96" t="str">
        <f>+VLOOKUP(PROVEEDORES[[#This Row],[PROVEEDOR]],Terceros!$A:$D,4,FALSE)</f>
        <v>2,5% con base</v>
      </c>
      <c r="V2096" s="97">
        <f>+YEAR(PROVEEDORES[[#This Row],[FECHA DE FACTURACIÓN]])</f>
        <v>2022</v>
      </c>
      <c r="W2096" s="97">
        <f>+MATCH(PROVEEDORES[[#This Row],[año facturado]],Retenciones!$1:$1,0)</f>
        <v>5</v>
      </c>
      <c r="X2096" s="98">
        <f>+VLOOKUP(PROVEEDORES[[#This Row],[ID RETENCION]],Retenciones!$A$1:$O$25,PROVEEDORES[[#This Row],[indicador de columna]],FALSE)</f>
        <v>1026000</v>
      </c>
      <c r="Y2096" s="99">
        <f>+VLOOKUP(PROVEEDORES[[#This Row],[ID RETENCION]],Retenciones!$A$1:$O$25,2,FALSE)</f>
        <v>2.5000000000000001E-2</v>
      </c>
      <c r="Z2096" s="125" t="b">
        <f>OR(COUNTIF(PROVEEDORES[[#This Row],[PROVEEDOR]],"*"&amp;'Palabra no opera'!$A$2&amp;"*"))</f>
        <v>0</v>
      </c>
    </row>
    <row r="2097" spans="1:26" ht="22.2" customHeight="1" x14ac:dyDescent="0.3">
      <c r="A2097" s="66" t="str">
        <f>+IF(PROVEEDORES[[#This Row],[FECHA DE PAGO]]=PROVEEDORES[[#This Row],[FECHA DE FACTURACIÓN]],"DE CONTADO","CRÉDITO")</f>
        <v>CRÉDITO</v>
      </c>
      <c r="B2097" s="38" t="str">
        <f>+IF((PROVEEDORES[[#This Row],[FECHA DE PAGO]]-PROVEEDORES[[#This Row],[FECHA DE FACTURACIÓN]])&gt;PROVEEDORES[[#This Row],[PLAZO Días]],"PAGO VENCIDO")</f>
        <v>PAGO VENCIDO</v>
      </c>
      <c r="C2097" s="20">
        <f>+VLOOKUP(PROVEEDORES[[#This Row],[PROVEEDOR]],TERCEROS_INFO[#All],2,FALSE)</f>
        <v>90</v>
      </c>
      <c r="D2097" s="25">
        <f>+SUMIFS(PROVEEDORES[Total],PROVEEDORES[PROVEEDOR],PROVEEDORES[[#This Row],[PROVEEDOR]],PROVEEDORES[FECHA DE PAGO],"")</f>
        <v>0</v>
      </c>
      <c r="E2097" s="25"/>
      <c r="F209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97" s="161">
        <v>44643</v>
      </c>
      <c r="H2097" s="26" t="s">
        <v>9</v>
      </c>
      <c r="I2097" s="161">
        <v>44539</v>
      </c>
      <c r="J2097" s="35">
        <v>73279</v>
      </c>
      <c r="K2097" s="21">
        <v>25587085</v>
      </c>
      <c r="L2097" s="21"/>
      <c r="M2097" s="22">
        <f>(PROVEEDORES[[#This Row],[SUBTOTAL]]-PROVEEDORES[[#This Row],[descuento sobre subtotal]])*VLOOKUP(PROVEEDORES[[#This Row],[PROVEEDOR]],TERCEROS_INFO[#All],3,FALSE)</f>
        <v>4861546.1500000004</v>
      </c>
      <c r="N2097" s="23"/>
      <c r="O2097" s="22">
        <f>+PROVEEDORES[[#This Row],[Descuento sobre subtotal %]]*(PROVEEDORES[[#This Row],[SUBTOTAL]]-PROVEEDORES[[#This Row],[descuento sobre subtotal]])</f>
        <v>0</v>
      </c>
      <c r="P2097" s="83">
        <f>+IF(PROVEEDORES[[#This Row],[SUBTOTAL]]&lt;PROVEEDORES[[#This Row],[base retencion]],0,PROVEEDORES[[#This Row],[retención aplicada]])</f>
        <v>2.5000000000000001E-2</v>
      </c>
      <c r="Q2097" s="22">
        <f>+PROVEEDORES[[#This Row],[Rete Fuente %]]*(PROVEEDORES[[#This Row],[SUBTOTAL]]-PROVEEDORES[[#This Row],[descuento sobre subtotal]])</f>
        <v>639677.125</v>
      </c>
      <c r="R2097" s="21">
        <v>29808954.024999999</v>
      </c>
      <c r="S2097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7" s="68">
        <f ca="1">IF(PROVEEDORES[[#This Row],[FECHA DE PAGO]]=0,TODAY()-PROVEEDORES[[#This Row],[FECHA DE FACTURACIÓN]]-PROVEEDORES[[#This Row],[PLAZO Días]],0)</f>
        <v>0</v>
      </c>
      <c r="U2097" s="96" t="str">
        <f>+VLOOKUP(PROVEEDORES[[#This Row],[PROVEEDOR]],Terceros!$A:$D,4,FALSE)</f>
        <v>2,5% con base</v>
      </c>
      <c r="V2097" s="97">
        <f>+YEAR(PROVEEDORES[[#This Row],[FECHA DE FACTURACIÓN]])</f>
        <v>2021</v>
      </c>
      <c r="W2097" s="97">
        <f>+MATCH(PROVEEDORES[[#This Row],[año facturado]],Retenciones!$1:$1,0)</f>
        <v>4</v>
      </c>
      <c r="X2097" s="98">
        <f>+VLOOKUP(PROVEEDORES[[#This Row],[ID RETENCION]],Retenciones!$A$1:$O$25,PROVEEDORES[[#This Row],[indicador de columna]],FALSE)</f>
        <v>980000</v>
      </c>
      <c r="Y2097" s="99">
        <f>+VLOOKUP(PROVEEDORES[[#This Row],[ID RETENCION]],Retenciones!$A$1:$O$25,2,FALSE)</f>
        <v>2.5000000000000001E-2</v>
      </c>
      <c r="Z2097" s="125" t="b">
        <f>OR(COUNTIF(PROVEEDORES[[#This Row],[PROVEEDOR]],"*"&amp;'Palabra no opera'!$A$2&amp;"*"))</f>
        <v>0</v>
      </c>
    </row>
    <row r="2098" spans="1:26" ht="22.2" customHeight="1" x14ac:dyDescent="0.3">
      <c r="A2098" s="66" t="str">
        <f>+IF(PROVEEDORES[[#This Row],[FECHA DE PAGO]]=PROVEEDORES[[#This Row],[FECHA DE FACTURACIÓN]],"DE CONTADO","CRÉDITO")</f>
        <v>CRÉDITO</v>
      </c>
      <c r="B2098" s="38" t="b">
        <f>+IF((PROVEEDORES[[#This Row],[FECHA DE PAGO]]-PROVEEDORES[[#This Row],[FECHA DE FACTURACIÓN]])&gt;PROVEEDORES[[#This Row],[PLAZO Días]],"PAGO VENCIDO")</f>
        <v>0</v>
      </c>
      <c r="C2098" s="20">
        <f>+VLOOKUP(PROVEEDORES[[#This Row],[PROVEEDOR]],TERCEROS_INFO[#All],2,FALSE)</f>
        <v>90</v>
      </c>
      <c r="D2098" s="25">
        <f>+SUMIFS(PROVEEDORES[Total],PROVEEDORES[PROVEEDOR],PROVEEDORES[[#This Row],[PROVEEDOR]],PROVEEDORES[FECHA DE PAGO],"")</f>
        <v>0</v>
      </c>
      <c r="E2098" s="25"/>
      <c r="F2098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098" s="161">
        <v>44531</v>
      </c>
      <c r="H2098" s="26" t="s">
        <v>31</v>
      </c>
      <c r="I2098" s="161">
        <v>44487</v>
      </c>
      <c r="J2098" s="35">
        <v>55161</v>
      </c>
      <c r="K2098" s="21">
        <v>31856297.426000003</v>
      </c>
      <c r="L2098" s="21"/>
      <c r="M2098" s="22">
        <f>(PROVEEDORES[[#This Row],[SUBTOTAL]]-PROVEEDORES[[#This Row],[descuento sobre subtotal]])*VLOOKUP(PROVEEDORES[[#This Row],[PROVEEDOR]],TERCEROS_INFO[#All],3,FALSE)</f>
        <v>0</v>
      </c>
      <c r="N2098" s="23"/>
      <c r="O2098" s="22">
        <f>+PROVEEDORES[[#This Row],[Descuento sobre subtotal %]]*(PROVEEDORES[[#This Row],[SUBTOTAL]]-PROVEEDORES[[#This Row],[descuento sobre subtotal]])</f>
        <v>0</v>
      </c>
      <c r="P2098" s="83">
        <f>+IF(PROVEEDORES[[#This Row],[SUBTOTAL]]&lt;PROVEEDORES[[#This Row],[base retencion]],0,PROVEEDORES[[#This Row],[retención aplicada]])</f>
        <v>0</v>
      </c>
      <c r="Q2098" s="22">
        <f>+PROVEEDORES[[#This Row],[Rete Fuente %]]*(PROVEEDORES[[#This Row],[SUBTOTAL]]-PROVEEDORES[[#This Row],[descuento sobre subtotal]])</f>
        <v>0</v>
      </c>
      <c r="R2098" s="21">
        <f>+PROVEEDORES[[#This Row],[SUBTOTAL]]+PROVEEDORES[[#This Row],[IVA 19%]]-PROVEEDORES[[#This Row],[descuento sobre subtotal]]-PROVEEDORES[[#This Row],[Descuento sobre subtotal $2]]-PROVEEDORES[[#This Row],[Rete Fuente $]]</f>
        <v>31856297.426000003</v>
      </c>
      <c r="S2098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8" s="68">
        <f ca="1">IF(PROVEEDORES[[#This Row],[FECHA DE PAGO]]=0,TODAY()-PROVEEDORES[[#This Row],[FECHA DE FACTURACIÓN]]-PROVEEDORES[[#This Row],[PLAZO Días]],0)</f>
        <v>0</v>
      </c>
      <c r="U2098" s="96">
        <f>+VLOOKUP(PROVEEDORES[[#This Row],[PROVEEDOR]],Terceros!$A:$D,4,FALSE)</f>
        <v>0</v>
      </c>
      <c r="V2098" s="97">
        <f>+YEAR(PROVEEDORES[[#This Row],[FECHA DE FACTURACIÓN]])</f>
        <v>2021</v>
      </c>
      <c r="W2098" s="97">
        <f>+MATCH(PROVEEDORES[[#This Row],[año facturado]],Retenciones!$1:$1,0)</f>
        <v>4</v>
      </c>
      <c r="X2098" s="98">
        <f>+VLOOKUP(PROVEEDORES[[#This Row],[ID RETENCION]],Retenciones!$A$1:$O$25,PROVEEDORES[[#This Row],[indicador de columna]],FALSE)</f>
        <v>0</v>
      </c>
      <c r="Y2098" s="99">
        <f>+VLOOKUP(PROVEEDORES[[#This Row],[ID RETENCION]],Retenciones!$A$1:$O$25,2,FALSE)</f>
        <v>0</v>
      </c>
      <c r="Z2098" s="125" t="b">
        <f>OR(COUNTIF(PROVEEDORES[[#This Row],[PROVEEDOR]],"*"&amp;'Palabra no opera'!$A$2&amp;"*"))</f>
        <v>0</v>
      </c>
    </row>
    <row r="2099" spans="1:26" ht="22.2" customHeight="1" x14ac:dyDescent="0.3">
      <c r="A2099" s="66" t="str">
        <f>+IF(PROVEEDORES[[#This Row],[FECHA DE PAGO]]=PROVEEDORES[[#This Row],[FECHA DE FACTURACIÓN]],"DE CONTADO","CRÉDITO")</f>
        <v>CRÉDITO</v>
      </c>
      <c r="B2099" s="38" t="b">
        <f>+IF((PROVEEDORES[[#This Row],[FECHA DE PAGO]]-PROVEEDORES[[#This Row],[FECHA DE FACTURACIÓN]])&gt;PROVEEDORES[[#This Row],[PLAZO Días]],"PAGO VENCIDO")</f>
        <v>0</v>
      </c>
      <c r="C2099" s="20">
        <f>+VLOOKUP(PROVEEDORES[[#This Row],[PROVEEDOR]],TERCEROS_INFO[#All],2,FALSE)</f>
        <v>90</v>
      </c>
      <c r="D2099" s="25">
        <f>+SUMIFS(PROVEEDORES[Total],PROVEEDORES[PROVEEDOR],PROVEEDORES[[#This Row],[PROVEEDOR]],PROVEEDORES[FECHA DE PAGO],"")</f>
        <v>75241004.385000005</v>
      </c>
      <c r="E2099" s="25"/>
      <c r="F2099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99" s="161">
        <v>44561</v>
      </c>
      <c r="H2099" s="26" t="s">
        <v>77</v>
      </c>
      <c r="I2099" s="161">
        <v>44511</v>
      </c>
      <c r="J2099" s="35" t="s">
        <v>538</v>
      </c>
      <c r="K2099" s="21">
        <v>34382322</v>
      </c>
      <c r="L2099" s="21"/>
      <c r="M2099" s="22">
        <f>(PROVEEDORES[[#This Row],[SUBTOTAL]]-PROVEEDORES[[#This Row],[descuento sobre subtotal]])*VLOOKUP(PROVEEDORES[[#This Row],[PROVEEDOR]],TERCEROS_INFO[#All],3,FALSE)</f>
        <v>6532641.1799999997</v>
      </c>
      <c r="N2099" s="23">
        <v>0.06</v>
      </c>
      <c r="O2099" s="22">
        <f>+PROVEEDORES[[#This Row],[Descuento sobre subtotal %]]*(PROVEEDORES[[#This Row],[SUBTOTAL]]-PROVEEDORES[[#This Row],[descuento sobre subtotal]])</f>
        <v>2062939.3199999998</v>
      </c>
      <c r="P2099" s="83">
        <f>+IF(PROVEEDORES[[#This Row],[SUBTOTAL]]&lt;PROVEEDORES[[#This Row],[base retencion]],0,PROVEEDORES[[#This Row],[retención aplicada]])</f>
        <v>2.5000000000000001E-2</v>
      </c>
      <c r="Q2099" s="22">
        <f>+PROVEEDORES[[#This Row],[Rete Fuente %]]*(PROVEEDORES[[#This Row],[SUBTOTAL]]-PROVEEDORES[[#This Row],[descuento sobre subtotal]])</f>
        <v>859558.05</v>
      </c>
      <c r="R2099" s="21">
        <f>+PROVEEDORES[[#This Row],[SUBTOTAL]]+PROVEEDORES[[#This Row],[IVA 19%]]-PROVEEDORES[[#This Row],[descuento sobre subtotal]]-PROVEEDORES[[#This Row],[Descuento sobre subtotal $2]]-PROVEEDORES[[#This Row],[Rete Fuente $]]</f>
        <v>37992465.810000002</v>
      </c>
      <c r="S2099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9" s="68">
        <f ca="1">IF(PROVEEDORES[[#This Row],[FECHA DE PAGO]]=0,TODAY()-PROVEEDORES[[#This Row],[FECHA DE FACTURACIÓN]]-PROVEEDORES[[#This Row],[PLAZO Días]],0)</f>
        <v>0</v>
      </c>
      <c r="U2099" s="96" t="str">
        <f>+VLOOKUP(PROVEEDORES[[#This Row],[PROVEEDOR]],Terceros!$A:$D,4,FALSE)</f>
        <v>2,5% con base</v>
      </c>
      <c r="V2099" s="97">
        <f>+YEAR(PROVEEDORES[[#This Row],[FECHA DE FACTURACIÓN]])</f>
        <v>2021</v>
      </c>
      <c r="W2099" s="97">
        <f>+MATCH(PROVEEDORES[[#This Row],[año facturado]],Retenciones!$1:$1,0)</f>
        <v>4</v>
      </c>
      <c r="X2099" s="98">
        <f>+VLOOKUP(PROVEEDORES[[#This Row],[ID RETENCION]],Retenciones!$A$1:$O$25,PROVEEDORES[[#This Row],[indicador de columna]],FALSE)</f>
        <v>980000</v>
      </c>
      <c r="Y2099" s="99">
        <f>+VLOOKUP(PROVEEDORES[[#This Row],[ID RETENCION]],Retenciones!$A$1:$O$25,2,FALSE)</f>
        <v>2.5000000000000001E-2</v>
      </c>
      <c r="Z2099" s="125" t="b">
        <f>OR(COUNTIF(PROVEEDORES[[#This Row],[PROVEEDOR]],"*"&amp;'Palabra no opera'!$A$2&amp;"*"))</f>
        <v>0</v>
      </c>
    </row>
    <row r="2100" spans="1:26" ht="22.2" customHeight="1" x14ac:dyDescent="0.3">
      <c r="A2100" s="66" t="str">
        <f>+IF(PROVEEDORES[[#This Row],[FECHA DE PAGO]]=PROVEEDORES[[#This Row],[FECHA DE FACTURACIÓN]],"DE CONTADO","CRÉDITO")</f>
        <v>CRÉDITO</v>
      </c>
      <c r="B2100" s="38" t="b">
        <f>+IF((PROVEEDORES[[#This Row],[FECHA DE PAGO]]-PROVEEDORES[[#This Row],[FECHA DE FACTURACIÓN]])&gt;PROVEEDORES[[#This Row],[PLAZO Días]],"PAGO VENCIDO")</f>
        <v>0</v>
      </c>
      <c r="C2100" s="20">
        <f>+VLOOKUP(PROVEEDORES[[#This Row],[PROVEEDOR]],TERCEROS_INFO[#All],2,FALSE)</f>
        <v>90</v>
      </c>
      <c r="D2100" s="25">
        <f>+SUMIFS(PROVEEDORES[Total],PROVEEDORES[PROVEEDOR],PROVEEDORES[[#This Row],[PROVEEDOR]],PROVEEDORES[FECHA DE PAGO],"")</f>
        <v>0</v>
      </c>
      <c r="E2100" s="25"/>
      <c r="F2100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0" s="161">
        <v>44701</v>
      </c>
      <c r="H2100" s="26" t="s">
        <v>31</v>
      </c>
      <c r="I2100" s="161">
        <v>44629</v>
      </c>
      <c r="J2100" s="35">
        <v>56143</v>
      </c>
      <c r="K2100" s="21">
        <v>39058718</v>
      </c>
      <c r="L2100" s="21"/>
      <c r="M2100" s="22">
        <f>(PROVEEDORES[[#This Row],[SUBTOTAL]]-PROVEEDORES[[#This Row],[descuento sobre subtotal]])*VLOOKUP(PROVEEDORES[[#This Row],[PROVEEDOR]],TERCEROS_INFO[#All],3,FALSE)</f>
        <v>0</v>
      </c>
      <c r="N2100" s="23"/>
      <c r="O2100" s="22">
        <f>+PROVEEDORES[[#This Row],[Descuento sobre subtotal %]]*(PROVEEDORES[[#This Row],[SUBTOTAL]]-PROVEEDORES[[#This Row],[descuento sobre subtotal]])</f>
        <v>0</v>
      </c>
      <c r="P2100" s="83">
        <f>+IF(PROVEEDORES[[#This Row],[SUBTOTAL]]&lt;PROVEEDORES[[#This Row],[base retencion]],0,PROVEEDORES[[#This Row],[retención aplicada]])</f>
        <v>0</v>
      </c>
      <c r="Q2100" s="22">
        <f>+PROVEEDORES[[#This Row],[Rete Fuente %]]*(PROVEEDORES[[#This Row],[SUBTOTAL]]-PROVEEDORES[[#This Row],[descuento sobre subtotal]])</f>
        <v>0</v>
      </c>
      <c r="R2100" s="21">
        <f>+PROVEEDORES[[#This Row],[SUBTOTAL]]+PROVEEDORES[[#This Row],[IVA 19%]]-PROVEEDORES[[#This Row],[descuento sobre subtotal]]-PROVEEDORES[[#This Row],[Descuento sobre subtotal $2]]-PROVEEDORES[[#This Row],[Rete Fuente $]]</f>
        <v>39058718</v>
      </c>
      <c r="S2100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0" s="68">
        <f ca="1">IF(PROVEEDORES[[#This Row],[FECHA DE PAGO]]=0,TODAY()-PROVEEDORES[[#This Row],[FECHA DE FACTURACIÓN]]-PROVEEDORES[[#This Row],[PLAZO Días]],0)</f>
        <v>0</v>
      </c>
      <c r="U2100" s="96">
        <f>+VLOOKUP(PROVEEDORES[[#This Row],[PROVEEDOR]],Terceros!$A:$D,4,FALSE)</f>
        <v>0</v>
      </c>
      <c r="V2100" s="97">
        <f>+YEAR(PROVEEDORES[[#This Row],[FECHA DE FACTURACIÓN]])</f>
        <v>2022</v>
      </c>
      <c r="W2100" s="97">
        <f>+MATCH(PROVEEDORES[[#This Row],[año facturado]],Retenciones!$1:$1,0)</f>
        <v>5</v>
      </c>
      <c r="X2100" s="98">
        <f>+VLOOKUP(PROVEEDORES[[#This Row],[ID RETENCION]],Retenciones!$A$1:$O$25,PROVEEDORES[[#This Row],[indicador de columna]],FALSE)</f>
        <v>0</v>
      </c>
      <c r="Y2100" s="99">
        <f>+VLOOKUP(PROVEEDORES[[#This Row],[ID RETENCION]],Retenciones!$A$1:$O$25,2,FALSE)</f>
        <v>0</v>
      </c>
      <c r="Z2100" s="125" t="b">
        <f>OR(COUNTIF(PROVEEDORES[[#This Row],[PROVEEDOR]],"*"&amp;'Palabra no opera'!$A$2&amp;"*"))</f>
        <v>0</v>
      </c>
    </row>
    <row r="2101" spans="1:26" ht="22.2" customHeight="1" x14ac:dyDescent="0.3">
      <c r="A2101" s="66" t="str">
        <f>+IF(PROVEEDORES[[#This Row],[FECHA DE PAGO]]=PROVEEDORES[[#This Row],[FECHA DE FACTURACIÓN]],"DE CONTADO","CRÉDITO")</f>
        <v>CRÉDITO</v>
      </c>
      <c r="B2101" s="38" t="str">
        <f>+IF((PROVEEDORES[[#This Row],[FECHA DE PAGO]]-PROVEEDORES[[#This Row],[FECHA DE FACTURACIÓN]])&gt;PROVEEDORES[[#This Row],[PLAZO Días]],"PAGO VENCIDO")</f>
        <v>PAGO VENCIDO</v>
      </c>
      <c r="C2101" s="20">
        <f>+VLOOKUP(PROVEEDORES[[#This Row],[PROVEEDOR]],TERCEROS_INFO[#All],2,FALSE)</f>
        <v>90</v>
      </c>
      <c r="D2101" s="25">
        <f>+SUMIFS(PROVEEDORES[Total],PROVEEDORES[PROVEEDOR],PROVEEDORES[[#This Row],[PROVEEDOR]],PROVEEDORES[FECHA DE PAGO],"")</f>
        <v>0</v>
      </c>
      <c r="E2101" s="25"/>
      <c r="F2101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1" s="161">
        <v>44285</v>
      </c>
      <c r="H2101" s="26" t="s">
        <v>31</v>
      </c>
      <c r="I2101" s="161">
        <v>44175</v>
      </c>
      <c r="J2101" s="35">
        <v>53263</v>
      </c>
      <c r="K2101" s="21">
        <v>44070382.352941178</v>
      </c>
      <c r="L2101" s="21"/>
      <c r="M2101" s="22">
        <f>(PROVEEDORES[[#This Row],[SUBTOTAL]]-PROVEEDORES[[#This Row],[descuento sobre subtotal]])*VLOOKUP(PROVEEDORES[[#This Row],[PROVEEDOR]],TERCEROS_INFO[#All],3,FALSE)</f>
        <v>0</v>
      </c>
      <c r="N2101" s="23"/>
      <c r="O2101" s="22">
        <f>+PROVEEDORES[[#This Row],[Descuento sobre subtotal %]]*(PROVEEDORES[[#This Row],[SUBTOTAL]]-PROVEEDORES[[#This Row],[descuento sobre subtotal]])</f>
        <v>0</v>
      </c>
      <c r="P2101" s="83">
        <f>+IF(PROVEEDORES[[#This Row],[SUBTOTAL]]&lt;PROVEEDORES[[#This Row],[base retencion]],0,PROVEEDORES[[#This Row],[retención aplicada]])</f>
        <v>0</v>
      </c>
      <c r="Q2101" s="22">
        <f>+PROVEEDORES[[#This Row],[Rete Fuente %]]*(PROVEEDORES[[#This Row],[SUBTOTAL]]-PROVEEDORES[[#This Row],[descuento sobre subtotal]])</f>
        <v>0</v>
      </c>
      <c r="R2101" s="21">
        <f>+PROVEEDORES[[#This Row],[SUBTOTAL]]+PROVEEDORES[[#This Row],[IVA 19%]]-PROVEEDORES[[#This Row],[descuento sobre subtotal]]-PROVEEDORES[[#This Row],[Descuento sobre subtotal $2]]-PROVEEDORES[[#This Row],[Rete Fuente $]]</f>
        <v>44070382.352941178</v>
      </c>
      <c r="S2101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1" s="68">
        <f ca="1">IF(PROVEEDORES[[#This Row],[FECHA DE PAGO]]=0,TODAY()-PROVEEDORES[[#This Row],[FECHA DE FACTURACIÓN]]-PROVEEDORES[[#This Row],[PLAZO Días]],0)</f>
        <v>0</v>
      </c>
      <c r="U2101" s="96">
        <f>+VLOOKUP(PROVEEDORES[[#This Row],[PROVEEDOR]],Terceros!$A:$D,4,FALSE)</f>
        <v>0</v>
      </c>
      <c r="V2101" s="97">
        <f>+YEAR(PROVEEDORES[[#This Row],[FECHA DE FACTURACIÓN]])</f>
        <v>2020</v>
      </c>
      <c r="W2101" s="97">
        <f>+MATCH(PROVEEDORES[[#This Row],[año facturado]],Retenciones!$1:$1,0)</f>
        <v>3</v>
      </c>
      <c r="X2101" s="98">
        <f>+VLOOKUP(PROVEEDORES[[#This Row],[ID RETENCION]],Retenciones!$A$1:$O$25,PROVEEDORES[[#This Row],[indicador de columna]],FALSE)</f>
        <v>0</v>
      </c>
      <c r="Y2101" s="99">
        <f>+VLOOKUP(PROVEEDORES[[#This Row],[ID RETENCION]],Retenciones!$A$1:$O$25,2,FALSE)</f>
        <v>0</v>
      </c>
      <c r="Z2101" s="125" t="b">
        <f>OR(COUNTIF(PROVEEDORES[[#This Row],[PROVEEDOR]],"*"&amp;'Palabra no opera'!$A$2&amp;"*"))</f>
        <v>0</v>
      </c>
    </row>
    <row r="2102" spans="1:26" ht="22.2" customHeight="1" x14ac:dyDescent="0.3">
      <c r="A2102" s="66" t="str">
        <f>+IF(PROVEEDORES[[#This Row],[FECHA DE PAGO]]=PROVEEDORES[[#This Row],[FECHA DE FACTURACIÓN]],"DE CONTADO","CRÉDITO")</f>
        <v>CRÉDITO</v>
      </c>
      <c r="B2102" s="38" t="str">
        <f>+IF((PROVEEDORES[[#This Row],[FECHA DE PAGO]]-PROVEEDORES[[#This Row],[FECHA DE FACTURACIÓN]])&gt;PROVEEDORES[[#This Row],[PLAZO Días]],"PAGO VENCIDO")</f>
        <v>PAGO VENCIDO</v>
      </c>
      <c r="C2102" s="20">
        <f>+VLOOKUP(PROVEEDORES[[#This Row],[PROVEEDOR]],TERCEROS_INFO[#All],2,FALSE)</f>
        <v>90</v>
      </c>
      <c r="D2102" s="25">
        <f>+SUMIFS(PROVEEDORES[Total],PROVEEDORES[PROVEEDOR],PROVEEDORES[[#This Row],[PROVEEDOR]],PROVEEDORES[FECHA DE PAGO],"")</f>
        <v>0</v>
      </c>
      <c r="E2102" s="25"/>
      <c r="F2102" s="58" t="str">
        <f>+VLOOKUP(PROVEEDORES[[#This Row],[PROVEEDOR]],
                       Terceros!$A:$F,
                       5,
                       FALSE)</f>
        <v/>
      </c>
      <c r="G2102" s="161">
        <v>44567</v>
      </c>
      <c r="H2102" s="26" t="s">
        <v>657</v>
      </c>
      <c r="I2102" s="161">
        <v>44166</v>
      </c>
      <c r="J2102" s="35"/>
      <c r="K2102" s="21">
        <v>47205435</v>
      </c>
      <c r="L2102" s="21"/>
      <c r="M2102" s="22">
        <f>(PROVEEDORES[[#This Row],[SUBTOTAL]]-PROVEEDORES[[#This Row],[descuento sobre subtotal]])*VLOOKUP(PROVEEDORES[[#This Row],[PROVEEDOR]],TERCEROS_INFO[#All],3,FALSE)</f>
        <v>0</v>
      </c>
      <c r="N2102" s="23"/>
      <c r="O2102" s="22">
        <f>+PROVEEDORES[[#This Row],[Descuento sobre subtotal %]]*(PROVEEDORES[[#This Row],[SUBTOTAL]]-PROVEEDORES[[#This Row],[descuento sobre subtotal]])</f>
        <v>0</v>
      </c>
      <c r="P2102" s="83">
        <f>+IF(PROVEEDORES[[#This Row],[SUBTOTAL]]&lt;PROVEEDORES[[#This Row],[base retencion]],0,PROVEEDORES[[#This Row],[retención aplicada]])</f>
        <v>0</v>
      </c>
      <c r="Q2102" s="22">
        <f>+PROVEEDORES[[#This Row],[Rete Fuente %]]*(PROVEEDORES[[#This Row],[SUBTOTAL]]-PROVEEDORES[[#This Row],[descuento sobre subtotal]])</f>
        <v>0</v>
      </c>
      <c r="R2102" s="21">
        <v>47205435</v>
      </c>
      <c r="S2102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2" s="68">
        <f ca="1">IF(PROVEEDORES[[#This Row],[FECHA DE PAGO]]=0,TODAY()-PROVEEDORES[[#This Row],[FECHA DE FACTURACIÓN]]-PROVEEDORES[[#This Row],[PLAZO Días]],0)</f>
        <v>0</v>
      </c>
      <c r="U2102" s="96">
        <f>+VLOOKUP(PROVEEDORES[[#This Row],[PROVEEDOR]],Terceros!$A:$D,4,FALSE)</f>
        <v>0</v>
      </c>
      <c r="V2102" s="97">
        <f>+YEAR(PROVEEDORES[[#This Row],[FECHA DE FACTURACIÓN]])</f>
        <v>2020</v>
      </c>
      <c r="W2102" s="97">
        <f>+MATCH(PROVEEDORES[[#This Row],[año facturado]],Retenciones!$1:$1,0)</f>
        <v>3</v>
      </c>
      <c r="X2102" s="98">
        <f>+VLOOKUP(PROVEEDORES[[#This Row],[ID RETENCION]],Retenciones!$A$1:$O$25,PROVEEDORES[[#This Row],[indicador de columna]],FALSE)</f>
        <v>0</v>
      </c>
      <c r="Y2102" s="99">
        <f>+VLOOKUP(PROVEEDORES[[#This Row],[ID RETENCION]],Retenciones!$A$1:$O$25,2,FALSE)</f>
        <v>0</v>
      </c>
      <c r="Z2102" s="125" t="b">
        <f>OR(COUNTIF(PROVEEDORES[[#This Row],[PROVEEDOR]],"*"&amp;'Palabra no opera'!$A$2&amp;"*"))</f>
        <v>0</v>
      </c>
    </row>
    <row r="2103" spans="1:26" ht="22.2" customHeight="1" x14ac:dyDescent="0.3">
      <c r="A2103" s="66" t="str">
        <f>+IF(PROVEEDORES[[#This Row],[FECHA DE PAGO]]=PROVEEDORES[[#This Row],[FECHA DE FACTURACIÓN]],"DE CONTADO","CRÉDITO")</f>
        <v>CRÉDITO</v>
      </c>
      <c r="B2103" s="38" t="b">
        <f>+IF((PROVEEDORES[[#This Row],[FECHA DE PAGO]]-PROVEEDORES[[#This Row],[FECHA DE FACTURACIÓN]])&gt;PROVEEDORES[[#This Row],[PLAZO Días]],"PAGO VENCIDO")</f>
        <v>0</v>
      </c>
      <c r="C2103" s="20">
        <f>+VLOOKUP(PROVEEDORES[[#This Row],[PROVEEDOR]],TERCEROS_INFO[#All],2,FALSE)</f>
        <v>90</v>
      </c>
      <c r="D2103" s="25">
        <f>+SUMIFS(PROVEEDORES[Total],PROVEEDORES[PROVEEDOR],PROVEEDORES[[#This Row],[PROVEEDOR]],PROVEEDORES[FECHA DE PAGO],"")</f>
        <v>0</v>
      </c>
      <c r="E2103" s="25"/>
      <c r="F2103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3" s="161">
        <v>44476</v>
      </c>
      <c r="H2103" s="26" t="s">
        <v>31</v>
      </c>
      <c r="I2103" s="161">
        <v>44390</v>
      </c>
      <c r="J2103" s="35">
        <v>54504</v>
      </c>
      <c r="K2103" s="21">
        <v>53381991</v>
      </c>
      <c r="L2103" s="21"/>
      <c r="M2103" s="22">
        <f>(PROVEEDORES[[#This Row],[SUBTOTAL]]-PROVEEDORES[[#This Row],[descuento sobre subtotal]])*VLOOKUP(PROVEEDORES[[#This Row],[PROVEEDOR]],TERCEROS_INFO[#All],3,FALSE)</f>
        <v>0</v>
      </c>
      <c r="N2103" s="23"/>
      <c r="O2103" s="22">
        <f>+PROVEEDORES[[#This Row],[Descuento sobre subtotal %]]*(PROVEEDORES[[#This Row],[SUBTOTAL]]-PROVEEDORES[[#This Row],[descuento sobre subtotal]])</f>
        <v>0</v>
      </c>
      <c r="P2103" s="83">
        <f>+IF(PROVEEDORES[[#This Row],[SUBTOTAL]]&lt;PROVEEDORES[[#This Row],[base retencion]],0,PROVEEDORES[[#This Row],[retención aplicada]])</f>
        <v>0</v>
      </c>
      <c r="Q2103" s="22">
        <f>+PROVEEDORES[[#This Row],[Rete Fuente %]]*(PROVEEDORES[[#This Row],[SUBTOTAL]]-PROVEEDORES[[#This Row],[descuento sobre subtotal]])</f>
        <v>0</v>
      </c>
      <c r="R2103" s="21">
        <f>+PROVEEDORES[[#This Row],[SUBTOTAL]]+PROVEEDORES[[#This Row],[IVA 19%]]-PROVEEDORES[[#This Row],[descuento sobre subtotal]]-PROVEEDORES[[#This Row],[Descuento sobre subtotal $2]]-PROVEEDORES[[#This Row],[Rete Fuente $]]</f>
        <v>53381991</v>
      </c>
      <c r="S2103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3" s="68">
        <f ca="1">IF(PROVEEDORES[[#This Row],[FECHA DE PAGO]]=0,TODAY()-PROVEEDORES[[#This Row],[FECHA DE FACTURACIÓN]]-PROVEEDORES[[#This Row],[PLAZO Días]],0)</f>
        <v>0</v>
      </c>
      <c r="U2103" s="96">
        <f>+VLOOKUP(PROVEEDORES[[#This Row],[PROVEEDOR]],Terceros!$A:$D,4,FALSE)</f>
        <v>0</v>
      </c>
      <c r="V2103" s="97">
        <f>+YEAR(PROVEEDORES[[#This Row],[FECHA DE FACTURACIÓN]])</f>
        <v>2021</v>
      </c>
      <c r="W2103" s="97">
        <f>+MATCH(PROVEEDORES[[#This Row],[año facturado]],Retenciones!$1:$1,0)</f>
        <v>4</v>
      </c>
      <c r="X2103" s="98">
        <f>+VLOOKUP(PROVEEDORES[[#This Row],[ID RETENCION]],Retenciones!$A$1:$O$25,PROVEEDORES[[#This Row],[indicador de columna]],FALSE)</f>
        <v>0</v>
      </c>
      <c r="Y2103" s="99">
        <f>+VLOOKUP(PROVEEDORES[[#This Row],[ID RETENCION]],Retenciones!$A$1:$O$25,2,FALSE)</f>
        <v>0</v>
      </c>
      <c r="Z2103" s="125" t="b">
        <f>OR(COUNTIF(PROVEEDORES[[#This Row],[PROVEEDOR]],"*"&amp;'Palabra no opera'!$A$2&amp;"*"))</f>
        <v>0</v>
      </c>
    </row>
    <row r="2104" spans="1:26" ht="22.2" customHeight="1" x14ac:dyDescent="0.3">
      <c r="A2104" s="66" t="str">
        <f>+IF(PROVEEDORES[[#This Row],[FECHA DE PAGO]]=PROVEEDORES[[#This Row],[FECHA DE FACTURACIÓN]],"DE CONTADO","CRÉDITO")</f>
        <v>CRÉDITO</v>
      </c>
      <c r="B2104" s="38" t="b">
        <f>+IF((PROVEEDORES[[#This Row],[FECHA DE PAGO]]-PROVEEDORES[[#This Row],[FECHA DE FACTURACIÓN]])&gt;PROVEEDORES[[#This Row],[PLAZO Días]],"PAGO VENCIDO")</f>
        <v>0</v>
      </c>
      <c r="C2104" s="20">
        <f>+VLOOKUP(PROVEEDORES[[#This Row],[PROVEEDOR]],TERCEROS_INFO[#All],2,FALSE)</f>
        <v>90</v>
      </c>
      <c r="D2104" s="25">
        <f>+SUMIFS(PROVEEDORES[Total],PROVEEDORES[PROVEEDOR],PROVEEDORES[[#This Row],[PROVEEDOR]],PROVEEDORES[FECHA DE PAGO],"")</f>
        <v>0</v>
      </c>
      <c r="E2104" s="25"/>
      <c r="F2104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4" s="161">
        <v>44578</v>
      </c>
      <c r="H2104" s="26" t="s">
        <v>31</v>
      </c>
      <c r="I2104" s="161">
        <v>44531</v>
      </c>
      <c r="J2104" s="35">
        <v>55546</v>
      </c>
      <c r="K2104" s="21">
        <v>57896217.960000001</v>
      </c>
      <c r="L2104" s="21"/>
      <c r="M2104" s="22">
        <f>(PROVEEDORES[[#This Row],[SUBTOTAL]]-PROVEEDORES[[#This Row],[descuento sobre subtotal]])*VLOOKUP(PROVEEDORES[[#This Row],[PROVEEDOR]],TERCEROS_INFO[#All],3,FALSE)</f>
        <v>0</v>
      </c>
      <c r="N2104" s="23"/>
      <c r="O2104" s="22">
        <f>+PROVEEDORES[[#This Row],[Descuento sobre subtotal %]]*(PROVEEDORES[[#This Row],[SUBTOTAL]]-PROVEEDORES[[#This Row],[descuento sobre subtotal]])</f>
        <v>0</v>
      </c>
      <c r="P2104" s="83">
        <f>+IF(PROVEEDORES[[#This Row],[SUBTOTAL]]&lt;PROVEEDORES[[#This Row],[base retencion]],0,PROVEEDORES[[#This Row],[retención aplicada]])</f>
        <v>0</v>
      </c>
      <c r="Q2104" s="22">
        <f>+PROVEEDORES[[#This Row],[Rete Fuente %]]*(PROVEEDORES[[#This Row],[SUBTOTAL]]-PROVEEDORES[[#This Row],[descuento sobre subtotal]])</f>
        <v>0</v>
      </c>
      <c r="R2104" s="21">
        <v>57896217.960000001</v>
      </c>
      <c r="S2104" s="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4" s="68">
        <f ca="1">IF(PROVEEDORES[[#This Row],[FECHA DE PAGO]]=0,TODAY()-PROVEEDORES[[#This Row],[FECHA DE FACTURACIÓN]]-PROVEEDORES[[#This Row],[PLAZO Días]],0)</f>
        <v>0</v>
      </c>
      <c r="U2104" s="96">
        <f>+VLOOKUP(PROVEEDORES[[#This Row],[PROVEEDOR]],Terceros!$A:$D,4,FALSE)</f>
        <v>0</v>
      </c>
      <c r="V2104" s="97">
        <f>+YEAR(PROVEEDORES[[#This Row],[FECHA DE FACTURACIÓN]])</f>
        <v>2021</v>
      </c>
      <c r="W2104" s="97">
        <f>+MATCH(PROVEEDORES[[#This Row],[año facturado]],Retenciones!$1:$1,0)</f>
        <v>4</v>
      </c>
      <c r="X2104" s="98">
        <f>+VLOOKUP(PROVEEDORES[[#This Row],[ID RETENCION]],Retenciones!$A$1:$O$25,PROVEEDORES[[#This Row],[indicador de columna]],FALSE)</f>
        <v>0</v>
      </c>
      <c r="Y2104" s="99">
        <f>+VLOOKUP(PROVEEDORES[[#This Row],[ID RETENCION]],Retenciones!$A$1:$O$25,2,FALSE)</f>
        <v>0</v>
      </c>
      <c r="Z2104" s="125" t="b">
        <f>OR(COUNTIF(PROVEEDORES[[#This Row],[PROVEEDOR]],"*"&amp;'Palabra no opera'!$A$2&amp;"*"))</f>
        <v>0</v>
      </c>
    </row>
    <row r="2105" spans="1:26" ht="22.2" customHeight="1" x14ac:dyDescent="0.3">
      <c r="A2105" s="123" t="str">
        <f>+IF(PROVEEDORES[[#This Row],[FECHA DE PAGO]]=PROVEEDORES[[#This Row],[FECHA DE FACTURACIÓN]],"DE CONTADO","CRÉDITO")</f>
        <v>CRÉDITO</v>
      </c>
      <c r="B2105" s="38" t="b">
        <f>+IF((PROVEEDORES[[#This Row],[FECHA DE PAGO]]-PROVEEDORES[[#This Row],[FECHA DE FACTURACIÓN]])&gt;PROVEEDORES[[#This Row],[PLAZO Días]],"PAGO VENCIDO")</f>
        <v>0</v>
      </c>
      <c r="C2105" s="20">
        <f>+VLOOKUP(PROVEEDORES[[#This Row],[PROVEEDOR]],TERCEROS_INFO[#All],2,FALSE)</f>
        <v>90</v>
      </c>
      <c r="D2105" s="25">
        <f>+SUMIFS(PROVEEDORES[Total],PROVEEDORES[PROVEEDOR],PROVEEDORES[[#This Row],[PROVEEDOR]],PROVEEDORES[FECHA DE PAGO],"")</f>
        <v>0</v>
      </c>
      <c r="E2105" s="25"/>
      <c r="F2105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5" s="161">
        <v>44750</v>
      </c>
      <c r="H2105" s="26" t="s">
        <v>31</v>
      </c>
      <c r="I2105" s="161">
        <v>44664</v>
      </c>
      <c r="J2105" s="35">
        <v>56405</v>
      </c>
      <c r="K2105" s="21">
        <f>16087.1*4000</f>
        <v>64348400</v>
      </c>
      <c r="L2105" s="21"/>
      <c r="M2105" s="22">
        <f>(PROVEEDORES[[#This Row],[SUBTOTAL]]-PROVEEDORES[[#This Row],[descuento sobre subtotal]])*VLOOKUP(PROVEEDORES[[#This Row],[PROVEEDOR]],TERCEROS_INFO[#All],3,FALSE)</f>
        <v>0</v>
      </c>
      <c r="N2105" s="23"/>
      <c r="O2105" s="22">
        <f>+PROVEEDORES[[#This Row],[Descuento sobre subtotal %]]*(PROVEEDORES[[#This Row],[SUBTOTAL]]-PROVEEDORES[[#This Row],[descuento sobre subtotal]])</f>
        <v>0</v>
      </c>
      <c r="P2105" s="83">
        <f>+IF(PROVEEDORES[[#This Row],[SUBTOTAL]]&lt;PROVEEDORES[[#This Row],[base retencion]],0,PROVEEDORES[[#This Row],[retención aplicada]])</f>
        <v>0</v>
      </c>
      <c r="Q2105" s="22">
        <f>+PROVEEDORES[[#This Row],[Rete Fuente %]]*(PROVEEDORES[[#This Row],[SUBTOTAL]]-PROVEEDORES[[#This Row],[descuento sobre subtotal]])</f>
        <v>0</v>
      </c>
      <c r="R2105" s="21">
        <f>+PROVEEDORES[[#This Row],[SUBTOTAL]]+PROVEEDORES[[#This Row],[IVA 19%]]-PROVEEDORES[[#This Row],[descuento sobre subtotal]]-PROVEEDORES[[#This Row],[Descuento sobre subtotal $2]]-PROVEEDORES[[#This Row],[Rete Fuente $]]</f>
        <v>64348400</v>
      </c>
      <c r="S2105" s="1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5" s="68">
        <f ca="1">IF(PROVEEDORES[[#This Row],[FECHA DE PAGO]]=0,TODAY()-PROVEEDORES[[#This Row],[FECHA DE FACTURACIÓN]]-PROVEEDORES[[#This Row],[PLAZO Días]],0)</f>
        <v>0</v>
      </c>
      <c r="U2105" s="113">
        <f>+VLOOKUP(PROVEEDORES[[#This Row],[PROVEEDOR]],Terceros!$A:$D,4,FALSE)</f>
        <v>0</v>
      </c>
      <c r="V2105" s="114">
        <f>+YEAR(PROVEEDORES[[#This Row],[FECHA DE FACTURACIÓN]])</f>
        <v>2022</v>
      </c>
      <c r="W2105" s="114">
        <f>+MATCH(PROVEEDORES[[#This Row],[año facturado]],Retenciones!$1:$1,0)</f>
        <v>5</v>
      </c>
      <c r="X2105" s="115">
        <f>+VLOOKUP(PROVEEDORES[[#This Row],[ID RETENCION]],Retenciones!$A$1:$O$25,PROVEEDORES[[#This Row],[indicador de columna]],FALSE)</f>
        <v>0</v>
      </c>
      <c r="Y2105" s="116">
        <f>+VLOOKUP(PROVEEDORES[[#This Row],[ID RETENCION]],Retenciones!$A$1:$O$25,2,FALSE)</f>
        <v>0</v>
      </c>
      <c r="Z2105" s="125" t="b">
        <f>OR(COUNTIF(PROVEEDORES[[#This Row],[PROVEEDOR]],"*"&amp;'Palabra no opera'!$A$2&amp;"*"))</f>
        <v>0</v>
      </c>
    </row>
    <row r="2106" spans="1:26" ht="22.2" customHeight="1" x14ac:dyDescent="0.3">
      <c r="A2106" s="72" t="str">
        <f>+IF(PROVEEDORES[[#This Row],[FECHA DE PAGO]]=PROVEEDORES[[#This Row],[FECHA DE FACTURACIÓN]],"DE CONTADO","CRÉDITO")</f>
        <v>CRÉDITO</v>
      </c>
      <c r="B2106" s="38" t="b">
        <f>+IF((PROVEEDORES[[#This Row],[FECHA DE PAGO]]-PROVEEDORES[[#This Row],[FECHA DE FACTURACIÓN]])&gt;PROVEEDORES[[#This Row],[PLAZO Días]],"PAGO VENCIDO")</f>
        <v>0</v>
      </c>
      <c r="C2106" s="20">
        <f>+VLOOKUP(PROVEEDORES[[#This Row],[PROVEEDOR]],TERCEROS_INFO[#All],2,FALSE)</f>
        <v>90</v>
      </c>
      <c r="D2106" s="25">
        <f>+SUMIFS(PROVEEDORES[Total],PROVEEDORES[PROVEEDOR],PROVEEDORES[[#This Row],[PROVEEDOR]],PROVEEDORES[FECHA DE PAGO],"")</f>
        <v>0</v>
      </c>
      <c r="E2106" s="25"/>
      <c r="F2106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6" s="161">
        <v>44839</v>
      </c>
      <c r="H2106" s="26" t="s">
        <v>31</v>
      </c>
      <c r="I2106" s="161">
        <v>44761</v>
      </c>
      <c r="J2106" s="35">
        <v>57126</v>
      </c>
      <c r="K2106" s="21">
        <f>14678.73*4400</f>
        <v>64586412</v>
      </c>
      <c r="L2106" s="21"/>
      <c r="M2106" s="22">
        <f>(PROVEEDORES[[#This Row],[SUBTOTAL]]-PROVEEDORES[[#This Row],[descuento sobre subtotal]])*VLOOKUP(PROVEEDORES[[#This Row],[PROVEEDOR]],TERCEROS_INFO[#All],3,FALSE)</f>
        <v>0</v>
      </c>
      <c r="N2106" s="23"/>
      <c r="O2106" s="22">
        <f>+PROVEEDORES[[#This Row],[Descuento sobre subtotal %]]*(PROVEEDORES[[#This Row],[SUBTOTAL]]-PROVEEDORES[[#This Row],[descuento sobre subtotal]])</f>
        <v>0</v>
      </c>
      <c r="P2106" s="83">
        <f>+IF(PROVEEDORES[[#This Row],[SUBTOTAL]]&lt;PROVEEDORES[[#This Row],[base retencion]],0,PROVEEDORES[[#This Row],[retención aplicada]])</f>
        <v>0</v>
      </c>
      <c r="Q2106" s="22">
        <f>+PROVEEDORES[[#This Row],[Rete Fuente %]]*(PROVEEDORES[[#This Row],[SUBTOTAL]]-PROVEEDORES[[#This Row],[descuento sobre subtotal]])</f>
        <v>0</v>
      </c>
      <c r="R2106" s="21">
        <f>+PROVEEDORES[[#This Row],[SUBTOTAL]]+PROVEEDORES[[#This Row],[IVA 19%]]-PROVEEDORES[[#This Row],[descuento sobre subtotal]]-PROVEEDORES[[#This Row],[Descuento sobre subtotal $2]]-PROVEEDORES[[#This Row],[Rete Fuente $]]</f>
        <v>64586412</v>
      </c>
      <c r="S210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6" s="68">
        <f ca="1">IF(PROVEEDORES[[#This Row],[FECHA DE PAGO]]=0,TODAY()-PROVEEDORES[[#This Row],[FECHA DE FACTURACIÓN]]-PROVEEDORES[[#This Row],[PLAZO Días]],0)</f>
        <v>0</v>
      </c>
      <c r="U2106" s="113">
        <f>+VLOOKUP(PROVEEDORES[[#This Row],[PROVEEDOR]],Terceros!$A:$D,4,FALSE)</f>
        <v>0</v>
      </c>
      <c r="V2106" s="114">
        <f>+YEAR(PROVEEDORES[[#This Row],[FECHA DE FACTURACIÓN]])</f>
        <v>2022</v>
      </c>
      <c r="W2106" s="114">
        <f>+MATCH(PROVEEDORES[[#This Row],[año facturado]],Retenciones!$1:$1,0)</f>
        <v>5</v>
      </c>
      <c r="X2106" s="115">
        <f>+VLOOKUP(PROVEEDORES[[#This Row],[ID RETENCION]],Retenciones!$A$1:$O$25,PROVEEDORES[[#This Row],[indicador de columna]],FALSE)</f>
        <v>0</v>
      </c>
      <c r="Y2106" s="116">
        <f>+VLOOKUP(PROVEEDORES[[#This Row],[ID RETENCION]],Retenciones!$A$1:$O$25,2,FALSE)</f>
        <v>0</v>
      </c>
      <c r="Z2106" s="125" t="b">
        <f>OR(COUNTIF(PROVEEDORES[[#This Row],[PROVEEDOR]],"*"&amp;'Palabra no opera'!$A$2&amp;"*"))</f>
        <v>0</v>
      </c>
    </row>
    <row r="2107" spans="1:26" ht="22.2" customHeight="1" x14ac:dyDescent="0.3">
      <c r="A2107" s="269" t="str">
        <f>+IF(PROVEEDORES[[#This Row],[FECHA DE PAGO]]=PROVEEDORES[[#This Row],[FECHA DE FACTURACIÓN]],"DE CONTADO","CRÉDITO")</f>
        <v>CRÉDITO</v>
      </c>
      <c r="B2107" s="38" t="b">
        <f>+IF((PROVEEDORES[[#This Row],[FECHA DE PAGO]]-PROVEEDORES[[#This Row],[FECHA DE FACTURACIÓN]])&gt;PROVEEDORES[[#This Row],[PLAZO Días]],"PAGO VENCIDO")</f>
        <v>0</v>
      </c>
      <c r="C2107" s="20">
        <f>+VLOOKUP(PROVEEDORES[[#This Row],[PROVEEDOR]],TERCEROS_INFO[#All],2,FALSE)</f>
        <v>30</v>
      </c>
      <c r="D2107" s="25">
        <f>+SUMIFS(PROVEEDORES[Total],PROVEEDORES[PROVEEDOR],PROVEEDORES[[#This Row],[PROVEEDOR]],PROVEEDORES[FECHA DE PAGO],"")</f>
        <v>0</v>
      </c>
      <c r="E2107" s="25"/>
      <c r="F2107" s="58" t="str">
        <f>+VLOOKUP(PROVEEDORES[[#This Row],[PROVEEDOR]],
                       Terceros!$A:$F,
                       5,
                       FALSE)</f>
        <v/>
      </c>
      <c r="G2107" s="161">
        <v>44869</v>
      </c>
      <c r="H2107" s="26" t="s">
        <v>689</v>
      </c>
      <c r="I2107" s="161">
        <v>44868</v>
      </c>
      <c r="J2107" s="35" t="s">
        <v>1829</v>
      </c>
      <c r="K2107" s="21">
        <v>6460000</v>
      </c>
      <c r="L2107" s="21"/>
      <c r="M2107" s="22">
        <f>(PROVEEDORES[[#This Row],[SUBTOTAL]]-PROVEEDORES[[#This Row],[descuento sobre subtotal]])*VLOOKUP(PROVEEDORES[[#This Row],[PROVEEDOR]],TERCEROS_INFO[#All],3,FALSE)</f>
        <v>0</v>
      </c>
      <c r="N2107" s="23"/>
      <c r="O2107" s="22">
        <f>+PROVEEDORES[[#This Row],[Descuento sobre subtotal %]]*(PROVEEDORES[[#This Row],[SUBTOTAL]]-PROVEEDORES[[#This Row],[descuento sobre subtotal]])</f>
        <v>0</v>
      </c>
      <c r="P2107" s="83">
        <f>+IF(PROVEEDORES[[#This Row],[SUBTOTAL]]&lt;PROVEEDORES[[#This Row],[base retencion]],0,PROVEEDORES[[#This Row],[retención aplicada]])</f>
        <v>0</v>
      </c>
      <c r="Q2107" s="22">
        <f>+PROVEEDORES[[#This Row],[Rete Fuente %]]*(PROVEEDORES[[#This Row],[SUBTOTAL]]-PROVEEDORES[[#This Row],[descuento sobre subtotal]])</f>
        <v>0</v>
      </c>
      <c r="R2107" s="21">
        <f>+PROVEEDORES[[#This Row],[SUBTOTAL]]+PROVEEDORES[[#This Row],[IVA 19%]]-PROVEEDORES[[#This Row],[descuento sobre subtotal]]-PROVEEDORES[[#This Row],[Descuento sobre subtotal $2]]-PROVEEDORES[[#This Row],[Rete Fuente $]]</f>
        <v>6460000</v>
      </c>
      <c r="S2107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7" s="68">
        <f ca="1">IF(PROVEEDORES[[#This Row],[FECHA DE PAGO]]=0,TODAY()-PROVEEDORES[[#This Row],[FECHA DE FACTURACIÓN]]-PROVEEDORES[[#This Row],[PLAZO Días]],0)</f>
        <v>0</v>
      </c>
      <c r="U2107" s="113">
        <f>+VLOOKUP(PROVEEDORES[[#This Row],[PROVEEDOR]],Terceros!$A:$D,4,FALSE)</f>
        <v>0</v>
      </c>
      <c r="V2107" s="114">
        <f>+YEAR(PROVEEDORES[[#This Row],[FECHA DE FACTURACIÓN]])</f>
        <v>2022</v>
      </c>
      <c r="W2107" s="114">
        <f>+MATCH(PROVEEDORES[[#This Row],[año facturado]],Retenciones!$1:$1,0)</f>
        <v>5</v>
      </c>
      <c r="X2107" s="115">
        <f>+VLOOKUP(PROVEEDORES[[#This Row],[ID RETENCION]],Retenciones!$A$1:$O$25,PROVEEDORES[[#This Row],[indicador de columna]],FALSE)</f>
        <v>0</v>
      </c>
      <c r="Y2107" s="116">
        <f>+VLOOKUP(PROVEEDORES[[#This Row],[ID RETENCION]],Retenciones!$A$1:$O$25,2,FALSE)</f>
        <v>0</v>
      </c>
      <c r="Z2107" s="125" t="b">
        <f>OR(COUNTIF(PROVEEDORES[[#This Row],[PROVEEDOR]],"*"&amp;'Palabra no opera'!$A$2&amp;"*"))</f>
        <v>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2075:H2075 J2075:Z2075 A2:Z2074">
    <cfRule type="expression" dxfId="61" priority="10" stopIfTrue="1">
      <formula>$S2="Por pagar"</formula>
    </cfRule>
    <cfRule type="expression" dxfId="60" priority="11" stopIfTrue="1">
      <formula>$S2="Vencida"</formula>
    </cfRule>
    <cfRule type="expression" dxfId="59" priority="12" stopIfTrue="1">
      <formula>$S2="Pagada"</formula>
    </cfRule>
  </conditionalFormatting>
  <conditionalFormatting sqref="G2081">
    <cfRule type="expression" dxfId="58" priority="7" stopIfTrue="1">
      <formula>$S2081="Por pagar"</formula>
    </cfRule>
    <cfRule type="expression" dxfId="57" priority="8" stopIfTrue="1">
      <formula>$S2081="Vencida"</formula>
    </cfRule>
    <cfRule type="expression" dxfId="56" priority="9" stopIfTrue="1">
      <formula>$S2081="Pagada"</formula>
    </cfRule>
  </conditionalFormatting>
  <conditionalFormatting sqref="G2082">
    <cfRule type="expression" dxfId="55" priority="4" stopIfTrue="1">
      <formula>$S2082="Por pagar"</formula>
    </cfRule>
    <cfRule type="expression" dxfId="54" priority="5" stopIfTrue="1">
      <formula>$S2082="Vencida"</formula>
    </cfRule>
    <cfRule type="expression" dxfId="53" priority="6" stopIfTrue="1">
      <formula>$S2082="Pagada"</formula>
    </cfRule>
  </conditionalFormatting>
  <conditionalFormatting sqref="G2083">
    <cfRule type="expression" dxfId="52" priority="1" stopIfTrue="1">
      <formula>$S2083="Por pagar"</formula>
    </cfRule>
    <cfRule type="expression" dxfId="51" priority="2" stopIfTrue="1">
      <formula>$S2083="Vencida"</formula>
    </cfRule>
    <cfRule type="expression" dxfId="50" priority="3" stopIfTrue="1">
      <formula>$S2083="Pagada"</formula>
    </cfRule>
  </conditionalFormatting>
  <dataValidations disablePrompts="1" count="1">
    <dataValidation allowBlank="1" showInputMessage="1" showErrorMessage="1" error="Primero crea el proveedor en la hoja &quot;Proveedores&quot;." sqref="A1:XFD1" xr:uid="{EDB1D6F3-F86C-4FE1-B802-9AC34A2BA935}"/>
  </dataValidations>
  <pageMargins left="1.085" right="0.7" top="0.75" bottom="0.75" header="0.3" footer="0.3"/>
  <pageSetup scale="3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C67DB6B-48E3-49D4-B8D1-D20D3D433F75}">
          <x14:formula1>
            <xm:f>Terceros!$A:$A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AJ61"/>
  <sheetViews>
    <sheetView topLeftCell="C52" workbookViewId="0">
      <selection activeCell="I56" sqref="I56"/>
    </sheetView>
  </sheetViews>
  <sheetFormatPr defaultColWidth="0" defaultRowHeight="22.2" customHeight="1" x14ac:dyDescent="0.3"/>
  <cols>
    <col min="1" max="1" width="10" style="32" hidden="1" customWidth="1"/>
    <col min="2" max="2" width="15.5546875" style="38" hidden="1" customWidth="1"/>
    <col min="3" max="3" width="9.5546875" style="29" customWidth="1"/>
    <col min="4" max="4" width="13.6640625" style="73" customWidth="1"/>
    <col min="5" max="5" width="39.33203125" style="29" customWidth="1"/>
    <col min="6" max="6" width="13.6640625" style="30" customWidth="1"/>
    <col min="7" max="7" width="17.33203125" style="30" customWidth="1"/>
    <col min="8" max="8" width="17.6640625" style="30" customWidth="1"/>
    <col min="9" max="9" width="12.44140625" style="37" customWidth="1"/>
    <col min="10" max="10" width="15.6640625" style="76" hidden="1" customWidth="1"/>
    <col min="11" max="11" width="14.33203125" style="76" hidden="1" customWidth="1"/>
    <col min="12" max="12" width="11.44140625" hidden="1" customWidth="1"/>
    <col min="13" max="13" width="11.44140625" style="71" hidden="1" customWidth="1"/>
    <col min="14" max="14" width="11.44140625" hidden="1" customWidth="1"/>
    <col min="15" max="16" width="11.44140625" style="27" hidden="1" customWidth="1"/>
    <col min="17" max="17" width="13.5546875" style="76" hidden="1" customWidth="1"/>
    <col min="18" max="18" width="11.44140625" style="24" hidden="1" customWidth="1"/>
    <col min="19" max="19" width="14.6640625" style="24" hidden="1" customWidth="1"/>
    <col min="20" max="20" width="23.6640625" style="24" hidden="1" customWidth="1"/>
    <col min="21" max="21" width="11.5546875" style="24" hidden="1" customWidth="1"/>
    <col min="22" max="22" width="12.44140625" style="76" hidden="1" customWidth="1"/>
    <col min="23" max="23" width="17.33203125" style="77" hidden="1" customWidth="1"/>
    <col min="24" max="24" width="11.44140625" style="24" hidden="1" customWidth="1"/>
    <col min="25" max="26" width="17.33203125" style="24" hidden="1" customWidth="1"/>
    <col min="27" max="27" width="11.44140625" style="24" hidden="1" customWidth="1"/>
    <col min="28" max="30" width="17.33203125" style="24" hidden="1" customWidth="1"/>
    <col min="31" max="31" width="11.44140625" style="24" hidden="1" customWidth="1"/>
    <col min="32" max="33" width="17.33203125" style="24" hidden="1" customWidth="1"/>
    <col min="34" max="34" width="11.44140625" style="24" hidden="1" customWidth="1"/>
    <col min="35" max="36" width="17.33203125" style="24" hidden="1" customWidth="1"/>
    <col min="37" max="16384" width="11.44140625" style="24" hidden="1"/>
  </cols>
  <sheetData>
    <row r="1" spans="1:23" s="19" customFormat="1" ht="62.25" customHeight="1" x14ac:dyDescent="0.3">
      <c r="A1" s="12" t="s">
        <v>8</v>
      </c>
      <c r="B1" s="12" t="s">
        <v>185</v>
      </c>
      <c r="C1" s="13" t="s">
        <v>125</v>
      </c>
      <c r="D1" s="14" t="s">
        <v>6</v>
      </c>
      <c r="E1" s="14" t="s">
        <v>3</v>
      </c>
      <c r="F1" s="70" t="s">
        <v>1</v>
      </c>
      <c r="G1" s="36" t="s">
        <v>2</v>
      </c>
      <c r="H1" s="14" t="s">
        <v>817</v>
      </c>
      <c r="I1" s="15" t="s">
        <v>851</v>
      </c>
      <c r="K1" s="71"/>
    </row>
    <row r="2" spans="1:23" ht="22.2" hidden="1" customHeight="1" x14ac:dyDescent="0.3">
      <c r="A2" s="72" t="str">
        <f>+IF(PROVEEDORES3[[#This Row],[FECHA DE PAGO]]=PROVEEDORES3[[#This Row],[FECHA DE FACTURACIÓN]],"DE CONTADO","CRÉDITO")</f>
        <v>CRÉDITO</v>
      </c>
      <c r="B2" s="38" t="e">
        <f>+IF((PROVEEDORES3[[#This Row],[FECHA DE PAGO]]-PROVEEDORES3[[#This Row],[FECHA DE FACTURACIÓN]])&gt;#REF!,"PAGO VENCIDO")</f>
        <v>#REF!</v>
      </c>
      <c r="C2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2" s="73">
        <v>44357</v>
      </c>
      <c r="E2" s="26" t="s">
        <v>38</v>
      </c>
      <c r="F2" s="74">
        <v>44257</v>
      </c>
      <c r="G2" s="35" t="s">
        <v>281</v>
      </c>
      <c r="H2" s="75">
        <f>2578.4</f>
        <v>2578.4</v>
      </c>
      <c r="I2" s="21"/>
      <c r="J2" s="27"/>
      <c r="K2" s="71"/>
      <c r="L2" s="24"/>
      <c r="M2" s="24"/>
      <c r="N2" s="24"/>
      <c r="O2" s="24"/>
      <c r="P2" s="76"/>
      <c r="Q2" s="77"/>
      <c r="V2" s="24"/>
      <c r="W2" s="24"/>
    </row>
    <row r="3" spans="1:23" ht="22.2" hidden="1" customHeight="1" x14ac:dyDescent="0.3">
      <c r="A3" s="72" t="str">
        <f>+IF(PROVEEDORES3[[#This Row],[FECHA DE PAGO]]=PROVEEDORES3[[#This Row],[FECHA DE FACTURACIÓN]],"DE CONTADO","CRÉDITO")</f>
        <v>CRÉDITO</v>
      </c>
      <c r="B3" s="38" t="e">
        <f>+IF((PROVEEDORES3[[#This Row],[FECHA DE PAGO]]-PROVEEDORES3[[#This Row],[FECHA DE FACTURACIÓN]])&gt;#REF!,"PAGO VENCIDO")</f>
        <v>#REF!</v>
      </c>
      <c r="C3" s="58" t="str">
        <f>+VLOOKUP(PROVEEDORES3[[#This Row],[PROVEEDOR]],TERCEROS_INFO[[PROVEEDOR]:[CORREO]],5,FALSE)</f>
        <v>jessica.barios.com@carpainternacional;girlesa.ruiz@servipilas.com;joriescobar64@gmail.com</v>
      </c>
      <c r="D3" s="73">
        <v>44503</v>
      </c>
      <c r="E3" s="26" t="s">
        <v>528</v>
      </c>
      <c r="F3" s="74">
        <v>44470</v>
      </c>
      <c r="G3" s="35" t="s">
        <v>516</v>
      </c>
      <c r="H3" s="177">
        <f>48</f>
        <v>48</v>
      </c>
      <c r="I3" s="21"/>
      <c r="J3" s="27"/>
      <c r="K3" s="71"/>
      <c r="L3" s="24"/>
      <c r="M3" s="24"/>
      <c r="N3" s="24"/>
      <c r="O3" s="24"/>
      <c r="P3" s="76"/>
      <c r="Q3" s="77"/>
      <c r="V3" s="24"/>
      <c r="W3" s="24"/>
    </row>
    <row r="4" spans="1:23" ht="22.2" hidden="1" customHeight="1" x14ac:dyDescent="0.3">
      <c r="A4" s="72" t="str">
        <f>+IF(PROVEEDORES3[[#This Row],[FECHA DE PAGO]]=PROVEEDORES3[[#This Row],[FECHA DE FACTURACIÓN]],"DE CONTADO","CRÉDITO")</f>
        <v>CRÉDITO</v>
      </c>
      <c r="B4" s="38" t="e">
        <f>+IF((PROVEEDORES3[[#This Row],[FECHA DE PAGO]]-PROVEEDORES3[[#This Row],[FECHA DE FACTURACIÓN]])&gt;#REF!,"PAGO VENCIDO")</f>
        <v>#REF!</v>
      </c>
      <c r="C4" s="58" t="str">
        <f>+VLOOKUP(PROVEEDORES3[[#This Row],[PROVEEDOR]],TERCEROS_INFO[[PROVEEDOR]:[CORREO]],5,FALSE)</f>
        <v>jessica.barios.com@carpainternacional;girlesa.ruiz@servipilas.com;joriescobar64@gmail.com</v>
      </c>
      <c r="D4" s="73">
        <v>44503</v>
      </c>
      <c r="E4" s="26" t="s">
        <v>530</v>
      </c>
      <c r="F4" s="74">
        <v>44490</v>
      </c>
      <c r="G4" s="35" t="s">
        <v>502</v>
      </c>
      <c r="H4" s="177">
        <f>425.14</f>
        <v>425.14</v>
      </c>
      <c r="I4" s="21"/>
      <c r="J4" s="27"/>
      <c r="K4" s="71"/>
      <c r="L4" s="24"/>
      <c r="M4" s="24"/>
      <c r="N4" s="24"/>
      <c r="O4" s="24"/>
      <c r="P4" s="76"/>
      <c r="Q4" s="77"/>
      <c r="V4" s="24"/>
      <c r="W4" s="24"/>
    </row>
    <row r="5" spans="1:23" ht="22.2" hidden="1" customHeight="1" x14ac:dyDescent="0.3">
      <c r="A5" s="72" t="str">
        <f>+IF(PROVEEDORES3[[#This Row],[FECHA DE PAGO]]=PROVEEDORES3[[#This Row],[FECHA DE FACTURACIÓN]],"DE CONTADO","CRÉDITO")</f>
        <v>CRÉDITO</v>
      </c>
      <c r="B5" s="38" t="e">
        <f>+IF((PROVEEDORES3[[#This Row],[FECHA DE PAGO]]-PROVEEDORES3[[#This Row],[FECHA DE FACTURACIÓN]])&gt;#REF!,"PAGO VENCIDO")</f>
        <v>#REF!</v>
      </c>
      <c r="C5" s="58" t="str">
        <f>+VLOOKUP(PROVEEDORES3[[#This Row],[PROVEEDOR]],TERCEROS_INFO[[PROVEEDOR]:[CORREO]],5,FALSE)</f>
        <v>jessica.barios.com@carpainternacional;girlesa.ruiz@servipilas.com;joriescobar64@gmail.com</v>
      </c>
      <c r="D5" s="73">
        <v>44503</v>
      </c>
      <c r="E5" s="26" t="s">
        <v>530</v>
      </c>
      <c r="F5" s="74">
        <v>44495</v>
      </c>
      <c r="G5" s="35" t="s">
        <v>506</v>
      </c>
      <c r="H5" s="177">
        <f>630</f>
        <v>630</v>
      </c>
      <c r="I5" s="21"/>
      <c r="J5" s="27"/>
      <c r="K5" s="71"/>
      <c r="L5" s="24"/>
      <c r="M5" s="24"/>
      <c r="N5" s="24"/>
      <c r="O5" s="24"/>
      <c r="P5" s="76"/>
      <c r="Q5" s="77"/>
      <c r="V5" s="24"/>
      <c r="W5" s="24"/>
    </row>
    <row r="6" spans="1:23" ht="22.2" hidden="1" customHeight="1" x14ac:dyDescent="0.3">
      <c r="A6" s="72" t="str">
        <f>+IF(PROVEEDORES3[[#This Row],[FECHA DE PAGO]]=PROVEEDORES3[[#This Row],[FECHA DE FACTURACIÓN]],"DE CONTADO","CRÉDITO")</f>
        <v>CRÉDITO</v>
      </c>
      <c r="B6" s="38" t="e">
        <f>+IF((PROVEEDORES3[[#This Row],[FECHA DE PAGO]]-PROVEEDORES3[[#This Row],[FECHA DE FACTURACIÓN]])&gt;#REF!,"PAGO VENCIDO")</f>
        <v>#REF!</v>
      </c>
      <c r="C6" s="58" t="str">
        <f>+VLOOKUP(PROVEEDORES3[[#This Row],[PROVEEDOR]],TERCEROS_INFO[[PROVEEDOR]:[CORREO]],5,FALSE)</f>
        <v>jessica.barios.com@carpainternacional;girlesa.ruiz@servipilas.com;joriescobar64@gmail.com</v>
      </c>
      <c r="D6" s="73">
        <v>44503</v>
      </c>
      <c r="E6" s="26" t="s">
        <v>528</v>
      </c>
      <c r="F6" s="74">
        <v>44500</v>
      </c>
      <c r="G6" s="35" t="s">
        <v>515</v>
      </c>
      <c r="H6" s="177">
        <f>148.6</f>
        <v>148.6</v>
      </c>
      <c r="I6" s="21"/>
      <c r="J6" s="27"/>
      <c r="K6" s="71"/>
      <c r="L6" s="24"/>
      <c r="M6" s="24"/>
      <c r="N6" s="24"/>
      <c r="O6" s="24"/>
      <c r="P6" s="76"/>
      <c r="Q6" s="77"/>
      <c r="V6" s="24"/>
      <c r="W6" s="24"/>
    </row>
    <row r="7" spans="1:23" ht="22.2" hidden="1" customHeight="1" x14ac:dyDescent="0.3">
      <c r="A7" s="72" t="str">
        <f>+IF(PROVEEDORES3[[#This Row],[FECHA DE PAGO]]=PROVEEDORES3[[#This Row],[FECHA DE FACTURACIÓN]],"DE CONTADO","CRÉDITO")</f>
        <v>CRÉDITO</v>
      </c>
      <c r="B7" s="38" t="e">
        <f>+IF((PROVEEDORES3[[#This Row],[FECHA DE PAGO]]-PROVEEDORES3[[#This Row],[FECHA DE FACTURACIÓN]])&gt;#REF!,"PAGO VENCIDO")</f>
        <v>#REF!</v>
      </c>
      <c r="C7" s="58" t="str">
        <f>+VLOOKUP(PROVEEDORES3[[#This Row],[PROVEEDOR]],TERCEROS_INFO[[PROVEEDOR]:[CORREO]],5,FALSE)</f>
        <v>jessica.barios.com@carpainternacional;girlesa.ruiz@servipilas.com;joriescobar64@gmail.com</v>
      </c>
      <c r="D7" s="73">
        <v>44586</v>
      </c>
      <c r="E7" s="26" t="s">
        <v>528</v>
      </c>
      <c r="F7" s="74">
        <v>44501</v>
      </c>
      <c r="G7" s="35" t="s">
        <v>567</v>
      </c>
      <c r="H7" s="177">
        <f>56</f>
        <v>56</v>
      </c>
      <c r="I7" s="21"/>
      <c r="J7" s="27"/>
      <c r="K7" s="71"/>
      <c r="L7" s="24"/>
      <c r="M7" s="24"/>
      <c r="N7" s="24"/>
      <c r="O7" s="24"/>
      <c r="P7" s="76"/>
      <c r="Q7" s="77"/>
      <c r="V7" s="24"/>
      <c r="W7" s="24"/>
    </row>
    <row r="8" spans="1:23" ht="22.2" hidden="1" customHeight="1" x14ac:dyDescent="0.3">
      <c r="A8" s="72" t="str">
        <f>+IF(PROVEEDORES3[[#This Row],[FECHA DE PAGO]]=PROVEEDORES3[[#This Row],[FECHA DE FACTURACIÓN]],"DE CONTADO","CRÉDITO")</f>
        <v>CRÉDITO</v>
      </c>
      <c r="B8" s="38" t="e">
        <f>+IF((PROVEEDORES3[[#This Row],[FECHA DE PAGO]]-PROVEEDORES3[[#This Row],[FECHA DE FACTURACIÓN]])&gt;#REF!,"PAGO VENCIDO")</f>
        <v>#REF!</v>
      </c>
      <c r="C8" s="58" t="str">
        <f>+VLOOKUP(PROVEEDORES3[[#This Row],[PROVEEDOR]],TERCEROS_INFO[[PROVEEDOR]:[CORREO]],5,FALSE)</f>
        <v>jessica.barios.com@carpainternacional;girlesa.ruiz@servipilas.com;joriescobar64@gmail.com</v>
      </c>
      <c r="D8" s="73">
        <v>44586</v>
      </c>
      <c r="E8" s="26" t="s">
        <v>528</v>
      </c>
      <c r="F8" s="74">
        <v>44510</v>
      </c>
      <c r="G8" s="35" t="s">
        <v>526</v>
      </c>
      <c r="H8" s="177">
        <f>68</f>
        <v>68</v>
      </c>
      <c r="I8" s="21"/>
      <c r="J8" s="27"/>
      <c r="K8" s="71"/>
      <c r="L8" s="24"/>
      <c r="M8" s="24"/>
      <c r="N8" s="24"/>
      <c r="O8" s="24"/>
      <c r="P8" s="76"/>
      <c r="Q8" s="77"/>
      <c r="V8" s="24"/>
      <c r="W8" s="24"/>
    </row>
    <row r="9" spans="1:23" ht="22.2" hidden="1" customHeight="1" x14ac:dyDescent="0.3">
      <c r="A9" s="72" t="str">
        <f>+IF(PROVEEDORES3[[#This Row],[FECHA DE PAGO]]=PROVEEDORES3[[#This Row],[FECHA DE FACTURACIÓN]],"DE CONTADO","CRÉDITO")</f>
        <v>CRÉDITO</v>
      </c>
      <c r="B9" s="38" t="e">
        <f>+IF((PROVEEDORES3[[#This Row],[FECHA DE PAGO]]-PROVEEDORES3[[#This Row],[FECHA DE FACTURACIÓN]])&gt;#REF!,"PAGO VENCIDO")</f>
        <v>#REF!</v>
      </c>
      <c r="C9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9" s="73">
        <v>44572</v>
      </c>
      <c r="E9" s="26" t="s">
        <v>38</v>
      </c>
      <c r="F9" s="74">
        <v>44531</v>
      </c>
      <c r="G9" s="35" t="s">
        <v>578</v>
      </c>
      <c r="H9" s="75">
        <f>1269.6</f>
        <v>1269.5999999999999</v>
      </c>
      <c r="I9" s="21"/>
      <c r="J9" s="27"/>
      <c r="K9" s="71"/>
      <c r="L9" s="24"/>
      <c r="M9" s="24"/>
      <c r="N9" s="24"/>
      <c r="O9" s="24"/>
      <c r="P9" s="76"/>
      <c r="Q9" s="77"/>
      <c r="V9" s="24"/>
      <c r="W9" s="24"/>
    </row>
    <row r="10" spans="1:23" ht="22.2" hidden="1" customHeight="1" x14ac:dyDescent="0.3">
      <c r="A10" s="72" t="str">
        <f>+IF(PROVEEDORES3[[#This Row],[FECHA DE PAGO]]=PROVEEDORES3[[#This Row],[FECHA DE FACTURACIÓN]],"DE CONTADO","CRÉDITO")</f>
        <v>CRÉDITO</v>
      </c>
      <c r="B10" s="38" t="e">
        <f>+IF((PROVEEDORES3[[#This Row],[FECHA DE PAGO]]-PROVEEDORES3[[#This Row],[FECHA DE FACTURACIÓN]])&gt;#REF!,"PAGO VENCIDO")</f>
        <v>#REF!</v>
      </c>
      <c r="C10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0" s="73">
        <v>44572</v>
      </c>
      <c r="E10" s="26" t="s">
        <v>38</v>
      </c>
      <c r="F10" s="74">
        <v>44531</v>
      </c>
      <c r="G10" s="35" t="s">
        <v>579</v>
      </c>
      <c r="H10" s="75">
        <f>5507.2</f>
        <v>5507.2</v>
      </c>
      <c r="I10" s="21"/>
      <c r="J10" s="27"/>
      <c r="K10" s="71"/>
      <c r="L10" s="24"/>
      <c r="M10" s="24"/>
      <c r="N10" s="24"/>
      <c r="O10" s="24"/>
      <c r="P10" s="76"/>
      <c r="Q10" s="77"/>
      <c r="V10" s="24"/>
      <c r="W10" s="24"/>
    </row>
    <row r="11" spans="1:23" ht="22.2" hidden="1" customHeight="1" x14ac:dyDescent="0.3">
      <c r="A11" s="72" t="str">
        <f>+IF(PROVEEDORES3[[#This Row],[FECHA DE PAGO]]=PROVEEDORES3[[#This Row],[FECHA DE FACTURACIÓN]],"DE CONTADO","CRÉDITO")</f>
        <v>CRÉDITO</v>
      </c>
      <c r="B11" s="38" t="e">
        <f>+IF((PROVEEDORES3[[#This Row],[FECHA DE PAGO]]-PROVEEDORES3[[#This Row],[FECHA DE FACTURACIÓN]])&gt;#REF!,"PAGO VENCIDO")</f>
        <v>#REF!</v>
      </c>
      <c r="C11" s="58" t="str">
        <f>+VLOOKUP(PROVEEDORES3[[#This Row],[PROVEEDOR]],TERCEROS_INFO[[PROVEEDOR]:[CORREO]],5,FALSE)</f>
        <v>jessica.barios.com@carpainternacional;girlesa.ruiz@servipilas.com;joriescobar64@gmail.com</v>
      </c>
      <c r="D11" s="73">
        <v>44586</v>
      </c>
      <c r="E11" s="26" t="s">
        <v>528</v>
      </c>
      <c r="F11" s="74">
        <v>44533</v>
      </c>
      <c r="G11" s="35" t="s">
        <v>569</v>
      </c>
      <c r="H11" s="177">
        <f>116</f>
        <v>116</v>
      </c>
      <c r="I11" s="21"/>
      <c r="J11" s="27"/>
      <c r="K11" s="71"/>
      <c r="L11" s="24"/>
      <c r="M11" s="24"/>
      <c r="N11" s="24"/>
      <c r="O11" s="24"/>
      <c r="P11" s="76"/>
      <c r="Q11" s="77"/>
      <c r="V11" s="24"/>
      <c r="W11" s="24"/>
    </row>
    <row r="12" spans="1:23" ht="22.2" hidden="1" customHeight="1" x14ac:dyDescent="0.3">
      <c r="A12" s="72" t="str">
        <f>+IF(PROVEEDORES3[[#This Row],[FECHA DE PAGO]]=PROVEEDORES3[[#This Row],[FECHA DE FACTURACIÓN]],"DE CONTADO","CRÉDITO")</f>
        <v>CRÉDITO</v>
      </c>
      <c r="B12" s="38" t="e">
        <f>+IF((PROVEEDORES3[[#This Row],[FECHA DE PAGO]]-PROVEEDORES3[[#This Row],[FECHA DE FACTURACIÓN]])&gt;#REF!,"PAGO VENCIDO")</f>
        <v>#REF!</v>
      </c>
      <c r="C12" s="58" t="str">
        <f>+VLOOKUP(PROVEEDORES3[[#This Row],[PROVEEDOR]],TERCEROS_INFO[[PROVEEDOR]:[CORREO]],5,FALSE)</f>
        <v>jessica.barios.com@carpainternacional;girlesa.ruiz@servipilas.com;joriescobar64@gmail.com</v>
      </c>
      <c r="D12" s="73">
        <v>44586</v>
      </c>
      <c r="E12" s="26" t="s">
        <v>528</v>
      </c>
      <c r="F12" s="74">
        <v>44533</v>
      </c>
      <c r="G12" s="35" t="s">
        <v>568</v>
      </c>
      <c r="H12" s="177">
        <f>48</f>
        <v>48</v>
      </c>
      <c r="I12" s="21"/>
      <c r="J12" s="27"/>
      <c r="K12" s="71"/>
      <c r="L12" s="24"/>
      <c r="M12" s="24"/>
      <c r="N12" s="24"/>
      <c r="O12" s="24"/>
      <c r="P12" s="76"/>
      <c r="Q12" s="77"/>
      <c r="V12" s="24"/>
      <c r="W12" s="24"/>
    </row>
    <row r="13" spans="1:23" ht="22.2" hidden="1" customHeight="1" x14ac:dyDescent="0.3">
      <c r="A13" s="72" t="str">
        <f>+IF(PROVEEDORES3[[#This Row],[FECHA DE PAGO]]=PROVEEDORES3[[#This Row],[FECHA DE FACTURACIÓN]],"DE CONTADO","CRÉDITO")</f>
        <v>CRÉDITO</v>
      </c>
      <c r="B13" s="38" t="e">
        <f>+IF((PROVEEDORES3[[#This Row],[FECHA DE PAGO]]-PROVEEDORES3[[#This Row],[FECHA DE FACTURACIÓN]])&gt;#REF!,"PAGO VENCIDO")</f>
        <v>#REF!</v>
      </c>
      <c r="C13" s="58" t="str">
        <f>+VLOOKUP(PROVEEDORES3[[#This Row],[PROVEEDOR]],TERCEROS_INFO[[PROVEEDOR]:[CORREO]],5,FALSE)</f>
        <v>jessica.barios.com@carpainternacional;girlesa.ruiz@servipilas.com;joriescobar64@gmail.com</v>
      </c>
      <c r="D13" s="73">
        <v>44586</v>
      </c>
      <c r="E13" s="26" t="s">
        <v>528</v>
      </c>
      <c r="F13" s="74">
        <v>44537</v>
      </c>
      <c r="G13" s="35" t="s">
        <v>570</v>
      </c>
      <c r="H13" s="177">
        <f>60</f>
        <v>60</v>
      </c>
      <c r="I13" s="21"/>
      <c r="J13" s="27"/>
      <c r="K13" s="71"/>
      <c r="L13" s="24"/>
      <c r="M13" s="24"/>
      <c r="N13" s="24"/>
      <c r="O13" s="24"/>
      <c r="P13" s="76"/>
      <c r="Q13" s="77"/>
      <c r="V13" s="24"/>
      <c r="W13" s="24"/>
    </row>
    <row r="14" spans="1:23" ht="22.2" hidden="1" customHeight="1" x14ac:dyDescent="0.3">
      <c r="A14" s="72" t="str">
        <f>+IF(PROVEEDORES3[[#This Row],[FECHA DE PAGO]]=PROVEEDORES3[[#This Row],[FECHA DE FACTURACIÓN]],"DE CONTADO","CRÉDITO")</f>
        <v>CRÉDITO</v>
      </c>
      <c r="B14" s="38" t="e">
        <f>+IF((PROVEEDORES3[[#This Row],[FECHA DE PAGO]]-PROVEEDORES3[[#This Row],[FECHA DE FACTURACIÓN]])&gt;#REF!,"PAGO VENCIDO")</f>
        <v>#REF!</v>
      </c>
      <c r="C14" s="58" t="str">
        <f>+VLOOKUP(PROVEEDORES3[[#This Row],[PROVEEDOR]],TERCEROS_INFO[[PROVEEDOR]:[CORREO]],5,FALSE)</f>
        <v>jessica.barios.com@carpainternacional;girlesa.ruiz@servipilas.com;joriescobar64@gmail.com</v>
      </c>
      <c r="D14" s="73">
        <v>44586</v>
      </c>
      <c r="E14" s="26" t="s">
        <v>530</v>
      </c>
      <c r="F14" s="74">
        <v>44539</v>
      </c>
      <c r="G14" s="35" t="s">
        <v>565</v>
      </c>
      <c r="H14" s="177">
        <f>560</f>
        <v>560</v>
      </c>
      <c r="I14" s="21"/>
      <c r="J14" s="27"/>
      <c r="K14" s="71"/>
      <c r="L14" s="24"/>
      <c r="M14" s="24"/>
      <c r="N14" s="24"/>
      <c r="O14" s="24"/>
      <c r="P14" s="76"/>
      <c r="Q14" s="77"/>
      <c r="V14" s="24"/>
      <c r="W14" s="24"/>
    </row>
    <row r="15" spans="1:23" ht="22.2" hidden="1" customHeight="1" x14ac:dyDescent="0.3">
      <c r="A15" s="72" t="str">
        <f>+IF(PROVEEDORES3[[#This Row],[FECHA DE PAGO]]=PROVEEDORES3[[#This Row],[FECHA DE FACTURACIÓN]],"DE CONTADO","CRÉDITO")</f>
        <v>CRÉDITO</v>
      </c>
      <c r="B15" s="38" t="e">
        <f>+IF((PROVEEDORES3[[#This Row],[FECHA DE PAGO]]-PROVEEDORES3[[#This Row],[FECHA DE FACTURACIÓN]])&gt;#REF!,"PAGO VENCIDO")</f>
        <v>#REF!</v>
      </c>
      <c r="C15" s="58" t="str">
        <f>+VLOOKUP(PROVEEDORES3[[#This Row],[PROVEEDOR]],TERCEROS_INFO[[PROVEEDOR]:[CORREO]],5,FALSE)</f>
        <v>jessica.barios.com@carpainternacional;girlesa.ruiz@servipilas.com;joriescobar64@gmail.com</v>
      </c>
      <c r="D15" s="73">
        <v>44623</v>
      </c>
      <c r="E15" s="26" t="s">
        <v>528</v>
      </c>
      <c r="F15" s="74">
        <v>44552</v>
      </c>
      <c r="G15" s="35" t="s">
        <v>574</v>
      </c>
      <c r="H15" s="177">
        <v>76</v>
      </c>
      <c r="I15" s="21">
        <f>+PROVEEDORES3[[#This Row],[Total USD]]*3828.5</f>
        <v>290966</v>
      </c>
      <c r="J15" s="27"/>
      <c r="K15" s="71"/>
      <c r="L15" s="24"/>
      <c r="M15" s="24"/>
      <c r="N15" s="24"/>
      <c r="O15" s="24"/>
      <c r="P15" s="76"/>
      <c r="Q15" s="77"/>
      <c r="V15" s="24"/>
      <c r="W15" s="24"/>
    </row>
    <row r="16" spans="1:23" ht="22.2" hidden="1" customHeight="1" x14ac:dyDescent="0.3">
      <c r="A16" s="72" t="str">
        <f>+IF(PROVEEDORES3[[#This Row],[FECHA DE PAGO]]=PROVEEDORES3[[#This Row],[FECHA DE FACTURACIÓN]],"DE CONTADO","CRÉDITO")</f>
        <v>CRÉDITO</v>
      </c>
      <c r="B16" s="38" t="e">
        <f>+IF((PROVEEDORES3[[#This Row],[FECHA DE PAGO]]-PROVEEDORES3[[#This Row],[FECHA DE FACTURACIÓN]])&gt;#REF!,"PAGO VENCIDO")</f>
        <v>#REF!</v>
      </c>
      <c r="C16" s="58" t="str">
        <f>+VLOOKUP(PROVEEDORES3[[#This Row],[PROVEEDOR]],TERCEROS_INFO[[PROVEEDOR]:[CORREO]],5,FALSE)</f>
        <v>jessica.barios.com@carpainternacional;girlesa.ruiz@servipilas.com;joriescobar64@gmail.com</v>
      </c>
      <c r="D16" s="73">
        <v>44623</v>
      </c>
      <c r="E16" s="26" t="s">
        <v>528</v>
      </c>
      <c r="F16" s="74">
        <v>44557</v>
      </c>
      <c r="G16" s="35">
        <v>1294</v>
      </c>
      <c r="H16" s="177">
        <f>60</f>
        <v>60</v>
      </c>
      <c r="I16" s="21">
        <f>+PROVEEDORES3[[#This Row],[Total USD]]*3828.5</f>
        <v>229710</v>
      </c>
      <c r="J16"/>
      <c r="K16" s="71"/>
      <c r="M16" s="27"/>
      <c r="N16" s="27"/>
      <c r="O16" s="76"/>
      <c r="P16" s="24"/>
      <c r="Q16" s="24"/>
      <c r="T16" s="76"/>
      <c r="U16" s="77"/>
      <c r="V16" s="24"/>
      <c r="W16" s="24"/>
    </row>
    <row r="17" spans="1:23" ht="22.2" hidden="1" customHeight="1" x14ac:dyDescent="0.3">
      <c r="A17" s="72" t="str">
        <f>+IF(PROVEEDORES3[[#This Row],[FECHA DE PAGO]]=PROVEEDORES3[[#This Row],[FECHA DE FACTURACIÓN]],"DE CONTADO","CRÉDITO")</f>
        <v>CRÉDITO</v>
      </c>
      <c r="B17" s="38" t="e">
        <f>+IF((PROVEEDORES3[[#This Row],[FECHA DE PAGO]]-PROVEEDORES3[[#This Row],[FECHA DE FACTURACIÓN]])&gt;#REF!,"PAGO VENCIDO")</f>
        <v>#REF!</v>
      </c>
      <c r="C17" s="58" t="str">
        <f>+VLOOKUP(PROVEEDORES3[[#This Row],[PROVEEDOR]],TERCEROS_INFO[[PROVEEDOR]:[CORREO]],5,FALSE)</f>
        <v>jessica.barios.com@carpainternacional;girlesa.ruiz@servipilas.com;joriescobar64@gmail.com</v>
      </c>
      <c r="D17" s="73">
        <v>44623</v>
      </c>
      <c r="E17" s="26" t="s">
        <v>528</v>
      </c>
      <c r="F17" s="74">
        <v>44557</v>
      </c>
      <c r="G17" s="35">
        <v>1293</v>
      </c>
      <c r="H17" s="177">
        <f>56</f>
        <v>56</v>
      </c>
      <c r="I17" s="21">
        <f>+PROVEEDORES3[[#This Row],[Total USD]]*3828.5</f>
        <v>214396</v>
      </c>
      <c r="J17"/>
      <c r="K17" s="71"/>
      <c r="M17" s="27"/>
      <c r="N17" s="27"/>
      <c r="O17" s="76"/>
      <c r="P17" s="24"/>
      <c r="Q17" s="24"/>
      <c r="T17" s="76"/>
      <c r="U17" s="77"/>
      <c r="V17" s="24"/>
      <c r="W17" s="24"/>
    </row>
    <row r="18" spans="1:23" ht="22.2" hidden="1" customHeight="1" x14ac:dyDescent="0.3">
      <c r="A18" s="72" t="str">
        <f>+IF(PROVEEDORES3[[#This Row],[FECHA DE PAGO]]=PROVEEDORES3[[#This Row],[FECHA DE FACTURACIÓN]],"DE CONTADO","CRÉDITO")</f>
        <v>CRÉDITO</v>
      </c>
      <c r="B18" s="38" t="e">
        <f>+IF((PROVEEDORES3[[#This Row],[FECHA DE PAGO]]-PROVEEDORES3[[#This Row],[FECHA DE FACTURACIÓN]])&gt;#REF!,"PAGO VENCIDO")</f>
        <v>#REF!</v>
      </c>
      <c r="C18" s="58" t="str">
        <f>+VLOOKUP(PROVEEDORES3[[#This Row],[PROVEEDOR]],TERCEROS_INFO[[PROVEEDOR]:[CORREO]],5,FALSE)</f>
        <v>jessica.barrios@carpainternacional;girlesa.ruiz@servipilas.com;joriescobar64@gmail.com</v>
      </c>
      <c r="D18" s="73">
        <v>44623</v>
      </c>
      <c r="E18" s="26" t="s">
        <v>599</v>
      </c>
      <c r="F18" s="74">
        <v>44557</v>
      </c>
      <c r="G18" s="35" t="s">
        <v>600</v>
      </c>
      <c r="H18" s="177">
        <f>695</f>
        <v>695</v>
      </c>
      <c r="I18" s="21">
        <f>+PROVEEDORES3[[#This Row],[Total USD]]*3828.5</f>
        <v>2660807.5</v>
      </c>
      <c r="J18"/>
      <c r="K18" s="71"/>
      <c r="M18" s="27"/>
      <c r="N18" s="27"/>
      <c r="O18" s="76"/>
      <c r="P18" s="24"/>
      <c r="Q18" s="24"/>
      <c r="T18" s="76"/>
      <c r="U18" s="77"/>
      <c r="V18" s="24"/>
      <c r="W18" s="24"/>
    </row>
    <row r="19" spans="1:23" ht="22.2" hidden="1" customHeight="1" x14ac:dyDescent="0.3">
      <c r="A19" s="72" t="str">
        <f>+IF(PROVEEDORES3[[#This Row],[FECHA DE PAGO]]=PROVEEDORES3[[#This Row],[FECHA DE FACTURACIÓN]],"DE CONTADO","CRÉDITO")</f>
        <v>CRÉDITO</v>
      </c>
      <c r="B19" s="38" t="e">
        <f>+IF((PROVEEDORES3[[#This Row],[FECHA DE PAGO]]-PROVEEDORES3[[#This Row],[FECHA DE FACTURACIÓN]])&gt;#REF!,"PAGO VENCIDO")</f>
        <v>#REF!</v>
      </c>
      <c r="C19" s="58" t="str">
        <f>+VLOOKUP(PROVEEDORES3[[#This Row],[PROVEEDOR]],TERCEROS_INFO[[PROVEEDOR]:[CORREO]],5,FALSE)</f>
        <v/>
      </c>
      <c r="D19" s="73">
        <v>44585</v>
      </c>
      <c r="E19" s="26" t="s">
        <v>27</v>
      </c>
      <c r="F19" s="74">
        <v>44580</v>
      </c>
      <c r="G19" s="35">
        <v>130713</v>
      </c>
      <c r="H19" s="75">
        <f>2216</f>
        <v>2216</v>
      </c>
      <c r="I19" s="21"/>
    </row>
    <row r="20" spans="1:23" ht="22.2" hidden="1" customHeight="1" x14ac:dyDescent="0.3">
      <c r="A20" s="72" t="str">
        <f>+IF(PROVEEDORES3[[#This Row],[FECHA DE PAGO]]=PROVEEDORES3[[#This Row],[FECHA DE FACTURACIÓN]],"DE CONTADO","CRÉDITO")</f>
        <v>CRÉDITO</v>
      </c>
      <c r="B20" s="38" t="e">
        <f>+IF((PROVEEDORES3[[#This Row],[FECHA DE PAGO]]-PROVEEDORES3[[#This Row],[FECHA DE FACTURACIÓN]])&gt;#REF!,"PAGO VENCIDO")</f>
        <v>#REF!</v>
      </c>
      <c r="C20" s="58" t="str">
        <f>+VLOOKUP(PROVEEDORES3[[#This Row],[PROVEEDOR]],TERCEROS_INFO[[PROVEEDOR]:[CORREO]],5,FALSE)</f>
        <v>jessica.barios.com@carpainternacional;girlesa.ruiz@servipilas.com;joriescobar64@gmail.com</v>
      </c>
      <c r="D20" s="73">
        <v>44623</v>
      </c>
      <c r="E20" s="26" t="s">
        <v>528</v>
      </c>
      <c r="F20" s="74">
        <v>44586</v>
      </c>
      <c r="G20" s="35" t="s">
        <v>704</v>
      </c>
      <c r="H20" s="177">
        <v>44</v>
      </c>
      <c r="I20" s="21">
        <f>+PROVEEDORES3[[#This Row],[Total USD]]*3828.5</f>
        <v>168454</v>
      </c>
    </row>
    <row r="21" spans="1:23" ht="22.2" hidden="1" customHeight="1" x14ac:dyDescent="0.3">
      <c r="A21" s="72" t="str">
        <f>+IF(PROVEEDORES3[[#This Row],[FECHA DE PAGO]]=PROVEEDORES3[[#This Row],[FECHA DE FACTURACIÓN]],"DE CONTADO","CRÉDITO")</f>
        <v>CRÉDITO</v>
      </c>
      <c r="B21" s="38" t="e">
        <f>+IF((PROVEEDORES3[[#This Row],[FECHA DE PAGO]]-PROVEEDORES3[[#This Row],[FECHA DE FACTURACIÓN]])&gt;#REF!,"PAGO VENCIDO")</f>
        <v>#REF!</v>
      </c>
      <c r="C21" s="58" t="str">
        <f>+VLOOKUP(PROVEEDORES3[[#This Row],[PROVEEDOR]],TERCEROS_INFO[[PROVEEDOR]:[CORREO]],5,FALSE)</f>
        <v>jessica.barios.com@carpainternacional;girlesa.ruiz@servipilas.com;joriescobar64@gmail.com</v>
      </c>
      <c r="D21" s="73">
        <v>44623</v>
      </c>
      <c r="E21" s="26" t="s">
        <v>529</v>
      </c>
      <c r="F21" s="74">
        <v>44587</v>
      </c>
      <c r="G21" s="35" t="s">
        <v>706</v>
      </c>
      <c r="H21" s="177">
        <v>660</v>
      </c>
      <c r="I21" s="21">
        <f>+PROVEEDORES3[[#This Row],[Total USD]]*3828.5</f>
        <v>2526810</v>
      </c>
    </row>
    <row r="22" spans="1:23" ht="22.2" hidden="1" customHeight="1" x14ac:dyDescent="0.3">
      <c r="A22" s="72" t="str">
        <f>+IF(PROVEEDORES3[[#This Row],[FECHA DE PAGO]]=PROVEEDORES3[[#This Row],[FECHA DE FACTURACIÓN]],"DE CONTADO","CRÉDITO")</f>
        <v>CRÉDITO</v>
      </c>
      <c r="B22" s="38" t="e">
        <f>+IF((PROVEEDORES3[[#This Row],[FECHA DE PAGO]]-PROVEEDORES3[[#This Row],[FECHA DE FACTURACIÓN]])&gt;#REF!,"PAGO VENCIDO")</f>
        <v>#REF!</v>
      </c>
      <c r="C22" s="58" t="str">
        <f>+VLOOKUP(PROVEEDORES3[[#This Row],[PROVEEDOR]],TERCEROS_INFO[[PROVEEDOR]:[CORREO]],5,FALSE)</f>
        <v>jessica.barios.com@carpainternacional;girlesa.ruiz@servipilas.com;joriescobar64@gmail.com</v>
      </c>
      <c r="D22" s="73">
        <v>44761</v>
      </c>
      <c r="E22" s="26" t="s">
        <v>528</v>
      </c>
      <c r="F22" s="74">
        <v>44539</v>
      </c>
      <c r="G22" s="35" t="s">
        <v>818</v>
      </c>
      <c r="H22" s="177">
        <v>57</v>
      </c>
      <c r="I22" s="21">
        <f>+PROVEEDORES3[[#This Row],[Total USD]]*4336.5</f>
        <v>247180.5</v>
      </c>
    </row>
    <row r="23" spans="1:23" ht="22.2" hidden="1" customHeight="1" x14ac:dyDescent="0.3">
      <c r="A23" s="72" t="str">
        <f>+IF(PROVEEDORES3[[#This Row],[FECHA DE PAGO]]=PROVEEDORES3[[#This Row],[FECHA DE FACTURACIÓN]],"DE CONTADO","CRÉDITO")</f>
        <v>CRÉDITO</v>
      </c>
      <c r="B23" s="38" t="e">
        <f>+IF((PROVEEDORES3[[#This Row],[FECHA DE PAGO]]-PROVEEDORES3[[#This Row],[FECHA DE FACTURACIÓN]])&gt;#REF!,"PAGO VENCIDO")</f>
        <v>#REF!</v>
      </c>
      <c r="C23" s="58" t="str">
        <f>+VLOOKUP(PROVEEDORES3[[#This Row],[PROVEEDOR]],TERCEROS_INFO[[PROVEEDOR]:[CORREO]],5,FALSE)</f>
        <v>jessica.barios.com@carpainternacional;girlesa.ruiz@servipilas.com;joriescobar64@gmail.com</v>
      </c>
      <c r="D23" s="73">
        <v>44761</v>
      </c>
      <c r="E23" s="26" t="s">
        <v>528</v>
      </c>
      <c r="F23" s="74">
        <v>44607</v>
      </c>
      <c r="G23" s="35" t="s">
        <v>761</v>
      </c>
      <c r="H23" s="177">
        <v>48</v>
      </c>
      <c r="I23" s="21">
        <f>+PROVEEDORES3[[#This Row],[Total USD]]*4336.5</f>
        <v>208152</v>
      </c>
    </row>
    <row r="24" spans="1:23" ht="22.2" hidden="1" customHeight="1" x14ac:dyDescent="0.3">
      <c r="A24" s="72" t="str">
        <f>+IF(PROVEEDORES3[[#This Row],[FECHA DE PAGO]]=PROVEEDORES3[[#This Row],[FECHA DE FACTURACIÓN]],"DE CONTADO","CRÉDITO")</f>
        <v>CRÉDITO</v>
      </c>
      <c r="B24" s="38" t="e">
        <f>+IF((PROVEEDORES3[[#This Row],[FECHA DE PAGO]]-PROVEEDORES3[[#This Row],[FECHA DE FACTURACIÓN]])&gt;#REF!,"PAGO VENCIDO")</f>
        <v>#REF!</v>
      </c>
      <c r="C24" s="58" t="str">
        <f>+VLOOKUP(PROVEEDORES3[[#This Row],[PROVEEDOR]],TERCEROS_INFO[[PROVEEDOR]:[CORREO]],5,FALSE)</f>
        <v>jessica.barios.com@carpainternacional;girlesa.ruiz@servipilas.com;joriescobar64@gmail.com</v>
      </c>
      <c r="D24" s="73">
        <v>44761</v>
      </c>
      <c r="E24" s="26" t="s">
        <v>528</v>
      </c>
      <c r="F24" s="74">
        <v>44617</v>
      </c>
      <c r="G24" s="35" t="s">
        <v>755</v>
      </c>
      <c r="H24" s="177">
        <v>52</v>
      </c>
      <c r="I24" s="21">
        <f>+PROVEEDORES3[[#This Row],[Total USD]]*4336.5</f>
        <v>225498</v>
      </c>
    </row>
    <row r="25" spans="1:23" ht="22.2" hidden="1" customHeight="1" x14ac:dyDescent="0.3">
      <c r="A25" s="72" t="str">
        <f>+IF(PROVEEDORES3[[#This Row],[FECHA DE PAGO]]=PROVEEDORES3[[#This Row],[FECHA DE FACTURACIÓN]],"DE CONTADO","CRÉDITO")</f>
        <v>CRÉDITO</v>
      </c>
      <c r="B25" s="38" t="e">
        <f>+IF((PROVEEDORES3[[#This Row],[FECHA DE PAGO]]-PROVEEDORES3[[#This Row],[FECHA DE FACTURACIÓN]])&gt;#REF!,"PAGO VENCIDO")</f>
        <v>#REF!</v>
      </c>
      <c r="C25" s="58" t="str">
        <f>+VLOOKUP(PROVEEDORES3[[#This Row],[PROVEEDOR]],TERCEROS_INFO[[PROVEEDOR]:[CORREO]],5,FALSE)</f>
        <v>jessica.barios.com@carpainternacional;girlesa.ruiz@servipilas.com;joriescobar64@gmail.com</v>
      </c>
      <c r="D25" s="73">
        <v>44761</v>
      </c>
      <c r="E25" s="26" t="s">
        <v>528</v>
      </c>
      <c r="F25" s="74">
        <v>44643</v>
      </c>
      <c r="G25" s="35" t="s">
        <v>728</v>
      </c>
      <c r="H25" s="177">
        <v>112</v>
      </c>
      <c r="I25" s="21">
        <f>+PROVEEDORES3[[#This Row],[Total USD]]*4336.5</f>
        <v>485688</v>
      </c>
    </row>
    <row r="26" spans="1:23" ht="22.2" hidden="1" customHeight="1" x14ac:dyDescent="0.3">
      <c r="A26" s="72" t="str">
        <f>+IF(PROVEEDORES3[[#This Row],[FECHA DE PAGO]]=PROVEEDORES3[[#This Row],[FECHA DE FACTURACIÓN]],"DE CONTADO","CRÉDITO")</f>
        <v>CRÉDITO</v>
      </c>
      <c r="B26" s="38" t="e">
        <f>+IF((PROVEEDORES3[[#This Row],[FECHA DE PAGO]]-PROVEEDORES3[[#This Row],[FECHA DE FACTURACIÓN]])&gt;#REF!,"PAGO VENCIDO")</f>
        <v>#REF!</v>
      </c>
      <c r="C26" s="58" t="str">
        <f>+VLOOKUP(PROVEEDORES3[[#This Row],[PROVEEDOR]],TERCEROS_INFO[[PROVEEDOR]:[CORREO]],5,FALSE)</f>
        <v>mcastillo@kenextrading.com;agarcia@kenextrading.com;girlesa.ruiz@servipilas.com;joriescobar64@gmail.com</v>
      </c>
      <c r="D26" s="73">
        <v>44702</v>
      </c>
      <c r="E26" s="26" t="s">
        <v>31</v>
      </c>
      <c r="F26" s="74">
        <v>44629</v>
      </c>
      <c r="G26" s="35">
        <v>56143</v>
      </c>
      <c r="H26" s="75">
        <v>10278.61</v>
      </c>
      <c r="I26" s="21">
        <f>+PROVEEDORES3[[#This Row],[Total USD]]*3828.5</f>
        <v>39351658.385000005</v>
      </c>
    </row>
    <row r="27" spans="1:23" ht="22.2" hidden="1" customHeight="1" x14ac:dyDescent="0.3">
      <c r="A27" s="72" t="str">
        <f>+IF(PROVEEDORES3[[#This Row],[FECHA DE PAGO]]=PROVEEDORES3[[#This Row],[FECHA DE FACTURACIÓN]],"DE CONTADO","CRÉDITO")</f>
        <v>CRÉDITO</v>
      </c>
      <c r="B27" s="38" t="e">
        <f>+IF((PROVEEDORES3[[#This Row],[FECHA DE PAGO]]-PROVEEDORES3[[#This Row],[FECHA DE FACTURACIÓN]])&gt;#REF!,"PAGO VENCIDO")</f>
        <v>#REF!</v>
      </c>
      <c r="C27" s="58" t="str">
        <f>+VLOOKUP(PROVEEDORES3[[#This Row],[PROVEEDOR]],TERCEROS_INFO[[PROVEEDOR]:[CORREO]],5,FALSE)</f>
        <v>jessica.barios.com@carpainternacional;girlesa.ruiz@servipilas.com;joriescobar64@gmail.com</v>
      </c>
      <c r="D27" s="73">
        <v>44761</v>
      </c>
      <c r="E27" s="26" t="s">
        <v>530</v>
      </c>
      <c r="F27" s="74">
        <v>44656</v>
      </c>
      <c r="G27" s="35" t="s">
        <v>632</v>
      </c>
      <c r="H27" s="177">
        <v>349.5</v>
      </c>
      <c r="I27" s="21">
        <f>+PROVEEDORES3[[#This Row],[Total USD]]*4336.5</f>
        <v>1515606.75</v>
      </c>
    </row>
    <row r="28" spans="1:23" ht="22.2" hidden="1" customHeight="1" x14ac:dyDescent="0.3">
      <c r="A28" s="120" t="str">
        <f>+IF(PROVEEDORES3[[#This Row],[FECHA DE PAGO]]=PROVEEDORES3[[#This Row],[FECHA DE FACTURACIÓN]],"DE CONTADO","CRÉDITO")</f>
        <v>CRÉDITO</v>
      </c>
      <c r="B28" s="38" t="e">
        <f>+IF((PROVEEDORES3[[#This Row],[FECHA DE PAGO]]-PROVEEDORES3[[#This Row],[FECHA DE FACTURACIÓN]])&gt;#REF!,"PAGO VENCIDO")</f>
        <v>#REF!</v>
      </c>
      <c r="C28" s="58" t="str">
        <f>+VLOOKUP(PROVEEDORES3[[#This Row],[PROVEEDOR]],TERCEROS_INFO[[PROVEEDOR]:[CORREO]],5,FALSE)</f>
        <v>jessica.barios.com@carpainternacional;girlesa.ruiz@servipilas.com;joriescobar64@gmail.com</v>
      </c>
      <c r="D28" s="73">
        <v>44761</v>
      </c>
      <c r="E28" s="26" t="s">
        <v>528</v>
      </c>
      <c r="F28" s="74">
        <v>44676</v>
      </c>
      <c r="G28" s="35" t="s">
        <v>893</v>
      </c>
      <c r="H28" s="177">
        <v>40</v>
      </c>
      <c r="I28" s="21">
        <f>+PROVEEDORES3[[#This Row],[Total USD]]*4336.5</f>
        <v>173460</v>
      </c>
    </row>
    <row r="29" spans="1:23" ht="22.2" hidden="1" customHeight="1" x14ac:dyDescent="0.3">
      <c r="A29" s="123" t="str">
        <f>+IF(PROVEEDORES3[[#This Row],[FECHA DE PAGO]]=PROVEEDORES3[[#This Row],[FECHA DE FACTURACIÓN]],"DE CONTADO","CRÉDITO")</f>
        <v>CRÉDITO</v>
      </c>
      <c r="B29" s="38" t="e">
        <f>+IF((PROVEEDORES3[[#This Row],[FECHA DE PAGO]]-PROVEEDORES3[[#This Row],[FECHA DE FACTURACIÓN]])&gt;#REF!,"PAGO VENCIDO")</f>
        <v>#REF!</v>
      </c>
      <c r="C29" s="58" t="str">
        <f>+VLOOKUP(PROVEEDORES3[[#This Row],[PROVEEDOR]],TERCEROS_INFO[[PROVEEDOR]:[CORREO]],5,FALSE)</f>
        <v>mcastillo@kenextrading.com;agarcia@kenextrading.com;girlesa.ruiz@servipilas.com;joriescobar64@gmail.com</v>
      </c>
      <c r="D29" s="73">
        <v>44750</v>
      </c>
      <c r="E29" s="26" t="s">
        <v>31</v>
      </c>
      <c r="F29" s="74">
        <v>44664</v>
      </c>
      <c r="G29" s="35">
        <v>56405</v>
      </c>
      <c r="H29" s="75">
        <f>16087.1</f>
        <v>16087.1</v>
      </c>
      <c r="I29" s="21">
        <f>+PROVEEDORES3[[#This Row],[Total USD]]*4000</f>
        <v>64348400</v>
      </c>
    </row>
    <row r="30" spans="1:23" ht="22.2" hidden="1" customHeight="1" x14ac:dyDescent="0.3">
      <c r="A30" s="146" t="str">
        <f>+IF(PROVEEDORES3[[#This Row],[FECHA DE PAGO]]=PROVEEDORES3[[#This Row],[FECHA DE FACTURACIÓN]],"DE CONTADO","CRÉDITO")</f>
        <v>CRÉDITO</v>
      </c>
      <c r="B30" s="38" t="e">
        <f>+IF((PROVEEDORES3[[#This Row],[FECHA DE PAGO]]-PROVEEDORES3[[#This Row],[FECHA DE FACTURACIÓN]])&gt;#REF!,"PAGO VENCIDO")</f>
        <v>#REF!</v>
      </c>
      <c r="C30" s="58" t="str">
        <f>+VLOOKUP(PROVEEDORES3[[#This Row],[PROVEEDOR]],TERCEROS_INFO[[PROVEEDOR]:[CORREO]],5,FALSE)</f>
        <v>jessica.barios.com@carpainternacional;girlesa.ruiz@servipilas.com;joriescobar64@gmail.com</v>
      </c>
      <c r="D30" s="73">
        <v>44761</v>
      </c>
      <c r="E30" s="26" t="s">
        <v>528</v>
      </c>
      <c r="F30" s="74">
        <v>44712</v>
      </c>
      <c r="G30" s="35" t="s">
        <v>1007</v>
      </c>
      <c r="H30" s="177">
        <v>84</v>
      </c>
      <c r="I30" s="21">
        <f>+PROVEEDORES3[[#This Row],[Total USD]]*4336.5</f>
        <v>364266</v>
      </c>
    </row>
    <row r="31" spans="1:23" ht="22.2" hidden="1" customHeight="1" x14ac:dyDescent="0.3">
      <c r="A31" s="146" t="str">
        <f>+IF(PROVEEDORES3[[#This Row],[FECHA DE PAGO]]=PROVEEDORES3[[#This Row],[FECHA DE FACTURACIÓN]],"DE CONTADO","CRÉDITO")</f>
        <v>CRÉDITO</v>
      </c>
      <c r="B31" s="38" t="e">
        <f>+IF((PROVEEDORES3[[#This Row],[FECHA DE PAGO]]-PROVEEDORES3[[#This Row],[FECHA DE FACTURACIÓN]])&gt;#REF!,"PAGO VENCIDO")</f>
        <v>#REF!</v>
      </c>
      <c r="C31" s="58" t="str">
        <f>+VLOOKUP(PROVEEDORES3[[#This Row],[PROVEEDOR]],TERCEROS_INFO[[PROVEEDOR]:[CORREO]],5,FALSE)</f>
        <v>jessica.barios.com@carpainternacional;girlesa.ruiz@servipilas.com;joriescobar64@gmail.com</v>
      </c>
      <c r="D31" s="73">
        <v>44761</v>
      </c>
      <c r="E31" s="26" t="s">
        <v>528</v>
      </c>
      <c r="F31" s="74">
        <v>44712</v>
      </c>
      <c r="G31" s="35" t="s">
        <v>1008</v>
      </c>
      <c r="H31" s="177">
        <v>88</v>
      </c>
      <c r="I31" s="21">
        <f>+PROVEEDORES3[[#This Row],[Total USD]]*4336.5</f>
        <v>381612</v>
      </c>
    </row>
    <row r="32" spans="1:23" ht="22.2" hidden="1" customHeight="1" x14ac:dyDescent="0.3">
      <c r="A32" s="159" t="str">
        <f>+IF(PROVEEDORES3[[#This Row],[FECHA DE PAGO]]=PROVEEDORES3[[#This Row],[FECHA DE FACTURACIÓN]],"DE CONTADO","CRÉDITO")</f>
        <v>CRÉDITO</v>
      </c>
      <c r="B32" s="38" t="e">
        <f>+IF((PROVEEDORES3[[#This Row],[FECHA DE PAGO]]-PROVEEDORES3[[#This Row],[FECHA DE FACTURACIÓN]])&gt;#REF!,"PAGO VENCIDO")</f>
        <v>#REF!</v>
      </c>
      <c r="C32" s="58" t="str">
        <f>+VLOOKUP(PROVEEDORES3[[#This Row],[PROVEEDOR]],TERCEROS_INFO[[PROVEEDOR]:[CORREO]],5,FALSE)</f>
        <v>jessica.barios.com@carpainternacional;girlesa.ruiz@servipilas.com;joriescobar64@gmail.com</v>
      </c>
      <c r="D32" s="73">
        <v>44761</v>
      </c>
      <c r="E32" s="26" t="s">
        <v>530</v>
      </c>
      <c r="F32" s="74">
        <v>44726</v>
      </c>
      <c r="G32" s="35" t="s">
        <v>1031</v>
      </c>
      <c r="H32" s="177">
        <v>385.1</v>
      </c>
      <c r="I32" s="21">
        <f>+PROVEEDORES3[[#This Row],[Total USD]]*4336.5</f>
        <v>1669986.1500000001</v>
      </c>
    </row>
    <row r="33" spans="1:9" ht="22.2" hidden="1" customHeight="1" x14ac:dyDescent="0.3">
      <c r="A33" s="159" t="str">
        <f>+IF(PROVEEDORES3[[#This Row],[FECHA DE PAGO]]=PROVEEDORES3[[#This Row],[FECHA DE FACTURACIÓN]],"DE CONTADO","CRÉDITO")</f>
        <v>CRÉDITO</v>
      </c>
      <c r="B33" s="38" t="e">
        <f>+IF((PROVEEDORES3[[#This Row],[FECHA DE PAGO]]-PROVEEDORES3[[#This Row],[FECHA DE FACTURACIÓN]])&gt;#REF!,"PAGO VENCIDO")</f>
        <v>#REF!</v>
      </c>
      <c r="C33" s="58" t="str">
        <f>+VLOOKUP(PROVEEDORES3[[#This Row],[PROVEEDOR]],TERCEROS_INFO[[PROVEEDOR]:[CORREO]],5,FALSE)</f>
        <v>jessica.barios.com@carpainternacional;girlesa.ruiz@servipilas.com;joriescobar64@gmail.com</v>
      </c>
      <c r="D33" s="73">
        <v>44761</v>
      </c>
      <c r="E33" s="26" t="s">
        <v>530</v>
      </c>
      <c r="F33" s="74">
        <v>44733</v>
      </c>
      <c r="G33" s="35" t="s">
        <v>1066</v>
      </c>
      <c r="H33" s="177">
        <f>76</f>
        <v>76</v>
      </c>
      <c r="I33" s="21">
        <f>+PROVEEDORES3[[#This Row],[Total USD]]*4336.5</f>
        <v>329574</v>
      </c>
    </row>
    <row r="34" spans="1:9" ht="22.2" hidden="1" customHeight="1" x14ac:dyDescent="0.3">
      <c r="A34" s="159" t="str">
        <f>+IF(PROVEEDORES3[[#This Row],[FECHA DE PAGO]]=PROVEEDORES3[[#This Row],[FECHA DE FACTURACIÓN]],"DE CONTADO","CRÉDITO")</f>
        <v>CRÉDITO</v>
      </c>
      <c r="B34" s="38" t="e">
        <f>+IF((PROVEEDORES3[[#This Row],[FECHA DE PAGO]]-PROVEEDORES3[[#This Row],[FECHA DE FACTURACIÓN]])&gt;#REF!,"PAGO VENCIDO")</f>
        <v>#REF!</v>
      </c>
      <c r="C34" s="58" t="str">
        <f>+VLOOKUP(PROVEEDORES3[[#This Row],[PROVEEDOR]],TERCEROS_INFO[[PROVEEDOR]:[CORREO]],5,FALSE)</f>
        <v>jessica.barios.com@carpainternacional;girlesa.ruiz@servipilas.com;joriescobar64@gmail.com</v>
      </c>
      <c r="D34" s="73">
        <v>44761</v>
      </c>
      <c r="E34" s="26" t="s">
        <v>530</v>
      </c>
      <c r="F34" s="74">
        <v>44733</v>
      </c>
      <c r="G34" s="35" t="s">
        <v>1067</v>
      </c>
      <c r="H34" s="177">
        <f>740</f>
        <v>740</v>
      </c>
      <c r="I34" s="21">
        <f>+PROVEEDORES3[[#This Row],[Total USD]]*4336.5</f>
        <v>3209010</v>
      </c>
    </row>
    <row r="35" spans="1:9" ht="22.2" hidden="1" customHeight="1" x14ac:dyDescent="0.3">
      <c r="A35" s="159" t="str">
        <f>+IF(PROVEEDORES3[[#This Row],[FECHA DE PAGO]]=PROVEEDORES3[[#This Row],[FECHA DE FACTURACIÓN]],"DE CONTADO","CRÉDITO")</f>
        <v>CRÉDITO</v>
      </c>
      <c r="B35" s="38" t="e">
        <f>+IF((PROVEEDORES3[[#This Row],[FECHA DE PAGO]]-PROVEEDORES3[[#This Row],[FECHA DE FACTURACIÓN]])&gt;#REF!,"PAGO VENCIDO")</f>
        <v>#REF!</v>
      </c>
      <c r="C35" s="58" t="str">
        <f>+VLOOKUP(PROVEEDORES3[[#This Row],[PROVEEDOR]],TERCEROS_INFO[[PROVEEDOR]:[CORREO]],5,FALSE)</f>
        <v>jessica.barios.com@carpainternacional;girlesa.ruiz@servipilas.com;joriescobar64@gmail.com</v>
      </c>
      <c r="D35" s="73">
        <v>44761</v>
      </c>
      <c r="E35" s="26" t="s">
        <v>528</v>
      </c>
      <c r="F35" s="74">
        <v>44742</v>
      </c>
      <c r="G35" s="35" t="s">
        <v>1108</v>
      </c>
      <c r="H35" s="75">
        <v>48</v>
      </c>
      <c r="I35" s="21">
        <f>+PROVEEDORES3[[#This Row],[Total USD]]*4336.5</f>
        <v>208152</v>
      </c>
    </row>
    <row r="36" spans="1:9" ht="22.2" customHeight="1" x14ac:dyDescent="0.3">
      <c r="A36" s="185" t="str">
        <f>+IF(PROVEEDORES3[[#This Row],[FECHA DE PAGO]]=PROVEEDORES3[[#This Row],[FECHA DE FACTURACIÓN]],"DE CONTADO","CRÉDITO")</f>
        <v>CRÉDITO</v>
      </c>
      <c r="B36" s="38" t="e">
        <f>+IF((PROVEEDORES3[[#This Row],[FECHA DE PAGO]]-PROVEEDORES3[[#This Row],[FECHA DE FACTURACIÓN]])&gt;#REF!,"PAGO VENCIDO")</f>
        <v>#REF!</v>
      </c>
      <c r="C36" s="58" t="str">
        <f>+VLOOKUP(PROVEEDORES3[[#This Row],[PROVEEDOR]],TERCEROS_INFO[[PROVEEDOR]:[CORREO]],5,FALSE)</f>
        <v>jessica.barios.com@carpainternacional;girlesa.ruiz@servipilas.com;joriescobar64@gmail.com</v>
      </c>
      <c r="D36" s="73">
        <v>44811</v>
      </c>
      <c r="E36" s="26" t="s">
        <v>528</v>
      </c>
      <c r="F36" s="74">
        <v>44757</v>
      </c>
      <c r="G36" s="35" t="s">
        <v>1150</v>
      </c>
      <c r="H36" s="75">
        <v>96</v>
      </c>
      <c r="I36" s="21">
        <f>+PROVEEDORES3[[#This Row],[Total USD]]*4460.5</f>
        <v>428208</v>
      </c>
    </row>
    <row r="37" spans="1:9" ht="22.2" customHeight="1" x14ac:dyDescent="0.3">
      <c r="A37" s="72" t="str">
        <f>+IF(PROVEEDORES3[[#This Row],[FECHA DE PAGO]]=PROVEEDORES3[[#This Row],[FECHA DE FACTURACIÓN]],"DE CONTADO","CRÉDITO")</f>
        <v>CRÉDITO</v>
      </c>
      <c r="B37" s="38" t="e">
        <f>+IF((PROVEEDORES3[[#This Row],[FECHA DE PAGO]]-PROVEEDORES3[[#This Row],[FECHA DE FACTURACIÓN]])&gt;#REF!,"PAGO VENCIDO")</f>
        <v>#REF!</v>
      </c>
      <c r="C37" s="58" t="str">
        <f>+VLOOKUP(PROVEEDORES3[[#This Row],[PROVEEDOR]],TERCEROS_INFO[[PROVEEDOR]:[CORREO]],5,FALSE)</f>
        <v>mcastillo@kenextrading.com;agarcia@kenextrading.com;girlesa.ruiz@servipilas.com;joriescobar64@gmail.com</v>
      </c>
      <c r="D37" s="73">
        <v>44839</v>
      </c>
      <c r="E37" s="26" t="s">
        <v>31</v>
      </c>
      <c r="F37" s="74">
        <v>44761</v>
      </c>
      <c r="G37" s="35">
        <v>57126</v>
      </c>
      <c r="H37" s="75">
        <v>14678.73</v>
      </c>
      <c r="I37" s="21">
        <f>+PROVEEDORES3[[#This Row],[Total USD]]*4400</f>
        <v>64586412</v>
      </c>
    </row>
    <row r="38" spans="1:9" ht="22.2" customHeight="1" x14ac:dyDescent="0.3">
      <c r="A38" s="195" t="str">
        <f>+IF(PROVEEDORES3[[#This Row],[FECHA DE PAGO]]=PROVEEDORES3[[#This Row],[FECHA DE FACTURACIÓN]],"DE CONTADO","CRÉDITO")</f>
        <v>CRÉDITO</v>
      </c>
      <c r="B38" s="38" t="e">
        <f>+IF((PROVEEDORES3[[#This Row],[FECHA DE PAGO]]-PROVEEDORES3[[#This Row],[FECHA DE FACTURACIÓN]])&gt;#REF!,"PAGO VENCIDO")</f>
        <v>#REF!</v>
      </c>
      <c r="C38" s="58" t="str">
        <f>+VLOOKUP(PROVEEDORES3[[#This Row],[PROVEEDOR]],TERCEROS_INFO[[PROVEEDOR]:[CORREO]],5,FALSE)</f>
        <v>jessica.barios.com@carpainternacional;girlesa.ruiz@servipilas.com;joriescobar64@gmail.com</v>
      </c>
      <c r="D38" s="73">
        <v>44811</v>
      </c>
      <c r="E38" s="26" t="s">
        <v>528</v>
      </c>
      <c r="F38" s="74">
        <v>44757</v>
      </c>
      <c r="G38" s="35" t="s">
        <v>1171</v>
      </c>
      <c r="H38" s="75">
        <v>72</v>
      </c>
      <c r="I38" s="21">
        <f>+PROVEEDORES3[[#This Row],[Total USD]]*4460.5</f>
        <v>321156</v>
      </c>
    </row>
    <row r="39" spans="1:9" ht="22.2" customHeight="1" x14ac:dyDescent="0.3">
      <c r="A39" s="207" t="str">
        <f>+IF(PROVEEDORES3[[#This Row],[FECHA DE PAGO]]=PROVEEDORES3[[#This Row],[FECHA DE FACTURACIÓN]],"DE CONTADO","CRÉDITO")</f>
        <v>CRÉDITO</v>
      </c>
      <c r="B39" s="38" t="e">
        <f>+IF((PROVEEDORES3[[#This Row],[FECHA DE PAGO]]-PROVEEDORES3[[#This Row],[FECHA DE FACTURACIÓN]])&gt;#REF!,"PAGO VENCIDO")</f>
        <v>#REF!</v>
      </c>
      <c r="C39" s="58" t="str">
        <f>+VLOOKUP(PROVEEDORES3[[#This Row],[PROVEEDOR]],TERCEROS_INFO[[PROVEEDOR]:[CORREO]],5,FALSE)</f>
        <v>jessica.barios.com@carpainternacional;girlesa.ruiz@servipilas.com;joriescobar64@gmail.com</v>
      </c>
      <c r="D39" s="73">
        <v>44811</v>
      </c>
      <c r="E39" s="26" t="s">
        <v>528</v>
      </c>
      <c r="F39" s="74">
        <v>44785</v>
      </c>
      <c r="G39" s="35" t="s">
        <v>1627</v>
      </c>
      <c r="H39" s="75">
        <v>76</v>
      </c>
      <c r="I39" s="21">
        <f>+PROVEEDORES3[[#This Row],[Total USD]]*4460.5</f>
        <v>338998</v>
      </c>
    </row>
    <row r="40" spans="1:9" ht="22.2" customHeight="1" x14ac:dyDescent="0.3">
      <c r="A40" s="207" t="str">
        <f>+IF(PROVEEDORES3[[#This Row],[FECHA DE PAGO]]=PROVEEDORES3[[#This Row],[FECHA DE FACTURACIÓN]],"DE CONTADO","CRÉDITO")</f>
        <v>CRÉDITO</v>
      </c>
      <c r="B40" s="38" t="e">
        <f>+IF((PROVEEDORES3[[#This Row],[FECHA DE PAGO]]-PROVEEDORES3[[#This Row],[FECHA DE FACTURACIÓN]])&gt;#REF!,"PAGO VENCIDO")</f>
        <v>#REF!</v>
      </c>
      <c r="C40" s="58" t="str">
        <f>+VLOOKUP(PROVEEDORES3[[#This Row],[PROVEEDOR]],TERCEROS_INFO[[PROVEEDOR]:[CORREO]],5,FALSE)</f>
        <v>jessica.barios.com@carpainternacional;girlesa.ruiz@servipilas.com;joriescobar64@gmail.com</v>
      </c>
      <c r="D40" s="73">
        <v>44811</v>
      </c>
      <c r="E40" s="26" t="s">
        <v>528</v>
      </c>
      <c r="F40" s="74">
        <v>44785</v>
      </c>
      <c r="G40" s="35" t="s">
        <v>1630</v>
      </c>
      <c r="H40" s="75">
        <v>80</v>
      </c>
      <c r="I40" s="21">
        <f>+PROVEEDORES3[[#This Row],[Total USD]]*4460.5</f>
        <v>356840</v>
      </c>
    </row>
    <row r="41" spans="1:9" ht="22.2" customHeight="1" x14ac:dyDescent="0.3">
      <c r="A41" s="207" t="str">
        <f>+IF(PROVEEDORES3[[#This Row],[FECHA DE PAGO]]=PROVEEDORES3[[#This Row],[FECHA DE FACTURACIÓN]],"DE CONTADO","CRÉDITO")</f>
        <v>CRÉDITO</v>
      </c>
      <c r="B41" s="38" t="e">
        <f>+IF((PROVEEDORES3[[#This Row],[FECHA DE PAGO]]-PROVEEDORES3[[#This Row],[FECHA DE FACTURACIÓN]])&gt;#REF!,"PAGO VENCIDO")</f>
        <v>#REF!</v>
      </c>
      <c r="C41" s="58" t="str">
        <f>+VLOOKUP(PROVEEDORES3[[#This Row],[PROVEEDOR]],TERCEROS_INFO[[PROVEEDOR]:[CORREO]],5,FALSE)</f>
        <v>jessica.barios.com@carpainternacional;girlesa.ruiz@servipilas.com;joriescobar64@gmail.com</v>
      </c>
      <c r="D41" s="73">
        <v>44811</v>
      </c>
      <c r="E41" s="26" t="s">
        <v>528</v>
      </c>
      <c r="F41" s="74">
        <v>44792</v>
      </c>
      <c r="G41" s="35" t="s">
        <v>1629</v>
      </c>
      <c r="H41" s="75">
        <v>104</v>
      </c>
      <c r="I41" s="21">
        <f>+PROVEEDORES3[[#This Row],[Total USD]]*4460.5</f>
        <v>463892</v>
      </c>
    </row>
    <row r="42" spans="1:9" ht="22.2" customHeight="1" x14ac:dyDescent="0.3">
      <c r="A42" s="207" t="str">
        <f>+IF(PROVEEDORES3[[#This Row],[FECHA DE PAGO]]=PROVEEDORES3[[#This Row],[FECHA DE FACTURACIÓN]],"DE CONTADO","CRÉDITO")</f>
        <v>CRÉDITO</v>
      </c>
      <c r="B42" s="38" t="e">
        <f>+IF((PROVEEDORES3[[#This Row],[FECHA DE PAGO]]-PROVEEDORES3[[#This Row],[FECHA DE FACTURACIÓN]])&gt;#REF!,"PAGO VENCIDO")</f>
        <v>#REF!</v>
      </c>
      <c r="C42" s="58" t="str">
        <f>+VLOOKUP(PROVEEDORES3[[#This Row],[PROVEEDOR]],TERCEROS_INFO[[PROVEEDOR]:[CORREO]],5,FALSE)</f>
        <v>jessica.barios.com@carpainternacional;girlesa.ruiz@servipilas.com;joriescobar64@gmail.com</v>
      </c>
      <c r="D42" s="73">
        <v>44811</v>
      </c>
      <c r="E42" s="26" t="s">
        <v>528</v>
      </c>
      <c r="F42" s="74">
        <v>44792</v>
      </c>
      <c r="G42" s="35" t="s">
        <v>1628</v>
      </c>
      <c r="H42" s="75">
        <v>212.3</v>
      </c>
      <c r="I42" s="21">
        <f>+PROVEEDORES3[[#This Row],[Total USD]]*4460.5</f>
        <v>946964.15</v>
      </c>
    </row>
    <row r="43" spans="1:9" ht="22.2" customHeight="1" x14ac:dyDescent="0.3">
      <c r="A43" s="72" t="str">
        <f>+IF(PROVEEDORES3[[#This Row],[FECHA DE PAGO]]=PROVEEDORES3[[#This Row],[FECHA DE FACTURACIÓN]],"DE CONTADO","CRÉDITO")</f>
        <v>CRÉDITO</v>
      </c>
      <c r="B43" s="38" t="e">
        <f>+IF((PROVEEDORES3[[#This Row],[FECHA DE PAGO]]-PROVEEDORES3[[#This Row],[FECHA DE FACTURACIÓN]])&gt;#REF!,"PAGO VENCIDO")</f>
        <v>#REF!</v>
      </c>
      <c r="C43" s="58" t="str">
        <f>+VLOOKUP(PROVEEDORES3[[#This Row],[PROVEEDOR]],TERCEROS_INFO[[PROVEEDOR]:[CORREO]],5,FALSE)</f>
        <v>jessica.barios.com@carpainternacional;girlesa.ruiz@servipilas.com;joriescobar64@gmail.com</v>
      </c>
      <c r="D43" s="73">
        <v>44811</v>
      </c>
      <c r="E43" s="26" t="s">
        <v>528</v>
      </c>
      <c r="F43" s="74">
        <v>44803</v>
      </c>
      <c r="G43" s="35" t="s">
        <v>1671</v>
      </c>
      <c r="H43" s="75">
        <v>145.69999999999999</v>
      </c>
      <c r="I43" s="21">
        <f>+PROVEEDORES3[[#This Row],[Total USD]]*4460.5</f>
        <v>649894.85</v>
      </c>
    </row>
    <row r="44" spans="1:9" ht="22.2" customHeight="1" x14ac:dyDescent="0.3">
      <c r="A44" s="72" t="str">
        <f>+IF(PROVEEDORES3[[#This Row],[FECHA DE PAGO]]=PROVEEDORES3[[#This Row],[FECHA DE FACTURACIÓN]],"DE CONTADO","CRÉDITO")</f>
        <v>CRÉDITO</v>
      </c>
      <c r="B44" s="38" t="e">
        <f>+IF((PROVEEDORES3[[#This Row],[FECHA DE PAGO]]-PROVEEDORES3[[#This Row],[FECHA DE FACTURACIÓN]])&gt;#REF!,"PAGO VENCIDO")</f>
        <v>#REF!</v>
      </c>
      <c r="C44" s="58" t="str">
        <f>+VLOOKUP(PROVEEDORES3[[#This Row],[PROVEEDOR]],TERCEROS_INFO[[PROVEEDOR]:[CORREO]],5,FALSE)</f>
        <v>jessica.barios.com@carpainternacional;girlesa.ruiz@servipilas.com;joriescobar64@gmail.com</v>
      </c>
      <c r="D44" s="73">
        <v>44811</v>
      </c>
      <c r="E44" s="26" t="s">
        <v>528</v>
      </c>
      <c r="F44" s="74">
        <v>44803</v>
      </c>
      <c r="G44" s="35" t="s">
        <v>1672</v>
      </c>
      <c r="H44" s="75">
        <v>147</v>
      </c>
      <c r="I44" s="21">
        <f>+PROVEEDORES3[[#This Row],[Total USD]]*4460.5</f>
        <v>655693.5</v>
      </c>
    </row>
    <row r="45" spans="1:9" ht="22.2" customHeight="1" x14ac:dyDescent="0.3">
      <c r="A45" s="72" t="str">
        <f>+IF(PROVEEDORES3[[#This Row],[FECHA DE PAGO]]=PROVEEDORES3[[#This Row],[FECHA DE FACTURACIÓN]],"DE CONTADO","CRÉDITO")</f>
        <v>CRÉDITO</v>
      </c>
      <c r="B45" s="38" t="e">
        <f>+IF((PROVEEDORES3[[#This Row],[FECHA DE PAGO]]-PROVEEDORES3[[#This Row],[FECHA DE FACTURACIÓN]])&gt;#REF!,"PAGO VENCIDO")</f>
        <v>#REF!</v>
      </c>
      <c r="C45" s="58" t="str">
        <f>+VLOOKUP(PROVEEDORES3[[#This Row],[PROVEEDOR]],TERCEROS_INFO[[PROVEEDOR]:[CORREO]],5,FALSE)</f>
        <v>jessica.barios.com@carpainternacional;girlesa.ruiz@servipilas.com;joriescobar64@gmail.com</v>
      </c>
      <c r="D45" s="73">
        <v>44811</v>
      </c>
      <c r="E45" s="26" t="s">
        <v>530</v>
      </c>
      <c r="F45" s="74">
        <v>44803</v>
      </c>
      <c r="G45" s="35" t="s">
        <v>1644</v>
      </c>
      <c r="H45" s="75">
        <v>400.36</v>
      </c>
      <c r="I45" s="21">
        <f>+PROVEEDORES3[[#This Row],[Total USD]]*4460.5</f>
        <v>1785805.78</v>
      </c>
    </row>
    <row r="46" spans="1:9" ht="22.2" customHeight="1" x14ac:dyDescent="0.3">
      <c r="A46" s="72" t="str">
        <f>+IF(PROVEEDORES3[[#This Row],[FECHA DE PAGO]]=PROVEEDORES3[[#This Row],[FECHA DE FACTURACIÓN]],"DE CONTADO","CRÉDITO")</f>
        <v>CRÉDITO</v>
      </c>
      <c r="B46" s="38" t="e">
        <f>+IF((PROVEEDORES3[[#This Row],[FECHA DE PAGO]]-PROVEEDORES3[[#This Row],[FECHA DE FACTURACIÓN]])&gt;#REF!,"PAGO VENCIDO")</f>
        <v>#REF!</v>
      </c>
      <c r="C46" s="58" t="str">
        <f>+VLOOKUP(PROVEEDORES3[[#This Row],[PROVEEDOR]],TERCEROS_INFO[[PROVEEDOR]:[CORREO]],5,FALSE)</f>
        <v>jessica.barios.com@carpainternacional;girlesa.ruiz@servipilas.com;joriescobar64@gmail.com</v>
      </c>
      <c r="D46" s="73">
        <v>44870</v>
      </c>
      <c r="E46" s="26" t="s">
        <v>528</v>
      </c>
      <c r="F46" s="74">
        <v>44824</v>
      </c>
      <c r="G46" s="35">
        <v>1483</v>
      </c>
      <c r="H46" s="75">
        <v>52</v>
      </c>
      <c r="I46" s="21">
        <f>+PROVEEDORES3[[#This Row],[Total USD]]*5064.5</f>
        <v>263354</v>
      </c>
    </row>
    <row r="47" spans="1:9" ht="22.2" customHeight="1" x14ac:dyDescent="0.3">
      <c r="A47" s="72" t="str">
        <f>+IF(PROVEEDORES3[[#This Row],[FECHA DE PAGO]]=PROVEEDORES3[[#This Row],[FECHA DE FACTURACIÓN]],"DE CONTADO","CRÉDITO")</f>
        <v>CRÉDITO</v>
      </c>
      <c r="B47" s="38" t="e">
        <f>+IF((PROVEEDORES3[[#This Row],[FECHA DE PAGO]]-PROVEEDORES3[[#This Row],[FECHA DE FACTURACIÓN]])&gt;#REF!,"PAGO VENCIDO")</f>
        <v>#REF!</v>
      </c>
      <c r="C47" s="58" t="str">
        <f>+VLOOKUP(PROVEEDORES3[[#This Row],[PROVEEDOR]],TERCEROS_INFO[[PROVEEDOR]:[CORREO]],5,FALSE)</f>
        <v>jessica.barios.com@carpainternacional;girlesa.ruiz@servipilas.com;joriescobar64@gmail.com</v>
      </c>
      <c r="D47" s="73">
        <v>44870</v>
      </c>
      <c r="E47" s="26" t="s">
        <v>528</v>
      </c>
      <c r="F47" s="74">
        <v>44824</v>
      </c>
      <c r="G47" s="35">
        <v>1487</v>
      </c>
      <c r="H47" s="75">
        <v>92</v>
      </c>
      <c r="I47" s="21">
        <f>+PROVEEDORES3[[#This Row],[Total USD]]*5064.5</f>
        <v>465934</v>
      </c>
    </row>
    <row r="48" spans="1:9" ht="22.2" customHeight="1" x14ac:dyDescent="0.3">
      <c r="A48" s="72" t="str">
        <f>+IF(PROVEEDORES3[[#This Row],[FECHA DE PAGO]]=PROVEEDORES3[[#This Row],[FECHA DE FACTURACIÓN]],"DE CONTADO","CRÉDITO")</f>
        <v>CRÉDITO</v>
      </c>
      <c r="B48" s="38" t="e">
        <f>+IF((PROVEEDORES3[[#This Row],[FECHA DE PAGO]]-PROVEEDORES3[[#This Row],[FECHA DE FACTURACIÓN]])&gt;#REF!,"PAGO VENCIDO")</f>
        <v>#REF!</v>
      </c>
      <c r="C48" s="58" t="str">
        <f>+VLOOKUP(PROVEEDORES3[[#This Row],[PROVEEDOR]],TERCEROS_INFO[[PROVEEDOR]:[CORREO]],5,FALSE)</f>
        <v>jessica.barios.com@carpainternacional;girlesa.ruiz@servipilas.com;joriescobar64@gmail.com</v>
      </c>
      <c r="D48" s="73">
        <v>44870</v>
      </c>
      <c r="E48" s="26" t="s">
        <v>528</v>
      </c>
      <c r="F48" s="74">
        <v>37527</v>
      </c>
      <c r="G48" s="35">
        <v>1491</v>
      </c>
      <c r="H48" s="75">
        <v>56</v>
      </c>
      <c r="I48" s="21">
        <f>+PROVEEDORES3[[#This Row],[Total USD]]*5064.5</f>
        <v>283612</v>
      </c>
    </row>
    <row r="49" spans="1:9" ht="22.2" customHeight="1" x14ac:dyDescent="0.3">
      <c r="A49" s="72" t="str">
        <f>+IF(PROVEEDORES3[[#This Row],[FECHA DE PAGO]]=PROVEEDORES3[[#This Row],[FECHA DE FACTURACIÓN]],"DE CONTADO","CRÉDITO")</f>
        <v>CRÉDITO</v>
      </c>
      <c r="B49" s="38" t="e">
        <f>+IF((PROVEEDORES3[[#This Row],[FECHA DE PAGO]]-PROVEEDORES3[[#This Row],[FECHA DE FACTURACIÓN]])&gt;#REF!,"PAGO VENCIDO")</f>
        <v>#REF!</v>
      </c>
      <c r="C49" s="58" t="str">
        <f>+VLOOKUP(PROVEEDORES3[[#This Row],[PROVEEDOR]],TERCEROS_INFO[[PROVEEDOR]:[CORREO]],5,FALSE)</f>
        <v>jessica.barios.com@carpainternacional;girlesa.ruiz@servipilas.com;joriescobar64@gmail.com</v>
      </c>
      <c r="D49" s="73">
        <v>44870</v>
      </c>
      <c r="E49" s="26" t="s">
        <v>528</v>
      </c>
      <c r="F49" s="74">
        <v>44832</v>
      </c>
      <c r="G49" s="35">
        <v>1492</v>
      </c>
      <c r="H49" s="75">
        <v>48</v>
      </c>
      <c r="I49" s="21">
        <f>+PROVEEDORES3[[#This Row],[Total USD]]*5064.5</f>
        <v>243096</v>
      </c>
    </row>
    <row r="50" spans="1:9" ht="22.2" customHeight="1" x14ac:dyDescent="0.3">
      <c r="A50" s="72" t="str">
        <f>+IF(PROVEEDORES3[[#This Row],[FECHA DE PAGO]]=PROVEEDORES3[[#This Row],[FECHA DE FACTURACIÓN]],"DE CONTADO","CRÉDITO")</f>
        <v>CRÉDITO</v>
      </c>
      <c r="B50" s="38" t="e">
        <f>+IF((PROVEEDORES3[[#This Row],[FECHA DE PAGO]]-PROVEEDORES3[[#This Row],[FECHA DE FACTURACIÓN]])&gt;#REF!,"PAGO VENCIDO")</f>
        <v>#REF!</v>
      </c>
      <c r="C50" s="58" t="str">
        <f>+VLOOKUP(PROVEEDORES3[[#This Row],[PROVEEDOR]],TERCEROS_INFO[[PROVEEDOR]:[CORREO]],5,FALSE)</f>
        <v>jessica.barios.com@carpainternacional;girlesa.ruiz@servipilas.com;joriescobar64@gmail.com</v>
      </c>
      <c r="D50" s="73">
        <v>44870</v>
      </c>
      <c r="E50" s="26" t="s">
        <v>528</v>
      </c>
      <c r="F50" s="74">
        <v>44841</v>
      </c>
      <c r="G50" s="35">
        <v>1498</v>
      </c>
      <c r="H50" s="75">
        <v>60</v>
      </c>
      <c r="I50" s="21">
        <f>+PROVEEDORES3[[#This Row],[Total USD]]*5064.5</f>
        <v>303870</v>
      </c>
    </row>
    <row r="51" spans="1:9" ht="22.2" customHeight="1" x14ac:dyDescent="0.3">
      <c r="A51" s="72" t="str">
        <f>+IF(PROVEEDORES3[[#This Row],[FECHA DE PAGO]]=PROVEEDORES3[[#This Row],[FECHA DE FACTURACIÓN]],"DE CONTADO","CRÉDITO")</f>
        <v>CRÉDITO</v>
      </c>
      <c r="B51" s="38" t="e">
        <f>+IF((PROVEEDORES3[[#This Row],[FECHA DE PAGO]]-PROVEEDORES3[[#This Row],[FECHA DE FACTURACIÓN]])&gt;#REF!,"PAGO VENCIDO")</f>
        <v>#REF!</v>
      </c>
      <c r="C51" s="58" t="str">
        <f>+VLOOKUP(PROVEEDORES3[[#This Row],[PROVEEDOR]],TERCEROS_INFO[[PROVEEDOR]:[CORREO]],5,FALSE)</f>
        <v>jessica.barios.com@carpainternacional;girlesa.ruiz@servipilas.com;joriescobar64@gmail.com</v>
      </c>
      <c r="D51" s="73">
        <v>44870</v>
      </c>
      <c r="E51" s="26" t="s">
        <v>528</v>
      </c>
      <c r="F51" s="74">
        <v>44841</v>
      </c>
      <c r="G51" s="35" t="s">
        <v>1781</v>
      </c>
      <c r="H51" s="75">
        <v>125.3</v>
      </c>
      <c r="I51" s="21">
        <f>+PROVEEDORES3[[#This Row],[Total USD]]*5064.5</f>
        <v>634581.85</v>
      </c>
    </row>
    <row r="52" spans="1:9" ht="22.2" customHeight="1" x14ac:dyDescent="0.3">
      <c r="A52" s="269" t="str">
        <f>+IF(PROVEEDORES3[[#This Row],[FECHA DE PAGO]]=PROVEEDORES3[[#This Row],[FECHA DE FACTURACIÓN]],"DE CONTADO","CRÉDITO")</f>
        <v>CRÉDITO</v>
      </c>
      <c r="B52" s="38" t="e">
        <f>+IF((PROVEEDORES3[[#This Row],[FECHA DE PAGO]]-PROVEEDORES3[[#This Row],[FECHA DE FACTURACIÓN]])&gt;#REF!,"PAGO VENCIDO")</f>
        <v>#REF!</v>
      </c>
      <c r="C52" s="58" t="str">
        <f>+VLOOKUP(PROVEEDORES3[[#This Row],[PROVEEDOR]],TERCEROS_INFO[[PROVEEDOR]:[CORREO]],5,FALSE)</f>
        <v>jessica.barios.com@carpainternacional;girlesa.ruiz@servipilas.com;joriescobar64@gmail.com</v>
      </c>
      <c r="D52" s="73">
        <v>44870</v>
      </c>
      <c r="E52" s="26" t="s">
        <v>528</v>
      </c>
      <c r="F52" s="74">
        <v>44859</v>
      </c>
      <c r="G52" s="35">
        <v>1509</v>
      </c>
      <c r="H52" s="75">
        <v>52</v>
      </c>
      <c r="I52" s="21">
        <f>+PROVEEDORES3[[#This Row],[Total USD]]*5064.5</f>
        <v>263354</v>
      </c>
    </row>
    <row r="53" spans="1:9" ht="22.2" customHeight="1" x14ac:dyDescent="0.3">
      <c r="A53" s="269" t="str">
        <f>+IF(PROVEEDORES3[[#This Row],[FECHA DE PAGO]]=PROVEEDORES3[[#This Row],[FECHA DE FACTURACIÓN]],"DE CONTADO","CRÉDITO")</f>
        <v>CRÉDITO</v>
      </c>
      <c r="B53" s="38" t="e">
        <f>+IF((PROVEEDORES3[[#This Row],[FECHA DE PAGO]]-PROVEEDORES3[[#This Row],[FECHA DE FACTURACIÓN]])&gt;#REF!,"PAGO VENCIDO")</f>
        <v>#REF!</v>
      </c>
      <c r="C53" s="58" t="str">
        <f>+VLOOKUP(PROVEEDORES3[[#This Row],[PROVEEDOR]],TERCEROS_INFO[[PROVEEDOR]:[CORREO]],5,FALSE)</f>
        <v>jessica.barios.com@carpainternacional;girlesa.ruiz@servipilas.com;joriescobar64@gmail.com</v>
      </c>
      <c r="D53" s="73">
        <v>44870</v>
      </c>
      <c r="E53" s="26" t="s">
        <v>528</v>
      </c>
      <c r="F53" s="74">
        <v>44859</v>
      </c>
      <c r="G53" s="35">
        <v>1510</v>
      </c>
      <c r="H53" s="75">
        <v>64</v>
      </c>
      <c r="I53" s="21">
        <f>+PROVEEDORES3[[#This Row],[Total USD]]*5064.5</f>
        <v>324128</v>
      </c>
    </row>
    <row r="54" spans="1:9" ht="22.2" customHeight="1" x14ac:dyDescent="0.3">
      <c r="A54" s="269" t="str">
        <f>+IF(PROVEEDORES3[[#This Row],[FECHA DE PAGO]]=PROVEEDORES3[[#This Row],[FECHA DE FACTURACIÓN]],"DE CONTADO","CRÉDITO")</f>
        <v>CRÉDITO</v>
      </c>
      <c r="B54" s="38" t="e">
        <f>+IF((PROVEEDORES3[[#This Row],[FECHA DE PAGO]]-PROVEEDORES3[[#This Row],[FECHA DE FACTURACIÓN]])&gt;#REF!,"PAGO VENCIDO")</f>
        <v>#REF!</v>
      </c>
      <c r="C54" s="58" t="str">
        <f>+VLOOKUP(PROVEEDORES3[[#This Row],[PROVEEDOR]],TERCEROS_INFO[[PROVEEDOR]:[CORREO]],5,FALSE)</f>
        <v>jessica.barios.com@carpainternacional;girlesa.ruiz@servipilas.com;joriescobar64@gmail.com</v>
      </c>
      <c r="D54" s="73">
        <v>44870</v>
      </c>
      <c r="E54" s="26" t="s">
        <v>528</v>
      </c>
      <c r="F54" s="74">
        <v>44859</v>
      </c>
      <c r="G54" s="35">
        <v>1511</v>
      </c>
      <c r="H54" s="75">
        <v>68</v>
      </c>
      <c r="I54" s="21">
        <f>+PROVEEDORES3[[#This Row],[Total USD]]*5064.5</f>
        <v>344386</v>
      </c>
    </row>
    <row r="55" spans="1:9" ht="22.2" customHeight="1" x14ac:dyDescent="0.3">
      <c r="A55" s="269" t="str">
        <f>+IF(PROVEEDORES3[[#This Row],[FECHA DE PAGO]]=PROVEEDORES3[[#This Row],[FECHA DE FACTURACIÓN]],"DE CONTADO","CRÉDITO")</f>
        <v>CRÉDITO</v>
      </c>
      <c r="B55" s="38" t="e">
        <f>+IF((PROVEEDORES3[[#This Row],[FECHA DE PAGO]]-PROVEEDORES3[[#This Row],[FECHA DE FACTURACIÓN]])&gt;#REF!,"PAGO VENCIDO")</f>
        <v>#REF!</v>
      </c>
      <c r="C55" s="58" t="str">
        <f>+VLOOKUP(PROVEEDORES3[[#This Row],[PROVEEDOR]],TERCEROS_INFO[[PROVEEDOR]:[CORREO]],5,FALSE)</f>
        <v>jessica.barios.com@carpainternacional;girlesa.ruiz@servipilas.com;joriescobar64@gmail.com</v>
      </c>
      <c r="D55" s="73">
        <v>44870</v>
      </c>
      <c r="E55" s="26" t="s">
        <v>528</v>
      </c>
      <c r="F55" s="74">
        <v>44859</v>
      </c>
      <c r="G55" s="35">
        <v>1512</v>
      </c>
      <c r="H55" s="75">
        <v>139.80000000000001</v>
      </c>
      <c r="I55" s="21">
        <f>+PROVEEDORES3[[#This Row],[Total USD]]*5064.5</f>
        <v>708017.10000000009</v>
      </c>
    </row>
    <row r="56" spans="1:9" ht="22.2" customHeight="1" x14ac:dyDescent="0.3">
      <c r="A56" s="72" t="str">
        <f>+IF(PROVEEDORES3[[#This Row],[FECHA DE PAGO]]=PROVEEDORES3[[#This Row],[FECHA DE FACTURACIÓN]],"DE CONTADO","CRÉDITO")</f>
        <v>CRÉDITO</v>
      </c>
      <c r="B56" s="38" t="e">
        <f>+IF((PROVEEDORES3[[#This Row],[FECHA DE PAGO]]-PROVEEDORES3[[#This Row],[FECHA DE FACTURACIÓN]])&gt;#REF!,"PAGO VENCIDO")</f>
        <v>#REF!</v>
      </c>
      <c r="C56" s="58" t="str">
        <f>+VLOOKUP(PROVEEDORES3[[#This Row],[PROVEEDOR]],TERCEROS_INFO[[PROVEEDOR]:[CORREO]],5,FALSE)</f>
        <v>jessica.barios.com@carpainternacional;girlesa.ruiz@servipilas.com;joriescobar64@gmail.com</v>
      </c>
      <c r="D56" s="73">
        <v>44870</v>
      </c>
      <c r="E56" s="26" t="s">
        <v>530</v>
      </c>
      <c r="F56" s="74">
        <v>44861</v>
      </c>
      <c r="G56" s="35">
        <v>1513</v>
      </c>
      <c r="H56" s="75">
        <v>400</v>
      </c>
      <c r="I56" s="21">
        <f>+PROVEEDORES3[[#This Row],[Total USD]]*5064.5</f>
        <v>2025800</v>
      </c>
    </row>
    <row r="57" spans="1:9" ht="22.2" customHeight="1" x14ac:dyDescent="0.3">
      <c r="A57" s="72" t="str">
        <f>+IF(PROVEEDORES3[[#This Row],[FECHA DE PAGO]]=PROVEEDORES3[[#This Row],[FECHA DE FACTURACIÓN]],"DE CONTADO","CRÉDITO")</f>
        <v>CRÉDITO</v>
      </c>
      <c r="B57" s="38" t="e">
        <f>+IF((PROVEEDORES3[[#This Row],[FECHA DE PAGO]]-PROVEEDORES3[[#This Row],[FECHA DE FACTURACIÓN]])&gt;#REF!,"PAGO VENCIDO")</f>
        <v>#REF!</v>
      </c>
      <c r="C57" s="58" t="str">
        <f>+VLOOKUP(PROVEEDORES3[[#This Row],[PROVEEDOR]],TERCEROS_INFO[[PROVEEDOR]:[CORREO]],5,FALSE)</f>
        <v>jessica.barios.com@carpainternacional;girlesa.ruiz@servipilas.com;joriescobar64@gmail.com</v>
      </c>
      <c r="D57" s="73">
        <v>44870</v>
      </c>
      <c r="E57" s="26" t="s">
        <v>528</v>
      </c>
      <c r="F57" s="74">
        <v>44865</v>
      </c>
      <c r="G57" s="35">
        <v>1522</v>
      </c>
      <c r="H57" s="75">
        <v>72</v>
      </c>
      <c r="I57" s="21">
        <f>+PROVEEDORES3[[#This Row],[Total USD]]*5064.5</f>
        <v>364644</v>
      </c>
    </row>
    <row r="58" spans="1:9" ht="22.2" customHeight="1" x14ac:dyDescent="0.3">
      <c r="A58" s="72" t="str">
        <f>+IF(PROVEEDORES3[[#This Row],[FECHA DE PAGO]]=PROVEEDORES3[[#This Row],[FECHA DE FACTURACIÓN]],"DE CONTADO","CRÉDITO")</f>
        <v>CRÉDITO</v>
      </c>
      <c r="B58" s="38" t="e">
        <f>+IF((PROVEEDORES3[[#This Row],[FECHA DE PAGO]]-PROVEEDORES3[[#This Row],[FECHA DE FACTURACIÓN]])&gt;#REF!,"PAGO VENCIDO")</f>
        <v>#REF!</v>
      </c>
      <c r="C58" s="58" t="str">
        <f>+VLOOKUP(PROVEEDORES3[[#This Row],[PROVEEDOR]],TERCEROS_INFO[[PROVEEDOR]:[CORREO]],5,FALSE)</f>
        <v>jessica.barios.com@carpainternacional;girlesa.ruiz@servipilas.com;joriescobar64@gmail.com</v>
      </c>
      <c r="D58" s="73">
        <v>44870</v>
      </c>
      <c r="E58" s="26" t="s">
        <v>528</v>
      </c>
      <c r="F58" s="74">
        <v>44865</v>
      </c>
      <c r="G58" s="35">
        <v>1521</v>
      </c>
      <c r="H58" s="75">
        <v>64</v>
      </c>
      <c r="I58" s="21">
        <f>+PROVEEDORES3[[#This Row],[Total USD]]*5064.5</f>
        <v>324128</v>
      </c>
    </row>
    <row r="59" spans="1:9" ht="22.2" customHeight="1" x14ac:dyDescent="0.3">
      <c r="A59" s="72" t="str">
        <f>+IF(PROVEEDORES3[[#This Row],[FECHA DE PAGO]]=PROVEEDORES3[[#This Row],[FECHA DE FACTURACIÓN]],"DE CONTADO","CRÉDITO")</f>
        <v>CRÉDITO</v>
      </c>
      <c r="B59" s="38" t="e">
        <f>+IF((PROVEEDORES3[[#This Row],[FECHA DE PAGO]]-PROVEEDORES3[[#This Row],[FECHA DE FACTURACIÓN]])&gt;#REF!,"PAGO VENCIDO")</f>
        <v>#REF!</v>
      </c>
      <c r="C59" s="58" t="str">
        <f>+VLOOKUP(PROVEEDORES3[[#This Row],[PROVEEDOR]],TERCEROS_INFO[[PROVEEDOR]:[CORREO]],5,FALSE)</f>
        <v>jessica.barios.com@carpainternacional;girlesa.ruiz@servipilas.com;joriescobar64@gmail.com</v>
      </c>
      <c r="D59" s="73">
        <v>44870</v>
      </c>
      <c r="E59" s="26" t="s">
        <v>528</v>
      </c>
      <c r="F59" s="74">
        <v>44865</v>
      </c>
      <c r="G59" s="35">
        <v>1519</v>
      </c>
      <c r="H59" s="75">
        <v>64</v>
      </c>
      <c r="I59" s="21">
        <f>+PROVEEDORES3[[#This Row],[Total USD]]*5064.5</f>
        <v>324128</v>
      </c>
    </row>
    <row r="60" spans="1:9" ht="22.2" customHeight="1" x14ac:dyDescent="0.3">
      <c r="A60" s="269" t="str">
        <f>+IF(PROVEEDORES3[[#This Row],[FECHA DE PAGO]]=PROVEEDORES3[[#This Row],[FECHA DE FACTURACIÓN]],"DE CONTADO","CRÉDITO")</f>
        <v>CRÉDITO</v>
      </c>
      <c r="B60" s="38" t="e">
        <f>+IF((PROVEEDORES3[[#This Row],[FECHA DE PAGO]]-PROVEEDORES3[[#This Row],[FECHA DE FACTURACIÓN]])&gt;#REF!,"PAGO VENCIDO")</f>
        <v>#REF!</v>
      </c>
      <c r="C60" s="58" t="str">
        <f>+VLOOKUP(PROVEEDORES3[[#This Row],[PROVEEDOR]],TERCEROS_INFO[[PROVEEDOR]:[CORREO]],5,FALSE)</f>
        <v>jessica.barios.com@carpainternacional;girlesa.ruiz@servipilas.com;joriescobar64@gmail.com</v>
      </c>
      <c r="E60" s="26" t="s">
        <v>528</v>
      </c>
      <c r="F60" s="74">
        <v>44868</v>
      </c>
      <c r="G60" s="35">
        <v>1524</v>
      </c>
      <c r="H60" s="75">
        <v>148.1</v>
      </c>
      <c r="I60" s="21">
        <f>+PROVEEDORES3[[#This Row],[Total USD]]*5064.5</f>
        <v>750052.45</v>
      </c>
    </row>
    <row r="61" spans="1:9" ht="22.2" customHeight="1" x14ac:dyDescent="0.3">
      <c r="A61" s="269" t="str">
        <f>+IF(PROVEEDORES3[[#This Row],[FECHA DE PAGO]]=PROVEEDORES3[[#This Row],[FECHA DE FACTURACIÓN]],"DE CONTADO","CRÉDITO")</f>
        <v>CRÉDITO</v>
      </c>
      <c r="B61" s="38" t="e">
        <f>+IF((PROVEEDORES3[[#This Row],[FECHA DE PAGO]]-PROVEEDORES3[[#This Row],[FECHA DE FACTURACIÓN]])&gt;#REF!,"PAGO VENCIDO")</f>
        <v>#REF!</v>
      </c>
      <c r="C61" s="58" t="str">
        <f>+VLOOKUP(PROVEEDORES3[[#This Row],[PROVEEDOR]],TERCEROS_INFO[[PROVEEDOR]:[CORREO]],5,FALSE)</f>
        <v>jessica.barios.com@carpainternacional;girlesa.ruiz@servipilas.com;joriescobar64@gmail.com</v>
      </c>
      <c r="E61" s="26" t="s">
        <v>528</v>
      </c>
      <c r="F61" s="74">
        <v>44868</v>
      </c>
      <c r="G61" s="35">
        <v>1525</v>
      </c>
      <c r="H61" s="75">
        <v>152.1</v>
      </c>
      <c r="I61" s="21">
        <f>+PROVEEDORES3[[#This Row],[Total USD]]*5064.5</f>
        <v>770310.45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E27:E28 G23:G34 C1:I25 I27:I28 I30:I35">
    <cfRule type="expression" dxfId="49" priority="40">
      <formula>#REF!="Por pagar"</formula>
    </cfRule>
    <cfRule type="expression" dxfId="48" priority="41">
      <formula>#REF!="Vencida"</formula>
    </cfRule>
    <cfRule type="expression" dxfId="47" priority="42">
      <formula>#REF!="Pagada"</formula>
    </cfRule>
  </conditionalFormatting>
  <conditionalFormatting sqref="E24:F24 E25">
    <cfRule type="expression" dxfId="46" priority="43" stopIfTrue="1">
      <formula>#REF!="Por pagar"</formula>
    </cfRule>
    <cfRule type="expression" dxfId="45" priority="44" stopIfTrue="1">
      <formula>#REF!="Vencida"</formula>
    </cfRule>
    <cfRule type="expression" dxfId="44" priority="45" stopIfTrue="1">
      <formula>#REF!="Pagada"</formula>
    </cfRule>
  </conditionalFormatting>
  <conditionalFormatting sqref="E28">
    <cfRule type="expression" dxfId="43" priority="37" stopIfTrue="1">
      <formula>#REF!="Por pagar"</formula>
    </cfRule>
    <cfRule type="expression" dxfId="42" priority="38" stopIfTrue="1">
      <formula>#REF!="Vencida"</formula>
    </cfRule>
    <cfRule type="expression" dxfId="41" priority="39" stopIfTrue="1">
      <formula>#REF!="Pagada"</formula>
    </cfRule>
  </conditionalFormatting>
  <conditionalFormatting sqref="E29:H29">
    <cfRule type="expression" dxfId="40" priority="34" stopIfTrue="1">
      <formula>$S29="Por pagar"</formula>
    </cfRule>
    <cfRule type="expression" dxfId="39" priority="35" stopIfTrue="1">
      <formula>$S29="Vencida"</formula>
    </cfRule>
    <cfRule type="expression" dxfId="38" priority="36" stopIfTrue="1">
      <formula>$S29="Pagada"</formula>
    </cfRule>
  </conditionalFormatting>
  <conditionalFormatting sqref="E29">
    <cfRule type="expression" dxfId="37" priority="31" stopIfTrue="1">
      <formula>$S29="Por pagar"</formula>
    </cfRule>
    <cfRule type="expression" dxfId="36" priority="32" stopIfTrue="1">
      <formula>$S29="Vencida"</formula>
    </cfRule>
    <cfRule type="expression" dxfId="35" priority="33" stopIfTrue="1">
      <formula>$S29="Pagada"</formula>
    </cfRule>
  </conditionalFormatting>
  <conditionalFormatting sqref="E30">
    <cfRule type="expression" dxfId="34" priority="28">
      <formula>$S30="Por pagar"</formula>
    </cfRule>
    <cfRule type="expression" dxfId="33" priority="29">
      <formula>$S30="Vencida"</formula>
    </cfRule>
    <cfRule type="expression" dxfId="32" priority="30">
      <formula>$S30="Pagada"</formula>
    </cfRule>
  </conditionalFormatting>
  <conditionalFormatting sqref="E30">
    <cfRule type="expression" dxfId="31" priority="25">
      <formula>$S30="Por pagar"</formula>
    </cfRule>
    <cfRule type="expression" dxfId="30" priority="26">
      <formula>$S30="Vencida"</formula>
    </cfRule>
    <cfRule type="expression" dxfId="29" priority="27">
      <formula>$S30="Pagada"</formula>
    </cfRule>
  </conditionalFormatting>
  <conditionalFormatting sqref="E31">
    <cfRule type="expression" dxfId="28" priority="22">
      <formula>$S31="Por pagar"</formula>
    </cfRule>
    <cfRule type="expression" dxfId="27" priority="23">
      <formula>$S31="Vencida"</formula>
    </cfRule>
    <cfRule type="expression" dxfId="26" priority="24">
      <formula>$S31="Pagada"</formula>
    </cfRule>
  </conditionalFormatting>
  <conditionalFormatting sqref="E31">
    <cfRule type="expression" dxfId="25" priority="19">
      <formula>$S31="Por pagar"</formula>
    </cfRule>
    <cfRule type="expression" dxfId="24" priority="20">
      <formula>$S31="Vencida"</formula>
    </cfRule>
    <cfRule type="expression" dxfId="23" priority="21">
      <formula>$S31="Pagada"</formula>
    </cfRule>
  </conditionalFormatting>
  <conditionalFormatting sqref="H33:H34">
    <cfRule type="expression" dxfId="22" priority="16" stopIfTrue="1">
      <formula>$S33="Por pagar"</formula>
    </cfRule>
    <cfRule type="expression" dxfId="21" priority="17" stopIfTrue="1">
      <formula>$S33="Vencida"</formula>
    </cfRule>
    <cfRule type="expression" dxfId="20" priority="18" stopIfTrue="1">
      <formula>$S33="Pagada"</formula>
    </cfRule>
  </conditionalFormatting>
  <conditionalFormatting sqref="E35">
    <cfRule type="expression" dxfId="19" priority="13">
      <formula>$S35="Por pagar"</formula>
    </cfRule>
    <cfRule type="expression" dxfId="18" priority="14">
      <formula>$S35="Vencida"</formula>
    </cfRule>
    <cfRule type="expression" dxfId="17" priority="15">
      <formula>$S35="Pagada"</formula>
    </cfRule>
  </conditionalFormatting>
  <conditionalFormatting sqref="E35">
    <cfRule type="expression" dxfId="16" priority="10">
      <formula>$S35="Por pagar"</formula>
    </cfRule>
    <cfRule type="expression" dxfId="15" priority="11">
      <formula>$S35="Vencida"</formula>
    </cfRule>
    <cfRule type="expression" dxfId="14" priority="12">
      <formula>$S35="Pagada"</formula>
    </cfRule>
  </conditionalFormatting>
  <conditionalFormatting sqref="D30:D35 D27:D28">
    <cfRule type="expression" dxfId="13" priority="7">
      <formula>#REF!="Por pagar"</formula>
    </cfRule>
    <cfRule type="expression" dxfId="12" priority="8">
      <formula>#REF!="Vencida"</formula>
    </cfRule>
    <cfRule type="expression" dxfId="11" priority="9">
      <formula>#REF!="Pagada"</formula>
    </cfRule>
  </conditionalFormatting>
  <conditionalFormatting sqref="G36">
    <cfRule type="expression" dxfId="10" priority="4" stopIfTrue="1">
      <formula>$S36="Por pagar"</formula>
    </cfRule>
    <cfRule type="expression" dxfId="9" priority="5" stopIfTrue="1">
      <formula>$S36="Vencida"</formula>
    </cfRule>
    <cfRule type="expression" dxfId="8" priority="6" stopIfTrue="1">
      <formula>$S36="Pagada"</formula>
    </cfRule>
  </conditionalFormatting>
  <conditionalFormatting sqref="G43:G44">
    <cfRule type="expression" dxfId="7" priority="1" stopIfTrue="1">
      <formula>$S43="Por pagar"</formula>
    </cfRule>
    <cfRule type="expression" dxfId="6" priority="2" stopIfTrue="1">
      <formula>$S43="Vencida"</formula>
    </cfRule>
    <cfRule type="expression" dxfId="5" priority="3" stopIfTrue="1">
      <formula>$S43="Pagada"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AI41"/>
  <sheetViews>
    <sheetView workbookViewId="0">
      <selection activeCell="AI7" sqref="AI7"/>
    </sheetView>
  </sheetViews>
  <sheetFormatPr defaultColWidth="14.44140625" defaultRowHeight="14.4" x14ac:dyDescent="0.3"/>
  <cols>
    <col min="1" max="1" width="31.5546875" style="41" customWidth="1"/>
    <col min="2" max="6" width="12.5546875" style="41" hidden="1" customWidth="1"/>
    <col min="7" max="13" width="14.33203125" style="41" hidden="1" customWidth="1"/>
    <col min="14" max="14" width="14.6640625" style="41" hidden="1" customWidth="1"/>
    <col min="15" max="16" width="14.33203125" style="41" hidden="1" customWidth="1"/>
    <col min="17" max="18" width="14.6640625" style="41" hidden="1" customWidth="1"/>
    <col min="19" max="25" width="14.33203125" style="41" hidden="1" customWidth="1"/>
    <col min="26" max="27" width="15.44140625" style="41" hidden="1" customWidth="1"/>
    <col min="28" max="30" width="15.6640625" style="41" hidden="1" customWidth="1"/>
    <col min="31" max="31" width="15.44140625" style="41" hidden="1" customWidth="1"/>
    <col min="32" max="33" width="16.6640625" style="41" bestFit="1" customWidth="1"/>
    <col min="34" max="34" width="16.88671875" style="41" customWidth="1"/>
    <col min="35" max="35" width="15.6640625" style="41" customWidth="1"/>
    <col min="36" max="16384" width="14.44140625" style="41"/>
  </cols>
  <sheetData>
    <row r="1" spans="1:35" x14ac:dyDescent="0.3">
      <c r="A1" s="78" t="s">
        <v>155</v>
      </c>
      <c r="B1" s="78">
        <v>43831</v>
      </c>
      <c r="C1" s="78">
        <v>43862</v>
      </c>
      <c r="D1" s="78">
        <v>43891</v>
      </c>
      <c r="E1" s="78">
        <v>43922</v>
      </c>
      <c r="F1" s="78">
        <v>43952</v>
      </c>
      <c r="G1" s="78">
        <v>43983</v>
      </c>
      <c r="H1" s="78">
        <v>44013</v>
      </c>
      <c r="I1" s="78">
        <v>44044</v>
      </c>
      <c r="J1" s="78">
        <v>44075</v>
      </c>
      <c r="K1" s="78">
        <v>44105</v>
      </c>
      <c r="L1" s="78">
        <v>44136</v>
      </c>
      <c r="M1" s="78">
        <v>44166</v>
      </c>
      <c r="N1" s="78">
        <v>44197</v>
      </c>
      <c r="O1" s="78">
        <v>44228</v>
      </c>
      <c r="P1" s="55">
        <v>44256</v>
      </c>
      <c r="Q1" s="55">
        <v>44287</v>
      </c>
      <c r="R1" s="55">
        <v>44317</v>
      </c>
      <c r="S1" s="55">
        <v>44348</v>
      </c>
      <c r="T1" s="55">
        <v>44378</v>
      </c>
      <c r="U1" s="55">
        <v>44409</v>
      </c>
      <c r="V1" s="55">
        <v>44440</v>
      </c>
      <c r="W1" s="55">
        <v>44470</v>
      </c>
      <c r="X1" s="55">
        <v>44501</v>
      </c>
      <c r="Y1" s="55">
        <v>44531</v>
      </c>
      <c r="Z1" s="55">
        <v>44562</v>
      </c>
      <c r="AA1" s="55">
        <v>44593</v>
      </c>
      <c r="AB1" s="55">
        <v>44621</v>
      </c>
      <c r="AC1" s="55">
        <v>44652</v>
      </c>
      <c r="AD1" s="55">
        <v>44682</v>
      </c>
      <c r="AE1" s="55">
        <v>44713</v>
      </c>
      <c r="AF1" s="55">
        <v>44743</v>
      </c>
      <c r="AG1" s="55">
        <v>44774</v>
      </c>
      <c r="AH1" s="55">
        <v>44805</v>
      </c>
      <c r="AI1" s="55">
        <v>44835</v>
      </c>
    </row>
    <row r="2" spans="1:35" x14ac:dyDescent="0.3">
      <c r="A2" s="44" t="s">
        <v>200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</row>
    <row r="3" spans="1:35" x14ac:dyDescent="0.3">
      <c r="A3" s="45" t="s">
        <v>201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</row>
    <row r="4" spans="1:35" x14ac:dyDescent="0.3">
      <c r="A4" s="44" t="s">
        <v>202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</row>
    <row r="5" spans="1:35" ht="26.4" x14ac:dyDescent="0.3">
      <c r="A5" s="39" t="s">
        <v>162</v>
      </c>
      <c r="B5" s="48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37526227.099999987</v>
      </c>
      <c r="C5" s="48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34123238.859999999</v>
      </c>
      <c r="D5" s="48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29913623.84</v>
      </c>
      <c r="E5" s="48">
        <f>SUMIFS(PROVEEDORES[[#All],[Total]],
PROVEEDORES[[#All],[FECHA DE PAGO]],"&gt;="&amp;E$1,
PROVEEDORES[[#All],[FECHA DE PAGO]],"&lt;="&amp;EOMONTH(E$1,0))
+
SUMIFS(FINANCIACION[[#All],[PAGO]],
FINANCIACION[[#All],[Fecha]],"&gt;="&amp;E$1,
FINANCIACION[[#All],[Fecha]],"&lt;="&amp;EOMONTH(E$1,0))</f>
        <v>2288856</v>
      </c>
      <c r="F5" s="48">
        <f>SUMIFS(PROVEEDORES[[#All],[Total]],
PROVEEDORES[[#All],[FECHA DE PAGO]],"&gt;="&amp;F$1,
PROVEEDORES[[#All],[FECHA DE PAGO]],"&lt;="&amp;EOMONTH(F$1,0))
+
SUMIFS(FINANCIACION[[#All],[PAGO]],
FINANCIACION[[#All],[Fecha]],"&gt;="&amp;F$1,
FINANCIACION[[#All],[Fecha]],"&lt;="&amp;EOMONTH(F$1,0))</f>
        <v>18664737.210000001</v>
      </c>
      <c r="G5" s="48">
        <f>SUMIFS(PROVEEDORES[[#All],[Total]],
PROVEEDORES[[#All],[FECHA DE PAGO]],"&gt;="&amp;G$1,
PROVEEDORES[[#All],[FECHA DE PAGO]],"&lt;="&amp;EOMONTH(G$1,0))
+
SUMIFS(FINANCIACION[[#All],[PAGO]],
FINANCIACION[[#All],[Fecha]],"&gt;="&amp;G$1,
FINANCIACION[[#All],[Fecha]],"&lt;="&amp;EOMONTH(G$1,0))</f>
        <v>23063156.02</v>
      </c>
      <c r="H5" s="48">
        <f>SUMIFS(PROVEEDORES[[#All],[Total]],
PROVEEDORES[[#All],[FECHA DE PAGO]],"&gt;="&amp;H$1,
PROVEEDORES[[#All],[FECHA DE PAGO]],"&lt;="&amp;EOMONTH(H$1,0))
+
SUMIFS(FINANCIACION[[#All],[PAGO]],
FINANCIACION[[#All],[Fecha]],"&gt;="&amp;H$1,
FINANCIACION[[#All],[Fecha]],"&lt;="&amp;EOMONTH(H$1,0))</f>
        <v>304425051.12</v>
      </c>
      <c r="I5" s="48">
        <f>SUMIFS(PROVEEDORES[[#All],[Total]],
PROVEEDORES[[#All],[FECHA DE PAGO]],"&gt;="&amp;I$1,
PROVEEDORES[[#All],[FECHA DE PAGO]],"&lt;="&amp;EOMONTH(I$1,0))
+
SUMIFS(FINANCIACION[[#All],[PAGO]],
FINANCIACION[[#All],[Fecha]],"&gt;="&amp;I$1,
FINANCIACION[[#All],[Fecha]],"&lt;="&amp;EOMONTH(I$1,0))</f>
        <v>19013831.890000001</v>
      </c>
      <c r="J5" s="48">
        <f>SUMIFS(PROVEEDORES[[#All],[Total]],
PROVEEDORES[[#All],[FECHA DE PAGO]],"&gt;="&amp;J$1,
PROVEEDORES[[#All],[FECHA DE PAGO]],"&lt;="&amp;EOMONTH(J$1,0))
+
SUMIFS(FINANCIACION[[#All],[PAGO]],
FINANCIACION[[#All],[Fecha]],"&gt;="&amp;J$1,
FINANCIACION[[#All],[Fecha]],"&lt;="&amp;EOMONTH(J$1,0))</f>
        <v>87022684</v>
      </c>
      <c r="K5" s="48">
        <f>SUMIFS(PROVEEDORES[[#All],[Total]],
PROVEEDORES[[#All],[FECHA DE PAGO]],"&gt;="&amp;K$1,
PROVEEDORES[[#All],[FECHA DE PAGO]],"&lt;="&amp;EOMONTH(K$1,0))
+
SUMIFS(FINANCIACION[[#All],[PAGO]],
FINANCIACION[[#All],[Fecha]],"&gt;="&amp;K$1,
FINANCIACION[[#All],[Fecha]],"&lt;="&amp;EOMONTH(K$1,0))</f>
        <v>40436733.32</v>
      </c>
      <c r="L5" s="48">
        <f>SUMIFS(PROVEEDORES[[#All],[Total]],
PROVEEDORES[[#All],[FECHA DE PAGO]],"&gt;="&amp;L$1,
PROVEEDORES[[#All],[FECHA DE PAGO]],"&lt;="&amp;EOMONTH(L$1,0))
+
SUMIFS(FINANCIACION[[#All],[PAGO]],
FINANCIACION[[#All],[Fecha]],"&gt;="&amp;L$1,
FINANCIACION[[#All],[Fecha]],"&lt;="&amp;EOMONTH(L$1,0))</f>
        <v>61346912.229999997</v>
      </c>
      <c r="M5" s="48">
        <f>SUMIFS(PROVEEDORES[[#All],[Total]],
PROVEEDORES[[#All],[FECHA DE PAGO]],"&gt;="&amp;M$1,
PROVEEDORES[[#All],[FECHA DE PAGO]],"&lt;="&amp;EOMONTH(M$1,0))
+
SUMIFS(FINANCIACION[[#All],[PAGO]],
FINANCIACION[[#All],[Fecha]],"&gt;="&amp;M$1,
FINANCIACION[[#All],[Fecha]],"&lt;="&amp;EOMONTH(M$1,0))</f>
        <v>115050948.56999999</v>
      </c>
      <c r="N5" s="48">
        <f>SUMIFS(PROVEEDORES[[#All],[Total]],
PROVEEDORES[[#All],[FECHA DE PAGO]],"&gt;="&amp;N$1,
PROVEEDORES[[#All],[FECHA DE PAGO]],"&lt;="&amp;EOMONTH(N$1,0))
+
SUMIFS(FINANCIACION[[#All],[PAGO]],
FINANCIACION[[#All],[Fecha]],"&gt;="&amp;N$1,
FINANCIACION[[#All],[Fecha]],"&lt;="&amp;EOMONTH(N$1,0))</f>
        <v>107124577.54939915</v>
      </c>
      <c r="O5" s="48">
        <f>SUMIFS(PROVEEDORES[[#All],[Total]],
PROVEEDORES[[#All],[FECHA DE PAGO]],"&gt;="&amp;O$1,
PROVEEDORES[[#All],[FECHA DE PAGO]],"&lt;="&amp;EOMONTH(O$1,0))
+
SUMIFS(FINANCIACION[[#All],[PAGO]],
FINANCIACION[[#All],[Fecha]],"&gt;="&amp;O$1,
FINANCIACION[[#All],[Fecha]],"&lt;="&amp;EOMONTH(O$1,0))</f>
        <v>151744898.27284789</v>
      </c>
      <c r="P5" s="48">
        <f>SUMIFS(PROVEEDORES[[#All],[Total]],
PROVEEDORES[[#All],[FECHA DE PAGO]],"&gt;="&amp;P$1,
PROVEEDORES[[#All],[FECHA DE PAGO]],"&lt;="&amp;EOMONTH(P$1,0))
+
SUMIFS(FINANCIACION[[#All],[PAGO]],
FINANCIACION[[#All],[Fecha]],"&gt;="&amp;P$1,
FINANCIACION[[#All],[Fecha]],"&lt;="&amp;EOMONTH(P$1,0))</f>
        <v>234076044.01550445</v>
      </c>
      <c r="Q5" s="48">
        <f>SUMIFS(PROVEEDORES[[#All],[Total]],
PROVEEDORES[[#All],[FECHA DE PAGO]],"&gt;="&amp;Q$1,
PROVEEDORES[[#All],[FECHA DE PAGO]],"&lt;="&amp;EOMONTH(Q$1,0))
+
SUMIFS(FINANCIACION[[#All],[PAGO]],
FINANCIACION[[#All],[Fecha]],"&gt;="&amp;Q$1,
FINANCIACION[[#All],[Fecha]],"&lt;="&amp;EOMONTH(Q$1,0))</f>
        <v>111902552.73292772</v>
      </c>
      <c r="R5" s="48">
        <f>SUMIFS(PROVEEDORES[[#All],[Total]],
PROVEEDORES[[#All],[FECHA DE PAGO]],"&gt;="&amp;R$1,
PROVEEDORES[[#All],[FECHA DE PAGO]],"&lt;="&amp;EOMONTH(R$1,0))
+
SUMIFS(FINANCIACION[[#All],[PAGO]],
FINANCIACION[[#All],[Fecha]],"&gt;="&amp;R$1,
FINANCIACION[[#All],[Fecha]],"&lt;="&amp;EOMONTH(R$1,0))</f>
        <v>279783359.78341442</v>
      </c>
      <c r="S5" s="48">
        <f>SUMIFS(PROVEEDORES[[#All],[Total]],
PROVEEDORES[[#All],[FECHA DE PAGO]],"&gt;="&amp;S$1,
PROVEEDORES[[#All],[FECHA DE PAGO]],"&lt;="&amp;EOMONTH(S$1,0))
+
SUMIFS(FINANCIACION[[#All],[PAGO]],
FINANCIACION[[#All],[Fecha]],"&gt;="&amp;S$1,
FINANCIACION[[#All],[Fecha]],"&lt;="&amp;EOMONTH(S$1,0))</f>
        <v>265308985.46195632</v>
      </c>
      <c r="T5" s="48">
        <f>SUMIFS(PROVEEDORES[[#All],[Total]],
PROVEEDORES[[#All],[FECHA DE PAGO]],"&gt;="&amp;T$1,
PROVEEDORES[[#All],[FECHA DE PAGO]],"&lt;="&amp;EOMONTH(T$1,0))
+
SUMIFS(FINANCIACION[[#All],[PAGO]],
FINANCIACION[[#All],[Fecha]],"&gt;="&amp;T$1,
FINANCIACION[[#All],[Fecha]],"&lt;="&amp;EOMONTH(T$1,0))</f>
        <v>185443304.26703</v>
      </c>
      <c r="U5" s="48">
        <f>SUMIFS(PROVEEDORES[[#All],[Total]],
PROVEEDORES[[#All],[FECHA DE PAGO]],"&gt;="&amp;U$1,
PROVEEDORES[[#All],[FECHA DE PAGO]],"&lt;="&amp;EOMONTH(U$1,0))
+
SUMIFS(FINANCIACION[[#All],[PAGO]],
FINANCIACION[[#All],[Fecha]],"&gt;="&amp;U$1,
FINANCIACION[[#All],[Fecha]],"&lt;="&amp;EOMONTH(U$1,0))</f>
        <v>234889487.16994995</v>
      </c>
      <c r="V5" s="48">
        <f>SUMIFS(PROVEEDORES[[#All],[Total]],
PROVEEDORES[[#All],[FECHA DE PAGO]],"&gt;="&amp;V$1,
PROVEEDORES[[#All],[FECHA DE PAGO]],"&lt;="&amp;EOMONTH(V$1,0))
+
SUMIFS(FINANCIACION[[#All],[PAGO]],
FINANCIACION[[#All],[Fecha]],"&gt;="&amp;V$1,
FINANCIACION[[#All],[Fecha]],"&lt;="&amp;EOMONTH(V$1,0))</f>
        <v>189580537.93669999</v>
      </c>
      <c r="W5" s="48">
        <f>SUMIFS(PROVEEDORES[[#All],[Total]],
PROVEEDORES[[#All],[FECHA DE PAGO]],"&gt;="&amp;W$1,
PROVEEDORES[[#All],[FECHA DE PAGO]],"&lt;="&amp;EOMONTH(W$1,0))
+
SUMIFS(FINANCIACION[[#All],[PAGO]],
FINANCIACION[[#All],[Fecha]],"&gt;="&amp;W$1,
FINANCIACION[[#All],[Fecha]],"&lt;="&amp;EOMONTH(W$1,0))</f>
        <v>366046971.53815007</v>
      </c>
      <c r="X5" s="48">
        <f>SUMIFS(PROVEEDORES[[#All],[Total]],
PROVEEDORES[[#All],[FECHA DE PAGO]],"&gt;="&amp;X$1,
PROVEEDORES[[#All],[FECHA DE PAGO]],"&lt;="&amp;EOMONTH(X$1,0))
+
SUMIFS(FINANCIACION[[#All],[PAGO]],
FINANCIACION[[#All],[Fecha]],"&gt;="&amp;X$1,
FINANCIACION[[#All],[Fecha]],"&lt;="&amp;EOMONTH(X$1,0))</f>
        <v>203078839.46500003</v>
      </c>
      <c r="Y5" s="48">
        <f>SUMIFS(PROVEEDORES[[#All],[Total]],
PROVEEDORES[[#All],[FECHA DE PAGO]],"&gt;="&amp;Y$1,
PROVEEDORES[[#All],[FECHA DE PAGO]],"&lt;="&amp;EOMONTH(Y$1,0))
+
SUMIFS(FINANCIACION[[#All],[PAGO]],
FINANCIACION[[#All],[Fecha]],"&gt;="&amp;Y$1,
FINANCIACION[[#All],[Fecha]],"&lt;="&amp;EOMONTH(Y$1,0))</f>
        <v>469365721.43024999</v>
      </c>
      <c r="Z5" s="48">
        <f>SUMIFS(PROVEEDORES[[#All],[Total]],
PROVEEDORES[[#All],[FECHA DE PAGO]],"&gt;="&amp;Z$1,
PROVEEDORES[[#All],[FECHA DE PAGO]],"&lt;="&amp;EOMONTH(Z$1,0))
+
SUMIFS(FINANCIACION[[#All],[PAGO]],
FINANCIACION[[#All],[Fecha]],"&gt;="&amp;Z$1,
FINANCIACION[[#All],[Fecha]],"&lt;="&amp;EOMONTH(Z$1,0))</f>
        <v>310923685.01405001</v>
      </c>
      <c r="AA5" s="48">
        <f>SUMIFS(PROVEEDORES[[#All],[Total]],
PROVEEDORES[[#All],[FECHA DE PAGO]],"&gt;="&amp;AA$1,
PROVEEDORES[[#All],[FECHA DE PAGO]],"&lt;="&amp;EOMONTH(AA$1,0))
+
SUMIFS(FINANCIACION[[#All],[PAGO]],
FINANCIACION[[#All],[Fecha]],"&gt;="&amp;AA$1,
FINANCIACION[[#All],[Fecha]],"&lt;="&amp;EOMONTH(AA$1,0))</f>
        <v>149958274.52320001</v>
      </c>
      <c r="AB5" s="48">
        <f>SUMIFS(PROVEEDORES[[#All],[Total]],
PROVEEDORES[[#All],[FECHA DE PAGO]],"&gt;="&amp;AB$1,
PROVEEDORES[[#All],[FECHA DE PAGO]],"&lt;="&amp;EOMONTH(AB$1,0))
+
SUMIFS(FINANCIACION[[#All],[PAGO]],
FINANCIACION[[#All],[Fecha]],"&gt;="&amp;AB$1,
FINANCIACION[[#All],[Fecha]],"&lt;="&amp;EOMONTH(AB$1,0))</f>
        <v>346147510.37814999</v>
      </c>
      <c r="AC5" s="48">
        <f>SUMIFS(PROVEEDORES[Total],
PROVEEDORES[FECHA DE PAGO],"&gt;="&amp;AC$1,
PROVEEDORES[FECHA DE PAGO],"&lt;="&amp;EOMONTH(AC$1,0),
PROVEEDORES[X@],"FALSO")
+
SUMIFS(FINANCIACION[PAGO],
FINANCIACION[Fecha],"&gt;="&amp;AC$1,
FINANCIACION[Fecha],"&lt;="&amp;EOMONTH(AC$1,0))</f>
        <v>34727528.230000004</v>
      </c>
      <c r="AD5" s="48">
        <f>SUMIFS(PROVEEDORES[Total],
PROVEEDORES[FECHA DE PAGO],"&gt;="&amp;AD$1,
PROVEEDORES[FECHA DE PAGO],"&lt;="&amp;EOMONTH(AD$1,0),
PROVEEDORES[X@],"FALSO")
+
SUMIFS(FINANCIACION[PAGO],
FINANCIACION[Fecha],"&gt;="&amp;AD$1,
FINANCIACION[Fecha],"&lt;="&amp;EOMONTH(AD$1,0))</f>
        <v>46404914.480000004</v>
      </c>
      <c r="AE5" s="48">
        <f>SUMIFS(PROVEEDORES[Total],
PROVEEDORES[FECHA DE PAGO],"&gt;="&amp;AE$1,
PROVEEDORES[FECHA DE PAGO],"&lt;="&amp;EOMONTH(AE$1,0),
PROVEEDORES[X@],"FALSO")
+
SUMIFS(FINANCIACION[PAGO],
FINANCIACION[Fecha],"&gt;="&amp;AE$1,
FINANCIACION[Fecha],"&lt;="&amp;EOMONTH(AE$1,0))</f>
        <v>145967609.44</v>
      </c>
      <c r="AF5" s="48">
        <f>SUMIFS(PROVEEDORES[Total],
PROVEEDORES[FECHA DE PAGO],"&gt;="&amp;AF$1,
PROVEEDORES[FECHA DE PAGO],"&lt;="&amp;EOMONTH(AF$1,0),
PROVEEDORES[X@],"FALSO")
+
SUMIFS(FINANCIACION[PAGO],
FINANCIACION[Fecha],"&gt;="&amp;AF$1,
FINANCIACION[Fecha],"&lt;="&amp;EOMONTH(AF$1,0))</f>
        <v>85879296.99000001</v>
      </c>
      <c r="AG5" s="48">
        <f>SUMIFS(PROVEEDORES[Total],
PROVEEDORES[FECHA DE PAGO],"&gt;="&amp;AG$1,
PROVEEDORES[FECHA DE PAGO],"&lt;="&amp;EOMONTH(AG$1,0),
PROVEEDORES[X@],"FALSO")
+
SUMIFS(FINANCIACION[PAGO],
FINANCIACION[Fecha],"&gt;="&amp;AG$1,
FINANCIACION[Fecha],"&lt;="&amp;EOMONTH(AG$1,0))</f>
        <v>52115735.799999997</v>
      </c>
      <c r="AH5" s="48">
        <f>SUMIFS(PROVEEDORES[Total],
PROVEEDORES[FECHA DE PAGO],"&gt;="&amp;AH$1,
PROVEEDORES[FECHA DE PAGO],"&lt;="&amp;EOMONTH(AH$1,0),
PROVEEDORES[X@],"FALSO")
+
SUMIFS(FINANCIACION[PAGO],
FINANCIACION[Fecha],"&gt;="&amp;AH$1,
FINANCIACION[Fecha],"&lt;="&amp;EOMONTH(AH$1,0))</f>
        <v>44089467.549999997</v>
      </c>
      <c r="AI5" s="48">
        <f>SUMIFS(PROVEEDORES[Total],
PROVEEDORES[FECHA DE PAGO],"&gt;="&amp;AI$1,
PROVEEDORES[FECHA DE PAGO],"&lt;="&amp;EOMONTH(AI$1,0),
PROVEEDORES[X@],"FALSO")
+
SUMIFS(FINANCIACION[PAGO],
FINANCIACION[Fecha],"&gt;="&amp;AI$1,
FINANCIACION[Fecha],"&lt;="&amp;EOMONTH(AI$1,0))</f>
        <v>120019849</v>
      </c>
    </row>
    <row r="6" spans="1:35" x14ac:dyDescent="0.3">
      <c r="A6" s="40" t="s">
        <v>142</v>
      </c>
      <c r="B6" s="49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0</v>
      </c>
      <c r="C6" s="49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0</v>
      </c>
      <c r="D6" s="49">
        <f>SUMIFS(PROVEEDORES[[#All],[Total]],
PROVEEDORES[[#All],[Total]],"&gt;0",
PROVEEDORES[[#All],[FECHA DE FACTURACIÓN]],"&gt;="&amp;D$1,
PROVEEDORES[[#All],[FECHA DE FACTURACIÓN]],"&lt;="&amp;EOMONTH(D$1,0),
PROVEEDORES[[#All],[Crédito / Contado]],"De Contado")</f>
        <v>0</v>
      </c>
      <c r="E6" s="49">
        <f>SUMIFS(PROVEEDORES[[#All],[Total]],
PROVEEDORES[[#All],[Total]],"&gt;0",
PROVEEDORES[[#All],[FECHA DE FACTURACIÓN]],"&gt;="&amp;E$1,
PROVEEDORES[[#All],[FECHA DE FACTURACIÓN]],"&lt;="&amp;EOMONTH(E$1,0),
PROVEEDORES[[#All],[Crédito / Contado]],"De Contado")</f>
        <v>0</v>
      </c>
      <c r="F6" s="49">
        <f>SUMIFS(PROVEEDORES[[#All],[Total]],
PROVEEDORES[[#All],[Total]],"&gt;0",
PROVEEDORES[[#All],[FECHA DE FACTURACIÓN]],"&gt;="&amp;F$1,
PROVEEDORES[[#All],[FECHA DE FACTURACIÓN]],"&lt;="&amp;EOMONTH(F$1,0),
PROVEEDORES[[#All],[Crédito / Contado]],"De Contado")</f>
        <v>0</v>
      </c>
      <c r="G6" s="49">
        <f>SUMIFS(PROVEEDORES[[#All],[Total]],
PROVEEDORES[[#All],[Total]],"&gt;0",
PROVEEDORES[[#All],[FECHA DE FACTURACIÓN]],"&gt;="&amp;G$1,
PROVEEDORES[[#All],[FECHA DE FACTURACIÓN]],"&lt;="&amp;EOMONTH(G$1,0),
PROVEEDORES[[#All],[Crédito / Contado]],"De Contado")</f>
        <v>0</v>
      </c>
      <c r="H6" s="49">
        <f>SUMIFS(PROVEEDORES[[#All],[Total]],
PROVEEDORES[[#All],[Total]],"&gt;0",
PROVEEDORES[[#All],[FECHA DE FACTURACIÓN]],"&gt;="&amp;H$1,
PROVEEDORES[[#All],[FECHA DE FACTURACIÓN]],"&lt;="&amp;EOMONTH(H$1,0),
PROVEEDORES[[#All],[Crédito / Contado]],"De Contado")</f>
        <v>0</v>
      </c>
      <c r="I6" s="49">
        <f>SUMIFS(PROVEEDORES[[#All],[Total]],
PROVEEDORES[[#All],[Total]],"&gt;0",
PROVEEDORES[[#All],[FECHA DE FACTURACIÓN]],"&gt;="&amp;I$1,
PROVEEDORES[[#All],[FECHA DE FACTURACIÓN]],"&lt;="&amp;EOMONTH(I$1,0),
PROVEEDORES[[#All],[Crédito / Contado]],"De Contado")</f>
        <v>0</v>
      </c>
      <c r="J6" s="49">
        <f>SUMIFS(PROVEEDORES[[#All],[Total]],
PROVEEDORES[[#All],[Total]],"&gt;0",
PROVEEDORES[[#All],[FECHA DE FACTURACIÓN]],"&gt;="&amp;J$1,
PROVEEDORES[[#All],[FECHA DE FACTURACIÓN]],"&lt;="&amp;EOMONTH(J$1,0),
PROVEEDORES[[#All],[Crédito / Contado]],"De Contado")</f>
        <v>0</v>
      </c>
      <c r="K6" s="49">
        <f>SUMIFS(PROVEEDORES[[#All],[Total]],
PROVEEDORES[[#All],[Total]],"&gt;0",
PROVEEDORES[[#All],[FECHA DE FACTURACIÓN]],"&gt;="&amp;K$1,
PROVEEDORES[[#All],[FECHA DE FACTURACIÓN]],"&lt;="&amp;EOMONTH(K$1,0),
PROVEEDORES[[#All],[Crédito / Contado]],"De Contado")</f>
        <v>0</v>
      </c>
      <c r="L6" s="49">
        <f>SUMIFS(PROVEEDORES[[#All],[Total]],
PROVEEDORES[[#All],[Total]],"&gt;0",
PROVEEDORES[[#All],[FECHA DE FACTURACIÓN]],"&gt;="&amp;L$1,
PROVEEDORES[[#All],[FECHA DE FACTURACIÓN]],"&lt;="&amp;EOMONTH(L$1,0),
PROVEEDORES[[#All],[Crédito / Contado]],"De Contado")</f>
        <v>0</v>
      </c>
      <c r="M6" s="49">
        <f>SUMIFS(PROVEEDORES[[#All],[Total]],
PROVEEDORES[[#All],[Total]],"&gt;0",
PROVEEDORES[[#All],[FECHA DE FACTURACIÓN]],"&gt;="&amp;M$1,
PROVEEDORES[[#All],[FECHA DE FACTURACIÓN]],"&lt;="&amp;EOMONTH(M$1,0),
PROVEEDORES[[#All],[Crédito / Contado]],"De Contado")</f>
        <v>0</v>
      </c>
      <c r="N6" s="49">
        <f>SUMIFS(PROVEEDORES[[#All],[Total]],
PROVEEDORES[[#All],[Total]],"&gt;0",
PROVEEDORES[[#All],[FECHA DE FACTURACIÓN]],"&gt;="&amp;N$1,
PROVEEDORES[[#All],[FECHA DE FACTURACIÓN]],"&lt;="&amp;EOMONTH(N$1,0),
PROVEEDORES[[#All],[Crédito / Contado]],"De Contado")</f>
        <v>37470765.909999996</v>
      </c>
      <c r="O6" s="49">
        <f>SUMIFS(PROVEEDORES[[#All],[Total]],
PROVEEDORES[[#All],[Total]],"&gt;0",
PROVEEDORES[[#All],[FECHA DE FACTURACIÓN]],"&gt;="&amp;O$1,
PROVEEDORES[[#All],[FECHA DE FACTURACIÓN]],"&lt;="&amp;EOMONTH(O$1,0),
PROVEEDORES[[#All],[Crédito / Contado]],"De Contado")</f>
        <v>8961000</v>
      </c>
      <c r="P6" s="49">
        <f>SUMIFS(PROVEEDORES[[#All],[Total]],
PROVEEDORES[[#All],[Total]],"&gt;0",
PROVEEDORES[[#All],[FECHA DE FACTURACIÓN]],"&gt;="&amp;P$1,
PROVEEDORES[[#All],[FECHA DE FACTURACIÓN]],"&lt;="&amp;EOMONTH(P$1,0),
PROVEEDORES[[#All],[Crédito / Contado]],"De Contado")</f>
        <v>11922560.76</v>
      </c>
      <c r="Q6" s="49">
        <f>SUMIFS(PROVEEDORES[[#All],[Total]],
PROVEEDORES[[#All],[Total]],"&gt;0",
PROVEEDORES[[#All],[FECHA DE FACTURACIÓN]],"&gt;="&amp;Q$1,
PROVEEDORES[[#All],[FECHA DE FACTURACIÓN]],"&lt;="&amp;EOMONTH(Q$1,0),
PROVEEDORES[[#All],[Crédito / Contado]],"De Contado")</f>
        <v>4616460.24</v>
      </c>
      <c r="R6" s="49">
        <f>SUMIFS(PROVEEDORES[[#All],[Total]],
PROVEEDORES[[#All],[Total]],"&gt;0",
PROVEEDORES[[#All],[FECHA DE FACTURACIÓN]],"&gt;="&amp;R$1,
PROVEEDORES[[#All],[FECHA DE FACTURACIÓN]],"&lt;="&amp;EOMONTH(R$1,0),
PROVEEDORES[[#All],[Crédito / Contado]],"De Contado")</f>
        <v>25264383.02</v>
      </c>
      <c r="S6" s="49">
        <f>SUMIFS(PROVEEDORES[[#All],[Total]],
PROVEEDORES[[#All],[Total]],"&gt;0",
PROVEEDORES[[#All],[FECHA DE FACTURACIÓN]],"&gt;="&amp;S$1,
PROVEEDORES[[#All],[FECHA DE FACTURACIÓN]],"&lt;="&amp;EOMONTH(S$1,0),
PROVEEDORES[[#All],[Crédito / Contado]],"De Contado")</f>
        <v>21282920.039999999</v>
      </c>
      <c r="T6" s="49">
        <f>SUMIFS(PROVEEDORES[[#All],[Total]],
PROVEEDORES[[#All],[Total]],"&gt;0",
PROVEEDORES[[#All],[FECHA DE FACTURACIÓN]],"&gt;="&amp;T$1,
PROVEEDORES[[#All],[FECHA DE FACTURACIÓN]],"&lt;="&amp;EOMONTH(T$1,0),
PROVEEDORES[[#All],[Crédito / Contado]],"De Contado")</f>
        <v>13780600</v>
      </c>
      <c r="U6" s="49">
        <f>SUMIFS(PROVEEDORES[[#All],[Total]],
PROVEEDORES[[#All],[Total]],"&gt;0",
PROVEEDORES[[#All],[FECHA DE FACTURACIÓN]],"&gt;="&amp;U$1,
PROVEEDORES[[#All],[FECHA DE FACTURACIÓN]],"&lt;="&amp;EOMONTH(U$1,0),
PROVEEDORES[[#All],[Crédito / Contado]],"De Contado")</f>
        <v>34676238.200000003</v>
      </c>
      <c r="V6" s="49">
        <f>SUMIFS(PROVEEDORES[[#All],[Total]],
PROVEEDORES[[#All],[Total]],"&gt;0",
PROVEEDORES[[#All],[FECHA DE FACTURACIÓN]],"&gt;="&amp;V$1,
PROVEEDORES[[#All],[FECHA DE FACTURACIÓN]],"&lt;="&amp;EOMONTH(V$1,0),
PROVEEDORES[[#All],[Crédito / Contado]],"De Contado")</f>
        <v>14784955.352499999</v>
      </c>
      <c r="W6" s="49">
        <f>SUMIFS(PROVEEDORES[[#All],[Total]],
PROVEEDORES[[#All],[Total]],"&gt;0",
PROVEEDORES[[#All],[FECHA DE FACTURACIÓN]],"&gt;="&amp;W$1,
PROVEEDORES[[#All],[FECHA DE FACTURACIÓN]],"&lt;="&amp;EOMONTH(W$1,0),
PROVEEDORES[[#All],[Crédito / Contado]],"De Contado")</f>
        <v>12395850</v>
      </c>
      <c r="X6" s="49">
        <f>SUMIFS(PROVEEDORES[[#All],[Total]],
PROVEEDORES[[#All],[Total]],"&gt;0",
PROVEEDORES[[#All],[FECHA DE FACTURACIÓN]],"&gt;="&amp;X$1,
PROVEEDORES[[#All],[FECHA DE FACTURACIÓN]],"&lt;="&amp;EOMONTH(X$1,0),
PROVEEDORES[[#All],[Crédito / Contado]],"De Contado")</f>
        <v>15803039.800000001</v>
      </c>
      <c r="Y6" s="49">
        <f>SUMIFS(PROVEEDORES[[#All],[Total]],
PROVEEDORES[[#All],[Total]],"&gt;0",
PROVEEDORES[[#All],[FECHA DE FACTURACIÓN]],"&gt;="&amp;Y$1,
PROVEEDORES[[#All],[FECHA DE FACTURACIÓN]],"&lt;="&amp;EOMONTH(Y$1,0),
PROVEEDORES[[#All],[Crédito / Contado]],"De Contado")</f>
        <v>23171302.879999999</v>
      </c>
      <c r="Z6" s="49">
        <f>SUMIFS(PROVEEDORES[[#All],[Total]],
PROVEEDORES[[#All],[Total]],"&gt;0",
PROVEEDORES[[#All],[FECHA DE FACTURACIÓN]],"&gt;="&amp;Z$1,
PROVEEDORES[[#All],[FECHA DE FACTURACIÓN]],"&lt;="&amp;EOMONTH(Z$1,0),
PROVEEDORES[[#All],[Crédito / Contado]],"De Contado")</f>
        <v>4184461.6</v>
      </c>
      <c r="AA6" s="49">
        <f>SUMIFS(PROVEEDORES[[#All],[Total]],
PROVEEDORES[[#All],[Total]],"&gt;0",
PROVEEDORES[[#All],[FECHA DE FACTURACIÓN]],"&gt;="&amp;AA$1,
PROVEEDORES[[#All],[FECHA DE FACTURACIÓN]],"&lt;="&amp;EOMONTH(AA$1,0),
PROVEEDORES[[#All],[Crédito / Contado]],"De Contado")</f>
        <v>9832092</v>
      </c>
      <c r="AB6" s="49">
        <f>SUMIFS(PROVEEDORES[[#All],[Total]],
PROVEEDORES[[#All],[Total]],"&gt;0",
PROVEEDORES[[#All],[FECHA DE FACTURACIÓN]],"&gt;="&amp;AB$1,
PROVEEDORES[[#All],[FECHA DE FACTURACIÓN]],"&lt;="&amp;EOMONTH(AB$1,0),
PROVEEDORES[[#All],[Crédito / Contado]],"De Contado")</f>
        <v>14208615.33</v>
      </c>
      <c r="AC6" s="49">
        <f>SUMIFS(PROVEEDORES[Total],
PROVEEDORES[Total],"&gt;0",
PROVEEDORES[FECHA DE FACTURACIÓN],"&gt;="&amp;AC$1,
PROVEEDORES[FECHA DE FACTURACIÓN],"&lt;="&amp;EOMONTH(AC$1,0),
PROVEEDORES[Crédito / Contado],"De Contado",
PROVEEDORES[X@],"FALSO")</f>
        <v>0</v>
      </c>
      <c r="AD6" s="49">
        <f>SUMIFS(PROVEEDORES[Total],
PROVEEDORES[Total],"&gt;0",
PROVEEDORES[FECHA DE FACTURACIÓN],"&gt;="&amp;AD$1,
PROVEEDORES[FECHA DE FACTURACIÓN],"&lt;="&amp;EOMONTH(AD$1,0),
PROVEEDORES[Crédito / Contado],"De Contado",
PROVEEDORES[X@],"FALSO")</f>
        <v>0</v>
      </c>
      <c r="AE6" s="49">
        <f>SUMIFS(PROVEEDORES[Total],
PROVEEDORES[Total],"&gt;0",
PROVEEDORES[FECHA DE FACTURACIÓN],"&gt;="&amp;AE$1,
PROVEEDORES[FECHA DE FACTURACIÓN],"&lt;="&amp;EOMONTH(AE$1,0),
PROVEEDORES[Crédito / Contado],"De Contado",
PROVEEDORES[X@],"FALSO")</f>
        <v>0</v>
      </c>
      <c r="AF6" s="49">
        <f>SUMIFS(PROVEEDORES[Total],
PROVEEDORES[Total],"&gt;0",
PROVEEDORES[FECHA DE FACTURACIÓN],"&gt;="&amp;AF$1,
PROVEEDORES[FECHA DE FACTURACIÓN],"&lt;="&amp;EOMONTH(AF$1,0),
PROVEEDORES[Crédito / Contado],"De Contado",
PROVEEDORES[X@],"FALSO")</f>
        <v>0</v>
      </c>
      <c r="AG6" s="49">
        <f>SUMIFS(PROVEEDORES[Total],
PROVEEDORES[Total],"&gt;0",
PROVEEDORES[FECHA DE FACTURACIÓN],"&gt;="&amp;AG$1,
PROVEEDORES[FECHA DE FACTURACIÓN],"&lt;="&amp;EOMONTH(AG$1,0),
PROVEEDORES[Crédito / Contado],"De Contado",
PROVEEDORES[X@],"FALSO")</f>
        <v>0</v>
      </c>
      <c r="AH6" s="49">
        <f>SUMIFS(PROVEEDORES[Total],
PROVEEDORES[Total],"&gt;0",
PROVEEDORES[FECHA DE FACTURACIÓN],"&gt;="&amp;AH$1,
PROVEEDORES[FECHA DE FACTURACIÓN],"&lt;="&amp;EOMONTH(AH$1,0),
PROVEEDORES[Crédito / Contado],"De Contado",
PROVEEDORES[X@],"FALSO")</f>
        <v>0</v>
      </c>
      <c r="AI6" s="49">
        <f>SUMIFS(PROVEEDORES[Total],
PROVEEDORES[Total],"&gt;0",
PROVEEDORES[FECHA DE FACTURACIÓN],"&gt;="&amp;AI$1,
PROVEEDORES[FECHA DE FACTURACIÓN],"&lt;="&amp;EOMONTH(AI$1,0),
PROVEEDORES[Crédito / Contado],"De Contado",
PROVEEDORES[X@],"FALSO")</f>
        <v>0</v>
      </c>
    </row>
    <row r="7" spans="1:35" x14ac:dyDescent="0.3">
      <c r="A7" s="39" t="s">
        <v>145</v>
      </c>
      <c r="B7" s="48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0</v>
      </c>
      <c r="C7" s="48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0</v>
      </c>
      <c r="D7" s="48">
        <f>SUMIFS(PROVEEDORES[[#All],[Total]],
PROVEEDORES[[#All],[Total]],"&gt;0",
PROVEEDORES[[#All],[FECHA DE FACTURACIÓN]],"&gt;="&amp;D$1,
PROVEEDORES[[#All],[FECHA DE FACTURACIÓN]],"&lt;="&amp;EOMONTH(D$1,0),
PROVEEDORES[[#All],[Crédito / Contado]],"Crédito")</f>
        <v>0</v>
      </c>
      <c r="E7" s="48">
        <f>SUMIFS(PROVEEDORES[[#All],[Total]],
PROVEEDORES[[#All],[Total]],"&gt;0",
PROVEEDORES[[#All],[FECHA DE FACTURACIÓN]],"&gt;="&amp;E$1,
PROVEEDORES[[#All],[FECHA DE FACTURACIÓN]],"&lt;="&amp;EOMONTH(E$1,0),
PROVEEDORES[[#All],[Crédito / Contado]],"Crédito")</f>
        <v>0</v>
      </c>
      <c r="F7" s="48">
        <f>SUMIFS(PROVEEDORES[[#All],[Total]],
PROVEEDORES[[#All],[Total]],"&gt;0",
PROVEEDORES[[#All],[FECHA DE FACTURACIÓN]],"&gt;="&amp;F$1,
PROVEEDORES[[#All],[FECHA DE FACTURACIÓN]],"&lt;="&amp;EOMONTH(F$1,0),
PROVEEDORES[[#All],[Crédito / Contado]],"Crédito")</f>
        <v>0</v>
      </c>
      <c r="G7" s="48">
        <f>SUMIFS(PROVEEDORES[[#All],[Total]],
PROVEEDORES[[#All],[Total]],"&gt;0",
PROVEEDORES[[#All],[FECHA DE FACTURACIÓN]],"&gt;="&amp;G$1,
PROVEEDORES[[#All],[FECHA DE FACTURACIÓN]],"&lt;="&amp;EOMONTH(G$1,0),
PROVEEDORES[[#All],[Crédito / Contado]],"Crédito")</f>
        <v>0</v>
      </c>
      <c r="H7" s="48">
        <f>SUMIFS(PROVEEDORES[[#All],[Total]],
PROVEEDORES[[#All],[Total]],"&gt;0",
PROVEEDORES[[#All],[FECHA DE FACTURACIÓN]],"&gt;="&amp;H$1,
PROVEEDORES[[#All],[FECHA DE FACTURACIÓN]],"&lt;="&amp;EOMONTH(H$1,0),
PROVEEDORES[[#All],[Crédito / Contado]],"Crédito")</f>
        <v>0</v>
      </c>
      <c r="I7" s="48">
        <f>SUMIFS(PROVEEDORES[[#All],[Total]],
PROVEEDORES[[#All],[Total]],"&gt;0",
PROVEEDORES[[#All],[FECHA DE FACTURACIÓN]],"&gt;="&amp;I$1,
PROVEEDORES[[#All],[FECHA DE FACTURACIÓN]],"&lt;="&amp;EOMONTH(I$1,0),
PROVEEDORES[[#All],[Crédito / Contado]],"Crédito")</f>
        <v>0</v>
      </c>
      <c r="J7" s="48">
        <f>SUMIFS(PROVEEDORES[[#All],[Total]],
PROVEEDORES[[#All],[Total]],"&gt;0",
PROVEEDORES[[#All],[FECHA DE FACTURACIÓN]],"&gt;="&amp;J$1,
PROVEEDORES[[#All],[FECHA DE FACTURACIÓN]],"&lt;="&amp;EOMONTH(J$1,0),
PROVEEDORES[[#All],[Crédito / Contado]],"Crédito")</f>
        <v>0</v>
      </c>
      <c r="K7" s="48">
        <f>SUMIFS(PROVEEDORES[[#All],[Total]],
PROVEEDORES[[#All],[Total]],"&gt;0",
PROVEEDORES[[#All],[FECHA DE FACTURACIÓN]],"&gt;="&amp;K$1,
PROVEEDORES[[#All],[FECHA DE FACTURACIÓN]],"&lt;="&amp;EOMONTH(K$1,0),
PROVEEDORES[[#All],[Crédito / Contado]],"Crédito")</f>
        <v>0</v>
      </c>
      <c r="L7" s="48">
        <f>SUMIFS(PROVEEDORES[[#All],[Total]],
PROVEEDORES[[#All],[Total]],"&gt;0",
PROVEEDORES[[#All],[FECHA DE FACTURACIÓN]],"&gt;="&amp;L$1,
PROVEEDORES[[#All],[FECHA DE FACTURACIÓN]],"&lt;="&amp;EOMONTH(L$1,0),
PROVEEDORES[[#All],[Crédito / Contado]],"Crédito")</f>
        <v>23629977.225491598</v>
      </c>
      <c r="M7" s="48">
        <f>SUMIFS(PROVEEDORES[[#All],[Total]],
PROVEEDORES[[#All],[Total]],"&gt;0",
PROVEEDORES[[#All],[FECHA DE FACTURACIÓN]],"&gt;="&amp;M$1,
PROVEEDORES[[#All],[FECHA DE FACTURACIÓN]],"&lt;="&amp;EOMONTH(M$1,0),
PROVEEDORES[[#All],[Crédito / Contado]],"Crédito")</f>
        <v>239242494.96659666</v>
      </c>
      <c r="N7" s="48">
        <f>SUMIFS(PROVEEDORES[[#All],[Total]],
PROVEEDORES[[#All],[Total]],"&gt;0",
PROVEEDORES[[#All],[FECHA DE FACTURACIÓN]],"&gt;="&amp;N$1,
PROVEEDORES[[#All],[FECHA DE FACTURACIÓN]],"&lt;="&amp;EOMONTH(N$1,0),
PROVEEDORES[[#All],[Crédito / Contado]],"Crédito")</f>
        <v>58723944.971138231</v>
      </c>
      <c r="O7" s="48">
        <f>SUMIFS(PROVEEDORES[[#All],[Total]],
PROVEEDORES[[#All],[Total]],"&gt;0",
PROVEEDORES[[#All],[FECHA DE FACTURACIÓN]],"&gt;="&amp;O$1,
PROVEEDORES[[#All],[FECHA DE FACTURACIÓN]],"&lt;="&amp;EOMONTH(O$1,0),
PROVEEDORES[[#All],[Crédito / Contado]],"Crédito")</f>
        <v>83004981.411599994</v>
      </c>
      <c r="P7" s="48">
        <f>SUMIFS(PROVEEDORES[[#All],[Total]],
PROVEEDORES[[#All],[Total]],"&gt;0",
PROVEEDORES[[#All],[FECHA DE FACTURACIÓN]],"&gt;="&amp;P$1,
PROVEEDORES[[#All],[FECHA DE FACTURACIÓN]],"&lt;="&amp;EOMONTH(P$1,0),
PROVEEDORES[[#All],[Crédito / Contado]],"Crédito")</f>
        <v>131087015.609975</v>
      </c>
      <c r="Q7" s="48">
        <f>SUMIFS(PROVEEDORES[[#All],[Total]],
PROVEEDORES[[#All],[Total]],"&gt;0",
PROVEEDORES[[#All],[FECHA DE FACTURACIÓN]],"&gt;="&amp;Q$1,
PROVEEDORES[[#All],[FECHA DE FACTURACIÓN]],"&lt;="&amp;EOMONTH(Q$1,0),
PROVEEDORES[[#All],[Crédito / Contado]],"Crédito")</f>
        <v>113106410.06569</v>
      </c>
      <c r="R7" s="48">
        <f>SUMIFS(PROVEEDORES[[#All],[Total]],
PROVEEDORES[[#All],[Total]],"&gt;0",
PROVEEDORES[[#All],[FECHA DE FACTURACIÓN]],"&gt;="&amp;R$1,
PROVEEDORES[[#All],[FECHA DE FACTURACIÓN]],"&lt;="&amp;EOMONTH(R$1,0),
PROVEEDORES[[#All],[Crédito / Contado]],"Crédito")</f>
        <v>118118371.86700925</v>
      </c>
      <c r="S7" s="48">
        <f>SUMIFS(PROVEEDORES[[#All],[Total]],
PROVEEDORES[[#All],[Total]],"&gt;0",
PROVEEDORES[[#All],[FECHA DE FACTURACIÓN]],"&gt;="&amp;S$1,
PROVEEDORES[[#All],[FECHA DE FACTURACIÓN]],"&lt;="&amp;EOMONTH(S$1,0),
PROVEEDORES[[#All],[Crédito / Contado]],"Crédito")</f>
        <v>163029677.74677479</v>
      </c>
      <c r="T7" s="48">
        <f>SUMIFS(PROVEEDORES[[#All],[Total]],
PROVEEDORES[[#All],[Total]],"&gt;0",
PROVEEDORES[[#All],[FECHA DE FACTURACIÓN]],"&gt;="&amp;T$1,
PROVEEDORES[[#All],[FECHA DE FACTURACIÓN]],"&lt;="&amp;EOMONTH(T$1,0),
PROVEEDORES[[#All],[Crédito / Contado]],"Crédito")</f>
        <v>181262885.56134999</v>
      </c>
      <c r="U7" s="48">
        <f>SUMIFS(PROVEEDORES[[#All],[Total]],
PROVEEDORES[[#All],[Total]],"&gt;0",
PROVEEDORES[[#All],[FECHA DE FACTURACIÓN]],"&gt;="&amp;U$1,
PROVEEDORES[[#All],[FECHA DE FACTURACIÓN]],"&lt;="&amp;EOMONTH(U$1,0),
PROVEEDORES[[#All],[Crédito / Contado]],"Crédito")</f>
        <v>203475901.07205001</v>
      </c>
      <c r="V7" s="48">
        <f>SUMIFS(PROVEEDORES[[#All],[Total]],
PROVEEDORES[[#All],[Total]],"&gt;0",
PROVEEDORES[[#All],[FECHA DE FACTURACIÓN]],"&gt;="&amp;V$1,
PROVEEDORES[[#All],[FECHA DE FACTURACIÓN]],"&lt;="&amp;EOMONTH(V$1,0),
PROVEEDORES[[#All],[Crédito / Contado]],"Crédito")</f>
        <v>135811549.34450004</v>
      </c>
      <c r="W7" s="48">
        <f>SUMIFS(PROVEEDORES[[#All],[Total]],
PROVEEDORES[[#All],[Total]],"&gt;0",
PROVEEDORES[[#All],[FECHA DE FACTURACIÓN]],"&gt;="&amp;W$1,
PROVEEDORES[[#All],[FECHA DE FACTURACIÓN]],"&lt;="&amp;EOMONTH(W$1,0),
PROVEEDORES[[#All],[Crédito / Contado]],"Crédito")</f>
        <v>223878521.02489999</v>
      </c>
      <c r="X7" s="48">
        <f>SUMIFS(PROVEEDORES[[#All],[Total]],
PROVEEDORES[[#All],[Total]],"&gt;0",
PROVEEDORES[[#All],[FECHA DE FACTURACIÓN]],"&gt;="&amp;X$1,
PROVEEDORES[[#All],[FECHA DE FACTURACIÓN]],"&lt;="&amp;EOMONTH(X$1,0),
PROVEEDORES[[#All],[Crédito / Contado]],"Crédito")</f>
        <v>203014740.16984999</v>
      </c>
      <c r="Y7" s="48">
        <f>SUMIFS(PROVEEDORES[[#All],[Total]],
PROVEEDORES[[#All],[Total]],"&gt;0",
PROVEEDORES[[#All],[FECHA DE FACTURACIÓN]],"&gt;="&amp;Y$1,
PROVEEDORES[[#All],[FECHA DE FACTURACIÓN]],"&lt;="&amp;EOMONTH(Y$1,0),
PROVEEDORES[[#All],[Crédito / Contado]],"Crédito")</f>
        <v>350578933.74624997</v>
      </c>
      <c r="Z7" s="48">
        <f>SUMIFS(PROVEEDORES[[#All],[Total]],
PROVEEDORES[[#All],[Total]],"&gt;0",
PROVEEDORES[[#All],[FECHA DE FACTURACIÓN]],"&gt;="&amp;Z$1,
PROVEEDORES[[#All],[FECHA DE FACTURACIÓN]],"&lt;="&amp;EOMONTH(Z$1,0),
PROVEEDORES[[#All],[Crédito / Contado]],"Crédito")</f>
        <v>177773066.2543</v>
      </c>
      <c r="AA7" s="48">
        <f>SUMIFS(PROVEEDORES[[#All],[Total]],
PROVEEDORES[[#All],[Total]],"&gt;0",
PROVEEDORES[[#All],[FECHA DE FACTURACIÓN]],"&gt;="&amp;AA$1,
PROVEEDORES[[#All],[FECHA DE FACTURACIÓN]],"&lt;="&amp;EOMONTH(AA$1,0),
PROVEEDORES[[#All],[Crédito / Contado]],"Crédito")</f>
        <v>102540526.9707</v>
      </c>
      <c r="AB7" s="48">
        <f>SUMIFS(PROVEEDORES[[#All],[Total]],
PROVEEDORES[[#All],[Total]],"&gt;0",
PROVEEDORES[[#All],[FECHA DE FACTURACIÓN]],"&gt;="&amp;AB$1,
PROVEEDORES[[#All],[FECHA DE FACTURACIÓN]],"&lt;="&amp;EOMONTH(AB$1,0),
PROVEEDORES[[#All],[Crédito / Contado]],"Crédito")</f>
        <v>275574335.68774998</v>
      </c>
      <c r="AC7" s="48">
        <f>SUMIFS(PROVEEDORES[Total],
PROVEEDORES[Total],"&gt;0",
PROVEEDORES[FECHA DE FACTURACIÓN],"&gt;="&amp;AC$1,
PROVEEDORES[FECHA DE FACTURACIÓN],"&lt;="&amp;EOMONTH(AC$1,0),
PROVEEDORES[Crédito / Contado],"Crédito",
PROVEEDORES[X@],"FALSO")</f>
        <v>0</v>
      </c>
      <c r="AD7" s="48">
        <f>SUMIFS(PROVEEDORES[Total],
PROVEEDORES[Total],"&gt;0",
PROVEEDORES[FECHA DE FACTURACIÓN],"&gt;="&amp;AD$1,
PROVEEDORES[FECHA DE FACTURACIÓN],"&lt;="&amp;EOMONTH(AD$1,0),
PROVEEDORES[Crédito / Contado],"Crédito",
PROVEEDORES[X@],"FALSO")</f>
        <v>0</v>
      </c>
      <c r="AE7" s="48">
        <f>SUMIFS(PROVEEDORES[Total],
PROVEEDORES[Total],"&gt;0",
PROVEEDORES[FECHA DE FACTURACIÓN],"&gt;="&amp;AE$1,
PROVEEDORES[FECHA DE FACTURACIÓN],"&lt;="&amp;EOMONTH(AE$1,0),
PROVEEDORES[Crédito / Contado],"Crédito",
PROVEEDORES[X@],"FALSO")</f>
        <v>0</v>
      </c>
      <c r="AF7" s="48">
        <f>SUMIFS(PROVEEDORES[Total],
PROVEEDORES[Total],"&gt;0",
PROVEEDORES[FECHA DE FACTURACIÓN],"&gt;="&amp;AF$1,
PROVEEDORES[FECHA DE FACTURACIÓN],"&lt;="&amp;EOMONTH(AF$1,0),
PROVEEDORES[Crédito / Contado],"Crédito",
PROVEEDORES[X@],"FALSO")</f>
        <v>0</v>
      </c>
      <c r="AG7" s="48">
        <f>SUMIFS(PROVEEDORES[Total],
PROVEEDORES[Total],"&gt;0",
PROVEEDORES[FECHA DE FACTURACIÓN],"&gt;="&amp;AG$1,
PROVEEDORES[FECHA DE FACTURACIÓN],"&lt;="&amp;EOMONTH(AG$1,0),
PROVEEDORES[Crédito / Contado],"Crédito",
PROVEEDORES[X@],"FALSO")</f>
        <v>0</v>
      </c>
      <c r="AH7" s="48">
        <f>SUMIFS(PROVEEDORES[Total],
PROVEEDORES[Total],"&gt;0",
PROVEEDORES[FECHA DE FACTURACIÓN],"&gt;="&amp;AH$1,
PROVEEDORES[FECHA DE FACTURACIÓN],"&lt;="&amp;EOMONTH(AH$1,0),
PROVEEDORES[Crédito / Contado],"Crédito",
PROVEEDORES[X@],"FALSO")</f>
        <v>0</v>
      </c>
      <c r="AI7" s="48">
        <f>SUMIFS(PROVEEDORES[Total],
PROVEEDORES[Total],"&gt;0",
PROVEEDORES[FECHA DE FACTURACIÓN],"&gt;="&amp;AI$1,
PROVEEDORES[FECHA DE FACTURACIÓN],"&lt;="&amp;EOMONTH(AI$1,0),
PROVEEDORES[Crédito / Contado],"Crédito",
PROVEEDORES[X@],"FALSO")</f>
        <v>0</v>
      </c>
    </row>
    <row r="8" spans="1:35" x14ac:dyDescent="0.3">
      <c r="A8" s="40" t="s">
        <v>146</v>
      </c>
      <c r="B8" s="49">
        <f t="shared" ref="B8:AC8" si="0">B6+B7</f>
        <v>0</v>
      </c>
      <c r="C8" s="49">
        <f t="shared" si="0"/>
        <v>0</v>
      </c>
      <c r="D8" s="49">
        <f t="shared" si="0"/>
        <v>0</v>
      </c>
      <c r="E8" s="49">
        <f t="shared" si="0"/>
        <v>0</v>
      </c>
      <c r="F8" s="49">
        <f t="shared" si="0"/>
        <v>0</v>
      </c>
      <c r="G8" s="49">
        <f t="shared" si="0"/>
        <v>0</v>
      </c>
      <c r="H8" s="49">
        <f t="shared" si="0"/>
        <v>0</v>
      </c>
      <c r="I8" s="49">
        <f t="shared" si="0"/>
        <v>0</v>
      </c>
      <c r="J8" s="49">
        <f t="shared" si="0"/>
        <v>0</v>
      </c>
      <c r="K8" s="49">
        <f t="shared" si="0"/>
        <v>0</v>
      </c>
      <c r="L8" s="49">
        <f t="shared" si="0"/>
        <v>23629977.225491598</v>
      </c>
      <c r="M8" s="49">
        <f t="shared" si="0"/>
        <v>239242494.96659666</v>
      </c>
      <c r="N8" s="49">
        <f t="shared" si="0"/>
        <v>96194710.881138235</v>
      </c>
      <c r="O8" s="49">
        <f t="shared" si="0"/>
        <v>91965981.411599994</v>
      </c>
      <c r="P8" s="49">
        <f t="shared" si="0"/>
        <v>143009576.369975</v>
      </c>
      <c r="Q8" s="49">
        <f t="shared" si="0"/>
        <v>117722870.30568999</v>
      </c>
      <c r="R8" s="49">
        <f t="shared" si="0"/>
        <v>143382754.88700926</v>
      </c>
      <c r="S8" s="49">
        <f t="shared" si="0"/>
        <v>184312597.78677478</v>
      </c>
      <c r="T8" s="49">
        <f t="shared" si="0"/>
        <v>195043485.56134999</v>
      </c>
      <c r="U8" s="49">
        <f t="shared" si="0"/>
        <v>238152139.27205002</v>
      </c>
      <c r="V8" s="49">
        <f t="shared" si="0"/>
        <v>150596504.69700003</v>
      </c>
      <c r="W8" s="49">
        <f t="shared" si="0"/>
        <v>236274371.02489999</v>
      </c>
      <c r="X8" s="49">
        <f t="shared" si="0"/>
        <v>218817779.96985</v>
      </c>
      <c r="Y8" s="49">
        <f t="shared" si="0"/>
        <v>373750236.62624997</v>
      </c>
      <c r="Z8" s="49">
        <f t="shared" si="0"/>
        <v>181957527.85429999</v>
      </c>
      <c r="AA8" s="49">
        <f t="shared" si="0"/>
        <v>112372618.9707</v>
      </c>
      <c r="AB8" s="49">
        <f t="shared" si="0"/>
        <v>289782951.01774997</v>
      </c>
      <c r="AC8" s="49">
        <f t="shared" si="0"/>
        <v>0</v>
      </c>
      <c r="AD8" s="49">
        <f t="shared" ref="AD8:AE8" si="1">AD6+AD7</f>
        <v>0</v>
      </c>
      <c r="AE8" s="49">
        <f t="shared" si="1"/>
        <v>0</v>
      </c>
      <c r="AF8" s="49">
        <f t="shared" ref="AF8" si="2">AF6+AF7</f>
        <v>0</v>
      </c>
      <c r="AG8" s="49">
        <f t="shared" ref="AG8" si="3">AG6+AG7</f>
        <v>0</v>
      </c>
      <c r="AH8" s="49">
        <f t="shared" ref="AH8" si="4">AH6+AH7</f>
        <v>0</v>
      </c>
      <c r="AI8" s="49">
        <f t="shared" ref="AI8" si="5">AI6+AI7</f>
        <v>0</v>
      </c>
    </row>
    <row r="9" spans="1:35" ht="26.4" x14ac:dyDescent="0.3">
      <c r="A9" s="39" t="s">
        <v>172</v>
      </c>
      <c r="B9" s="48">
        <f t="shared" ref="B9:AC9" si="6">B10+B11</f>
        <v>837377564.85488355</v>
      </c>
      <c r="C9" s="48">
        <f t="shared" si="6"/>
        <v>828371667.09314048</v>
      </c>
      <c r="D9" s="48">
        <f t="shared" si="6"/>
        <v>882385808.94999993</v>
      </c>
      <c r="E9" s="48">
        <f t="shared" si="6"/>
        <v>883621757.94999993</v>
      </c>
      <c r="F9" s="48">
        <f t="shared" si="6"/>
        <v>936094623.94999993</v>
      </c>
      <c r="G9" s="48">
        <f t="shared" si="6"/>
        <v>1130051299.6999998</v>
      </c>
      <c r="H9" s="48">
        <f t="shared" si="6"/>
        <v>1064803357.1499999</v>
      </c>
      <c r="I9" s="48">
        <f t="shared" si="6"/>
        <v>1095295893.8199999</v>
      </c>
      <c r="J9" s="48">
        <f t="shared" si="6"/>
        <v>1147392333.7699997</v>
      </c>
      <c r="K9" s="48">
        <f t="shared" si="6"/>
        <v>1112196058.8099997</v>
      </c>
      <c r="L9" s="48">
        <f t="shared" si="6"/>
        <v>1127365577.3054914</v>
      </c>
      <c r="M9" s="48">
        <f t="shared" si="6"/>
        <v>1359788405.650795</v>
      </c>
      <c r="N9" s="48">
        <f t="shared" si="6"/>
        <v>1367183779.5185342</v>
      </c>
      <c r="O9" s="48">
        <f t="shared" si="6"/>
        <v>1435940129.3151796</v>
      </c>
      <c r="P9" s="48">
        <f t="shared" si="6"/>
        <v>1439853785.2279844</v>
      </c>
      <c r="Q9" s="48">
        <f t="shared" si="6"/>
        <v>1499797622.3369451</v>
      </c>
      <c r="R9" s="48">
        <f t="shared" si="6"/>
        <v>1484301002.5633395</v>
      </c>
      <c r="S9" s="48">
        <f t="shared" si="6"/>
        <v>1441956491.3185363</v>
      </c>
      <c r="T9" s="48">
        <f t="shared" si="6"/>
        <v>1464367884.0125093</v>
      </c>
      <c r="U9" s="48">
        <f t="shared" si="6"/>
        <v>1522786659.3218586</v>
      </c>
      <c r="V9" s="48">
        <f t="shared" si="6"/>
        <v>1505305052.5729656</v>
      </c>
      <c r="W9" s="48">
        <f t="shared" si="6"/>
        <v>1430387216.6067307</v>
      </c>
      <c r="X9" s="48">
        <f t="shared" si="6"/>
        <v>1560465560.615859</v>
      </c>
      <c r="Y9" s="48">
        <f t="shared" si="6"/>
        <v>1575844294.0708046</v>
      </c>
      <c r="Z9" s="48">
        <f t="shared" si="6"/>
        <v>1549867506.3784723</v>
      </c>
      <c r="AA9" s="48">
        <f t="shared" si="6"/>
        <v>1547002572.5498474</v>
      </c>
      <c r="AB9" s="48">
        <f t="shared" si="6"/>
        <v>1599857669.7732105</v>
      </c>
      <c r="AC9" s="48">
        <f t="shared" si="6"/>
        <v>1263303796.9005759</v>
      </c>
      <c r="AD9" s="48">
        <f t="shared" ref="AD9:AE9" si="7">AD10+AD11</f>
        <v>1272061834.6426816</v>
      </c>
      <c r="AE9" s="48">
        <f t="shared" si="7"/>
        <v>1231381997.1112087</v>
      </c>
      <c r="AF9" s="48">
        <f t="shared" ref="AF9" si="8">AF10+AF11</f>
        <v>1230649559.4154203</v>
      </c>
      <c r="AG9" s="48">
        <f t="shared" ref="AG9" si="9">AG10+AG11</f>
        <v>1213674221.5670741</v>
      </c>
      <c r="AH9" s="48">
        <f t="shared" ref="AH9" si="10">AH10+AH11</f>
        <v>1188267270.7870739</v>
      </c>
      <c r="AI9" s="48">
        <f t="shared" ref="AI9" si="11">AI10+AI11</f>
        <v>1169789887.3470736</v>
      </c>
    </row>
    <row r="10" spans="1:35" x14ac:dyDescent="0.3">
      <c r="A10" s="40" t="s">
        <v>147</v>
      </c>
      <c r="B10" s="49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0</v>
      </c>
      <c r="C10" s="49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0</v>
      </c>
      <c r="D10" s="49">
        <f xml:space="preserve">
SUMIFS(PROVEEDORES[[#All],[Total]],
PROVEEDORES[[#All],[FECHA DE FACTURACIÓN]],"&lt;="&amp;EOMONTH(D$1,0),
PROVEEDORES[[#All],[FECHA DE PAGO]],"")
+
SUMIFS(PROVEEDORES[[#All],[Total]],
PROVEEDORES[[#All],[FECHA DE FACTURACIÓN]],"&lt;="&amp;EOMONTH(D$1,0),
PROVEEDORES[[#All],[FECHA DE PAGO]],"&gt;"&amp;EOMONTH(D$1,0))</f>
        <v>0</v>
      </c>
      <c r="E10" s="49">
        <f xml:space="preserve">
SUMIFS(PROVEEDORES[[#All],[Total]],
PROVEEDORES[[#All],[FECHA DE FACTURACIÓN]],"&lt;="&amp;EOMONTH(E$1,0),
PROVEEDORES[[#All],[FECHA DE PAGO]],"")
+
SUMIFS(PROVEEDORES[[#All],[Total]],
PROVEEDORES[[#All],[FECHA DE FACTURACIÓN]],"&lt;="&amp;EOMONTH(E$1,0),
PROVEEDORES[[#All],[FECHA DE PAGO]],"&gt;"&amp;EOMONTH(E$1,0))</f>
        <v>0</v>
      </c>
      <c r="F10" s="49">
        <f xml:space="preserve">
SUMIFS(PROVEEDORES[[#All],[Total]],
PROVEEDORES[[#All],[FECHA DE FACTURACIÓN]],"&lt;="&amp;EOMONTH(F$1,0),
PROVEEDORES[[#All],[FECHA DE PAGO]],"")
+
SUMIFS(PROVEEDORES[[#All],[Total]],
PROVEEDORES[[#All],[FECHA DE FACTURACIÓN]],"&lt;="&amp;EOMONTH(F$1,0),
PROVEEDORES[[#All],[FECHA DE PAGO]],"&gt;"&amp;EOMONTH(F$1,0))</f>
        <v>0</v>
      </c>
      <c r="G10" s="49">
        <f xml:space="preserve">
SUMIFS(PROVEEDORES[[#All],[Total]],
PROVEEDORES[[#All],[FECHA DE FACTURACIÓN]],"&lt;="&amp;EOMONTH(G$1,0),
PROVEEDORES[[#All],[FECHA DE PAGO]],"")
+
SUMIFS(PROVEEDORES[[#All],[Total]],
PROVEEDORES[[#All],[FECHA DE FACTURACIÓN]],"&lt;="&amp;EOMONTH(G$1,0),
PROVEEDORES[[#All],[FECHA DE PAGO]],"&gt;"&amp;EOMONTH(G$1,0))</f>
        <v>0</v>
      </c>
      <c r="H10" s="49">
        <f xml:space="preserve">
SUMIFS(PROVEEDORES[[#All],[Total]],
PROVEEDORES[[#All],[FECHA DE FACTURACIÓN]],"&lt;="&amp;EOMONTH(H$1,0),
PROVEEDORES[[#All],[FECHA DE PAGO]],"")
+
SUMIFS(PROVEEDORES[[#All],[Total]],
PROVEEDORES[[#All],[FECHA DE FACTURACIÓN]],"&lt;="&amp;EOMONTH(H$1,0),
PROVEEDORES[[#All],[FECHA DE PAGO]],"&gt;"&amp;EOMONTH(H$1,0))</f>
        <v>0</v>
      </c>
      <c r="I10" s="49">
        <f xml:space="preserve">
SUMIFS(PROVEEDORES[[#All],[Total]],
PROVEEDORES[[#All],[FECHA DE FACTURACIÓN]],"&lt;="&amp;EOMONTH(I$1,0),
PROVEEDORES[[#All],[FECHA DE PAGO]],"")
+
SUMIFS(PROVEEDORES[[#All],[Total]],
PROVEEDORES[[#All],[FECHA DE FACTURACIÓN]],"&lt;="&amp;EOMONTH(I$1,0),
PROVEEDORES[[#All],[FECHA DE PAGO]],"&gt;"&amp;EOMONTH(I$1,0))</f>
        <v>0</v>
      </c>
      <c r="J10" s="49">
        <f xml:space="preserve">
SUMIFS(PROVEEDORES[[#All],[Total]],
PROVEEDORES[[#All],[FECHA DE FACTURACIÓN]],"&lt;="&amp;EOMONTH(J$1,0),
PROVEEDORES[[#All],[FECHA DE PAGO]],"")
+
SUMIFS(PROVEEDORES[[#All],[Total]],
PROVEEDORES[[#All],[FECHA DE FACTURACIÓN]],"&lt;="&amp;EOMONTH(J$1,0),
PROVEEDORES[[#All],[FECHA DE PAGO]],"&gt;"&amp;EOMONTH(J$1,0))</f>
        <v>0</v>
      </c>
      <c r="K10" s="49">
        <f xml:space="preserve">
SUMIFS(PROVEEDORES[[#All],[Total]],
PROVEEDORES[[#All],[FECHA DE FACTURACIÓN]],"&lt;="&amp;EOMONTH(K$1,0),
PROVEEDORES[[#All],[FECHA DE PAGO]],"")
+
SUMIFS(PROVEEDORES[[#All],[Total]],
PROVEEDORES[[#All],[FECHA DE FACTURACIÓN]],"&lt;="&amp;EOMONTH(K$1,0),
PROVEEDORES[[#All],[FECHA DE PAGO]],"&gt;"&amp;EOMONTH(K$1,0))</f>
        <v>0</v>
      </c>
      <c r="L10" s="49">
        <f xml:space="preserve">
SUMIFS(PROVEEDORES[[#All],[Total]],
PROVEEDORES[[#All],[FECHA DE FACTURACIÓN]],"&lt;="&amp;EOMONTH(L$1,0),
PROVEEDORES[[#All],[FECHA DE PAGO]],"")
+
SUMIFS(PROVEEDORES[[#All],[Total]],
PROVEEDORES[[#All],[FECHA DE FACTURACIÓN]],"&lt;="&amp;EOMONTH(L$1,0),
PROVEEDORES[[#All],[FECHA DE PAGO]],"&gt;"&amp;EOMONTH(L$1,0))</f>
        <v>23210156.225491598</v>
      </c>
      <c r="M10" s="49">
        <f xml:space="preserve">
SUMIFS(PROVEEDORES[[#All],[Total]],
PROVEEDORES[[#All],[FECHA DE FACTURACIÓN]],"&lt;="&amp;EOMONTH(M$1,0),
PROVEEDORES[[#All],[FECHA DE PAGO]],"")
+
SUMIFS(PROVEEDORES[[#All],[Total]],
PROVEEDORES[[#All],[FECHA DE FACTURACIÓN]],"&lt;="&amp;EOMONTH(M$1,0),
PROVEEDORES[[#All],[FECHA DE PAGO]],"&gt;"&amp;EOMONTH(M$1,0))</f>
        <v>241838350.33208826</v>
      </c>
      <c r="N10" s="49">
        <f xml:space="preserve">
SUMIFS(PROVEEDORES[[#All],[Total]],
PROVEEDORES[[#All],[FECHA DE FACTURACIÓN]],"&lt;="&amp;EOMONTH(N$1,0),
PROVEEDORES[[#All],[FECHA DE PAGO]],"")
+
SUMIFS(PROVEEDORES[[#All],[Total]],
PROVEEDORES[[#All],[FECHA DE FACTURACIÓN]],"&lt;="&amp;EOMONTH(N$1,0),
PROVEEDORES[[#All],[FECHA DE PAGO]],"&gt;"&amp;EOMONTH(N$1,0))</f>
        <v>243719783.82382733</v>
      </c>
      <c r="O10" s="49">
        <f xml:space="preserve">
SUMIFS(PROVEEDORES[[#All],[Total]],
PROVEEDORES[[#All],[FECHA DE FACTURACIÓN]],"&lt;="&amp;EOMONTH(O$1,0),
PROVEEDORES[[#All],[FECHA DE PAGO]],"")
+
SUMIFS(PROVEEDORES[[#All],[Total]],
PROVEEDORES[[#All],[FECHA DE FACTURACIÓN]],"&lt;="&amp;EOMONTH(O$1,0),
PROVEEDORES[[#All],[FECHA DE PAGO]],"&gt;"&amp;EOMONTH(O$1,0))</f>
        <v>233195941.00177941</v>
      </c>
      <c r="P10" s="49">
        <f xml:space="preserve">
SUMIFS(PROVEEDORES[[#All],[Total]],
PROVEEDORES[[#All],[FECHA DE FACTURACIÓN]],"&lt;="&amp;EOMONTH(P$1,0),
PROVEEDORES[[#All],[FECHA DE PAGO]],"")
+
SUMIFS(PROVEEDORES[[#All],[Total]],
PROVEEDORES[[#All],[FECHA DE FACTURACIÓN]],"&lt;="&amp;EOMONTH(P$1,0),
PROVEEDORES[[#All],[FECHA DE PAGO]],"&gt;"&amp;EOMONTH(P$1,0))</f>
        <v>207002805.76815</v>
      </c>
      <c r="Q10" s="49">
        <f xml:space="preserve">
SUMIFS(PROVEEDORES[[#All],[Total]],
PROVEEDORES[[#All],[FECHA DE FACTURACIÓN]],"&lt;="&amp;EOMONTH(Q$1,0),
PROVEEDORES[[#All],[FECHA DE PAGO]],"")
+
SUMIFS(PROVEEDORES[[#All],[Total]],
PROVEEDORES[[#All],[FECHA DE FACTURACIÓN]],"&lt;="&amp;EOMONTH(Q$1,0),
PROVEEDORES[[#All],[FECHA DE PAGO]],"&gt;"&amp;EOMONTH(Q$1,0))</f>
        <v>250010403.86091229</v>
      </c>
      <c r="R10" s="49">
        <f xml:space="preserve">
SUMIFS(PROVEEDORES[[#All],[Total]],
PROVEEDORES[[#All],[FECHA DE FACTURACIÓN]],"&lt;="&amp;EOMONTH(R$1,0),
PROVEEDORES[[#All],[FECHA DE PAGO]],"")
+
SUMIFS(PROVEEDORES[[#All],[Total]],
PROVEEDORES[[#All],[FECHA DE FACTURACIÓN]],"&lt;="&amp;EOMONTH(R$1,0),
PROVEEDORES[[#All],[FECHA DE PAGO]],"&gt;"&amp;EOMONTH(R$1,0))</f>
        <v>224489808.33378151</v>
      </c>
      <c r="S10" s="49">
        <f xml:space="preserve">
SUMIFS(PROVEEDORES[[#All],[Total]],
PROVEEDORES[[#All],[FECHA DE FACTURACIÓN]],"&lt;="&amp;EOMONTH(S$1,0),
PROVEEDORES[[#All],[FECHA DE PAGO]],"")
+
SUMIFS(PROVEEDORES[[#All],[Total]],
PROVEEDORES[[#All],[FECHA DE FACTURACIÓN]],"&lt;="&amp;EOMONTH(S$1,0),
PROVEEDORES[[#All],[FECHA DE PAGO]],"&gt;"&amp;EOMONTH(S$1,0))</f>
        <v>200098873.95323002</v>
      </c>
      <c r="T10" s="49">
        <f xml:space="preserve">
SUMIFS(PROVEEDORES[[#All],[Total]],
PROVEEDORES[[#All],[FECHA DE FACTURACIÓN]],"&lt;="&amp;EOMONTH(T$1,0),
PROVEEDORES[[#All],[FECHA DE PAGO]],"")
+
SUMIFS(PROVEEDORES[[#All],[Total]],
PROVEEDORES[[#All],[FECHA DE FACTURACIÓN]],"&lt;="&amp;EOMONTH(T$1,0),
PROVEEDORES[[#All],[FECHA DE PAGO]],"&gt;"&amp;EOMONTH(T$1,0))</f>
        <v>237843609.42755002</v>
      </c>
      <c r="U10" s="49">
        <f xml:space="preserve">
SUMIFS(PROVEEDORES[[#All],[Total]],
PROVEEDORES[[#All],[FECHA DE FACTURACIÓN]],"&lt;="&amp;EOMONTH(U$1,0),
PROVEEDORES[[#All],[FECHA DE PAGO]],"")
+
SUMIFS(PROVEEDORES[[#All],[Total]],
PROVEEDORES[[#All],[FECHA DE FACTURACIÓN]],"&lt;="&amp;EOMONTH(U$1,0),
PROVEEDORES[[#All],[FECHA DE PAGO]],"&gt;"&amp;EOMONTH(U$1,0))</f>
        <v>286250493.17114997</v>
      </c>
      <c r="V10" s="49">
        <f xml:space="preserve">
SUMIFS(PROVEEDORES[[#All],[Total]],
PROVEEDORES[[#All],[FECHA DE FACTURACIÓN]],"&lt;="&amp;EOMONTH(V$1,0),
PROVEEDORES[[#All],[FECHA DE PAGO]],"")
+
SUMIFS(PROVEEDORES[[#All],[Total]],
PROVEEDORES[[#All],[FECHA DE FACTURACIÓN]],"&lt;="&amp;EOMONTH(V$1,0),
PROVEEDORES[[#All],[FECHA DE PAGO]],"&gt;"&amp;EOMONTH(V$1,0))</f>
        <v>294315014.43145001</v>
      </c>
      <c r="W10" s="49">
        <f xml:space="preserve">
SUMIFS(PROVEEDORES[[#All],[Total]],
PROVEEDORES[[#All],[FECHA DE FACTURACIÓN]],"&lt;="&amp;EOMONTH(W$1,0),
PROVEEDORES[[#All],[FECHA DE PAGO]],"")
+
SUMIFS(PROVEEDORES[[#All],[Total]],
PROVEEDORES[[#All],[FECHA DE FACTURACIÓN]],"&lt;="&amp;EOMONTH(W$1,0),
PROVEEDORES[[#All],[FECHA DE PAGO]],"&gt;"&amp;EOMONTH(W$1,0))</f>
        <v>260608255.26820001</v>
      </c>
      <c r="X10" s="49">
        <f xml:space="preserve">
SUMIFS(PROVEEDORES[[#All],[Total]],
PROVEEDORES[[#All],[FECHA DE FACTURACIÓN]],"&lt;="&amp;EOMONTH(X$1,0),
PROVEEDORES[[#All],[FECHA DE PAGO]],"")
+
SUMIFS(PROVEEDORES[[#All],[Total]],
PROVEEDORES[[#All],[FECHA DE FACTURACIÓN]],"&lt;="&amp;EOMONTH(X$1,0),
PROVEEDORES[[#All],[FECHA DE PAGO]],"&gt;"&amp;EOMONTH(X$1,0))</f>
        <v>300978632.38304996</v>
      </c>
      <c r="Y10" s="49">
        <f xml:space="preserve">
SUMIFS(PROVEEDORES[[#All],[Total]],
PROVEEDORES[[#All],[FECHA DE FACTURACIÓN]],"&lt;="&amp;EOMONTH(Y$1,0),
PROVEEDORES[[#All],[FECHA DE PAGO]],"")
+
SUMIFS(PROVEEDORES[[#All],[Total]],
PROVEEDORES[[#All],[FECHA DE FACTURACIÓN]],"&lt;="&amp;EOMONTH(Y$1,0),
PROVEEDORES[[#All],[FECHA DE PAGO]],"&gt;"&amp;EOMONTH(Y$1,0))</f>
        <v>297833901.56905001</v>
      </c>
      <c r="Z10" s="49">
        <f xml:space="preserve">
SUMIFS(PROVEEDORES[[#All],[Total]],
PROVEEDORES[[#All],[FECHA DE FACTURACIÓN]],"&lt;="&amp;EOMONTH(Z$1,0),
PROVEEDORES[[#All],[FECHA DE PAGO]],"")
+
SUMIFS(PROVEEDORES[[#All],[Total]],
PROVEEDORES[[#All],[FECHA DE FACTURACIÓN]],"&lt;="&amp;EOMONTH(Z$1,0),
PROVEEDORES[[#All],[FECHA DE PAGO]],"&gt;"&amp;EOMONTH(Z$1,0))</f>
        <v>241456477.41100004</v>
      </c>
      <c r="AA10" s="49">
        <f xml:space="preserve">
SUMIFS(PROVEEDORES[[#All],[Total]],
PROVEEDORES[[#All],[FECHA DE FACTURACIÓN]],"&lt;="&amp;EOMONTH(AA$1,0),
PROVEEDORES[[#All],[FECHA DE PAGO]],"")
+
SUMIFS(PROVEEDORES[[#All],[Total]],
PROVEEDORES[[#All],[FECHA DE FACTURACIÓN]],"&lt;="&amp;EOMONTH(AA$1,0),
PROVEEDORES[[#All],[FECHA DE PAGO]],"&gt;"&amp;EOMONTH(AA$1,0))</f>
        <v>239184418.23850003</v>
      </c>
      <c r="AB10" s="49">
        <f xml:space="preserve">
SUMIFS(PROVEEDORES[[#All],[Total]],
PROVEEDORES[[#All],[FECHA DE FACTURACIÓN]],"&lt;="&amp;EOMONTH(AB$1,0),
PROVEEDORES[[#All],[FECHA DE PAGO]],"")
+
SUMIFS(PROVEEDORES[[#All],[Total]],
PROVEEDORES[[#All],[FECHA DE FACTURACIÓN]],"&lt;="&amp;EOMONTH(AB$1,0),
PROVEEDORES[[#All],[FECHA DE PAGO]],"&gt;"&amp;EOMONTH(AB$1,0))</f>
        <v>315600022.22164994</v>
      </c>
      <c r="AC10" s="49">
        <f xml:space="preserve">
SUMIFS(PROVEEDORES[Total],
PROVEEDORES[FECHA DE FACTURACIÓN],"&lt;="&amp;EOMONTH(AC$1,0),
PROVEEDORES[FECHA DE PAGO],"",
PROVEEDORES[X@],"FALSO")
+
SUMIFS(PROVEEDORES[Total],
PROVEEDORES[FECHA DE FACTURACIÓN],"&lt;="&amp;EOMONTH(AC$1,0),
PROVEEDORES[FECHA DE PAGO],"&gt;"&amp;EOMONTH(AC$1,0),
PROVEEDORES[X@],"FALSO")</f>
        <v>0</v>
      </c>
      <c r="AD10" s="49">
        <f xml:space="preserve">
SUMIFS(PROVEEDORES[Total],
PROVEEDORES[FECHA DE FACTURACIÓN],"&lt;="&amp;EOMONTH(AD$1,0),
PROVEEDORES[FECHA DE PAGO],"",
PROVEEDORES[X@],"FALSO")
+
SUMIFS(PROVEEDORES[Total],
PROVEEDORES[FECHA DE FACTURACIÓN],"&lt;="&amp;EOMONTH(AD$1,0),
PROVEEDORES[FECHA DE PAGO],"&gt;"&amp;EOMONTH(AD$1,0),
PROVEEDORES[X@],"FALSO")</f>
        <v>0</v>
      </c>
      <c r="AE10" s="49">
        <f xml:space="preserve">
SUMIFS(PROVEEDORES[Total],
PROVEEDORES[FECHA DE FACTURACIÓN],"&lt;="&amp;EOMONTH(AE$1,0),
PROVEEDORES[FECHA DE PAGO],"",
PROVEEDORES[X@],"FALSO")
+
SUMIFS(PROVEEDORES[Total],
PROVEEDORES[FECHA DE FACTURACIÓN],"&lt;="&amp;EOMONTH(AE$1,0),
PROVEEDORES[FECHA DE PAGO],"&gt;"&amp;EOMONTH(AE$1,0),
PROVEEDORES[X@],"FALSO")</f>
        <v>0</v>
      </c>
      <c r="AF10" s="49">
        <f xml:space="preserve">
SUMIFS(PROVEEDORES[Total],
PROVEEDORES[FECHA DE FACTURACIÓN],"&lt;="&amp;EOMONTH(AF$1,0),
PROVEEDORES[FECHA DE PAGO],"",
PROVEEDORES[X@],"FALSO")
+
SUMIFS(PROVEEDORES[Total],
PROVEEDORES[FECHA DE FACTURACIÓN],"&lt;="&amp;EOMONTH(AF$1,0),
PROVEEDORES[FECHA DE PAGO],"&gt;"&amp;EOMONTH(AF$1,0),
PROVEEDORES[X@],"FALSO")</f>
        <v>0</v>
      </c>
      <c r="AG10" s="49">
        <f xml:space="preserve">
SUMIFS(PROVEEDORES[Total],
PROVEEDORES[FECHA DE FACTURACIÓN],"&lt;="&amp;EOMONTH(AG$1,0),
PROVEEDORES[FECHA DE PAGO],"",
PROVEEDORES[X@],"FALSO")
+
SUMIFS(PROVEEDORES[Total],
PROVEEDORES[FECHA DE FACTURACIÓN],"&lt;="&amp;EOMONTH(AG$1,0),
PROVEEDORES[FECHA DE PAGO],"&gt;"&amp;EOMONTH(AG$1,0),
PROVEEDORES[X@],"FALSO")</f>
        <v>0</v>
      </c>
      <c r="AH10" s="49">
        <f xml:space="preserve">
SUMIFS(PROVEEDORES[Total],
PROVEEDORES[FECHA DE FACTURACIÓN],"&lt;="&amp;EOMONTH(AH$1,0),
PROVEEDORES[FECHA DE PAGO],"",
PROVEEDORES[X@],"FALSO")
+
SUMIFS(PROVEEDORES[Total],
PROVEEDORES[FECHA DE FACTURACIÓN],"&lt;="&amp;EOMONTH(AH$1,0),
PROVEEDORES[FECHA DE PAGO],"&gt;"&amp;EOMONTH(AH$1,0),
PROVEEDORES[X@],"FALSO")</f>
        <v>0</v>
      </c>
      <c r="AI10" s="49">
        <f xml:space="preserve">
SUMIFS(PROVEEDORES[Total],
PROVEEDORES[FECHA DE FACTURACIÓN],"&lt;="&amp;EOMONTH(AI$1,0),
PROVEEDORES[FECHA DE PAGO],"",
PROVEEDORES[X@],"FALSO")
+
SUMIFS(PROVEEDORES[Total],
PROVEEDORES[FECHA DE FACTURACIÓN],"&lt;="&amp;EOMONTH(AI$1,0),
PROVEEDORES[FECHA DE PAGO],"&gt;"&amp;EOMONTH(AI$1,0),
PROVEEDORES[X@],"FALSO")</f>
        <v>0</v>
      </c>
    </row>
    <row r="11" spans="1:35" x14ac:dyDescent="0.3">
      <c r="A11" s="39" t="s">
        <v>148</v>
      </c>
      <c r="B11" s="48">
        <f>ABS(SUMIFS(FINANCIACION[$ CAPITAL],
FINANCIACION[Fecha],"&lt;="&amp;EOMONTH(B$1,0)))</f>
        <v>837377564.85488355</v>
      </c>
      <c r="C11" s="48">
        <f>ABS(SUMIFS(FINANCIACION[$ CAPITAL],
FINANCIACION[Fecha],"&lt;="&amp;EOMONTH(C$1,0)))</f>
        <v>828371667.09314048</v>
      </c>
      <c r="D11" s="48">
        <f>ABS(SUMIFS(FINANCIACION[$ CAPITAL],
FINANCIACION[Fecha],"&lt;="&amp;EOMONTH(D$1,0)))</f>
        <v>882385808.94999993</v>
      </c>
      <c r="E11" s="48">
        <f>ABS(SUMIFS(FINANCIACION[$ CAPITAL],
FINANCIACION[Fecha],"&lt;="&amp;EOMONTH(E$1,0)))</f>
        <v>883621757.94999993</v>
      </c>
      <c r="F11" s="48">
        <f>ABS(SUMIFS(FINANCIACION[$ CAPITAL],
FINANCIACION[Fecha],"&lt;="&amp;EOMONTH(F$1,0)))</f>
        <v>936094623.94999993</v>
      </c>
      <c r="G11" s="48">
        <f>ABS(SUMIFS(FINANCIACION[$ CAPITAL],
FINANCIACION[Fecha],"&lt;="&amp;EOMONTH(G$1,0)))</f>
        <v>1130051299.6999998</v>
      </c>
      <c r="H11" s="48">
        <f>ABS(SUMIFS(FINANCIACION[$ CAPITAL],
FINANCIACION[Fecha],"&lt;="&amp;EOMONTH(H$1,0)))</f>
        <v>1064803357.1499999</v>
      </c>
      <c r="I11" s="48">
        <f>ABS(SUMIFS(FINANCIACION[$ CAPITAL],
FINANCIACION[Fecha],"&lt;="&amp;EOMONTH(I$1,0)))</f>
        <v>1095295893.8199999</v>
      </c>
      <c r="J11" s="48">
        <f>ABS(SUMIFS(FINANCIACION[$ CAPITAL],
FINANCIACION[Fecha],"&lt;="&amp;EOMONTH(J$1,0)))</f>
        <v>1147392333.7699997</v>
      </c>
      <c r="K11" s="48">
        <f>ABS(SUMIFS(FINANCIACION[$ CAPITAL],
FINANCIACION[Fecha],"&lt;="&amp;EOMONTH(K$1,0)))</f>
        <v>1112196058.8099997</v>
      </c>
      <c r="L11" s="48">
        <f>ABS(SUMIFS(FINANCIACION[$ CAPITAL],
FINANCIACION[Fecha],"&lt;="&amp;EOMONTH(L$1,0)))</f>
        <v>1104155421.0799999</v>
      </c>
      <c r="M11" s="48">
        <f>ABS(SUMIFS(FINANCIACION[$ CAPITAL],
FINANCIACION[Fecha],"&lt;="&amp;EOMONTH(M$1,0)))</f>
        <v>1117950055.3187068</v>
      </c>
      <c r="N11" s="48">
        <f>ABS(SUMIFS(FINANCIACION[$ CAPITAL],
FINANCIACION[Fecha],"&lt;="&amp;EOMONTH(N$1,0)))</f>
        <v>1123463995.6947069</v>
      </c>
      <c r="O11" s="48">
        <f>ABS(SUMIFS(FINANCIACION[$ CAPITAL],
FINANCIACION[Fecha],"&lt;="&amp;EOMONTH(O$1,0)))</f>
        <v>1202744188.3134003</v>
      </c>
      <c r="P11" s="48">
        <f>ABS(SUMIFS(FINANCIACION[$ CAPITAL],
FINANCIACION[Fecha],"&lt;="&amp;EOMONTH(P$1,0)))</f>
        <v>1232850979.4598343</v>
      </c>
      <c r="Q11" s="48">
        <f>ABS(SUMIFS(FINANCIACION[$ CAPITAL],
FINANCIACION[Fecha],"&lt;="&amp;EOMONTH(Q$1,0)))</f>
        <v>1249787218.4760327</v>
      </c>
      <c r="R11" s="48">
        <f>ABS(SUMIFS(FINANCIACION[$ CAPITAL],
FINANCIACION[Fecha],"&lt;="&amp;EOMONTH(R$1,0)))</f>
        <v>1259811194.229558</v>
      </c>
      <c r="S11" s="48">
        <f>ABS(SUMIFS(FINANCIACION[$ CAPITAL],
FINANCIACION[Fecha],"&lt;="&amp;EOMONTH(S$1,0)))</f>
        <v>1241857617.3653061</v>
      </c>
      <c r="T11" s="48">
        <f>ABS(SUMIFS(FINANCIACION[$ CAPITAL],
FINANCIACION[Fecha],"&lt;="&amp;EOMONTH(T$1,0)))</f>
        <v>1226524274.5849593</v>
      </c>
      <c r="U11" s="48">
        <f>ABS(SUMIFS(FINANCIACION[$ CAPITAL],
FINANCIACION[Fecha],"&lt;="&amp;EOMONTH(U$1,0)))</f>
        <v>1236536166.1507087</v>
      </c>
      <c r="V11" s="48">
        <f>ABS(SUMIFS(FINANCIACION[$ CAPITAL],
FINANCIACION[Fecha],"&lt;="&amp;EOMONTH(V$1,0)))</f>
        <v>1210990038.1415155</v>
      </c>
      <c r="W11" s="48">
        <f>ABS(SUMIFS(FINANCIACION[$ CAPITAL],
FINANCIACION[Fecha],"&lt;="&amp;EOMONTH(W$1,0)))</f>
        <v>1169778961.3385308</v>
      </c>
      <c r="X11" s="48">
        <f>ABS(SUMIFS(FINANCIACION[$ CAPITAL],
FINANCIACION[Fecha],"&lt;="&amp;EOMONTH(X$1,0)))</f>
        <v>1259486928.2328091</v>
      </c>
      <c r="Y11" s="48">
        <f>ABS(SUMIFS(FINANCIACION[$ CAPITAL],
FINANCIACION[Fecha],"&lt;="&amp;EOMONTH(Y$1,0)))</f>
        <v>1278010392.5017545</v>
      </c>
      <c r="Z11" s="48">
        <f>ABS(SUMIFS(FINANCIACION[$ CAPITAL],
FINANCIACION[Fecha],"&lt;="&amp;EOMONTH(Z$1,0)))</f>
        <v>1308411028.9674723</v>
      </c>
      <c r="AA11" s="48">
        <f>ABS(SUMIFS(FINANCIACION[$ CAPITAL],
FINANCIACION[Fecha],"&lt;="&amp;EOMONTH(AA$1,0)))</f>
        <v>1307818154.3113472</v>
      </c>
      <c r="AB11" s="48">
        <f>ABS(SUMIFS(FINANCIACION[$ CAPITAL],
FINANCIACION[Fecha],"&lt;="&amp;EOMONTH(AB$1,0)))</f>
        <v>1284257647.5515606</v>
      </c>
      <c r="AC11" s="48">
        <f>ABS(SUMIFS(FINANCIACION[$ CAPITAL],
FINANCIACION[Fecha],"&lt;="&amp;EOMONTH(AC$1,0)))</f>
        <v>1263303796.9005759</v>
      </c>
      <c r="AD11" s="48">
        <f>ABS(SUMIFS(FINANCIACION[$ CAPITAL],
FINANCIACION[Fecha],"&lt;="&amp;EOMONTH(AD$1,0)))</f>
        <v>1272061834.6426816</v>
      </c>
      <c r="AE11" s="48">
        <f>ABS(SUMIFS(FINANCIACION[$ CAPITAL],
FINANCIACION[Fecha],"&lt;="&amp;EOMONTH(AE$1,0)))</f>
        <v>1231381997.1112087</v>
      </c>
      <c r="AF11" s="48">
        <f>ABS(SUMIFS(FINANCIACION[$ CAPITAL],
FINANCIACION[Fecha],"&lt;="&amp;EOMONTH(AF$1,0)))</f>
        <v>1230649559.4154203</v>
      </c>
      <c r="AG11" s="48">
        <f>ABS(SUMIFS(FINANCIACION[$ CAPITAL],
FINANCIACION[Fecha],"&lt;="&amp;EOMONTH(AG$1,0)))</f>
        <v>1213674221.5670741</v>
      </c>
      <c r="AH11" s="48">
        <f>ABS(SUMIFS(FINANCIACION[$ CAPITAL],
FINANCIACION[Fecha],"&lt;="&amp;EOMONTH(AH$1,0)))</f>
        <v>1188267270.7870739</v>
      </c>
      <c r="AI11" s="48">
        <f>ABS(SUMIFS(FINANCIACION[$ CAPITAL],
FINANCIACION[Fecha],"&lt;="&amp;EOMONTH(AI$1,0)))</f>
        <v>1169789887.3470736</v>
      </c>
    </row>
    <row r="12" spans="1:35" x14ac:dyDescent="0.3">
      <c r="A12" s="40" t="s">
        <v>149</v>
      </c>
      <c r="B12" s="49">
        <f t="shared" ref="B12:Y12" si="12">SUM(B20:B25)</f>
        <v>0</v>
      </c>
      <c r="C12" s="49">
        <f t="shared" si="12"/>
        <v>0</v>
      </c>
      <c r="D12" s="49">
        <f t="shared" si="12"/>
        <v>0</v>
      </c>
      <c r="E12" s="49">
        <f t="shared" si="12"/>
        <v>0</v>
      </c>
      <c r="F12" s="49">
        <f t="shared" si="12"/>
        <v>0</v>
      </c>
      <c r="G12" s="49">
        <f t="shared" si="12"/>
        <v>0</v>
      </c>
      <c r="H12" s="49">
        <f t="shared" si="12"/>
        <v>0</v>
      </c>
      <c r="I12" s="49">
        <f t="shared" si="12"/>
        <v>0</v>
      </c>
      <c r="J12" s="49">
        <f t="shared" si="12"/>
        <v>0</v>
      </c>
      <c r="K12" s="49">
        <f t="shared" si="12"/>
        <v>0</v>
      </c>
      <c r="L12" s="49">
        <f t="shared" si="12"/>
        <v>0</v>
      </c>
      <c r="M12" s="49">
        <f t="shared" si="12"/>
        <v>0</v>
      </c>
      <c r="N12" s="49">
        <f t="shared" si="12"/>
        <v>16130516.710000003</v>
      </c>
      <c r="O12" s="49">
        <f t="shared" si="12"/>
        <v>31295149.129999999</v>
      </c>
      <c r="P12" s="49">
        <f t="shared" si="12"/>
        <v>-7095403.9099999992</v>
      </c>
      <c r="Q12" s="49">
        <f t="shared" si="12"/>
        <v>13223260.26</v>
      </c>
      <c r="R12" s="49">
        <f t="shared" si="12"/>
        <v>13564187.379999999</v>
      </c>
      <c r="S12" s="49">
        <f t="shared" si="12"/>
        <v>2097486.7599999998</v>
      </c>
      <c r="T12" s="49">
        <f t="shared" si="12"/>
        <v>5063939.5599999996</v>
      </c>
      <c r="U12" s="49">
        <f t="shared" si="12"/>
        <v>18165497.169999998</v>
      </c>
      <c r="V12" s="49">
        <f t="shared" si="12"/>
        <v>5767101.4399999995</v>
      </c>
      <c r="W12" s="49">
        <f t="shared" si="12"/>
        <v>8248131.7599999998</v>
      </c>
      <c r="X12" s="49">
        <f t="shared" si="12"/>
        <v>76976155.230000004</v>
      </c>
      <c r="Y12" s="49">
        <f t="shared" si="12"/>
        <v>59937241.790000007</v>
      </c>
      <c r="Z12" s="49">
        <f t="shared" ref="Z12:AE12" si="13">SUM(Z20:Z27)</f>
        <v>62505102.600000009</v>
      </c>
      <c r="AA12" s="49">
        <f t="shared" si="13"/>
        <v>4273169.7000000011</v>
      </c>
      <c r="AB12" s="49">
        <f t="shared" si="13"/>
        <v>1312629.9800000004</v>
      </c>
      <c r="AC12" s="49">
        <f t="shared" si="13"/>
        <v>-9169149.7200000007</v>
      </c>
      <c r="AD12" s="49">
        <f t="shared" si="13"/>
        <v>-5769482.2100000037</v>
      </c>
      <c r="AE12" s="49">
        <f t="shared" si="13"/>
        <v>16284822.48</v>
      </c>
      <c r="AF12" s="49">
        <f t="shared" ref="AF12" si="14">SUM(AF20:AF27)</f>
        <v>-22996026.010000005</v>
      </c>
      <c r="AG12" s="49">
        <f t="shared" ref="AG12" si="15">SUM(AG20:AG27)</f>
        <v>-4215515</v>
      </c>
      <c r="AH12" s="49">
        <f t="shared" ref="AH12" si="16">SUM(AH20:AH27)</f>
        <v>-2338387</v>
      </c>
      <c r="AI12" s="49">
        <f t="shared" ref="AI12" si="17">SUM(AI20:AI27)</f>
        <v>-17114944</v>
      </c>
    </row>
    <row r="13" spans="1:35" x14ac:dyDescent="0.3">
      <c r="A13" s="39" t="s">
        <v>150</v>
      </c>
      <c r="B13" s="48">
        <f t="shared" ref="B13:AB13" si="18">SUM(B20:B28)</f>
        <v>0</v>
      </c>
      <c r="C13" s="48">
        <f t="shared" si="18"/>
        <v>0</v>
      </c>
      <c r="D13" s="48">
        <f t="shared" si="18"/>
        <v>0</v>
      </c>
      <c r="E13" s="48">
        <f t="shared" si="18"/>
        <v>0</v>
      </c>
      <c r="F13" s="48">
        <f t="shared" si="18"/>
        <v>0</v>
      </c>
      <c r="G13" s="48">
        <f t="shared" si="18"/>
        <v>0</v>
      </c>
      <c r="H13" s="48">
        <f t="shared" si="18"/>
        <v>0</v>
      </c>
      <c r="I13" s="48">
        <f t="shared" si="18"/>
        <v>0</v>
      </c>
      <c r="J13" s="48">
        <f t="shared" si="18"/>
        <v>0</v>
      </c>
      <c r="K13" s="48">
        <f t="shared" si="18"/>
        <v>0</v>
      </c>
      <c r="L13" s="48">
        <f t="shared" si="18"/>
        <v>0</v>
      </c>
      <c r="M13" s="48">
        <f t="shared" si="18"/>
        <v>0</v>
      </c>
      <c r="N13" s="48">
        <f t="shared" si="18"/>
        <v>34960056.5</v>
      </c>
      <c r="O13" s="48">
        <f t="shared" si="18"/>
        <v>44502842.549999997</v>
      </c>
      <c r="P13" s="48">
        <f t="shared" si="18"/>
        <v>3632796.0900000008</v>
      </c>
      <c r="Q13" s="48">
        <f t="shared" si="18"/>
        <v>13325447.279999999</v>
      </c>
      <c r="R13" s="48">
        <f t="shared" si="18"/>
        <v>24355059.559999999</v>
      </c>
      <c r="S13" s="48">
        <f t="shared" si="18"/>
        <v>8389609.6699999999</v>
      </c>
      <c r="T13" s="48">
        <f t="shared" si="18"/>
        <v>13815785.92</v>
      </c>
      <c r="U13" s="48">
        <f t="shared" si="18"/>
        <v>26673509.119999997</v>
      </c>
      <c r="V13" s="48">
        <f t="shared" si="18"/>
        <v>23882286.719999999</v>
      </c>
      <c r="W13" s="48">
        <f t="shared" si="18"/>
        <v>22564178.699999999</v>
      </c>
      <c r="X13" s="48">
        <f t="shared" si="18"/>
        <v>90725734.730000004</v>
      </c>
      <c r="Y13" s="48">
        <f t="shared" si="18"/>
        <v>104524152.60000001</v>
      </c>
      <c r="Z13" s="48">
        <f t="shared" si="18"/>
        <v>104524152.60000001</v>
      </c>
      <c r="AA13" s="48">
        <f t="shared" si="18"/>
        <v>12127469.700000001</v>
      </c>
      <c r="AB13" s="48">
        <f t="shared" si="18"/>
        <v>14816629.98</v>
      </c>
      <c r="AC13" s="48">
        <f t="shared" ref="AC13:AH13" si="19">SUM(AC20:AC28)</f>
        <v>7163500.2799999993</v>
      </c>
      <c r="AD13" s="48">
        <f t="shared" si="19"/>
        <v>3642217.7899999963</v>
      </c>
      <c r="AE13" s="48">
        <f t="shared" si="19"/>
        <v>28821322.48</v>
      </c>
      <c r="AF13" s="48">
        <f t="shared" si="19"/>
        <v>1587227.9899999946</v>
      </c>
      <c r="AG13" s="48">
        <f t="shared" si="19"/>
        <v>4166485</v>
      </c>
      <c r="AH13" s="48">
        <f t="shared" si="19"/>
        <v>10036513</v>
      </c>
      <c r="AI13" s="48">
        <f t="shared" ref="AI13" si="20">SUM(AI20:AI28)</f>
        <v>-2485094</v>
      </c>
    </row>
    <row r="14" spans="1:35" x14ac:dyDescent="0.3">
      <c r="A14" s="40" t="s">
        <v>151</v>
      </c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</row>
    <row r="15" spans="1:35" x14ac:dyDescent="0.3">
      <c r="A15" s="39" t="s">
        <v>152</v>
      </c>
      <c r="B15" s="48">
        <f xml:space="preserve">
SUMIFS(PROVEEDORES[[#All],[Descuento sobre subtotal $2]],
PROVEEDORES[[#All],[FECHA DE PAGO]],"&gt;="&amp;B$1,
PROVEEDORES[[#All],[FECHA DE PAGO]],"&lt;="&amp;EOMONTH(B$1,0))</f>
        <v>0</v>
      </c>
      <c r="C15" s="48">
        <f xml:space="preserve">
SUMIFS(PROVEEDORES[[#All],[Descuento sobre subtotal $2]],
PROVEEDORES[[#All],[FECHA DE PAGO]],"&gt;="&amp;C$1,
PROVEEDORES[[#All],[FECHA DE PAGO]],"&lt;="&amp;EOMONTH(C$1,0))</f>
        <v>0</v>
      </c>
      <c r="D15" s="48">
        <f xml:space="preserve">
SUMIFS(PROVEEDORES[[#All],[Descuento sobre subtotal $2]],
PROVEEDORES[[#All],[FECHA DE PAGO]],"&gt;="&amp;D$1,
PROVEEDORES[[#All],[FECHA DE PAGO]],"&lt;="&amp;EOMONTH(D$1,0))</f>
        <v>0</v>
      </c>
      <c r="E15" s="48">
        <f xml:space="preserve">
SUMIFS(PROVEEDORES[[#All],[Descuento sobre subtotal $2]],
PROVEEDORES[[#All],[FECHA DE PAGO]],"&gt;="&amp;E$1,
PROVEEDORES[[#All],[FECHA DE PAGO]],"&lt;="&amp;EOMONTH(E$1,0))</f>
        <v>0</v>
      </c>
      <c r="F15" s="48">
        <f xml:space="preserve">
SUMIFS(PROVEEDORES[[#All],[Descuento sobre subtotal $2]],
PROVEEDORES[[#All],[FECHA DE PAGO]],"&gt;="&amp;F$1,
PROVEEDORES[[#All],[FECHA DE PAGO]],"&lt;="&amp;EOMONTH(F$1,0))</f>
        <v>0</v>
      </c>
      <c r="G15" s="48">
        <f xml:space="preserve">
SUMIFS(PROVEEDORES[[#All],[Descuento sobre subtotal $2]],
PROVEEDORES[[#All],[FECHA DE PAGO]],"&gt;="&amp;G$1,
PROVEEDORES[[#All],[FECHA DE PAGO]],"&lt;="&amp;EOMONTH(G$1,0))</f>
        <v>0</v>
      </c>
      <c r="H15" s="48">
        <f xml:space="preserve">
SUMIFS(PROVEEDORES[[#All],[Descuento sobre subtotal $2]],
PROVEEDORES[[#All],[FECHA DE PAGO]],"&gt;="&amp;H$1,
PROVEEDORES[[#All],[FECHA DE PAGO]],"&lt;="&amp;EOMONTH(H$1,0))</f>
        <v>0</v>
      </c>
      <c r="I15" s="48">
        <f xml:space="preserve">
SUMIFS(PROVEEDORES[[#All],[Descuento sobre subtotal $2]],
PROVEEDORES[[#All],[FECHA DE PAGO]],"&gt;="&amp;I$1,
PROVEEDORES[[#All],[FECHA DE PAGO]],"&lt;="&amp;EOMONTH(I$1,0))</f>
        <v>0</v>
      </c>
      <c r="J15" s="48">
        <f xml:space="preserve">
SUMIFS(PROVEEDORES[[#All],[Descuento sobre subtotal $2]],
PROVEEDORES[[#All],[FECHA DE PAGO]],"&gt;="&amp;J$1,
PROVEEDORES[[#All],[FECHA DE PAGO]],"&lt;="&amp;EOMONTH(J$1,0))</f>
        <v>0</v>
      </c>
      <c r="K15" s="48">
        <f xml:space="preserve">
SUMIFS(PROVEEDORES[[#All],[Descuento sobre subtotal $2]],
PROVEEDORES[[#All],[FECHA DE PAGO]],"&gt;="&amp;K$1,
PROVEEDORES[[#All],[FECHA DE PAGO]],"&lt;="&amp;EOMONTH(K$1,0))</f>
        <v>0</v>
      </c>
      <c r="L15" s="48">
        <f xml:space="preserve">
SUMIFS(PROVEEDORES[[#All],[Descuento sobre subtotal $2]],
PROVEEDORES[[#All],[FECHA DE PAGO]],"&gt;="&amp;L$1,
PROVEEDORES[[#All],[FECHA DE PAGO]],"&lt;="&amp;EOMONTH(L$1,0))</f>
        <v>0</v>
      </c>
      <c r="M15" s="48">
        <f xml:space="preserve">
SUMIFS(PROVEEDORES[[#All],[Descuento sobre subtotal $2]],
PROVEEDORES[[#All],[FECHA DE PAGO]],"&gt;="&amp;M$1,
PROVEEDORES[[#All],[FECHA DE PAGO]],"&lt;="&amp;EOMONTH(M$1,0))</f>
        <v>0</v>
      </c>
      <c r="N15" s="48">
        <f xml:space="preserve">
SUMIFS(PROVEEDORES[[#All],[Descuento sobre subtotal $2]],
PROVEEDORES[[#All],[FECHA DE PAGO]],"&gt;="&amp;N$1,
PROVEEDORES[[#All],[FECHA DE PAGO]],"&lt;="&amp;EOMONTH(N$1,0))</f>
        <v>0</v>
      </c>
      <c r="O15" s="48">
        <f xml:space="preserve">
SUMIFS(PROVEEDORES[[#All],[Descuento sobre subtotal $2]],
PROVEEDORES[[#All],[FECHA DE PAGO]],"&gt;="&amp;O$1,
PROVEEDORES[[#All],[FECHA DE PAGO]],"&lt;="&amp;EOMONTH(O$1,0))</f>
        <v>238196.88</v>
      </c>
      <c r="P15" s="48">
        <f xml:space="preserve">
SUMIFS(PROVEEDORES[[#All],[Descuento sobre subtotal $2]],
PROVEEDORES[[#All],[FECHA DE PAGO]],"&gt;="&amp;P$1,
PROVEEDORES[[#All],[FECHA DE PAGO]],"&lt;="&amp;EOMONTH(P$1,0))</f>
        <v>0</v>
      </c>
      <c r="Q15" s="48">
        <f xml:space="preserve">
SUMIFS(PROVEEDORES[[#All],[Descuento sobre subtotal $2]],
PROVEEDORES[[#All],[FECHA DE PAGO]],"&gt;="&amp;Q$1,
PROVEEDORES[[#All],[FECHA DE PAGO]],"&lt;="&amp;EOMONTH(Q$1,0))</f>
        <v>0</v>
      </c>
      <c r="R15" s="48">
        <f xml:space="preserve">
SUMIFS(PROVEEDORES[[#All],[Descuento sobre subtotal $2]],
PROVEEDORES[[#All],[FECHA DE PAGO]],"&gt;="&amp;R$1,
PROVEEDORES[[#All],[FECHA DE PAGO]],"&lt;="&amp;EOMONTH(R$1,0))</f>
        <v>0</v>
      </c>
      <c r="S15" s="48">
        <f xml:space="preserve">
SUMIFS(PROVEEDORES[[#All],[Descuento sobre subtotal $2]],
PROVEEDORES[[#All],[FECHA DE PAGO]],"&gt;="&amp;S$1,
PROVEEDORES[[#All],[FECHA DE PAGO]],"&lt;="&amp;EOMONTH(S$1,0))</f>
        <v>0</v>
      </c>
      <c r="T15" s="48">
        <f xml:space="preserve">
SUMIFS(PROVEEDORES[[#All],[Descuento sobre subtotal $2]],
PROVEEDORES[[#All],[FECHA DE PAGO]],"&gt;="&amp;T$1,
PROVEEDORES[[#All],[FECHA DE PAGO]],"&lt;="&amp;EOMONTH(T$1,0))</f>
        <v>0</v>
      </c>
      <c r="U15" s="48">
        <f xml:space="preserve">
SUMIFS(PROVEEDORES[[#All],[Descuento sobre subtotal $2]],
PROVEEDORES[[#All],[FECHA DE PAGO]],"&gt;="&amp;U$1,
PROVEEDORES[[#All],[FECHA DE PAGO]],"&lt;="&amp;EOMONTH(U$1,0))</f>
        <v>0</v>
      </c>
      <c r="V15" s="48">
        <f xml:space="preserve">
SUMIFS(PROVEEDORES[[#All],[Descuento sobre subtotal $2]],
PROVEEDORES[[#All],[FECHA DE PAGO]],"&gt;="&amp;V$1,
PROVEEDORES[[#All],[FECHA DE PAGO]],"&lt;="&amp;EOMONTH(V$1,0))</f>
        <v>0</v>
      </c>
      <c r="W15" s="48">
        <f xml:space="preserve">
SUMIFS(PROVEEDORES[[#All],[Descuento sobre subtotal $2]],
PROVEEDORES[[#All],[FECHA DE PAGO]],"&gt;="&amp;W$1,
PROVEEDORES[[#All],[FECHA DE PAGO]],"&lt;="&amp;EOMONTH(W$1,0))</f>
        <v>0</v>
      </c>
      <c r="X15" s="48">
        <f xml:space="preserve">
SUMIFS(PROVEEDORES[[#All],[Descuento sobre subtotal $2]],
PROVEEDORES[[#All],[FECHA DE PAGO]],"&gt;="&amp;X$1,
PROVEEDORES[[#All],[FECHA DE PAGO]],"&lt;="&amp;EOMONTH(X$1,0))</f>
        <v>0</v>
      </c>
      <c r="Y15" s="48">
        <f xml:space="preserve">
SUMIFS(PROVEEDORES[[#All],[Descuento sobre subtotal $2]],
PROVEEDORES[[#All],[FECHA DE PAGO]],"&gt;="&amp;Y$1,
PROVEEDORES[[#All],[FECHA DE PAGO]],"&lt;="&amp;EOMONTH(Y$1,0))</f>
        <v>2062939.3199999998</v>
      </c>
      <c r="Z15" s="48">
        <f xml:space="preserve">
SUMIFS(PROVEEDORES[[#All],[Descuento sobre subtotal $2]],
PROVEEDORES[[#All],[FECHA DE PAGO]],"&gt;="&amp;Z$1,
PROVEEDORES[[#All],[FECHA DE PAGO]],"&lt;="&amp;EOMONTH(Z$1,0))</f>
        <v>3153470</v>
      </c>
      <c r="AA15" s="48">
        <f xml:space="preserve">
SUMIFS(PROVEEDORES[[#All],[Descuento sobre subtotal $2]],
PROVEEDORES[[#All],[FECHA DE PAGO]],"&gt;="&amp;AA$1,
PROVEEDORES[[#All],[FECHA DE PAGO]],"&lt;="&amp;EOMONTH(AA$1,0))</f>
        <v>10185</v>
      </c>
      <c r="AB15" s="48">
        <f xml:space="preserve">
SUMIFS(PROVEEDORES[[#All],[Descuento sobre subtotal $2]],
PROVEEDORES[[#All],[FECHA DE PAGO]],"&gt;="&amp;AB$1,
PROVEEDORES[[#All],[FECHA DE PAGO]],"&lt;="&amp;EOMONTH(AB$1,0))</f>
        <v>0</v>
      </c>
      <c r="AC15" s="48">
        <f xml:space="preserve">
SUMIFS(PROVEEDORES[Descuento sobre subtotal $2],
PROVEEDORES[FECHA DE PAGO],"&gt;="&amp;AC$1,
PROVEEDORES[FECHA DE PAGO],"&lt;="&amp;EOMONTH(AC$1,0))</f>
        <v>0</v>
      </c>
      <c r="AD15" s="48">
        <f xml:space="preserve">
SUMIFS(PROVEEDORES[Descuento sobre subtotal $2],
PROVEEDORES[FECHA DE PAGO],"&gt;="&amp;AD$1,
PROVEEDORES[FECHA DE PAGO],"&lt;="&amp;EOMONTH(AD$1,0))</f>
        <v>1203989.3999999999</v>
      </c>
      <c r="AE15" s="48">
        <f xml:space="preserve">
SUMIFS(PROVEEDORES[Descuento sobre subtotal $2],
PROVEEDORES[FECHA DE PAGO],"&gt;="&amp;AE$1,
PROVEEDORES[FECHA DE PAGO],"&lt;="&amp;EOMONTH(AE$1,0))</f>
        <v>0</v>
      </c>
      <c r="AF15" s="48">
        <f xml:space="preserve">
SUMIFS(PROVEEDORES[Descuento sobre subtotal $2],
PROVEEDORES[FECHA DE PAGO],"&gt;="&amp;AF$1,
PROVEEDORES[FECHA DE PAGO],"&lt;="&amp;EOMONTH(AF$1,0))</f>
        <v>469090</v>
      </c>
      <c r="AG15" s="48">
        <f xml:space="preserve">
SUMIFS(PROVEEDORES[Descuento sobre subtotal $2],
PROVEEDORES[FECHA DE PAGO],"&gt;="&amp;AG$1,
PROVEEDORES[FECHA DE PAGO],"&lt;="&amp;EOMONTH(AG$1,0))</f>
        <v>280853.67</v>
      </c>
      <c r="AH15" s="48">
        <f xml:space="preserve">
SUMIFS(PROVEEDORES[Descuento sobre subtotal $2],
PROVEEDORES[FECHA DE PAGO],"&gt;="&amp;AH$1,
PROVEEDORES[FECHA DE PAGO],"&lt;="&amp;EOMONTH(AH$1,0))</f>
        <v>1368309.3399999999</v>
      </c>
      <c r="AI15" s="48">
        <f xml:space="preserve">
SUMIFS(PROVEEDORES[Descuento sobre subtotal $2],
PROVEEDORES[FECHA DE PAGO],"&gt;="&amp;AI$1,
PROVEEDORES[FECHA DE PAGO],"&lt;="&amp;EOMONTH(AI$1,0))</f>
        <v>86440</v>
      </c>
    </row>
    <row r="16" spans="1:35" x14ac:dyDescent="0.3">
      <c r="A16" s="197" t="s">
        <v>153</v>
      </c>
      <c r="B16" s="198">
        <f xml:space="preserve">
SUMIFS(PROVEEDORES[[#All],[Total]],
PROVEEDORES[[#All],[FECHA DE FACTURACIÓN]],"&lt;="&amp;EOMONTH(B$1,0),
PROVEEDORES[[#All],[Estado de la factura]],"VENCIDA")
+
SUMIFS(PROVEEDORES[[#All],[Total]],
PROVEEDORES[[#All],[FECHA DE FACTURACIÓN]],"&lt;="&amp;EOMONTH(B$1,0),
PROVEEDORES[[#All],[PV]],"PAGO VENCIDO",
PROVEEDORES[[#All],[FECHA DE PAGO]],"&gt;"&amp;EOMONTH(B$1,0))</f>
        <v>0</v>
      </c>
      <c r="C16" s="198">
        <f xml:space="preserve">
SUMIFS(PROVEEDORES[[#All],[Total]],
PROVEEDORES[[#All],[FECHA DE FACTURACIÓN]],"&lt;="&amp;EOMONTH(C$1,0),
PROVEEDORES[[#All],[Estado de la factura]],"VENCIDA")
+
SUMIFS(PROVEEDORES[[#All],[Total]],
PROVEEDORES[[#All],[FECHA DE FACTURACIÓN]],"&lt;="&amp;EOMONTH(C$1,0),
PROVEEDORES[[#All],[PV]],"PAGO VENCIDO",
PROVEEDORES[[#All],[FECHA DE PAGO]],"&gt;"&amp;EOMONTH(C$1,0))</f>
        <v>0</v>
      </c>
      <c r="D16" s="198">
        <f xml:space="preserve">
SUMIFS(PROVEEDORES[[#All],[Total]],
PROVEEDORES[[#All],[FECHA DE FACTURACIÓN]],"&lt;="&amp;EOMONTH(D$1,0),
PROVEEDORES[[#All],[Estado de la factura]],"VENCIDA")
+
SUMIFS(PROVEEDORES[[#All],[Total]],
PROVEEDORES[[#All],[FECHA DE FACTURACIÓN]],"&lt;="&amp;EOMONTH(D$1,0),
PROVEEDORES[[#All],[PV]],"PAGO VENCIDO",
PROVEEDORES[[#All],[FECHA DE PAGO]],"&gt;"&amp;EOMONTH(D$1,0))</f>
        <v>0</v>
      </c>
      <c r="E16" s="198">
        <f xml:space="preserve">
SUMIFS(PROVEEDORES[[#All],[Total]],
PROVEEDORES[[#All],[FECHA DE FACTURACIÓN]],"&lt;="&amp;EOMONTH(E$1,0),
PROVEEDORES[[#All],[Estado de la factura]],"VENCIDA")
+
SUMIFS(PROVEEDORES[[#All],[Total]],
PROVEEDORES[[#All],[FECHA DE FACTURACIÓN]],"&lt;="&amp;EOMONTH(E$1,0),
PROVEEDORES[[#All],[PV]],"PAGO VENCIDO",
PROVEEDORES[[#All],[FECHA DE PAGO]],"&gt;"&amp;EOMONTH(E$1,0))</f>
        <v>0</v>
      </c>
      <c r="F16" s="198">
        <f xml:space="preserve">
SUMIFS(PROVEEDORES[[#All],[Total]],
PROVEEDORES[[#All],[FECHA DE FACTURACIÓN]],"&lt;="&amp;EOMONTH(F$1,0),
PROVEEDORES[[#All],[Estado de la factura]],"VENCIDA")
+
SUMIFS(PROVEEDORES[[#All],[Total]],
PROVEEDORES[[#All],[FECHA DE FACTURACIÓN]],"&lt;="&amp;EOMONTH(F$1,0),
PROVEEDORES[[#All],[PV]],"PAGO VENCIDO",
PROVEEDORES[[#All],[FECHA DE PAGO]],"&gt;"&amp;EOMONTH(F$1,0))</f>
        <v>0</v>
      </c>
      <c r="G16" s="198">
        <f xml:space="preserve">
SUMIFS(PROVEEDORES[[#All],[Total]],
PROVEEDORES[[#All],[FECHA DE FACTURACIÓN]],"&lt;="&amp;EOMONTH(G$1,0),
PROVEEDORES[[#All],[Estado de la factura]],"VENCIDA")
+
SUMIFS(PROVEEDORES[[#All],[Total]],
PROVEEDORES[[#All],[FECHA DE FACTURACIÓN]],"&lt;="&amp;EOMONTH(G$1,0),
PROVEEDORES[[#All],[PV]],"PAGO VENCIDO",
PROVEEDORES[[#All],[FECHA DE PAGO]],"&gt;"&amp;EOMONTH(G$1,0))</f>
        <v>0</v>
      </c>
      <c r="H16" s="198">
        <f xml:space="preserve">
SUMIFS(PROVEEDORES[[#All],[Total]],
PROVEEDORES[[#All],[FECHA DE FACTURACIÓN]],"&lt;="&amp;EOMONTH(H$1,0),
PROVEEDORES[[#All],[Estado de la factura]],"VENCIDA")
+
SUMIFS(PROVEEDORES[[#All],[Total]],
PROVEEDORES[[#All],[FECHA DE FACTURACIÓN]],"&lt;="&amp;EOMONTH(H$1,0),
PROVEEDORES[[#All],[PV]],"PAGO VENCIDO",
PROVEEDORES[[#All],[FECHA DE PAGO]],"&gt;"&amp;EOMONTH(H$1,0))</f>
        <v>0</v>
      </c>
      <c r="I16" s="198">
        <f xml:space="preserve">
SUMIFS(PROVEEDORES[[#All],[Total]],
PROVEEDORES[[#All],[FECHA DE FACTURACIÓN]],"&lt;="&amp;EOMONTH(I$1,0),
PROVEEDORES[[#All],[Estado de la factura]],"VENCIDA")
+
SUMIFS(PROVEEDORES[[#All],[Total]],
PROVEEDORES[[#All],[FECHA DE FACTURACIÓN]],"&lt;="&amp;EOMONTH(I$1,0),
PROVEEDORES[[#All],[PV]],"PAGO VENCIDO",
PROVEEDORES[[#All],[FECHA DE PAGO]],"&gt;"&amp;EOMONTH(I$1,0))</f>
        <v>0</v>
      </c>
      <c r="J16" s="198">
        <f xml:space="preserve">
SUMIFS(PROVEEDORES[[#All],[Total]],
PROVEEDORES[[#All],[FECHA DE FACTURACIÓN]],"&lt;="&amp;EOMONTH(J$1,0),
PROVEEDORES[[#All],[Estado de la factura]],"VENCIDA")
+
SUMIFS(PROVEEDORES[[#All],[Total]],
PROVEEDORES[[#All],[FECHA DE FACTURACIÓN]],"&lt;="&amp;EOMONTH(J$1,0),
PROVEEDORES[[#All],[PV]],"PAGO VENCIDO",
PROVEEDORES[[#All],[FECHA DE PAGO]],"&gt;"&amp;EOMONTH(J$1,0))</f>
        <v>0</v>
      </c>
      <c r="K16" s="198">
        <f xml:space="preserve">
SUMIFS(PROVEEDORES[[#All],[Total]],
PROVEEDORES[[#All],[FECHA DE FACTURACIÓN]],"&lt;="&amp;EOMONTH(K$1,0),
PROVEEDORES[[#All],[Estado de la factura]],"VENCIDA")
+
SUMIFS(PROVEEDORES[[#All],[Total]],
PROVEEDORES[[#All],[FECHA DE FACTURACIÓN]],"&lt;="&amp;EOMONTH(K$1,0),
PROVEEDORES[[#All],[PV]],"PAGO VENCIDO",
PROVEEDORES[[#All],[FECHA DE PAGO]],"&gt;"&amp;EOMONTH(K$1,0))</f>
        <v>0</v>
      </c>
      <c r="L16" s="198">
        <f xml:space="preserve">
SUMIFS(PROVEEDORES[[#All],[Total]],
PROVEEDORES[[#All],[FECHA DE FACTURACIÓN]],"&lt;="&amp;EOMONTH(L$1,0),
PROVEEDORES[[#All],[Estado de la factura]],"VENCIDA")
+
SUMIFS(PROVEEDORES[[#All],[Total]],
PROVEEDORES[[#All],[FECHA DE FACTURACIÓN]],"&lt;="&amp;EOMONTH(L$1,0),
PROVEEDORES[[#All],[PV]],"PAGO VENCIDO",
PROVEEDORES[[#All],[FECHA DE PAGO]],"&gt;"&amp;EOMONTH(L$1,0))</f>
        <v>22220156.225491598</v>
      </c>
      <c r="M16" s="198">
        <f xml:space="preserve">
SUMIFS(PROVEEDORES[[#All],[Total]],
PROVEEDORES[[#All],[FECHA DE FACTURACIÓN]],"&lt;="&amp;EOMONTH(M$1,0),
PROVEEDORES[[#All],[Estado de la factura]],"VENCIDA")
+
SUMIFS(PROVEEDORES[[#All],[Total]],
PROVEEDORES[[#All],[FECHA DE FACTURACIÓN]],"&lt;="&amp;EOMONTH(M$1,0),
PROVEEDORES[[#All],[PV]],"PAGO VENCIDO",
PROVEEDORES[[#All],[FECHA DE PAGO]],"&gt;"&amp;EOMONTH(M$1,0))</f>
        <v>222831613.26208824</v>
      </c>
      <c r="N16" s="198">
        <f xml:space="preserve">
SUMIFS(PROVEEDORES[[#All],[Total]],
PROVEEDORES[[#All],[FECHA DE FACTURACIÓN]],"&lt;="&amp;EOMONTH(N$1,0),
PROVEEDORES[[#All],[Estado de la factura]],"VENCIDA")
+
SUMIFS(PROVEEDORES[[#All],[Total]],
PROVEEDORES[[#All],[FECHA DE FACTURACIÓN]],"&lt;="&amp;EOMONTH(N$1,0),
PROVEEDORES[[#All],[PV]],"PAGO VENCIDO",
PROVEEDORES[[#All],[FECHA DE PAGO]],"&gt;"&amp;EOMONTH(N$1,0))</f>
        <v>220700724.04892731</v>
      </c>
      <c r="O16" s="198">
        <f xml:space="preserve">
SUMIFS(PROVEEDORES[[#All],[Total]],
PROVEEDORES[[#All],[FECHA DE FACTURACIÓN]],"&lt;="&amp;EOMONTH(O$1,0),
PROVEEDORES[[#All],[Estado de la factura]],"VENCIDA")
+
SUMIFS(PROVEEDORES[[#All],[Total]],
PROVEEDORES[[#All],[FECHA DE FACTURACIÓN]],"&lt;="&amp;EOMONTH(O$1,0),
PROVEEDORES[[#All],[PV]],"PAGO VENCIDO",
PROVEEDORES[[#All],[FECHA DE PAGO]],"&gt;"&amp;EOMONTH(O$1,0))</f>
        <v>226338234.76677942</v>
      </c>
      <c r="P16" s="198">
        <f xml:space="preserve">
SUMIFS(PROVEEDORES[[#All],[Total]],
PROVEEDORES[[#All],[FECHA DE FACTURACIÓN]],"&lt;="&amp;EOMONTH(P$1,0),
PROVEEDORES[[#All],[Estado de la factura]],"VENCIDA")
+
SUMIFS(PROVEEDORES[[#All],[Total]],
PROVEEDORES[[#All],[FECHA DE FACTURACIÓN]],"&lt;="&amp;EOMONTH(P$1,0),
PROVEEDORES[[#All],[PV]],"PAGO VENCIDO",
PROVEEDORES[[#All],[FECHA DE PAGO]],"&gt;"&amp;EOMONTH(P$1,0))</f>
        <v>205955210.68814999</v>
      </c>
      <c r="Q16" s="198">
        <f xml:space="preserve">
SUMIFS(PROVEEDORES[[#All],[Total]],
PROVEEDORES[[#All],[FECHA DE FACTURACIÓN]],"&lt;="&amp;EOMONTH(Q$1,0),
PROVEEDORES[[#All],[Estado de la factura]],"VENCIDA")
+
SUMIFS(PROVEEDORES[[#All],[Total]],
PROVEEDORES[[#All],[FECHA DE FACTURACIÓN]],"&lt;="&amp;EOMONTH(Q$1,0),
PROVEEDORES[[#All],[PV]],"PAGO VENCIDO",
PROVEEDORES[[#All],[FECHA DE PAGO]],"&gt;"&amp;EOMONTH(Q$1,0))</f>
        <v>221044865.49762228</v>
      </c>
      <c r="R16" s="198">
        <f xml:space="preserve">
SUMIFS(PROVEEDORES[[#All],[Total]],
PROVEEDORES[[#All],[FECHA DE FACTURACIÓN]],"&lt;="&amp;EOMONTH(R$1,0),
PROVEEDORES[[#All],[Estado de la factura]],"VENCIDA")
+
SUMIFS(PROVEEDORES[[#All],[Total]],
PROVEEDORES[[#All],[FECHA DE FACTURACIÓN]],"&lt;="&amp;EOMONTH(R$1,0),
PROVEEDORES[[#All],[PV]],"PAGO VENCIDO",
PROVEEDORES[[#All],[FECHA DE PAGO]],"&gt;"&amp;EOMONTH(R$1,0))</f>
        <v>203512922.57067227</v>
      </c>
      <c r="S16" s="198">
        <f xml:space="preserve">
SUMIFS(PROVEEDORES[[#All],[Total]],
PROVEEDORES[[#All],[FECHA DE FACTURACIÓN]],"&lt;="&amp;EOMONTH(S$1,0),
PROVEEDORES[[#All],[Estado de la factura]],"VENCIDA")
+
SUMIFS(PROVEEDORES[[#All],[Total]],
PROVEEDORES[[#All],[FECHA DE FACTURACIÓN]],"&lt;="&amp;EOMONTH(S$1,0),
PROVEEDORES[[#All],[PV]],"PAGO VENCIDO",
PROVEEDORES[[#All],[FECHA DE PAGO]],"&gt;"&amp;EOMONTH(S$1,0))</f>
        <v>188604234.49860001</v>
      </c>
      <c r="T16" s="198">
        <f xml:space="preserve">
SUMIFS(PROVEEDORES[[#All],[Total]],
PROVEEDORES[[#All],[FECHA DE FACTURACIÓN]],"&lt;="&amp;EOMONTH(T$1,0),
PROVEEDORES[[#All],[Estado de la factura]],"VENCIDA")
+
SUMIFS(PROVEEDORES[[#All],[Total]],
PROVEEDORES[[#All],[FECHA DE FACTURACIÓN]],"&lt;="&amp;EOMONTH(T$1,0),
PROVEEDORES[[#All],[PV]],"PAGO VENCIDO",
PROVEEDORES[[#All],[FECHA DE PAGO]],"&gt;"&amp;EOMONTH(T$1,0))</f>
        <v>175663357.03755</v>
      </c>
      <c r="U16" s="198">
        <f xml:space="preserve">
SUMIFS(PROVEEDORES[[#All],[Total]],
PROVEEDORES[[#All],[FECHA DE FACTURACIÓN]],"&lt;="&amp;EOMONTH(U$1,0),
PROVEEDORES[[#All],[Estado de la factura]],"VENCIDA")
+
SUMIFS(PROVEEDORES[[#All],[Total]],
PROVEEDORES[[#All],[FECHA DE FACTURACIÓN]],"&lt;="&amp;EOMONTH(U$1,0),
PROVEEDORES[[#All],[PV]],"PAGO VENCIDO",
PROVEEDORES[[#All],[FECHA DE PAGO]],"&gt;"&amp;EOMONTH(U$1,0))</f>
        <v>213869789.27965</v>
      </c>
      <c r="V16" s="198">
        <f xml:space="preserve">
SUMIFS(PROVEEDORES[[#All],[Total]],
PROVEEDORES[[#All],[FECHA DE FACTURACIÓN]],"&lt;="&amp;EOMONTH(V$1,0),
PROVEEDORES[[#All],[Estado de la factura]],"VENCIDA")
+
SUMIFS(PROVEEDORES[[#All],[Total]],
PROVEEDORES[[#All],[FECHA DE FACTURACIÓN]],"&lt;="&amp;EOMONTH(V$1,0),
PROVEEDORES[[#All],[PV]],"PAGO VENCIDO",
PROVEEDORES[[#All],[FECHA DE PAGO]],"&gt;"&amp;EOMONTH(V$1,0))</f>
        <v>214824879.28144997</v>
      </c>
      <c r="W16" s="198">
        <f xml:space="preserve">
SUMIFS(PROVEEDORES[[#All],[Total]],
PROVEEDORES[[#All],[FECHA DE FACTURACIÓN]],"&lt;="&amp;EOMONTH(W$1,0),
PROVEEDORES[[#All],[Estado de la factura]],"VENCIDA")
+
SUMIFS(PROVEEDORES[[#All],[Total]],
PROVEEDORES[[#All],[FECHA DE FACTURACIÓN]],"&lt;="&amp;EOMONTH(W$1,0),
PROVEEDORES[[#All],[PV]],"PAGO VENCIDO",
PROVEEDORES[[#All],[FECHA DE PAGO]],"&gt;"&amp;EOMONTH(W$1,0))</f>
        <v>205793424.54719999</v>
      </c>
      <c r="X16" s="198">
        <f xml:space="preserve">
SUMIFS(PROVEEDORES[[#All],[Total]],
PROVEEDORES[[#All],[FECHA DE FACTURACIÓN]],"&lt;="&amp;EOMONTH(X$1,0),
PROVEEDORES[[#All],[Estado de la factura]],"VENCIDA")
+
SUMIFS(PROVEEDORES[[#All],[Total]],
PROVEEDORES[[#All],[FECHA DE FACTURACIÓN]],"&lt;="&amp;EOMONTH(X$1,0),
PROVEEDORES[[#All],[PV]],"PAGO VENCIDO",
PROVEEDORES[[#All],[FECHA DE PAGO]],"&gt;"&amp;EOMONTH(X$1,0))</f>
        <v>201289165.19755</v>
      </c>
      <c r="Y16" s="198">
        <f xml:space="preserve">
SUMIFS(PROVEEDORES[[#All],[Total]],
PROVEEDORES[[#All],[FECHA DE FACTURACIÓN]],"&lt;="&amp;EOMONTH(Y$1,0),
PROVEEDORES[[#All],[Estado de la factura]],"VENCIDA")
+
SUMIFS(PROVEEDORES[[#All],[Total]],
PROVEEDORES[[#All],[FECHA DE FACTURACIÓN]],"&lt;="&amp;EOMONTH(Y$1,0),
PROVEEDORES[[#All],[PV]],"PAGO VENCIDO",
PROVEEDORES[[#All],[FECHA DE PAGO]],"&gt;"&amp;EOMONTH(Y$1,0))</f>
        <v>219798532.97405002</v>
      </c>
      <c r="Z16" s="198">
        <f xml:space="preserve">
SUMIFS(PROVEEDORES[[#All],[Total]],
PROVEEDORES[[#All],[FECHA DE FACTURACIÓN]],"&lt;="&amp;EOMONTH(Z$1,0),
PROVEEDORES[[#All],[Estado de la factura]],"VENCIDA")
+
SUMIFS(PROVEEDORES[[#All],[Total]],
PROVEEDORES[[#All],[FECHA DE FACTURACIÓN]],"&lt;="&amp;EOMONTH(Z$1,0),
PROVEEDORES[[#All],[PV]],"PAGO VENCIDO",
PROVEEDORES[[#All],[FECHA DE PAGO]],"&gt;"&amp;EOMONTH(Z$1,0))</f>
        <v>208620627.23100001</v>
      </c>
      <c r="AA16" s="198">
        <f xml:space="preserve">
SUMIFS(PROVEEDORES[[#All],[Total]],
PROVEEDORES[[#All],[FECHA DE FACTURACIÓN]],"&lt;="&amp;EOMONTH(AA$1,0),
PROVEEDORES[[#All],[Estado de la factura]],"VENCIDA")
+
SUMIFS(PROVEEDORES[[#All],[Total]],
PROVEEDORES[[#All],[FECHA DE FACTURACIÓN]],"&lt;="&amp;EOMONTH(AA$1,0),
PROVEEDORES[[#All],[PV]],"PAGO VENCIDO",
PROVEEDORES[[#All],[FECHA DE PAGO]],"&gt;"&amp;EOMONTH(AA$1,0))</f>
        <v>221229766.63850003</v>
      </c>
      <c r="AB16" s="198">
        <v>72439084.636200011</v>
      </c>
      <c r="AC16" s="198">
        <v>83377115.95220001</v>
      </c>
      <c r="AD16" s="198">
        <v>34566240.334799998</v>
      </c>
      <c r="AE16" s="198">
        <f>+'facturas vencidas'!$W$3</f>
        <v>0</v>
      </c>
      <c r="AF16" s="198">
        <v>60913776.174149998</v>
      </c>
      <c r="AG16" s="198">
        <v>89862531.876199976</v>
      </c>
      <c r="AH16" s="198">
        <v>124195626.27019998</v>
      </c>
      <c r="AI16" s="198"/>
    </row>
    <row r="17" spans="1:35" x14ac:dyDescent="0.3">
      <c r="A17" s="39" t="s">
        <v>154</v>
      </c>
      <c r="B17" s="48">
        <f t="shared" ref="B17:AC17" si="21">B10-B16</f>
        <v>0</v>
      </c>
      <c r="C17" s="48">
        <f t="shared" si="21"/>
        <v>0</v>
      </c>
      <c r="D17" s="48">
        <f t="shared" si="21"/>
        <v>0</v>
      </c>
      <c r="E17" s="48">
        <f t="shared" si="21"/>
        <v>0</v>
      </c>
      <c r="F17" s="48">
        <f t="shared" si="21"/>
        <v>0</v>
      </c>
      <c r="G17" s="48">
        <f t="shared" si="21"/>
        <v>0</v>
      </c>
      <c r="H17" s="48">
        <f t="shared" si="21"/>
        <v>0</v>
      </c>
      <c r="I17" s="48">
        <f t="shared" si="21"/>
        <v>0</v>
      </c>
      <c r="J17" s="48">
        <f t="shared" si="21"/>
        <v>0</v>
      </c>
      <c r="K17" s="48">
        <f t="shared" si="21"/>
        <v>0</v>
      </c>
      <c r="L17" s="48">
        <f t="shared" si="21"/>
        <v>990000</v>
      </c>
      <c r="M17" s="48">
        <f t="shared" si="21"/>
        <v>19006737.070000023</v>
      </c>
      <c r="N17" s="48">
        <f t="shared" si="21"/>
        <v>23019059.774900019</v>
      </c>
      <c r="O17" s="48">
        <f t="shared" si="21"/>
        <v>6857706.2349999845</v>
      </c>
      <c r="P17" s="48">
        <f t="shared" si="21"/>
        <v>1047595.0800000131</v>
      </c>
      <c r="Q17" s="48">
        <f t="shared" si="21"/>
        <v>28965538.363290012</v>
      </c>
      <c r="R17" s="48">
        <f t="shared" si="21"/>
        <v>20976885.763109237</v>
      </c>
      <c r="S17" s="48">
        <f t="shared" si="21"/>
        <v>11494639.454630017</v>
      </c>
      <c r="T17" s="48">
        <f t="shared" si="21"/>
        <v>62180252.390000015</v>
      </c>
      <c r="U17" s="48">
        <f t="shared" si="21"/>
        <v>72380703.891499966</v>
      </c>
      <c r="V17" s="48">
        <f t="shared" si="21"/>
        <v>79490135.150000036</v>
      </c>
      <c r="W17" s="48">
        <f t="shared" si="21"/>
        <v>54814830.721000016</v>
      </c>
      <c r="X17" s="48">
        <f t="shared" si="21"/>
        <v>99689467.185499966</v>
      </c>
      <c r="Y17" s="48">
        <f t="shared" si="21"/>
        <v>78035368.594999999</v>
      </c>
      <c r="Z17" s="48">
        <f t="shared" si="21"/>
        <v>32835850.180000037</v>
      </c>
      <c r="AA17" s="48">
        <f t="shared" si="21"/>
        <v>17954651.599999994</v>
      </c>
      <c r="AB17" s="48">
        <f t="shared" si="21"/>
        <v>243160937.58544993</v>
      </c>
      <c r="AC17" s="132">
        <f t="shared" si="21"/>
        <v>-83377115.95220001</v>
      </c>
      <c r="AD17" s="48">
        <f t="shared" ref="AD17:AE17" si="22">AD10-AD16</f>
        <v>-34566240.334799998</v>
      </c>
      <c r="AE17" s="48">
        <f t="shared" si="22"/>
        <v>0</v>
      </c>
      <c r="AF17" s="48">
        <v>218194013.75110006</v>
      </c>
      <c r="AG17" s="48">
        <v>218194013.75110006</v>
      </c>
      <c r="AH17" s="48">
        <v>218194013.75110006</v>
      </c>
      <c r="AI17" s="48">
        <v>218194013.75110006</v>
      </c>
    </row>
    <row r="18" spans="1:35" x14ac:dyDescent="0.3">
      <c r="A18" s="43" t="s">
        <v>199</v>
      </c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>
        <v>861368531</v>
      </c>
      <c r="P18" s="49"/>
      <c r="Q18" s="49"/>
      <c r="R18" s="49"/>
      <c r="S18" s="49"/>
      <c r="T18" s="49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</row>
    <row r="19" spans="1:35" x14ac:dyDescent="0.3">
      <c r="A19" s="39" t="s">
        <v>203</v>
      </c>
      <c r="B19" s="48">
        <f>SUMIFS(FINANCIACION[[#All],[$ INTERESES]],
FINANCIACION[[#All],[Fecha]],"&gt;="&amp;B$1,
FINANCIACION[[#All],[Fecha]],"&lt;="&amp;EOMONTH(B$1,0))</f>
        <v>9170097.2899999991</v>
      </c>
      <c r="C19" s="48">
        <f>SUMIFS(FINANCIACION[[#All],[$ INTERESES]],
FINANCIACION[[#All],[Fecha]],"&gt;="&amp;C$1,
FINANCIACION[[#All],[Fecha]],"&lt;="&amp;EOMONTH(C$1,0))</f>
        <v>9908174.8599999994</v>
      </c>
      <c r="D19" s="48">
        <f>SUMIFS(FINANCIACION[[#All],[$ INTERESES]],
FINANCIACION[[#All],[Fecha]],"&gt;="&amp;D$1,
FINANCIACION[[#All],[Fecha]],"&lt;="&amp;EOMONTH(D$1,0))</f>
        <v>8927765.6968594994</v>
      </c>
      <c r="E19" s="48">
        <f>SUMIFS(FINANCIACION[[#All],[$ INTERESES]],
FINANCIACION[[#All],[Fecha]],"&gt;="&amp;E$1,
FINANCIACION[[#All],[Fecha]],"&lt;="&amp;EOMONTH(E$1,0))</f>
        <v>0</v>
      </c>
      <c r="F19" s="48">
        <f>SUMIFS(FINANCIACION[[#All],[$ INTERESES]],
FINANCIACION[[#All],[Fecha]],"&gt;="&amp;F$1,
FINANCIACION[[#All],[Fecha]],"&lt;="&amp;EOMONTH(F$1,0))</f>
        <v>2528036.71</v>
      </c>
      <c r="G19" s="48">
        <f>SUMIFS(FINANCIACION[[#All],[$ INTERESES]],
FINANCIACION[[#All],[Fecha]],"&gt;="&amp;G$1,
FINANCIACION[[#All],[Fecha]],"&lt;="&amp;EOMONTH(G$1,0))</f>
        <v>9984160.0800000001</v>
      </c>
      <c r="H19" s="48">
        <f>SUMIFS(FINANCIACION[[#All],[$ INTERESES]],
FINANCIACION[[#All],[Fecha]],"&gt;="&amp;H$1,
FINANCIACION[[#All],[Fecha]],"&lt;="&amp;EOMONTH(H$1,0))</f>
        <v>2827098</v>
      </c>
      <c r="I19" s="48">
        <f>SUMIFS(FINANCIACION[[#All],[$ INTERESES]],
FINANCIACION[[#All],[Fecha]],"&gt;="&amp;I$1,
FINANCIACION[[#All],[Fecha]],"&lt;="&amp;EOMONTH(I$1,0))</f>
        <v>2104994.89</v>
      </c>
      <c r="J19" s="48">
        <f>SUMIFS(FINANCIACION[[#All],[$ INTERESES]],
FINANCIACION[[#All],[Fecha]],"&gt;="&amp;J$1,
FINANCIACION[[#All],[Fecha]],"&lt;="&amp;EOMONTH(J$1,0))</f>
        <v>9937635</v>
      </c>
      <c r="K19" s="48">
        <f>SUMIFS(FINANCIACION[[#All],[$ INTERESES]],
FINANCIACION[[#All],[Fecha]],"&gt;="&amp;K$1,
FINANCIACION[[#All],[Fecha]],"&lt;="&amp;EOMONTH(K$1,0))</f>
        <v>2758498.79</v>
      </c>
      <c r="L19" s="48">
        <f>SUMIFS(FINANCIACION[[#All],[$ INTERESES]],
FINANCIACION[[#All],[Fecha]],"&gt;="&amp;L$1,
FINANCIACION[[#All],[Fecha]],"&lt;="&amp;EOMONTH(L$1,0))</f>
        <v>16137964.5</v>
      </c>
      <c r="M19" s="48">
        <f>SUMIFS(FINANCIACION[[#All],[$ INTERESES]],
FINANCIACION[[#All],[Fecha]],"&gt;="&amp;M$1,
FINANCIACION[[#All],[Fecha]],"&lt;="&amp;EOMONTH(M$1,0))</f>
        <v>9942836.5399999991</v>
      </c>
      <c r="N19" s="48">
        <f>SUMIFS(FINANCIACION[[#All],[$ INTERESES]],
FINANCIACION[[#All],[Fecha]],"&gt;="&amp;N$1,
FINANCIACION[[#All],[Fecha]],"&lt;="&amp;EOMONTH(N$1,0))</f>
        <v>2567901.7659999998</v>
      </c>
      <c r="O19" s="48">
        <f>SUMIFS(FINANCIACION[[#All],[$ INTERESES]],
FINANCIACION[[#All],[Fecha]],"&gt;="&amp;O$1,
FINANCIACION[[#All],[Fecha]],"&lt;="&amp;EOMONTH(O$1,0))</f>
        <v>3220288.6986930002</v>
      </c>
      <c r="P19" s="48">
        <f>SUMIFS(FINANCIACION[[#All],[$ INTERESES]],
FINANCIACION[[#All],[Fecha]],"&gt;="&amp;P$1,
FINANCIACION[[#All],[Fecha]],"&lt;="&amp;EOMONTH(P$1,0))</f>
        <v>4885001.6783339903</v>
      </c>
      <c r="Q19" s="48">
        <f>SUMIFS(FINANCIACION[[#All],[$ INTERESES]],
FINANCIACION[[#All],[Fecha]],"&gt;="&amp;Q$1,
FINANCIACION[[#All],[Fecha]],"&lt;="&amp;EOMONTH(Q$1,0))</f>
        <v>2658010.5461983373</v>
      </c>
      <c r="R19" s="48">
        <f>SUMIFS(FINANCIACION[[#All],[$ INTERESES]],
FINANCIACION[[#All],[Fecha]],"&gt;="&amp;R$1,
FINANCIACION[[#All],[Fecha]],"&lt;="&amp;EOMONTH(R$1,0))</f>
        <v>7306087.2428000076</v>
      </c>
      <c r="S19" s="48">
        <f>SUMIFS(FINANCIACION[[#All],[$ INTERESES]],
FINANCIACION[[#All],[Fecha]],"&gt;="&amp;S$1,
FINANCIACION[[#All],[Fecha]],"&lt;="&amp;EOMONTH(S$1,0))</f>
        <v>7217668.2457486559</v>
      </c>
      <c r="T19" s="48">
        <f>SUMIFS(FINANCIACION[[#All],[$ INTERESES]],
FINANCIACION[[#All],[Fecha]],"&gt;="&amp;T$1,
FINANCIACION[[#All],[Fecha]],"&lt;="&amp;EOMONTH(T$1,0))</f>
        <v>3062442.0096530714</v>
      </c>
      <c r="U19" s="48">
        <f>SUMIFS(FINANCIACION[[#All],[$ INTERESES]],
FINANCIACION[[#All],[Fecha]],"&gt;="&amp;U$1,
FINANCIACION[[#All],[Fecha]],"&lt;="&amp;EOMONTH(U$1,0))</f>
        <v>4070420.4357495997</v>
      </c>
      <c r="V19" s="48">
        <f>SUMIFS(FINANCIACION[[#All],[$ INTERESES]],
FINANCIACION[[#All],[Fecha]],"&gt;="&amp;V$1,
FINANCIACION[[#All],[Fecha]],"&lt;="&amp;EOMONTH(V$1,0))</f>
        <v>4487547.6808070913</v>
      </c>
      <c r="W19" s="48">
        <f>SUMIFS(FINANCIACION[[#All],[$ INTERESES]],
FINANCIACION[[#All],[Fecha]],"&gt;="&amp;W$1,
FINANCIACION[[#All],[Fecha]],"&lt;="&amp;EOMONTH(W$1,0))</f>
        <v>4533103.2170151649</v>
      </c>
      <c r="X19" s="48">
        <f>SUMIFS(FINANCIACION[[#All],[$ INTERESES]],
FINANCIACION[[#All],[Fecha]],"&gt;="&amp;X$1,
FINANCIACION[[#All],[Fecha]],"&lt;="&amp;EOMONTH(X$1,0))</f>
        <v>11304411.184278537</v>
      </c>
      <c r="Y19" s="48">
        <f>SUMIFS(FINANCIACION[[#All],[$ INTERESES]],
FINANCIACION[[#All],[Fecha]],"&gt;="&amp;Y$1,
FINANCIACION[[#All],[Fecha]],"&lt;="&amp;EOMONTH(Y$1,0))</f>
        <v>14636994.228946179</v>
      </c>
      <c r="Z19" s="48">
        <f>SUMIFS(FINANCIACION[[#All],[$ INTERESES]],
FINANCIACION[[#All],[Fecha]],"&gt;="&amp;Z$1,
FINANCIACION[[#All],[Fecha]],"&lt;="&amp;EOMONTH(Z$1,0))</f>
        <v>13334929.005717564</v>
      </c>
      <c r="AA19" s="48">
        <f>SUMIFS(FINANCIACION[[#All],[$ INTERESES]],
FINANCIACION[[#All],[Fecha]],"&gt;="&amp;AA$1,
FINANCIACION[[#All],[Fecha]],"&lt;="&amp;EOMONTH(AA$1,0))</f>
        <v>6087159.7638747338</v>
      </c>
      <c r="AB19" s="48">
        <f>SUMIFS(FINANCIACION[[#All],[$ INTERESES]],
FINANCIACION[[#All],[Fecha]],"&gt;="&amp;AB$1,
FINANCIACION[[#All],[Fecha]],"&lt;="&amp;EOMONTH(AB$1,0))</f>
        <v>8051339.7602134952</v>
      </c>
      <c r="AC19" s="48">
        <f>SUMIFS(FINANCIACION[$ INTERESES],
FINANCIACION[Fecha],"&gt;="&amp;AC$1,
FINANCIACION[Fecha],"&lt;="&amp;EOMONTH(AC$1,0))</f>
        <v>4992257.5790156256</v>
      </c>
      <c r="AD19" s="48">
        <f>SUMIFS(FINANCIACION[$ INTERESES],
FINANCIACION[Fecha],"&gt;="&amp;AD$1,
FINANCIACION[Fecha],"&lt;="&amp;EOMONTH(AD$1,0))</f>
        <v>5456902.2221057862</v>
      </c>
      <c r="AE19" s="48">
        <f>SUMIFS(FINANCIACION[$ INTERESES],
FINANCIACION[Fecha],"&gt;="&amp;AE$1,
FINANCIACION[Fecha],"&lt;="&amp;EOMONTH(AE$1,0))</f>
        <v>13716587.908526836</v>
      </c>
      <c r="AF19" s="48">
        <f>SUMIFS(FINANCIACION[$ INTERESES],
FINANCIACION[Fecha],"&gt;="&amp;AF$1,
FINANCIACION[Fecha],"&lt;="&amp;EOMONTH(AF$1,0))</f>
        <v>11798205.294212103</v>
      </c>
      <c r="AG19" s="48">
        <f>SUMIFS(FINANCIACION[$ INTERESES],
FINANCIACION[Fecha],"&gt;="&amp;AG$1,
FINANCIACION[Fecha],"&lt;="&amp;EOMONTH(AG$1,0))</f>
        <v>13332676.351654224</v>
      </c>
      <c r="AH19" s="48">
        <f>SUMIFS(FINANCIACION[$ INTERESES],
FINANCIACION[Fecha],"&gt;="&amp;AH$1,
FINANCIACION[Fecha],"&lt;="&amp;EOMONTH(AH$1,0))</f>
        <v>13546117.77</v>
      </c>
      <c r="AI19" s="48">
        <f>SUMIFS(FINANCIACION[$ INTERESES],
FINANCIACION[Fecha],"&gt;="&amp;AI$1,
FINANCIACION[Fecha],"&lt;="&amp;EOMONTH(AI$1,0))</f>
        <v>11893381.560000001</v>
      </c>
    </row>
    <row r="20" spans="1:35" x14ac:dyDescent="0.3">
      <c r="A20" s="56" t="s">
        <v>447</v>
      </c>
      <c r="B20" s="42"/>
      <c r="C20" s="42"/>
      <c r="D20" s="79"/>
      <c r="E20" s="80"/>
      <c r="F20" s="79"/>
      <c r="G20" s="80"/>
      <c r="H20" s="79"/>
      <c r="I20" s="80"/>
      <c r="J20" s="79"/>
      <c r="K20" s="80"/>
      <c r="L20" s="79"/>
      <c r="M20" s="80"/>
      <c r="N20" s="79">
        <v>12823183.49</v>
      </c>
      <c r="O20" s="81">
        <v>25716801.719999999</v>
      </c>
      <c r="P20" s="57">
        <v>-6622152.3499999996</v>
      </c>
      <c r="Q20" s="57">
        <v>13518267.619999999</v>
      </c>
      <c r="R20" s="57">
        <v>19000000</v>
      </c>
      <c r="S20" s="52">
        <v>-4712324.03</v>
      </c>
      <c r="T20" s="42">
        <v>3331889.61</v>
      </c>
      <c r="U20" s="42">
        <v>8111071.7599999998</v>
      </c>
      <c r="V20" s="42">
        <f>2178577.37+7746001.55</f>
        <v>9924578.9199999999</v>
      </c>
      <c r="W20" s="42">
        <f>1164596.06-2213707.95</f>
        <v>-1049111.8900000001</v>
      </c>
      <c r="X20" s="42">
        <f>806902.83+69108117.91</f>
        <v>69915020.739999995</v>
      </c>
      <c r="Y20" s="42">
        <f>3472901.51+2254545.81</f>
        <v>5727447.3200000003</v>
      </c>
      <c r="Z20" s="42">
        <f>3472901.51+2254545.81</f>
        <v>5727447.3200000003</v>
      </c>
      <c r="AA20" s="42">
        <f>735574.84+3099503.02</f>
        <v>3835077.86</v>
      </c>
      <c r="AB20" s="42">
        <f>12153685.67+1185504.04</f>
        <v>13339189.710000001</v>
      </c>
      <c r="AC20" s="42">
        <f>-3988467.75+3433743.46</f>
        <v>-554724.29</v>
      </c>
      <c r="AD20" s="42">
        <f>-3408875.7+563070.32</f>
        <v>-2845805.3800000004</v>
      </c>
      <c r="AE20" s="42">
        <f>12174579.06+1314532.76</f>
        <v>13489111.82</v>
      </c>
      <c r="AF20" s="42">
        <f>6841090.13+2790184.35</f>
        <v>9631274.4800000004</v>
      </c>
      <c r="AG20" s="42">
        <f>1090983+6668001</f>
        <v>7758984</v>
      </c>
      <c r="AH20" s="42">
        <f>715555+17963365</f>
        <v>18678920</v>
      </c>
      <c r="AI20" s="42">
        <f>7240132+(-3058218)</f>
        <v>4181914</v>
      </c>
    </row>
    <row r="21" spans="1:35" x14ac:dyDescent="0.3">
      <c r="A21" s="56" t="s">
        <v>159</v>
      </c>
      <c r="B21" s="42"/>
      <c r="C21" s="42"/>
      <c r="D21" s="79"/>
      <c r="E21" s="80"/>
      <c r="F21" s="79"/>
      <c r="G21" s="80"/>
      <c r="H21" s="79"/>
      <c r="I21" s="80"/>
      <c r="J21" s="79"/>
      <c r="K21" s="80"/>
      <c r="L21" s="79"/>
      <c r="M21" s="80"/>
      <c r="N21" s="79">
        <v>3400610.08</v>
      </c>
      <c r="O21" s="81">
        <v>457011.74</v>
      </c>
      <c r="P21" s="57">
        <v>456121.64</v>
      </c>
      <c r="Q21" s="57">
        <v>456562.73</v>
      </c>
      <c r="R21" s="57">
        <v>300000</v>
      </c>
      <c r="S21" s="52">
        <v>456825.05</v>
      </c>
      <c r="T21" s="42">
        <v>457553.75</v>
      </c>
      <c r="U21" s="42">
        <v>458546.51</v>
      </c>
      <c r="V21" s="42">
        <v>458546.51</v>
      </c>
      <c r="W21" s="42">
        <v>457961.76</v>
      </c>
      <c r="X21" s="42">
        <v>457245.18</v>
      </c>
      <c r="Y21" s="42">
        <v>458702.35</v>
      </c>
      <c r="Z21" s="42">
        <v>458702.35</v>
      </c>
      <c r="AA21" s="42">
        <v>469386.64</v>
      </c>
      <c r="AB21" s="42">
        <v>462465.85</v>
      </c>
      <c r="AC21" s="42">
        <v>462465.85</v>
      </c>
      <c r="AD21" s="42">
        <v>464811.91</v>
      </c>
      <c r="AE21" s="42">
        <v>466477.36</v>
      </c>
      <c r="AF21" s="42">
        <v>477914.03</v>
      </c>
      <c r="AG21" s="42">
        <v>481265</v>
      </c>
      <c r="AH21" s="42">
        <v>482365</v>
      </c>
      <c r="AI21" s="42">
        <v>488921</v>
      </c>
    </row>
    <row r="22" spans="1:35" x14ac:dyDescent="0.3">
      <c r="A22" s="56" t="s">
        <v>204</v>
      </c>
      <c r="B22" s="42"/>
      <c r="C22" s="42"/>
      <c r="D22" s="79"/>
      <c r="E22" s="80"/>
      <c r="F22" s="79"/>
      <c r="G22" s="80"/>
      <c r="H22" s="79"/>
      <c r="I22" s="80"/>
      <c r="J22" s="79"/>
      <c r="K22" s="80"/>
      <c r="L22" s="79"/>
      <c r="M22" s="80"/>
      <c r="N22" s="79">
        <f>-10000000+811858.56-20000000+17031460.6</f>
        <v>-12156680.839999996</v>
      </c>
      <c r="O22" s="81">
        <f>-4645518.76-1946158.83</f>
        <v>-6591677.5899999999</v>
      </c>
      <c r="P22" s="57">
        <f>114279.05-1352916.94</f>
        <v>-1238637.8899999999</v>
      </c>
      <c r="Q22" s="57">
        <f>-904208.33-9825200.85</f>
        <v>-10729409.18</v>
      </c>
      <c r="R22" s="57">
        <f>-6000000-8000000</f>
        <v>-14000000</v>
      </c>
      <c r="S22" s="52">
        <f>-2147986.05-779130</f>
        <v>-2927116.05</v>
      </c>
      <c r="T22" s="42">
        <f>-161549.77-2445338</f>
        <v>-2606887.77</v>
      </c>
      <c r="U22" s="42">
        <f>3220172.49-4180965.64</f>
        <v>-960793.14999999991</v>
      </c>
      <c r="V22" s="42">
        <f>144350.87-10009800</f>
        <v>-9865449.1300000008</v>
      </c>
      <c r="W22" s="42">
        <f>4927940-5504061.34</f>
        <v>-576121.33999999985</v>
      </c>
      <c r="X22" s="42">
        <f>6120506.73-4848315.56</f>
        <v>1272191.1700000009</v>
      </c>
      <c r="Y22" s="42">
        <f>62122289.9-16700231.76</f>
        <v>45422058.140000001</v>
      </c>
      <c r="Z22" s="42">
        <f>62122289.9-16700231.76</f>
        <v>45422058.140000001</v>
      </c>
      <c r="AA22" s="42">
        <f>-8000000+5232008.78</f>
        <v>-2767991.2199999997</v>
      </c>
      <c r="AB22" s="42">
        <f>-200000-15419000</f>
        <v>-15619000</v>
      </c>
      <c r="AC22" s="42">
        <f>-40000000+1077399.3+24246206.91</f>
        <v>-14676393.790000003</v>
      </c>
      <c r="AD22" s="42">
        <f>2641817.05-16233663.49</f>
        <v>-13591846.440000001</v>
      </c>
      <c r="AE22" s="42">
        <f>-7664683.05+3164876.51</f>
        <v>-4499806.54</v>
      </c>
      <c r="AF22" s="42">
        <f>-7123410.64+-36588741.17</f>
        <v>-43712151.810000002</v>
      </c>
      <c r="AG22" s="42">
        <f>-10000000+4545744-15780117</f>
        <v>-21234373</v>
      </c>
      <c r="AH22" s="42">
        <f>-19914+(-24437458)</f>
        <v>-24457372</v>
      </c>
      <c r="AI22" s="42">
        <f>-2285193+(-20158226)</f>
        <v>-22443419</v>
      </c>
    </row>
    <row r="23" spans="1:35" x14ac:dyDescent="0.3">
      <c r="A23" s="56" t="s">
        <v>160</v>
      </c>
      <c r="B23" s="42"/>
      <c r="C23" s="42"/>
      <c r="D23" s="79"/>
      <c r="E23" s="80"/>
      <c r="F23" s="79"/>
      <c r="G23" s="80"/>
      <c r="H23" s="79"/>
      <c r="I23" s="80"/>
      <c r="J23" s="79"/>
      <c r="K23" s="80"/>
      <c r="L23" s="79"/>
      <c r="M23" s="80"/>
      <c r="N23" s="79">
        <v>3307793.68</v>
      </c>
      <c r="O23" s="81">
        <v>309870.14</v>
      </c>
      <c r="P23" s="57">
        <v>309264.69</v>
      </c>
      <c r="Q23" s="57">
        <v>309504.15000000002</v>
      </c>
      <c r="R23" s="57">
        <v>400000</v>
      </c>
      <c r="S23" s="52">
        <v>309598.90000000002</v>
      </c>
      <c r="T23" s="42">
        <v>309598.90000000002</v>
      </c>
      <c r="U23" s="42">
        <v>310624.46999999997</v>
      </c>
      <c r="V23" s="42">
        <v>310624.46999999997</v>
      </c>
      <c r="W23" s="42">
        <v>310385.19</v>
      </c>
      <c r="X23" s="42">
        <v>309642.78999999998</v>
      </c>
      <c r="Y23" s="42">
        <v>309965.84999999998</v>
      </c>
      <c r="Z23" s="42">
        <v>309965.84999999998</v>
      </c>
      <c r="AA23" s="42">
        <v>310608.23</v>
      </c>
      <c r="AB23" s="42">
        <v>311775</v>
      </c>
      <c r="AC23" s="42">
        <v>312850.49</v>
      </c>
      <c r="AD23" s="42">
        <v>313742.78999999998</v>
      </c>
      <c r="AE23" s="42">
        <v>314772.36</v>
      </c>
      <c r="AF23" s="42">
        <v>315815.28999999998</v>
      </c>
      <c r="AG23" s="42">
        <v>317723</v>
      </c>
      <c r="AH23" s="42">
        <v>320339</v>
      </c>
      <c r="AI23" s="42">
        <v>322192</v>
      </c>
    </row>
    <row r="24" spans="1:35" x14ac:dyDescent="0.3">
      <c r="A24" s="56" t="s">
        <v>163</v>
      </c>
      <c r="B24" s="42"/>
      <c r="C24" s="42"/>
      <c r="D24" s="79"/>
      <c r="E24" s="80"/>
      <c r="F24" s="79"/>
      <c r="G24" s="80"/>
      <c r="H24" s="79"/>
      <c r="I24" s="80"/>
      <c r="J24" s="79"/>
      <c r="K24" s="80"/>
      <c r="L24" s="79"/>
      <c r="M24" s="80"/>
      <c r="N24" s="79">
        <v>5165671.5599999996</v>
      </c>
      <c r="O24" s="81">
        <v>2712741.39</v>
      </c>
      <c r="P24" s="57" t="s">
        <v>285</v>
      </c>
      <c r="Q24" s="57">
        <v>8081500.3799999999</v>
      </c>
      <c r="R24" s="57">
        <v>4100000</v>
      </c>
      <c r="S24" s="52">
        <v>7279218.5099999998</v>
      </c>
      <c r="T24" s="42">
        <v>2528454.69</v>
      </c>
      <c r="U24" s="42">
        <v>6449161.0300000003</v>
      </c>
      <c r="V24" s="42">
        <v>2534515.2799999998</v>
      </c>
      <c r="W24" s="42">
        <v>6487157.6500000004</v>
      </c>
      <c r="X24" s="42">
        <v>4962940.13</v>
      </c>
      <c r="Y24" s="42">
        <v>2352095.9700000002</v>
      </c>
      <c r="Z24" s="42">
        <v>2352095.9700000002</v>
      </c>
      <c r="AA24" s="42">
        <v>-2462073.42</v>
      </c>
      <c r="AB24" s="42">
        <v>1709000</v>
      </c>
      <c r="AC24" s="42">
        <v>1761405.65</v>
      </c>
      <c r="AD24" s="42">
        <v>3574248.11</v>
      </c>
      <c r="AE24" s="42">
        <v>4025658.77</v>
      </c>
      <c r="AF24" s="42">
        <v>6129804.25</v>
      </c>
      <c r="AG24" s="42">
        <v>4202841</v>
      </c>
      <c r="AH24" s="42">
        <v>9253</v>
      </c>
      <c r="AI24" s="42">
        <v>-1548870</v>
      </c>
    </row>
    <row r="25" spans="1:35" x14ac:dyDescent="0.3">
      <c r="A25" s="56" t="s">
        <v>164</v>
      </c>
      <c r="B25" s="42"/>
      <c r="C25" s="42"/>
      <c r="D25" s="79"/>
      <c r="E25" s="80"/>
      <c r="F25" s="79"/>
      <c r="G25" s="80"/>
      <c r="H25" s="79"/>
      <c r="I25" s="80"/>
      <c r="J25" s="79"/>
      <c r="K25" s="80"/>
      <c r="L25" s="79"/>
      <c r="M25" s="80"/>
      <c r="N25" s="79">
        <v>3589938.74</v>
      </c>
      <c r="O25" s="81">
        <v>8690401.7300000004</v>
      </c>
      <c r="P25" s="57" t="s">
        <v>283</v>
      </c>
      <c r="Q25" s="57">
        <v>1586834.56</v>
      </c>
      <c r="R25" s="59">
        <v>3764187.38</v>
      </c>
      <c r="S25" s="52">
        <v>1691284.38</v>
      </c>
      <c r="T25" s="42">
        <v>1043330.38</v>
      </c>
      <c r="U25" s="42">
        <v>3796886.55</v>
      </c>
      <c r="V25" s="42">
        <v>2404285.39</v>
      </c>
      <c r="W25" s="42">
        <v>2617860.39</v>
      </c>
      <c r="X25" s="42">
        <v>59115.22</v>
      </c>
      <c r="Y25" s="42">
        <v>5666972.1600000001</v>
      </c>
      <c r="Z25" s="42">
        <v>5666972.1600000001</v>
      </c>
      <c r="AA25" s="42">
        <v>4450748.6100000003</v>
      </c>
      <c r="AB25" s="42">
        <v>420485.54</v>
      </c>
      <c r="AC25" s="42">
        <v>2180522.81</v>
      </c>
      <c r="AD25" s="42">
        <v>4971043.33</v>
      </c>
      <c r="AE25" s="42">
        <v>2120296.89</v>
      </c>
      <c r="AF25" s="42">
        <v>3217137.89</v>
      </c>
      <c r="AG25" s="42">
        <v>3179800</v>
      </c>
      <c r="AH25" s="42">
        <v>1300000</v>
      </c>
      <c r="AI25" s="42">
        <v>500000</v>
      </c>
    </row>
    <row r="26" spans="1:35" x14ac:dyDescent="0.3">
      <c r="A26" s="56" t="s">
        <v>161</v>
      </c>
      <c r="B26" s="42"/>
      <c r="C26" s="42"/>
      <c r="D26" s="79"/>
      <c r="E26" s="80"/>
      <c r="F26" s="79"/>
      <c r="G26" s="80"/>
      <c r="H26" s="79"/>
      <c r="I26" s="80"/>
      <c r="J26" s="79"/>
      <c r="K26" s="80"/>
      <c r="L26" s="79"/>
      <c r="M26" s="80"/>
      <c r="N26" s="79">
        <v>3036389.79</v>
      </c>
      <c r="O26" s="81">
        <v>549293.42000000004</v>
      </c>
      <c r="P26" s="57" t="s">
        <v>284</v>
      </c>
      <c r="Q26" s="57">
        <v>102187.02</v>
      </c>
      <c r="R26" s="59">
        <v>1231972.18</v>
      </c>
      <c r="S26" s="52">
        <v>1752322.91</v>
      </c>
      <c r="T26" s="42">
        <v>2251846.36</v>
      </c>
      <c r="U26" s="42">
        <v>92111.95</v>
      </c>
      <c r="V26" s="42">
        <v>115185.28</v>
      </c>
      <c r="W26" s="42">
        <v>578146.93999999994</v>
      </c>
      <c r="X26" s="42">
        <v>1683879.5</v>
      </c>
      <c r="Y26" s="42">
        <v>2567860.81</v>
      </c>
      <c r="Z26" s="42">
        <v>2567860.81</v>
      </c>
      <c r="AA26" s="42">
        <v>437413</v>
      </c>
      <c r="AB26" s="42">
        <v>688713.88</v>
      </c>
      <c r="AC26" s="42">
        <v>1344723.56</v>
      </c>
      <c r="AD26" s="42">
        <v>1246578.47</v>
      </c>
      <c r="AE26" s="42">
        <v>368311.82</v>
      </c>
      <c r="AF26" s="42">
        <v>683068.86</v>
      </c>
      <c r="AG26" s="42">
        <v>979724</v>
      </c>
      <c r="AH26" s="42">
        <v>809741</v>
      </c>
      <c r="AI26" s="42">
        <v>1155840</v>
      </c>
    </row>
    <row r="27" spans="1:35" x14ac:dyDescent="0.3">
      <c r="A27" s="56" t="s">
        <v>998</v>
      </c>
      <c r="B27" s="42"/>
      <c r="C27" s="42"/>
      <c r="D27" s="79"/>
      <c r="E27" s="80"/>
      <c r="F27" s="79"/>
      <c r="G27" s="80"/>
      <c r="H27" s="79"/>
      <c r="I27" s="80"/>
      <c r="J27" s="79"/>
      <c r="K27" s="80"/>
      <c r="L27" s="79"/>
      <c r="M27" s="80"/>
      <c r="N27" s="79"/>
      <c r="O27" s="81"/>
      <c r="P27" s="57"/>
      <c r="Q27" s="57"/>
      <c r="R27" s="59"/>
      <c r="S27" s="5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>
        <v>97745</v>
      </c>
      <c r="AE27" s="42">
        <v>0</v>
      </c>
      <c r="AF27" s="42">
        <v>261111</v>
      </c>
      <c r="AG27" s="42">
        <v>98521</v>
      </c>
      <c r="AH27" s="42">
        <v>518367</v>
      </c>
      <c r="AI27" s="42">
        <v>228478</v>
      </c>
    </row>
    <row r="28" spans="1:35" x14ac:dyDescent="0.3">
      <c r="A28" s="56" t="s">
        <v>1830</v>
      </c>
      <c r="B28" s="42"/>
      <c r="C28" s="42"/>
      <c r="D28" s="79"/>
      <c r="E28" s="80"/>
      <c r="F28" s="79"/>
      <c r="G28" s="80"/>
      <c r="H28" s="79"/>
      <c r="I28" s="80"/>
      <c r="J28" s="79"/>
      <c r="K28" s="80"/>
      <c r="L28" s="79"/>
      <c r="M28" s="80"/>
      <c r="N28" s="79">
        <v>15793150</v>
      </c>
      <c r="O28" s="81">
        <v>12658400</v>
      </c>
      <c r="P28" s="57">
        <v>10728200</v>
      </c>
      <c r="Q28" s="57"/>
      <c r="R28" s="59">
        <v>9558900</v>
      </c>
      <c r="S28" s="52">
        <v>4539800</v>
      </c>
      <c r="T28" s="42">
        <v>6500000</v>
      </c>
      <c r="U28" s="42">
        <v>8415900</v>
      </c>
      <c r="V28" s="42">
        <v>18000000</v>
      </c>
      <c r="W28" s="42">
        <v>13737900</v>
      </c>
      <c r="X28" s="42">
        <v>12065700</v>
      </c>
      <c r="Y28" s="42">
        <f>40373050+1646000</f>
        <v>42019050</v>
      </c>
      <c r="Z28" s="42">
        <f>40373050+1646000</f>
        <v>42019050</v>
      </c>
      <c r="AA28" s="42">
        <v>7854300</v>
      </c>
      <c r="AB28" s="42">
        <f>8962000+4542000</f>
        <v>13504000</v>
      </c>
      <c r="AC28" s="42">
        <v>16332650</v>
      </c>
      <c r="AD28" s="42">
        <v>9411700</v>
      </c>
      <c r="AE28" s="42">
        <v>12536500</v>
      </c>
      <c r="AF28" s="42">
        <v>24583254</v>
      </c>
      <c r="AG28" s="42">
        <f>+(564+207+770+898+1143+4800)*1000</f>
        <v>8382000</v>
      </c>
      <c r="AH28" s="42">
        <f>1020000+1358000+858000+1040000+275000+6913900+910000</f>
        <v>12374900</v>
      </c>
      <c r="AI28" s="42">
        <f>1716250+662000+612600+480000+411500+10427500+320000</f>
        <v>14629850</v>
      </c>
    </row>
    <row r="29" spans="1:35" x14ac:dyDescent="0.3">
      <c r="Y29" s="42"/>
    </row>
    <row r="35" spans="18:22" x14ac:dyDescent="0.3">
      <c r="R35" s="61"/>
    </row>
    <row r="36" spans="18:22" x14ac:dyDescent="0.3">
      <c r="R36" s="61"/>
      <c r="V36" s="42"/>
    </row>
    <row r="37" spans="18:22" x14ac:dyDescent="0.3">
      <c r="R37" s="61"/>
    </row>
    <row r="38" spans="18:22" x14ac:dyDescent="0.3">
      <c r="R38" s="61"/>
      <c r="V38" s="42"/>
    </row>
    <row r="39" spans="18:22" x14ac:dyDescent="0.3">
      <c r="R39" s="61"/>
    </row>
    <row r="40" spans="18:22" x14ac:dyDescent="0.3">
      <c r="R40" s="61"/>
    </row>
    <row r="41" spans="18:22" x14ac:dyDescent="0.3">
      <c r="R41" s="61"/>
      <c r="T41" s="42"/>
      <c r="U41" s="42"/>
      <c r="V41" s="42"/>
    </row>
  </sheetData>
  <pageMargins left="0.7" right="0.7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H1228"/>
  <sheetViews>
    <sheetView tabSelected="1" topLeftCell="A1145" workbookViewId="0">
      <selection activeCell="A1155" sqref="A1155"/>
    </sheetView>
  </sheetViews>
  <sheetFormatPr defaultColWidth="11.44140625" defaultRowHeight="24" customHeight="1" x14ac:dyDescent="0.3"/>
  <cols>
    <col min="1" max="1" width="14.5546875" style="143" customWidth="1"/>
    <col min="2" max="2" width="35.6640625" style="51" customWidth="1"/>
    <col min="3" max="3" width="18.5546875" style="6" customWidth="1"/>
    <col min="4" max="4" width="16.44140625" style="6" customWidth="1"/>
    <col min="5" max="5" width="18.33203125" style="6" customWidth="1"/>
    <col min="6" max="6" width="15.6640625" style="6" customWidth="1"/>
    <col min="7" max="7" width="13.6640625" style="9" customWidth="1"/>
    <col min="8" max="8" width="15.44140625" style="6" customWidth="1"/>
    <col min="9" max="9" width="18.33203125" style="6" hidden="1" customWidth="1"/>
    <col min="10" max="10" width="26.33203125" style="10" hidden="1" customWidth="1"/>
    <col min="11" max="11" width="43" style="6" hidden="1" customWidth="1"/>
    <col min="12" max="12" width="16.44140625" style="6" hidden="1" customWidth="1"/>
    <col min="13" max="13" width="13.5546875" style="6" hidden="1" customWidth="1"/>
    <col min="14" max="14" width="14.5546875" style="9" hidden="1" customWidth="1"/>
    <col min="15" max="15" width="28.6640625" style="8" hidden="1" customWidth="1"/>
    <col min="16" max="16" width="15.5546875" style="6" hidden="1" customWidth="1"/>
    <col min="17" max="17" width="14.33203125" style="6" hidden="1" customWidth="1"/>
    <col min="18" max="18" width="28" style="6" hidden="1" customWidth="1"/>
    <col min="19" max="19" width="12.33203125" style="6" hidden="1" customWidth="1"/>
    <col min="20" max="20" width="8.44140625" style="6" hidden="1" customWidth="1"/>
    <col min="21" max="21" width="28" style="6" hidden="1" customWidth="1"/>
    <col min="22" max="22" width="13.33203125" style="6" hidden="1" customWidth="1"/>
    <col min="23" max="23" width="18.33203125" style="6" hidden="1" customWidth="1"/>
    <col min="24" max="24" width="19.5546875" style="6" hidden="1" customWidth="1"/>
    <col min="25" max="25" width="5.33203125" style="6" hidden="1" customWidth="1"/>
    <col min="26" max="26" width="9.44140625" style="6" hidden="1" customWidth="1"/>
    <col min="27" max="27" width="14.33203125" style="6" hidden="1" customWidth="1"/>
    <col min="28" max="28" width="16.5546875" style="6" hidden="1" customWidth="1"/>
    <col min="29" max="29" width="9.6640625" style="6" hidden="1" customWidth="1"/>
    <col min="30" max="34" width="12.5546875" style="6" hidden="1" customWidth="1"/>
    <col min="35" max="35" width="11.44140625" style="6"/>
    <col min="36" max="36" width="16.33203125" style="6" bestFit="1" customWidth="1"/>
    <col min="37" max="37" width="14.44140625" style="6" bestFit="1" customWidth="1"/>
    <col min="38" max="16384" width="11.44140625" style="6"/>
  </cols>
  <sheetData>
    <row r="1" spans="1:15" ht="30.75" customHeight="1" x14ac:dyDescent="0.3">
      <c r="A1" s="142" t="s">
        <v>418</v>
      </c>
      <c r="B1" s="4" t="s">
        <v>209</v>
      </c>
      <c r="C1" s="4" t="s">
        <v>98</v>
      </c>
      <c r="D1" s="4" t="s">
        <v>36</v>
      </c>
      <c r="E1" s="4" t="s">
        <v>101</v>
      </c>
      <c r="F1" s="5" t="s">
        <v>99</v>
      </c>
      <c r="G1" s="4" t="s">
        <v>100</v>
      </c>
      <c r="H1" s="54" t="s">
        <v>40</v>
      </c>
      <c r="I1" s="34" t="s">
        <v>35</v>
      </c>
      <c r="J1" s="3" t="s">
        <v>41</v>
      </c>
      <c r="N1" s="6"/>
      <c r="O1" s="6"/>
    </row>
    <row r="2" spans="1:15" ht="24" hidden="1" customHeight="1" x14ac:dyDescent="0.3">
      <c r="A2" s="142">
        <v>43074</v>
      </c>
      <c r="B2" s="50" t="s">
        <v>819</v>
      </c>
      <c r="C2" s="5">
        <v>-94935167</v>
      </c>
      <c r="D2" s="5"/>
      <c r="E2" s="5" t="str">
        <f>+IF(FINANCIACION[[#This Row],[$ CAPITAL]]&gt;=0,FINANCIACION[[#This Row],[$ CAPITAL]]+FINANCIACION[[#This Row],[$ INTERESES]],"")</f>
        <v/>
      </c>
      <c r="F2" s="5">
        <f>+SUMIFS(FINANCIACION[$ CAPITAL],FINANCIACION[Fecha],"&lt;="&amp;FINANCIACION[[#This Row],[Fecha]],FINANCIACION[PRESTAMO],FINANCIACION[[#This Row],[PRESTAMO]])</f>
        <v>-94935167</v>
      </c>
      <c r="G2" s="53"/>
      <c r="H2" s="53"/>
      <c r="I2" s="5" t="b">
        <f>IF(FINANCIACION[[#This Row],[$ CAPITAL]]&gt;0,FINANCIACION[[#This Row],[$ CAPITAL]])</f>
        <v>0</v>
      </c>
      <c r="J2" s="33">
        <f>IF(FINANCIACION[[#This Row],[$ CAPITAL]]&gt;=0,FINANCIACION[[#This Row],[$ CAPITAL]]+FINANCIACION[[#This Row],[$ INTERESES]],0)</f>
        <v>0</v>
      </c>
    </row>
    <row r="3" spans="1:15" ht="24" hidden="1" customHeight="1" x14ac:dyDescent="0.3">
      <c r="A3" s="142">
        <v>43084</v>
      </c>
      <c r="B3" s="50" t="s">
        <v>820</v>
      </c>
      <c r="C3" s="5">
        <v>-61629154</v>
      </c>
      <c r="D3" s="5"/>
      <c r="E3" s="5" t="str">
        <f>+IF(FINANCIACION[[#This Row],[$ CAPITAL]]&gt;=0,FINANCIACION[[#This Row],[$ CAPITAL]]+FINANCIACION[[#This Row],[$ INTERESES]],"")</f>
        <v/>
      </c>
      <c r="F3" s="5">
        <f>+SUMIFS(FINANCIACION[$ CAPITAL],FINANCIACION[Fecha],"&lt;="&amp;FINANCIACION[[#This Row],[Fecha]],FINANCIACION[PRESTAMO],FINANCIACION[[#This Row],[PRESTAMO]])</f>
        <v>-61629154</v>
      </c>
      <c r="G3" s="53"/>
      <c r="H3" s="53"/>
      <c r="I3" s="5" t="b">
        <f>IF(FINANCIACION[[#This Row],[$ CAPITAL]]&gt;0,FINANCIACION[[#This Row],[$ CAPITAL]])</f>
        <v>0</v>
      </c>
      <c r="J3" s="33">
        <f>IF(FINANCIACION[[#This Row],[$ CAPITAL]]&gt;=0,FINANCIACION[[#This Row],[$ CAPITAL]]+FINANCIACION[[#This Row],[$ INTERESES]],0)</f>
        <v>0</v>
      </c>
    </row>
    <row r="4" spans="1:15" ht="24" hidden="1" customHeight="1" x14ac:dyDescent="0.3">
      <c r="A4" s="142">
        <v>43118</v>
      </c>
      <c r="B4" s="50" t="s">
        <v>821</v>
      </c>
      <c r="C4" s="5">
        <v>-382491081</v>
      </c>
      <c r="D4" s="5"/>
      <c r="E4" s="5" t="str">
        <f>+IF(FINANCIACION[[#This Row],[$ CAPITAL]]&gt;=0,FINANCIACION[[#This Row],[$ CAPITAL]]+FINANCIACION[[#This Row],[$ INTERESES]],"")</f>
        <v/>
      </c>
      <c r="F4" s="5">
        <f>+SUMIFS(FINANCIACION[$ CAPITAL],FINANCIACION[Fecha],"&lt;="&amp;FINANCIACION[[#This Row],[Fecha]],FINANCIACION[PRESTAMO],FINANCIACION[[#This Row],[PRESTAMO]])</f>
        <v>-382491081</v>
      </c>
      <c r="G4" s="53"/>
      <c r="H4" s="53"/>
      <c r="I4" s="5" t="b">
        <f>IF(FINANCIACION[[#This Row],[$ CAPITAL]]&gt;0,FINANCIACION[[#This Row],[$ CAPITAL]])</f>
        <v>0</v>
      </c>
      <c r="J4" s="33">
        <f>IF(FINANCIACION[[#This Row],[$ CAPITAL]]&gt;=0,FINANCIACION[[#This Row],[$ CAPITAL]]+FINANCIACION[[#This Row],[$ INTERESES]],0)</f>
        <v>0</v>
      </c>
    </row>
    <row r="5" spans="1:15" ht="24" hidden="1" customHeight="1" x14ac:dyDescent="0.3">
      <c r="A5" s="142">
        <v>43346</v>
      </c>
      <c r="B5" s="50" t="s">
        <v>191</v>
      </c>
      <c r="C5" s="5">
        <v>-150000000</v>
      </c>
      <c r="D5" s="5"/>
      <c r="E5" s="5" t="str">
        <f>+IF(FINANCIACION[[#This Row],[$ CAPITAL]]&gt;=0,FINANCIACION[[#This Row],[$ CAPITAL]]+FINANCIACION[[#This Row],[$ INTERESES]],"")</f>
        <v/>
      </c>
      <c r="F5" s="5">
        <f>+SUMIFS(FINANCIACION[$ CAPITAL],FINANCIACION[Fecha],"&lt;="&amp;FINANCIACION[[#This Row],[Fecha]],FINANCIACION[PRESTAMO],FINANCIACION[[#This Row],[PRESTAMO]])</f>
        <v>-150000000</v>
      </c>
      <c r="G5" s="53"/>
      <c r="H5" s="53"/>
      <c r="I5" s="5" t="b">
        <f>IF(FINANCIACION[[#This Row],[$ CAPITAL]]&gt;0,FINANCIACION[[#This Row],[$ CAPITAL]])</f>
        <v>0</v>
      </c>
      <c r="J5" s="33">
        <f>IF(FINANCIACION[[#This Row],[$ CAPITAL]]&gt;=0,FINANCIACION[[#This Row],[$ CAPITAL]]+FINANCIACION[[#This Row],[$ INTERESES]],0)</f>
        <v>0</v>
      </c>
    </row>
    <row r="6" spans="1:15" ht="24" hidden="1" customHeight="1" x14ac:dyDescent="0.3">
      <c r="A6" s="142">
        <v>43398</v>
      </c>
      <c r="B6" s="50" t="s">
        <v>187</v>
      </c>
      <c r="C6" s="5">
        <v>-45000000</v>
      </c>
      <c r="D6" s="5"/>
      <c r="E6" s="5" t="str">
        <f>+IF(FINANCIACION[[#This Row],[$ CAPITAL]]&gt;=0,FINANCIACION[[#This Row],[$ CAPITAL]]+FINANCIACION[[#This Row],[$ INTERESES]],"")</f>
        <v/>
      </c>
      <c r="F6" s="5">
        <f>+SUMIFS(FINANCIACION[$ CAPITAL],FINANCIACION[Fecha],"&lt;="&amp;FINANCIACION[[#This Row],[Fecha]],FINANCIACION[PRESTAMO],FINANCIACION[[#This Row],[PRESTAMO]])</f>
        <v>-45000000</v>
      </c>
      <c r="G6" s="53"/>
      <c r="H6" s="53"/>
      <c r="I6" s="5" t="b">
        <f>IF(FINANCIACION[[#This Row],[$ CAPITAL]]&gt;0,FINANCIACION[[#This Row],[$ CAPITAL]])</f>
        <v>0</v>
      </c>
      <c r="J6" s="33">
        <f>IF(FINANCIACION[[#This Row],[$ CAPITAL]]&gt;=0,FINANCIACION[[#This Row],[$ CAPITAL]]+FINANCIACION[[#This Row],[$ INTERESES]],0)</f>
        <v>0</v>
      </c>
    </row>
    <row r="7" spans="1:15" ht="24" hidden="1" customHeight="1" x14ac:dyDescent="0.3">
      <c r="A7" s="142">
        <v>43465</v>
      </c>
      <c r="B7" s="50" t="s">
        <v>187</v>
      </c>
      <c r="C7" s="5">
        <v>2500000</v>
      </c>
      <c r="D7" s="5"/>
      <c r="E7" s="5">
        <f>+IF(FINANCIACION[[#This Row],[$ CAPITAL]]&gt;=0,FINANCIACION[[#This Row],[$ CAPITAL]]+FINANCIACION[[#This Row],[$ INTERESES]],"")</f>
        <v>2500000</v>
      </c>
      <c r="F7" s="5">
        <f>+SUMIFS(FINANCIACION[$ CAPITAL],FINANCIACION[Fecha],"&lt;="&amp;FINANCIACION[[#This Row],[Fecha]],FINANCIACION[PRESTAMO],FINANCIACION[[#This Row],[PRESTAMO]])</f>
        <v>-42500000</v>
      </c>
      <c r="G7" s="53"/>
      <c r="H7" s="53"/>
      <c r="I7" s="5">
        <f>IF(FINANCIACION[[#This Row],[$ CAPITAL]]&gt;0,FINANCIACION[[#This Row],[$ CAPITAL]])</f>
        <v>2500000</v>
      </c>
      <c r="J7" s="33">
        <f>IF(FINANCIACION[[#This Row],[$ CAPITAL]]&gt;=0,FINANCIACION[[#This Row],[$ CAPITAL]]+FINANCIACION[[#This Row],[$ INTERESES]],0)</f>
        <v>2500000</v>
      </c>
    </row>
    <row r="8" spans="1:15" ht="24" hidden="1" customHeight="1" x14ac:dyDescent="0.3">
      <c r="A8" s="142">
        <v>43465</v>
      </c>
      <c r="B8" s="50" t="s">
        <v>191</v>
      </c>
      <c r="C8" s="5">
        <v>17500000</v>
      </c>
      <c r="D8" s="5"/>
      <c r="E8" s="5">
        <f>+IF(FINANCIACION[[#This Row],[$ CAPITAL]]&gt;=0,FINANCIACION[[#This Row],[$ CAPITAL]]+FINANCIACION[[#This Row],[$ INTERESES]],"")</f>
        <v>17500000</v>
      </c>
      <c r="F8" s="5">
        <f>+SUMIFS(FINANCIACION[$ CAPITAL],FINANCIACION[Fecha],"&lt;="&amp;FINANCIACION[[#This Row],[Fecha]],FINANCIACION[PRESTAMO],FINANCIACION[[#This Row],[PRESTAMO]])</f>
        <v>-132500000</v>
      </c>
      <c r="G8" s="53"/>
      <c r="H8" s="53"/>
      <c r="I8" s="5">
        <f>IF(FINANCIACION[[#This Row],[$ CAPITAL]]&gt;0,FINANCIACION[[#This Row],[$ CAPITAL]])</f>
        <v>17500000</v>
      </c>
      <c r="J8" s="33">
        <f>IF(FINANCIACION[[#This Row],[$ CAPITAL]]&gt;=0,FINANCIACION[[#This Row],[$ CAPITAL]]+FINANCIACION[[#This Row],[$ INTERESES]],0)</f>
        <v>17500000</v>
      </c>
    </row>
    <row r="9" spans="1:15" ht="24" hidden="1" customHeight="1" x14ac:dyDescent="0.3">
      <c r="A9" s="142">
        <v>43468</v>
      </c>
      <c r="B9" s="50" t="s">
        <v>188</v>
      </c>
      <c r="C9" s="5">
        <v>-125000000</v>
      </c>
      <c r="D9" s="5"/>
      <c r="E9" s="5" t="str">
        <f>+IF(FINANCIACION[[#This Row],[$ CAPITAL]]&gt;=0,FINANCIACION[[#This Row],[$ CAPITAL]]+FINANCIACION[[#This Row],[$ INTERESES]],"")</f>
        <v/>
      </c>
      <c r="F9" s="5">
        <f>+SUMIFS(FINANCIACION[$ CAPITAL],FINANCIACION[Fecha],"&lt;="&amp;FINANCIACION[[#This Row],[Fecha]],FINANCIACION[PRESTAMO],FINANCIACION[[#This Row],[PRESTAMO]])</f>
        <v>-125000000</v>
      </c>
      <c r="G9" s="53"/>
      <c r="H9" s="53"/>
      <c r="I9" s="5" t="b">
        <f>IF(FINANCIACION[[#This Row],[$ CAPITAL]]&gt;0,FINANCIACION[[#This Row],[$ CAPITAL]])</f>
        <v>0</v>
      </c>
      <c r="J9" s="33">
        <f>IF(FINANCIACION[[#This Row],[$ CAPITAL]]&gt;=0,FINANCIACION[[#This Row],[$ CAPITAL]]+FINANCIACION[[#This Row],[$ INTERESES]],0)</f>
        <v>0</v>
      </c>
    </row>
    <row r="10" spans="1:15" ht="24" hidden="1" customHeight="1" x14ac:dyDescent="0.3">
      <c r="A10" s="142">
        <v>43468</v>
      </c>
      <c r="B10" s="50" t="s">
        <v>191</v>
      </c>
      <c r="C10" s="5">
        <v>6250000</v>
      </c>
      <c r="D10" s="5">
        <v>1204483.46</v>
      </c>
      <c r="E10" s="5">
        <f>+IF(FINANCIACION[[#This Row],[$ CAPITAL]]&gt;=0,FINANCIACION[[#This Row],[$ CAPITAL]]+FINANCIACION[[#This Row],[$ INTERESES]],"")</f>
        <v>7454483.46</v>
      </c>
      <c r="F10" s="5">
        <f>+SUMIFS(FINANCIACION[$ CAPITAL],FINANCIACION[Fecha],"&lt;="&amp;FINANCIACION[[#This Row],[Fecha]],FINANCIACION[PRESTAMO],FINANCIACION[[#This Row],[PRESTAMO]])</f>
        <v>-126250000</v>
      </c>
      <c r="G10" s="53"/>
      <c r="H10" s="53"/>
      <c r="I10" s="5">
        <f>IF(FINANCIACION[[#This Row],[$ CAPITAL]]&gt;0,FINANCIACION[[#This Row],[$ CAPITAL]])</f>
        <v>6250000</v>
      </c>
      <c r="J10" s="33">
        <f>IF(FINANCIACION[[#This Row],[$ CAPITAL]]&gt;=0,FINANCIACION[[#This Row],[$ CAPITAL]]+FINANCIACION[[#This Row],[$ INTERESES]],0)</f>
        <v>7454483.46</v>
      </c>
    </row>
    <row r="11" spans="1:15" ht="24" hidden="1" customHeight="1" x14ac:dyDescent="0.3">
      <c r="A11" s="142">
        <v>43475</v>
      </c>
      <c r="B11" s="50" t="s">
        <v>819</v>
      </c>
      <c r="C11" s="5"/>
      <c r="D11" s="5">
        <v>950000</v>
      </c>
      <c r="E11" s="5">
        <f>+IF(FINANCIACION[[#This Row],[$ CAPITAL]]&gt;=0,FINANCIACION[[#This Row],[$ CAPITAL]]+FINANCIACION[[#This Row],[$ INTERESES]],"")</f>
        <v>950000</v>
      </c>
      <c r="F11" s="5">
        <f>+SUMIFS(FINANCIACION[$ CAPITAL],FINANCIACION[Fecha],"&lt;="&amp;FINANCIACION[[#This Row],[Fecha]],FINANCIACION[PRESTAMO],FINANCIACION[[#This Row],[PRESTAMO]])</f>
        <v>-94935167</v>
      </c>
      <c r="G11" s="7"/>
      <c r="H11" s="53"/>
      <c r="I11" s="5" t="b">
        <f>IF(FINANCIACION[[#This Row],[$ CAPITAL]]&gt;0,FINANCIACION[[#This Row],[$ CAPITAL]])</f>
        <v>0</v>
      </c>
      <c r="J11" s="33">
        <f>IF(FINANCIACION[[#This Row],[$ CAPITAL]]&gt;=0,FINANCIACION[[#This Row],[$ CAPITAL]]+FINANCIACION[[#This Row],[$ INTERESES]],0)</f>
        <v>950000</v>
      </c>
    </row>
    <row r="12" spans="1:15" ht="24" hidden="1" customHeight="1" x14ac:dyDescent="0.3">
      <c r="A12" s="142">
        <v>43483</v>
      </c>
      <c r="B12" s="50" t="s">
        <v>821</v>
      </c>
      <c r="C12" s="5">
        <v>1268533</v>
      </c>
      <c r="D12" s="5">
        <v>12694590</v>
      </c>
      <c r="E12" s="5">
        <f>+IF(FINANCIACION[[#This Row],[$ CAPITAL]]&gt;=0,FINANCIACION[[#This Row],[$ CAPITAL]]+FINANCIACION[[#This Row],[$ INTERESES]],"")</f>
        <v>13963123</v>
      </c>
      <c r="F12" s="5">
        <f>+SUMIFS(FINANCIACION[$ CAPITAL],FINANCIACION[Fecha],"&lt;="&amp;FINANCIACION[[#This Row],[Fecha]],FINANCIACION[PRESTAMO],FINANCIACION[[#This Row],[PRESTAMO]])</f>
        <v>-381222548</v>
      </c>
      <c r="G12" s="7"/>
      <c r="H12" s="53"/>
      <c r="I12" s="5">
        <f>IF(FINANCIACION[[#This Row],[$ CAPITAL]]&gt;0,FINANCIACION[[#This Row],[$ CAPITAL]])</f>
        <v>1268533</v>
      </c>
      <c r="J12" s="33">
        <f>IF(FINANCIACION[[#This Row],[$ CAPITAL]]&gt;=0,FINANCIACION[[#This Row],[$ CAPITAL]]+FINANCIACION[[#This Row],[$ INTERESES]],0)</f>
        <v>13963123</v>
      </c>
    </row>
    <row r="13" spans="1:15" ht="24" hidden="1" customHeight="1" x14ac:dyDescent="0.3">
      <c r="A13" s="142">
        <v>43485</v>
      </c>
      <c r="B13" s="50" t="s">
        <v>820</v>
      </c>
      <c r="C13" s="5">
        <v>260000</v>
      </c>
      <c r="D13" s="5">
        <v>740000</v>
      </c>
      <c r="E13" s="5">
        <f>+IF(FINANCIACION[[#This Row],[$ CAPITAL]]&gt;=0,FINANCIACION[[#This Row],[$ CAPITAL]]+FINANCIACION[[#This Row],[$ INTERESES]],"")</f>
        <v>1000000</v>
      </c>
      <c r="F13" s="5">
        <f>+SUMIFS(FINANCIACION[$ CAPITAL],FINANCIACION[Fecha],"&lt;="&amp;FINANCIACION[[#This Row],[Fecha]],FINANCIACION[PRESTAMO],FINANCIACION[[#This Row],[PRESTAMO]])</f>
        <v>-61369154</v>
      </c>
      <c r="G13" s="53"/>
      <c r="H13" s="53"/>
      <c r="I13" s="5">
        <f>IF(FINANCIACION[[#This Row],[$ CAPITAL]]&gt;0,FINANCIACION[[#This Row],[$ CAPITAL]])</f>
        <v>260000</v>
      </c>
      <c r="J13" s="33">
        <f>IF(FINANCIACION[[#This Row],[$ CAPITAL]]&gt;=0,FINANCIACION[[#This Row],[$ CAPITAL]]+FINANCIACION[[#This Row],[$ INTERESES]],0)</f>
        <v>1000000</v>
      </c>
    </row>
    <row r="14" spans="1:15" ht="24" hidden="1" customHeight="1" x14ac:dyDescent="0.3">
      <c r="A14" s="142">
        <v>43485</v>
      </c>
      <c r="B14" s="50" t="s">
        <v>821</v>
      </c>
      <c r="C14" s="5">
        <v>1482486.9681818199</v>
      </c>
      <c r="D14" s="5">
        <v>4603361.0318181803</v>
      </c>
      <c r="E14" s="5">
        <f>+IF(FINANCIACION[[#This Row],[$ CAPITAL]]&gt;=0,FINANCIACION[[#This Row],[$ CAPITAL]]+FINANCIACION[[#This Row],[$ INTERESES]],"")</f>
        <v>6085848</v>
      </c>
      <c r="F14" s="5">
        <f>+SUMIFS(FINANCIACION[$ CAPITAL],FINANCIACION[Fecha],"&lt;="&amp;FINANCIACION[[#This Row],[Fecha]],FINANCIACION[PRESTAMO],FINANCIACION[[#This Row],[PRESTAMO]])</f>
        <v>-379740061.03181815</v>
      </c>
      <c r="G14" s="60"/>
      <c r="H14" s="53"/>
      <c r="I14" s="5">
        <f>IF(FINANCIACION[[#This Row],[$ CAPITAL]]&gt;0,FINANCIACION[[#This Row],[$ CAPITAL]])</f>
        <v>1482486.9681818199</v>
      </c>
      <c r="J14" s="33">
        <f>IF(FINANCIACION[[#This Row],[$ CAPITAL]]&gt;=0,FINANCIACION[[#This Row],[$ CAPITAL]]+FINANCIACION[[#This Row],[$ INTERESES]],0)</f>
        <v>6085848</v>
      </c>
    </row>
    <row r="15" spans="1:15" ht="24" hidden="1" customHeight="1" x14ac:dyDescent="0.3">
      <c r="A15" s="142">
        <v>43490</v>
      </c>
      <c r="B15" s="50" t="s">
        <v>187</v>
      </c>
      <c r="C15" s="5">
        <v>1250000</v>
      </c>
      <c r="D15" s="5">
        <v>522218</v>
      </c>
      <c r="E15" s="5">
        <f>+IF(FINANCIACION[[#This Row],[$ CAPITAL]]&gt;=0,FINANCIACION[[#This Row],[$ CAPITAL]]+FINANCIACION[[#This Row],[$ INTERESES]],"")</f>
        <v>1772218</v>
      </c>
      <c r="F15" s="5">
        <f>+SUMIFS(FINANCIACION[$ CAPITAL],FINANCIACION[Fecha],"&lt;="&amp;FINANCIACION[[#This Row],[Fecha]],FINANCIACION[PRESTAMO],FINANCIACION[[#This Row],[PRESTAMO]])</f>
        <v>-41250000</v>
      </c>
      <c r="G15" s="53"/>
      <c r="H15" s="53"/>
      <c r="I15" s="5">
        <f>IF(FINANCIACION[[#This Row],[$ CAPITAL]]&gt;0,FINANCIACION[[#This Row],[$ CAPITAL]])</f>
        <v>1250000</v>
      </c>
      <c r="J15" s="33">
        <f>IF(FINANCIACION[[#This Row],[$ CAPITAL]]&gt;=0,FINANCIACION[[#This Row],[$ CAPITAL]]+FINANCIACION[[#This Row],[$ INTERESES]],0)</f>
        <v>1772218</v>
      </c>
    </row>
    <row r="16" spans="1:15" ht="24" hidden="1" customHeight="1" x14ac:dyDescent="0.3">
      <c r="A16" s="142">
        <v>43499</v>
      </c>
      <c r="B16" s="50" t="s">
        <v>188</v>
      </c>
      <c r="C16" s="5">
        <v>3472222</v>
      </c>
      <c r="D16" s="5">
        <v>1364677</v>
      </c>
      <c r="E16" s="5">
        <f>+IF(FINANCIACION[[#This Row],[$ CAPITAL]]&gt;=0,FINANCIACION[[#This Row],[$ CAPITAL]]+FINANCIACION[[#This Row],[$ INTERESES]],"")</f>
        <v>4836899</v>
      </c>
      <c r="F16" s="5">
        <f>+SUMIFS(FINANCIACION[$ CAPITAL],FINANCIACION[Fecha],"&lt;="&amp;FINANCIACION[[#This Row],[Fecha]],FINANCIACION[PRESTAMO],FINANCIACION[[#This Row],[PRESTAMO]])</f>
        <v>-121527778</v>
      </c>
      <c r="G16" s="53"/>
      <c r="H16" s="53"/>
      <c r="I16" s="5">
        <f>IF(FINANCIACION[[#This Row],[$ CAPITAL]]&gt;0,FINANCIACION[[#This Row],[$ CAPITAL]])</f>
        <v>3472222</v>
      </c>
      <c r="J16" s="33">
        <f>IF(FINANCIACION[[#This Row],[$ CAPITAL]]&gt;=0,FINANCIACION[[#This Row],[$ CAPITAL]]+FINANCIACION[[#This Row],[$ INTERESES]],0)</f>
        <v>4836899</v>
      </c>
    </row>
    <row r="17" spans="1:10" ht="24" hidden="1" customHeight="1" x14ac:dyDescent="0.3">
      <c r="A17" s="142">
        <v>43499</v>
      </c>
      <c r="B17" s="50" t="s">
        <v>191</v>
      </c>
      <c r="C17" s="5">
        <v>6250000</v>
      </c>
      <c r="D17" s="5">
        <v>1157485.2</v>
      </c>
      <c r="E17" s="5">
        <f>+IF(FINANCIACION[[#This Row],[$ CAPITAL]]&gt;=0,FINANCIACION[[#This Row],[$ CAPITAL]]+FINANCIACION[[#This Row],[$ INTERESES]],"")</f>
        <v>7407485.2000000002</v>
      </c>
      <c r="F17" s="5">
        <f>+SUMIFS(FINANCIACION[$ CAPITAL],FINANCIACION[Fecha],"&lt;="&amp;FINANCIACION[[#This Row],[Fecha]],FINANCIACION[PRESTAMO],FINANCIACION[[#This Row],[PRESTAMO]])</f>
        <v>-120000000</v>
      </c>
      <c r="G17" s="53"/>
      <c r="H17" s="53"/>
      <c r="I17" s="5">
        <f>IF(FINANCIACION[[#This Row],[$ CAPITAL]]&gt;0,FINANCIACION[[#This Row],[$ CAPITAL]])</f>
        <v>6250000</v>
      </c>
      <c r="J17" s="33">
        <f>IF(FINANCIACION[[#This Row],[$ CAPITAL]]&gt;=0,FINANCIACION[[#This Row],[$ CAPITAL]]+FINANCIACION[[#This Row],[$ INTERESES]],0)</f>
        <v>7407485.2000000002</v>
      </c>
    </row>
    <row r="18" spans="1:10" ht="24" hidden="1" customHeight="1" x14ac:dyDescent="0.3">
      <c r="A18" s="142">
        <v>43506</v>
      </c>
      <c r="B18" s="50" t="s">
        <v>819</v>
      </c>
      <c r="C18" s="5"/>
      <c r="D18" s="5">
        <v>950000</v>
      </c>
      <c r="E18" s="5">
        <f>+IF(FINANCIACION[[#This Row],[$ CAPITAL]]&gt;=0,FINANCIACION[[#This Row],[$ CAPITAL]]+FINANCIACION[[#This Row],[$ INTERESES]],"")</f>
        <v>950000</v>
      </c>
      <c r="F18" s="5">
        <f>+SUMIFS(FINANCIACION[$ CAPITAL],FINANCIACION[Fecha],"&lt;="&amp;FINANCIACION[[#This Row],[Fecha]],FINANCIACION[PRESTAMO],FINANCIACION[[#This Row],[PRESTAMO]])</f>
        <v>-94935167</v>
      </c>
      <c r="G18" s="53"/>
      <c r="H18" s="53"/>
      <c r="I18" s="5" t="b">
        <f>IF(FINANCIACION[[#This Row],[$ CAPITAL]]&gt;0,FINANCIACION[[#This Row],[$ CAPITAL]])</f>
        <v>0</v>
      </c>
      <c r="J18" s="33">
        <f>IF(FINANCIACION[[#This Row],[$ CAPITAL]]&gt;=0,FINANCIACION[[#This Row],[$ CAPITAL]]+FINANCIACION[[#This Row],[$ INTERESES]],0)</f>
        <v>950000</v>
      </c>
    </row>
    <row r="19" spans="1:10" ht="24" hidden="1" customHeight="1" x14ac:dyDescent="0.3">
      <c r="A19" s="142">
        <v>43514</v>
      </c>
      <c r="B19" s="50" t="s">
        <v>821</v>
      </c>
      <c r="C19" s="5">
        <v>1286844</v>
      </c>
      <c r="D19" s="5">
        <v>4795368</v>
      </c>
      <c r="E19" s="5">
        <f>+IF(FINANCIACION[[#This Row],[$ CAPITAL]]&gt;=0,FINANCIACION[[#This Row],[$ CAPITAL]]+FINANCIACION[[#This Row],[$ INTERESES]],"")</f>
        <v>6082212</v>
      </c>
      <c r="F19" s="5">
        <f>+SUMIFS(FINANCIACION[$ CAPITAL],FINANCIACION[Fecha],"&lt;="&amp;FINANCIACION[[#This Row],[Fecha]],FINANCIACION[PRESTAMO],FINANCIACION[[#This Row],[PRESTAMO]])</f>
        <v>-378453217.03181815</v>
      </c>
      <c r="G19" s="7"/>
      <c r="H19" s="53"/>
      <c r="I19" s="5">
        <f>IF(FINANCIACION[[#This Row],[$ CAPITAL]]&gt;0,FINANCIACION[[#This Row],[$ CAPITAL]])</f>
        <v>1286844</v>
      </c>
      <c r="J19" s="33">
        <f>IF(FINANCIACION[[#This Row],[$ CAPITAL]]&gt;=0,FINANCIACION[[#This Row],[$ CAPITAL]]+FINANCIACION[[#This Row],[$ INTERESES]],0)</f>
        <v>6082212</v>
      </c>
    </row>
    <row r="20" spans="1:10" ht="24" hidden="1" customHeight="1" x14ac:dyDescent="0.3">
      <c r="A20" s="142">
        <v>43516</v>
      </c>
      <c r="B20" s="50" t="s">
        <v>820</v>
      </c>
      <c r="C20" s="5">
        <v>260000</v>
      </c>
      <c r="D20" s="5">
        <v>740000</v>
      </c>
      <c r="E20" s="5">
        <f>+IF(FINANCIACION[[#This Row],[$ CAPITAL]]&gt;=0,FINANCIACION[[#This Row],[$ CAPITAL]]+FINANCIACION[[#This Row],[$ INTERESES]],"")</f>
        <v>1000000</v>
      </c>
      <c r="F20" s="5">
        <f>+SUMIFS(FINANCIACION[$ CAPITAL],FINANCIACION[Fecha],"&lt;="&amp;FINANCIACION[[#This Row],[Fecha]],FINANCIACION[PRESTAMO],FINANCIACION[[#This Row],[PRESTAMO]])</f>
        <v>-61109154</v>
      </c>
      <c r="G20" s="7"/>
      <c r="H20" s="53"/>
      <c r="I20" s="5">
        <f>IF(FINANCIACION[[#This Row],[$ CAPITAL]]&gt;0,FINANCIACION[[#This Row],[$ CAPITAL]])</f>
        <v>260000</v>
      </c>
      <c r="J20" s="33">
        <f>IF(FINANCIACION[[#This Row],[$ CAPITAL]]&gt;=0,FINANCIACION[[#This Row],[$ CAPITAL]]+FINANCIACION[[#This Row],[$ INTERESES]],0)</f>
        <v>1000000</v>
      </c>
    </row>
    <row r="21" spans="1:10" ht="24" hidden="1" customHeight="1" x14ac:dyDescent="0.3">
      <c r="A21" s="142">
        <v>43521</v>
      </c>
      <c r="B21" s="50" t="s">
        <v>187</v>
      </c>
      <c r="C21" s="5">
        <v>1250000</v>
      </c>
      <c r="D21" s="5">
        <v>508307</v>
      </c>
      <c r="E21" s="5">
        <f>+IF(FINANCIACION[[#This Row],[$ CAPITAL]]&gt;=0,FINANCIACION[[#This Row],[$ CAPITAL]]+FINANCIACION[[#This Row],[$ INTERESES]],"")</f>
        <v>1758307</v>
      </c>
      <c r="F21" s="5">
        <f>+SUMIFS(FINANCIACION[$ CAPITAL],FINANCIACION[Fecha],"&lt;="&amp;FINANCIACION[[#This Row],[Fecha]],FINANCIACION[PRESTAMO],FINANCIACION[[#This Row],[PRESTAMO]])</f>
        <v>-40000000</v>
      </c>
      <c r="G21" s="7"/>
      <c r="H21" s="53"/>
      <c r="I21" s="5">
        <f>IF(FINANCIACION[[#This Row],[$ CAPITAL]]&gt;0,FINANCIACION[[#This Row],[$ CAPITAL]])</f>
        <v>1250000</v>
      </c>
      <c r="J21" s="33">
        <f>IF(FINANCIACION[[#This Row],[$ CAPITAL]]&gt;=0,FINANCIACION[[#This Row],[$ CAPITAL]]+FINANCIACION[[#This Row],[$ INTERESES]],0)</f>
        <v>1758307</v>
      </c>
    </row>
    <row r="22" spans="1:10" ht="24" hidden="1" customHeight="1" x14ac:dyDescent="0.3">
      <c r="A22" s="142">
        <v>43527</v>
      </c>
      <c r="B22" s="50" t="s">
        <v>188</v>
      </c>
      <c r="C22" s="5">
        <v>3472222</v>
      </c>
      <c r="D22" s="5">
        <v>1334182</v>
      </c>
      <c r="E22" s="5">
        <f>+IF(FINANCIACION[[#This Row],[$ CAPITAL]]&gt;=0,FINANCIACION[[#This Row],[$ CAPITAL]]+FINANCIACION[[#This Row],[$ INTERESES]],"")</f>
        <v>4806404</v>
      </c>
      <c r="F22" s="5">
        <f>+SUMIFS(FINANCIACION[$ CAPITAL],FINANCIACION[Fecha],"&lt;="&amp;FINANCIACION[[#This Row],[Fecha]],FINANCIACION[PRESTAMO],FINANCIACION[[#This Row],[PRESTAMO]])</f>
        <v>-118055556</v>
      </c>
      <c r="G22" s="7"/>
      <c r="H22" s="53"/>
      <c r="I22" s="5">
        <f>IF(FINANCIACION[[#This Row],[$ CAPITAL]]&gt;0,FINANCIACION[[#This Row],[$ CAPITAL]])</f>
        <v>3472222</v>
      </c>
      <c r="J22" s="33">
        <f>IF(FINANCIACION[[#This Row],[$ CAPITAL]]&gt;=0,FINANCIACION[[#This Row],[$ CAPITAL]]+FINANCIACION[[#This Row],[$ INTERESES]],0)</f>
        <v>4806404</v>
      </c>
    </row>
    <row r="23" spans="1:10" ht="24" hidden="1" customHeight="1" x14ac:dyDescent="0.3">
      <c r="A23" s="142">
        <v>43527</v>
      </c>
      <c r="B23" s="50" t="s">
        <v>191</v>
      </c>
      <c r="C23" s="5">
        <v>6250000</v>
      </c>
      <c r="D23" s="5">
        <v>1106761.69</v>
      </c>
      <c r="E23" s="5">
        <f>+IF(FINANCIACION[[#This Row],[$ CAPITAL]]&gt;=0,FINANCIACION[[#This Row],[$ CAPITAL]]+FINANCIACION[[#This Row],[$ INTERESES]],"")</f>
        <v>7356761.6899999995</v>
      </c>
      <c r="F23" s="5">
        <f>+SUMIFS(FINANCIACION[$ CAPITAL],FINANCIACION[Fecha],"&lt;="&amp;FINANCIACION[[#This Row],[Fecha]],FINANCIACION[PRESTAMO],FINANCIACION[[#This Row],[PRESTAMO]])</f>
        <v>-113750000</v>
      </c>
      <c r="G23" s="7"/>
      <c r="H23" s="53"/>
      <c r="I23" s="5">
        <f>IF(FINANCIACION[[#This Row],[$ CAPITAL]]&gt;0,FINANCIACION[[#This Row],[$ CAPITAL]])</f>
        <v>6250000</v>
      </c>
      <c r="J23" s="33">
        <f>IF(FINANCIACION[[#This Row],[$ CAPITAL]]&gt;=0,FINANCIACION[[#This Row],[$ CAPITAL]]+FINANCIACION[[#This Row],[$ INTERESES]],0)</f>
        <v>7356761.6899999995</v>
      </c>
    </row>
    <row r="24" spans="1:10" ht="24" hidden="1" customHeight="1" x14ac:dyDescent="0.3">
      <c r="A24" s="142">
        <v>43534</v>
      </c>
      <c r="B24" s="50" t="s">
        <v>819</v>
      </c>
      <c r="C24" s="5"/>
      <c r="D24" s="5">
        <v>950000</v>
      </c>
      <c r="E24" s="5">
        <f>+IF(FINANCIACION[[#This Row],[$ CAPITAL]]&gt;=0,FINANCIACION[[#This Row],[$ CAPITAL]]+FINANCIACION[[#This Row],[$ INTERESES]],"")</f>
        <v>950000</v>
      </c>
      <c r="F24" s="5">
        <f>+SUMIFS(FINANCIACION[$ CAPITAL],FINANCIACION[Fecha],"&lt;="&amp;FINANCIACION[[#This Row],[Fecha]],FINANCIACION[PRESTAMO],FINANCIACION[[#This Row],[PRESTAMO]])</f>
        <v>-94935167</v>
      </c>
      <c r="G24" s="7"/>
      <c r="H24" s="53"/>
      <c r="I24" s="5" t="b">
        <f>IF(FINANCIACION[[#This Row],[$ CAPITAL]]&gt;0,FINANCIACION[[#This Row],[$ CAPITAL]])</f>
        <v>0</v>
      </c>
      <c r="J24" s="33">
        <f>IF(FINANCIACION[[#This Row],[$ CAPITAL]]&gt;=0,FINANCIACION[[#This Row],[$ CAPITAL]]+FINANCIACION[[#This Row],[$ INTERESES]],0)</f>
        <v>950000</v>
      </c>
    </row>
    <row r="25" spans="1:10" ht="24" hidden="1" customHeight="1" x14ac:dyDescent="0.3">
      <c r="A25" s="142">
        <v>43542</v>
      </c>
      <c r="B25" s="50" t="s">
        <v>821</v>
      </c>
      <c r="C25" s="5">
        <v>1302644</v>
      </c>
      <c r="D25" s="5">
        <v>4779568</v>
      </c>
      <c r="E25" s="5">
        <f>+IF(FINANCIACION[[#This Row],[$ CAPITAL]]&gt;=0,FINANCIACION[[#This Row],[$ CAPITAL]]+FINANCIACION[[#This Row],[$ INTERESES]],"")</f>
        <v>6082212</v>
      </c>
      <c r="F25" s="5">
        <f>+SUMIFS(FINANCIACION[$ CAPITAL],FINANCIACION[Fecha],"&lt;="&amp;FINANCIACION[[#This Row],[Fecha]],FINANCIACION[PRESTAMO],FINANCIACION[[#This Row],[PRESTAMO]])</f>
        <v>-377150573.03181815</v>
      </c>
      <c r="G25" s="7"/>
      <c r="H25" s="53"/>
      <c r="I25" s="5">
        <f>IF(FINANCIACION[[#This Row],[$ CAPITAL]]&gt;0,FINANCIACION[[#This Row],[$ CAPITAL]])</f>
        <v>1302644</v>
      </c>
      <c r="J25" s="33">
        <f>IF(FINANCIACION[[#This Row],[$ CAPITAL]]&gt;=0,FINANCIACION[[#This Row],[$ CAPITAL]]+FINANCIACION[[#This Row],[$ INTERESES]],0)</f>
        <v>6082212</v>
      </c>
    </row>
    <row r="26" spans="1:10" ht="24" hidden="1" customHeight="1" x14ac:dyDescent="0.3">
      <c r="A26" s="142">
        <v>43544</v>
      </c>
      <c r="B26" s="50" t="s">
        <v>820</v>
      </c>
      <c r="C26" s="5">
        <v>260000</v>
      </c>
      <c r="D26" s="5">
        <v>740000</v>
      </c>
      <c r="E26" s="5">
        <f>+IF(FINANCIACION[[#This Row],[$ CAPITAL]]&gt;=0,FINANCIACION[[#This Row],[$ CAPITAL]]+FINANCIACION[[#This Row],[$ INTERESES]],"")</f>
        <v>1000000</v>
      </c>
      <c r="F26" s="5">
        <f>+SUMIFS(FINANCIACION[$ CAPITAL],FINANCIACION[Fecha],"&lt;="&amp;FINANCIACION[[#This Row],[Fecha]],FINANCIACION[PRESTAMO],FINANCIACION[[#This Row],[PRESTAMO]])</f>
        <v>-60849154</v>
      </c>
      <c r="G26" s="7"/>
      <c r="H26" s="53"/>
      <c r="I26" s="5">
        <f>IF(FINANCIACION[[#This Row],[$ CAPITAL]]&gt;0,FINANCIACION[[#This Row],[$ CAPITAL]])</f>
        <v>260000</v>
      </c>
      <c r="J26" s="33">
        <f>IF(FINANCIACION[[#This Row],[$ CAPITAL]]&gt;=0,FINANCIACION[[#This Row],[$ CAPITAL]]+FINANCIACION[[#This Row],[$ INTERESES]],0)</f>
        <v>1000000</v>
      </c>
    </row>
    <row r="27" spans="1:10" ht="24" hidden="1" customHeight="1" x14ac:dyDescent="0.3">
      <c r="A27" s="142">
        <v>43549</v>
      </c>
      <c r="B27" s="50" t="s">
        <v>187</v>
      </c>
      <c r="C27" s="5">
        <v>1250000</v>
      </c>
      <c r="D27" s="5">
        <v>493253</v>
      </c>
      <c r="E27" s="5">
        <f>+IF(FINANCIACION[[#This Row],[$ CAPITAL]]&gt;=0,FINANCIACION[[#This Row],[$ CAPITAL]]+FINANCIACION[[#This Row],[$ INTERESES]],"")</f>
        <v>1743253</v>
      </c>
      <c r="F27" s="5">
        <f>+SUMIFS(FINANCIACION[$ CAPITAL],FINANCIACION[Fecha],"&lt;="&amp;FINANCIACION[[#This Row],[Fecha]],FINANCIACION[PRESTAMO],FINANCIACION[[#This Row],[PRESTAMO]])</f>
        <v>-38750000</v>
      </c>
      <c r="G27" s="7"/>
      <c r="H27" s="53"/>
      <c r="I27" s="5">
        <f>IF(FINANCIACION[[#This Row],[$ CAPITAL]]&gt;0,FINANCIACION[[#This Row],[$ CAPITAL]])</f>
        <v>1250000</v>
      </c>
      <c r="J27" s="33">
        <f>IF(FINANCIACION[[#This Row],[$ CAPITAL]]&gt;=0,FINANCIACION[[#This Row],[$ CAPITAL]]+FINANCIACION[[#This Row],[$ INTERESES]],0)</f>
        <v>1743253</v>
      </c>
    </row>
    <row r="28" spans="1:10" ht="24" hidden="1" customHeight="1" x14ac:dyDescent="0.3">
      <c r="A28" s="142">
        <v>43558</v>
      </c>
      <c r="B28" s="50" t="s">
        <v>191</v>
      </c>
      <c r="C28" s="5">
        <v>6250000</v>
      </c>
      <c r="D28" s="5">
        <v>1043853.64</v>
      </c>
      <c r="E28" s="5">
        <f>+IF(FINANCIACION[[#This Row],[$ CAPITAL]]&gt;=0,FINANCIACION[[#This Row],[$ CAPITAL]]+FINANCIACION[[#This Row],[$ INTERESES]],"")</f>
        <v>7293853.6399999997</v>
      </c>
      <c r="F28" s="5">
        <f>+SUMIFS(FINANCIACION[$ CAPITAL],FINANCIACION[Fecha],"&lt;="&amp;FINANCIACION[[#This Row],[Fecha]],FINANCIACION[PRESTAMO],FINANCIACION[[#This Row],[PRESTAMO]])</f>
        <v>-107500000</v>
      </c>
      <c r="G28" s="7"/>
      <c r="H28" s="53"/>
      <c r="I28" s="5">
        <f>IF(FINANCIACION[[#This Row],[$ CAPITAL]]&gt;0,FINANCIACION[[#This Row],[$ CAPITAL]])</f>
        <v>6250000</v>
      </c>
      <c r="J28" s="33">
        <f>IF(FINANCIACION[[#This Row],[$ CAPITAL]]&gt;=0,FINANCIACION[[#This Row],[$ CAPITAL]]+FINANCIACION[[#This Row],[$ INTERESES]],0)</f>
        <v>7293853.6399999997</v>
      </c>
    </row>
    <row r="29" spans="1:10" ht="24" hidden="1" customHeight="1" x14ac:dyDescent="0.3">
      <c r="A29" s="142">
        <v>43563</v>
      </c>
      <c r="B29" s="50" t="s">
        <v>188</v>
      </c>
      <c r="C29" s="5">
        <v>3472222</v>
      </c>
      <c r="D29" s="5">
        <v>1290918</v>
      </c>
      <c r="E29" s="5">
        <f>+IF(FINANCIACION[[#This Row],[$ CAPITAL]]&gt;=0,FINANCIACION[[#This Row],[$ CAPITAL]]+FINANCIACION[[#This Row],[$ INTERESES]],"")</f>
        <v>4763140</v>
      </c>
      <c r="F29" s="5">
        <f>+SUMIFS(FINANCIACION[$ CAPITAL],FINANCIACION[Fecha],"&lt;="&amp;FINANCIACION[[#This Row],[Fecha]],FINANCIACION[PRESTAMO],FINANCIACION[[#This Row],[PRESTAMO]])</f>
        <v>-114583334</v>
      </c>
      <c r="G29" s="7"/>
      <c r="H29" s="53"/>
      <c r="I29" s="5">
        <f>IF(FINANCIACION[[#This Row],[$ CAPITAL]]&gt;0,FINANCIACION[[#This Row],[$ CAPITAL]])</f>
        <v>3472222</v>
      </c>
      <c r="J29" s="33">
        <f>IF(FINANCIACION[[#This Row],[$ CAPITAL]]&gt;=0,FINANCIACION[[#This Row],[$ CAPITAL]]+FINANCIACION[[#This Row],[$ INTERESES]],0)</f>
        <v>4763140</v>
      </c>
    </row>
    <row r="30" spans="1:10" ht="24" hidden="1" customHeight="1" x14ac:dyDescent="0.3">
      <c r="A30" s="142">
        <v>43565</v>
      </c>
      <c r="B30" s="50" t="s">
        <v>819</v>
      </c>
      <c r="C30" s="5"/>
      <c r="D30" s="5">
        <v>950000</v>
      </c>
      <c r="E30" s="5">
        <f>+IF(FINANCIACION[[#This Row],[$ CAPITAL]]&gt;=0,FINANCIACION[[#This Row],[$ CAPITAL]]+FINANCIACION[[#This Row],[$ INTERESES]],"")</f>
        <v>950000</v>
      </c>
      <c r="F30" s="5">
        <f>+SUMIFS(FINANCIACION[$ CAPITAL],FINANCIACION[Fecha],"&lt;="&amp;FINANCIACION[[#This Row],[Fecha]],FINANCIACION[PRESTAMO],FINANCIACION[[#This Row],[PRESTAMO]])</f>
        <v>-94935167</v>
      </c>
      <c r="G30" s="7"/>
      <c r="H30" s="53"/>
      <c r="I30" s="5" t="b">
        <f>IF(FINANCIACION[[#This Row],[$ CAPITAL]]&gt;0,FINANCIACION[[#This Row],[$ CAPITAL]])</f>
        <v>0</v>
      </c>
      <c r="J30" s="33">
        <f>IF(FINANCIACION[[#This Row],[$ CAPITAL]]&gt;=0,FINANCIACION[[#This Row],[$ CAPITAL]]+FINANCIACION[[#This Row],[$ INTERESES]],0)</f>
        <v>950000</v>
      </c>
    </row>
    <row r="31" spans="1:10" ht="24" hidden="1" customHeight="1" x14ac:dyDescent="0.3">
      <c r="A31" s="142">
        <v>43575</v>
      </c>
      <c r="B31" s="50" t="s">
        <v>820</v>
      </c>
      <c r="C31" s="5">
        <v>260000</v>
      </c>
      <c r="D31" s="5">
        <v>740000</v>
      </c>
      <c r="E31" s="5">
        <f>+IF(FINANCIACION[[#This Row],[$ CAPITAL]]&gt;=0,FINANCIACION[[#This Row],[$ CAPITAL]]+FINANCIACION[[#This Row],[$ INTERESES]],"")</f>
        <v>1000000</v>
      </c>
      <c r="F31" s="5">
        <f>+SUMIFS(FINANCIACION[$ CAPITAL],FINANCIACION[Fecha],"&lt;="&amp;FINANCIACION[[#This Row],[Fecha]],FINANCIACION[PRESTAMO],FINANCIACION[[#This Row],[PRESTAMO]])</f>
        <v>-60589154</v>
      </c>
      <c r="G31" s="7"/>
      <c r="H31" s="53"/>
      <c r="I31" s="5">
        <f>IF(FINANCIACION[[#This Row],[$ CAPITAL]]&gt;0,FINANCIACION[[#This Row],[$ CAPITAL]])</f>
        <v>260000</v>
      </c>
      <c r="J31" s="33">
        <f>IF(FINANCIACION[[#This Row],[$ CAPITAL]]&gt;=0,FINANCIACION[[#This Row],[$ CAPITAL]]+FINANCIACION[[#This Row],[$ INTERESES]],0)</f>
        <v>1000000</v>
      </c>
    </row>
    <row r="32" spans="1:10" ht="24" hidden="1" customHeight="1" x14ac:dyDescent="0.3">
      <c r="A32" s="142">
        <v>43577</v>
      </c>
      <c r="B32" s="50" t="s">
        <v>821</v>
      </c>
      <c r="C32" s="5">
        <v>1302644</v>
      </c>
      <c r="D32" s="5">
        <v>4779568</v>
      </c>
      <c r="E32" s="5">
        <f>+IF(FINANCIACION[[#This Row],[$ CAPITAL]]&gt;=0,FINANCIACION[[#This Row],[$ CAPITAL]]+FINANCIACION[[#This Row],[$ INTERESES]],"")</f>
        <v>6082212</v>
      </c>
      <c r="F32" s="5">
        <f>+SUMIFS(FINANCIACION[$ CAPITAL],FINANCIACION[Fecha],"&lt;="&amp;FINANCIACION[[#This Row],[Fecha]],FINANCIACION[PRESTAMO],FINANCIACION[[#This Row],[PRESTAMO]])</f>
        <v>-375847929.03181815</v>
      </c>
      <c r="G32" s="7"/>
      <c r="H32" s="53"/>
      <c r="I32" s="5">
        <f>IF(FINANCIACION[[#This Row],[$ CAPITAL]]&gt;0,FINANCIACION[[#This Row],[$ CAPITAL]])</f>
        <v>1302644</v>
      </c>
      <c r="J32" s="33">
        <f>IF(FINANCIACION[[#This Row],[$ CAPITAL]]&gt;=0,FINANCIACION[[#This Row],[$ CAPITAL]]+FINANCIACION[[#This Row],[$ INTERESES]],0)</f>
        <v>6082212</v>
      </c>
    </row>
    <row r="33" spans="1:10" ht="24" hidden="1" customHeight="1" x14ac:dyDescent="0.3">
      <c r="A33" s="142">
        <v>43580</v>
      </c>
      <c r="B33" s="50" t="s">
        <v>187</v>
      </c>
      <c r="C33" s="5">
        <v>1250000</v>
      </c>
      <c r="D33" s="5">
        <v>476141</v>
      </c>
      <c r="E33" s="5">
        <f>+IF(FINANCIACION[[#This Row],[$ CAPITAL]]&gt;=0,FINANCIACION[[#This Row],[$ CAPITAL]]+FINANCIACION[[#This Row],[$ INTERESES]],"")</f>
        <v>1726141</v>
      </c>
      <c r="F33" s="5">
        <f>+SUMIFS(FINANCIACION[$ CAPITAL],FINANCIACION[Fecha],"&lt;="&amp;FINANCIACION[[#This Row],[Fecha]],FINANCIACION[PRESTAMO],FINANCIACION[[#This Row],[PRESTAMO]])</f>
        <v>-37500000</v>
      </c>
      <c r="G33" s="7"/>
      <c r="H33" s="53"/>
      <c r="I33" s="5">
        <f>IF(FINANCIACION[[#This Row],[$ CAPITAL]]&gt;0,FINANCIACION[[#This Row],[$ CAPITAL]])</f>
        <v>1250000</v>
      </c>
      <c r="J33" s="33">
        <f>IF(FINANCIACION[[#This Row],[$ CAPITAL]]&gt;=0,FINANCIACION[[#This Row],[$ CAPITAL]]+FINANCIACION[[#This Row],[$ INTERESES]],0)</f>
        <v>1726141</v>
      </c>
    </row>
    <row r="34" spans="1:10" ht="24" hidden="1" customHeight="1" x14ac:dyDescent="0.3">
      <c r="A34" s="142">
        <v>43588</v>
      </c>
      <c r="B34" s="50" t="s">
        <v>191</v>
      </c>
      <c r="C34" s="5">
        <v>6250000</v>
      </c>
      <c r="D34" s="5">
        <v>987761.26</v>
      </c>
      <c r="E34" s="5">
        <f>+IF(FINANCIACION[[#This Row],[$ CAPITAL]]&gt;=0,FINANCIACION[[#This Row],[$ CAPITAL]]+FINANCIACION[[#This Row],[$ INTERESES]],"")</f>
        <v>7237761.2599999998</v>
      </c>
      <c r="F34" s="5">
        <f>+SUMIFS(FINANCIACION[$ CAPITAL],FINANCIACION[Fecha],"&lt;="&amp;FINANCIACION[[#This Row],[Fecha]],FINANCIACION[PRESTAMO],FINANCIACION[[#This Row],[PRESTAMO]])</f>
        <v>-101250000</v>
      </c>
      <c r="G34" s="7"/>
      <c r="H34" s="53"/>
      <c r="I34" s="5">
        <f>IF(FINANCIACION[[#This Row],[$ CAPITAL]]&gt;0,FINANCIACION[[#This Row],[$ CAPITAL]])</f>
        <v>6250000</v>
      </c>
      <c r="J34" s="33">
        <f>IF(FINANCIACION[[#This Row],[$ CAPITAL]]&gt;=0,FINANCIACION[[#This Row],[$ CAPITAL]]+FINANCIACION[[#This Row],[$ INTERESES]],0)</f>
        <v>7237761.2599999998</v>
      </c>
    </row>
    <row r="35" spans="1:10" ht="24" hidden="1" customHeight="1" x14ac:dyDescent="0.3">
      <c r="A35" s="142">
        <v>43593</v>
      </c>
      <c r="B35" s="50" t="s">
        <v>187</v>
      </c>
      <c r="C35" s="5">
        <v>7500000</v>
      </c>
      <c r="D35" s="5"/>
      <c r="E35" s="5">
        <f>+IF(FINANCIACION[[#This Row],[$ CAPITAL]]&gt;=0,FINANCIACION[[#This Row],[$ CAPITAL]]+FINANCIACION[[#This Row],[$ INTERESES]],"")</f>
        <v>7500000</v>
      </c>
      <c r="F35" s="5">
        <f>+SUMIFS(FINANCIACION[$ CAPITAL],FINANCIACION[Fecha],"&lt;="&amp;FINANCIACION[[#This Row],[Fecha]],FINANCIACION[PRESTAMO],FINANCIACION[[#This Row],[PRESTAMO]])</f>
        <v>-30000000</v>
      </c>
      <c r="G35" s="7"/>
      <c r="H35" s="53"/>
      <c r="I35" s="5">
        <f>IF(FINANCIACION[[#This Row],[$ CAPITAL]]&gt;0,FINANCIACION[[#This Row],[$ CAPITAL]])</f>
        <v>7500000</v>
      </c>
      <c r="J35" s="33">
        <f>IF(FINANCIACION[[#This Row],[$ CAPITAL]]&gt;=0,FINANCIACION[[#This Row],[$ CAPITAL]]+FINANCIACION[[#This Row],[$ INTERESES]],0)</f>
        <v>7500000</v>
      </c>
    </row>
    <row r="36" spans="1:10" ht="24" hidden="1" customHeight="1" x14ac:dyDescent="0.3">
      <c r="A36" s="142">
        <v>43593</v>
      </c>
      <c r="B36" s="50" t="s">
        <v>188</v>
      </c>
      <c r="C36" s="5">
        <v>3472222</v>
      </c>
      <c r="D36" s="5">
        <v>1254945</v>
      </c>
      <c r="E36" s="5">
        <f>+IF(FINANCIACION[[#This Row],[$ CAPITAL]]&gt;=0,FINANCIACION[[#This Row],[$ CAPITAL]]+FINANCIACION[[#This Row],[$ INTERESES]],"")</f>
        <v>4727167</v>
      </c>
      <c r="F36" s="5">
        <f>+SUMIFS(FINANCIACION[$ CAPITAL],FINANCIACION[Fecha],"&lt;="&amp;FINANCIACION[[#This Row],[Fecha]],FINANCIACION[PRESTAMO],FINANCIACION[[#This Row],[PRESTAMO]])</f>
        <v>-111111112</v>
      </c>
      <c r="G36" s="7"/>
      <c r="H36" s="53"/>
      <c r="I36" s="5">
        <f>IF(FINANCIACION[[#This Row],[$ CAPITAL]]&gt;0,FINANCIACION[[#This Row],[$ CAPITAL]])</f>
        <v>3472222</v>
      </c>
      <c r="J36" s="33">
        <f>IF(FINANCIACION[[#This Row],[$ CAPITAL]]&gt;=0,FINANCIACION[[#This Row],[$ CAPITAL]]+FINANCIACION[[#This Row],[$ INTERESES]],0)</f>
        <v>4727167</v>
      </c>
    </row>
    <row r="37" spans="1:10" ht="24" hidden="1" customHeight="1" x14ac:dyDescent="0.3">
      <c r="A37" s="142">
        <v>43595</v>
      </c>
      <c r="B37" s="50" t="s">
        <v>819</v>
      </c>
      <c r="C37" s="5"/>
      <c r="D37" s="5">
        <v>950000</v>
      </c>
      <c r="E37" s="5">
        <f>+IF(FINANCIACION[[#This Row],[$ CAPITAL]]&gt;=0,FINANCIACION[[#This Row],[$ CAPITAL]]+FINANCIACION[[#This Row],[$ INTERESES]],"")</f>
        <v>950000</v>
      </c>
      <c r="F37" s="5">
        <f>+SUMIFS(FINANCIACION[$ CAPITAL],FINANCIACION[Fecha],"&lt;="&amp;FINANCIACION[[#This Row],[Fecha]],FINANCIACION[PRESTAMO],FINANCIACION[[#This Row],[PRESTAMO]])</f>
        <v>-94935167</v>
      </c>
      <c r="G37" s="7"/>
      <c r="H37" s="53"/>
      <c r="I37" s="5" t="b">
        <f>IF(FINANCIACION[[#This Row],[$ CAPITAL]]&gt;0,FINANCIACION[[#This Row],[$ CAPITAL]])</f>
        <v>0</v>
      </c>
      <c r="J37" s="33">
        <f>IF(FINANCIACION[[#This Row],[$ CAPITAL]]&gt;=0,FINANCIACION[[#This Row],[$ CAPITAL]]+FINANCIACION[[#This Row],[$ INTERESES]],0)</f>
        <v>950000</v>
      </c>
    </row>
    <row r="38" spans="1:10" ht="24" hidden="1" customHeight="1" x14ac:dyDescent="0.3">
      <c r="A38" s="142">
        <v>43605</v>
      </c>
      <c r="B38" s="50" t="s">
        <v>820</v>
      </c>
      <c r="C38" s="5">
        <v>260000</v>
      </c>
      <c r="D38" s="5">
        <v>740000</v>
      </c>
      <c r="E38" s="5">
        <f>+IF(FINANCIACION[[#This Row],[$ CAPITAL]]&gt;=0,FINANCIACION[[#This Row],[$ CAPITAL]]+FINANCIACION[[#This Row],[$ INTERESES]],"")</f>
        <v>1000000</v>
      </c>
      <c r="F38" s="5">
        <f>+SUMIFS(FINANCIACION[$ CAPITAL],FINANCIACION[Fecha],"&lt;="&amp;FINANCIACION[[#This Row],[Fecha]],FINANCIACION[PRESTAMO],FINANCIACION[[#This Row],[PRESTAMO]])</f>
        <v>-60329154</v>
      </c>
      <c r="G38" s="7"/>
      <c r="H38" s="53"/>
      <c r="I38" s="5">
        <f>IF(FINANCIACION[[#This Row],[$ CAPITAL]]&gt;0,FINANCIACION[[#This Row],[$ CAPITAL]])</f>
        <v>260000</v>
      </c>
      <c r="J38" s="33">
        <f>IF(FINANCIACION[[#This Row],[$ CAPITAL]]&gt;=0,FINANCIACION[[#This Row],[$ CAPITAL]]+FINANCIACION[[#This Row],[$ INTERESES]],0)</f>
        <v>1000000</v>
      </c>
    </row>
    <row r="39" spans="1:10" ht="24" hidden="1" customHeight="1" x14ac:dyDescent="0.3">
      <c r="A39" s="142">
        <v>43605</v>
      </c>
      <c r="B39" s="50" t="s">
        <v>821</v>
      </c>
      <c r="C39" s="5">
        <v>1334827</v>
      </c>
      <c r="D39" s="5">
        <v>4747385</v>
      </c>
      <c r="E39" s="5">
        <f>+IF(FINANCIACION[[#This Row],[$ CAPITAL]]&gt;=0,FINANCIACION[[#This Row],[$ CAPITAL]]+FINANCIACION[[#This Row],[$ INTERESES]],"")</f>
        <v>6082212</v>
      </c>
      <c r="F39" s="5">
        <f>+SUMIFS(FINANCIACION[$ CAPITAL],FINANCIACION[Fecha],"&lt;="&amp;FINANCIACION[[#This Row],[Fecha]],FINANCIACION[PRESTAMO],FINANCIACION[[#This Row],[PRESTAMO]])</f>
        <v>-374513102.03181815</v>
      </c>
      <c r="G39" s="7"/>
      <c r="H39" s="53"/>
      <c r="I39" s="5">
        <f>IF(FINANCIACION[[#This Row],[$ CAPITAL]]&gt;0,FINANCIACION[[#This Row],[$ CAPITAL]])</f>
        <v>1334827</v>
      </c>
      <c r="J39" s="33">
        <f>IF(FINANCIACION[[#This Row],[$ CAPITAL]]&gt;=0,FINANCIACION[[#This Row],[$ CAPITAL]]+FINANCIACION[[#This Row],[$ INTERESES]],0)</f>
        <v>6082212</v>
      </c>
    </row>
    <row r="40" spans="1:10" ht="24" hidden="1" customHeight="1" x14ac:dyDescent="0.3">
      <c r="A40" s="142">
        <v>43612</v>
      </c>
      <c r="B40" s="50" t="s">
        <v>187</v>
      </c>
      <c r="C40" s="5">
        <v>1250000</v>
      </c>
      <c r="D40" s="5">
        <v>461769</v>
      </c>
      <c r="E40" s="5">
        <f>+IF(FINANCIACION[[#This Row],[$ CAPITAL]]&gt;=0,FINANCIACION[[#This Row],[$ CAPITAL]]+FINANCIACION[[#This Row],[$ INTERESES]],"")</f>
        <v>1711769</v>
      </c>
      <c r="F40" s="5">
        <f>+SUMIFS(FINANCIACION[$ CAPITAL],FINANCIACION[Fecha],"&lt;="&amp;FINANCIACION[[#This Row],[Fecha]],FINANCIACION[PRESTAMO],FINANCIACION[[#This Row],[PRESTAMO]])</f>
        <v>-28750000</v>
      </c>
      <c r="G40" s="7"/>
      <c r="H40" s="53"/>
      <c r="I40" s="5">
        <f>IF(FINANCIACION[[#This Row],[$ CAPITAL]]&gt;0,FINANCIACION[[#This Row],[$ CAPITAL]])</f>
        <v>1250000</v>
      </c>
      <c r="J40" s="33">
        <f>IF(FINANCIACION[[#This Row],[$ CAPITAL]]&gt;=0,FINANCIACION[[#This Row],[$ CAPITAL]]+FINANCIACION[[#This Row],[$ INTERESES]],0)</f>
        <v>1711769</v>
      </c>
    </row>
    <row r="41" spans="1:10" ht="24" hidden="1" customHeight="1" x14ac:dyDescent="0.3">
      <c r="A41" s="142">
        <v>43619</v>
      </c>
      <c r="B41" s="50" t="s">
        <v>188</v>
      </c>
      <c r="C41" s="5">
        <v>3472222</v>
      </c>
      <c r="D41" s="5">
        <v>1213047</v>
      </c>
      <c r="E41" s="5">
        <f>+IF(FINANCIACION[[#This Row],[$ CAPITAL]]&gt;=0,FINANCIACION[[#This Row],[$ CAPITAL]]+FINANCIACION[[#This Row],[$ INTERESES]],"")</f>
        <v>4685269</v>
      </c>
      <c r="F41" s="5">
        <f>+SUMIFS(FINANCIACION[$ CAPITAL],FINANCIACION[Fecha],"&lt;="&amp;FINANCIACION[[#This Row],[Fecha]],FINANCIACION[PRESTAMO],FINANCIACION[[#This Row],[PRESTAMO]])</f>
        <v>-107638890</v>
      </c>
      <c r="G41" s="7"/>
      <c r="H41" s="53"/>
      <c r="I41" s="5">
        <f>IF(FINANCIACION[[#This Row],[$ CAPITAL]]&gt;0,FINANCIACION[[#This Row],[$ CAPITAL]])</f>
        <v>3472222</v>
      </c>
      <c r="J41" s="8">
        <f>IF(FINANCIACION[[#This Row],[$ CAPITAL]]&gt;=0,FINANCIACION[[#This Row],[$ CAPITAL]]+FINANCIACION[[#This Row],[$ INTERESES]],0)</f>
        <v>4685269</v>
      </c>
    </row>
    <row r="42" spans="1:10" ht="24" hidden="1" customHeight="1" x14ac:dyDescent="0.3">
      <c r="A42" s="142">
        <v>43619</v>
      </c>
      <c r="B42" s="50" t="s">
        <v>191</v>
      </c>
      <c r="C42" s="5">
        <v>6250000</v>
      </c>
      <c r="D42" s="5">
        <v>925893.52</v>
      </c>
      <c r="E42" s="5">
        <f>+IF(FINANCIACION[[#This Row],[$ CAPITAL]]&gt;=0,FINANCIACION[[#This Row],[$ CAPITAL]]+FINANCIACION[[#This Row],[$ INTERESES]],"")</f>
        <v>7175893.5199999996</v>
      </c>
      <c r="F42" s="5">
        <f>+SUMIFS(FINANCIACION[$ CAPITAL],FINANCIACION[Fecha],"&lt;="&amp;FINANCIACION[[#This Row],[Fecha]],FINANCIACION[PRESTAMO],FINANCIACION[[#This Row],[PRESTAMO]])</f>
        <v>-95000000</v>
      </c>
      <c r="G42" s="7"/>
      <c r="H42" s="53"/>
      <c r="I42" s="5">
        <f>IF(FINANCIACION[[#This Row],[$ CAPITAL]]&gt;0,FINANCIACION[[#This Row],[$ CAPITAL]])</f>
        <v>6250000</v>
      </c>
      <c r="J42" s="8">
        <f>IF(FINANCIACION[[#This Row],[$ CAPITAL]]&gt;=0,FINANCIACION[[#This Row],[$ CAPITAL]]+FINANCIACION[[#This Row],[$ INTERESES]],0)</f>
        <v>7175893.5199999996</v>
      </c>
    </row>
    <row r="43" spans="1:10" ht="24" hidden="1" customHeight="1" x14ac:dyDescent="0.3">
      <c r="A43" s="142">
        <v>43620</v>
      </c>
      <c r="B43" s="50" t="s">
        <v>822</v>
      </c>
      <c r="C43" s="5">
        <v>-2426470</v>
      </c>
      <c r="D43" s="5"/>
      <c r="E43" s="5" t="str">
        <f>+IF(FINANCIACION[[#This Row],[$ CAPITAL]]&gt;=0,FINANCIACION[[#This Row],[$ CAPITAL]]+FINANCIACION[[#This Row],[$ INTERESES]],"")</f>
        <v/>
      </c>
      <c r="F43" s="5">
        <f>+SUMIFS(FINANCIACION[$ CAPITAL],FINANCIACION[Fecha],"&lt;="&amp;FINANCIACION[[#This Row],[Fecha]],FINANCIACION[PRESTAMO],FINANCIACION[[#This Row],[PRESTAMO]])</f>
        <v>-2426470</v>
      </c>
      <c r="G43" s="53"/>
      <c r="H43" s="53"/>
      <c r="I43" s="5" t="b">
        <f>IF(FINANCIACION[[#This Row],[$ CAPITAL]]&gt;0,FINANCIACION[[#This Row],[$ CAPITAL]])</f>
        <v>0</v>
      </c>
      <c r="J43" s="33">
        <f>IF(FINANCIACION[[#This Row],[$ CAPITAL]]&gt;=0,FINANCIACION[[#This Row],[$ CAPITAL]]+FINANCIACION[[#This Row],[$ INTERESES]],0)</f>
        <v>0</v>
      </c>
    </row>
    <row r="44" spans="1:10" ht="24" hidden="1" customHeight="1" x14ac:dyDescent="0.3">
      <c r="A44" s="142">
        <v>43626</v>
      </c>
      <c r="B44" s="50" t="s">
        <v>819</v>
      </c>
      <c r="C44" s="5"/>
      <c r="D44" s="5">
        <v>950000</v>
      </c>
      <c r="E44" s="5">
        <f>+IF(FINANCIACION[[#This Row],[$ CAPITAL]]&gt;=0,FINANCIACION[[#This Row],[$ CAPITAL]]+FINANCIACION[[#This Row],[$ INTERESES]],"")</f>
        <v>950000</v>
      </c>
      <c r="F44" s="5">
        <f>+SUMIFS(FINANCIACION[$ CAPITAL],FINANCIACION[Fecha],"&lt;="&amp;FINANCIACION[[#This Row],[Fecha]],FINANCIACION[PRESTAMO],FINANCIACION[[#This Row],[PRESTAMO]])</f>
        <v>-94935167</v>
      </c>
      <c r="G44" s="53"/>
      <c r="H44" s="53"/>
      <c r="I44" s="5" t="b">
        <f>IF(FINANCIACION[[#This Row],[$ CAPITAL]]&gt;0,FINANCIACION[[#This Row],[$ CAPITAL]])</f>
        <v>0</v>
      </c>
      <c r="J44" s="33">
        <f>IF(FINANCIACION[[#This Row],[$ CAPITAL]]&gt;=0,FINANCIACION[[#This Row],[$ CAPITAL]]+FINANCIACION[[#This Row],[$ INTERESES]],0)</f>
        <v>950000</v>
      </c>
    </row>
    <row r="45" spans="1:10" ht="24" hidden="1" customHeight="1" x14ac:dyDescent="0.3">
      <c r="A45" s="142">
        <v>43634</v>
      </c>
      <c r="B45" s="50" t="s">
        <v>191</v>
      </c>
      <c r="C45" s="5">
        <v>-55000000</v>
      </c>
      <c r="D45" s="5"/>
      <c r="E45" s="5" t="str">
        <f>+IF(FINANCIACION[[#This Row],[$ CAPITAL]]&gt;=0,FINANCIACION[[#This Row],[$ CAPITAL]]+FINANCIACION[[#This Row],[$ INTERESES]],"")</f>
        <v/>
      </c>
      <c r="F45" s="5">
        <f>+SUMIFS(FINANCIACION[$ CAPITAL],FINANCIACION[Fecha],"&lt;="&amp;FINANCIACION[[#This Row],[Fecha]],FINANCIACION[PRESTAMO],FINANCIACION[[#This Row],[PRESTAMO]])</f>
        <v>-150000000</v>
      </c>
      <c r="G45" s="53"/>
      <c r="H45" s="53"/>
      <c r="I45" s="5" t="b">
        <f>IF(FINANCIACION[[#This Row],[$ CAPITAL]]&gt;0,FINANCIACION[[#This Row],[$ CAPITAL]])</f>
        <v>0</v>
      </c>
      <c r="J45" s="33">
        <f>IF(FINANCIACION[[#This Row],[$ CAPITAL]]&gt;=0,FINANCIACION[[#This Row],[$ CAPITAL]]+FINANCIACION[[#This Row],[$ INTERESES]],0)</f>
        <v>0</v>
      </c>
    </row>
    <row r="46" spans="1:10" ht="24" hidden="1" customHeight="1" x14ac:dyDescent="0.3">
      <c r="A46" s="142">
        <v>43634</v>
      </c>
      <c r="B46" s="50" t="s">
        <v>821</v>
      </c>
      <c r="C46" s="5">
        <v>1351215</v>
      </c>
      <c r="D46" s="5">
        <v>4730997</v>
      </c>
      <c r="E46" s="5">
        <f>+IF(FINANCIACION[[#This Row],[$ CAPITAL]]&gt;=0,FINANCIACION[[#This Row],[$ CAPITAL]]+FINANCIACION[[#This Row],[$ INTERESES]],"")</f>
        <v>6082212</v>
      </c>
      <c r="F46" s="5">
        <f>+SUMIFS(FINANCIACION[$ CAPITAL],FINANCIACION[Fecha],"&lt;="&amp;FINANCIACION[[#This Row],[Fecha]],FINANCIACION[PRESTAMO],FINANCIACION[[#This Row],[PRESTAMO]])</f>
        <v>-373161887.03181815</v>
      </c>
      <c r="G46" s="53"/>
      <c r="H46" s="53"/>
      <c r="I46" s="5">
        <f>IF(FINANCIACION[[#This Row],[$ CAPITAL]]&gt;0,FINANCIACION[[#This Row],[$ CAPITAL]])</f>
        <v>1351215</v>
      </c>
      <c r="J46" s="33">
        <f>IF(FINANCIACION[[#This Row],[$ CAPITAL]]&gt;=0,FINANCIACION[[#This Row],[$ CAPITAL]]+FINANCIACION[[#This Row],[$ INTERESES]],0)</f>
        <v>6082212</v>
      </c>
    </row>
    <row r="47" spans="1:10" ht="24" hidden="1" customHeight="1" x14ac:dyDescent="0.3">
      <c r="A47" s="142">
        <v>43636</v>
      </c>
      <c r="B47" s="50" t="s">
        <v>820</v>
      </c>
      <c r="C47" s="5">
        <v>260000</v>
      </c>
      <c r="D47" s="5">
        <v>740000</v>
      </c>
      <c r="E47" s="5">
        <f>+IF(FINANCIACION[[#This Row],[$ CAPITAL]]&gt;=0,FINANCIACION[[#This Row],[$ CAPITAL]]+FINANCIACION[[#This Row],[$ INTERESES]],"")</f>
        <v>1000000</v>
      </c>
      <c r="F47" s="5">
        <f>+SUMIFS(FINANCIACION[$ CAPITAL],FINANCIACION[Fecha],"&lt;="&amp;FINANCIACION[[#This Row],[Fecha]],FINANCIACION[PRESTAMO],FINANCIACION[[#This Row],[PRESTAMO]])</f>
        <v>-60069154</v>
      </c>
      <c r="G47" s="53"/>
      <c r="H47" s="53"/>
      <c r="I47" s="5">
        <f>IF(FINANCIACION[[#This Row],[$ CAPITAL]]&gt;0,FINANCIACION[[#This Row],[$ CAPITAL]])</f>
        <v>260000</v>
      </c>
      <c r="J47" s="33">
        <f>IF(FINANCIACION[[#This Row],[$ CAPITAL]]&gt;=0,FINANCIACION[[#This Row],[$ CAPITAL]]+FINANCIACION[[#This Row],[$ INTERESES]],0)</f>
        <v>1000000</v>
      </c>
    </row>
    <row r="48" spans="1:10" ht="24" hidden="1" customHeight="1" x14ac:dyDescent="0.3">
      <c r="A48" s="142">
        <v>43640</v>
      </c>
      <c r="B48" s="50" t="s">
        <v>822</v>
      </c>
      <c r="C48" s="5">
        <v>-1017880</v>
      </c>
      <c r="D48" s="5"/>
      <c r="E48" s="5" t="str">
        <f>+IF(FINANCIACION[[#This Row],[$ CAPITAL]]&gt;=0,FINANCIACION[[#This Row],[$ CAPITAL]]+FINANCIACION[[#This Row],[$ INTERESES]],"")</f>
        <v/>
      </c>
      <c r="F48" s="5">
        <f>+SUMIFS(FINANCIACION[$ CAPITAL],FINANCIACION[Fecha],"&lt;="&amp;FINANCIACION[[#This Row],[Fecha]],FINANCIACION[PRESTAMO],FINANCIACION[[#This Row],[PRESTAMO]])</f>
        <v>-3444350</v>
      </c>
      <c r="G48" s="53"/>
      <c r="H48" s="53"/>
      <c r="I48" s="5" t="b">
        <f>IF(FINANCIACION[[#This Row],[$ CAPITAL]]&gt;0,FINANCIACION[[#This Row],[$ CAPITAL]])</f>
        <v>0</v>
      </c>
      <c r="J48" s="33">
        <f>IF(FINANCIACION[[#This Row],[$ CAPITAL]]&gt;=0,FINANCIACION[[#This Row],[$ CAPITAL]]+FINANCIACION[[#This Row],[$ INTERESES]],0)</f>
        <v>0</v>
      </c>
    </row>
    <row r="49" spans="1:10" ht="24" hidden="1" customHeight="1" x14ac:dyDescent="0.3">
      <c r="A49" s="142">
        <v>43641</v>
      </c>
      <c r="B49" s="50" t="s">
        <v>187</v>
      </c>
      <c r="C49" s="5">
        <v>1250000</v>
      </c>
      <c r="D49" s="5">
        <v>353517</v>
      </c>
      <c r="E49" s="5">
        <f>+IF(FINANCIACION[[#This Row],[$ CAPITAL]]&gt;=0,FINANCIACION[[#This Row],[$ CAPITAL]]+FINANCIACION[[#This Row],[$ INTERESES]],"")</f>
        <v>1603517</v>
      </c>
      <c r="F49" s="5">
        <f>+SUMIFS(FINANCIACION[$ CAPITAL],FINANCIACION[Fecha],"&lt;="&amp;FINANCIACION[[#This Row],[Fecha]],FINANCIACION[PRESTAMO],FINANCIACION[[#This Row],[PRESTAMO]])</f>
        <v>-27500000</v>
      </c>
      <c r="G49" s="53"/>
      <c r="H49" s="53"/>
      <c r="I49" s="5">
        <f>IF(FINANCIACION[[#This Row],[$ CAPITAL]]&gt;0,FINANCIACION[[#This Row],[$ CAPITAL]])</f>
        <v>1250000</v>
      </c>
      <c r="J49" s="33">
        <f>IF(FINANCIACION[[#This Row],[$ CAPITAL]]&gt;=0,FINANCIACION[[#This Row],[$ CAPITAL]]+FINANCIACION[[#This Row],[$ INTERESES]],0)</f>
        <v>1603517</v>
      </c>
    </row>
    <row r="50" spans="1:10" ht="24" hidden="1" customHeight="1" x14ac:dyDescent="0.3">
      <c r="A50" s="142">
        <v>43642</v>
      </c>
      <c r="B50" s="50" t="s">
        <v>823</v>
      </c>
      <c r="C50" s="5">
        <v>-28000000</v>
      </c>
      <c r="D50" s="5"/>
      <c r="E50" s="5" t="str">
        <f>+IF(FINANCIACION[[#This Row],[$ CAPITAL]]&gt;=0,FINANCIACION[[#This Row],[$ CAPITAL]]+FINANCIACION[[#This Row],[$ INTERESES]],"")</f>
        <v/>
      </c>
      <c r="F50" s="5">
        <f>+SUMIFS(FINANCIACION[$ CAPITAL],FINANCIACION[Fecha],"&lt;="&amp;FINANCIACION[[#This Row],[Fecha]],FINANCIACION[PRESTAMO],FINANCIACION[[#This Row],[PRESTAMO]])</f>
        <v>-28000000</v>
      </c>
      <c r="G50" s="53"/>
      <c r="H50" s="53"/>
      <c r="I50" s="5" t="b">
        <f>IF(FINANCIACION[[#This Row],[$ CAPITAL]]&gt;0,FINANCIACION[[#This Row],[$ CAPITAL]])</f>
        <v>0</v>
      </c>
      <c r="J50" s="33">
        <f>IF(FINANCIACION[[#This Row],[$ CAPITAL]]&gt;=0,FINANCIACION[[#This Row],[$ CAPITAL]]+FINANCIACION[[#This Row],[$ INTERESES]],0)</f>
        <v>0</v>
      </c>
    </row>
    <row r="51" spans="1:10" ht="24" hidden="1" customHeight="1" x14ac:dyDescent="0.3">
      <c r="A51" s="142">
        <v>43643</v>
      </c>
      <c r="B51" s="50" t="s">
        <v>823</v>
      </c>
      <c r="C51" s="5">
        <v>-10000000</v>
      </c>
      <c r="D51" s="5"/>
      <c r="E51" s="5" t="str">
        <f>+IF(FINANCIACION[[#This Row],[$ CAPITAL]]&gt;=0,FINANCIACION[[#This Row],[$ CAPITAL]]+FINANCIACION[[#This Row],[$ INTERESES]],"")</f>
        <v/>
      </c>
      <c r="F51" s="5">
        <f>+SUMIFS(FINANCIACION[$ CAPITAL],FINANCIACION[Fecha],"&lt;="&amp;FINANCIACION[[#This Row],[Fecha]],FINANCIACION[PRESTAMO],FINANCIACION[[#This Row],[PRESTAMO]])</f>
        <v>-48000000</v>
      </c>
      <c r="G51" s="53"/>
      <c r="H51" s="53"/>
      <c r="I51" s="5" t="b">
        <f>IF(FINANCIACION[[#This Row],[$ CAPITAL]]&gt;0,FINANCIACION[[#This Row],[$ CAPITAL]])</f>
        <v>0</v>
      </c>
      <c r="J51" s="33">
        <f>IF(FINANCIACION[[#This Row],[$ CAPITAL]]&gt;=0,FINANCIACION[[#This Row],[$ CAPITAL]]+FINANCIACION[[#This Row],[$ INTERESES]],0)</f>
        <v>0</v>
      </c>
    </row>
    <row r="52" spans="1:10" ht="24" hidden="1" customHeight="1" x14ac:dyDescent="0.3">
      <c r="A52" s="142">
        <v>43643</v>
      </c>
      <c r="B52" s="50" t="s">
        <v>823</v>
      </c>
      <c r="C52" s="5">
        <v>-5000000</v>
      </c>
      <c r="D52" s="5"/>
      <c r="E52" s="5" t="str">
        <f>+IF(FINANCIACION[[#This Row],[$ CAPITAL]]&gt;=0,FINANCIACION[[#This Row],[$ CAPITAL]]+FINANCIACION[[#This Row],[$ INTERESES]],"")</f>
        <v/>
      </c>
      <c r="F52" s="5">
        <f>+SUMIFS(FINANCIACION[$ CAPITAL],FINANCIACION[Fecha],"&lt;="&amp;FINANCIACION[[#This Row],[Fecha]],FINANCIACION[PRESTAMO],FINANCIACION[[#This Row],[PRESTAMO]])</f>
        <v>-48000000</v>
      </c>
      <c r="G52" s="53"/>
      <c r="H52" s="53"/>
      <c r="I52" s="5" t="b">
        <f>IF(FINANCIACION[[#This Row],[$ CAPITAL]]&gt;0,FINANCIACION[[#This Row],[$ CAPITAL]])</f>
        <v>0</v>
      </c>
      <c r="J52" s="33">
        <f>IF(FINANCIACION[[#This Row],[$ CAPITAL]]&gt;=0,FINANCIACION[[#This Row],[$ CAPITAL]]+FINANCIACION[[#This Row],[$ INTERESES]],0)</f>
        <v>0</v>
      </c>
    </row>
    <row r="53" spans="1:10" ht="24" hidden="1" customHeight="1" x14ac:dyDescent="0.3">
      <c r="A53" s="142">
        <v>43643</v>
      </c>
      <c r="B53" s="50" t="s">
        <v>823</v>
      </c>
      <c r="C53" s="5">
        <v>-5000000</v>
      </c>
      <c r="D53" s="5"/>
      <c r="E53" s="5" t="str">
        <f>+IF(FINANCIACION[[#This Row],[$ CAPITAL]]&gt;=0,FINANCIACION[[#This Row],[$ CAPITAL]]+FINANCIACION[[#This Row],[$ INTERESES]],"")</f>
        <v/>
      </c>
      <c r="F53" s="5">
        <f>+SUMIFS(FINANCIACION[$ CAPITAL],FINANCIACION[Fecha],"&lt;="&amp;FINANCIACION[[#This Row],[Fecha]],FINANCIACION[PRESTAMO],FINANCIACION[[#This Row],[PRESTAMO]])</f>
        <v>-48000000</v>
      </c>
      <c r="G53" s="7"/>
      <c r="H53" s="53"/>
      <c r="I53" s="5" t="b">
        <f>IF(FINANCIACION[[#This Row],[$ CAPITAL]]&gt;0,FINANCIACION[[#This Row],[$ CAPITAL]])</f>
        <v>0</v>
      </c>
      <c r="J53" s="33">
        <f>IF(FINANCIACION[[#This Row],[$ CAPITAL]]&gt;=0,FINANCIACION[[#This Row],[$ CAPITAL]]+FINANCIACION[[#This Row],[$ INTERESES]],0)</f>
        <v>0</v>
      </c>
    </row>
    <row r="54" spans="1:10" ht="24" hidden="1" customHeight="1" x14ac:dyDescent="0.3">
      <c r="A54" s="142">
        <v>43649</v>
      </c>
      <c r="B54" s="50" t="s">
        <v>188</v>
      </c>
      <c r="C54" s="5">
        <v>3472222</v>
      </c>
      <c r="D54" s="5">
        <v>1171398</v>
      </c>
      <c r="E54" s="5">
        <f>+IF(FINANCIACION[[#This Row],[$ CAPITAL]]&gt;=0,FINANCIACION[[#This Row],[$ CAPITAL]]+FINANCIACION[[#This Row],[$ INTERESES]],"")</f>
        <v>4643620</v>
      </c>
      <c r="F54" s="5">
        <f>+SUMIFS(FINANCIACION[$ CAPITAL],FINANCIACION[Fecha],"&lt;="&amp;FINANCIACION[[#This Row],[Fecha]],FINANCIACION[PRESTAMO],FINANCIACION[[#This Row],[PRESTAMO]])</f>
        <v>-104166668</v>
      </c>
      <c r="G54" s="7"/>
      <c r="H54" s="53"/>
      <c r="I54" s="5">
        <f>IF(FINANCIACION[[#This Row],[$ CAPITAL]]&gt;0,FINANCIACION[[#This Row],[$ CAPITAL]])</f>
        <v>3472222</v>
      </c>
      <c r="J54" s="33">
        <f>IF(FINANCIACION[[#This Row],[$ CAPITAL]]&gt;=0,FINANCIACION[[#This Row],[$ CAPITAL]]+FINANCIACION[[#This Row],[$ INTERESES]],0)</f>
        <v>4643620</v>
      </c>
    </row>
    <row r="55" spans="1:10" ht="24" hidden="1" customHeight="1" x14ac:dyDescent="0.3">
      <c r="A55" s="142">
        <v>43650</v>
      </c>
      <c r="B55" s="50" t="s">
        <v>823</v>
      </c>
      <c r="C55" s="5">
        <v>-3000000</v>
      </c>
      <c r="D55" s="5"/>
      <c r="E55" s="5" t="str">
        <f>+IF(FINANCIACION[[#This Row],[$ CAPITAL]]&gt;=0,FINANCIACION[[#This Row],[$ CAPITAL]]+FINANCIACION[[#This Row],[$ INTERESES]],"")</f>
        <v/>
      </c>
      <c r="F55" s="5">
        <f>+SUMIFS(FINANCIACION[$ CAPITAL],FINANCIACION[Fecha],"&lt;="&amp;FINANCIACION[[#This Row],[Fecha]],FINANCIACION[PRESTAMO],FINANCIACION[[#This Row],[PRESTAMO]])</f>
        <v>-51000000</v>
      </c>
      <c r="G55" s="7"/>
      <c r="H55" s="53"/>
      <c r="I55" s="5" t="b">
        <f>IF(FINANCIACION[[#This Row],[$ CAPITAL]]&gt;0,FINANCIACION[[#This Row],[$ CAPITAL]])</f>
        <v>0</v>
      </c>
      <c r="J55" s="33">
        <f>IF(FINANCIACION[[#This Row],[$ CAPITAL]]&gt;=0,FINANCIACION[[#This Row],[$ CAPITAL]]+FINANCIACION[[#This Row],[$ INTERESES]],0)</f>
        <v>0</v>
      </c>
    </row>
    <row r="56" spans="1:10" ht="24" hidden="1" customHeight="1" x14ac:dyDescent="0.3">
      <c r="A56" s="142">
        <v>43651</v>
      </c>
      <c r="B56" s="50" t="s">
        <v>823</v>
      </c>
      <c r="C56" s="5">
        <v>-5000000</v>
      </c>
      <c r="D56" s="5"/>
      <c r="E56" s="5" t="str">
        <f>+IF(FINANCIACION[[#This Row],[$ CAPITAL]]&gt;=0,FINANCIACION[[#This Row],[$ CAPITAL]]+FINANCIACION[[#This Row],[$ INTERESES]],"")</f>
        <v/>
      </c>
      <c r="F56" s="5">
        <f>+SUMIFS(FINANCIACION[$ CAPITAL],FINANCIACION[Fecha],"&lt;="&amp;FINANCIACION[[#This Row],[Fecha]],FINANCIACION[PRESTAMO],FINANCIACION[[#This Row],[PRESTAMO]])</f>
        <v>-61000000</v>
      </c>
      <c r="G56" s="7"/>
      <c r="H56" s="53"/>
      <c r="I56" s="5" t="b">
        <f>IF(FINANCIACION[[#This Row],[$ CAPITAL]]&gt;0,FINANCIACION[[#This Row],[$ CAPITAL]])</f>
        <v>0</v>
      </c>
      <c r="J56" s="33">
        <f>IF(FINANCIACION[[#This Row],[$ CAPITAL]]&gt;=0,FINANCIACION[[#This Row],[$ CAPITAL]]+FINANCIACION[[#This Row],[$ INTERESES]],0)</f>
        <v>0</v>
      </c>
    </row>
    <row r="57" spans="1:10" ht="24" hidden="1" customHeight="1" x14ac:dyDescent="0.3">
      <c r="A57" s="142">
        <v>43651</v>
      </c>
      <c r="B57" s="50" t="s">
        <v>823</v>
      </c>
      <c r="C57" s="5">
        <v>-5000000</v>
      </c>
      <c r="D57" s="5"/>
      <c r="E57" s="5" t="str">
        <f>+IF(FINANCIACION[[#This Row],[$ CAPITAL]]&gt;=0,FINANCIACION[[#This Row],[$ CAPITAL]]+FINANCIACION[[#This Row],[$ INTERESES]],"")</f>
        <v/>
      </c>
      <c r="F57" s="5">
        <f>+SUMIFS(FINANCIACION[$ CAPITAL],FINANCIACION[Fecha],"&lt;="&amp;FINANCIACION[[#This Row],[Fecha]],FINANCIACION[PRESTAMO],FINANCIACION[[#This Row],[PRESTAMO]])</f>
        <v>-61000000</v>
      </c>
      <c r="G57" s="7"/>
      <c r="H57" s="53"/>
      <c r="I57" s="5" t="b">
        <f>IF(FINANCIACION[[#This Row],[$ CAPITAL]]&gt;0,FINANCIACION[[#This Row],[$ CAPITAL]])</f>
        <v>0</v>
      </c>
      <c r="J57" s="33">
        <f>IF(FINANCIACION[[#This Row],[$ CAPITAL]]&gt;=0,FINANCIACION[[#This Row],[$ CAPITAL]]+FINANCIACION[[#This Row],[$ INTERESES]],0)</f>
        <v>0</v>
      </c>
    </row>
    <row r="58" spans="1:10" ht="24" hidden="1" customHeight="1" x14ac:dyDescent="0.3">
      <c r="A58" s="142">
        <v>43654</v>
      </c>
      <c r="B58" s="50" t="s">
        <v>823</v>
      </c>
      <c r="C58" s="5">
        <v>-5000000</v>
      </c>
      <c r="D58" s="5"/>
      <c r="E58" s="5" t="str">
        <f>+IF(FINANCIACION[[#This Row],[$ CAPITAL]]&gt;=0,FINANCIACION[[#This Row],[$ CAPITAL]]+FINANCIACION[[#This Row],[$ INTERESES]],"")</f>
        <v/>
      </c>
      <c r="F58" s="5">
        <f>+SUMIFS(FINANCIACION[$ CAPITAL],FINANCIACION[Fecha],"&lt;="&amp;FINANCIACION[[#This Row],[Fecha]],FINANCIACION[PRESTAMO],FINANCIACION[[#This Row],[PRESTAMO]])</f>
        <v>-66000000</v>
      </c>
      <c r="G58" s="7"/>
      <c r="H58" s="53"/>
      <c r="I58" s="5" t="b">
        <f>IF(FINANCIACION[[#This Row],[$ CAPITAL]]&gt;0,FINANCIACION[[#This Row],[$ CAPITAL]])</f>
        <v>0</v>
      </c>
      <c r="J58" s="33">
        <f>IF(FINANCIACION[[#This Row],[$ CAPITAL]]&gt;=0,FINANCIACION[[#This Row],[$ CAPITAL]]+FINANCIACION[[#This Row],[$ INTERESES]],0)</f>
        <v>0</v>
      </c>
    </row>
    <row r="59" spans="1:10" ht="24" hidden="1" customHeight="1" x14ac:dyDescent="0.3">
      <c r="A59" s="142">
        <v>43656</v>
      </c>
      <c r="B59" s="50" t="s">
        <v>819</v>
      </c>
      <c r="C59" s="5"/>
      <c r="D59" s="5">
        <v>950000</v>
      </c>
      <c r="E59" s="5">
        <f>+IF(FINANCIACION[[#This Row],[$ CAPITAL]]&gt;=0,FINANCIACION[[#This Row],[$ CAPITAL]]+FINANCIACION[[#This Row],[$ INTERESES]],"")</f>
        <v>950000</v>
      </c>
      <c r="F59" s="5">
        <f>+SUMIFS(FINANCIACION[$ CAPITAL],FINANCIACION[Fecha],"&lt;="&amp;FINANCIACION[[#This Row],[Fecha]],FINANCIACION[PRESTAMO],FINANCIACION[[#This Row],[PRESTAMO]])</f>
        <v>-94935167</v>
      </c>
      <c r="G59" s="7"/>
      <c r="H59" s="53"/>
      <c r="I59" s="5" t="b">
        <f>IF(FINANCIACION[[#This Row],[$ CAPITAL]]&gt;0,FINANCIACION[[#This Row],[$ CAPITAL]])</f>
        <v>0</v>
      </c>
      <c r="J59" s="33">
        <f>IF(FINANCIACION[[#This Row],[$ CAPITAL]]&gt;=0,FINANCIACION[[#This Row],[$ CAPITAL]]+FINANCIACION[[#This Row],[$ INTERESES]],0)</f>
        <v>950000</v>
      </c>
    </row>
    <row r="60" spans="1:10" ht="24" hidden="1" customHeight="1" x14ac:dyDescent="0.3">
      <c r="A60" s="142">
        <v>43664</v>
      </c>
      <c r="B60" s="50" t="s">
        <v>191</v>
      </c>
      <c r="C60" s="5">
        <v>6250000</v>
      </c>
      <c r="D60" s="5">
        <v>1351023.03</v>
      </c>
      <c r="E60" s="5">
        <f>+IF(FINANCIACION[[#This Row],[$ CAPITAL]]&gt;=0,FINANCIACION[[#This Row],[$ CAPITAL]]+FINANCIACION[[#This Row],[$ INTERESES]],"")</f>
        <v>7601023.0300000003</v>
      </c>
      <c r="F60" s="5">
        <f>+SUMIFS(FINANCIACION[$ CAPITAL],FINANCIACION[Fecha],"&lt;="&amp;FINANCIACION[[#This Row],[Fecha]],FINANCIACION[PRESTAMO],FINANCIACION[[#This Row],[PRESTAMO]])</f>
        <v>-143750000</v>
      </c>
      <c r="G60" s="7"/>
      <c r="H60" s="53"/>
      <c r="I60" s="5">
        <f>IF(FINANCIACION[[#This Row],[$ CAPITAL]]&gt;0,FINANCIACION[[#This Row],[$ CAPITAL]])</f>
        <v>6250000</v>
      </c>
      <c r="J60" s="33">
        <f>IF(FINANCIACION[[#This Row],[$ CAPITAL]]&gt;=0,FINANCIACION[[#This Row],[$ CAPITAL]]+FINANCIACION[[#This Row],[$ INTERESES]],0)</f>
        <v>7601023.0300000003</v>
      </c>
    </row>
    <row r="61" spans="1:10" ht="24" hidden="1" customHeight="1" x14ac:dyDescent="0.3">
      <c r="A61" s="142">
        <v>43664</v>
      </c>
      <c r="B61" s="50" t="s">
        <v>821</v>
      </c>
      <c r="C61" s="5">
        <v>1367805</v>
      </c>
      <c r="D61" s="5">
        <v>4714407</v>
      </c>
      <c r="E61" s="5">
        <f>+IF(FINANCIACION[[#This Row],[$ CAPITAL]]&gt;=0,FINANCIACION[[#This Row],[$ CAPITAL]]+FINANCIACION[[#This Row],[$ INTERESES]],"")</f>
        <v>6082212</v>
      </c>
      <c r="F61" s="5">
        <f>+SUMIFS(FINANCIACION[$ CAPITAL],FINANCIACION[Fecha],"&lt;="&amp;FINANCIACION[[#This Row],[Fecha]],FINANCIACION[PRESTAMO],FINANCIACION[[#This Row],[PRESTAMO]])</f>
        <v>-371794082.03181815</v>
      </c>
      <c r="G61" s="7"/>
      <c r="H61" s="53"/>
      <c r="I61" s="5">
        <f>IF(FINANCIACION[[#This Row],[$ CAPITAL]]&gt;0,FINANCIACION[[#This Row],[$ CAPITAL]])</f>
        <v>1367805</v>
      </c>
      <c r="J61" s="33">
        <f>IF(FINANCIACION[[#This Row],[$ CAPITAL]]&gt;=0,FINANCIACION[[#This Row],[$ CAPITAL]]+FINANCIACION[[#This Row],[$ INTERESES]],0)</f>
        <v>6082212</v>
      </c>
    </row>
    <row r="62" spans="1:10" ht="24" hidden="1" customHeight="1" x14ac:dyDescent="0.3">
      <c r="A62" s="142">
        <v>43666</v>
      </c>
      <c r="B62" s="50" t="s">
        <v>820</v>
      </c>
      <c r="C62" s="5">
        <v>260000</v>
      </c>
      <c r="D62" s="5">
        <v>740000</v>
      </c>
      <c r="E62" s="5">
        <f>+IF(FINANCIACION[[#This Row],[$ CAPITAL]]&gt;=0,FINANCIACION[[#This Row],[$ CAPITAL]]+FINANCIACION[[#This Row],[$ INTERESES]],"")</f>
        <v>1000000</v>
      </c>
      <c r="F62" s="5">
        <f>+SUMIFS(FINANCIACION[$ CAPITAL],FINANCIACION[Fecha],"&lt;="&amp;FINANCIACION[[#This Row],[Fecha]],FINANCIACION[PRESTAMO],FINANCIACION[[#This Row],[PRESTAMO]])</f>
        <v>-59809154</v>
      </c>
      <c r="G62" s="7"/>
      <c r="H62" s="53"/>
      <c r="I62" s="5">
        <f>IF(FINANCIACION[[#This Row],[$ CAPITAL]]&gt;0,FINANCIACION[[#This Row],[$ CAPITAL]])</f>
        <v>260000</v>
      </c>
      <c r="J62" s="33">
        <f>IF(FINANCIACION[[#This Row],[$ CAPITAL]]&gt;=0,FINANCIACION[[#This Row],[$ CAPITAL]]+FINANCIACION[[#This Row],[$ INTERESES]],0)</f>
        <v>1000000</v>
      </c>
    </row>
    <row r="63" spans="1:10" ht="24" hidden="1" customHeight="1" x14ac:dyDescent="0.3">
      <c r="A63" s="142">
        <v>43671</v>
      </c>
      <c r="B63" s="50" t="s">
        <v>187</v>
      </c>
      <c r="C63" s="5">
        <v>1250000</v>
      </c>
      <c r="D63" s="5">
        <v>335262</v>
      </c>
      <c r="E63" s="5">
        <f>+IF(FINANCIACION[[#This Row],[$ CAPITAL]]&gt;=0,FINANCIACION[[#This Row],[$ CAPITAL]]+FINANCIACION[[#This Row],[$ INTERESES]],"")</f>
        <v>1585262</v>
      </c>
      <c r="F63" s="5">
        <f>+SUMIFS(FINANCIACION[$ CAPITAL],FINANCIACION[Fecha],"&lt;="&amp;FINANCIACION[[#This Row],[Fecha]],FINANCIACION[PRESTAMO],FINANCIACION[[#This Row],[PRESTAMO]])</f>
        <v>-26250000</v>
      </c>
      <c r="G63" s="7"/>
      <c r="H63" s="53"/>
      <c r="I63" s="5">
        <f>IF(FINANCIACION[[#This Row],[$ CAPITAL]]&gt;0,FINANCIACION[[#This Row],[$ CAPITAL]])</f>
        <v>1250000</v>
      </c>
      <c r="J63" s="33">
        <f>IF(FINANCIACION[[#This Row],[$ CAPITAL]]&gt;=0,FINANCIACION[[#This Row],[$ CAPITAL]]+FINANCIACION[[#This Row],[$ INTERESES]],0)</f>
        <v>1585262</v>
      </c>
    </row>
    <row r="64" spans="1:10" ht="24" hidden="1" customHeight="1" x14ac:dyDescent="0.3">
      <c r="A64" s="142">
        <v>43672</v>
      </c>
      <c r="B64" s="50" t="s">
        <v>822</v>
      </c>
      <c r="C64" s="5">
        <v>-1150527.75</v>
      </c>
      <c r="D64" s="5"/>
      <c r="E64" s="5" t="str">
        <f>+IF(FINANCIACION[[#This Row],[$ CAPITAL]]&gt;=0,FINANCIACION[[#This Row],[$ CAPITAL]]+FINANCIACION[[#This Row],[$ INTERESES]],"")</f>
        <v/>
      </c>
      <c r="F64" s="5">
        <f>+SUMIFS(FINANCIACION[$ CAPITAL],FINANCIACION[Fecha],"&lt;="&amp;FINANCIACION[[#This Row],[Fecha]],FINANCIACION[PRESTAMO],FINANCIACION[[#This Row],[PRESTAMO]])</f>
        <v>-4594877.75</v>
      </c>
      <c r="G64" s="7"/>
      <c r="H64" s="53"/>
      <c r="I64" s="5" t="b">
        <f>IF(FINANCIACION[[#This Row],[$ CAPITAL]]&gt;0,FINANCIACION[[#This Row],[$ CAPITAL]])</f>
        <v>0</v>
      </c>
      <c r="J64" s="33">
        <f>IF(FINANCIACION[[#This Row],[$ CAPITAL]]&gt;=0,FINANCIACION[[#This Row],[$ CAPITAL]]+FINANCIACION[[#This Row],[$ INTERESES]],0)</f>
        <v>0</v>
      </c>
    </row>
    <row r="65" spans="1:10" ht="24" hidden="1" customHeight="1" x14ac:dyDescent="0.3">
      <c r="A65" s="142">
        <v>43677</v>
      </c>
      <c r="B65" s="50" t="s">
        <v>823</v>
      </c>
      <c r="C65" s="5">
        <v>-8000000</v>
      </c>
      <c r="D65" s="5"/>
      <c r="E65" s="5" t="str">
        <f>+IF(FINANCIACION[[#This Row],[$ CAPITAL]]&gt;=0,FINANCIACION[[#This Row],[$ CAPITAL]]+FINANCIACION[[#This Row],[$ INTERESES]],"")</f>
        <v/>
      </c>
      <c r="F65" s="5">
        <f>+SUMIFS(FINANCIACION[$ CAPITAL],FINANCIACION[Fecha],"&lt;="&amp;FINANCIACION[[#This Row],[Fecha]],FINANCIACION[PRESTAMO],FINANCIACION[[#This Row],[PRESTAMO]])</f>
        <v>-74000000</v>
      </c>
      <c r="G65" s="7"/>
      <c r="H65" s="53"/>
      <c r="I65" s="5" t="b">
        <f>IF(FINANCIACION[[#This Row],[$ CAPITAL]]&gt;0,FINANCIACION[[#This Row],[$ CAPITAL]])</f>
        <v>0</v>
      </c>
      <c r="J65" s="33">
        <f>IF(FINANCIACION[[#This Row],[$ CAPITAL]]&gt;=0,FINANCIACION[[#This Row],[$ CAPITAL]]+FINANCIACION[[#This Row],[$ INTERESES]],0)</f>
        <v>0</v>
      </c>
    </row>
    <row r="66" spans="1:10" ht="24" hidden="1" customHeight="1" x14ac:dyDescent="0.3">
      <c r="A66" s="142">
        <v>43680</v>
      </c>
      <c r="B66" s="50" t="s">
        <v>188</v>
      </c>
      <c r="C66" s="5">
        <v>3472222</v>
      </c>
      <c r="D66" s="5">
        <v>1136328</v>
      </c>
      <c r="E66" s="5">
        <f>+IF(FINANCIACION[[#This Row],[$ CAPITAL]]&gt;=0,FINANCIACION[[#This Row],[$ CAPITAL]]+FINANCIACION[[#This Row],[$ INTERESES]],"")</f>
        <v>4608550</v>
      </c>
      <c r="F66" s="5">
        <f>+SUMIFS(FINANCIACION[$ CAPITAL],FINANCIACION[Fecha],"&lt;="&amp;FINANCIACION[[#This Row],[Fecha]],FINANCIACION[PRESTAMO],FINANCIACION[[#This Row],[PRESTAMO]])</f>
        <v>-100694446</v>
      </c>
      <c r="G66" s="7"/>
      <c r="H66" s="53"/>
      <c r="I66" s="5">
        <f>IF(FINANCIACION[[#This Row],[$ CAPITAL]]&gt;0,FINANCIACION[[#This Row],[$ CAPITAL]])</f>
        <v>3472222</v>
      </c>
      <c r="J66" s="33">
        <f>IF(FINANCIACION[[#This Row],[$ CAPITAL]]&gt;=0,FINANCIACION[[#This Row],[$ CAPITAL]]+FINANCIACION[[#This Row],[$ INTERESES]],0)</f>
        <v>4608550</v>
      </c>
    </row>
    <row r="67" spans="1:10" ht="24" hidden="1" customHeight="1" x14ac:dyDescent="0.3">
      <c r="A67" s="142">
        <v>43682</v>
      </c>
      <c r="B67" s="50" t="s">
        <v>822</v>
      </c>
      <c r="C67" s="5">
        <v>-187636</v>
      </c>
      <c r="D67" s="5"/>
      <c r="E67" s="5" t="str">
        <f>+IF(FINANCIACION[[#This Row],[$ CAPITAL]]&gt;=0,FINANCIACION[[#This Row],[$ CAPITAL]]+FINANCIACION[[#This Row],[$ INTERESES]],"")</f>
        <v/>
      </c>
      <c r="F67" s="5">
        <f>+SUMIFS(FINANCIACION[$ CAPITAL],FINANCIACION[Fecha],"&lt;="&amp;FINANCIACION[[#This Row],[Fecha]],FINANCIACION[PRESTAMO],FINANCIACION[[#This Row],[PRESTAMO]])</f>
        <v>-4782513.75</v>
      </c>
      <c r="G67" s="7"/>
      <c r="H67" s="53"/>
      <c r="I67" s="5" t="b">
        <f>IF(FINANCIACION[[#This Row],[$ CAPITAL]]&gt;0,FINANCIACION[[#This Row],[$ CAPITAL]])</f>
        <v>0</v>
      </c>
      <c r="J67" s="33">
        <f>IF(FINANCIACION[[#This Row],[$ CAPITAL]]&gt;=0,FINANCIACION[[#This Row],[$ CAPITAL]]+FINANCIACION[[#This Row],[$ INTERESES]],0)</f>
        <v>0</v>
      </c>
    </row>
    <row r="68" spans="1:10" ht="24" hidden="1" customHeight="1" x14ac:dyDescent="0.3">
      <c r="A68" s="142">
        <v>43687</v>
      </c>
      <c r="B68" s="50" t="s">
        <v>819</v>
      </c>
      <c r="C68" s="5"/>
      <c r="D68" s="5">
        <v>950000</v>
      </c>
      <c r="E68" s="5">
        <f>+IF(FINANCIACION[[#This Row],[$ CAPITAL]]&gt;=0,FINANCIACION[[#This Row],[$ CAPITAL]]+FINANCIACION[[#This Row],[$ INTERESES]],"")</f>
        <v>950000</v>
      </c>
      <c r="F68" s="5">
        <f>+SUMIFS(FINANCIACION[$ CAPITAL],FINANCIACION[Fecha],"&lt;="&amp;FINANCIACION[[#This Row],[Fecha]],FINANCIACION[PRESTAMO],FINANCIACION[[#This Row],[PRESTAMO]])</f>
        <v>-94935167</v>
      </c>
      <c r="G68" s="7"/>
      <c r="H68" s="53"/>
      <c r="I68" s="5" t="b">
        <f>IF(FINANCIACION[[#This Row],[$ CAPITAL]]&gt;0,FINANCIACION[[#This Row],[$ CAPITAL]])</f>
        <v>0</v>
      </c>
      <c r="J68" s="33">
        <f>IF(FINANCIACION[[#This Row],[$ CAPITAL]]&gt;=0,FINANCIACION[[#This Row],[$ CAPITAL]]+FINANCIACION[[#This Row],[$ INTERESES]],0)</f>
        <v>950000</v>
      </c>
    </row>
    <row r="69" spans="1:10" ht="24" hidden="1" customHeight="1" x14ac:dyDescent="0.3">
      <c r="A69" s="142">
        <v>43697</v>
      </c>
      <c r="B69" s="50" t="s">
        <v>820</v>
      </c>
      <c r="C69" s="5">
        <v>260000</v>
      </c>
      <c r="D69" s="5">
        <v>740000</v>
      </c>
      <c r="E69" s="5">
        <f>+IF(FINANCIACION[[#This Row],[$ CAPITAL]]&gt;=0,FINANCIACION[[#This Row],[$ CAPITAL]]+FINANCIACION[[#This Row],[$ INTERESES]],"")</f>
        <v>1000000</v>
      </c>
      <c r="F69" s="5">
        <f>+SUMIFS(FINANCIACION[$ CAPITAL],FINANCIACION[Fecha],"&lt;="&amp;FINANCIACION[[#This Row],[Fecha]],FINANCIACION[PRESTAMO],FINANCIACION[[#This Row],[PRESTAMO]])</f>
        <v>-59549154</v>
      </c>
      <c r="G69" s="7"/>
      <c r="H69" s="53"/>
      <c r="I69" s="5">
        <f>IF(FINANCIACION[[#This Row],[$ CAPITAL]]&gt;0,FINANCIACION[[#This Row],[$ CAPITAL]])</f>
        <v>260000</v>
      </c>
      <c r="J69" s="33">
        <f>IF(FINANCIACION[[#This Row],[$ CAPITAL]]&gt;=0,FINANCIACION[[#This Row],[$ CAPITAL]]+FINANCIACION[[#This Row],[$ INTERESES]],0)</f>
        <v>1000000</v>
      </c>
    </row>
    <row r="70" spans="1:10" ht="24" hidden="1" customHeight="1" x14ac:dyDescent="0.3">
      <c r="A70" s="142">
        <v>43697</v>
      </c>
      <c r="B70" s="50" t="s">
        <v>191</v>
      </c>
      <c r="C70" s="5">
        <v>6250000</v>
      </c>
      <c r="D70" s="5">
        <v>1284958.1299999999</v>
      </c>
      <c r="E70" s="5">
        <f>+IF(FINANCIACION[[#This Row],[$ CAPITAL]]&gt;=0,FINANCIACION[[#This Row],[$ CAPITAL]]+FINANCIACION[[#This Row],[$ INTERESES]],"")</f>
        <v>7534958.1299999999</v>
      </c>
      <c r="F70" s="5">
        <f>+SUMIFS(FINANCIACION[$ CAPITAL],FINANCIACION[Fecha],"&lt;="&amp;FINANCIACION[[#This Row],[Fecha]],FINANCIACION[PRESTAMO],FINANCIACION[[#This Row],[PRESTAMO]])</f>
        <v>-137500000</v>
      </c>
      <c r="G70" s="7"/>
      <c r="H70" s="53"/>
      <c r="I70" s="5">
        <f>IF(FINANCIACION[[#This Row],[$ CAPITAL]]&gt;0,FINANCIACION[[#This Row],[$ CAPITAL]])</f>
        <v>6250000</v>
      </c>
      <c r="J70" s="33">
        <f>IF(FINANCIACION[[#This Row],[$ CAPITAL]]&gt;=0,FINANCIACION[[#This Row],[$ CAPITAL]]+FINANCIACION[[#This Row],[$ INTERESES]],0)</f>
        <v>7534958.1299999999</v>
      </c>
    </row>
    <row r="71" spans="1:10" ht="24" hidden="1" customHeight="1" x14ac:dyDescent="0.3">
      <c r="A71" s="142">
        <v>43697</v>
      </c>
      <c r="B71" s="50" t="s">
        <v>821</v>
      </c>
      <c r="C71" s="5">
        <v>1392137</v>
      </c>
      <c r="D71" s="5">
        <v>4667683</v>
      </c>
      <c r="E71" s="5">
        <f>+IF(FINANCIACION[[#This Row],[$ CAPITAL]]&gt;=0,FINANCIACION[[#This Row],[$ CAPITAL]]+FINANCIACION[[#This Row],[$ INTERESES]],"")</f>
        <v>6059820</v>
      </c>
      <c r="F71" s="5">
        <f>+SUMIFS(FINANCIACION[$ CAPITAL],FINANCIACION[Fecha],"&lt;="&amp;FINANCIACION[[#This Row],[Fecha]],FINANCIACION[PRESTAMO],FINANCIACION[[#This Row],[PRESTAMO]])</f>
        <v>-370401945.03181815</v>
      </c>
      <c r="G71" s="7"/>
      <c r="H71" s="53"/>
      <c r="I71" s="5">
        <f>IF(FINANCIACION[[#This Row],[$ CAPITAL]]&gt;0,FINANCIACION[[#This Row],[$ CAPITAL]])</f>
        <v>1392137</v>
      </c>
      <c r="J71" s="33">
        <f>IF(FINANCIACION[[#This Row],[$ CAPITAL]]&gt;=0,FINANCIACION[[#This Row],[$ CAPITAL]]+FINANCIACION[[#This Row],[$ INTERESES]],0)</f>
        <v>6059820</v>
      </c>
    </row>
    <row r="72" spans="1:10" ht="24" hidden="1" customHeight="1" x14ac:dyDescent="0.3">
      <c r="A72" s="142">
        <v>43703</v>
      </c>
      <c r="B72" s="50" t="s">
        <v>187</v>
      </c>
      <c r="C72" s="5">
        <v>1250000</v>
      </c>
      <c r="D72" s="5">
        <v>320711</v>
      </c>
      <c r="E72" s="5">
        <f>+IF(FINANCIACION[[#This Row],[$ CAPITAL]]&gt;=0,FINANCIACION[[#This Row],[$ CAPITAL]]+FINANCIACION[[#This Row],[$ INTERESES]],"")</f>
        <v>1570711</v>
      </c>
      <c r="F72" s="5">
        <f>+SUMIFS(FINANCIACION[$ CAPITAL],FINANCIACION[Fecha],"&lt;="&amp;FINANCIACION[[#This Row],[Fecha]],FINANCIACION[PRESTAMO],FINANCIACION[[#This Row],[PRESTAMO]])</f>
        <v>-25000000</v>
      </c>
      <c r="G72" s="7"/>
      <c r="H72" s="53"/>
      <c r="I72" s="5">
        <f>IF(FINANCIACION[[#This Row],[$ CAPITAL]]&gt;0,FINANCIACION[[#This Row],[$ CAPITAL]])</f>
        <v>1250000</v>
      </c>
      <c r="J72" s="33">
        <f>IF(FINANCIACION[[#This Row],[$ CAPITAL]]&gt;=0,FINANCIACION[[#This Row],[$ CAPITAL]]+FINANCIACION[[#This Row],[$ INTERESES]],0)</f>
        <v>1570711</v>
      </c>
    </row>
    <row r="73" spans="1:10" ht="24" hidden="1" customHeight="1" x14ac:dyDescent="0.3">
      <c r="A73" s="142">
        <v>43703</v>
      </c>
      <c r="B73" s="50" t="s">
        <v>822</v>
      </c>
      <c r="C73" s="5">
        <v>-3381228.82</v>
      </c>
      <c r="D73" s="5"/>
      <c r="E73" s="5" t="str">
        <f>+IF(FINANCIACION[[#This Row],[$ CAPITAL]]&gt;=0,FINANCIACION[[#This Row],[$ CAPITAL]]+FINANCIACION[[#This Row],[$ INTERESES]],"")</f>
        <v/>
      </c>
      <c r="F73" s="5">
        <f>+SUMIFS(FINANCIACION[$ CAPITAL],FINANCIACION[Fecha],"&lt;="&amp;FINANCIACION[[#This Row],[Fecha]],FINANCIACION[PRESTAMO],FINANCIACION[[#This Row],[PRESTAMO]])</f>
        <v>-8163742.5700000003</v>
      </c>
      <c r="G73" s="7"/>
      <c r="H73" s="53"/>
      <c r="I73" s="5" t="b">
        <f>IF(FINANCIACION[[#This Row],[$ CAPITAL]]&gt;0,FINANCIACION[[#This Row],[$ CAPITAL]])</f>
        <v>0</v>
      </c>
      <c r="J73" s="33">
        <f>IF(FINANCIACION[[#This Row],[$ CAPITAL]]&gt;=0,FINANCIACION[[#This Row],[$ CAPITAL]]+FINANCIACION[[#This Row],[$ INTERESES]],0)</f>
        <v>0</v>
      </c>
    </row>
    <row r="74" spans="1:10" ht="24" hidden="1" customHeight="1" x14ac:dyDescent="0.3">
      <c r="A74" s="142">
        <v>43705</v>
      </c>
      <c r="B74" s="50" t="s">
        <v>823</v>
      </c>
      <c r="C74" s="5"/>
      <c r="D74" s="5">
        <v>740000</v>
      </c>
      <c r="E74" s="5">
        <f>+IF(FINANCIACION[[#This Row],[$ CAPITAL]]&gt;=0,FINANCIACION[[#This Row],[$ CAPITAL]]+FINANCIACION[[#This Row],[$ INTERESES]],"")</f>
        <v>740000</v>
      </c>
      <c r="F74" s="5">
        <f>+SUMIFS(FINANCIACION[$ CAPITAL],FINANCIACION[Fecha],"&lt;="&amp;FINANCIACION[[#This Row],[Fecha]],FINANCIACION[PRESTAMO],FINANCIACION[[#This Row],[PRESTAMO]])</f>
        <v>-74000000</v>
      </c>
      <c r="G74" s="7"/>
      <c r="H74" s="53"/>
      <c r="I74" s="5" t="b">
        <f>IF(FINANCIACION[[#This Row],[$ CAPITAL]]&gt;0,FINANCIACION[[#This Row],[$ CAPITAL]])</f>
        <v>0</v>
      </c>
      <c r="J74" s="33">
        <f>IF(FINANCIACION[[#This Row],[$ CAPITAL]]&gt;=0,FINANCIACION[[#This Row],[$ CAPITAL]]+FINANCIACION[[#This Row],[$ INTERESES]],0)</f>
        <v>740000</v>
      </c>
    </row>
    <row r="75" spans="1:10" ht="24" hidden="1" customHeight="1" x14ac:dyDescent="0.3">
      <c r="A75" s="142">
        <v>43707</v>
      </c>
      <c r="B75" s="50" t="s">
        <v>822</v>
      </c>
      <c r="C75" s="5">
        <v>-1123154</v>
      </c>
      <c r="D75" s="5"/>
      <c r="E75" s="5" t="str">
        <f>+IF(FINANCIACION[[#This Row],[$ CAPITAL]]&gt;=0,FINANCIACION[[#This Row],[$ CAPITAL]]+FINANCIACION[[#This Row],[$ INTERESES]],"")</f>
        <v/>
      </c>
      <c r="F75" s="5">
        <f>+SUMIFS(FINANCIACION[$ CAPITAL],FINANCIACION[Fecha],"&lt;="&amp;FINANCIACION[[#This Row],[Fecha]],FINANCIACION[PRESTAMO],FINANCIACION[[#This Row],[PRESTAMO]])</f>
        <v>-9286896.5700000003</v>
      </c>
      <c r="G75" s="7"/>
      <c r="H75" s="53"/>
      <c r="I75" s="5" t="b">
        <f>IF(FINANCIACION[[#This Row],[$ CAPITAL]]&gt;0,FINANCIACION[[#This Row],[$ CAPITAL]])</f>
        <v>0</v>
      </c>
      <c r="J75" s="33">
        <f>IF(FINANCIACION[[#This Row],[$ CAPITAL]]&gt;=0,FINANCIACION[[#This Row],[$ CAPITAL]]+FINANCIACION[[#This Row],[$ INTERESES]],0)</f>
        <v>0</v>
      </c>
    </row>
    <row r="76" spans="1:10" ht="24" hidden="1" customHeight="1" x14ac:dyDescent="0.3">
      <c r="A76" s="142">
        <v>43710</v>
      </c>
      <c r="B76" s="50" t="s">
        <v>822</v>
      </c>
      <c r="C76" s="5">
        <v>2500000</v>
      </c>
      <c r="D76" s="5"/>
      <c r="E76" s="5">
        <f>+IF(FINANCIACION[[#This Row],[$ CAPITAL]]&gt;=0,FINANCIACION[[#This Row],[$ CAPITAL]]+FINANCIACION[[#This Row],[$ INTERESES]],"")</f>
        <v>2500000</v>
      </c>
      <c r="F76" s="5">
        <f>+SUMIFS(FINANCIACION[$ CAPITAL],FINANCIACION[Fecha],"&lt;="&amp;FINANCIACION[[#This Row],[Fecha]],FINANCIACION[PRESTAMO],FINANCIACION[[#This Row],[PRESTAMO]])</f>
        <v>213103.4299999997</v>
      </c>
      <c r="G76" s="7"/>
      <c r="H76" s="53"/>
      <c r="I76" s="5">
        <f>IF(FINANCIACION[[#This Row],[$ CAPITAL]]&gt;0,FINANCIACION[[#This Row],[$ CAPITAL]])</f>
        <v>2500000</v>
      </c>
      <c r="J76" s="33">
        <f>IF(FINANCIACION[[#This Row],[$ CAPITAL]]&gt;=0,FINANCIACION[[#This Row],[$ CAPITAL]]+FINANCIACION[[#This Row],[$ INTERESES]],0)</f>
        <v>2500000</v>
      </c>
    </row>
    <row r="77" spans="1:10" ht="24" hidden="1" customHeight="1" x14ac:dyDescent="0.3">
      <c r="A77" s="142">
        <v>43710</v>
      </c>
      <c r="B77" s="50" t="s">
        <v>822</v>
      </c>
      <c r="C77" s="5">
        <v>7000000</v>
      </c>
      <c r="D77" s="5"/>
      <c r="E77" s="5">
        <f>+IF(FINANCIACION[[#This Row],[$ CAPITAL]]&gt;=0,FINANCIACION[[#This Row],[$ CAPITAL]]+FINANCIACION[[#This Row],[$ INTERESES]],"")</f>
        <v>7000000</v>
      </c>
      <c r="F77" s="5">
        <f>+SUMIFS(FINANCIACION[$ CAPITAL],FINANCIACION[Fecha],"&lt;="&amp;FINANCIACION[[#This Row],[Fecha]],FINANCIACION[PRESTAMO],FINANCIACION[[#This Row],[PRESTAMO]])</f>
        <v>213103.4299999997</v>
      </c>
      <c r="G77" s="7"/>
      <c r="H77" s="53"/>
      <c r="I77" s="5">
        <f>IF(FINANCIACION[[#This Row],[$ CAPITAL]]&gt;0,FINANCIACION[[#This Row],[$ CAPITAL]])</f>
        <v>7000000</v>
      </c>
      <c r="J77" s="33">
        <f>IF(FINANCIACION[[#This Row],[$ CAPITAL]]&gt;=0,FINANCIACION[[#This Row],[$ CAPITAL]]+FINANCIACION[[#This Row],[$ INTERESES]],0)</f>
        <v>7000000</v>
      </c>
    </row>
    <row r="78" spans="1:10" ht="24" hidden="1" customHeight="1" x14ac:dyDescent="0.3">
      <c r="A78" s="142">
        <v>43711</v>
      </c>
      <c r="B78" s="50" t="s">
        <v>188</v>
      </c>
      <c r="C78" s="5">
        <v>3472222</v>
      </c>
      <c r="D78" s="5">
        <v>1096697</v>
      </c>
      <c r="E78" s="5">
        <f>+IF(FINANCIACION[[#This Row],[$ CAPITAL]]&gt;=0,FINANCIACION[[#This Row],[$ CAPITAL]]+FINANCIACION[[#This Row],[$ INTERESES]],"")</f>
        <v>4568919</v>
      </c>
      <c r="F78" s="5">
        <f>+SUMIFS(FINANCIACION[$ CAPITAL],FINANCIACION[Fecha],"&lt;="&amp;FINANCIACION[[#This Row],[Fecha]],FINANCIACION[PRESTAMO],FINANCIACION[[#This Row],[PRESTAMO]])</f>
        <v>-97222224</v>
      </c>
      <c r="G78" s="7"/>
      <c r="H78" s="53"/>
      <c r="I78" s="5">
        <f>IF(FINANCIACION[[#This Row],[$ CAPITAL]]&gt;0,FINANCIACION[[#This Row],[$ CAPITAL]])</f>
        <v>3472222</v>
      </c>
      <c r="J78" s="33">
        <f>IF(FINANCIACION[[#This Row],[$ CAPITAL]]&gt;=0,FINANCIACION[[#This Row],[$ CAPITAL]]+FINANCIACION[[#This Row],[$ INTERESES]],0)</f>
        <v>4568919</v>
      </c>
    </row>
    <row r="79" spans="1:10" ht="24" hidden="1" customHeight="1" x14ac:dyDescent="0.3">
      <c r="A79" s="142">
        <v>43714</v>
      </c>
      <c r="B79" s="50" t="s">
        <v>822</v>
      </c>
      <c r="C79" s="5">
        <v>-1036207.93</v>
      </c>
      <c r="D79" s="5"/>
      <c r="E79" s="5" t="str">
        <f>+IF(FINANCIACION[[#This Row],[$ CAPITAL]]&gt;=0,FINANCIACION[[#This Row],[$ CAPITAL]]+FINANCIACION[[#This Row],[$ INTERESES]],"")</f>
        <v/>
      </c>
      <c r="F79" s="5">
        <f>+SUMIFS(FINANCIACION[$ CAPITAL],FINANCIACION[Fecha],"&lt;="&amp;FINANCIACION[[#This Row],[Fecha]],FINANCIACION[PRESTAMO],FINANCIACION[[#This Row],[PRESTAMO]])</f>
        <v>-823104.50000000035</v>
      </c>
      <c r="G79" s="7"/>
      <c r="H79" s="53"/>
      <c r="I79" s="5" t="b">
        <f>IF(FINANCIACION[[#This Row],[$ CAPITAL]]&gt;0,FINANCIACION[[#This Row],[$ CAPITAL]])</f>
        <v>0</v>
      </c>
      <c r="J79" s="33">
        <f>IF(FINANCIACION[[#This Row],[$ CAPITAL]]&gt;=0,FINANCIACION[[#This Row],[$ CAPITAL]]+FINANCIACION[[#This Row],[$ INTERESES]],0)</f>
        <v>0</v>
      </c>
    </row>
    <row r="80" spans="1:10" ht="24" hidden="1" customHeight="1" x14ac:dyDescent="0.3">
      <c r="A80" s="142">
        <v>43717</v>
      </c>
      <c r="B80" s="50" t="s">
        <v>823</v>
      </c>
      <c r="C80" s="5">
        <v>-10000000</v>
      </c>
      <c r="D80" s="5"/>
      <c r="E80" s="5" t="str">
        <f>+IF(FINANCIACION[[#This Row],[$ CAPITAL]]&gt;=0,FINANCIACION[[#This Row],[$ CAPITAL]]+FINANCIACION[[#This Row],[$ INTERESES]],"")</f>
        <v/>
      </c>
      <c r="F80" s="5">
        <f>+SUMIFS(FINANCIACION[$ CAPITAL],FINANCIACION[Fecha],"&lt;="&amp;FINANCIACION[[#This Row],[Fecha]],FINANCIACION[PRESTAMO],FINANCIACION[[#This Row],[PRESTAMO]])</f>
        <v>-84000000</v>
      </c>
      <c r="G80" s="7"/>
      <c r="H80" s="53"/>
      <c r="I80" s="5" t="b">
        <f>IF(FINANCIACION[[#This Row],[$ CAPITAL]]&gt;0,FINANCIACION[[#This Row],[$ CAPITAL]])</f>
        <v>0</v>
      </c>
      <c r="J80" s="8">
        <f>IF(FINANCIACION[[#This Row],[$ CAPITAL]]&gt;=0,FINANCIACION[[#This Row],[$ CAPITAL]]+FINANCIACION[[#This Row],[$ INTERESES]],0)</f>
        <v>0</v>
      </c>
    </row>
    <row r="81" spans="1:10" ht="24" hidden="1" customHeight="1" x14ac:dyDescent="0.3">
      <c r="A81" s="142">
        <v>43718</v>
      </c>
      <c r="B81" s="50" t="s">
        <v>819</v>
      </c>
      <c r="C81" s="5"/>
      <c r="D81" s="5">
        <v>950000</v>
      </c>
      <c r="E81" s="5">
        <f>+IF(FINANCIACION[[#This Row],[$ CAPITAL]]&gt;=0,FINANCIACION[[#This Row],[$ CAPITAL]]+FINANCIACION[[#This Row],[$ INTERESES]],"")</f>
        <v>950000</v>
      </c>
      <c r="F81" s="5">
        <f>+SUMIFS(FINANCIACION[$ CAPITAL],FINANCIACION[Fecha],"&lt;="&amp;FINANCIACION[[#This Row],[Fecha]],FINANCIACION[PRESTAMO],FINANCIACION[[#This Row],[PRESTAMO]])</f>
        <v>-94935167</v>
      </c>
      <c r="G81" s="7"/>
      <c r="H81" s="53"/>
      <c r="I81" s="5" t="b">
        <f>IF(FINANCIACION[[#This Row],[$ CAPITAL]]&gt;0,FINANCIACION[[#This Row],[$ CAPITAL]])</f>
        <v>0</v>
      </c>
      <c r="J81" s="8">
        <f>IF(FINANCIACION[[#This Row],[$ CAPITAL]]&gt;=0,FINANCIACION[[#This Row],[$ CAPITAL]]+FINANCIACION[[#This Row],[$ INTERESES]],0)</f>
        <v>950000</v>
      </c>
    </row>
    <row r="82" spans="1:10" ht="24" hidden="1" customHeight="1" x14ac:dyDescent="0.3">
      <c r="A82" s="142">
        <v>43718</v>
      </c>
      <c r="B82" s="50" t="s">
        <v>822</v>
      </c>
      <c r="C82" s="5">
        <v>-2626534</v>
      </c>
      <c r="D82" s="5"/>
      <c r="E82" s="5" t="str">
        <f>+IF(FINANCIACION[[#This Row],[$ CAPITAL]]&gt;=0,FINANCIACION[[#This Row],[$ CAPITAL]]+FINANCIACION[[#This Row],[$ INTERESES]],"")</f>
        <v/>
      </c>
      <c r="F82" s="5">
        <f>+SUMIFS(FINANCIACION[$ CAPITAL],FINANCIACION[Fecha],"&lt;="&amp;FINANCIACION[[#This Row],[Fecha]],FINANCIACION[PRESTAMO],FINANCIACION[[#This Row],[PRESTAMO]])</f>
        <v>-3449638.5000000005</v>
      </c>
      <c r="G82" s="7"/>
      <c r="H82" s="53"/>
      <c r="I82" s="5" t="b">
        <f>IF(FINANCIACION[[#This Row],[$ CAPITAL]]&gt;0,FINANCIACION[[#This Row],[$ CAPITAL]])</f>
        <v>0</v>
      </c>
      <c r="J82" s="8">
        <f>IF(FINANCIACION[[#This Row],[$ CAPITAL]]&gt;=0,FINANCIACION[[#This Row],[$ CAPITAL]]+FINANCIACION[[#This Row],[$ INTERESES]],0)</f>
        <v>0</v>
      </c>
    </row>
    <row r="83" spans="1:10" ht="24" hidden="1" customHeight="1" x14ac:dyDescent="0.3">
      <c r="A83" s="142">
        <v>43719</v>
      </c>
      <c r="B83" s="50" t="s">
        <v>822</v>
      </c>
      <c r="C83" s="5">
        <v>-244800</v>
      </c>
      <c r="D83" s="5"/>
      <c r="E83" s="5" t="str">
        <f>+IF(FINANCIACION[[#This Row],[$ CAPITAL]]&gt;=0,FINANCIACION[[#This Row],[$ CAPITAL]]+FINANCIACION[[#This Row],[$ INTERESES]],"")</f>
        <v/>
      </c>
      <c r="F83" s="5">
        <f>+SUMIFS(FINANCIACION[$ CAPITAL],FINANCIACION[Fecha],"&lt;="&amp;FINANCIACION[[#This Row],[Fecha]],FINANCIACION[PRESTAMO],FINANCIACION[[#This Row],[PRESTAMO]])</f>
        <v>-8239721.3200000003</v>
      </c>
      <c r="G83" s="7"/>
      <c r="H83" s="53"/>
      <c r="I83" s="5" t="b">
        <f>IF(FINANCIACION[[#This Row],[$ CAPITAL]]&gt;0,FINANCIACION[[#This Row],[$ CAPITAL]])</f>
        <v>0</v>
      </c>
      <c r="J83" s="8">
        <f>IF(FINANCIACION[[#This Row],[$ CAPITAL]]&gt;=0,FINANCIACION[[#This Row],[$ CAPITAL]]+FINANCIACION[[#This Row],[$ INTERESES]],0)</f>
        <v>0</v>
      </c>
    </row>
    <row r="84" spans="1:10" ht="24" hidden="1" customHeight="1" x14ac:dyDescent="0.3">
      <c r="A84" s="142">
        <v>43719</v>
      </c>
      <c r="B84" s="50" t="s">
        <v>822</v>
      </c>
      <c r="C84" s="5">
        <v>-4545282.82</v>
      </c>
      <c r="D84" s="5"/>
      <c r="E84" s="5" t="str">
        <f>+IF(FINANCIACION[[#This Row],[$ CAPITAL]]&gt;=0,FINANCIACION[[#This Row],[$ CAPITAL]]+FINANCIACION[[#This Row],[$ INTERESES]],"")</f>
        <v/>
      </c>
      <c r="F84" s="5">
        <f>+SUMIFS(FINANCIACION[$ CAPITAL],FINANCIACION[Fecha],"&lt;="&amp;FINANCIACION[[#This Row],[Fecha]],FINANCIACION[PRESTAMO],FINANCIACION[[#This Row],[PRESTAMO]])</f>
        <v>-8239721.3200000003</v>
      </c>
      <c r="G84" s="53"/>
      <c r="H84" s="53"/>
      <c r="I84" s="5" t="b">
        <f>IF(FINANCIACION[[#This Row],[$ CAPITAL]]&gt;0,FINANCIACION[[#This Row],[$ CAPITAL]])</f>
        <v>0</v>
      </c>
      <c r="J84" s="33">
        <f>IF(FINANCIACION[[#This Row],[$ CAPITAL]]&gt;=0,FINANCIACION[[#This Row],[$ CAPITAL]]+FINANCIACION[[#This Row],[$ INTERESES]],0)</f>
        <v>0</v>
      </c>
    </row>
    <row r="85" spans="1:10" ht="24" hidden="1" customHeight="1" x14ac:dyDescent="0.3">
      <c r="A85" s="142">
        <v>43723</v>
      </c>
      <c r="B85" s="50" t="s">
        <v>822</v>
      </c>
      <c r="C85" s="5">
        <v>-97324.79</v>
      </c>
      <c r="D85" s="5">
        <v>97324.790000000008</v>
      </c>
      <c r="E85" s="5" t="str">
        <f>+IF(FINANCIACION[[#This Row],[$ CAPITAL]]&gt;=0,FINANCIACION[[#This Row],[$ CAPITAL]]+FINANCIACION[[#This Row],[$ INTERESES]],"")</f>
        <v/>
      </c>
      <c r="F85" s="5">
        <f>+SUMIFS(FINANCIACION[$ CAPITAL],FINANCIACION[Fecha],"&lt;="&amp;FINANCIACION[[#This Row],[Fecha]],FINANCIACION[PRESTAMO],FINANCIACION[[#This Row],[PRESTAMO]])</f>
        <v>-8337046.1100000003</v>
      </c>
      <c r="G85" s="53"/>
      <c r="H85" s="53"/>
      <c r="I85" s="5" t="b">
        <f>IF(FINANCIACION[[#This Row],[$ CAPITAL]]&gt;0,FINANCIACION[[#This Row],[$ CAPITAL]])</f>
        <v>0</v>
      </c>
      <c r="J85" s="33">
        <f>IF(FINANCIACION[[#This Row],[$ CAPITAL]]&gt;=0,FINANCIACION[[#This Row],[$ CAPITAL]]+FINANCIACION[[#This Row],[$ INTERESES]],0)</f>
        <v>0</v>
      </c>
    </row>
    <row r="86" spans="1:10" ht="24" hidden="1" customHeight="1" x14ac:dyDescent="0.3">
      <c r="A86" s="142">
        <v>43726</v>
      </c>
      <c r="B86" s="50" t="s">
        <v>191</v>
      </c>
      <c r="C86" s="5">
        <v>6250000</v>
      </c>
      <c r="D86" s="5">
        <v>1234283.98</v>
      </c>
      <c r="E86" s="5">
        <f>+IF(FINANCIACION[[#This Row],[$ CAPITAL]]&gt;=0,FINANCIACION[[#This Row],[$ CAPITAL]]+FINANCIACION[[#This Row],[$ INTERESES]],"")</f>
        <v>7484283.9800000004</v>
      </c>
      <c r="F86" s="5">
        <f>+SUMIFS(FINANCIACION[$ CAPITAL],FINANCIACION[Fecha],"&lt;="&amp;FINANCIACION[[#This Row],[Fecha]],FINANCIACION[PRESTAMO],FINANCIACION[[#This Row],[PRESTAMO]])</f>
        <v>-131250000</v>
      </c>
      <c r="G86" s="53"/>
      <c r="H86" s="53"/>
      <c r="I86" s="5">
        <f>IF(FINANCIACION[[#This Row],[$ CAPITAL]]&gt;0,FINANCIACION[[#This Row],[$ CAPITAL]])</f>
        <v>6250000</v>
      </c>
      <c r="J86" s="33">
        <f>IF(FINANCIACION[[#This Row],[$ CAPITAL]]&gt;=0,FINANCIACION[[#This Row],[$ CAPITAL]]+FINANCIACION[[#This Row],[$ INTERESES]],0)</f>
        <v>7484283.9800000004</v>
      </c>
    </row>
    <row r="87" spans="1:10" ht="24" hidden="1" customHeight="1" x14ac:dyDescent="0.3">
      <c r="A87" s="142">
        <v>43726</v>
      </c>
      <c r="B87" s="50" t="s">
        <v>821</v>
      </c>
      <c r="C87" s="5">
        <v>1409118</v>
      </c>
      <c r="D87" s="5">
        <v>4650702</v>
      </c>
      <c r="E87" s="5">
        <f>+IF(FINANCIACION[[#This Row],[$ CAPITAL]]&gt;=0,FINANCIACION[[#This Row],[$ CAPITAL]]+FINANCIACION[[#This Row],[$ INTERESES]],"")</f>
        <v>6059820</v>
      </c>
      <c r="F87" s="5">
        <f>+SUMIFS(FINANCIACION[$ CAPITAL],FINANCIACION[Fecha],"&lt;="&amp;FINANCIACION[[#This Row],[Fecha]],FINANCIACION[PRESTAMO],FINANCIACION[[#This Row],[PRESTAMO]])</f>
        <v>-368992827.03181815</v>
      </c>
      <c r="G87" s="53"/>
      <c r="H87" s="53"/>
      <c r="I87" s="5">
        <f>IF(FINANCIACION[[#This Row],[$ CAPITAL]]&gt;0,FINANCIACION[[#This Row],[$ CAPITAL]])</f>
        <v>1409118</v>
      </c>
      <c r="J87" s="33">
        <f>IF(FINANCIACION[[#This Row],[$ CAPITAL]]&gt;=0,FINANCIACION[[#This Row],[$ CAPITAL]]+FINANCIACION[[#This Row],[$ INTERESES]],0)</f>
        <v>6059820</v>
      </c>
    </row>
    <row r="88" spans="1:10" ht="24" hidden="1" customHeight="1" x14ac:dyDescent="0.3">
      <c r="A88" s="142">
        <v>43727</v>
      </c>
      <c r="B88" s="50" t="s">
        <v>822</v>
      </c>
      <c r="C88" s="5">
        <v>6000000</v>
      </c>
      <c r="D88" s="5"/>
      <c r="E88" s="5">
        <f>+IF(FINANCIACION[[#This Row],[$ CAPITAL]]&gt;=0,FINANCIACION[[#This Row],[$ CAPITAL]]+FINANCIACION[[#This Row],[$ INTERESES]],"")</f>
        <v>6000000</v>
      </c>
      <c r="F88" s="5">
        <f>+SUMIFS(FINANCIACION[$ CAPITAL],FINANCIACION[Fecha],"&lt;="&amp;FINANCIACION[[#This Row],[Fecha]],FINANCIACION[PRESTAMO],FINANCIACION[[#This Row],[PRESTAMO]])</f>
        <v>-4000433.1100000003</v>
      </c>
      <c r="G88" s="53"/>
      <c r="H88" s="53"/>
      <c r="I88" s="5">
        <f>IF(FINANCIACION[[#This Row],[$ CAPITAL]]&gt;0,FINANCIACION[[#This Row],[$ CAPITAL]])</f>
        <v>6000000</v>
      </c>
      <c r="J88" s="33">
        <f>IF(FINANCIACION[[#This Row],[$ CAPITAL]]&gt;=0,FINANCIACION[[#This Row],[$ CAPITAL]]+FINANCIACION[[#This Row],[$ INTERESES]],0)</f>
        <v>6000000</v>
      </c>
    </row>
    <row r="89" spans="1:10" ht="24" hidden="1" customHeight="1" x14ac:dyDescent="0.3">
      <c r="A89" s="142">
        <v>43727</v>
      </c>
      <c r="B89" s="50" t="s">
        <v>822</v>
      </c>
      <c r="C89" s="5">
        <v>-1398740</v>
      </c>
      <c r="D89" s="5"/>
      <c r="E89" s="5" t="str">
        <f>+IF(FINANCIACION[[#This Row],[$ CAPITAL]]&gt;=0,FINANCIACION[[#This Row],[$ CAPITAL]]+FINANCIACION[[#This Row],[$ INTERESES]],"")</f>
        <v/>
      </c>
      <c r="F89" s="5">
        <f>+SUMIFS(FINANCIACION[$ CAPITAL],FINANCIACION[Fecha],"&lt;="&amp;FINANCIACION[[#This Row],[Fecha]],FINANCIACION[PRESTAMO],FINANCIACION[[#This Row],[PRESTAMO]])</f>
        <v>-4000433.1100000003</v>
      </c>
      <c r="G89" s="53"/>
      <c r="H89" s="53"/>
      <c r="I89" s="5" t="b">
        <f>IF(FINANCIACION[[#This Row],[$ CAPITAL]]&gt;0,FINANCIACION[[#This Row],[$ CAPITAL]])</f>
        <v>0</v>
      </c>
      <c r="J89" s="33">
        <f>IF(FINANCIACION[[#This Row],[$ CAPITAL]]&gt;=0,FINANCIACION[[#This Row],[$ CAPITAL]]+FINANCIACION[[#This Row],[$ INTERESES]],0)</f>
        <v>0</v>
      </c>
    </row>
    <row r="90" spans="1:10" ht="24" hidden="1" customHeight="1" x14ac:dyDescent="0.3">
      <c r="A90" s="142">
        <v>43727</v>
      </c>
      <c r="B90" s="50" t="s">
        <v>822</v>
      </c>
      <c r="C90" s="5">
        <v>-179647</v>
      </c>
      <c r="D90" s="5"/>
      <c r="E90" s="5" t="str">
        <f>+IF(FINANCIACION[[#This Row],[$ CAPITAL]]&gt;=0,FINANCIACION[[#This Row],[$ CAPITAL]]+FINANCIACION[[#This Row],[$ INTERESES]],"")</f>
        <v/>
      </c>
      <c r="F90" s="5">
        <f>+SUMIFS(FINANCIACION[$ CAPITAL],FINANCIACION[Fecha],"&lt;="&amp;FINANCIACION[[#This Row],[Fecha]],FINANCIACION[PRESTAMO],FINANCIACION[[#This Row],[PRESTAMO]])</f>
        <v>-4000433.1100000003</v>
      </c>
      <c r="G90" s="53"/>
      <c r="H90" s="53"/>
      <c r="I90" s="5" t="b">
        <f>IF(FINANCIACION[[#This Row],[$ CAPITAL]]&gt;0,FINANCIACION[[#This Row],[$ CAPITAL]])</f>
        <v>0</v>
      </c>
      <c r="J90" s="33">
        <f>IF(FINANCIACION[[#This Row],[$ CAPITAL]]&gt;=0,FINANCIACION[[#This Row],[$ CAPITAL]]+FINANCIACION[[#This Row],[$ INTERESES]],0)</f>
        <v>0</v>
      </c>
    </row>
    <row r="91" spans="1:10" ht="24" hidden="1" customHeight="1" x14ac:dyDescent="0.3">
      <c r="A91" s="142">
        <v>43727</v>
      </c>
      <c r="B91" s="50" t="s">
        <v>822</v>
      </c>
      <c r="C91" s="5">
        <v>-85000</v>
      </c>
      <c r="D91" s="5"/>
      <c r="E91" s="5" t="str">
        <f>+IF(FINANCIACION[[#This Row],[$ CAPITAL]]&gt;=0,FINANCIACION[[#This Row],[$ CAPITAL]]+FINANCIACION[[#This Row],[$ INTERESES]],"")</f>
        <v/>
      </c>
      <c r="F91" s="5">
        <f>+SUMIFS(FINANCIACION[$ CAPITAL],FINANCIACION[Fecha],"&lt;="&amp;FINANCIACION[[#This Row],[Fecha]],FINANCIACION[PRESTAMO],FINANCIACION[[#This Row],[PRESTAMO]])</f>
        <v>-4000433.1100000003</v>
      </c>
      <c r="G91" s="53"/>
      <c r="H91" s="53"/>
      <c r="I91" s="5" t="b">
        <f>IF(FINANCIACION[[#This Row],[$ CAPITAL]]&gt;0,FINANCIACION[[#This Row],[$ CAPITAL]])</f>
        <v>0</v>
      </c>
      <c r="J91" s="33">
        <f>IF(FINANCIACION[[#This Row],[$ CAPITAL]]&gt;=0,FINANCIACION[[#This Row],[$ CAPITAL]]+FINANCIACION[[#This Row],[$ INTERESES]],0)</f>
        <v>0</v>
      </c>
    </row>
    <row r="92" spans="1:10" ht="24" hidden="1" customHeight="1" x14ac:dyDescent="0.3">
      <c r="A92" s="142">
        <v>43728</v>
      </c>
      <c r="B92" s="50" t="s">
        <v>820</v>
      </c>
      <c r="C92" s="5">
        <v>260000</v>
      </c>
      <c r="D92" s="5">
        <v>740000</v>
      </c>
      <c r="E92" s="5">
        <f>+IF(FINANCIACION[[#This Row],[$ CAPITAL]]&gt;=0,FINANCIACION[[#This Row],[$ CAPITAL]]+FINANCIACION[[#This Row],[$ INTERESES]],"")</f>
        <v>1000000</v>
      </c>
      <c r="F92" s="5">
        <f>+SUMIFS(FINANCIACION[$ CAPITAL],FINANCIACION[Fecha],"&lt;="&amp;FINANCIACION[[#This Row],[Fecha]],FINANCIACION[PRESTAMO],FINANCIACION[[#This Row],[PRESTAMO]])</f>
        <v>-59289154</v>
      </c>
      <c r="G92" s="7"/>
      <c r="H92" s="53"/>
      <c r="I92" s="5">
        <f>IF(FINANCIACION[[#This Row],[$ CAPITAL]]&gt;0,FINANCIACION[[#This Row],[$ CAPITAL]])</f>
        <v>260000</v>
      </c>
      <c r="J92" s="33">
        <f>IF(FINANCIACION[[#This Row],[$ CAPITAL]]&gt;=0,FINANCIACION[[#This Row],[$ CAPITAL]]+FINANCIACION[[#This Row],[$ INTERESES]],0)</f>
        <v>1000000</v>
      </c>
    </row>
    <row r="93" spans="1:10" ht="24" hidden="1" customHeight="1" x14ac:dyDescent="0.3">
      <c r="A93" s="142">
        <v>43731</v>
      </c>
      <c r="B93" s="50" t="s">
        <v>822</v>
      </c>
      <c r="C93" s="5">
        <v>-153982.59</v>
      </c>
      <c r="D93" s="5"/>
      <c r="E93" s="5" t="str">
        <f>+IF(FINANCIACION[[#This Row],[$ CAPITAL]]&gt;=0,FINANCIACION[[#This Row],[$ CAPITAL]]+FINANCIACION[[#This Row],[$ INTERESES]],"")</f>
        <v/>
      </c>
      <c r="F93" s="5">
        <f>+SUMIFS(FINANCIACION[$ CAPITAL],FINANCIACION[Fecha],"&lt;="&amp;FINANCIACION[[#This Row],[Fecha]],FINANCIACION[PRESTAMO],FINANCIACION[[#This Row],[PRESTAMO]])</f>
        <v>-4154415.7</v>
      </c>
      <c r="G93" s="7"/>
      <c r="H93" s="53"/>
      <c r="I93" s="5" t="b">
        <f>IF(FINANCIACION[[#This Row],[$ CAPITAL]]&gt;0,FINANCIACION[[#This Row],[$ CAPITAL]])</f>
        <v>0</v>
      </c>
      <c r="J93" s="33">
        <f>IF(FINANCIACION[[#This Row],[$ CAPITAL]]&gt;=0,FINANCIACION[[#This Row],[$ CAPITAL]]+FINANCIACION[[#This Row],[$ INTERESES]],0)</f>
        <v>0</v>
      </c>
    </row>
    <row r="94" spans="1:10" ht="24" hidden="1" customHeight="1" x14ac:dyDescent="0.3">
      <c r="A94" s="142">
        <v>43733</v>
      </c>
      <c r="B94" s="50" t="s">
        <v>187</v>
      </c>
      <c r="C94" s="5">
        <v>1250000</v>
      </c>
      <c r="D94" s="5">
        <v>305659</v>
      </c>
      <c r="E94" s="5">
        <f>+IF(FINANCIACION[[#This Row],[$ CAPITAL]]&gt;=0,FINANCIACION[[#This Row],[$ CAPITAL]]+FINANCIACION[[#This Row],[$ INTERESES]],"")</f>
        <v>1555659</v>
      </c>
      <c r="F94" s="5">
        <f>+SUMIFS(FINANCIACION[$ CAPITAL],FINANCIACION[Fecha],"&lt;="&amp;FINANCIACION[[#This Row],[Fecha]],FINANCIACION[PRESTAMO],FINANCIACION[[#This Row],[PRESTAMO]])</f>
        <v>-23750000</v>
      </c>
      <c r="G94" s="7"/>
      <c r="H94" s="53"/>
      <c r="I94" s="5">
        <f>IF(FINANCIACION[[#This Row],[$ CAPITAL]]&gt;0,FINANCIACION[[#This Row],[$ CAPITAL]])</f>
        <v>1250000</v>
      </c>
      <c r="J94" s="33">
        <f>IF(FINANCIACION[[#This Row],[$ CAPITAL]]&gt;=0,FINANCIACION[[#This Row],[$ CAPITAL]]+FINANCIACION[[#This Row],[$ INTERESES]],0)</f>
        <v>1555659</v>
      </c>
    </row>
    <row r="95" spans="1:10" ht="24" hidden="1" customHeight="1" x14ac:dyDescent="0.3">
      <c r="A95" s="142">
        <v>43734</v>
      </c>
      <c r="B95" s="50" t="s">
        <v>822</v>
      </c>
      <c r="C95" s="5">
        <v>-27977629</v>
      </c>
      <c r="D95" s="5"/>
      <c r="E95" s="5" t="str">
        <f>+IF(FINANCIACION[[#This Row],[$ CAPITAL]]&gt;=0,FINANCIACION[[#This Row],[$ CAPITAL]]+FINANCIACION[[#This Row],[$ INTERESES]],"")</f>
        <v/>
      </c>
      <c r="F95" s="5">
        <f>+SUMIFS(FINANCIACION[$ CAPITAL],FINANCIACION[Fecha],"&lt;="&amp;FINANCIACION[[#This Row],[Fecha]],FINANCIACION[PRESTAMO],FINANCIACION[[#This Row],[PRESTAMO]])</f>
        <v>-32132044.699999999</v>
      </c>
      <c r="G95" s="7"/>
      <c r="H95" s="53"/>
      <c r="I95" s="5" t="b">
        <f>IF(FINANCIACION[[#This Row],[$ CAPITAL]]&gt;0,FINANCIACION[[#This Row],[$ CAPITAL]])</f>
        <v>0</v>
      </c>
      <c r="J95" s="33">
        <f>IF(FINANCIACION[[#This Row],[$ CAPITAL]]&gt;=0,FINANCIACION[[#This Row],[$ CAPITAL]]+FINANCIACION[[#This Row],[$ INTERESES]],0)</f>
        <v>0</v>
      </c>
    </row>
    <row r="96" spans="1:10" ht="24" hidden="1" customHeight="1" x14ac:dyDescent="0.3">
      <c r="A96" s="142">
        <v>43738</v>
      </c>
      <c r="B96" s="50" t="s">
        <v>822</v>
      </c>
      <c r="C96" s="5">
        <v>-2074108</v>
      </c>
      <c r="D96" s="5"/>
      <c r="E96" s="5" t="str">
        <f>+IF(FINANCIACION[[#This Row],[$ CAPITAL]]&gt;=0,FINANCIACION[[#This Row],[$ CAPITAL]]+FINANCIACION[[#This Row],[$ INTERESES]],"")</f>
        <v/>
      </c>
      <c r="F96" s="5">
        <f>+SUMIFS(FINANCIACION[$ CAPITAL],FINANCIACION[Fecha],"&lt;="&amp;FINANCIACION[[#This Row],[Fecha]],FINANCIACION[PRESTAMO],FINANCIACION[[#This Row],[PRESTAMO]])</f>
        <v>-34206152.700000003</v>
      </c>
      <c r="G96" s="7"/>
      <c r="H96" s="53"/>
      <c r="I96" s="5" t="b">
        <f>IF(FINANCIACION[[#This Row],[$ CAPITAL]]&gt;0,FINANCIACION[[#This Row],[$ CAPITAL]])</f>
        <v>0</v>
      </c>
      <c r="J96" s="33">
        <f>IF(FINANCIACION[[#This Row],[$ CAPITAL]]&gt;=0,FINANCIACION[[#This Row],[$ CAPITAL]]+FINANCIACION[[#This Row],[$ INTERESES]],0)</f>
        <v>0</v>
      </c>
    </row>
    <row r="97" spans="1:10" ht="24" hidden="1" customHeight="1" x14ac:dyDescent="0.3">
      <c r="A97" s="142">
        <v>43740</v>
      </c>
      <c r="B97" s="50" t="s">
        <v>822</v>
      </c>
      <c r="C97" s="5">
        <v>2000000</v>
      </c>
      <c r="D97" s="5"/>
      <c r="E97" s="5">
        <f>+IF(FINANCIACION[[#This Row],[$ CAPITAL]]&gt;=0,FINANCIACION[[#This Row],[$ CAPITAL]]+FINANCIACION[[#This Row],[$ INTERESES]],"")</f>
        <v>2000000</v>
      </c>
      <c r="F97" s="5">
        <f>+SUMIFS(FINANCIACION[$ CAPITAL],FINANCIACION[Fecha],"&lt;="&amp;FINANCIACION[[#This Row],[Fecha]],FINANCIACION[PRESTAMO],FINANCIACION[[#This Row],[PRESTAMO]])</f>
        <v>-32206152.700000003</v>
      </c>
      <c r="G97" s="7"/>
      <c r="H97" s="53"/>
      <c r="I97" s="5">
        <f>IF(FINANCIACION[[#This Row],[$ CAPITAL]]&gt;0,FINANCIACION[[#This Row],[$ CAPITAL]])</f>
        <v>2000000</v>
      </c>
      <c r="J97" s="33">
        <f>IF(FINANCIACION[[#This Row],[$ CAPITAL]]&gt;=0,FINANCIACION[[#This Row],[$ CAPITAL]]+FINANCIACION[[#This Row],[$ INTERESES]],0)</f>
        <v>2000000</v>
      </c>
    </row>
    <row r="98" spans="1:10" ht="24" hidden="1" customHeight="1" x14ac:dyDescent="0.3">
      <c r="A98" s="142">
        <v>43741</v>
      </c>
      <c r="B98" s="50" t="s">
        <v>188</v>
      </c>
      <c r="C98" s="5">
        <v>3472222</v>
      </c>
      <c r="D98" s="5">
        <v>1053808</v>
      </c>
      <c r="E98" s="5">
        <f>+IF(FINANCIACION[[#This Row],[$ CAPITAL]]&gt;=0,FINANCIACION[[#This Row],[$ CAPITAL]]+FINANCIACION[[#This Row],[$ INTERESES]],"")</f>
        <v>4526030</v>
      </c>
      <c r="F98" s="5">
        <f>+SUMIFS(FINANCIACION[$ CAPITAL],FINANCIACION[Fecha],"&lt;="&amp;FINANCIACION[[#This Row],[Fecha]],FINANCIACION[PRESTAMO],FINANCIACION[[#This Row],[PRESTAMO]])</f>
        <v>-93750002</v>
      </c>
      <c r="G98" s="7"/>
      <c r="H98" s="53"/>
      <c r="I98" s="5">
        <f>IF(FINANCIACION[[#This Row],[$ CAPITAL]]&gt;0,FINANCIACION[[#This Row],[$ CAPITAL]])</f>
        <v>3472222</v>
      </c>
      <c r="J98" s="33">
        <f>IF(FINANCIACION[[#This Row],[$ CAPITAL]]&gt;=0,FINANCIACION[[#This Row],[$ CAPITAL]]+FINANCIACION[[#This Row],[$ INTERESES]],0)</f>
        <v>4526030</v>
      </c>
    </row>
    <row r="99" spans="1:10" ht="24" hidden="1" customHeight="1" x14ac:dyDescent="0.3">
      <c r="A99" s="142">
        <v>43742</v>
      </c>
      <c r="B99" s="50" t="s">
        <v>822</v>
      </c>
      <c r="C99" s="5">
        <v>2500000</v>
      </c>
      <c r="D99" s="5">
        <v>470066.66000000015</v>
      </c>
      <c r="E99" s="5">
        <f>+IF(FINANCIACION[[#This Row],[$ CAPITAL]]&gt;=0,FINANCIACION[[#This Row],[$ CAPITAL]]+FINANCIACION[[#This Row],[$ INTERESES]],"")</f>
        <v>2970066.66</v>
      </c>
      <c r="F99" s="5">
        <f>+SUMIFS(FINANCIACION[$ CAPITAL],FINANCIACION[Fecha],"&lt;="&amp;FINANCIACION[[#This Row],[Fecha]],FINANCIACION[PRESTAMO],FINANCIACION[[#This Row],[PRESTAMO]])</f>
        <v>-29706152.700000003</v>
      </c>
      <c r="G99" s="7"/>
      <c r="H99" s="53"/>
      <c r="I99" s="5">
        <f>IF(FINANCIACION[[#This Row],[$ CAPITAL]]&gt;0,FINANCIACION[[#This Row],[$ CAPITAL]])</f>
        <v>2500000</v>
      </c>
      <c r="J99" s="33">
        <f>IF(FINANCIACION[[#This Row],[$ CAPITAL]]&gt;=0,FINANCIACION[[#This Row],[$ CAPITAL]]+FINANCIACION[[#This Row],[$ INTERESES]],0)</f>
        <v>2970066.66</v>
      </c>
    </row>
    <row r="100" spans="1:10" ht="24" hidden="1" customHeight="1" x14ac:dyDescent="0.3">
      <c r="A100" s="142">
        <v>43748</v>
      </c>
      <c r="B100" s="50" t="s">
        <v>819</v>
      </c>
      <c r="C100" s="5"/>
      <c r="D100" s="5">
        <v>950000</v>
      </c>
      <c r="E100" s="5">
        <f>+IF(FINANCIACION[[#This Row],[$ CAPITAL]]&gt;=0,FINANCIACION[[#This Row],[$ CAPITAL]]+FINANCIACION[[#This Row],[$ INTERESES]],"")</f>
        <v>950000</v>
      </c>
      <c r="F100" s="5">
        <f>+SUMIFS(FINANCIACION[$ CAPITAL],FINANCIACION[Fecha],"&lt;="&amp;FINANCIACION[[#This Row],[Fecha]],FINANCIACION[PRESTAMO],FINANCIACION[[#This Row],[PRESTAMO]])</f>
        <v>-94935167</v>
      </c>
      <c r="G100" s="7"/>
      <c r="H100" s="53"/>
      <c r="I100" s="5" t="b">
        <f>IF(FINANCIACION[[#This Row],[$ CAPITAL]]&gt;0,FINANCIACION[[#This Row],[$ CAPITAL]])</f>
        <v>0</v>
      </c>
      <c r="J100" s="33">
        <f>IF(FINANCIACION[[#This Row],[$ CAPITAL]]&gt;=0,FINANCIACION[[#This Row],[$ CAPITAL]]+FINANCIACION[[#This Row],[$ INTERESES]],0)</f>
        <v>950000</v>
      </c>
    </row>
    <row r="101" spans="1:10" ht="24" hidden="1" customHeight="1" x14ac:dyDescent="0.3">
      <c r="A101" s="142">
        <v>43748</v>
      </c>
      <c r="B101" s="50" t="s">
        <v>822</v>
      </c>
      <c r="C101" s="5">
        <v>3000000</v>
      </c>
      <c r="D101" s="5"/>
      <c r="E101" s="5">
        <f>+IF(FINANCIACION[[#This Row],[$ CAPITAL]]&gt;=0,FINANCIACION[[#This Row],[$ CAPITAL]]+FINANCIACION[[#This Row],[$ INTERESES]],"")</f>
        <v>3000000</v>
      </c>
      <c r="F101" s="5">
        <f>+SUMIFS(FINANCIACION[$ CAPITAL],FINANCIACION[Fecha],"&lt;="&amp;FINANCIACION[[#This Row],[Fecha]],FINANCIACION[PRESTAMO],FINANCIACION[[#This Row],[PRESTAMO]])</f>
        <v>-26706152.700000003</v>
      </c>
      <c r="G101" s="7"/>
      <c r="H101" s="53"/>
      <c r="I101" s="5">
        <f>IF(FINANCIACION[[#This Row],[$ CAPITAL]]&gt;0,FINANCIACION[[#This Row],[$ CAPITAL]])</f>
        <v>3000000</v>
      </c>
      <c r="J101" s="33">
        <f>IF(FINANCIACION[[#This Row],[$ CAPITAL]]&gt;=0,FINANCIACION[[#This Row],[$ CAPITAL]]+FINANCIACION[[#This Row],[$ INTERESES]],0)</f>
        <v>3000000</v>
      </c>
    </row>
    <row r="102" spans="1:10" ht="24" hidden="1" customHeight="1" x14ac:dyDescent="0.3">
      <c r="A102" s="142">
        <v>43753</v>
      </c>
      <c r="B102" s="50" t="s">
        <v>822</v>
      </c>
      <c r="C102" s="5">
        <v>-92202</v>
      </c>
      <c r="D102" s="5"/>
      <c r="E102" s="5" t="str">
        <f>+IF(FINANCIACION[[#This Row],[$ CAPITAL]]&gt;=0,FINANCIACION[[#This Row],[$ CAPITAL]]+FINANCIACION[[#This Row],[$ INTERESES]],"")</f>
        <v/>
      </c>
      <c r="F102" s="5">
        <f>+SUMIFS(FINANCIACION[$ CAPITAL],FINANCIACION[Fecha],"&lt;="&amp;FINANCIACION[[#This Row],[Fecha]],FINANCIACION[PRESTAMO],FINANCIACION[[#This Row],[PRESTAMO]])</f>
        <v>-26798354.700000003</v>
      </c>
      <c r="G102" s="7"/>
      <c r="H102" s="53"/>
      <c r="I102" s="5" t="b">
        <f>IF(FINANCIACION[[#This Row],[$ CAPITAL]]&gt;0,FINANCIACION[[#This Row],[$ CAPITAL]])</f>
        <v>0</v>
      </c>
      <c r="J102" s="33">
        <f>IF(FINANCIACION[[#This Row],[$ CAPITAL]]&gt;=0,FINANCIACION[[#This Row],[$ CAPITAL]]+FINANCIACION[[#This Row],[$ INTERESES]],0)</f>
        <v>0</v>
      </c>
    </row>
    <row r="103" spans="1:10" ht="24" hidden="1" customHeight="1" x14ac:dyDescent="0.3">
      <c r="A103" s="142">
        <v>43754</v>
      </c>
      <c r="B103" s="50" t="s">
        <v>822</v>
      </c>
      <c r="C103" s="5">
        <v>-5877675.5300000003</v>
      </c>
      <c r="D103" s="5"/>
      <c r="E103" s="5" t="str">
        <f>+IF(FINANCIACION[[#This Row],[$ CAPITAL]]&gt;=0,FINANCIACION[[#This Row],[$ CAPITAL]]+FINANCIACION[[#This Row],[$ INTERESES]],"")</f>
        <v/>
      </c>
      <c r="F103" s="5">
        <f>+SUMIFS(FINANCIACION[$ CAPITAL],FINANCIACION[Fecha],"&lt;="&amp;FINANCIACION[[#This Row],[Fecha]],FINANCIACION[PRESTAMO],FINANCIACION[[#This Row],[PRESTAMO]])</f>
        <v>-34784152.560000002</v>
      </c>
      <c r="G103" s="7"/>
      <c r="H103" s="53"/>
      <c r="I103" s="5" t="b">
        <f>IF(FINANCIACION[[#This Row],[$ CAPITAL]]&gt;0,FINANCIACION[[#This Row],[$ CAPITAL]])</f>
        <v>0</v>
      </c>
      <c r="J103" s="33">
        <f>IF(FINANCIACION[[#This Row],[$ CAPITAL]]&gt;=0,FINANCIACION[[#This Row],[$ CAPITAL]]+FINANCIACION[[#This Row],[$ INTERESES]],0)</f>
        <v>0</v>
      </c>
    </row>
    <row r="104" spans="1:10" ht="24" hidden="1" customHeight="1" x14ac:dyDescent="0.3">
      <c r="A104" s="142">
        <v>43754</v>
      </c>
      <c r="B104" s="50" t="s">
        <v>822</v>
      </c>
      <c r="C104" s="5">
        <v>-2108122.33</v>
      </c>
      <c r="D104" s="5"/>
      <c r="E104" s="5" t="str">
        <f>+IF(FINANCIACION[[#This Row],[$ CAPITAL]]&gt;=0,FINANCIACION[[#This Row],[$ CAPITAL]]+FINANCIACION[[#This Row],[$ INTERESES]],"")</f>
        <v/>
      </c>
      <c r="F104" s="5">
        <f>+SUMIFS(FINANCIACION[$ CAPITAL],FINANCIACION[Fecha],"&lt;="&amp;FINANCIACION[[#This Row],[Fecha]],FINANCIACION[PRESTAMO],FINANCIACION[[#This Row],[PRESTAMO]])</f>
        <v>-34784152.560000002</v>
      </c>
      <c r="G104" s="7"/>
      <c r="H104" s="53"/>
      <c r="I104" s="5" t="b">
        <f>IF(FINANCIACION[[#This Row],[$ CAPITAL]]&gt;0,FINANCIACION[[#This Row],[$ CAPITAL]])</f>
        <v>0</v>
      </c>
      <c r="J104" s="33">
        <f>IF(FINANCIACION[[#This Row],[$ CAPITAL]]&gt;=0,FINANCIACION[[#This Row],[$ CAPITAL]]+FINANCIACION[[#This Row],[$ INTERESES]],0)</f>
        <v>0</v>
      </c>
    </row>
    <row r="105" spans="1:10" ht="24" hidden="1" customHeight="1" x14ac:dyDescent="0.3">
      <c r="A105" s="142">
        <v>43756</v>
      </c>
      <c r="B105" s="50" t="s">
        <v>191</v>
      </c>
      <c r="C105" s="5">
        <v>6250000</v>
      </c>
      <c r="D105" s="5">
        <v>1184067.07</v>
      </c>
      <c r="E105" s="5">
        <f>+IF(FINANCIACION[[#This Row],[$ CAPITAL]]&gt;=0,FINANCIACION[[#This Row],[$ CAPITAL]]+FINANCIACION[[#This Row],[$ INTERESES]],"")</f>
        <v>7434067.0700000003</v>
      </c>
      <c r="F105" s="5">
        <f>+SUMIFS(FINANCIACION[$ CAPITAL],FINANCIACION[Fecha],"&lt;="&amp;FINANCIACION[[#This Row],[Fecha]],FINANCIACION[PRESTAMO],FINANCIACION[[#This Row],[PRESTAMO]])</f>
        <v>-125000000</v>
      </c>
      <c r="G105" s="7"/>
      <c r="H105" s="53"/>
      <c r="I105" s="5">
        <f>IF(FINANCIACION[[#This Row],[$ CAPITAL]]&gt;0,FINANCIACION[[#This Row],[$ CAPITAL]])</f>
        <v>6250000</v>
      </c>
      <c r="J105" s="33">
        <f>IF(FINANCIACION[[#This Row],[$ CAPITAL]]&gt;=0,FINANCIACION[[#This Row],[$ CAPITAL]]+FINANCIACION[[#This Row],[$ INTERESES]],0)</f>
        <v>7434067.0700000003</v>
      </c>
    </row>
    <row r="106" spans="1:10" ht="24" hidden="1" customHeight="1" x14ac:dyDescent="0.3">
      <c r="A106" s="142">
        <v>43756</v>
      </c>
      <c r="B106" s="50" t="s">
        <v>821</v>
      </c>
      <c r="C106" s="5">
        <v>1426306</v>
      </c>
      <c r="D106" s="5">
        <v>4592899</v>
      </c>
      <c r="E106" s="5">
        <f>+IF(FINANCIACION[[#This Row],[$ CAPITAL]]&gt;=0,FINANCIACION[[#This Row],[$ CAPITAL]]+FINANCIACION[[#This Row],[$ INTERESES]],"")</f>
        <v>6019205</v>
      </c>
      <c r="F106" s="5">
        <f>+SUMIFS(FINANCIACION[$ CAPITAL],FINANCIACION[Fecha],"&lt;="&amp;FINANCIACION[[#This Row],[Fecha]],FINANCIACION[PRESTAMO],FINANCIACION[[#This Row],[PRESTAMO]])</f>
        <v>-367566521.03181815</v>
      </c>
      <c r="G106" s="7"/>
      <c r="H106" s="53"/>
      <c r="I106" s="5">
        <f>IF(FINANCIACION[[#This Row],[$ CAPITAL]]&gt;0,FINANCIACION[[#This Row],[$ CAPITAL]])</f>
        <v>1426306</v>
      </c>
      <c r="J106" s="33">
        <f>IF(FINANCIACION[[#This Row],[$ CAPITAL]]&gt;=0,FINANCIACION[[#This Row],[$ CAPITAL]]+FINANCIACION[[#This Row],[$ INTERESES]],0)</f>
        <v>6019205</v>
      </c>
    </row>
    <row r="107" spans="1:10" ht="24" hidden="1" customHeight="1" x14ac:dyDescent="0.3">
      <c r="A107" s="142">
        <v>43758</v>
      </c>
      <c r="B107" s="50" t="s">
        <v>822</v>
      </c>
      <c r="C107" s="5">
        <v>-89902</v>
      </c>
      <c r="D107" s="5"/>
      <c r="E107" s="5" t="str">
        <f>+IF(FINANCIACION[[#This Row],[$ CAPITAL]]&gt;=0,FINANCIACION[[#This Row],[$ CAPITAL]]+FINANCIACION[[#This Row],[$ INTERESES]],"")</f>
        <v/>
      </c>
      <c r="F107" s="5">
        <f>+SUMIFS(FINANCIACION[$ CAPITAL],FINANCIACION[Fecha],"&lt;="&amp;FINANCIACION[[#This Row],[Fecha]],FINANCIACION[PRESTAMO],FINANCIACION[[#This Row],[PRESTAMO]])</f>
        <v>-34874054.560000002</v>
      </c>
      <c r="G107" s="7"/>
      <c r="H107" s="53"/>
      <c r="I107" s="5" t="b">
        <f>IF(FINANCIACION[[#This Row],[$ CAPITAL]]&gt;0,FINANCIACION[[#This Row],[$ CAPITAL]])</f>
        <v>0</v>
      </c>
      <c r="J107" s="33">
        <f>IF(FINANCIACION[[#This Row],[$ CAPITAL]]&gt;=0,FINANCIACION[[#This Row],[$ CAPITAL]]+FINANCIACION[[#This Row],[$ INTERESES]],0)</f>
        <v>0</v>
      </c>
    </row>
    <row r="108" spans="1:10" ht="24" hidden="1" customHeight="1" x14ac:dyDescent="0.3">
      <c r="A108" s="142">
        <v>43759</v>
      </c>
      <c r="B108" s="50" t="s">
        <v>820</v>
      </c>
      <c r="C108" s="5">
        <v>260000</v>
      </c>
      <c r="D108" s="5">
        <v>740000</v>
      </c>
      <c r="E108" s="5">
        <f>+IF(FINANCIACION[[#This Row],[$ CAPITAL]]&gt;=0,FINANCIACION[[#This Row],[$ CAPITAL]]+FINANCIACION[[#This Row],[$ INTERESES]],"")</f>
        <v>1000000</v>
      </c>
      <c r="F108" s="5">
        <f>+SUMIFS(FINANCIACION[$ CAPITAL],FINANCIACION[Fecha],"&lt;="&amp;FINANCIACION[[#This Row],[Fecha]],FINANCIACION[PRESTAMO],FINANCIACION[[#This Row],[PRESTAMO]])</f>
        <v>-59029154</v>
      </c>
      <c r="G108" s="7"/>
      <c r="H108" s="53"/>
      <c r="I108" s="5">
        <f>IF(FINANCIACION[[#This Row],[$ CAPITAL]]&gt;0,FINANCIACION[[#This Row],[$ CAPITAL]])</f>
        <v>260000</v>
      </c>
      <c r="J108" s="33">
        <f>IF(FINANCIACION[[#This Row],[$ CAPITAL]]&gt;=0,FINANCIACION[[#This Row],[$ CAPITAL]]+FINANCIACION[[#This Row],[$ INTERESES]],0)</f>
        <v>1000000</v>
      </c>
    </row>
    <row r="109" spans="1:10" ht="24" hidden="1" customHeight="1" x14ac:dyDescent="0.3">
      <c r="A109" s="142">
        <v>43760</v>
      </c>
      <c r="B109" s="50" t="s">
        <v>822</v>
      </c>
      <c r="C109" s="5">
        <v>-1837182.36</v>
      </c>
      <c r="D109" s="5"/>
      <c r="E109" s="5" t="str">
        <f>+IF(FINANCIACION[[#This Row],[$ CAPITAL]]&gt;=0,FINANCIACION[[#This Row],[$ CAPITAL]]+FINANCIACION[[#This Row],[$ INTERESES]],"")</f>
        <v/>
      </c>
      <c r="F109" s="5">
        <f>+SUMIFS(FINANCIACION[$ CAPITAL],FINANCIACION[Fecha],"&lt;="&amp;FINANCIACION[[#This Row],[Fecha]],FINANCIACION[PRESTAMO],FINANCIACION[[#This Row],[PRESTAMO]])</f>
        <v>-36711236.920000002</v>
      </c>
      <c r="G109" s="7"/>
      <c r="H109" s="53"/>
      <c r="I109" s="5" t="b">
        <f>IF(FINANCIACION[[#This Row],[$ CAPITAL]]&gt;0,FINANCIACION[[#This Row],[$ CAPITAL]])</f>
        <v>0</v>
      </c>
      <c r="J109" s="33">
        <f>IF(FINANCIACION[[#This Row],[$ CAPITAL]]&gt;=0,FINANCIACION[[#This Row],[$ CAPITAL]]+FINANCIACION[[#This Row],[$ INTERESES]],0)</f>
        <v>0</v>
      </c>
    </row>
    <row r="110" spans="1:10" ht="24" hidden="1" customHeight="1" x14ac:dyDescent="0.3">
      <c r="A110" s="142">
        <v>43761</v>
      </c>
      <c r="B110" s="50" t="s">
        <v>822</v>
      </c>
      <c r="C110" s="5">
        <v>2000000</v>
      </c>
      <c r="D110" s="5"/>
      <c r="E110" s="5">
        <f>+IF(FINANCIACION[[#This Row],[$ CAPITAL]]&gt;=0,FINANCIACION[[#This Row],[$ CAPITAL]]+FINANCIACION[[#This Row],[$ INTERESES]],"")</f>
        <v>2000000</v>
      </c>
      <c r="F110" s="5">
        <f>+SUMIFS(FINANCIACION[$ CAPITAL],FINANCIACION[Fecha],"&lt;="&amp;FINANCIACION[[#This Row],[Fecha]],FINANCIACION[PRESTAMO],FINANCIACION[[#This Row],[PRESTAMO]])</f>
        <v>-32927774.380000003</v>
      </c>
      <c r="G110" s="7"/>
      <c r="H110" s="53"/>
      <c r="I110" s="5">
        <f>IF(FINANCIACION[[#This Row],[$ CAPITAL]]&gt;0,FINANCIACION[[#This Row],[$ CAPITAL]])</f>
        <v>2000000</v>
      </c>
      <c r="J110" s="33">
        <f>IF(FINANCIACION[[#This Row],[$ CAPITAL]]&gt;=0,FINANCIACION[[#This Row],[$ CAPITAL]]+FINANCIACION[[#This Row],[$ INTERESES]],0)</f>
        <v>2000000</v>
      </c>
    </row>
    <row r="111" spans="1:10" ht="24" hidden="1" customHeight="1" x14ac:dyDescent="0.3">
      <c r="A111" s="142">
        <v>43761</v>
      </c>
      <c r="B111" s="50" t="s">
        <v>822</v>
      </c>
      <c r="C111" s="5">
        <v>2000000</v>
      </c>
      <c r="D111" s="5"/>
      <c r="E111" s="5">
        <f>+IF(FINANCIACION[[#This Row],[$ CAPITAL]]&gt;=0,FINANCIACION[[#This Row],[$ CAPITAL]]+FINANCIACION[[#This Row],[$ INTERESES]],"")</f>
        <v>2000000</v>
      </c>
      <c r="F111" s="5">
        <f>+SUMIFS(FINANCIACION[$ CAPITAL],FINANCIACION[Fecha],"&lt;="&amp;FINANCIACION[[#This Row],[Fecha]],FINANCIACION[PRESTAMO],FINANCIACION[[#This Row],[PRESTAMO]])</f>
        <v>-32927774.380000003</v>
      </c>
      <c r="G111" s="7"/>
      <c r="H111" s="53"/>
      <c r="I111" s="5">
        <f>IF(FINANCIACION[[#This Row],[$ CAPITAL]]&gt;0,FINANCIACION[[#This Row],[$ CAPITAL]])</f>
        <v>2000000</v>
      </c>
      <c r="J111" s="33">
        <f>IF(FINANCIACION[[#This Row],[$ CAPITAL]]&gt;=0,FINANCIACION[[#This Row],[$ CAPITAL]]+FINANCIACION[[#This Row],[$ INTERESES]],0)</f>
        <v>2000000</v>
      </c>
    </row>
    <row r="112" spans="1:10" ht="24" hidden="1" customHeight="1" x14ac:dyDescent="0.3">
      <c r="A112" s="142">
        <v>43761</v>
      </c>
      <c r="B112" s="50" t="s">
        <v>822</v>
      </c>
      <c r="C112" s="5">
        <v>-216537.46</v>
      </c>
      <c r="D112" s="5"/>
      <c r="E112" s="5" t="str">
        <f>+IF(FINANCIACION[[#This Row],[$ CAPITAL]]&gt;=0,FINANCIACION[[#This Row],[$ CAPITAL]]+FINANCIACION[[#This Row],[$ INTERESES]],"")</f>
        <v/>
      </c>
      <c r="F112" s="5">
        <f>+SUMIFS(FINANCIACION[$ CAPITAL],FINANCIACION[Fecha],"&lt;="&amp;FINANCIACION[[#This Row],[Fecha]],FINANCIACION[PRESTAMO],FINANCIACION[[#This Row],[PRESTAMO]])</f>
        <v>-32927774.380000003</v>
      </c>
      <c r="G112" s="7"/>
      <c r="H112" s="53"/>
      <c r="I112" s="5" t="b">
        <f>IF(FINANCIACION[[#This Row],[$ CAPITAL]]&gt;0,FINANCIACION[[#This Row],[$ CAPITAL]])</f>
        <v>0</v>
      </c>
      <c r="J112" s="33">
        <f>IF(FINANCIACION[[#This Row],[$ CAPITAL]]&gt;=0,FINANCIACION[[#This Row],[$ CAPITAL]]+FINANCIACION[[#This Row],[$ INTERESES]],0)</f>
        <v>0</v>
      </c>
    </row>
    <row r="113" spans="1:10" ht="24" hidden="1" customHeight="1" x14ac:dyDescent="0.3">
      <c r="A113" s="142">
        <v>43762</v>
      </c>
      <c r="B113" s="50" t="s">
        <v>822</v>
      </c>
      <c r="C113" s="5">
        <v>-371885.62</v>
      </c>
      <c r="D113" s="5"/>
      <c r="E113" s="5" t="str">
        <f>+IF(FINANCIACION[[#This Row],[$ CAPITAL]]&gt;=0,FINANCIACION[[#This Row],[$ CAPITAL]]+FINANCIACION[[#This Row],[$ INTERESES]],"")</f>
        <v/>
      </c>
      <c r="F113" s="5">
        <f>+SUMIFS(FINANCIACION[$ CAPITAL],FINANCIACION[Fecha],"&lt;="&amp;FINANCIACION[[#This Row],[Fecha]],FINANCIACION[PRESTAMO],FINANCIACION[[#This Row],[PRESTAMO]])</f>
        <v>-33299660.000000004</v>
      </c>
      <c r="G113" s="7"/>
      <c r="H113" s="53"/>
      <c r="I113" s="5" t="b">
        <f>IF(FINANCIACION[[#This Row],[$ CAPITAL]]&gt;0,FINANCIACION[[#This Row],[$ CAPITAL]])</f>
        <v>0</v>
      </c>
      <c r="J113" s="33">
        <f>IF(FINANCIACION[[#This Row],[$ CAPITAL]]&gt;=0,FINANCIACION[[#This Row],[$ CAPITAL]]+FINANCIACION[[#This Row],[$ INTERESES]],0)</f>
        <v>0</v>
      </c>
    </row>
    <row r="114" spans="1:10" ht="24" hidden="1" customHeight="1" x14ac:dyDescent="0.3">
      <c r="A114" s="142">
        <v>43763</v>
      </c>
      <c r="B114" s="50" t="s">
        <v>187</v>
      </c>
      <c r="C114" s="5">
        <v>1250000</v>
      </c>
      <c r="D114" s="5">
        <v>289544</v>
      </c>
      <c r="E114" s="5">
        <f>+IF(FINANCIACION[[#This Row],[$ CAPITAL]]&gt;=0,FINANCIACION[[#This Row],[$ CAPITAL]]+FINANCIACION[[#This Row],[$ INTERESES]],"")</f>
        <v>1539544</v>
      </c>
      <c r="F114" s="5">
        <f>+SUMIFS(FINANCIACION[$ CAPITAL],FINANCIACION[Fecha],"&lt;="&amp;FINANCIACION[[#This Row],[Fecha]],FINANCIACION[PRESTAMO],FINANCIACION[[#This Row],[PRESTAMO]])</f>
        <v>-22500000</v>
      </c>
      <c r="G114" s="7"/>
      <c r="H114" s="53"/>
      <c r="I114" s="5">
        <f>IF(FINANCIACION[[#This Row],[$ CAPITAL]]&gt;0,FINANCIACION[[#This Row],[$ CAPITAL]])</f>
        <v>1250000</v>
      </c>
      <c r="J114" s="33">
        <f>IF(FINANCIACION[[#This Row],[$ CAPITAL]]&gt;=0,FINANCIACION[[#This Row],[$ CAPITAL]]+FINANCIACION[[#This Row],[$ INTERESES]],0)</f>
        <v>1539544</v>
      </c>
    </row>
    <row r="115" spans="1:10" ht="24" hidden="1" customHeight="1" x14ac:dyDescent="0.3">
      <c r="A115" s="142">
        <v>43768</v>
      </c>
      <c r="B115" s="50" t="s">
        <v>822</v>
      </c>
      <c r="C115" s="5">
        <v>-1673208.71</v>
      </c>
      <c r="D115" s="5"/>
      <c r="E115" s="5" t="str">
        <f>+IF(FINANCIACION[[#This Row],[$ CAPITAL]]&gt;=0,FINANCIACION[[#This Row],[$ CAPITAL]]+FINANCIACION[[#This Row],[$ INTERESES]],"")</f>
        <v/>
      </c>
      <c r="F115" s="5">
        <f>+SUMIFS(FINANCIACION[$ CAPITAL],FINANCIACION[Fecha],"&lt;="&amp;FINANCIACION[[#This Row],[Fecha]],FINANCIACION[PRESTAMO],FINANCIACION[[#This Row],[PRESTAMO]])</f>
        <v>-35675757.710000001</v>
      </c>
      <c r="G115" s="7"/>
      <c r="H115" s="53"/>
      <c r="I115" s="5" t="b">
        <f>IF(FINANCIACION[[#This Row],[$ CAPITAL]]&gt;0,FINANCIACION[[#This Row],[$ CAPITAL]])</f>
        <v>0</v>
      </c>
      <c r="J115" s="33">
        <f>IF(FINANCIACION[[#This Row],[$ CAPITAL]]&gt;=0,FINANCIACION[[#This Row],[$ CAPITAL]]+FINANCIACION[[#This Row],[$ INTERESES]],0)</f>
        <v>0</v>
      </c>
    </row>
    <row r="116" spans="1:10" ht="24" hidden="1" customHeight="1" x14ac:dyDescent="0.3">
      <c r="A116" s="142">
        <v>43768</v>
      </c>
      <c r="B116" s="50" t="s">
        <v>822</v>
      </c>
      <c r="C116" s="5">
        <v>-702889</v>
      </c>
      <c r="D116" s="5"/>
      <c r="E116" s="5" t="str">
        <f>+IF(FINANCIACION[[#This Row],[$ CAPITAL]]&gt;=0,FINANCIACION[[#This Row],[$ CAPITAL]]+FINANCIACION[[#This Row],[$ INTERESES]],"")</f>
        <v/>
      </c>
      <c r="F116" s="5">
        <f>+SUMIFS(FINANCIACION[$ CAPITAL],FINANCIACION[Fecha],"&lt;="&amp;FINANCIACION[[#This Row],[Fecha]],FINANCIACION[PRESTAMO],FINANCIACION[[#This Row],[PRESTAMO]])</f>
        <v>-35675757.710000001</v>
      </c>
      <c r="G116" s="7"/>
      <c r="H116" s="53"/>
      <c r="I116" s="5" t="b">
        <f>IF(FINANCIACION[[#This Row],[$ CAPITAL]]&gt;0,FINANCIACION[[#This Row],[$ CAPITAL]])</f>
        <v>0</v>
      </c>
      <c r="J116" s="33">
        <f>IF(FINANCIACION[[#This Row],[$ CAPITAL]]&gt;=0,FINANCIACION[[#This Row],[$ CAPITAL]]+FINANCIACION[[#This Row],[$ INTERESES]],0)</f>
        <v>0</v>
      </c>
    </row>
    <row r="117" spans="1:10" ht="24" hidden="1" customHeight="1" x14ac:dyDescent="0.3">
      <c r="A117" s="142">
        <v>43769</v>
      </c>
      <c r="B117" s="50" t="s">
        <v>823</v>
      </c>
      <c r="C117" s="5"/>
      <c r="D117" s="5">
        <v>840000</v>
      </c>
      <c r="E117" s="5">
        <f>+IF(FINANCIACION[[#This Row],[$ CAPITAL]]&gt;=0,FINANCIACION[[#This Row],[$ CAPITAL]]+FINANCIACION[[#This Row],[$ INTERESES]],"")</f>
        <v>840000</v>
      </c>
      <c r="F117" s="5">
        <f>+SUMIFS(FINANCIACION[$ CAPITAL],FINANCIACION[Fecha],"&lt;="&amp;FINANCIACION[[#This Row],[Fecha]],FINANCIACION[PRESTAMO],FINANCIACION[[#This Row],[PRESTAMO]])</f>
        <v>-84000000</v>
      </c>
      <c r="G117" s="7"/>
      <c r="H117" s="53"/>
      <c r="I117" s="5" t="b">
        <f>IF(FINANCIACION[[#This Row],[$ CAPITAL]]&gt;0,FINANCIACION[[#This Row],[$ CAPITAL]])</f>
        <v>0</v>
      </c>
      <c r="J117" s="8">
        <f>IF(FINANCIACION[[#This Row],[$ CAPITAL]]&gt;=0,FINANCIACION[[#This Row],[$ CAPITAL]]+FINANCIACION[[#This Row],[$ INTERESES]],0)</f>
        <v>840000</v>
      </c>
    </row>
    <row r="118" spans="1:10" ht="24" hidden="1" customHeight="1" x14ac:dyDescent="0.3">
      <c r="A118" s="142">
        <v>43769</v>
      </c>
      <c r="B118" s="50" t="s">
        <v>822</v>
      </c>
      <c r="C118" s="5">
        <v>-17400</v>
      </c>
      <c r="D118" s="5"/>
      <c r="E118" s="5" t="str">
        <f>+IF(FINANCIACION[[#This Row],[$ CAPITAL]]&gt;=0,FINANCIACION[[#This Row],[$ CAPITAL]]+FINANCIACION[[#This Row],[$ INTERESES]],"")</f>
        <v/>
      </c>
      <c r="F118" s="5">
        <f>+SUMIFS(FINANCIACION[$ CAPITAL],FINANCIACION[Fecha],"&lt;="&amp;FINANCIACION[[#This Row],[Fecha]],FINANCIACION[PRESTAMO],FINANCIACION[[#This Row],[PRESTAMO]])</f>
        <v>-35693157.710000001</v>
      </c>
      <c r="G118" s="7"/>
      <c r="H118" s="53"/>
      <c r="I118" s="5" t="b">
        <f>IF(FINANCIACION[[#This Row],[$ CAPITAL]]&gt;0,FINANCIACION[[#This Row],[$ CAPITAL]])</f>
        <v>0</v>
      </c>
      <c r="J118" s="33">
        <f>IF(FINANCIACION[[#This Row],[$ CAPITAL]]&gt;=0,FINANCIACION[[#This Row],[$ CAPITAL]]+FINANCIACION[[#This Row],[$ INTERESES]],0)</f>
        <v>0</v>
      </c>
    </row>
    <row r="119" spans="1:10" ht="24" hidden="1" customHeight="1" x14ac:dyDescent="0.3">
      <c r="A119" s="142">
        <v>43772</v>
      </c>
      <c r="B119" s="50" t="s">
        <v>188</v>
      </c>
      <c r="C119" s="5">
        <v>3472222</v>
      </c>
      <c r="D119" s="5">
        <v>1021062</v>
      </c>
      <c r="E119" s="5">
        <f>+IF(FINANCIACION[[#This Row],[$ CAPITAL]]&gt;=0,FINANCIACION[[#This Row],[$ CAPITAL]]+FINANCIACION[[#This Row],[$ INTERESES]],"")</f>
        <v>4493284</v>
      </c>
      <c r="F119" s="5">
        <f>+SUMIFS(FINANCIACION[$ CAPITAL],FINANCIACION[Fecha],"&lt;="&amp;FINANCIACION[[#This Row],[Fecha]],FINANCIACION[PRESTAMO],FINANCIACION[[#This Row],[PRESTAMO]])</f>
        <v>-90277780</v>
      </c>
      <c r="G119" s="53"/>
      <c r="H119" s="53"/>
      <c r="I119" s="5">
        <f>IF(FINANCIACION[[#This Row],[$ CAPITAL]]&gt;0,FINANCIACION[[#This Row],[$ CAPITAL]])</f>
        <v>3472222</v>
      </c>
      <c r="J119" s="33">
        <f>IF(FINANCIACION[[#This Row],[$ CAPITAL]]&gt;=0,FINANCIACION[[#This Row],[$ CAPITAL]]+FINANCIACION[[#This Row],[$ INTERESES]],0)</f>
        <v>4493284</v>
      </c>
    </row>
    <row r="120" spans="1:10" ht="24" hidden="1" customHeight="1" x14ac:dyDescent="0.3">
      <c r="A120" s="142">
        <v>43774</v>
      </c>
      <c r="B120" s="50" t="s">
        <v>822</v>
      </c>
      <c r="C120" s="5">
        <v>2500000</v>
      </c>
      <c r="D120" s="5">
        <v>440687.5</v>
      </c>
      <c r="E120" s="5">
        <f>+IF(FINANCIACION[[#This Row],[$ CAPITAL]]&gt;=0,FINANCIACION[[#This Row],[$ CAPITAL]]+FINANCIACION[[#This Row],[$ INTERESES]],"")</f>
        <v>2940687.5</v>
      </c>
      <c r="F120" s="5">
        <f>+SUMIFS(FINANCIACION[$ CAPITAL],FINANCIACION[Fecha],"&lt;="&amp;FINANCIACION[[#This Row],[Fecha]],FINANCIACION[PRESTAMO],FINANCIACION[[#This Row],[PRESTAMO]])</f>
        <v>-33193157.710000001</v>
      </c>
      <c r="G120" s="7"/>
      <c r="H120" s="53"/>
      <c r="I120" s="5">
        <f>IF(FINANCIACION[[#This Row],[$ CAPITAL]]&gt;0,FINANCIACION[[#This Row],[$ CAPITAL]])</f>
        <v>2500000</v>
      </c>
      <c r="J120" s="8">
        <f>IF(FINANCIACION[[#This Row],[$ CAPITAL]]&gt;=0,FINANCIACION[[#This Row],[$ CAPITAL]]+FINANCIACION[[#This Row],[$ INTERESES]],0)</f>
        <v>2940687.5</v>
      </c>
    </row>
    <row r="121" spans="1:10" ht="24" hidden="1" customHeight="1" x14ac:dyDescent="0.3">
      <c r="A121" s="142">
        <v>43779</v>
      </c>
      <c r="B121" s="50" t="s">
        <v>819</v>
      </c>
      <c r="C121" s="5"/>
      <c r="D121" s="5">
        <v>950000</v>
      </c>
      <c r="E121" s="5">
        <f>+IF(FINANCIACION[[#This Row],[$ CAPITAL]]&gt;=0,FINANCIACION[[#This Row],[$ CAPITAL]]+FINANCIACION[[#This Row],[$ INTERESES]],"")</f>
        <v>950000</v>
      </c>
      <c r="F121" s="5">
        <f>+SUMIFS(FINANCIACION[$ CAPITAL],FINANCIACION[Fecha],"&lt;="&amp;FINANCIACION[[#This Row],[Fecha]],FINANCIACION[PRESTAMO],FINANCIACION[[#This Row],[PRESTAMO]])</f>
        <v>-94935167</v>
      </c>
      <c r="G121" s="7"/>
      <c r="H121" s="53"/>
      <c r="I121" s="5" t="b">
        <f>IF(FINANCIACION[[#This Row],[$ CAPITAL]]&gt;0,FINANCIACION[[#This Row],[$ CAPITAL]])</f>
        <v>0</v>
      </c>
      <c r="J121" s="8">
        <f>IF(FINANCIACION[[#This Row],[$ CAPITAL]]&gt;=0,FINANCIACION[[#This Row],[$ CAPITAL]]+FINANCIACION[[#This Row],[$ INTERESES]],0)</f>
        <v>950000</v>
      </c>
    </row>
    <row r="122" spans="1:10" ht="24" hidden="1" customHeight="1" x14ac:dyDescent="0.3">
      <c r="A122" s="142">
        <v>43781</v>
      </c>
      <c r="B122" s="50" t="s">
        <v>822</v>
      </c>
      <c r="C122" s="5">
        <v>2384506</v>
      </c>
      <c r="D122" s="5"/>
      <c r="E122" s="5">
        <f>+IF(FINANCIACION[[#This Row],[$ CAPITAL]]&gt;=0,FINANCIACION[[#This Row],[$ CAPITAL]]+FINANCIACION[[#This Row],[$ INTERESES]],"")</f>
        <v>2384506</v>
      </c>
      <c r="F122" s="5">
        <f>+SUMIFS(FINANCIACION[$ CAPITAL],FINANCIACION[Fecha],"&lt;="&amp;FINANCIACION[[#This Row],[Fecha]],FINANCIACION[PRESTAMO],FINANCIACION[[#This Row],[PRESTAMO]])</f>
        <v>-30808651.710000001</v>
      </c>
      <c r="G122" s="53"/>
      <c r="H122" s="53"/>
      <c r="I122" s="5">
        <f>IF(FINANCIACION[[#This Row],[$ CAPITAL]]&gt;0,FINANCIACION[[#This Row],[$ CAPITAL]])</f>
        <v>2384506</v>
      </c>
      <c r="J122" s="33">
        <f>IF(FINANCIACION[[#This Row],[$ CAPITAL]]&gt;=0,FINANCIACION[[#This Row],[$ CAPITAL]]+FINANCIACION[[#This Row],[$ INTERESES]],0)</f>
        <v>2384506</v>
      </c>
    </row>
    <row r="123" spans="1:10" ht="24" hidden="1" customHeight="1" x14ac:dyDescent="0.3">
      <c r="A123" s="142">
        <v>43783</v>
      </c>
      <c r="B123" s="50" t="s">
        <v>822</v>
      </c>
      <c r="C123" s="5">
        <v>-201556.42</v>
      </c>
      <c r="D123" s="5"/>
      <c r="E123" s="5" t="str">
        <f>+IF(FINANCIACION[[#This Row],[$ CAPITAL]]&gt;=0,FINANCIACION[[#This Row],[$ CAPITAL]]+FINANCIACION[[#This Row],[$ INTERESES]],"")</f>
        <v/>
      </c>
      <c r="F123" s="5">
        <f>+SUMIFS(FINANCIACION[$ CAPITAL],FINANCIACION[Fecha],"&lt;="&amp;FINANCIACION[[#This Row],[Fecha]],FINANCIACION[PRESTAMO],FINANCIACION[[#This Row],[PRESTAMO]])</f>
        <v>-31010208.130000003</v>
      </c>
      <c r="G123" s="53"/>
      <c r="H123" s="53"/>
      <c r="I123" s="5" t="b">
        <f>IF(FINANCIACION[[#This Row],[$ CAPITAL]]&gt;0,FINANCIACION[[#This Row],[$ CAPITAL]])</f>
        <v>0</v>
      </c>
      <c r="J123" s="33">
        <f>IF(FINANCIACION[[#This Row],[$ CAPITAL]]&gt;=0,FINANCIACION[[#This Row],[$ CAPITAL]]+FINANCIACION[[#This Row],[$ INTERESES]],0)</f>
        <v>0</v>
      </c>
    </row>
    <row r="124" spans="1:10" ht="24" hidden="1" customHeight="1" x14ac:dyDescent="0.3">
      <c r="A124" s="142">
        <v>43784</v>
      </c>
      <c r="B124" s="50" t="s">
        <v>822</v>
      </c>
      <c r="C124" s="5">
        <v>-202187.61</v>
      </c>
      <c r="D124" s="5"/>
      <c r="E124" s="5" t="str">
        <f>+IF(FINANCIACION[[#This Row],[$ CAPITAL]]&gt;=0,FINANCIACION[[#This Row],[$ CAPITAL]]+FINANCIACION[[#This Row],[$ INTERESES]],"")</f>
        <v/>
      </c>
      <c r="F124" s="5">
        <f>+SUMIFS(FINANCIACION[$ CAPITAL],FINANCIACION[Fecha],"&lt;="&amp;FINANCIACION[[#This Row],[Fecha]],FINANCIACION[PRESTAMO],FINANCIACION[[#This Row],[PRESTAMO]])</f>
        <v>-31212395.740000002</v>
      </c>
      <c r="G124" s="53"/>
      <c r="H124" s="53"/>
      <c r="I124" s="5" t="b">
        <f>IF(FINANCIACION[[#This Row],[$ CAPITAL]]&gt;0,FINANCIACION[[#This Row],[$ CAPITAL]])</f>
        <v>0</v>
      </c>
      <c r="J124" s="33">
        <f>IF(FINANCIACION[[#This Row],[$ CAPITAL]]&gt;=0,FINANCIACION[[#This Row],[$ CAPITAL]]+FINANCIACION[[#This Row],[$ INTERESES]],0)</f>
        <v>0</v>
      </c>
    </row>
    <row r="125" spans="1:10" ht="24" hidden="1" customHeight="1" x14ac:dyDescent="0.3">
      <c r="A125" s="142">
        <v>43786</v>
      </c>
      <c r="B125" s="50" t="s">
        <v>822</v>
      </c>
      <c r="C125" s="5">
        <v>-36552.420000000006</v>
      </c>
      <c r="D125" s="5"/>
      <c r="E125" s="5" t="str">
        <f>+IF(FINANCIACION[[#This Row],[$ CAPITAL]]&gt;=0,FINANCIACION[[#This Row],[$ CAPITAL]]+FINANCIACION[[#This Row],[$ INTERESES]],"")</f>
        <v/>
      </c>
      <c r="F125" s="5">
        <f>+SUMIFS(FINANCIACION[$ CAPITAL],FINANCIACION[Fecha],"&lt;="&amp;FINANCIACION[[#This Row],[Fecha]],FINANCIACION[PRESTAMO],FINANCIACION[[#This Row],[PRESTAMO]])</f>
        <v>-31248948.160000004</v>
      </c>
      <c r="G125" s="53"/>
      <c r="H125" s="53"/>
      <c r="I125" s="5" t="b">
        <f>IF(FINANCIACION[[#This Row],[$ CAPITAL]]&gt;0,FINANCIACION[[#This Row],[$ CAPITAL]])</f>
        <v>0</v>
      </c>
      <c r="J125" s="33">
        <f>IF(FINANCIACION[[#This Row],[$ CAPITAL]]&gt;=0,FINANCIACION[[#This Row],[$ CAPITAL]]+FINANCIACION[[#This Row],[$ INTERESES]],0)</f>
        <v>0</v>
      </c>
    </row>
    <row r="126" spans="1:10" ht="24" hidden="1" customHeight="1" x14ac:dyDescent="0.3">
      <c r="A126" s="142">
        <v>43787</v>
      </c>
      <c r="B126" s="50" t="s">
        <v>191</v>
      </c>
      <c r="C126" s="5">
        <v>6250000</v>
      </c>
      <c r="D126" s="5">
        <v>1114463.76</v>
      </c>
      <c r="E126" s="5">
        <f>+IF(FINANCIACION[[#This Row],[$ CAPITAL]]&gt;=0,FINANCIACION[[#This Row],[$ CAPITAL]]+FINANCIACION[[#This Row],[$ INTERESES]],"")</f>
        <v>7364463.7599999998</v>
      </c>
      <c r="F126" s="5">
        <f>+SUMIFS(FINANCIACION[$ CAPITAL],FINANCIACION[Fecha],"&lt;="&amp;FINANCIACION[[#This Row],[Fecha]],FINANCIACION[PRESTAMO],FINANCIACION[[#This Row],[PRESTAMO]])</f>
        <v>-118750000</v>
      </c>
      <c r="G126" s="53"/>
      <c r="H126" s="53"/>
      <c r="I126" s="5">
        <f>IF(FINANCIACION[[#This Row],[$ CAPITAL]]&gt;0,FINANCIACION[[#This Row],[$ CAPITAL]])</f>
        <v>6250000</v>
      </c>
      <c r="J126" s="33">
        <f>IF(FINANCIACION[[#This Row],[$ CAPITAL]]&gt;=0,FINANCIACION[[#This Row],[$ CAPITAL]]+FINANCIACION[[#This Row],[$ INTERESES]],0)</f>
        <v>7364463.7599999998</v>
      </c>
    </row>
    <row r="127" spans="1:10" ht="24" hidden="1" customHeight="1" x14ac:dyDescent="0.3">
      <c r="A127" s="142">
        <v>43787</v>
      </c>
      <c r="B127" s="50" t="s">
        <v>821</v>
      </c>
      <c r="C127" s="5">
        <v>1442047.66666667</v>
      </c>
      <c r="D127" s="5">
        <v>4639789.3333333302</v>
      </c>
      <c r="E127" s="5">
        <f>+IF(FINANCIACION[[#This Row],[$ CAPITAL]]&gt;=0,FINANCIACION[[#This Row],[$ CAPITAL]]+FINANCIACION[[#This Row],[$ INTERESES]],"")</f>
        <v>6081837</v>
      </c>
      <c r="F127" s="5">
        <f>+SUMIFS(FINANCIACION[$ CAPITAL],FINANCIACION[Fecha],"&lt;="&amp;FINANCIACION[[#This Row],[Fecha]],FINANCIACION[PRESTAMO],FINANCIACION[[#This Row],[PRESTAMO]])</f>
        <v>-366124473.36515146</v>
      </c>
      <c r="G127" s="53"/>
      <c r="H127" s="53"/>
      <c r="I127" s="5">
        <f>IF(FINANCIACION[[#This Row],[$ CAPITAL]]&gt;0,FINANCIACION[[#This Row],[$ CAPITAL]])</f>
        <v>1442047.66666667</v>
      </c>
      <c r="J127" s="33">
        <f>IF(FINANCIACION[[#This Row],[$ CAPITAL]]&gt;=0,FINANCIACION[[#This Row],[$ CAPITAL]]+FINANCIACION[[#This Row],[$ INTERESES]],0)</f>
        <v>6081837</v>
      </c>
    </row>
    <row r="128" spans="1:10" ht="24" hidden="1" customHeight="1" x14ac:dyDescent="0.3">
      <c r="A128" s="142">
        <v>43789</v>
      </c>
      <c r="B128" s="50" t="s">
        <v>820</v>
      </c>
      <c r="C128" s="5">
        <v>260000</v>
      </c>
      <c r="D128" s="5">
        <v>740000</v>
      </c>
      <c r="E128" s="5">
        <f>+IF(FINANCIACION[[#This Row],[$ CAPITAL]]&gt;=0,FINANCIACION[[#This Row],[$ CAPITAL]]+FINANCIACION[[#This Row],[$ INTERESES]],"")</f>
        <v>1000000</v>
      </c>
      <c r="F128" s="5">
        <f>+SUMIFS(FINANCIACION[$ CAPITAL],FINANCIACION[Fecha],"&lt;="&amp;FINANCIACION[[#This Row],[Fecha]],FINANCIACION[PRESTAMO],FINANCIACION[[#This Row],[PRESTAMO]])</f>
        <v>-58769154</v>
      </c>
      <c r="G128" s="53"/>
      <c r="H128" s="53"/>
      <c r="I128" s="5">
        <f>IF(FINANCIACION[[#This Row],[$ CAPITAL]]&gt;0,FINANCIACION[[#This Row],[$ CAPITAL]])</f>
        <v>260000</v>
      </c>
      <c r="J128" s="33">
        <f>IF(FINANCIACION[[#This Row],[$ CAPITAL]]&gt;=0,FINANCIACION[[#This Row],[$ CAPITAL]]+FINANCIACION[[#This Row],[$ INTERESES]],0)</f>
        <v>1000000</v>
      </c>
    </row>
    <row r="129" spans="1:10" ht="24" hidden="1" customHeight="1" x14ac:dyDescent="0.3">
      <c r="A129" s="142">
        <v>43791</v>
      </c>
      <c r="B129" s="50" t="s">
        <v>822</v>
      </c>
      <c r="C129" s="5">
        <v>-52091.23</v>
      </c>
      <c r="D129" s="5"/>
      <c r="E129" s="5" t="str">
        <f>+IF(FINANCIACION[[#This Row],[$ CAPITAL]]&gt;=0,FINANCIACION[[#This Row],[$ CAPITAL]]+FINANCIACION[[#This Row],[$ INTERESES]],"")</f>
        <v/>
      </c>
      <c r="F129" s="5">
        <f>+SUMIFS(FINANCIACION[$ CAPITAL],FINANCIACION[Fecha],"&lt;="&amp;FINANCIACION[[#This Row],[Fecha]],FINANCIACION[PRESTAMO],FINANCIACION[[#This Row],[PRESTAMO]])</f>
        <v>-31301039.390000004</v>
      </c>
      <c r="G129" s="53"/>
      <c r="H129" s="53"/>
      <c r="I129" s="5" t="b">
        <f>IF(FINANCIACION[[#This Row],[$ CAPITAL]]&gt;0,FINANCIACION[[#This Row],[$ CAPITAL]])</f>
        <v>0</v>
      </c>
      <c r="J129" s="33">
        <f>IF(FINANCIACION[[#This Row],[$ CAPITAL]]&gt;=0,FINANCIACION[[#This Row],[$ CAPITAL]]+FINANCIACION[[#This Row],[$ INTERESES]],0)</f>
        <v>0</v>
      </c>
    </row>
    <row r="130" spans="1:10" ht="24" hidden="1" customHeight="1" x14ac:dyDescent="0.3">
      <c r="A130" s="142">
        <v>43794</v>
      </c>
      <c r="B130" s="50" t="s">
        <v>187</v>
      </c>
      <c r="C130" s="5">
        <v>1250000</v>
      </c>
      <c r="D130" s="5">
        <v>1130711</v>
      </c>
      <c r="E130" s="5">
        <f>+IF(FINANCIACION[[#This Row],[$ CAPITAL]]&gt;=0,FINANCIACION[[#This Row],[$ CAPITAL]]+FINANCIACION[[#This Row],[$ INTERESES]],"")</f>
        <v>2380711</v>
      </c>
      <c r="F130" s="5">
        <f>+SUMIFS(FINANCIACION[$ CAPITAL],FINANCIACION[Fecha],"&lt;="&amp;FINANCIACION[[#This Row],[Fecha]],FINANCIACION[PRESTAMO],FINANCIACION[[#This Row],[PRESTAMO]])</f>
        <v>-21250000</v>
      </c>
      <c r="G130" s="53"/>
      <c r="H130" s="53"/>
      <c r="I130" s="5">
        <f>IF(FINANCIACION[[#This Row],[$ CAPITAL]]&gt;0,FINANCIACION[[#This Row],[$ CAPITAL]])</f>
        <v>1250000</v>
      </c>
      <c r="J130" s="33">
        <f>IF(FINANCIACION[[#This Row],[$ CAPITAL]]&gt;=0,FINANCIACION[[#This Row],[$ CAPITAL]]+FINANCIACION[[#This Row],[$ INTERESES]],0)</f>
        <v>2380711</v>
      </c>
    </row>
    <row r="131" spans="1:10" ht="24" hidden="1" customHeight="1" x14ac:dyDescent="0.3">
      <c r="A131" s="142">
        <v>43799</v>
      </c>
      <c r="B131" s="50" t="s">
        <v>823</v>
      </c>
      <c r="C131" s="5"/>
      <c r="D131" s="5">
        <v>840000</v>
      </c>
      <c r="E131" s="5">
        <f>+IF(FINANCIACION[[#This Row],[$ CAPITAL]]&gt;=0,FINANCIACION[[#This Row],[$ CAPITAL]]+FINANCIACION[[#This Row],[$ INTERESES]],"")</f>
        <v>840000</v>
      </c>
      <c r="F131" s="5">
        <f>+SUMIFS(FINANCIACION[$ CAPITAL],FINANCIACION[Fecha],"&lt;="&amp;FINANCIACION[[#This Row],[Fecha]],FINANCIACION[PRESTAMO],FINANCIACION[[#This Row],[PRESTAMO]])</f>
        <v>-84000000</v>
      </c>
      <c r="G131" s="53"/>
      <c r="H131" s="53"/>
      <c r="I131" s="5" t="b">
        <f>IF(FINANCIACION[[#This Row],[$ CAPITAL]]&gt;0,FINANCIACION[[#This Row],[$ CAPITAL]])</f>
        <v>0</v>
      </c>
      <c r="J131" s="33">
        <f>IF(FINANCIACION[[#This Row],[$ CAPITAL]]&gt;=0,FINANCIACION[[#This Row],[$ CAPITAL]]+FINANCIACION[[#This Row],[$ INTERESES]],0)</f>
        <v>840000</v>
      </c>
    </row>
    <row r="132" spans="1:10" ht="24" hidden="1" customHeight="1" x14ac:dyDescent="0.3">
      <c r="A132" s="142">
        <v>43799</v>
      </c>
      <c r="B132" s="50" t="s">
        <v>822</v>
      </c>
      <c r="C132" s="5">
        <v>104672.72000000067</v>
      </c>
      <c r="D132" s="5"/>
      <c r="E132" s="5">
        <f>+IF(FINANCIACION[[#This Row],[$ CAPITAL]]&gt;=0,FINANCIACION[[#This Row],[$ CAPITAL]]+FINANCIACION[[#This Row],[$ INTERESES]],"")</f>
        <v>104672.72000000067</v>
      </c>
      <c r="F132" s="5">
        <f>+SUMIFS(FINANCIACION[$ CAPITAL],FINANCIACION[Fecha],"&lt;="&amp;FINANCIACION[[#This Row],[Fecha]],FINANCIACION[PRESTAMO],FINANCIACION[[#This Row],[PRESTAMO]])</f>
        <v>-31196366.670000002</v>
      </c>
      <c r="G132" s="7"/>
      <c r="H132" s="53"/>
      <c r="I132" s="5">
        <f>IF(FINANCIACION[[#This Row],[$ CAPITAL]]&gt;0,FINANCIACION[[#This Row],[$ CAPITAL]])</f>
        <v>104672.72000000067</v>
      </c>
      <c r="J132" s="33">
        <f>IF(FINANCIACION[[#This Row],[$ CAPITAL]]&gt;=0,FINANCIACION[[#This Row],[$ CAPITAL]]+FINANCIACION[[#This Row],[$ INTERESES]],0)</f>
        <v>104672.72000000067</v>
      </c>
    </row>
    <row r="133" spans="1:10" ht="24" hidden="1" customHeight="1" x14ac:dyDescent="0.3">
      <c r="A133" s="142">
        <v>43801</v>
      </c>
      <c r="B133" s="50" t="s">
        <v>822</v>
      </c>
      <c r="C133" s="5">
        <v>2000000</v>
      </c>
      <c r="D133" s="5"/>
      <c r="E133" s="5">
        <f>+IF(FINANCIACION[[#This Row],[$ CAPITAL]]&gt;=0,FINANCIACION[[#This Row],[$ CAPITAL]]+FINANCIACION[[#This Row],[$ INTERESES]],"")</f>
        <v>2000000</v>
      </c>
      <c r="F133" s="5">
        <f>+SUMIFS(FINANCIACION[$ CAPITAL],FINANCIACION[Fecha],"&lt;="&amp;FINANCIACION[[#This Row],[Fecha]],FINANCIACION[PRESTAMO],FINANCIACION[[#This Row],[PRESTAMO]])</f>
        <v>-26683131.670000002</v>
      </c>
      <c r="G133" s="7"/>
      <c r="H133" s="53"/>
      <c r="I133" s="5">
        <f>IF(FINANCIACION[[#This Row],[$ CAPITAL]]&gt;0,FINANCIACION[[#This Row],[$ CAPITAL]])</f>
        <v>2000000</v>
      </c>
      <c r="J133" s="33">
        <f>IF(FINANCIACION[[#This Row],[$ CAPITAL]]&gt;=0,FINANCIACION[[#This Row],[$ CAPITAL]]+FINANCIACION[[#This Row],[$ INTERESES]],0)</f>
        <v>2000000</v>
      </c>
    </row>
    <row r="134" spans="1:10" ht="24" hidden="1" customHeight="1" x14ac:dyDescent="0.3">
      <c r="A134" s="142">
        <v>43801</v>
      </c>
      <c r="B134" s="50" t="s">
        <v>822</v>
      </c>
      <c r="C134" s="5">
        <v>2513235</v>
      </c>
      <c r="D134" s="5"/>
      <c r="E134" s="5">
        <f>+IF(FINANCIACION[[#This Row],[$ CAPITAL]]&gt;=0,FINANCIACION[[#This Row],[$ CAPITAL]]+FINANCIACION[[#This Row],[$ INTERESES]],"")</f>
        <v>2513235</v>
      </c>
      <c r="F134" s="5">
        <f>+SUMIFS(FINANCIACION[$ CAPITAL],FINANCIACION[Fecha],"&lt;="&amp;FINANCIACION[[#This Row],[Fecha]],FINANCIACION[PRESTAMO],FINANCIACION[[#This Row],[PRESTAMO]])</f>
        <v>-26683131.670000002</v>
      </c>
      <c r="G134" s="7"/>
      <c r="H134" s="53"/>
      <c r="I134" s="5">
        <f>IF(FINANCIACION[[#This Row],[$ CAPITAL]]&gt;0,FINANCIACION[[#This Row],[$ CAPITAL]])</f>
        <v>2513235</v>
      </c>
      <c r="J134" s="8">
        <f>IF(FINANCIACION[[#This Row],[$ CAPITAL]]&gt;=0,FINANCIACION[[#This Row],[$ CAPITAL]]+FINANCIACION[[#This Row],[$ INTERESES]],0)</f>
        <v>2513235</v>
      </c>
    </row>
    <row r="135" spans="1:10" ht="24" hidden="1" customHeight="1" x14ac:dyDescent="0.3">
      <c r="A135" s="142">
        <v>43802</v>
      </c>
      <c r="B135" s="50" t="s">
        <v>188</v>
      </c>
      <c r="C135" s="5">
        <v>3472222</v>
      </c>
      <c r="D135" s="5">
        <v>979318</v>
      </c>
      <c r="E135" s="5">
        <f>+IF(FINANCIACION[[#This Row],[$ CAPITAL]]&gt;=0,FINANCIACION[[#This Row],[$ CAPITAL]]+FINANCIACION[[#This Row],[$ INTERESES]],"")</f>
        <v>4451540</v>
      </c>
      <c r="F135" s="5">
        <f>+SUMIFS(FINANCIACION[$ CAPITAL],FINANCIACION[Fecha],"&lt;="&amp;FINANCIACION[[#This Row],[Fecha]],FINANCIACION[PRESTAMO],FINANCIACION[[#This Row],[PRESTAMO]])</f>
        <v>-86805558</v>
      </c>
      <c r="G135" s="53"/>
      <c r="H135" s="53"/>
      <c r="I135" s="5">
        <f>IF(FINANCIACION[[#This Row],[$ CAPITAL]]&gt;0,FINANCIACION[[#This Row],[$ CAPITAL]])</f>
        <v>3472222</v>
      </c>
      <c r="J135" s="33">
        <f>IF(FINANCIACION[[#This Row],[$ CAPITAL]]&gt;=0,FINANCIACION[[#This Row],[$ CAPITAL]]+FINANCIACION[[#This Row],[$ INTERESES]],0)</f>
        <v>4451540</v>
      </c>
    </row>
    <row r="136" spans="1:10" ht="24" hidden="1" customHeight="1" x14ac:dyDescent="0.3">
      <c r="A136" s="142">
        <v>43802</v>
      </c>
      <c r="B136" s="50" t="s">
        <v>822</v>
      </c>
      <c r="C136" s="5">
        <v>-1222427.73</v>
      </c>
      <c r="D136" s="5"/>
      <c r="E136" s="5" t="str">
        <f>+IF(FINANCIACION[[#This Row],[$ CAPITAL]]&gt;=0,FINANCIACION[[#This Row],[$ CAPITAL]]+FINANCIACION[[#This Row],[$ INTERESES]],"")</f>
        <v/>
      </c>
      <c r="F136" s="5">
        <f>+SUMIFS(FINANCIACION[$ CAPITAL],FINANCIACION[Fecha],"&lt;="&amp;FINANCIACION[[#This Row],[Fecha]],FINANCIACION[PRESTAMO],FINANCIACION[[#This Row],[PRESTAMO]])</f>
        <v>-19405559.400000002</v>
      </c>
      <c r="G136" s="53"/>
      <c r="H136" s="53"/>
      <c r="I136" s="5" t="b">
        <f>IF(FINANCIACION[[#This Row],[$ CAPITAL]]&gt;0,FINANCIACION[[#This Row],[$ CAPITAL]])</f>
        <v>0</v>
      </c>
      <c r="J136" s="33">
        <f>IF(FINANCIACION[[#This Row],[$ CAPITAL]]&gt;=0,FINANCIACION[[#This Row],[$ CAPITAL]]+FINANCIACION[[#This Row],[$ INTERESES]],0)</f>
        <v>0</v>
      </c>
    </row>
    <row r="137" spans="1:10" ht="24" hidden="1" customHeight="1" x14ac:dyDescent="0.3">
      <c r="A137" s="142">
        <v>43802</v>
      </c>
      <c r="B137" s="50" t="s">
        <v>822</v>
      </c>
      <c r="C137" s="5">
        <v>8500000</v>
      </c>
      <c r="D137" s="5"/>
      <c r="E137" s="5">
        <f>+IF(FINANCIACION[[#This Row],[$ CAPITAL]]&gt;=0,FINANCIACION[[#This Row],[$ CAPITAL]]+FINANCIACION[[#This Row],[$ INTERESES]],"")</f>
        <v>8500000</v>
      </c>
      <c r="F137" s="5">
        <f>+SUMIFS(FINANCIACION[$ CAPITAL],FINANCIACION[Fecha],"&lt;="&amp;FINANCIACION[[#This Row],[Fecha]],FINANCIACION[PRESTAMO],FINANCIACION[[#This Row],[PRESTAMO]])</f>
        <v>-19405559.400000002</v>
      </c>
      <c r="G137" s="53"/>
      <c r="H137" s="53"/>
      <c r="I137" s="5">
        <f>IF(FINANCIACION[[#This Row],[$ CAPITAL]]&gt;0,FINANCIACION[[#This Row],[$ CAPITAL]])</f>
        <v>8500000</v>
      </c>
      <c r="J137" s="33">
        <f>IF(FINANCIACION[[#This Row],[$ CAPITAL]]&gt;=0,FINANCIACION[[#This Row],[$ CAPITAL]]+FINANCIACION[[#This Row],[$ INTERESES]],0)</f>
        <v>8500000</v>
      </c>
    </row>
    <row r="138" spans="1:10" ht="24" hidden="1" customHeight="1" x14ac:dyDescent="0.3">
      <c r="A138" s="142">
        <v>43803</v>
      </c>
      <c r="B138" s="50" t="s">
        <v>822</v>
      </c>
      <c r="C138" s="5">
        <v>2500000</v>
      </c>
      <c r="D138" s="5">
        <v>411308.33000000007</v>
      </c>
      <c r="E138" s="5">
        <f>+IF(FINANCIACION[[#This Row],[$ CAPITAL]]&gt;=0,FINANCIACION[[#This Row],[$ CAPITAL]]+FINANCIACION[[#This Row],[$ INTERESES]],"")</f>
        <v>2911308.33</v>
      </c>
      <c r="F138" s="5">
        <f>+SUMIFS(FINANCIACION[$ CAPITAL],FINANCIACION[Fecha],"&lt;="&amp;FINANCIACION[[#This Row],[Fecha]],FINANCIACION[PRESTAMO],FINANCIACION[[#This Row],[PRESTAMO]])</f>
        <v>-17478237.280000001</v>
      </c>
      <c r="G138" s="53"/>
      <c r="H138" s="53"/>
      <c r="I138" s="5">
        <f>IF(FINANCIACION[[#This Row],[$ CAPITAL]]&gt;0,FINANCIACION[[#This Row],[$ CAPITAL]])</f>
        <v>2500000</v>
      </c>
      <c r="J138" s="33">
        <f>IF(FINANCIACION[[#This Row],[$ CAPITAL]]&gt;=0,FINANCIACION[[#This Row],[$ CAPITAL]]+FINANCIACION[[#This Row],[$ INTERESES]],0)</f>
        <v>2911308.33</v>
      </c>
    </row>
    <row r="139" spans="1:10" ht="24" hidden="1" customHeight="1" x14ac:dyDescent="0.3">
      <c r="A139" s="142">
        <v>43803</v>
      </c>
      <c r="B139" s="50" t="s">
        <v>822</v>
      </c>
      <c r="C139" s="5">
        <v>-572677.88</v>
      </c>
      <c r="D139" s="5"/>
      <c r="E139" s="5" t="str">
        <f>+IF(FINANCIACION[[#This Row],[$ CAPITAL]]&gt;=0,FINANCIACION[[#This Row],[$ CAPITAL]]+FINANCIACION[[#This Row],[$ INTERESES]],"")</f>
        <v/>
      </c>
      <c r="F139" s="5">
        <f>+SUMIFS(FINANCIACION[$ CAPITAL],FINANCIACION[Fecha],"&lt;="&amp;FINANCIACION[[#This Row],[Fecha]],FINANCIACION[PRESTAMO],FINANCIACION[[#This Row],[PRESTAMO]])</f>
        <v>-17478237.280000001</v>
      </c>
      <c r="G139" s="53"/>
      <c r="H139" s="53"/>
      <c r="I139" s="5" t="b">
        <f>IF(FINANCIACION[[#This Row],[$ CAPITAL]]&gt;0,FINANCIACION[[#This Row],[$ CAPITAL]])</f>
        <v>0</v>
      </c>
      <c r="J139" s="33">
        <f>IF(FINANCIACION[[#This Row],[$ CAPITAL]]&gt;=0,FINANCIACION[[#This Row],[$ CAPITAL]]+FINANCIACION[[#This Row],[$ INTERESES]],0)</f>
        <v>0</v>
      </c>
    </row>
    <row r="140" spans="1:10" ht="24" hidden="1" customHeight="1" x14ac:dyDescent="0.3">
      <c r="A140" s="142">
        <v>43804</v>
      </c>
      <c r="B140" s="50" t="s">
        <v>822</v>
      </c>
      <c r="C140" s="5">
        <v>-961006.19</v>
      </c>
      <c r="D140" s="5"/>
      <c r="E140" s="5" t="str">
        <f>+IF(FINANCIACION[[#This Row],[$ CAPITAL]]&gt;=0,FINANCIACION[[#This Row],[$ CAPITAL]]+FINANCIACION[[#This Row],[$ INTERESES]],"")</f>
        <v/>
      </c>
      <c r="F140" s="5">
        <f>+SUMIFS(FINANCIACION[$ CAPITAL],FINANCIACION[Fecha],"&lt;="&amp;FINANCIACION[[#This Row],[Fecha]],FINANCIACION[PRESTAMO],FINANCIACION[[#This Row],[PRESTAMO]])</f>
        <v>-18439243.470000003</v>
      </c>
      <c r="G140" s="53"/>
      <c r="H140" s="53"/>
      <c r="I140" s="5" t="b">
        <f>IF(FINANCIACION[[#This Row],[$ CAPITAL]]&gt;0,FINANCIACION[[#This Row],[$ CAPITAL]])</f>
        <v>0</v>
      </c>
      <c r="J140" s="33">
        <f>IF(FINANCIACION[[#This Row],[$ CAPITAL]]&gt;=0,FINANCIACION[[#This Row],[$ CAPITAL]]+FINANCIACION[[#This Row],[$ INTERESES]],0)</f>
        <v>0</v>
      </c>
    </row>
    <row r="141" spans="1:10" ht="24" hidden="1" customHeight="1" x14ac:dyDescent="0.3">
      <c r="A141" s="142">
        <v>43805</v>
      </c>
      <c r="B141" s="50" t="s">
        <v>820</v>
      </c>
      <c r="C141" s="5">
        <v>-9000000</v>
      </c>
      <c r="D141" s="5"/>
      <c r="E141" s="5" t="str">
        <f>+IF(FINANCIACION[[#This Row],[$ CAPITAL]]&gt;=0,FINANCIACION[[#This Row],[$ CAPITAL]]+FINANCIACION[[#This Row],[$ INTERESES]],"")</f>
        <v/>
      </c>
      <c r="F141" s="5">
        <f>+SUMIFS(FINANCIACION[$ CAPITAL],FINANCIACION[Fecha],"&lt;="&amp;FINANCIACION[[#This Row],[Fecha]],FINANCIACION[PRESTAMO],FINANCIACION[[#This Row],[PRESTAMO]])</f>
        <v>-67769154</v>
      </c>
      <c r="G141" s="53"/>
      <c r="H141" s="53"/>
      <c r="I141" s="5" t="b">
        <f>IF(FINANCIACION[[#This Row],[$ CAPITAL]]&gt;0,FINANCIACION[[#This Row],[$ CAPITAL]])</f>
        <v>0</v>
      </c>
      <c r="J141" s="33">
        <f>IF(FINANCIACION[[#This Row],[$ CAPITAL]]&gt;=0,FINANCIACION[[#This Row],[$ CAPITAL]]+FINANCIACION[[#This Row],[$ INTERESES]],0)</f>
        <v>0</v>
      </c>
    </row>
    <row r="142" spans="1:10" ht="24" hidden="1" customHeight="1" x14ac:dyDescent="0.3">
      <c r="A142" s="142">
        <v>43805</v>
      </c>
      <c r="B142" s="50" t="s">
        <v>191</v>
      </c>
      <c r="C142" s="5">
        <v>-31250000</v>
      </c>
      <c r="D142" s="5"/>
      <c r="E142" s="5" t="str">
        <f>+IF(FINANCIACION[[#This Row],[$ CAPITAL]]&gt;=0,FINANCIACION[[#This Row],[$ CAPITAL]]+FINANCIACION[[#This Row],[$ INTERESES]],"")</f>
        <v/>
      </c>
      <c r="F142" s="5">
        <f>+SUMIFS(FINANCIACION[$ CAPITAL],FINANCIACION[Fecha],"&lt;="&amp;FINANCIACION[[#This Row],[Fecha]],FINANCIACION[PRESTAMO],FINANCIACION[[#This Row],[PRESTAMO]])</f>
        <v>-150000000</v>
      </c>
      <c r="G142" s="53"/>
      <c r="H142" s="53"/>
      <c r="I142" s="5" t="b">
        <f>IF(FINANCIACION[[#This Row],[$ CAPITAL]]&gt;0,FINANCIACION[[#This Row],[$ CAPITAL]])</f>
        <v>0</v>
      </c>
      <c r="J142" s="33">
        <f>IF(FINANCIACION[[#This Row],[$ CAPITAL]]&gt;=0,FINANCIACION[[#This Row],[$ CAPITAL]]+FINANCIACION[[#This Row],[$ INTERESES]],0)</f>
        <v>0</v>
      </c>
    </row>
    <row r="143" spans="1:10" ht="24" hidden="1" customHeight="1" x14ac:dyDescent="0.3">
      <c r="A143" s="142">
        <v>43805</v>
      </c>
      <c r="B143" s="50" t="s">
        <v>822</v>
      </c>
      <c r="C143" s="5">
        <v>-87634.19</v>
      </c>
      <c r="D143" s="5"/>
      <c r="E143" s="5" t="str">
        <f>+IF(FINANCIACION[[#This Row],[$ CAPITAL]]&gt;=0,FINANCIACION[[#This Row],[$ CAPITAL]]+FINANCIACION[[#This Row],[$ INTERESES]],"")</f>
        <v/>
      </c>
      <c r="F143" s="5">
        <f>+SUMIFS(FINANCIACION[$ CAPITAL],FINANCIACION[Fecha],"&lt;="&amp;FINANCIACION[[#This Row],[Fecha]],FINANCIACION[PRESTAMO],FINANCIACION[[#This Row],[PRESTAMO]])</f>
        <v>-18526877.660000004</v>
      </c>
      <c r="G143" s="7"/>
      <c r="H143" s="53"/>
      <c r="I143" s="5" t="b">
        <f>IF(FINANCIACION[[#This Row],[$ CAPITAL]]&gt;0,FINANCIACION[[#This Row],[$ CAPITAL]])</f>
        <v>0</v>
      </c>
      <c r="J143" s="33">
        <f>IF(FINANCIACION[[#This Row],[$ CAPITAL]]&gt;=0,FINANCIACION[[#This Row],[$ CAPITAL]]+FINANCIACION[[#This Row],[$ INTERESES]],0)</f>
        <v>0</v>
      </c>
    </row>
    <row r="144" spans="1:10" ht="24" hidden="1" customHeight="1" x14ac:dyDescent="0.3">
      <c r="A144" s="142">
        <v>43809</v>
      </c>
      <c r="B144" s="50" t="s">
        <v>819</v>
      </c>
      <c r="C144" s="5"/>
      <c r="D144" s="5">
        <v>950000</v>
      </c>
      <c r="E144" s="5">
        <f>+IF(FINANCIACION[[#This Row],[$ CAPITAL]]&gt;=0,FINANCIACION[[#This Row],[$ CAPITAL]]+FINANCIACION[[#This Row],[$ INTERESES]],"")</f>
        <v>950000</v>
      </c>
      <c r="F144" s="5">
        <f>+SUMIFS(FINANCIACION[$ CAPITAL],FINANCIACION[Fecha],"&lt;="&amp;FINANCIACION[[#This Row],[Fecha]],FINANCIACION[PRESTAMO],FINANCIACION[[#This Row],[PRESTAMO]])</f>
        <v>-94935167</v>
      </c>
      <c r="G144" s="7"/>
      <c r="H144" s="53"/>
      <c r="I144" s="5" t="b">
        <f>IF(FINANCIACION[[#This Row],[$ CAPITAL]]&gt;0,FINANCIACION[[#This Row],[$ CAPITAL]])</f>
        <v>0</v>
      </c>
      <c r="J144" s="33">
        <f>IF(FINANCIACION[[#This Row],[$ CAPITAL]]&gt;=0,FINANCIACION[[#This Row],[$ CAPITAL]]+FINANCIACION[[#This Row],[$ INTERESES]],0)</f>
        <v>950000</v>
      </c>
    </row>
    <row r="145" spans="1:10" ht="24" hidden="1" customHeight="1" x14ac:dyDescent="0.3">
      <c r="A145" s="142">
        <v>43809</v>
      </c>
      <c r="B145" s="50" t="s">
        <v>188</v>
      </c>
      <c r="C145" s="5">
        <v>42000000</v>
      </c>
      <c r="D145" s="5"/>
      <c r="E145" s="5">
        <f>+IF(FINANCIACION[[#This Row],[$ CAPITAL]]&gt;=0,FINANCIACION[[#This Row],[$ CAPITAL]]+FINANCIACION[[#This Row],[$ INTERESES]],"")</f>
        <v>42000000</v>
      </c>
      <c r="F145" s="5">
        <f>+SUMIFS(FINANCIACION[$ CAPITAL],FINANCIACION[Fecha],"&lt;="&amp;FINANCIACION[[#This Row],[Fecha]],FINANCIACION[PRESTAMO],FINANCIACION[[#This Row],[PRESTAMO]])</f>
        <v>-44805558</v>
      </c>
      <c r="G145" s="7"/>
      <c r="H145" s="53"/>
      <c r="I145" s="5">
        <f>IF(FINANCIACION[[#This Row],[$ CAPITAL]]&gt;0,FINANCIACION[[#This Row],[$ CAPITAL]])</f>
        <v>42000000</v>
      </c>
      <c r="J145" s="33">
        <f>IF(FINANCIACION[[#This Row],[$ CAPITAL]]&gt;=0,FINANCIACION[[#This Row],[$ CAPITAL]]+FINANCIACION[[#This Row],[$ INTERESES]],0)</f>
        <v>42000000</v>
      </c>
    </row>
    <row r="146" spans="1:10" ht="24" hidden="1" customHeight="1" x14ac:dyDescent="0.3">
      <c r="A146" s="142">
        <v>43809</v>
      </c>
      <c r="B146" s="50" t="s">
        <v>822</v>
      </c>
      <c r="C146" s="5">
        <v>-875903.97</v>
      </c>
      <c r="D146" s="5"/>
      <c r="E146" s="5" t="str">
        <f>+IF(FINANCIACION[[#This Row],[$ CAPITAL]]&gt;=0,FINANCIACION[[#This Row],[$ CAPITAL]]+FINANCIACION[[#This Row],[$ INTERESES]],"")</f>
        <v/>
      </c>
      <c r="F146" s="5">
        <f>+SUMIFS(FINANCIACION[$ CAPITAL],FINANCIACION[Fecha],"&lt;="&amp;FINANCIACION[[#This Row],[Fecha]],FINANCIACION[PRESTAMO],FINANCIACION[[#This Row],[PRESTAMO]])</f>
        <v>-24930475.09</v>
      </c>
      <c r="G146" s="7"/>
      <c r="H146" s="53"/>
      <c r="I146" s="5" t="b">
        <f>IF(FINANCIACION[[#This Row],[$ CAPITAL]]&gt;0,FINANCIACION[[#This Row],[$ CAPITAL]])</f>
        <v>0</v>
      </c>
      <c r="J146" s="33">
        <f>IF(FINANCIACION[[#This Row],[$ CAPITAL]]&gt;=0,FINANCIACION[[#This Row],[$ CAPITAL]]+FINANCIACION[[#This Row],[$ INTERESES]],0)</f>
        <v>0</v>
      </c>
    </row>
    <row r="147" spans="1:10" ht="24" hidden="1" customHeight="1" x14ac:dyDescent="0.3">
      <c r="A147" s="142">
        <v>43809</v>
      </c>
      <c r="B147" s="50" t="s">
        <v>822</v>
      </c>
      <c r="C147" s="5">
        <v>-322754.74</v>
      </c>
      <c r="D147" s="5"/>
      <c r="E147" s="5" t="str">
        <f>+IF(FINANCIACION[[#This Row],[$ CAPITAL]]&gt;=0,FINANCIACION[[#This Row],[$ CAPITAL]]+FINANCIACION[[#This Row],[$ INTERESES]],"")</f>
        <v/>
      </c>
      <c r="F147" s="5">
        <f>+SUMIFS(FINANCIACION[$ CAPITAL],FINANCIACION[Fecha],"&lt;="&amp;FINANCIACION[[#This Row],[Fecha]],FINANCIACION[PRESTAMO],FINANCIACION[[#This Row],[PRESTAMO]])</f>
        <v>-24930475.09</v>
      </c>
      <c r="G147" s="7"/>
      <c r="H147" s="53"/>
      <c r="I147" s="5" t="b">
        <f>IF(FINANCIACION[[#This Row],[$ CAPITAL]]&gt;0,FINANCIACION[[#This Row],[$ CAPITAL]])</f>
        <v>0</v>
      </c>
      <c r="J147" s="33">
        <f>IF(FINANCIACION[[#This Row],[$ CAPITAL]]&gt;=0,FINANCIACION[[#This Row],[$ CAPITAL]]+FINANCIACION[[#This Row],[$ INTERESES]],0)</f>
        <v>0</v>
      </c>
    </row>
    <row r="148" spans="1:10" ht="24" hidden="1" customHeight="1" x14ac:dyDescent="0.3">
      <c r="A148" s="142">
        <v>43809</v>
      </c>
      <c r="B148" s="50" t="s">
        <v>822</v>
      </c>
      <c r="C148" s="5">
        <v>-69021.289999999994</v>
      </c>
      <c r="D148" s="5"/>
      <c r="E148" s="5" t="str">
        <f>+IF(FINANCIACION[[#This Row],[$ CAPITAL]]&gt;=0,FINANCIACION[[#This Row],[$ CAPITAL]]+FINANCIACION[[#This Row],[$ INTERESES]],"")</f>
        <v/>
      </c>
      <c r="F148" s="5">
        <f>+SUMIFS(FINANCIACION[$ CAPITAL],FINANCIACION[Fecha],"&lt;="&amp;FINANCIACION[[#This Row],[Fecha]],FINANCIACION[PRESTAMO],FINANCIACION[[#This Row],[PRESTAMO]])</f>
        <v>-24930475.09</v>
      </c>
      <c r="G148" s="7"/>
      <c r="H148" s="53"/>
      <c r="I148" s="5" t="b">
        <f>IF(FINANCIACION[[#This Row],[$ CAPITAL]]&gt;0,FINANCIACION[[#This Row],[$ CAPITAL]])</f>
        <v>0</v>
      </c>
      <c r="J148" s="33">
        <f>IF(FINANCIACION[[#This Row],[$ CAPITAL]]&gt;=0,FINANCIACION[[#This Row],[$ CAPITAL]]+FINANCIACION[[#This Row],[$ INTERESES]],0)</f>
        <v>0</v>
      </c>
    </row>
    <row r="149" spans="1:10" ht="24" hidden="1" customHeight="1" x14ac:dyDescent="0.3">
      <c r="A149" s="142">
        <v>43809</v>
      </c>
      <c r="B149" s="50" t="s">
        <v>822</v>
      </c>
      <c r="C149" s="5">
        <v>-82794.81</v>
      </c>
      <c r="D149" s="5"/>
      <c r="E149" s="5" t="str">
        <f>+IF(FINANCIACION[[#This Row],[$ CAPITAL]]&gt;=0,FINANCIACION[[#This Row],[$ CAPITAL]]+FINANCIACION[[#This Row],[$ INTERESES]],"")</f>
        <v/>
      </c>
      <c r="F149" s="5">
        <f>+SUMIFS(FINANCIACION[$ CAPITAL],FINANCIACION[Fecha],"&lt;="&amp;FINANCIACION[[#This Row],[Fecha]],FINANCIACION[PRESTAMO],FINANCIACION[[#This Row],[PRESTAMO]])</f>
        <v>-24930475.09</v>
      </c>
      <c r="G149" s="7"/>
      <c r="H149" s="53"/>
      <c r="I149" s="5" t="b">
        <f>IF(FINANCIACION[[#This Row],[$ CAPITAL]]&gt;0,FINANCIACION[[#This Row],[$ CAPITAL]])</f>
        <v>0</v>
      </c>
      <c r="J149" s="33">
        <f>IF(FINANCIACION[[#This Row],[$ CAPITAL]]&gt;=0,FINANCIACION[[#This Row],[$ CAPITAL]]+FINANCIACION[[#This Row],[$ INTERESES]],0)</f>
        <v>0</v>
      </c>
    </row>
    <row r="150" spans="1:10" ht="24" hidden="1" customHeight="1" x14ac:dyDescent="0.3">
      <c r="A150" s="142">
        <v>43809</v>
      </c>
      <c r="B150" s="50" t="s">
        <v>822</v>
      </c>
      <c r="C150" s="5">
        <v>-57245.120000000003</v>
      </c>
      <c r="D150" s="5"/>
      <c r="E150" s="5" t="str">
        <f>+IF(FINANCIACION[[#This Row],[$ CAPITAL]]&gt;=0,FINANCIACION[[#This Row],[$ CAPITAL]]+FINANCIACION[[#This Row],[$ INTERESES]],"")</f>
        <v/>
      </c>
      <c r="F150" s="5">
        <f>+SUMIFS(FINANCIACION[$ CAPITAL],FINANCIACION[Fecha],"&lt;="&amp;FINANCIACION[[#This Row],[Fecha]],FINANCIACION[PRESTAMO],FINANCIACION[[#This Row],[PRESTAMO]])</f>
        <v>-24930475.09</v>
      </c>
      <c r="G150" s="7"/>
      <c r="H150" s="53"/>
      <c r="I150" s="5" t="b">
        <f>IF(FINANCIACION[[#This Row],[$ CAPITAL]]&gt;0,FINANCIACION[[#This Row],[$ CAPITAL]])</f>
        <v>0</v>
      </c>
      <c r="J150" s="33">
        <f>IF(FINANCIACION[[#This Row],[$ CAPITAL]]&gt;=0,FINANCIACION[[#This Row],[$ CAPITAL]]+FINANCIACION[[#This Row],[$ INTERESES]],0)</f>
        <v>0</v>
      </c>
    </row>
    <row r="151" spans="1:10" ht="24" hidden="1" customHeight="1" x14ac:dyDescent="0.3">
      <c r="A151" s="142">
        <v>43809</v>
      </c>
      <c r="B151" s="50" t="s">
        <v>822</v>
      </c>
      <c r="C151" s="5">
        <v>-4995877.5</v>
      </c>
      <c r="D151" s="5"/>
      <c r="E151" s="5" t="str">
        <f>+IF(FINANCIACION[[#This Row],[$ CAPITAL]]&gt;=0,FINANCIACION[[#This Row],[$ CAPITAL]]+FINANCIACION[[#This Row],[$ INTERESES]],"")</f>
        <v/>
      </c>
      <c r="F151" s="5">
        <f>+SUMIFS(FINANCIACION[$ CAPITAL],FINANCIACION[Fecha],"&lt;="&amp;FINANCIACION[[#This Row],[Fecha]],FINANCIACION[PRESTAMO],FINANCIACION[[#This Row],[PRESTAMO]])</f>
        <v>-24930475.09</v>
      </c>
      <c r="G151" s="7"/>
      <c r="H151" s="53"/>
      <c r="I151" s="5" t="b">
        <f>IF(FINANCIACION[[#This Row],[$ CAPITAL]]&gt;0,FINANCIACION[[#This Row],[$ CAPITAL]])</f>
        <v>0</v>
      </c>
      <c r="J151" s="33">
        <f>IF(FINANCIACION[[#This Row],[$ CAPITAL]]&gt;=0,FINANCIACION[[#This Row],[$ CAPITAL]]+FINANCIACION[[#This Row],[$ INTERESES]],0)</f>
        <v>0</v>
      </c>
    </row>
    <row r="152" spans="1:10" ht="24" hidden="1" customHeight="1" x14ac:dyDescent="0.3">
      <c r="A152" s="142">
        <v>43810</v>
      </c>
      <c r="B152" s="50" t="s">
        <v>822</v>
      </c>
      <c r="C152" s="5">
        <v>-6179068.2499999898</v>
      </c>
      <c r="D152" s="5"/>
      <c r="E152" s="5" t="str">
        <f>+IF(FINANCIACION[[#This Row],[$ CAPITAL]]&gt;=0,FINANCIACION[[#This Row],[$ CAPITAL]]+FINANCIACION[[#This Row],[$ INTERESES]],"")</f>
        <v/>
      </c>
      <c r="F152" s="5">
        <f>+SUMIFS(FINANCIACION[$ CAPITAL],FINANCIACION[Fecha],"&lt;="&amp;FINANCIACION[[#This Row],[Fecha]],FINANCIACION[PRESTAMO],FINANCIACION[[#This Row],[PRESTAMO]])</f>
        <v>-31109543.339999989</v>
      </c>
      <c r="G152" s="7"/>
      <c r="H152" s="53"/>
      <c r="I152" s="5" t="b">
        <f>IF(FINANCIACION[[#This Row],[$ CAPITAL]]&gt;0,FINANCIACION[[#This Row],[$ CAPITAL]])</f>
        <v>0</v>
      </c>
      <c r="J152" s="33">
        <f>IF(FINANCIACION[[#This Row],[$ CAPITAL]]&gt;=0,FINANCIACION[[#This Row],[$ CAPITAL]]+FINANCIACION[[#This Row],[$ INTERESES]],0)</f>
        <v>0</v>
      </c>
    </row>
    <row r="153" spans="1:10" ht="24" hidden="1" customHeight="1" x14ac:dyDescent="0.3">
      <c r="A153" s="142">
        <v>43811</v>
      </c>
      <c r="B153" s="50" t="s">
        <v>822</v>
      </c>
      <c r="C153" s="5">
        <v>7000000</v>
      </c>
      <c r="D153" s="5"/>
      <c r="E153" s="5">
        <f>+IF(FINANCIACION[[#This Row],[$ CAPITAL]]&gt;=0,FINANCIACION[[#This Row],[$ CAPITAL]]+FINANCIACION[[#This Row],[$ INTERESES]],"")</f>
        <v>7000000</v>
      </c>
      <c r="F153" s="5">
        <f>+SUMIFS(FINANCIACION[$ CAPITAL],FINANCIACION[Fecha],"&lt;="&amp;FINANCIACION[[#This Row],[Fecha]],FINANCIACION[PRESTAMO],FINANCIACION[[#This Row],[PRESTAMO]])</f>
        <v>-29858218.229999989</v>
      </c>
      <c r="G153" s="7"/>
      <c r="H153" s="53"/>
      <c r="I153" s="5">
        <f>IF(FINANCIACION[[#This Row],[$ CAPITAL]]&gt;0,FINANCIACION[[#This Row],[$ CAPITAL]])</f>
        <v>7000000</v>
      </c>
      <c r="J153" s="33">
        <f>IF(FINANCIACION[[#This Row],[$ CAPITAL]]&gt;=0,FINANCIACION[[#This Row],[$ CAPITAL]]+FINANCIACION[[#This Row],[$ INTERESES]],0)</f>
        <v>7000000</v>
      </c>
    </row>
    <row r="154" spans="1:10" ht="24" hidden="1" customHeight="1" x14ac:dyDescent="0.3">
      <c r="A154" s="142">
        <v>43811</v>
      </c>
      <c r="B154" s="50" t="s">
        <v>822</v>
      </c>
      <c r="C154" s="5">
        <v>-5748674.8899999997</v>
      </c>
      <c r="D154" s="5"/>
      <c r="E154" s="5" t="str">
        <f>+IF(FINANCIACION[[#This Row],[$ CAPITAL]]&gt;=0,FINANCIACION[[#This Row],[$ CAPITAL]]+FINANCIACION[[#This Row],[$ INTERESES]],"")</f>
        <v/>
      </c>
      <c r="F154" s="5">
        <f>+SUMIFS(FINANCIACION[$ CAPITAL],FINANCIACION[Fecha],"&lt;="&amp;FINANCIACION[[#This Row],[Fecha]],FINANCIACION[PRESTAMO],FINANCIACION[[#This Row],[PRESTAMO]])</f>
        <v>-29858218.229999989</v>
      </c>
      <c r="G154" s="7"/>
      <c r="H154" s="53"/>
      <c r="I154" s="5" t="b">
        <f>IF(FINANCIACION[[#This Row],[$ CAPITAL]]&gt;0,FINANCIACION[[#This Row],[$ CAPITAL]])</f>
        <v>0</v>
      </c>
      <c r="J154" s="33">
        <f>IF(FINANCIACION[[#This Row],[$ CAPITAL]]&gt;=0,FINANCIACION[[#This Row],[$ CAPITAL]]+FINANCIACION[[#This Row],[$ INTERESES]],0)</f>
        <v>0</v>
      </c>
    </row>
    <row r="155" spans="1:10" ht="24" hidden="1" customHeight="1" x14ac:dyDescent="0.3">
      <c r="A155" s="142">
        <v>43817</v>
      </c>
      <c r="B155" s="50" t="s">
        <v>821</v>
      </c>
      <c r="C155" s="5">
        <v>1459836.82424242</v>
      </c>
      <c r="D155" s="5">
        <v>4622000.1757575795</v>
      </c>
      <c r="E155" s="5">
        <f>+IF(FINANCIACION[[#This Row],[$ CAPITAL]]&gt;=0,FINANCIACION[[#This Row],[$ CAPITAL]]+FINANCIACION[[#This Row],[$ INTERESES]],"")</f>
        <v>6081837</v>
      </c>
      <c r="F155" s="5">
        <f>+SUMIFS(FINANCIACION[$ CAPITAL],FINANCIACION[Fecha],"&lt;="&amp;FINANCIACION[[#This Row],[Fecha]],FINANCIACION[PRESTAMO],FINANCIACION[[#This Row],[PRESTAMO]])</f>
        <v>-364664636.54090905</v>
      </c>
      <c r="G155" s="7"/>
      <c r="H155" s="53"/>
      <c r="I155" s="5">
        <f>IF(FINANCIACION[[#This Row],[$ CAPITAL]]&gt;0,FINANCIACION[[#This Row],[$ CAPITAL]])</f>
        <v>1459836.82424242</v>
      </c>
      <c r="J155" s="33">
        <f>IF(FINANCIACION[[#This Row],[$ CAPITAL]]&gt;=0,FINANCIACION[[#This Row],[$ CAPITAL]]+FINANCIACION[[#This Row],[$ INTERESES]],0)</f>
        <v>6081837</v>
      </c>
    </row>
    <row r="156" spans="1:10" ht="24" hidden="1" customHeight="1" x14ac:dyDescent="0.3">
      <c r="A156" s="142">
        <v>43819</v>
      </c>
      <c r="B156" s="50" t="s">
        <v>820</v>
      </c>
      <c r="C156" s="5">
        <v>260000</v>
      </c>
      <c r="D156" s="5">
        <v>740000</v>
      </c>
      <c r="E156" s="5">
        <f>+IF(FINANCIACION[[#This Row],[$ CAPITAL]]&gt;=0,FINANCIACION[[#This Row],[$ CAPITAL]]+FINANCIACION[[#This Row],[$ INTERESES]],"")</f>
        <v>1000000</v>
      </c>
      <c r="F156" s="5">
        <f>+SUMIFS(FINANCIACION[$ CAPITAL],FINANCIACION[Fecha],"&lt;="&amp;FINANCIACION[[#This Row],[Fecha]],FINANCIACION[PRESTAMO],FINANCIACION[[#This Row],[PRESTAMO]])</f>
        <v>-67509154</v>
      </c>
      <c r="G156" s="7"/>
      <c r="H156" s="53"/>
      <c r="I156" s="5">
        <f>IF(FINANCIACION[[#This Row],[$ CAPITAL]]&gt;0,FINANCIACION[[#This Row],[$ CAPITAL]])</f>
        <v>260000</v>
      </c>
      <c r="J156" s="33">
        <f>IF(FINANCIACION[[#This Row],[$ CAPITAL]]&gt;=0,FINANCIACION[[#This Row],[$ CAPITAL]]+FINANCIACION[[#This Row],[$ INTERESES]],0)</f>
        <v>1000000</v>
      </c>
    </row>
    <row r="157" spans="1:10" ht="24" hidden="1" customHeight="1" x14ac:dyDescent="0.3">
      <c r="A157" s="142">
        <v>43822</v>
      </c>
      <c r="B157" s="50" t="s">
        <v>822</v>
      </c>
      <c r="C157" s="5">
        <v>3000000</v>
      </c>
      <c r="D157" s="5"/>
      <c r="E157" s="5">
        <f>+IF(FINANCIACION[[#This Row],[$ CAPITAL]]&gt;=0,FINANCIACION[[#This Row],[$ CAPITAL]]+FINANCIACION[[#This Row],[$ INTERESES]],"")</f>
        <v>3000000</v>
      </c>
      <c r="F157" s="5">
        <f>+SUMIFS(FINANCIACION[$ CAPITAL],FINANCIACION[Fecha],"&lt;="&amp;FINANCIACION[[#This Row],[Fecha]],FINANCIACION[PRESTAMO],FINANCIACION[[#This Row],[PRESTAMO]])</f>
        <v>-20307307.229999989</v>
      </c>
      <c r="G157" s="7"/>
      <c r="H157" s="53"/>
      <c r="I157" s="5">
        <f>IF(FINANCIACION[[#This Row],[$ CAPITAL]]&gt;0,FINANCIACION[[#This Row],[$ CAPITAL]])</f>
        <v>3000000</v>
      </c>
      <c r="J157" s="33">
        <f>IF(FINANCIACION[[#This Row],[$ CAPITAL]]&gt;=0,FINANCIACION[[#This Row],[$ CAPITAL]]+FINANCIACION[[#This Row],[$ INTERESES]],0)</f>
        <v>3000000</v>
      </c>
    </row>
    <row r="158" spans="1:10" ht="24" hidden="1" customHeight="1" x14ac:dyDescent="0.3">
      <c r="A158" s="142">
        <v>43822</v>
      </c>
      <c r="B158" s="50" t="s">
        <v>822</v>
      </c>
      <c r="C158" s="5">
        <v>7000000</v>
      </c>
      <c r="D158" s="5"/>
      <c r="E158" s="5">
        <f>+IF(FINANCIACION[[#This Row],[$ CAPITAL]]&gt;=0,FINANCIACION[[#This Row],[$ CAPITAL]]+FINANCIACION[[#This Row],[$ INTERESES]],"")</f>
        <v>7000000</v>
      </c>
      <c r="F158" s="5">
        <f>+SUMIFS(FINANCIACION[$ CAPITAL],FINANCIACION[Fecha],"&lt;="&amp;FINANCIACION[[#This Row],[Fecha]],FINANCIACION[PRESTAMO],FINANCIACION[[#This Row],[PRESTAMO]])</f>
        <v>-20307307.229999989</v>
      </c>
      <c r="G158" s="7"/>
      <c r="H158" s="53"/>
      <c r="I158" s="5">
        <f>IF(FINANCIACION[[#This Row],[$ CAPITAL]]&gt;0,FINANCIACION[[#This Row],[$ CAPITAL]])</f>
        <v>7000000</v>
      </c>
      <c r="J158" s="33">
        <f>IF(FINANCIACION[[#This Row],[$ CAPITAL]]&gt;=0,FINANCIACION[[#This Row],[$ CAPITAL]]+FINANCIACION[[#This Row],[$ INTERESES]],0)</f>
        <v>7000000</v>
      </c>
    </row>
    <row r="159" spans="1:10" ht="24" hidden="1" customHeight="1" x14ac:dyDescent="0.3">
      <c r="A159" s="142">
        <v>43822</v>
      </c>
      <c r="B159" s="50" t="s">
        <v>822</v>
      </c>
      <c r="C159" s="5">
        <v>1307962</v>
      </c>
      <c r="D159" s="5"/>
      <c r="E159" s="5">
        <f>+IF(FINANCIACION[[#This Row],[$ CAPITAL]]&gt;=0,FINANCIACION[[#This Row],[$ CAPITAL]]+FINANCIACION[[#This Row],[$ INTERESES]],"")</f>
        <v>1307962</v>
      </c>
      <c r="F159" s="5">
        <f>+SUMIFS(FINANCIACION[$ CAPITAL],FINANCIACION[Fecha],"&lt;="&amp;FINANCIACION[[#This Row],[Fecha]],FINANCIACION[PRESTAMO],FINANCIACION[[#This Row],[PRESTAMO]])</f>
        <v>-20307307.229999989</v>
      </c>
      <c r="G159" s="7"/>
      <c r="H159" s="53"/>
      <c r="I159" s="5">
        <f>IF(FINANCIACION[[#This Row],[$ CAPITAL]]&gt;0,FINANCIACION[[#This Row],[$ CAPITAL]])</f>
        <v>1307962</v>
      </c>
      <c r="J159" s="33">
        <f>IF(FINANCIACION[[#This Row],[$ CAPITAL]]&gt;=0,FINANCIACION[[#This Row],[$ CAPITAL]]+FINANCIACION[[#This Row],[$ INTERESES]],0)</f>
        <v>1307962</v>
      </c>
    </row>
    <row r="160" spans="1:10" ht="24" hidden="1" customHeight="1" x14ac:dyDescent="0.3">
      <c r="A160" s="142">
        <v>43822</v>
      </c>
      <c r="B160" s="50" t="s">
        <v>822</v>
      </c>
      <c r="C160" s="5">
        <v>-1757051</v>
      </c>
      <c r="D160" s="5"/>
      <c r="E160" s="5" t="str">
        <f>+IF(FINANCIACION[[#This Row],[$ CAPITAL]]&gt;=0,FINANCIACION[[#This Row],[$ CAPITAL]]+FINANCIACION[[#This Row],[$ INTERESES]],"")</f>
        <v/>
      </c>
      <c r="F160" s="5">
        <f>+SUMIFS(FINANCIACION[$ CAPITAL],FINANCIACION[Fecha],"&lt;="&amp;FINANCIACION[[#This Row],[Fecha]],FINANCIACION[PRESTAMO],FINANCIACION[[#This Row],[PRESTAMO]])</f>
        <v>-20307307.229999989</v>
      </c>
      <c r="G160" s="7"/>
      <c r="H160" s="53"/>
      <c r="I160" s="5" t="b">
        <f>IF(FINANCIACION[[#This Row],[$ CAPITAL]]&gt;0,FINANCIACION[[#This Row],[$ CAPITAL]])</f>
        <v>0</v>
      </c>
      <c r="J160" s="33">
        <f>IF(FINANCIACION[[#This Row],[$ CAPITAL]]&gt;=0,FINANCIACION[[#This Row],[$ CAPITAL]]+FINANCIACION[[#This Row],[$ INTERESES]],0)</f>
        <v>0</v>
      </c>
    </row>
    <row r="161" spans="1:34" ht="24" hidden="1" customHeight="1" x14ac:dyDescent="0.3">
      <c r="A161" s="142">
        <v>43825</v>
      </c>
      <c r="B161" s="50" t="s">
        <v>187</v>
      </c>
      <c r="C161" s="5">
        <v>1250000</v>
      </c>
      <c r="D161" s="5">
        <v>260739</v>
      </c>
      <c r="E161" s="5">
        <f>+IF(FINANCIACION[[#This Row],[$ CAPITAL]]&gt;=0,FINANCIACION[[#This Row],[$ CAPITAL]]+FINANCIACION[[#This Row],[$ INTERESES]],"")</f>
        <v>1510739</v>
      </c>
      <c r="F161" s="5">
        <f>+SUMIFS(FINANCIACION[$ CAPITAL],FINANCIACION[Fecha],"&lt;="&amp;FINANCIACION[[#This Row],[Fecha]],FINANCIACION[PRESTAMO],FINANCIACION[[#This Row],[PRESTAMO]])</f>
        <v>-20000000</v>
      </c>
      <c r="G161" s="7"/>
      <c r="H161" s="53"/>
      <c r="I161" s="5">
        <f>IF(FINANCIACION[[#This Row],[$ CAPITAL]]&gt;0,FINANCIACION[[#This Row],[$ CAPITAL]])</f>
        <v>1250000</v>
      </c>
      <c r="J161" s="33">
        <f>IF(FINANCIACION[[#This Row],[$ CAPITAL]]&gt;=0,FINANCIACION[[#This Row],[$ CAPITAL]]+FINANCIACION[[#This Row],[$ INTERESES]],0)</f>
        <v>1510739</v>
      </c>
    </row>
    <row r="162" spans="1:34" ht="24" hidden="1" customHeight="1" x14ac:dyDescent="0.3">
      <c r="A162" s="142">
        <v>43825</v>
      </c>
      <c r="B162" s="50" t="s">
        <v>822</v>
      </c>
      <c r="C162" s="5">
        <v>1393603</v>
      </c>
      <c r="D162" s="5"/>
      <c r="E162" s="5">
        <f>+IF(FINANCIACION[[#This Row],[$ CAPITAL]]&gt;=0,FINANCIACION[[#This Row],[$ CAPITAL]]+FINANCIACION[[#This Row],[$ INTERESES]],"")</f>
        <v>1393603</v>
      </c>
      <c r="F162" s="5">
        <f>+SUMIFS(FINANCIACION[$ CAPITAL],FINANCIACION[Fecha],"&lt;="&amp;FINANCIACION[[#This Row],[Fecha]],FINANCIACION[PRESTAMO],FINANCIACION[[#This Row],[PRESTAMO]])</f>
        <v>-10323014.229999989</v>
      </c>
      <c r="G162" s="7"/>
      <c r="H162" s="53"/>
      <c r="I162" s="5">
        <f>IF(FINANCIACION[[#This Row],[$ CAPITAL]]&gt;0,FINANCIACION[[#This Row],[$ CAPITAL]])</f>
        <v>1393603</v>
      </c>
      <c r="J162" s="33">
        <f>IF(FINANCIACION[[#This Row],[$ CAPITAL]]&gt;=0,FINANCIACION[[#This Row],[$ CAPITAL]]+FINANCIACION[[#This Row],[$ INTERESES]],0)</f>
        <v>1393603</v>
      </c>
    </row>
    <row r="163" spans="1:34" ht="24" hidden="1" customHeight="1" x14ac:dyDescent="0.3">
      <c r="A163" s="142">
        <v>43825</v>
      </c>
      <c r="B163" s="50" t="s">
        <v>822</v>
      </c>
      <c r="C163" s="5">
        <v>8590690</v>
      </c>
      <c r="D163" s="5"/>
      <c r="E163" s="5">
        <f>+IF(FINANCIACION[[#This Row],[$ CAPITAL]]&gt;=0,FINANCIACION[[#This Row],[$ CAPITAL]]+FINANCIACION[[#This Row],[$ INTERESES]],"")</f>
        <v>8590690</v>
      </c>
      <c r="F163" s="5">
        <f>+SUMIFS(FINANCIACION[$ CAPITAL],FINANCIACION[Fecha],"&lt;="&amp;FINANCIACION[[#This Row],[Fecha]],FINANCIACION[PRESTAMO],FINANCIACION[[#This Row],[PRESTAMO]])</f>
        <v>-10323014.229999989</v>
      </c>
      <c r="G163" s="7"/>
      <c r="H163" s="53"/>
      <c r="I163" s="5">
        <f>IF(FINANCIACION[[#This Row],[$ CAPITAL]]&gt;0,FINANCIACION[[#This Row],[$ CAPITAL]])</f>
        <v>8590690</v>
      </c>
      <c r="J163" s="33">
        <f>IF(FINANCIACION[[#This Row],[$ CAPITAL]]&gt;=0,FINANCIACION[[#This Row],[$ CAPITAL]]+FINANCIACION[[#This Row],[$ INTERESES]],0)</f>
        <v>8590690</v>
      </c>
    </row>
    <row r="164" spans="1:34" s="7" customFormat="1" ht="24" hidden="1" customHeight="1" x14ac:dyDescent="0.3">
      <c r="A164" s="142">
        <v>43829</v>
      </c>
      <c r="B164" s="50" t="s">
        <v>823</v>
      </c>
      <c r="C164" s="5"/>
      <c r="D164" s="5">
        <v>840000</v>
      </c>
      <c r="E164" s="5">
        <f>+IF(FINANCIACION[[#This Row],[$ CAPITAL]]&gt;=0,FINANCIACION[[#This Row],[$ CAPITAL]]+FINANCIACION[[#This Row],[$ INTERESES]],"")</f>
        <v>840000</v>
      </c>
      <c r="F164" s="5">
        <f>+SUMIFS(FINANCIACION[$ CAPITAL],FINANCIACION[Fecha],"&lt;="&amp;FINANCIACION[[#This Row],[Fecha]],FINANCIACION[PRESTAMO],FINANCIACION[[#This Row],[PRESTAMO]])</f>
        <v>-84000000</v>
      </c>
      <c r="H164" s="53"/>
      <c r="I164" s="5" t="b">
        <f>IF(FINANCIACION[[#This Row],[$ CAPITAL]]&gt;0,FINANCIACION[[#This Row],[$ CAPITAL]])</f>
        <v>0</v>
      </c>
      <c r="J164" s="33">
        <f>IF(FINANCIACION[[#This Row],[$ CAPITAL]]&gt;=0,FINANCIACION[[#This Row],[$ CAPITAL]]+FINANCIACION[[#This Row],[$ INTERESES]],0)</f>
        <v>840000</v>
      </c>
      <c r="K164" s="6"/>
      <c r="L164" s="6"/>
      <c r="M164" s="6"/>
      <c r="N164" s="9"/>
      <c r="O164" s="8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</row>
    <row r="165" spans="1:34" ht="24" hidden="1" customHeight="1" x14ac:dyDescent="0.3">
      <c r="A165" s="142">
        <v>43830</v>
      </c>
      <c r="B165" s="50" t="s">
        <v>821</v>
      </c>
      <c r="C165" s="5">
        <v>-24464288.602231398</v>
      </c>
      <c r="D165" s="5"/>
      <c r="E165" s="5" t="str">
        <f>+IF(FINANCIACION[[#This Row],[$ CAPITAL]]&gt;=0,FINANCIACION[[#This Row],[$ CAPITAL]]+FINANCIACION[[#This Row],[$ INTERESES]],"")</f>
        <v/>
      </c>
      <c r="F165" s="5">
        <f>+SUMIFS(FINANCIACION[$ CAPITAL],FINANCIACION[Fecha],"&lt;="&amp;FINANCIACION[[#This Row],[Fecha]],FINANCIACION[PRESTAMO],FINANCIACION[[#This Row],[PRESTAMO]])</f>
        <v>-389128925.14314044</v>
      </c>
      <c r="G165" s="7"/>
      <c r="H165" s="53"/>
      <c r="I165" s="5" t="b">
        <f>IF(FINANCIACION[[#This Row],[$ CAPITAL]]&gt;0,FINANCIACION[[#This Row],[$ CAPITAL]])</f>
        <v>0</v>
      </c>
      <c r="J165" s="33">
        <f>IF(FINANCIACION[[#This Row],[$ CAPITAL]]&gt;=0,FINANCIACION[[#This Row],[$ CAPITAL]]+FINANCIACION[[#This Row],[$ INTERESES]],0)</f>
        <v>0</v>
      </c>
    </row>
    <row r="166" spans="1:34" ht="24" hidden="1" customHeight="1" x14ac:dyDescent="0.3">
      <c r="A166" s="142">
        <v>43830</v>
      </c>
      <c r="B166" s="50" t="s">
        <v>822</v>
      </c>
      <c r="C166" s="5">
        <v>3100264.0500000007</v>
      </c>
      <c r="D166" s="5"/>
      <c r="E166" s="5">
        <f>+IF(FINANCIACION[[#This Row],[$ CAPITAL]]&gt;=0,FINANCIACION[[#This Row],[$ CAPITAL]]+FINANCIACION[[#This Row],[$ INTERESES]],"")</f>
        <v>3100264.0500000007</v>
      </c>
      <c r="F166" s="5">
        <f>+SUMIFS(FINANCIACION[$ CAPITAL],FINANCIACION[Fecha],"&lt;="&amp;FINANCIACION[[#This Row],[Fecha]],FINANCIACION[PRESTAMO],FINANCIACION[[#This Row],[PRESTAMO]])</f>
        <v>-11040476.949999999</v>
      </c>
      <c r="G166" s="7"/>
      <c r="H166" s="53"/>
      <c r="I166" s="5">
        <f>IF(FINANCIACION[[#This Row],[$ CAPITAL]]&gt;0,FINANCIACION[[#This Row],[$ CAPITAL]])</f>
        <v>3100264.0500000007</v>
      </c>
      <c r="J166" s="8">
        <f>IF(FINANCIACION[[#This Row],[$ CAPITAL]]&gt;=0,FINANCIACION[[#This Row],[$ CAPITAL]]+FINANCIACION[[#This Row],[$ INTERESES]],0)</f>
        <v>3100264.0500000007</v>
      </c>
    </row>
    <row r="167" spans="1:34" ht="24" hidden="1" customHeight="1" x14ac:dyDescent="0.3">
      <c r="A167" s="142">
        <v>43830</v>
      </c>
      <c r="B167" s="50" t="s">
        <v>822</v>
      </c>
      <c r="C167" s="5">
        <v>-534158</v>
      </c>
      <c r="D167" s="5"/>
      <c r="E167" s="5" t="str">
        <f>+IF(FINANCIACION[[#This Row],[$ CAPITAL]]&gt;=0,FINANCIACION[[#This Row],[$ CAPITAL]]+FINANCIACION[[#This Row],[$ INTERESES]],"")</f>
        <v/>
      </c>
      <c r="F167" s="5">
        <f>+SUMIFS(FINANCIACION[$ CAPITAL],FINANCIACION[Fecha],"&lt;="&amp;FINANCIACION[[#This Row],[Fecha]],FINANCIACION[PRESTAMO],FINANCIACION[[#This Row],[PRESTAMO]])</f>
        <v>-11040476.949999999</v>
      </c>
      <c r="G167" s="7"/>
      <c r="H167" s="53"/>
      <c r="I167" s="5" t="b">
        <f>IF(FINANCIACION[[#This Row],[$ CAPITAL]]&gt;0,FINANCIACION[[#This Row],[$ CAPITAL]])</f>
        <v>0</v>
      </c>
      <c r="J167" s="8">
        <f>IF(FINANCIACION[[#This Row],[$ CAPITAL]]&gt;=0,FINANCIACION[[#This Row],[$ CAPITAL]]+FINANCIACION[[#This Row],[$ INTERESES]],0)</f>
        <v>0</v>
      </c>
    </row>
    <row r="168" spans="1:34" ht="24" hidden="1" customHeight="1" x14ac:dyDescent="0.3">
      <c r="A168" s="142">
        <v>43830</v>
      </c>
      <c r="B168" s="50" t="s">
        <v>822</v>
      </c>
      <c r="C168" s="5">
        <v>-3253321.7700000107</v>
      </c>
      <c r="D168" s="5"/>
      <c r="E168" s="5" t="str">
        <f>+IF(FINANCIACION[[#This Row],[$ CAPITAL]]&gt;=0,FINANCIACION[[#This Row],[$ CAPITAL]]+FINANCIACION[[#This Row],[$ INTERESES]],"")</f>
        <v/>
      </c>
      <c r="F168" s="5">
        <f>+SUMIFS(FINANCIACION[$ CAPITAL],FINANCIACION[Fecha],"&lt;="&amp;FINANCIACION[[#This Row],[Fecha]],FINANCIACION[PRESTAMO],FINANCIACION[[#This Row],[PRESTAMO]])</f>
        <v>-11040476.949999999</v>
      </c>
      <c r="G168" s="7"/>
      <c r="H168" s="53"/>
      <c r="I168" s="5" t="b">
        <f>IF(FINANCIACION[[#This Row],[$ CAPITAL]]&gt;0,FINANCIACION[[#This Row],[$ CAPITAL]])</f>
        <v>0</v>
      </c>
      <c r="J168" s="8">
        <f>IF(FINANCIACION[[#This Row],[$ CAPITAL]]&gt;=0,FINANCIACION[[#This Row],[$ CAPITAL]]+FINANCIACION[[#This Row],[$ INTERESES]],0)</f>
        <v>0</v>
      </c>
    </row>
    <row r="169" spans="1:34" s="7" customFormat="1" ht="24" hidden="1" customHeight="1" x14ac:dyDescent="0.3">
      <c r="A169" s="142">
        <v>43830</v>
      </c>
      <c r="B169" s="50" t="s">
        <v>822</v>
      </c>
      <c r="C169" s="5">
        <v>-30247</v>
      </c>
      <c r="D169" s="5"/>
      <c r="E169" s="5" t="str">
        <f>+IF(FINANCIACION[[#This Row],[$ CAPITAL]]&gt;=0,FINANCIACION[[#This Row],[$ CAPITAL]]+FINANCIACION[[#This Row],[$ INTERESES]],"")</f>
        <v/>
      </c>
      <c r="F169" s="5">
        <f>+SUMIFS(FINANCIACION[$ CAPITAL],FINANCIACION[Fecha],"&lt;="&amp;FINANCIACION[[#This Row],[Fecha]],FINANCIACION[PRESTAMO],FINANCIACION[[#This Row],[PRESTAMO]])</f>
        <v>-11040476.949999999</v>
      </c>
      <c r="H169" s="53"/>
      <c r="I169" s="5" t="b">
        <f>IF(FINANCIACION[[#This Row],[$ CAPITAL]]&gt;0,FINANCIACION[[#This Row],[$ CAPITAL]])</f>
        <v>0</v>
      </c>
      <c r="J169" s="8">
        <f>IF(FINANCIACION[[#This Row],[$ CAPITAL]]&gt;=0,FINANCIACION[[#This Row],[$ CAPITAL]]+FINANCIACION[[#This Row],[$ INTERESES]],0)</f>
        <v>0</v>
      </c>
      <c r="K169" s="6"/>
      <c r="L169" s="6"/>
      <c r="M169" s="6"/>
      <c r="N169" s="9"/>
      <c r="O169" s="8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</row>
    <row r="170" spans="1:34" s="7" customFormat="1" ht="24" hidden="1" customHeight="1" x14ac:dyDescent="0.3">
      <c r="A170" s="142">
        <v>43836</v>
      </c>
      <c r="B170" s="50" t="s">
        <v>191</v>
      </c>
      <c r="C170" s="5">
        <v>6250000</v>
      </c>
      <c r="D170" s="5">
        <v>1309053.1200000001</v>
      </c>
      <c r="E170" s="5">
        <f>+IF(FINANCIACION[[#This Row],[$ CAPITAL]]&gt;=0,FINANCIACION[[#This Row],[$ CAPITAL]]+FINANCIACION[[#This Row],[$ INTERESES]],"")</f>
        <v>7559053.1200000001</v>
      </c>
      <c r="F170" s="5">
        <f>+SUMIFS(FINANCIACION[$ CAPITAL],FINANCIACION[Fecha],"&lt;="&amp;FINANCIACION[[#This Row],[Fecha]],FINANCIACION[PRESTAMO],FINANCIACION[[#This Row],[PRESTAMO]])</f>
        <v>-143750000</v>
      </c>
      <c r="H170" s="53"/>
      <c r="I170" s="5">
        <f>IF(FINANCIACION[[#This Row],[$ CAPITAL]]&gt;0,FINANCIACION[[#This Row],[$ CAPITAL]])</f>
        <v>6250000</v>
      </c>
      <c r="J170" s="8">
        <f>IF(FINANCIACION[[#This Row],[$ CAPITAL]]&gt;=0,FINANCIACION[[#This Row],[$ CAPITAL]]+FINANCIACION[[#This Row],[$ INTERESES]],0)</f>
        <v>7559053.1200000001</v>
      </c>
      <c r="K170" s="6"/>
      <c r="L170" s="6"/>
      <c r="M170" s="6"/>
      <c r="N170" s="9"/>
      <c r="O170" s="8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</row>
    <row r="171" spans="1:34" ht="24" hidden="1" customHeight="1" x14ac:dyDescent="0.3">
      <c r="A171" s="142">
        <v>43837</v>
      </c>
      <c r="B171" s="50" t="s">
        <v>822</v>
      </c>
      <c r="C171" s="5">
        <v>2500000</v>
      </c>
      <c r="D171" s="5">
        <v>381929.16999999993</v>
      </c>
      <c r="E171" s="5">
        <f>+IF(FINANCIACION[[#This Row],[$ CAPITAL]]&gt;=0,FINANCIACION[[#This Row],[$ CAPITAL]]+FINANCIACION[[#This Row],[$ INTERESES]],"")</f>
        <v>2881929.17</v>
      </c>
      <c r="F171" s="5">
        <f>+SUMIFS(FINANCIACION[$ CAPITAL],FINANCIACION[Fecha],"&lt;="&amp;FINANCIACION[[#This Row],[Fecha]],FINANCIACION[PRESTAMO],FINANCIACION[[#This Row],[PRESTAMO]])</f>
        <v>-8619483.6999999993</v>
      </c>
      <c r="G171" s="53"/>
      <c r="H171" s="53"/>
      <c r="I171" s="5">
        <f>IF(FINANCIACION[[#This Row],[$ CAPITAL]]&gt;0,FINANCIACION[[#This Row],[$ CAPITAL]])</f>
        <v>2500000</v>
      </c>
      <c r="J171" s="33">
        <f>IF(FINANCIACION[[#This Row],[$ CAPITAL]]&gt;=0,FINANCIACION[[#This Row],[$ CAPITAL]]+FINANCIACION[[#This Row],[$ INTERESES]],0)</f>
        <v>2881929.17</v>
      </c>
    </row>
    <row r="172" spans="1:34" ht="24" hidden="1" customHeight="1" x14ac:dyDescent="0.3">
      <c r="A172" s="142">
        <v>43837</v>
      </c>
      <c r="B172" s="50" t="s">
        <v>822</v>
      </c>
      <c r="C172" s="5">
        <v>-79006.75</v>
      </c>
      <c r="D172" s="5"/>
      <c r="E172" s="5" t="str">
        <f>+IF(FINANCIACION[[#This Row],[$ CAPITAL]]&gt;=0,FINANCIACION[[#This Row],[$ CAPITAL]]+FINANCIACION[[#This Row],[$ INTERESES]],"")</f>
        <v/>
      </c>
      <c r="F172" s="5">
        <f>+SUMIFS(FINANCIACION[$ CAPITAL],FINANCIACION[Fecha],"&lt;="&amp;FINANCIACION[[#This Row],[Fecha]],FINANCIACION[PRESTAMO],FINANCIACION[[#This Row],[PRESTAMO]])</f>
        <v>-8619483.6999999993</v>
      </c>
      <c r="G172" s="53"/>
      <c r="H172" s="53"/>
      <c r="I172" s="5" t="b">
        <f>IF(FINANCIACION[[#This Row],[$ CAPITAL]]&gt;0,FINANCIACION[[#This Row],[$ CAPITAL]])</f>
        <v>0</v>
      </c>
      <c r="J172" s="33">
        <f>IF(FINANCIACION[[#This Row],[$ CAPITAL]]&gt;=0,FINANCIACION[[#This Row],[$ CAPITAL]]+FINANCIACION[[#This Row],[$ INTERESES]],0)</f>
        <v>0</v>
      </c>
    </row>
    <row r="173" spans="1:34" ht="24" hidden="1" customHeight="1" x14ac:dyDescent="0.3">
      <c r="A173" s="142">
        <v>43840</v>
      </c>
      <c r="B173" s="50" t="s">
        <v>819</v>
      </c>
      <c r="C173" s="5"/>
      <c r="D173" s="5">
        <v>950000</v>
      </c>
      <c r="E173" s="5">
        <f>+IF(FINANCIACION[[#This Row],[$ CAPITAL]]&gt;=0,FINANCIACION[[#This Row],[$ CAPITAL]]+FINANCIACION[[#This Row],[$ INTERESES]],"")</f>
        <v>950000</v>
      </c>
      <c r="F173" s="5">
        <f>+SUMIFS(FINANCIACION[$ CAPITAL],FINANCIACION[Fecha],"&lt;="&amp;FINANCIACION[[#This Row],[Fecha]],FINANCIACION[PRESTAMO],FINANCIACION[[#This Row],[PRESTAMO]])</f>
        <v>-94935167</v>
      </c>
      <c r="G173" s="53"/>
      <c r="H173" s="53"/>
      <c r="I173" s="5" t="b">
        <f>IF(FINANCIACION[[#This Row],[$ CAPITAL]]&gt;0,FINANCIACION[[#This Row],[$ CAPITAL]])</f>
        <v>0</v>
      </c>
      <c r="J173" s="33">
        <f>IF(FINANCIACION[[#This Row],[$ CAPITAL]]&gt;=0,FINANCIACION[[#This Row],[$ CAPITAL]]+FINANCIACION[[#This Row],[$ INTERESES]],0)</f>
        <v>950000</v>
      </c>
    </row>
    <row r="174" spans="1:34" ht="24" hidden="1" customHeight="1" x14ac:dyDescent="0.3">
      <c r="A174" s="142">
        <v>43840</v>
      </c>
      <c r="B174" s="50" t="s">
        <v>823</v>
      </c>
      <c r="C174" s="5"/>
      <c r="D174" s="5">
        <v>200000</v>
      </c>
      <c r="E174" s="5">
        <f>+IF(FINANCIACION[[#This Row],[$ CAPITAL]]&gt;=0,FINANCIACION[[#This Row],[$ CAPITAL]]+FINANCIACION[[#This Row],[$ INTERESES]],"")</f>
        <v>200000</v>
      </c>
      <c r="F174" s="5">
        <f>+SUMIFS(FINANCIACION[$ CAPITAL],FINANCIACION[Fecha],"&lt;="&amp;FINANCIACION[[#This Row],[Fecha]],FINANCIACION[PRESTAMO],FINANCIACION[[#This Row],[PRESTAMO]])</f>
        <v>-84000000</v>
      </c>
      <c r="G174" s="53"/>
      <c r="H174" s="53"/>
      <c r="I174" s="5" t="b">
        <f>IF(FINANCIACION[[#This Row],[$ CAPITAL]]&gt;0,FINANCIACION[[#This Row],[$ CAPITAL]])</f>
        <v>0</v>
      </c>
      <c r="J174" s="33">
        <f>IF(FINANCIACION[[#This Row],[$ CAPITAL]]&gt;=0,FINANCIACION[[#This Row],[$ CAPITAL]]+FINANCIACION[[#This Row],[$ INTERESES]],0)</f>
        <v>200000</v>
      </c>
    </row>
    <row r="175" spans="1:34" ht="24" hidden="1" customHeight="1" x14ac:dyDescent="0.3">
      <c r="A175" s="142">
        <v>43840</v>
      </c>
      <c r="B175" s="50" t="s">
        <v>822</v>
      </c>
      <c r="C175" s="5">
        <v>6179068.2499999898</v>
      </c>
      <c r="D175" s="5"/>
      <c r="E175" s="5">
        <f>+IF(FINANCIACION[[#This Row],[$ CAPITAL]]&gt;=0,FINANCIACION[[#This Row],[$ CAPITAL]]+FINANCIACION[[#This Row],[$ INTERESES]],"")</f>
        <v>6179068.2499999898</v>
      </c>
      <c r="F175" s="5">
        <f>+SUMIFS(FINANCIACION[$ CAPITAL],FINANCIACION[Fecha],"&lt;="&amp;FINANCIACION[[#This Row],[Fecha]],FINANCIACION[PRESTAMO],FINANCIACION[[#This Row],[PRESTAMO]])</f>
        <v>-2440415.4500000095</v>
      </c>
      <c r="G175" s="53"/>
      <c r="H175" s="53"/>
      <c r="I175" s="5">
        <f>IF(FINANCIACION[[#This Row],[$ CAPITAL]]&gt;0,FINANCIACION[[#This Row],[$ CAPITAL]])</f>
        <v>6179068.2499999898</v>
      </c>
      <c r="J175" s="33">
        <f>IF(FINANCIACION[[#This Row],[$ CAPITAL]]&gt;=0,FINANCIACION[[#This Row],[$ CAPITAL]]+FINANCIACION[[#This Row],[$ INTERESES]],0)</f>
        <v>6179068.2499999898</v>
      </c>
    </row>
    <row r="176" spans="1:34" ht="24" hidden="1" customHeight="1" x14ac:dyDescent="0.3">
      <c r="A176" s="142">
        <v>43844</v>
      </c>
      <c r="B176" s="51" t="s">
        <v>820</v>
      </c>
      <c r="C176" s="5">
        <v>310000</v>
      </c>
      <c r="D176" s="5">
        <v>90000</v>
      </c>
      <c r="E176" s="5">
        <f>+IF(FINANCIACION[[#This Row],[$ CAPITAL]]&gt;=0,FINANCIACION[[#This Row],[$ CAPITAL]]+FINANCIACION[[#This Row],[$ INTERESES]],"")</f>
        <v>400000</v>
      </c>
      <c r="F176" s="5">
        <f>+SUMIFS(FINANCIACION[$ CAPITAL],FINANCIACION[Fecha],"&lt;="&amp;FINANCIACION[[#This Row],[Fecha]],FINANCIACION[PRESTAMO],FINANCIACION[[#This Row],[PRESTAMO]])</f>
        <v>-67199154</v>
      </c>
      <c r="G176" s="53"/>
      <c r="H176" s="53"/>
      <c r="I176" s="5">
        <f>IF(FINANCIACION[[#This Row],[$ CAPITAL]]&gt;0,FINANCIACION[[#This Row],[$ CAPITAL]])</f>
        <v>310000</v>
      </c>
      <c r="J176" s="33">
        <f>IF(FINANCIACION[[#This Row],[$ CAPITAL]]&gt;=0,FINANCIACION[[#This Row],[$ CAPITAL]]+FINANCIACION[[#This Row],[$ INTERESES]],0)</f>
        <v>400000</v>
      </c>
    </row>
    <row r="177" spans="1:10" ht="24" hidden="1" customHeight="1" x14ac:dyDescent="0.3">
      <c r="A177" s="142">
        <v>43845</v>
      </c>
      <c r="B177" s="50" t="s">
        <v>822</v>
      </c>
      <c r="C177" s="5">
        <v>-4662.7700000000004</v>
      </c>
      <c r="D177" s="5"/>
      <c r="E177" s="5" t="str">
        <f>+IF(FINANCIACION[[#This Row],[$ CAPITAL]]&gt;=0,FINANCIACION[[#This Row],[$ CAPITAL]]+FINANCIACION[[#This Row],[$ INTERESES]],"")</f>
        <v/>
      </c>
      <c r="F177" s="5">
        <f>+SUMIFS(FINANCIACION[$ CAPITAL],FINANCIACION[Fecha],"&lt;="&amp;FINANCIACION[[#This Row],[Fecha]],FINANCIACION[PRESTAMO],FINANCIACION[[#This Row],[PRESTAMO]])</f>
        <v>-2445078.2200000095</v>
      </c>
      <c r="G177" s="53"/>
      <c r="H177" s="53"/>
      <c r="I177" s="5" t="b">
        <f>IF(FINANCIACION[[#This Row],[$ CAPITAL]]&gt;0,FINANCIACION[[#This Row],[$ CAPITAL]])</f>
        <v>0</v>
      </c>
      <c r="J177" s="33">
        <f>IF(FINANCIACION[[#This Row],[$ CAPITAL]]&gt;=0,FINANCIACION[[#This Row],[$ CAPITAL]]+FINANCIACION[[#This Row],[$ INTERESES]],0)</f>
        <v>0</v>
      </c>
    </row>
    <row r="178" spans="1:10" ht="24" hidden="1" customHeight="1" x14ac:dyDescent="0.3">
      <c r="A178" s="142">
        <v>43846</v>
      </c>
      <c r="B178" s="50" t="s">
        <v>822</v>
      </c>
      <c r="C178" s="5">
        <v>-85886</v>
      </c>
      <c r="D178" s="5"/>
      <c r="E178" s="5" t="str">
        <f>+IF(FINANCIACION[[#This Row],[$ CAPITAL]]&gt;=0,FINANCIACION[[#This Row],[$ CAPITAL]]+FINANCIACION[[#This Row],[$ INTERESES]],"")</f>
        <v/>
      </c>
      <c r="F178" s="5">
        <f>+SUMIFS(FINANCIACION[$ CAPITAL],FINANCIACION[Fecha],"&lt;="&amp;FINANCIACION[[#This Row],[Fecha]],FINANCIACION[PRESTAMO],FINANCIACION[[#This Row],[PRESTAMO]])</f>
        <v>-2530964.2200000095</v>
      </c>
      <c r="G178" s="7"/>
      <c r="H178" s="53"/>
      <c r="I178" s="5" t="b">
        <f>IF(FINANCIACION[[#This Row],[$ CAPITAL]]&gt;0,FINANCIACION[[#This Row],[$ CAPITAL]])</f>
        <v>0</v>
      </c>
      <c r="J178" s="33">
        <f>IF(FINANCIACION[[#This Row],[$ CAPITAL]]&gt;=0,FINANCIACION[[#This Row],[$ CAPITAL]]+FINANCIACION[[#This Row],[$ INTERESES]],0)</f>
        <v>0</v>
      </c>
    </row>
    <row r="179" spans="1:10" ht="24" hidden="1" customHeight="1" x14ac:dyDescent="0.3">
      <c r="A179" s="142">
        <v>43847</v>
      </c>
      <c r="B179" s="50" t="s">
        <v>822</v>
      </c>
      <c r="C179" s="5">
        <v>-294360</v>
      </c>
      <c r="D179" s="5"/>
      <c r="E179" s="5" t="str">
        <f>+IF(FINANCIACION[[#This Row],[$ CAPITAL]]&gt;=0,FINANCIACION[[#This Row],[$ CAPITAL]]+FINANCIACION[[#This Row],[$ INTERESES]],"")</f>
        <v/>
      </c>
      <c r="F179" s="5">
        <f>+SUMIFS(FINANCIACION[$ CAPITAL],FINANCIACION[Fecha],"&lt;="&amp;FINANCIACION[[#This Row],[Fecha]],FINANCIACION[PRESTAMO],FINANCIACION[[#This Row],[PRESTAMO]])</f>
        <v>-2825324.2200000095</v>
      </c>
      <c r="G179" s="7"/>
      <c r="H179" s="53"/>
      <c r="I179" s="5" t="b">
        <f>IF(FINANCIACION[[#This Row],[$ CAPITAL]]&gt;0,FINANCIACION[[#This Row],[$ CAPITAL]])</f>
        <v>0</v>
      </c>
      <c r="J179" s="33">
        <f>IF(FINANCIACION[[#This Row],[$ CAPITAL]]&gt;=0,FINANCIACION[[#This Row],[$ CAPITAL]]+FINANCIACION[[#This Row],[$ INTERESES]],0)</f>
        <v>0</v>
      </c>
    </row>
    <row r="180" spans="1:10" ht="24" hidden="1" customHeight="1" x14ac:dyDescent="0.3">
      <c r="A180" s="142">
        <v>43848</v>
      </c>
      <c r="B180" s="50" t="s">
        <v>821</v>
      </c>
      <c r="C180" s="5">
        <v>1471610</v>
      </c>
      <c r="D180" s="5">
        <v>4614238</v>
      </c>
      <c r="E180" s="5">
        <f>+IF(FINANCIACION[[#This Row],[$ CAPITAL]]&gt;=0,FINANCIACION[[#This Row],[$ CAPITAL]]+FINANCIACION[[#This Row],[$ INTERESES]],"")</f>
        <v>6085848</v>
      </c>
      <c r="F180" s="5">
        <f>+SUMIFS(FINANCIACION[$ CAPITAL],FINANCIACION[Fecha],"&lt;="&amp;FINANCIACION[[#This Row],[Fecha]],FINANCIACION[PRESTAMO],FINANCIACION[[#This Row],[PRESTAMO]])</f>
        <v>-387657315.14314044</v>
      </c>
      <c r="G180" s="7"/>
      <c r="H180" s="53"/>
      <c r="I180" s="5">
        <f>IF(FINANCIACION[[#This Row],[$ CAPITAL]]&gt;0,FINANCIACION[[#This Row],[$ CAPITAL]])</f>
        <v>1471610</v>
      </c>
      <c r="J180" s="33">
        <f>IF(FINANCIACION[[#This Row],[$ CAPITAL]]&gt;=0,FINANCIACION[[#This Row],[$ CAPITAL]]+FINANCIACION[[#This Row],[$ INTERESES]],0)</f>
        <v>6085848</v>
      </c>
    </row>
    <row r="181" spans="1:10" ht="24" hidden="1" customHeight="1" x14ac:dyDescent="0.3">
      <c r="A181" s="142">
        <v>43848</v>
      </c>
      <c r="B181" s="50" t="s">
        <v>822</v>
      </c>
      <c r="C181" s="5">
        <v>-38733</v>
      </c>
      <c r="D181" s="5"/>
      <c r="E181" s="5" t="str">
        <f>+IF(FINANCIACION[[#This Row],[$ CAPITAL]]&gt;=0,FINANCIACION[[#This Row],[$ CAPITAL]]+FINANCIACION[[#This Row],[$ INTERESES]],"")</f>
        <v/>
      </c>
      <c r="F181" s="5">
        <f>+SUMIFS(FINANCIACION[$ CAPITAL],FINANCIACION[Fecha],"&lt;="&amp;FINANCIACION[[#This Row],[Fecha]],FINANCIACION[PRESTAMO],FINANCIACION[[#This Row],[PRESTAMO]])</f>
        <v>-2864057.2200000095</v>
      </c>
      <c r="G181" s="7"/>
      <c r="H181" s="53"/>
      <c r="I181" s="5" t="b">
        <f>IF(FINANCIACION[[#This Row],[$ CAPITAL]]&gt;0,FINANCIACION[[#This Row],[$ CAPITAL]])</f>
        <v>0</v>
      </c>
      <c r="J181" s="33">
        <f>IF(FINANCIACION[[#This Row],[$ CAPITAL]]&gt;=0,FINANCIACION[[#This Row],[$ CAPITAL]]+FINANCIACION[[#This Row],[$ INTERESES]],0)</f>
        <v>0</v>
      </c>
    </row>
    <row r="182" spans="1:10" ht="24" hidden="1" customHeight="1" x14ac:dyDescent="0.3">
      <c r="A182" s="142">
        <v>43850</v>
      </c>
      <c r="B182" s="50" t="s">
        <v>820</v>
      </c>
      <c r="C182" s="5">
        <v>260000</v>
      </c>
      <c r="D182" s="5">
        <v>740000</v>
      </c>
      <c r="E182" s="5">
        <f>+IF(FINANCIACION[[#This Row],[$ CAPITAL]]&gt;=0,FINANCIACION[[#This Row],[$ CAPITAL]]+FINANCIACION[[#This Row],[$ INTERESES]],"")</f>
        <v>1000000</v>
      </c>
      <c r="F182" s="5">
        <f>+SUMIFS(FINANCIACION[$ CAPITAL],FINANCIACION[Fecha],"&lt;="&amp;FINANCIACION[[#This Row],[Fecha]],FINANCIACION[PRESTAMO],FINANCIACION[[#This Row],[PRESTAMO]])</f>
        <v>-66939154</v>
      </c>
      <c r="G182" s="7"/>
      <c r="H182" s="53"/>
      <c r="I182" s="5">
        <f>IF(FINANCIACION[[#This Row],[$ CAPITAL]]&gt;0,FINANCIACION[[#This Row],[$ CAPITAL]])</f>
        <v>260000</v>
      </c>
      <c r="J182" s="33">
        <f>IF(FINANCIACION[[#This Row],[$ CAPITAL]]&gt;=0,FINANCIACION[[#This Row],[$ CAPITAL]]+FINANCIACION[[#This Row],[$ INTERESES]],0)</f>
        <v>1000000</v>
      </c>
    </row>
    <row r="183" spans="1:10" ht="24" hidden="1" customHeight="1" x14ac:dyDescent="0.3">
      <c r="A183" s="142">
        <v>43852</v>
      </c>
      <c r="B183" s="50" t="s">
        <v>822</v>
      </c>
      <c r="C183" s="5">
        <v>-435739</v>
      </c>
      <c r="D183" s="5"/>
      <c r="E183" s="5" t="str">
        <f>+IF(FINANCIACION[[#This Row],[$ CAPITAL]]&gt;=0,FINANCIACION[[#This Row],[$ CAPITAL]]+FINANCIACION[[#This Row],[$ INTERESES]],"")</f>
        <v/>
      </c>
      <c r="F183" s="5">
        <f>+SUMIFS(FINANCIACION[$ CAPITAL],FINANCIACION[Fecha],"&lt;="&amp;FINANCIACION[[#This Row],[Fecha]],FINANCIACION[PRESTAMO],FINANCIACION[[#This Row],[PRESTAMO]])</f>
        <v>-3299796.2200000095</v>
      </c>
      <c r="G183" s="7"/>
      <c r="H183" s="53"/>
      <c r="I183" s="5" t="b">
        <f>IF(FINANCIACION[[#This Row],[$ CAPITAL]]&gt;0,FINANCIACION[[#This Row],[$ CAPITAL]])</f>
        <v>0</v>
      </c>
      <c r="J183" s="33">
        <f>IF(FINANCIACION[[#This Row],[$ CAPITAL]]&gt;=0,FINANCIACION[[#This Row],[$ CAPITAL]]+FINANCIACION[[#This Row],[$ INTERESES]],0)</f>
        <v>0</v>
      </c>
    </row>
    <row r="184" spans="1:10" ht="24" hidden="1" customHeight="1" x14ac:dyDescent="0.3">
      <c r="A184" s="142">
        <v>43853</v>
      </c>
      <c r="B184" s="50" t="s">
        <v>822</v>
      </c>
      <c r="C184" s="5">
        <v>1788226.67</v>
      </c>
      <c r="D184" s="5"/>
      <c r="E184" s="5">
        <f>+IF(FINANCIACION[[#This Row],[$ CAPITAL]]&gt;=0,FINANCIACION[[#This Row],[$ CAPITAL]]+FINANCIACION[[#This Row],[$ INTERESES]],"")</f>
        <v>1788226.67</v>
      </c>
      <c r="F184" s="5">
        <f>+SUMIFS(FINANCIACION[$ CAPITAL],FINANCIACION[Fecha],"&lt;="&amp;FINANCIACION[[#This Row],[Fecha]],FINANCIACION[PRESTAMO],FINANCIACION[[#This Row],[PRESTAMO]])</f>
        <v>-1511569.5500000096</v>
      </c>
      <c r="G184" s="7"/>
      <c r="H184" s="53"/>
      <c r="I184" s="5">
        <f>IF(FINANCIACION[[#This Row],[$ CAPITAL]]&gt;0,FINANCIACION[[#This Row],[$ CAPITAL]])</f>
        <v>1788226.67</v>
      </c>
      <c r="J184" s="33">
        <f>IF(FINANCIACION[[#This Row],[$ CAPITAL]]&gt;=0,FINANCIACION[[#This Row],[$ CAPITAL]]+FINANCIACION[[#This Row],[$ INTERESES]],0)</f>
        <v>1788226.67</v>
      </c>
    </row>
    <row r="185" spans="1:10" ht="24" hidden="1" customHeight="1" x14ac:dyDescent="0.3">
      <c r="A185" s="142">
        <v>43854</v>
      </c>
      <c r="B185" s="50" t="s">
        <v>822</v>
      </c>
      <c r="C185" s="5">
        <v>226778</v>
      </c>
      <c r="D185" s="5"/>
      <c r="E185" s="5">
        <f>+IF(FINANCIACION[[#This Row],[$ CAPITAL]]&gt;=0,FINANCIACION[[#This Row],[$ CAPITAL]]+FINANCIACION[[#This Row],[$ INTERESES]],"")</f>
        <v>226778</v>
      </c>
      <c r="F185" s="5">
        <f>+SUMIFS(FINANCIACION[$ CAPITAL],FINANCIACION[Fecha],"&lt;="&amp;FINANCIACION[[#This Row],[Fecha]],FINANCIACION[PRESTAMO],FINANCIACION[[#This Row],[PRESTAMO]])</f>
        <v>-1063956.1400000094</v>
      </c>
      <c r="G185" s="7"/>
      <c r="H185" s="53"/>
      <c r="I185" s="5">
        <f>IF(FINANCIACION[[#This Row],[$ CAPITAL]]&gt;0,FINANCIACION[[#This Row],[$ CAPITAL]])</f>
        <v>226778</v>
      </c>
      <c r="J185" s="33">
        <f>IF(FINANCIACION[[#This Row],[$ CAPITAL]]&gt;=0,FINANCIACION[[#This Row],[$ CAPITAL]]+FINANCIACION[[#This Row],[$ INTERESES]],0)</f>
        <v>226778</v>
      </c>
    </row>
    <row r="186" spans="1:10" ht="24" hidden="1" customHeight="1" x14ac:dyDescent="0.3">
      <c r="A186" s="142">
        <v>43854</v>
      </c>
      <c r="B186" s="50" t="s">
        <v>822</v>
      </c>
      <c r="C186" s="5">
        <v>-617423.48</v>
      </c>
      <c r="D186" s="5"/>
      <c r="E186" s="5" t="str">
        <f>+IF(FINANCIACION[[#This Row],[$ CAPITAL]]&gt;=0,FINANCIACION[[#This Row],[$ CAPITAL]]+FINANCIACION[[#This Row],[$ INTERESES]],"")</f>
        <v/>
      </c>
      <c r="F186" s="5">
        <f>+SUMIFS(FINANCIACION[$ CAPITAL],FINANCIACION[Fecha],"&lt;="&amp;FINANCIACION[[#This Row],[Fecha]],FINANCIACION[PRESTAMO],FINANCIACION[[#This Row],[PRESTAMO]])</f>
        <v>-1063956.1400000094</v>
      </c>
      <c r="G186" s="7"/>
      <c r="H186" s="53"/>
      <c r="I186" s="5" t="b">
        <f>IF(FINANCIACION[[#This Row],[$ CAPITAL]]&gt;0,FINANCIACION[[#This Row],[$ CAPITAL]])</f>
        <v>0</v>
      </c>
      <c r="J186" s="33">
        <f>IF(FINANCIACION[[#This Row],[$ CAPITAL]]&gt;=0,FINANCIACION[[#This Row],[$ CAPITAL]]+FINANCIACION[[#This Row],[$ INTERESES]],0)</f>
        <v>0</v>
      </c>
    </row>
    <row r="187" spans="1:10" ht="24" hidden="1" customHeight="1" x14ac:dyDescent="0.3">
      <c r="A187" s="142">
        <v>43854</v>
      </c>
      <c r="B187" s="50" t="s">
        <v>822</v>
      </c>
      <c r="C187" s="5">
        <v>838258.89</v>
      </c>
      <c r="D187" s="5"/>
      <c r="E187" s="5">
        <f>+IF(FINANCIACION[[#This Row],[$ CAPITAL]]&gt;=0,FINANCIACION[[#This Row],[$ CAPITAL]]+FINANCIACION[[#This Row],[$ INTERESES]],"")</f>
        <v>838258.89</v>
      </c>
      <c r="F187" s="5">
        <f>+SUMIFS(FINANCIACION[$ CAPITAL],FINANCIACION[Fecha],"&lt;="&amp;FINANCIACION[[#This Row],[Fecha]],FINANCIACION[PRESTAMO],FINANCIACION[[#This Row],[PRESTAMO]])</f>
        <v>-1063956.1400000094</v>
      </c>
      <c r="G187" s="7"/>
      <c r="H187" s="53"/>
      <c r="I187" s="5">
        <f>IF(FINANCIACION[[#This Row],[$ CAPITAL]]&gt;0,FINANCIACION[[#This Row],[$ CAPITAL]])</f>
        <v>838258.89</v>
      </c>
      <c r="J187" s="33">
        <f>IF(FINANCIACION[[#This Row],[$ CAPITAL]]&gt;=0,FINANCIACION[[#This Row],[$ CAPITAL]]+FINANCIACION[[#This Row],[$ INTERESES]],0)</f>
        <v>838258.89</v>
      </c>
    </row>
    <row r="188" spans="1:10" ht="24" hidden="1" customHeight="1" x14ac:dyDescent="0.3">
      <c r="A188" s="142">
        <v>43855</v>
      </c>
      <c r="B188" s="50" t="s">
        <v>187</v>
      </c>
      <c r="C188" s="5">
        <v>1250000</v>
      </c>
      <c r="D188" s="5">
        <v>244877</v>
      </c>
      <c r="E188" s="5">
        <f>+IF(FINANCIACION[[#This Row],[$ CAPITAL]]&gt;=0,FINANCIACION[[#This Row],[$ CAPITAL]]+FINANCIACION[[#This Row],[$ INTERESES]],"")</f>
        <v>1494877</v>
      </c>
      <c r="F188" s="5">
        <f>+SUMIFS(FINANCIACION[$ CAPITAL],FINANCIACION[Fecha],"&lt;="&amp;FINANCIACION[[#This Row],[Fecha]],FINANCIACION[PRESTAMO],FINANCIACION[[#This Row],[PRESTAMO]])</f>
        <v>-18750000</v>
      </c>
      <c r="G188" s="7"/>
      <c r="H188" s="53"/>
      <c r="I188" s="5">
        <f>IF(FINANCIACION[[#This Row],[$ CAPITAL]]&gt;0,FINANCIACION[[#This Row],[$ CAPITAL]])</f>
        <v>1250000</v>
      </c>
      <c r="J188" s="33">
        <f>IF(FINANCIACION[[#This Row],[$ CAPITAL]]&gt;=0,FINANCIACION[[#This Row],[$ CAPITAL]]+FINANCIACION[[#This Row],[$ INTERESES]],0)</f>
        <v>1494877</v>
      </c>
    </row>
    <row r="189" spans="1:10" ht="24" hidden="1" customHeight="1" x14ac:dyDescent="0.3">
      <c r="A189" s="142">
        <v>43855</v>
      </c>
      <c r="B189" s="50" t="s">
        <v>822</v>
      </c>
      <c r="C189" s="5">
        <v>-205807.83</v>
      </c>
      <c r="D189" s="5"/>
      <c r="E189" s="5" t="str">
        <f>+IF(FINANCIACION[[#This Row],[$ CAPITAL]]&gt;=0,FINANCIACION[[#This Row],[$ CAPITAL]]+FINANCIACION[[#This Row],[$ INTERESES]],"")</f>
        <v/>
      </c>
      <c r="F189" s="5">
        <f>+SUMIFS(FINANCIACION[$ CAPITAL],FINANCIACION[Fecha],"&lt;="&amp;FINANCIACION[[#This Row],[Fecha]],FINANCIACION[PRESTAMO],FINANCIACION[[#This Row],[PRESTAMO]])</f>
        <v>-1269763.9700000095</v>
      </c>
      <c r="G189" s="7"/>
      <c r="H189" s="53"/>
      <c r="I189" s="5" t="b">
        <f>IF(FINANCIACION[[#This Row],[$ CAPITAL]]&gt;0,FINANCIACION[[#This Row],[$ CAPITAL]])</f>
        <v>0</v>
      </c>
      <c r="J189" s="33">
        <f>IF(FINANCIACION[[#This Row],[$ CAPITAL]]&gt;=0,FINANCIACION[[#This Row],[$ CAPITAL]]+FINANCIACION[[#This Row],[$ INTERESES]],0)</f>
        <v>0</v>
      </c>
    </row>
    <row r="190" spans="1:10" ht="24" hidden="1" customHeight="1" x14ac:dyDescent="0.3">
      <c r="A190" s="142">
        <v>43857</v>
      </c>
      <c r="B190" s="50" t="s">
        <v>822</v>
      </c>
      <c r="C190" s="5">
        <v>-6278.5417429600011</v>
      </c>
      <c r="D190" s="5"/>
      <c r="E190" s="5" t="str">
        <f>+IF(FINANCIACION[[#This Row],[$ CAPITAL]]&gt;=0,FINANCIACION[[#This Row],[$ CAPITAL]]+FINANCIACION[[#This Row],[$ INTERESES]],"")</f>
        <v/>
      </c>
      <c r="F190" s="5">
        <f>+SUMIFS(FINANCIACION[$ CAPITAL],FINANCIACION[Fecha],"&lt;="&amp;FINANCIACION[[#This Row],[Fecha]],FINANCIACION[PRESTAMO],FINANCIACION[[#This Row],[PRESTAMO]])</f>
        <v>5723957.48825703</v>
      </c>
      <c r="G190" s="7"/>
      <c r="H190" s="53"/>
      <c r="I190" s="5" t="b">
        <f>IF(FINANCIACION[[#This Row],[$ CAPITAL]]&gt;0,FINANCIACION[[#This Row],[$ CAPITAL]])</f>
        <v>0</v>
      </c>
      <c r="J190" s="33">
        <f>IF(FINANCIACION[[#This Row],[$ CAPITAL]]&gt;=0,FINANCIACION[[#This Row],[$ CAPITAL]]+FINANCIACION[[#This Row],[$ INTERESES]],0)</f>
        <v>0</v>
      </c>
    </row>
    <row r="191" spans="1:10" ht="24" hidden="1" customHeight="1" x14ac:dyDescent="0.3">
      <c r="A191" s="142">
        <v>43857</v>
      </c>
      <c r="B191" s="50" t="s">
        <v>822</v>
      </c>
      <c r="C191" s="5">
        <v>7000000</v>
      </c>
      <c r="D191" s="5"/>
      <c r="E191" s="5">
        <f>+IF(FINANCIACION[[#This Row],[$ CAPITAL]]&gt;=0,FINANCIACION[[#This Row],[$ CAPITAL]]+FINANCIACION[[#This Row],[$ INTERESES]],"")</f>
        <v>7000000</v>
      </c>
      <c r="F191" s="5">
        <f>+SUMIFS(FINANCIACION[$ CAPITAL],FINANCIACION[Fecha],"&lt;="&amp;FINANCIACION[[#This Row],[Fecha]],FINANCIACION[PRESTAMO],FINANCIACION[[#This Row],[PRESTAMO]])</f>
        <v>5723957.48825703</v>
      </c>
      <c r="G191" s="7"/>
      <c r="H191" s="53"/>
      <c r="I191" s="5">
        <f>IF(FINANCIACION[[#This Row],[$ CAPITAL]]&gt;0,FINANCIACION[[#This Row],[$ CAPITAL]])</f>
        <v>7000000</v>
      </c>
      <c r="J191" s="33">
        <f>IF(FINANCIACION[[#This Row],[$ CAPITAL]]&gt;=0,FINANCIACION[[#This Row],[$ CAPITAL]]+FINANCIACION[[#This Row],[$ INTERESES]],0)</f>
        <v>7000000</v>
      </c>
    </row>
    <row r="192" spans="1:10" ht="24" hidden="1" customHeight="1" x14ac:dyDescent="0.3">
      <c r="A192" s="142">
        <v>43858</v>
      </c>
      <c r="B192" s="50" t="s">
        <v>823</v>
      </c>
      <c r="C192" s="5"/>
      <c r="D192" s="5">
        <v>640000</v>
      </c>
      <c r="E192" s="5">
        <f>+IF(FINANCIACION[[#This Row],[$ CAPITAL]]&gt;=0,FINANCIACION[[#This Row],[$ CAPITAL]]+FINANCIACION[[#This Row],[$ INTERESES]],"")</f>
        <v>640000</v>
      </c>
      <c r="F192" s="5">
        <f>+SUMIFS(FINANCIACION[$ CAPITAL],FINANCIACION[Fecha],"&lt;="&amp;FINANCIACION[[#This Row],[Fecha]],FINANCIACION[PRESTAMO],FINANCIACION[[#This Row],[PRESTAMO]])</f>
        <v>-84000000</v>
      </c>
      <c r="G192" s="7"/>
      <c r="H192" s="53"/>
      <c r="I192" s="5" t="b">
        <f>IF(FINANCIACION[[#This Row],[$ CAPITAL]]&gt;0,FINANCIACION[[#This Row],[$ CAPITAL]])</f>
        <v>0</v>
      </c>
      <c r="J192" s="33">
        <f>IF(FINANCIACION[[#This Row],[$ CAPITAL]]&gt;=0,FINANCIACION[[#This Row],[$ CAPITAL]]+FINANCIACION[[#This Row],[$ INTERESES]],0)</f>
        <v>640000</v>
      </c>
    </row>
    <row r="193" spans="1:10" ht="24" hidden="1" customHeight="1" x14ac:dyDescent="0.3">
      <c r="A193" s="142">
        <v>43859</v>
      </c>
      <c r="B193" s="50" t="s">
        <v>822</v>
      </c>
      <c r="C193" s="5">
        <v>17947</v>
      </c>
      <c r="D193" s="5"/>
      <c r="E193" s="5">
        <f>+IF(FINANCIACION[[#This Row],[$ CAPITAL]]&gt;=0,FINANCIACION[[#This Row],[$ CAPITAL]]+FINANCIACION[[#This Row],[$ INTERESES]],"")</f>
        <v>17947</v>
      </c>
      <c r="F193" s="5">
        <f>+SUMIFS(FINANCIACION[$ CAPITAL],FINANCIACION[Fecha],"&lt;="&amp;FINANCIACION[[#This Row],[Fecha]],FINANCIACION[PRESTAMO],FINANCIACION[[#This Row],[PRESTAMO]])</f>
        <v>3512916.7682570303</v>
      </c>
      <c r="G193" s="7"/>
      <c r="H193" s="53"/>
      <c r="I193" s="5">
        <f>IF(FINANCIACION[[#This Row],[$ CAPITAL]]&gt;0,FINANCIACION[[#This Row],[$ CAPITAL]])</f>
        <v>17947</v>
      </c>
      <c r="J193" s="33">
        <f>IF(FINANCIACION[[#This Row],[$ CAPITAL]]&gt;=0,FINANCIACION[[#This Row],[$ CAPITAL]]+FINANCIACION[[#This Row],[$ INTERESES]],0)</f>
        <v>17947</v>
      </c>
    </row>
    <row r="194" spans="1:10" ht="24" hidden="1" customHeight="1" x14ac:dyDescent="0.3">
      <c r="A194" s="142">
        <v>43859</v>
      </c>
      <c r="B194" s="50" t="s">
        <v>822</v>
      </c>
      <c r="C194" s="5">
        <v>-188459.05</v>
      </c>
      <c r="D194" s="5"/>
      <c r="E194" s="5" t="str">
        <f>+IF(FINANCIACION[[#This Row],[$ CAPITAL]]&gt;=0,FINANCIACION[[#This Row],[$ CAPITAL]]+FINANCIACION[[#This Row],[$ INTERESES]],"")</f>
        <v/>
      </c>
      <c r="F194" s="5">
        <f>+SUMIFS(FINANCIACION[$ CAPITAL],FINANCIACION[Fecha],"&lt;="&amp;FINANCIACION[[#This Row],[Fecha]],FINANCIACION[PRESTAMO],FINANCIACION[[#This Row],[PRESTAMO]])</f>
        <v>3512916.7682570303</v>
      </c>
      <c r="G194" s="7"/>
      <c r="H194" s="53"/>
      <c r="I194" s="5" t="b">
        <f>IF(FINANCIACION[[#This Row],[$ CAPITAL]]&gt;0,FINANCIACION[[#This Row],[$ CAPITAL]])</f>
        <v>0</v>
      </c>
      <c r="J194" s="33">
        <f>IF(FINANCIACION[[#This Row],[$ CAPITAL]]&gt;=0,FINANCIACION[[#This Row],[$ CAPITAL]]+FINANCIACION[[#This Row],[$ INTERESES]],0)</f>
        <v>0</v>
      </c>
    </row>
    <row r="195" spans="1:10" ht="24" hidden="1" customHeight="1" x14ac:dyDescent="0.3">
      <c r="A195" s="142">
        <v>43859</v>
      </c>
      <c r="B195" s="50" t="s">
        <v>822</v>
      </c>
      <c r="C195" s="5">
        <v>-305459.05</v>
      </c>
      <c r="D195" s="5"/>
      <c r="E195" s="5" t="str">
        <f>+IF(FINANCIACION[[#This Row],[$ CAPITAL]]&gt;=0,FINANCIACION[[#This Row],[$ CAPITAL]]+FINANCIACION[[#This Row],[$ INTERESES]],"")</f>
        <v/>
      </c>
      <c r="F195" s="5">
        <f>+SUMIFS(FINANCIACION[$ CAPITAL],FINANCIACION[Fecha],"&lt;="&amp;FINANCIACION[[#This Row],[Fecha]],FINANCIACION[PRESTAMO],FINANCIACION[[#This Row],[PRESTAMO]])</f>
        <v>3512916.7682570303</v>
      </c>
      <c r="G195" s="7"/>
      <c r="H195" s="53"/>
      <c r="I195" s="5" t="b">
        <f>IF(FINANCIACION[[#This Row],[$ CAPITAL]]&gt;0,FINANCIACION[[#This Row],[$ CAPITAL]])</f>
        <v>0</v>
      </c>
      <c r="J195" s="33">
        <f>IF(FINANCIACION[[#This Row],[$ CAPITAL]]&gt;=0,FINANCIACION[[#This Row],[$ CAPITAL]]+FINANCIACION[[#This Row],[$ INTERESES]],0)</f>
        <v>0</v>
      </c>
    </row>
    <row r="196" spans="1:10" ht="24" hidden="1" customHeight="1" x14ac:dyDescent="0.3">
      <c r="A196" s="142">
        <v>43859</v>
      </c>
      <c r="B196" s="50" t="s">
        <v>822</v>
      </c>
      <c r="C196" s="5">
        <v>-1999310.62</v>
      </c>
      <c r="D196" s="5"/>
      <c r="E196" s="5" t="str">
        <f>+IF(FINANCIACION[[#This Row],[$ CAPITAL]]&gt;=0,FINANCIACION[[#This Row],[$ CAPITAL]]+FINANCIACION[[#This Row],[$ INTERESES]],"")</f>
        <v/>
      </c>
      <c r="F196" s="5">
        <f>+SUMIFS(FINANCIACION[$ CAPITAL],FINANCIACION[Fecha],"&lt;="&amp;FINANCIACION[[#This Row],[Fecha]],FINANCIACION[PRESTAMO],FINANCIACION[[#This Row],[PRESTAMO]])</f>
        <v>3512916.7682570303</v>
      </c>
      <c r="G196" s="7"/>
      <c r="H196" s="53"/>
      <c r="I196" s="5" t="b">
        <f>IF(FINANCIACION[[#This Row],[$ CAPITAL]]&gt;0,FINANCIACION[[#This Row],[$ CAPITAL]])</f>
        <v>0</v>
      </c>
      <c r="J196" s="33">
        <f>IF(FINANCIACION[[#This Row],[$ CAPITAL]]&gt;=0,FINANCIACION[[#This Row],[$ CAPITAL]]+FINANCIACION[[#This Row],[$ INTERESES]],0)</f>
        <v>0</v>
      </c>
    </row>
    <row r="197" spans="1:10" ht="24" hidden="1" customHeight="1" x14ac:dyDescent="0.3">
      <c r="A197" s="142">
        <v>43859</v>
      </c>
      <c r="B197" s="50" t="s">
        <v>822</v>
      </c>
      <c r="C197" s="5">
        <v>264241</v>
      </c>
      <c r="D197" s="5"/>
      <c r="E197" s="5">
        <f>+IF(FINANCIACION[[#This Row],[$ CAPITAL]]&gt;=0,FINANCIACION[[#This Row],[$ CAPITAL]]+FINANCIACION[[#This Row],[$ INTERESES]],"")</f>
        <v>264241</v>
      </c>
      <c r="F197" s="5">
        <f>+SUMIFS(FINANCIACION[$ CAPITAL],FINANCIACION[Fecha],"&lt;="&amp;FINANCIACION[[#This Row],[Fecha]],FINANCIACION[PRESTAMO],FINANCIACION[[#This Row],[PRESTAMO]])</f>
        <v>3512916.7682570303</v>
      </c>
      <c r="G197" s="7"/>
      <c r="H197" s="53"/>
      <c r="I197" s="5">
        <f>IF(FINANCIACION[[#This Row],[$ CAPITAL]]&gt;0,FINANCIACION[[#This Row],[$ CAPITAL]])</f>
        <v>264241</v>
      </c>
      <c r="J197" s="33">
        <f>IF(FINANCIACION[[#This Row],[$ CAPITAL]]&gt;=0,FINANCIACION[[#This Row],[$ CAPITAL]]+FINANCIACION[[#This Row],[$ INTERESES]],0)</f>
        <v>264241</v>
      </c>
    </row>
    <row r="198" spans="1:10" ht="24" hidden="1" customHeight="1" x14ac:dyDescent="0.3">
      <c r="A198" s="142">
        <v>43860</v>
      </c>
      <c r="B198" s="50" t="s">
        <v>822</v>
      </c>
      <c r="C198" s="5">
        <v>-53287.48</v>
      </c>
      <c r="D198" s="5"/>
      <c r="E198" s="5" t="str">
        <f>+IF(FINANCIACION[[#This Row],[$ CAPITAL]]&gt;=0,FINANCIACION[[#This Row],[$ CAPITAL]]+FINANCIACION[[#This Row],[$ INTERESES]],"")</f>
        <v/>
      </c>
      <c r="F198" s="5">
        <f>+SUMIFS(FINANCIACION[$ CAPITAL],FINANCIACION[Fecha],"&lt;="&amp;FINANCIACION[[#This Row],[Fecha]],FINANCIACION[PRESTAMO],FINANCIACION[[#This Row],[PRESTAMO]])</f>
        <v>3459629.2882570303</v>
      </c>
      <c r="G198" s="7"/>
      <c r="H198" s="53"/>
      <c r="I198" s="5" t="b">
        <f>IF(FINANCIACION[[#This Row],[$ CAPITAL]]&gt;0,FINANCIACION[[#This Row],[$ CAPITAL]])</f>
        <v>0</v>
      </c>
      <c r="J198" s="33">
        <f>IF(FINANCIACION[[#This Row],[$ CAPITAL]]&gt;=0,FINANCIACION[[#This Row],[$ CAPITAL]]+FINANCIACION[[#This Row],[$ INTERESES]],0)</f>
        <v>0</v>
      </c>
    </row>
    <row r="199" spans="1:10" ht="24" hidden="1" customHeight="1" x14ac:dyDescent="0.3">
      <c r="A199" s="142">
        <v>43862</v>
      </c>
      <c r="B199" s="50" t="s">
        <v>822</v>
      </c>
      <c r="C199" s="5">
        <v>1000000</v>
      </c>
      <c r="D199" s="5"/>
      <c r="E199" s="5">
        <f>+IF(FINANCIACION[[#This Row],[$ CAPITAL]]&gt;=0,FINANCIACION[[#This Row],[$ CAPITAL]]+FINANCIACION[[#This Row],[$ INTERESES]],"")</f>
        <v>1000000</v>
      </c>
      <c r="F199" s="5">
        <f>+SUMIFS(FINANCIACION[$ CAPITAL],FINANCIACION[Fecha],"&lt;="&amp;FINANCIACION[[#This Row],[Fecha]],FINANCIACION[PRESTAMO],FINANCIACION[[#This Row],[PRESTAMO]])</f>
        <v>4459629.2882570308</v>
      </c>
      <c r="G199" s="7"/>
      <c r="H199" s="53"/>
      <c r="I199" s="5">
        <f>IF(FINANCIACION[[#This Row],[$ CAPITAL]]&gt;0,FINANCIACION[[#This Row],[$ CAPITAL]])</f>
        <v>1000000</v>
      </c>
      <c r="J199" s="33">
        <f>IF(FINANCIACION[[#This Row],[$ CAPITAL]]&gt;=0,FINANCIACION[[#This Row],[$ CAPITAL]]+FINANCIACION[[#This Row],[$ INTERESES]],0)</f>
        <v>1000000</v>
      </c>
    </row>
    <row r="200" spans="1:10" ht="24" hidden="1" customHeight="1" x14ac:dyDescent="0.3">
      <c r="A200" s="142">
        <v>43864</v>
      </c>
      <c r="B200" s="50" t="s">
        <v>188</v>
      </c>
      <c r="C200" s="5">
        <v>3472222</v>
      </c>
      <c r="D200" s="5">
        <v>863672</v>
      </c>
      <c r="E200" s="5">
        <f>+IF(FINANCIACION[[#This Row],[$ CAPITAL]]&gt;=0,FINANCIACION[[#This Row],[$ CAPITAL]]+FINANCIACION[[#This Row],[$ INTERESES]],"")</f>
        <v>4335894</v>
      </c>
      <c r="F200" s="5">
        <f>+SUMIFS(FINANCIACION[$ CAPITAL],FINANCIACION[Fecha],"&lt;="&amp;FINANCIACION[[#This Row],[Fecha]],FINANCIACION[PRESTAMO],FINANCIACION[[#This Row],[PRESTAMO]])</f>
        <v>-41333336</v>
      </c>
      <c r="G200" s="7"/>
      <c r="H200" s="53"/>
      <c r="I200" s="5">
        <f>IF(FINANCIACION[[#This Row],[$ CAPITAL]]&gt;0,FINANCIACION[[#This Row],[$ CAPITAL]])</f>
        <v>3472222</v>
      </c>
      <c r="J200" s="8">
        <f>IF(FINANCIACION[[#This Row],[$ CAPITAL]]&gt;=0,FINANCIACION[[#This Row],[$ CAPITAL]]+FINANCIACION[[#This Row],[$ INTERESES]],0)</f>
        <v>4335894</v>
      </c>
    </row>
    <row r="201" spans="1:10" ht="24" hidden="1" customHeight="1" x14ac:dyDescent="0.3">
      <c r="A201" s="142">
        <v>43865</v>
      </c>
      <c r="B201" s="50" t="s">
        <v>822</v>
      </c>
      <c r="C201" s="5">
        <v>2500000</v>
      </c>
      <c r="D201" s="5">
        <v>352550</v>
      </c>
      <c r="E201" s="5">
        <f>+IF(FINANCIACION[[#This Row],[$ CAPITAL]]&gt;=0,FINANCIACION[[#This Row],[$ CAPITAL]]+FINANCIACION[[#This Row],[$ INTERESES]],"")</f>
        <v>2852550</v>
      </c>
      <c r="F201" s="5">
        <f>+SUMIFS(FINANCIACION[$ CAPITAL],FINANCIACION[Fecha],"&lt;="&amp;FINANCIACION[[#This Row],[Fecha]],FINANCIACION[PRESTAMO],FINANCIACION[[#This Row],[PRESTAMO]])</f>
        <v>6925619.2882570308</v>
      </c>
      <c r="G201" s="7"/>
      <c r="H201" s="53"/>
      <c r="I201" s="5">
        <f>IF(FINANCIACION[[#This Row],[$ CAPITAL]]&gt;0,FINANCIACION[[#This Row],[$ CAPITAL]])</f>
        <v>2500000</v>
      </c>
      <c r="J201" s="8">
        <f>IF(FINANCIACION[[#This Row],[$ CAPITAL]]&gt;=0,FINANCIACION[[#This Row],[$ CAPITAL]]+FINANCIACION[[#This Row],[$ INTERESES]],0)</f>
        <v>2852550</v>
      </c>
    </row>
    <row r="202" spans="1:10" ht="24" hidden="1" customHeight="1" x14ac:dyDescent="0.3">
      <c r="A202" s="142">
        <v>43865</v>
      </c>
      <c r="B202" s="50" t="s">
        <v>822</v>
      </c>
      <c r="C202" s="5">
        <v>-34010</v>
      </c>
      <c r="D202" s="5"/>
      <c r="E202" s="5" t="str">
        <f>+IF(FINANCIACION[[#This Row],[$ CAPITAL]]&gt;=0,FINANCIACION[[#This Row],[$ CAPITAL]]+FINANCIACION[[#This Row],[$ INTERESES]],"")</f>
        <v/>
      </c>
      <c r="F202" s="5">
        <f>+SUMIFS(FINANCIACION[$ CAPITAL],FINANCIACION[Fecha],"&lt;="&amp;FINANCIACION[[#This Row],[Fecha]],FINANCIACION[PRESTAMO],FINANCIACION[[#This Row],[PRESTAMO]])</f>
        <v>6925619.2882570308</v>
      </c>
      <c r="G202" s="7"/>
      <c r="H202" s="53"/>
      <c r="I202" s="5" t="b">
        <f>IF(FINANCIACION[[#This Row],[$ CAPITAL]]&gt;0,FINANCIACION[[#This Row],[$ CAPITAL]])</f>
        <v>0</v>
      </c>
      <c r="J202" s="8">
        <f>IF(FINANCIACION[[#This Row],[$ CAPITAL]]&gt;=0,FINANCIACION[[#This Row],[$ CAPITAL]]+FINANCIACION[[#This Row],[$ INTERESES]],0)</f>
        <v>0</v>
      </c>
    </row>
    <row r="203" spans="1:10" ht="24" hidden="1" customHeight="1" x14ac:dyDescent="0.3">
      <c r="A203" s="142">
        <v>43867</v>
      </c>
      <c r="B203" s="50" t="s">
        <v>822</v>
      </c>
      <c r="C203" s="5">
        <v>-16776</v>
      </c>
      <c r="D203" s="5"/>
      <c r="E203" s="5" t="str">
        <f>+IF(FINANCIACION[[#This Row],[$ CAPITAL]]&gt;=0,FINANCIACION[[#This Row],[$ CAPITAL]]+FINANCIACION[[#This Row],[$ INTERESES]],"")</f>
        <v/>
      </c>
      <c r="F203" s="5">
        <f>+SUMIFS(FINANCIACION[$ CAPITAL],FINANCIACION[Fecha],"&lt;="&amp;FINANCIACION[[#This Row],[Fecha]],FINANCIACION[PRESTAMO],FINANCIACION[[#This Row],[PRESTAMO]])</f>
        <v>-32089.491742968559</v>
      </c>
      <c r="G203" s="7"/>
      <c r="H203" s="53"/>
      <c r="I203" s="5" t="b">
        <f>IF(FINANCIACION[[#This Row],[$ CAPITAL]]&gt;0,FINANCIACION[[#This Row],[$ CAPITAL]])</f>
        <v>0</v>
      </c>
      <c r="J203" s="8">
        <f>IF(FINANCIACION[[#This Row],[$ CAPITAL]]&gt;=0,FINANCIACION[[#This Row],[$ CAPITAL]]+FINANCIACION[[#This Row],[$ INTERESES]],0)</f>
        <v>0</v>
      </c>
    </row>
    <row r="204" spans="1:10" ht="24" hidden="1" customHeight="1" x14ac:dyDescent="0.3">
      <c r="A204" s="142">
        <v>43867</v>
      </c>
      <c r="B204" s="50" t="s">
        <v>822</v>
      </c>
      <c r="C204" s="5">
        <v>-370225.85</v>
      </c>
      <c r="D204" s="5"/>
      <c r="E204" s="5" t="str">
        <f>+IF(FINANCIACION[[#This Row],[$ CAPITAL]]&gt;=0,FINANCIACION[[#This Row],[$ CAPITAL]]+FINANCIACION[[#This Row],[$ INTERESES]],"")</f>
        <v/>
      </c>
      <c r="F204" s="5">
        <f>+SUMIFS(FINANCIACION[$ CAPITAL],FINANCIACION[Fecha],"&lt;="&amp;FINANCIACION[[#This Row],[Fecha]],FINANCIACION[PRESTAMO],FINANCIACION[[#This Row],[PRESTAMO]])</f>
        <v>-32089.491742968559</v>
      </c>
      <c r="G204" s="7"/>
      <c r="H204" s="53"/>
      <c r="I204" s="5" t="b">
        <f>IF(FINANCIACION[[#This Row],[$ CAPITAL]]&gt;0,FINANCIACION[[#This Row],[$ CAPITAL]])</f>
        <v>0</v>
      </c>
      <c r="J204" s="8">
        <f>IF(FINANCIACION[[#This Row],[$ CAPITAL]]&gt;=0,FINANCIACION[[#This Row],[$ CAPITAL]]+FINANCIACION[[#This Row],[$ INTERESES]],0)</f>
        <v>0</v>
      </c>
    </row>
    <row r="205" spans="1:10" ht="24" hidden="1" customHeight="1" x14ac:dyDescent="0.3">
      <c r="A205" s="142">
        <v>43867</v>
      </c>
      <c r="B205" s="50" t="s">
        <v>822</v>
      </c>
      <c r="C205" s="5">
        <v>-6570706.9299999997</v>
      </c>
      <c r="D205" s="5"/>
      <c r="E205" s="5" t="str">
        <f>+IF(FINANCIACION[[#This Row],[$ CAPITAL]]&gt;=0,FINANCIACION[[#This Row],[$ CAPITAL]]+FINANCIACION[[#This Row],[$ INTERESES]],"")</f>
        <v/>
      </c>
      <c r="F205" s="5">
        <f>+SUMIFS(FINANCIACION[$ CAPITAL],FINANCIACION[Fecha],"&lt;="&amp;FINANCIACION[[#This Row],[Fecha]],FINANCIACION[PRESTAMO],FINANCIACION[[#This Row],[PRESTAMO]])</f>
        <v>-32089.491742968559</v>
      </c>
      <c r="G205" s="53"/>
      <c r="H205" s="53"/>
      <c r="I205" s="5" t="b">
        <f>IF(FINANCIACION[[#This Row],[$ CAPITAL]]&gt;0,FINANCIACION[[#This Row],[$ CAPITAL]])</f>
        <v>0</v>
      </c>
      <c r="J205" s="33">
        <f>IF(FINANCIACION[[#This Row],[$ CAPITAL]]&gt;=0,FINANCIACION[[#This Row],[$ CAPITAL]]+FINANCIACION[[#This Row],[$ INTERESES]],0)</f>
        <v>0</v>
      </c>
    </row>
    <row r="206" spans="1:10" ht="24" hidden="1" customHeight="1" x14ac:dyDescent="0.3">
      <c r="A206" s="142">
        <v>43868</v>
      </c>
      <c r="B206" s="50" t="s">
        <v>191</v>
      </c>
      <c r="C206" s="5">
        <v>6250000</v>
      </c>
      <c r="D206" s="5">
        <v>1257774.8600000001</v>
      </c>
      <c r="E206" s="5">
        <f>+IF(FINANCIACION[[#This Row],[$ CAPITAL]]&gt;=0,FINANCIACION[[#This Row],[$ CAPITAL]]+FINANCIACION[[#This Row],[$ INTERESES]],"")</f>
        <v>7507774.8600000003</v>
      </c>
      <c r="F206" s="5">
        <f>+SUMIFS(FINANCIACION[$ CAPITAL],FINANCIACION[Fecha],"&lt;="&amp;FINANCIACION[[#This Row],[Fecha]],FINANCIACION[PRESTAMO],FINANCIACION[[#This Row],[PRESTAMO]])</f>
        <v>-137500000</v>
      </c>
      <c r="G206" s="53"/>
      <c r="H206" s="53"/>
      <c r="I206" s="5">
        <f>IF(FINANCIACION[[#This Row],[$ CAPITAL]]&gt;0,FINANCIACION[[#This Row],[$ CAPITAL]])</f>
        <v>6250000</v>
      </c>
      <c r="J206" s="33">
        <f>IF(FINANCIACION[[#This Row],[$ CAPITAL]]&gt;=0,FINANCIACION[[#This Row],[$ CAPITAL]]+FINANCIACION[[#This Row],[$ INTERESES]],0)</f>
        <v>7507774.8600000003</v>
      </c>
    </row>
    <row r="207" spans="1:10" ht="24" hidden="1" customHeight="1" x14ac:dyDescent="0.3">
      <c r="A207" s="142">
        <v>43871</v>
      </c>
      <c r="B207" s="50" t="s">
        <v>819</v>
      </c>
      <c r="C207" s="5"/>
      <c r="D207" s="5">
        <v>950000</v>
      </c>
      <c r="E207" s="5">
        <f>+IF(FINANCIACION[[#This Row],[$ CAPITAL]]&gt;=0,FINANCIACION[[#This Row],[$ CAPITAL]]+FINANCIACION[[#This Row],[$ INTERESES]],"")</f>
        <v>950000</v>
      </c>
      <c r="F207" s="5">
        <f>+SUMIFS(FINANCIACION[$ CAPITAL],FINANCIACION[Fecha],"&lt;="&amp;FINANCIACION[[#This Row],[Fecha]],FINANCIACION[PRESTAMO],FINANCIACION[[#This Row],[PRESTAMO]])</f>
        <v>-94935167</v>
      </c>
      <c r="G207" s="53"/>
      <c r="H207" s="53"/>
      <c r="I207" s="5" t="b">
        <f>IF(FINANCIACION[[#This Row],[$ CAPITAL]]&gt;0,FINANCIACION[[#This Row],[$ CAPITAL]])</f>
        <v>0</v>
      </c>
      <c r="J207" s="33">
        <f>IF(FINANCIACION[[#This Row],[$ CAPITAL]]&gt;=0,FINANCIACION[[#This Row],[$ CAPITAL]]+FINANCIACION[[#This Row],[$ INTERESES]],0)</f>
        <v>950000</v>
      </c>
    </row>
    <row r="208" spans="1:10" ht="24" hidden="1" customHeight="1" x14ac:dyDescent="0.3">
      <c r="A208" s="142">
        <v>43871</v>
      </c>
      <c r="B208" s="50" t="s">
        <v>822</v>
      </c>
      <c r="C208" s="5">
        <v>-496426.88</v>
      </c>
      <c r="D208" s="5"/>
      <c r="E208" s="5" t="str">
        <f>+IF(FINANCIACION[[#This Row],[$ CAPITAL]]&gt;=0,FINANCIACION[[#This Row],[$ CAPITAL]]+FINANCIACION[[#This Row],[$ INTERESES]],"")</f>
        <v/>
      </c>
      <c r="F208" s="5">
        <f>+SUMIFS(FINANCIACION[$ CAPITAL],FINANCIACION[Fecha],"&lt;="&amp;FINANCIACION[[#This Row],[Fecha]],FINANCIACION[PRESTAMO],FINANCIACION[[#This Row],[PRESTAMO]])</f>
        <v>-528516.37174296856</v>
      </c>
      <c r="G208" s="53"/>
      <c r="H208" s="53"/>
      <c r="I208" s="5" t="b">
        <f>IF(FINANCIACION[[#This Row],[$ CAPITAL]]&gt;0,FINANCIACION[[#This Row],[$ CAPITAL]])</f>
        <v>0</v>
      </c>
      <c r="J208" s="33">
        <f>IF(FINANCIACION[[#This Row],[$ CAPITAL]]&gt;=0,FINANCIACION[[#This Row],[$ CAPITAL]]+FINANCIACION[[#This Row],[$ INTERESES]],0)</f>
        <v>0</v>
      </c>
    </row>
    <row r="209" spans="1:10" ht="24" hidden="1" customHeight="1" x14ac:dyDescent="0.3">
      <c r="A209" s="142">
        <v>43874</v>
      </c>
      <c r="B209" s="50" t="s">
        <v>822</v>
      </c>
      <c r="C209" s="5">
        <v>-75897.36</v>
      </c>
      <c r="D209" s="5"/>
      <c r="E209" s="5" t="str">
        <f>+IF(FINANCIACION[[#This Row],[$ CAPITAL]]&gt;=0,FINANCIACION[[#This Row],[$ CAPITAL]]+FINANCIACION[[#This Row],[$ INTERESES]],"")</f>
        <v/>
      </c>
      <c r="F209" s="5">
        <f>+SUMIFS(FINANCIACION[$ CAPITAL],FINANCIACION[Fecha],"&lt;="&amp;FINANCIACION[[#This Row],[Fecha]],FINANCIACION[PRESTAMO],FINANCIACION[[#This Row],[PRESTAMO]])</f>
        <v>-604413.73174296855</v>
      </c>
      <c r="G209" s="53"/>
      <c r="H209" s="53"/>
      <c r="I209" s="5" t="b">
        <f>IF(FINANCIACION[[#This Row],[$ CAPITAL]]&gt;0,FINANCIACION[[#This Row],[$ CAPITAL]])</f>
        <v>0</v>
      </c>
      <c r="J209" s="33">
        <f>IF(FINANCIACION[[#This Row],[$ CAPITAL]]&gt;=0,FINANCIACION[[#This Row],[$ CAPITAL]]+FINANCIACION[[#This Row],[$ INTERESES]],0)</f>
        <v>0</v>
      </c>
    </row>
    <row r="210" spans="1:10" ht="24" hidden="1" customHeight="1" x14ac:dyDescent="0.3">
      <c r="A210" s="142">
        <v>43879</v>
      </c>
      <c r="B210" s="50" t="s">
        <v>821</v>
      </c>
      <c r="C210" s="5">
        <v>1491748</v>
      </c>
      <c r="D210" s="5">
        <v>4588198</v>
      </c>
      <c r="E210" s="5">
        <f>+IF(FINANCIACION[[#This Row],[$ CAPITAL]]&gt;=0,FINANCIACION[[#This Row],[$ CAPITAL]]+FINANCIACION[[#This Row],[$ INTERESES]],"")</f>
        <v>6079946</v>
      </c>
      <c r="F210" s="5">
        <f>+SUMIFS(FINANCIACION[$ CAPITAL],FINANCIACION[Fecha],"&lt;="&amp;FINANCIACION[[#This Row],[Fecha]],FINANCIACION[PRESTAMO],FINANCIACION[[#This Row],[PRESTAMO]])</f>
        <v>-386165567.14314044</v>
      </c>
      <c r="G210" s="53"/>
      <c r="H210" s="53"/>
      <c r="I210" s="5">
        <f>IF(FINANCIACION[[#This Row],[$ CAPITAL]]&gt;0,FINANCIACION[[#This Row],[$ CAPITAL]])</f>
        <v>1491748</v>
      </c>
      <c r="J210" s="33">
        <f>IF(FINANCIACION[[#This Row],[$ CAPITAL]]&gt;=0,FINANCIACION[[#This Row],[$ CAPITAL]]+FINANCIACION[[#This Row],[$ INTERESES]],0)</f>
        <v>6079946</v>
      </c>
    </row>
    <row r="211" spans="1:10" ht="24" hidden="1" customHeight="1" x14ac:dyDescent="0.3">
      <c r="A211" s="142">
        <v>43879</v>
      </c>
      <c r="B211" s="50" t="s">
        <v>822</v>
      </c>
      <c r="C211" s="5">
        <v>1181094</v>
      </c>
      <c r="D211" s="5"/>
      <c r="E211" s="5">
        <f>+IF(FINANCIACION[[#This Row],[$ CAPITAL]]&gt;=0,FINANCIACION[[#This Row],[$ CAPITAL]]+FINANCIACION[[#This Row],[$ INTERESES]],"")</f>
        <v>1181094</v>
      </c>
      <c r="F211" s="5">
        <f>+SUMIFS(FINANCIACION[$ CAPITAL],FINANCIACION[Fecha],"&lt;="&amp;FINANCIACION[[#This Row],[Fecha]],FINANCIACION[PRESTAMO],FINANCIACION[[#This Row],[PRESTAMO]])</f>
        <v>5076680.2682570312</v>
      </c>
      <c r="G211" s="53"/>
      <c r="H211" s="53"/>
      <c r="I211" s="5">
        <f>IF(FINANCIACION[[#This Row],[$ CAPITAL]]&gt;0,FINANCIACION[[#This Row],[$ CAPITAL]])</f>
        <v>1181094</v>
      </c>
      <c r="J211" s="33">
        <f>IF(FINANCIACION[[#This Row],[$ CAPITAL]]&gt;=0,FINANCIACION[[#This Row],[$ CAPITAL]]+FINANCIACION[[#This Row],[$ INTERESES]],0)</f>
        <v>1181094</v>
      </c>
    </row>
    <row r="212" spans="1:10" ht="24" hidden="1" customHeight="1" x14ac:dyDescent="0.3">
      <c r="A212" s="142">
        <v>43879</v>
      </c>
      <c r="B212" s="50" t="s">
        <v>822</v>
      </c>
      <c r="C212" s="5">
        <v>1500000</v>
      </c>
      <c r="D212" s="5"/>
      <c r="E212" s="5">
        <f>+IF(FINANCIACION[[#This Row],[$ CAPITAL]]&gt;=0,FINANCIACION[[#This Row],[$ CAPITAL]]+FINANCIACION[[#This Row],[$ INTERESES]],"")</f>
        <v>1500000</v>
      </c>
      <c r="F212" s="5">
        <f>+SUMIFS(FINANCIACION[$ CAPITAL],FINANCIACION[Fecha],"&lt;="&amp;FINANCIACION[[#This Row],[Fecha]],FINANCIACION[PRESTAMO],FINANCIACION[[#This Row],[PRESTAMO]])</f>
        <v>5076680.2682570312</v>
      </c>
      <c r="G212" s="53"/>
      <c r="H212" s="53"/>
      <c r="I212" s="5">
        <f>IF(FINANCIACION[[#This Row],[$ CAPITAL]]&gt;0,FINANCIACION[[#This Row],[$ CAPITAL]])</f>
        <v>1500000</v>
      </c>
      <c r="J212" s="33">
        <f>IF(FINANCIACION[[#This Row],[$ CAPITAL]]&gt;=0,FINANCIACION[[#This Row],[$ CAPITAL]]+FINANCIACION[[#This Row],[$ INTERESES]],0)</f>
        <v>1500000</v>
      </c>
    </row>
    <row r="213" spans="1:10" ht="24" hidden="1" customHeight="1" x14ac:dyDescent="0.3">
      <c r="A213" s="142">
        <v>43879</v>
      </c>
      <c r="B213" s="50" t="s">
        <v>822</v>
      </c>
      <c r="C213" s="5">
        <v>3000000</v>
      </c>
      <c r="D213" s="5"/>
      <c r="E213" s="5">
        <f>+IF(FINANCIACION[[#This Row],[$ CAPITAL]]&gt;=0,FINANCIACION[[#This Row],[$ CAPITAL]]+FINANCIACION[[#This Row],[$ INTERESES]],"")</f>
        <v>3000000</v>
      </c>
      <c r="F213" s="5">
        <f>+SUMIFS(FINANCIACION[$ CAPITAL],FINANCIACION[Fecha],"&lt;="&amp;FINANCIACION[[#This Row],[Fecha]],FINANCIACION[PRESTAMO],FINANCIACION[[#This Row],[PRESTAMO]])</f>
        <v>5076680.2682570312</v>
      </c>
      <c r="G213" s="53"/>
      <c r="H213" s="53"/>
      <c r="I213" s="5">
        <f>IF(FINANCIACION[[#This Row],[$ CAPITAL]]&gt;0,FINANCIACION[[#This Row],[$ CAPITAL]])</f>
        <v>3000000</v>
      </c>
      <c r="J213" s="33">
        <f>IF(FINANCIACION[[#This Row],[$ CAPITAL]]&gt;=0,FINANCIACION[[#This Row],[$ CAPITAL]]+FINANCIACION[[#This Row],[$ INTERESES]],0)</f>
        <v>3000000</v>
      </c>
    </row>
    <row r="214" spans="1:10" ht="24" hidden="1" customHeight="1" x14ac:dyDescent="0.3">
      <c r="A214" s="142">
        <v>43880</v>
      </c>
      <c r="B214" s="50" t="s">
        <v>822</v>
      </c>
      <c r="C214" s="5">
        <v>-2091546</v>
      </c>
      <c r="D214" s="5"/>
      <c r="E214" s="5" t="str">
        <f>+IF(FINANCIACION[[#This Row],[$ CAPITAL]]&gt;=0,FINANCIACION[[#This Row],[$ CAPITAL]]+FINANCIACION[[#This Row],[$ INTERESES]],"")</f>
        <v/>
      </c>
      <c r="F214" s="5">
        <f>+SUMIFS(FINANCIACION[$ CAPITAL],FINANCIACION[Fecha],"&lt;="&amp;FINANCIACION[[#This Row],[Fecha]],FINANCIACION[PRESTAMO],FINANCIACION[[#This Row],[PRESTAMO]])</f>
        <v>2985134.2682570312</v>
      </c>
      <c r="G214" s="53"/>
      <c r="H214" s="53"/>
      <c r="I214" s="5" t="b">
        <f>IF(FINANCIACION[[#This Row],[$ CAPITAL]]&gt;0,FINANCIACION[[#This Row],[$ CAPITAL]])</f>
        <v>0</v>
      </c>
      <c r="J214" s="33">
        <f>IF(FINANCIACION[[#This Row],[$ CAPITAL]]&gt;=0,FINANCIACION[[#This Row],[$ CAPITAL]]+FINANCIACION[[#This Row],[$ INTERESES]],0)</f>
        <v>0</v>
      </c>
    </row>
    <row r="215" spans="1:10" ht="24" hidden="1" customHeight="1" x14ac:dyDescent="0.3">
      <c r="A215" s="142">
        <v>43881</v>
      </c>
      <c r="B215" s="50" t="s">
        <v>820</v>
      </c>
      <c r="C215" s="5">
        <v>260000</v>
      </c>
      <c r="D215" s="5">
        <v>740000</v>
      </c>
      <c r="E215" s="5">
        <f>+IF(FINANCIACION[[#This Row],[$ CAPITAL]]&gt;=0,FINANCIACION[[#This Row],[$ CAPITAL]]+FINANCIACION[[#This Row],[$ INTERESES]],"")</f>
        <v>1000000</v>
      </c>
      <c r="F215" s="5">
        <f>+SUMIFS(FINANCIACION[$ CAPITAL],FINANCIACION[Fecha],"&lt;="&amp;FINANCIACION[[#This Row],[Fecha]],FINANCIACION[PRESTAMO],FINANCIACION[[#This Row],[PRESTAMO]])</f>
        <v>-66369154</v>
      </c>
      <c r="G215" s="7"/>
      <c r="H215" s="53"/>
      <c r="I215" s="5">
        <f>IF(FINANCIACION[[#This Row],[$ CAPITAL]]&gt;0,FINANCIACION[[#This Row],[$ CAPITAL]])</f>
        <v>260000</v>
      </c>
      <c r="J215" s="33">
        <f>IF(FINANCIACION[[#This Row],[$ CAPITAL]]&gt;=0,FINANCIACION[[#This Row],[$ CAPITAL]]+FINANCIACION[[#This Row],[$ INTERESES]],0)</f>
        <v>1000000</v>
      </c>
    </row>
    <row r="216" spans="1:10" ht="24" hidden="1" customHeight="1" x14ac:dyDescent="0.3">
      <c r="A216" s="142">
        <v>43881</v>
      </c>
      <c r="B216" s="50" t="s">
        <v>820</v>
      </c>
      <c r="C216" s="5">
        <v>310000</v>
      </c>
      <c r="D216" s="5">
        <v>86900</v>
      </c>
      <c r="E216" s="5">
        <f>+IF(FINANCIACION[[#This Row],[$ CAPITAL]]&gt;=0,FINANCIACION[[#This Row],[$ CAPITAL]]+FINANCIACION[[#This Row],[$ INTERESES]],"")</f>
        <v>396900</v>
      </c>
      <c r="F216" s="5">
        <f>+SUMIFS(FINANCIACION[$ CAPITAL],FINANCIACION[Fecha],"&lt;="&amp;FINANCIACION[[#This Row],[Fecha]],FINANCIACION[PRESTAMO],FINANCIACION[[#This Row],[PRESTAMO]])</f>
        <v>-66369154</v>
      </c>
      <c r="G216" s="7"/>
      <c r="H216" s="53"/>
      <c r="I216" s="5">
        <f>IF(FINANCIACION[[#This Row],[$ CAPITAL]]&gt;0,FINANCIACION[[#This Row],[$ CAPITAL]])</f>
        <v>310000</v>
      </c>
      <c r="J216" s="8">
        <f>IF(FINANCIACION[[#This Row],[$ CAPITAL]]&gt;=0,FINANCIACION[[#This Row],[$ CAPITAL]]+FINANCIACION[[#This Row],[$ INTERESES]],0)</f>
        <v>396900</v>
      </c>
    </row>
    <row r="217" spans="1:10" ht="24" hidden="1" customHeight="1" x14ac:dyDescent="0.3">
      <c r="A217" s="142">
        <v>43881</v>
      </c>
      <c r="B217" s="50" t="s">
        <v>822</v>
      </c>
      <c r="C217" s="5">
        <v>500000</v>
      </c>
      <c r="D217" s="5"/>
      <c r="E217" s="5">
        <f>+IF(FINANCIACION[[#This Row],[$ CAPITAL]]&gt;=0,FINANCIACION[[#This Row],[$ CAPITAL]]+FINANCIACION[[#This Row],[$ INTERESES]],"")</f>
        <v>500000</v>
      </c>
      <c r="F217" s="5">
        <f>+SUMIFS(FINANCIACION[$ CAPITAL],FINANCIACION[Fecha],"&lt;="&amp;FINANCIACION[[#This Row],[Fecha]],FINANCIACION[PRESTAMO],FINANCIACION[[#This Row],[PRESTAMO]])</f>
        <v>4985134.2682570312</v>
      </c>
      <c r="G217" s="7"/>
      <c r="H217" s="53"/>
      <c r="I217" s="5">
        <f>IF(FINANCIACION[[#This Row],[$ CAPITAL]]&gt;0,FINANCIACION[[#This Row],[$ CAPITAL]])</f>
        <v>500000</v>
      </c>
      <c r="J217" s="8">
        <f>IF(FINANCIACION[[#This Row],[$ CAPITAL]]&gt;=0,FINANCIACION[[#This Row],[$ CAPITAL]]+FINANCIACION[[#This Row],[$ INTERESES]],0)</f>
        <v>500000</v>
      </c>
    </row>
    <row r="218" spans="1:10" ht="24" hidden="1" customHeight="1" x14ac:dyDescent="0.3">
      <c r="A218" s="142">
        <v>43881</v>
      </c>
      <c r="B218" s="50" t="s">
        <v>822</v>
      </c>
      <c r="C218" s="5">
        <v>1500000</v>
      </c>
      <c r="D218" s="5"/>
      <c r="E218" s="5">
        <f>+IF(FINANCIACION[[#This Row],[$ CAPITAL]]&gt;=0,FINANCIACION[[#This Row],[$ CAPITAL]]+FINANCIACION[[#This Row],[$ INTERESES]],"")</f>
        <v>1500000</v>
      </c>
      <c r="F218" s="5">
        <f>+SUMIFS(FINANCIACION[$ CAPITAL],FINANCIACION[Fecha],"&lt;="&amp;FINANCIACION[[#This Row],[Fecha]],FINANCIACION[PRESTAMO],FINANCIACION[[#This Row],[PRESTAMO]])</f>
        <v>4985134.2682570312</v>
      </c>
      <c r="G218" s="7"/>
      <c r="H218" s="53"/>
      <c r="I218" s="5">
        <f>IF(FINANCIACION[[#This Row],[$ CAPITAL]]&gt;0,FINANCIACION[[#This Row],[$ CAPITAL]])</f>
        <v>1500000</v>
      </c>
      <c r="J218" s="33">
        <f>IF(FINANCIACION[[#This Row],[$ CAPITAL]]&gt;=0,FINANCIACION[[#This Row],[$ CAPITAL]]+FINANCIACION[[#This Row],[$ INTERESES]],0)</f>
        <v>1500000</v>
      </c>
    </row>
    <row r="219" spans="1:10" ht="24" hidden="1" customHeight="1" x14ac:dyDescent="0.3">
      <c r="A219" s="142">
        <v>43882</v>
      </c>
      <c r="B219" s="50" t="s">
        <v>822</v>
      </c>
      <c r="C219" s="5">
        <v>-238000</v>
      </c>
      <c r="D219" s="5"/>
      <c r="E219" s="5" t="str">
        <f>+IF(FINANCIACION[[#This Row],[$ CAPITAL]]&gt;=0,FINANCIACION[[#This Row],[$ CAPITAL]]+FINANCIACION[[#This Row],[$ INTERESES]],"")</f>
        <v/>
      </c>
      <c r="F219" s="5">
        <f>+SUMIFS(FINANCIACION[$ CAPITAL],FINANCIACION[Fecha],"&lt;="&amp;FINANCIACION[[#This Row],[Fecha]],FINANCIACION[PRESTAMO],FINANCIACION[[#This Row],[PRESTAMO]])</f>
        <v>4747134.2682570312</v>
      </c>
      <c r="G219" s="60"/>
      <c r="H219" s="53"/>
      <c r="I219" s="5" t="b">
        <f>IF(FINANCIACION[[#This Row],[$ CAPITAL]]&gt;0,FINANCIACION[[#This Row],[$ CAPITAL]])</f>
        <v>0</v>
      </c>
      <c r="J219" s="33">
        <f>IF(FINANCIACION[[#This Row],[$ CAPITAL]]&gt;=0,FINANCIACION[[#This Row],[$ CAPITAL]]+FINANCIACION[[#This Row],[$ INTERESES]],0)</f>
        <v>0</v>
      </c>
    </row>
    <row r="220" spans="1:10" ht="24" hidden="1" customHeight="1" x14ac:dyDescent="0.3">
      <c r="A220" s="142">
        <v>43886</v>
      </c>
      <c r="B220" s="50" t="s">
        <v>187</v>
      </c>
      <c r="C220" s="52">
        <v>1250000</v>
      </c>
      <c r="D220" s="5">
        <v>229080</v>
      </c>
      <c r="E220" s="5">
        <f>+IF(FINANCIACION[[#This Row],[$ CAPITAL]]&gt;=0,FINANCIACION[[#This Row],[$ CAPITAL]]+FINANCIACION[[#This Row],[$ INTERESES]],"")</f>
        <v>1479080</v>
      </c>
      <c r="F220" s="5">
        <f>+SUMIFS(FINANCIACION[$ CAPITAL],FINANCIACION[Fecha],"&lt;="&amp;FINANCIACION[[#This Row],[Fecha]],FINANCIACION[PRESTAMO],FINANCIACION[[#This Row],[PRESTAMO]])</f>
        <v>-17500000</v>
      </c>
      <c r="G220" s="53"/>
      <c r="H220" s="53"/>
      <c r="I220" s="5">
        <f>IF(FINANCIACION[[#This Row],[$ CAPITAL]]&gt;0,FINANCIACION[[#This Row],[$ CAPITAL]])</f>
        <v>1250000</v>
      </c>
      <c r="J220" s="33">
        <f>IF(FINANCIACION[[#This Row],[$ CAPITAL]]&gt;=0,FINANCIACION[[#This Row],[$ CAPITAL]]+FINANCIACION[[#This Row],[$ INTERESES]],0)</f>
        <v>1479080</v>
      </c>
    </row>
    <row r="221" spans="1:10" ht="24" hidden="1" customHeight="1" x14ac:dyDescent="0.3">
      <c r="A221" s="142">
        <v>43887</v>
      </c>
      <c r="B221" s="50" t="s">
        <v>822</v>
      </c>
      <c r="C221" s="5">
        <v>-204035</v>
      </c>
      <c r="D221" s="5"/>
      <c r="E221" s="5" t="str">
        <f>+IF(FINANCIACION[[#This Row],[$ CAPITAL]]&gt;=0,FINANCIACION[[#This Row],[$ CAPITAL]]+FINANCIACION[[#This Row],[$ INTERESES]],"")</f>
        <v/>
      </c>
      <c r="F221" s="5">
        <f>+SUMIFS(FINANCIACION[$ CAPITAL],FINANCIACION[Fecha],"&lt;="&amp;FINANCIACION[[#This Row],[Fecha]],FINANCIACION[PRESTAMO],FINANCIACION[[#This Row],[PRESTAMO]])</f>
        <v>4543099.2682570312</v>
      </c>
      <c r="G221" s="53"/>
      <c r="H221" s="53"/>
      <c r="I221" s="5" t="b">
        <f>IF(FINANCIACION[[#This Row],[$ CAPITAL]]&gt;0,FINANCIACION[[#This Row],[$ CAPITAL]])</f>
        <v>0</v>
      </c>
      <c r="J221" s="33">
        <f>IF(FINANCIACION[[#This Row],[$ CAPITAL]]&gt;=0,FINANCIACION[[#This Row],[$ CAPITAL]]+FINANCIACION[[#This Row],[$ INTERESES]],0)</f>
        <v>0</v>
      </c>
    </row>
    <row r="222" spans="1:10" ht="24" hidden="1" customHeight="1" x14ac:dyDescent="0.3">
      <c r="A222" s="142">
        <v>43888</v>
      </c>
      <c r="B222" s="50" t="s">
        <v>822</v>
      </c>
      <c r="C222" s="5">
        <v>-259615.63</v>
      </c>
      <c r="D222" s="5"/>
      <c r="E222" s="5" t="str">
        <f>+IF(FINANCIACION[[#This Row],[$ CAPITAL]]&gt;=0,FINANCIACION[[#This Row],[$ CAPITAL]]+FINANCIACION[[#This Row],[$ INTERESES]],"")</f>
        <v/>
      </c>
      <c r="F222" s="5">
        <f>+SUMIFS(FINANCIACION[$ CAPITAL],FINANCIACION[Fecha],"&lt;="&amp;FINANCIACION[[#This Row],[Fecha]],FINANCIACION[PRESTAMO],FINANCIACION[[#This Row],[PRESTAMO]])</f>
        <v>4283483.6382570313</v>
      </c>
      <c r="G222" s="53"/>
      <c r="H222" s="53"/>
      <c r="I222" s="5" t="b">
        <f>IF(FINANCIACION[[#This Row],[$ CAPITAL]]&gt;0,FINANCIACION[[#This Row],[$ CAPITAL]])</f>
        <v>0</v>
      </c>
      <c r="J222" s="33">
        <f>IF(FINANCIACION[[#This Row],[$ CAPITAL]]&gt;=0,FINANCIACION[[#This Row],[$ CAPITAL]]+FINANCIACION[[#This Row],[$ INTERESES]],0)</f>
        <v>0</v>
      </c>
    </row>
    <row r="223" spans="1:10" ht="24" hidden="1" customHeight="1" x14ac:dyDescent="0.3">
      <c r="A223" s="142">
        <v>43890</v>
      </c>
      <c r="B223" s="50" t="s">
        <v>823</v>
      </c>
      <c r="C223" s="5"/>
      <c r="D223" s="5">
        <v>840000</v>
      </c>
      <c r="E223" s="5">
        <f>+IF(FINANCIACION[[#This Row],[$ CAPITAL]]&gt;=0,FINANCIACION[[#This Row],[$ CAPITAL]]+FINANCIACION[[#This Row],[$ INTERESES]],"")</f>
        <v>840000</v>
      </c>
      <c r="F223" s="5">
        <f>+SUMIFS(FINANCIACION[$ CAPITAL],FINANCIACION[Fecha],"&lt;="&amp;FINANCIACION[[#This Row],[Fecha]],FINANCIACION[PRESTAMO],FINANCIACION[[#This Row],[PRESTAMO]])</f>
        <v>-84000000</v>
      </c>
      <c r="G223" s="53"/>
      <c r="H223" s="53"/>
      <c r="I223" s="5" t="b">
        <f>IF(FINANCIACION[[#This Row],[$ CAPITAL]]&gt;0,FINANCIACION[[#This Row],[$ CAPITAL]])</f>
        <v>0</v>
      </c>
      <c r="J223" s="33">
        <f>IF(FINANCIACION[[#This Row],[$ CAPITAL]]&gt;=0,FINANCIACION[[#This Row],[$ CAPITAL]]+FINANCIACION[[#This Row],[$ INTERESES]],0)</f>
        <v>840000</v>
      </c>
    </row>
    <row r="224" spans="1:10" ht="24" hidden="1" customHeight="1" x14ac:dyDescent="0.3">
      <c r="A224" s="142">
        <v>43890</v>
      </c>
      <c r="B224" s="50" t="s">
        <v>820</v>
      </c>
      <c r="C224" s="5">
        <v>-829906</v>
      </c>
      <c r="D224" s="5"/>
      <c r="E224" s="5" t="str">
        <f>+IF(FINANCIACION[[#This Row],[$ CAPITAL]]&gt;=0,FINANCIACION[[#This Row],[$ CAPITAL]]+FINANCIACION[[#This Row],[$ INTERESES]],"")</f>
        <v/>
      </c>
      <c r="F224" s="5">
        <f>+SUMIFS(FINANCIACION[$ CAPITAL],FINANCIACION[Fecha],"&lt;="&amp;FINANCIACION[[#This Row],[Fecha]],FINANCIACION[PRESTAMO],FINANCIACION[[#This Row],[PRESTAMO]])</f>
        <v>-67199060</v>
      </c>
      <c r="G224" s="53"/>
      <c r="H224" s="53"/>
      <c r="I224" s="5" t="b">
        <f>IF(FINANCIACION[[#This Row],[$ CAPITAL]]&gt;0,FINANCIACION[[#This Row],[$ CAPITAL]])</f>
        <v>0</v>
      </c>
      <c r="J224" s="33">
        <f>IF(FINANCIACION[[#This Row],[$ CAPITAL]]&gt;=0,FINANCIACION[[#This Row],[$ CAPITAL]]+FINANCIACION[[#This Row],[$ INTERESES]],0)</f>
        <v>0</v>
      </c>
    </row>
    <row r="225" spans="1:10" ht="24" hidden="1" customHeight="1" x14ac:dyDescent="0.3">
      <c r="A225" s="142">
        <v>43890</v>
      </c>
      <c r="B225" s="50" t="s">
        <v>822</v>
      </c>
      <c r="C225" s="5">
        <v>-2051310.6682570393</v>
      </c>
      <c r="D225" s="5"/>
      <c r="E225" s="5" t="str">
        <f>+IF(FINANCIACION[[#This Row],[$ CAPITAL]]&gt;=0,FINANCIACION[[#This Row],[$ CAPITAL]]+FINANCIACION[[#This Row],[$ INTERESES]],"")</f>
        <v/>
      </c>
      <c r="F225" s="5">
        <f>+SUMIFS(FINANCIACION[$ CAPITAL],FINANCIACION[Fecha],"&lt;="&amp;FINANCIACION[[#This Row],[Fecha]],FINANCIACION[PRESTAMO],FINANCIACION[[#This Row],[PRESTAMO]])</f>
        <v>261463.04999999236</v>
      </c>
      <c r="G225" s="53"/>
      <c r="H225" s="53"/>
      <c r="I225" s="5" t="b">
        <f>IF(FINANCIACION[[#This Row],[$ CAPITAL]]&gt;0,FINANCIACION[[#This Row],[$ CAPITAL]])</f>
        <v>0</v>
      </c>
      <c r="J225" s="33">
        <f>IF(FINANCIACION[[#This Row],[$ CAPITAL]]&gt;=0,FINANCIACION[[#This Row],[$ CAPITAL]]+FINANCIACION[[#This Row],[$ INTERESES]],0)</f>
        <v>0</v>
      </c>
    </row>
    <row r="226" spans="1:10" ht="24" hidden="1" customHeight="1" x14ac:dyDescent="0.3">
      <c r="A226" s="142">
        <v>43890</v>
      </c>
      <c r="B226" s="50" t="s">
        <v>822</v>
      </c>
      <c r="C226" s="5">
        <v>-1970709.92</v>
      </c>
      <c r="D226" s="5"/>
      <c r="E226" s="5" t="str">
        <f>+IF(FINANCIACION[[#This Row],[$ CAPITAL]]&gt;=0,FINANCIACION[[#This Row],[$ CAPITAL]]+FINANCIACION[[#This Row],[$ INTERESES]],"")</f>
        <v/>
      </c>
      <c r="F226" s="5">
        <f>+SUMIFS(FINANCIACION[$ CAPITAL],FINANCIACION[Fecha],"&lt;="&amp;FINANCIACION[[#This Row],[Fecha]],FINANCIACION[PRESTAMO],FINANCIACION[[#This Row],[PRESTAMO]])</f>
        <v>261463.04999999236</v>
      </c>
      <c r="G226" s="53"/>
      <c r="H226" s="53"/>
      <c r="I226" s="5" t="b">
        <f>IF(FINANCIACION[[#This Row],[$ CAPITAL]]&gt;0,FINANCIACION[[#This Row],[$ CAPITAL]])</f>
        <v>0</v>
      </c>
      <c r="J226" s="33">
        <f>IF(FINANCIACION[[#This Row],[$ CAPITAL]]&gt;=0,FINANCIACION[[#This Row],[$ CAPITAL]]+FINANCIACION[[#This Row],[$ INTERESES]],0)</f>
        <v>0</v>
      </c>
    </row>
    <row r="227" spans="1:10" ht="24" hidden="1" customHeight="1" x14ac:dyDescent="0.3">
      <c r="A227" s="142">
        <v>43893</v>
      </c>
      <c r="B227" s="50" t="s">
        <v>188</v>
      </c>
      <c r="C227" s="5">
        <v>3472222</v>
      </c>
      <c r="D227" s="5">
        <v>2169302</v>
      </c>
      <c r="E227" s="5">
        <f>+IF(FINANCIACION[[#This Row],[$ CAPITAL]]&gt;=0,FINANCIACION[[#This Row],[$ CAPITAL]]+FINANCIACION[[#This Row],[$ INTERESES]],"")</f>
        <v>5641524</v>
      </c>
      <c r="F227" s="5">
        <f>+SUMIFS(FINANCIACION[$ CAPITAL],FINANCIACION[Fecha],"&lt;="&amp;FINANCIACION[[#This Row],[Fecha]],FINANCIACION[PRESTAMO],FINANCIACION[[#This Row],[PRESTAMO]])</f>
        <v>-37861114</v>
      </c>
      <c r="G227" s="53"/>
      <c r="H227" s="53"/>
      <c r="I227" s="5">
        <f>IF(FINANCIACION[[#This Row],[$ CAPITAL]]&gt;0,FINANCIACION[[#This Row],[$ CAPITAL]])</f>
        <v>3472222</v>
      </c>
      <c r="J227" s="33">
        <f>IF(FINANCIACION[[#This Row],[$ CAPITAL]]&gt;=0,FINANCIACION[[#This Row],[$ CAPITAL]]+FINANCIACION[[#This Row],[$ INTERESES]],0)</f>
        <v>5641524</v>
      </c>
    </row>
    <row r="228" spans="1:10" ht="24" hidden="1" customHeight="1" x14ac:dyDescent="0.3">
      <c r="A228" s="142">
        <v>43894</v>
      </c>
      <c r="B228" s="50" t="s">
        <v>822</v>
      </c>
      <c r="C228" s="5">
        <v>2500000</v>
      </c>
      <c r="D228" s="5">
        <v>323170.83999999985</v>
      </c>
      <c r="E228" s="5">
        <f>+IF(FINANCIACION[[#This Row],[$ CAPITAL]]&gt;=0,FINANCIACION[[#This Row],[$ CAPITAL]]+FINANCIACION[[#This Row],[$ INTERESES]],"")</f>
        <v>2823170.84</v>
      </c>
      <c r="F228" s="5">
        <f>+SUMIFS(FINANCIACION[$ CAPITAL],FINANCIACION[Fecha],"&lt;="&amp;FINANCIACION[[#This Row],[Fecha]],FINANCIACION[PRESTAMO],FINANCIACION[[#This Row],[PRESTAMO]])</f>
        <v>2761463.0499999924</v>
      </c>
      <c r="G228" s="7"/>
      <c r="H228" s="53"/>
      <c r="I228" s="5">
        <f>IF(FINANCIACION[[#This Row],[$ CAPITAL]]&gt;0,FINANCIACION[[#This Row],[$ CAPITAL]])</f>
        <v>2500000</v>
      </c>
      <c r="J228" s="8">
        <f>IF(FINANCIACION[[#This Row],[$ CAPITAL]]&gt;=0,FINANCIACION[[#This Row],[$ CAPITAL]]+FINANCIACION[[#This Row],[$ INTERESES]],0)</f>
        <v>2823170.84</v>
      </c>
    </row>
    <row r="229" spans="1:10" ht="24" hidden="1" customHeight="1" x14ac:dyDescent="0.3">
      <c r="A229" s="142">
        <v>43899</v>
      </c>
      <c r="B229" s="50" t="s">
        <v>191</v>
      </c>
      <c r="C229" s="5">
        <v>6250000</v>
      </c>
      <c r="D229" s="5">
        <v>1229000</v>
      </c>
      <c r="E229" s="5">
        <f>+IF(FINANCIACION[[#This Row],[$ CAPITAL]]&gt;=0,FINANCIACION[[#This Row],[$ CAPITAL]]+FINANCIACION[[#This Row],[$ INTERESES]],"")</f>
        <v>7479000</v>
      </c>
      <c r="F229" s="5">
        <f>+SUMIFS(FINANCIACION[$ CAPITAL],FINANCIACION[Fecha],"&lt;="&amp;FINANCIACION[[#This Row],[Fecha]],FINANCIACION[PRESTAMO],FINANCIACION[[#This Row],[PRESTAMO]])</f>
        <v>-131250000</v>
      </c>
      <c r="G229" s="7"/>
      <c r="H229" s="53"/>
      <c r="I229" s="5">
        <f>IF(FINANCIACION[[#This Row],[$ CAPITAL]]&gt;0,FINANCIACION[[#This Row],[$ CAPITAL]])</f>
        <v>6250000</v>
      </c>
      <c r="J229" s="8">
        <f>IF(FINANCIACION[[#This Row],[$ CAPITAL]]&gt;=0,FINANCIACION[[#This Row],[$ CAPITAL]]+FINANCIACION[[#This Row],[$ INTERESES]],0)</f>
        <v>7479000</v>
      </c>
    </row>
    <row r="230" spans="1:10" ht="24" hidden="1" customHeight="1" x14ac:dyDescent="0.3">
      <c r="A230" s="142">
        <v>43900</v>
      </c>
      <c r="B230" s="50" t="s">
        <v>824</v>
      </c>
      <c r="C230" s="5">
        <v>-75000000</v>
      </c>
      <c r="D230" s="5"/>
      <c r="E230" s="5" t="str">
        <f>+IF(FINANCIACION[[#This Row],[$ CAPITAL]]&gt;=0,FINANCIACION[[#This Row],[$ CAPITAL]]+FINANCIACION[[#This Row],[$ INTERESES]],"")</f>
        <v/>
      </c>
      <c r="F230" s="5">
        <f>+SUMIFS(FINANCIACION[$ CAPITAL],FINANCIACION[Fecha],"&lt;="&amp;FINANCIACION[[#This Row],[Fecha]],FINANCIACION[PRESTAMO],FINANCIACION[[#This Row],[PRESTAMO]])</f>
        <v>-75000000</v>
      </c>
      <c r="G230" s="7"/>
      <c r="H230" s="53"/>
      <c r="I230" s="5" t="b">
        <f>IF(FINANCIACION[[#This Row],[$ CAPITAL]]&gt;0,FINANCIACION[[#This Row],[$ CAPITAL]])</f>
        <v>0</v>
      </c>
      <c r="J230" s="33">
        <f>IF(FINANCIACION[[#This Row],[$ CAPITAL]]&gt;=0,FINANCIACION[[#This Row],[$ CAPITAL]]+FINANCIACION[[#This Row],[$ INTERESES]],0)</f>
        <v>0</v>
      </c>
    </row>
    <row r="231" spans="1:10" ht="24" hidden="1" customHeight="1" x14ac:dyDescent="0.3">
      <c r="A231" s="142">
        <v>43901</v>
      </c>
      <c r="B231" s="50" t="s">
        <v>822</v>
      </c>
      <c r="C231" s="52">
        <v>3000000</v>
      </c>
      <c r="D231" s="5"/>
      <c r="E231" s="5">
        <f>+IF(FINANCIACION[[#This Row],[$ CAPITAL]]&gt;=0,FINANCIACION[[#This Row],[$ CAPITAL]]+FINANCIACION[[#This Row],[$ INTERESES]],"")</f>
        <v>3000000</v>
      </c>
      <c r="F231" s="5">
        <f>+SUMIFS(FINANCIACION[$ CAPITAL],FINANCIACION[Fecha],"&lt;="&amp;FINANCIACION[[#This Row],[Fecha]],FINANCIACION[PRESTAMO],FINANCIACION[[#This Row],[PRESTAMO]])</f>
        <v>5761463.0499999924</v>
      </c>
      <c r="G231" s="53"/>
      <c r="H231" s="53"/>
      <c r="I231" s="5">
        <f>IF(FINANCIACION[[#This Row],[$ CAPITAL]]&gt;0,FINANCIACION[[#This Row],[$ CAPITAL]])</f>
        <v>3000000</v>
      </c>
      <c r="J231" s="33">
        <f>IF(FINANCIACION[[#This Row],[$ CAPITAL]]&gt;=0,FINANCIACION[[#This Row],[$ CAPITAL]]+FINANCIACION[[#This Row],[$ INTERESES]],0)</f>
        <v>3000000</v>
      </c>
    </row>
    <row r="232" spans="1:10" ht="24" hidden="1" customHeight="1" x14ac:dyDescent="0.3">
      <c r="A232" s="142">
        <v>43906</v>
      </c>
      <c r="B232" s="50" t="s">
        <v>822</v>
      </c>
      <c r="C232" s="5">
        <v>1000000</v>
      </c>
      <c r="D232" s="5"/>
      <c r="E232" s="5">
        <f>+IF(FINANCIACION[[#This Row],[$ CAPITAL]]&gt;=0,FINANCIACION[[#This Row],[$ CAPITAL]]+FINANCIACION[[#This Row],[$ INTERESES]],"")</f>
        <v>1000000</v>
      </c>
      <c r="F232" s="5">
        <f>+SUMIFS(FINANCIACION[$ CAPITAL],FINANCIACION[Fecha],"&lt;="&amp;FINANCIACION[[#This Row],[Fecha]],FINANCIACION[PRESTAMO],FINANCIACION[[#This Row],[PRESTAMO]])</f>
        <v>8761463.0499999933</v>
      </c>
      <c r="G232" s="53"/>
      <c r="H232" s="53"/>
      <c r="I232" s="5">
        <f>IF(FINANCIACION[[#This Row],[$ CAPITAL]]&gt;0,FINANCIACION[[#This Row],[$ CAPITAL]])</f>
        <v>1000000</v>
      </c>
      <c r="J232" s="33">
        <f>IF(FINANCIACION[[#This Row],[$ CAPITAL]]&gt;=0,FINANCIACION[[#This Row],[$ CAPITAL]]+FINANCIACION[[#This Row],[$ INTERESES]],0)</f>
        <v>1000000</v>
      </c>
    </row>
    <row r="233" spans="1:10" ht="24" hidden="1" customHeight="1" x14ac:dyDescent="0.3">
      <c r="A233" s="142">
        <v>43906</v>
      </c>
      <c r="B233" s="50" t="s">
        <v>822</v>
      </c>
      <c r="C233" s="5">
        <v>2000000</v>
      </c>
      <c r="D233" s="5"/>
      <c r="E233" s="5">
        <f>+IF(FINANCIACION[[#This Row],[$ CAPITAL]]&gt;=0,FINANCIACION[[#This Row],[$ CAPITAL]]+FINANCIACION[[#This Row],[$ INTERESES]],"")</f>
        <v>2000000</v>
      </c>
      <c r="F233" s="5">
        <f>+SUMIFS(FINANCIACION[$ CAPITAL],FINANCIACION[Fecha],"&lt;="&amp;FINANCIACION[[#This Row],[Fecha]],FINANCIACION[PRESTAMO],FINANCIACION[[#This Row],[PRESTAMO]])</f>
        <v>8761463.0499999933</v>
      </c>
      <c r="G233" s="53"/>
      <c r="H233" s="53"/>
      <c r="I233" s="5">
        <f>IF(FINANCIACION[[#This Row],[$ CAPITAL]]&gt;0,FINANCIACION[[#This Row],[$ CAPITAL]])</f>
        <v>2000000</v>
      </c>
      <c r="J233" s="33">
        <f>IF(FINANCIACION[[#This Row],[$ CAPITAL]]&gt;=0,FINANCIACION[[#This Row],[$ CAPITAL]]+FINANCIACION[[#This Row],[$ INTERESES]],0)</f>
        <v>2000000</v>
      </c>
    </row>
    <row r="234" spans="1:10" ht="24" hidden="1" customHeight="1" x14ac:dyDescent="0.3">
      <c r="A234" s="142">
        <v>43908</v>
      </c>
      <c r="B234" s="50" t="s">
        <v>821</v>
      </c>
      <c r="C234" s="5">
        <v>1513636.1431404999</v>
      </c>
      <c r="D234" s="5">
        <v>4992178.8568594996</v>
      </c>
      <c r="E234" s="5">
        <f>+IF(FINANCIACION[[#This Row],[$ CAPITAL]]&gt;=0,FINANCIACION[[#This Row],[$ CAPITAL]]+FINANCIACION[[#This Row],[$ INTERESES]],"")</f>
        <v>6505815</v>
      </c>
      <c r="F234" s="5">
        <f>+SUMIFS(FINANCIACION[$ CAPITAL],FINANCIACION[Fecha],"&lt;="&amp;FINANCIACION[[#This Row],[Fecha]],FINANCIACION[PRESTAMO],FINANCIACION[[#This Row],[PRESTAMO]])</f>
        <v>-384651930.99999994</v>
      </c>
      <c r="G234" s="53"/>
      <c r="H234" s="53"/>
      <c r="I234" s="5">
        <f>IF(FINANCIACION[[#This Row],[$ CAPITAL]]&gt;0,FINANCIACION[[#This Row],[$ CAPITAL]])</f>
        <v>1513636.1431404999</v>
      </c>
      <c r="J234" s="33">
        <f>IF(FINANCIACION[[#This Row],[$ CAPITAL]]&gt;=0,FINANCIACION[[#This Row],[$ CAPITAL]]+FINANCIACION[[#This Row],[$ INTERESES]],0)</f>
        <v>6505815</v>
      </c>
    </row>
    <row r="235" spans="1:10" ht="24" hidden="1" customHeight="1" x14ac:dyDescent="0.3">
      <c r="A235" s="142">
        <v>43915</v>
      </c>
      <c r="B235" s="50" t="s">
        <v>187</v>
      </c>
      <c r="C235" s="5">
        <v>1250000</v>
      </c>
      <c r="D235" s="5">
        <v>214114</v>
      </c>
      <c r="E235" s="5">
        <f>+IF(FINANCIACION[[#This Row],[$ CAPITAL]]&gt;=0,FINANCIACION[[#This Row],[$ CAPITAL]]+FINANCIACION[[#This Row],[$ INTERESES]],"")</f>
        <v>1464114</v>
      </c>
      <c r="F235" s="5">
        <f>+SUMIFS(FINANCIACION[$ CAPITAL],FINANCIACION[Fecha],"&lt;="&amp;FINANCIACION[[#This Row],[Fecha]],FINANCIACION[PRESTAMO],FINANCIACION[[#This Row],[PRESTAMO]])</f>
        <v>-16250000</v>
      </c>
      <c r="G235" s="53"/>
      <c r="H235" s="53"/>
      <c r="I235" s="5">
        <f>IF(FINANCIACION[[#This Row],[$ CAPITAL]]&gt;0,FINANCIACION[[#This Row],[$ CAPITAL]])</f>
        <v>1250000</v>
      </c>
      <c r="J235" s="33">
        <f>IF(FINANCIACION[[#This Row],[$ CAPITAL]]&gt;=0,FINANCIACION[[#This Row],[$ CAPITAL]]+FINANCIACION[[#This Row],[$ INTERESES]],0)</f>
        <v>1464114</v>
      </c>
    </row>
    <row r="236" spans="1:10" ht="24" hidden="1" customHeight="1" x14ac:dyDescent="0.3">
      <c r="A236" s="142">
        <v>43927</v>
      </c>
      <c r="B236" s="50" t="s">
        <v>822</v>
      </c>
      <c r="C236" s="5">
        <v>1063762</v>
      </c>
      <c r="D236" s="5"/>
      <c r="E236" s="5">
        <f>+IF(FINANCIACION[[#This Row],[$ CAPITAL]]&gt;=0,FINANCIACION[[#This Row],[$ CAPITAL]]+FINANCIACION[[#This Row],[$ INTERESES]],"")</f>
        <v>1063762</v>
      </c>
      <c r="F236" s="5">
        <f>+SUMIFS(FINANCIACION[$ CAPITAL],FINANCIACION[Fecha],"&lt;="&amp;FINANCIACION[[#This Row],[Fecha]],FINANCIACION[PRESTAMO],FINANCIACION[[#This Row],[PRESTAMO]])</f>
        <v>9825225.0499999933</v>
      </c>
      <c r="G236" s="7"/>
      <c r="H236" s="53"/>
      <c r="I236" s="5">
        <f>IF(FINANCIACION[[#This Row],[$ CAPITAL]]&gt;0,FINANCIACION[[#This Row],[$ CAPITAL]])</f>
        <v>1063762</v>
      </c>
      <c r="J236" s="33">
        <f>IF(FINANCIACION[[#This Row],[$ CAPITAL]]&gt;=0,FINANCIACION[[#This Row],[$ CAPITAL]]+FINANCIACION[[#This Row],[$ INTERESES]],0)</f>
        <v>1063762</v>
      </c>
    </row>
    <row r="237" spans="1:10" ht="24" hidden="1" customHeight="1" x14ac:dyDescent="0.3">
      <c r="A237" s="142">
        <v>43930</v>
      </c>
      <c r="B237" s="50" t="s">
        <v>822</v>
      </c>
      <c r="C237" s="52">
        <v>-1235000</v>
      </c>
      <c r="D237" s="5"/>
      <c r="E237" s="5" t="str">
        <f>+IF(FINANCIACION[[#This Row],[$ CAPITAL]]&gt;=0,FINANCIACION[[#This Row],[$ CAPITAL]]+FINANCIACION[[#This Row],[$ INTERESES]],"")</f>
        <v/>
      </c>
      <c r="F237" s="5">
        <f>+SUMIFS(FINANCIACION[$ CAPITAL],FINANCIACION[Fecha],"&lt;="&amp;FINANCIACION[[#This Row],[Fecha]],FINANCIACION[PRESTAMO],FINANCIACION[[#This Row],[PRESTAMO]])</f>
        <v>8590225.0499999933</v>
      </c>
      <c r="G237" s="53"/>
      <c r="H237" s="53"/>
      <c r="I237" s="5" t="b">
        <f>IF(FINANCIACION[[#This Row],[$ CAPITAL]]&gt;0,FINANCIACION[[#This Row],[$ CAPITAL]])</f>
        <v>0</v>
      </c>
      <c r="J237" s="33">
        <f>IF(FINANCIACION[[#This Row],[$ CAPITAL]]&gt;=0,FINANCIACION[[#This Row],[$ CAPITAL]]+FINANCIACION[[#This Row],[$ INTERESES]],0)</f>
        <v>0</v>
      </c>
    </row>
    <row r="238" spans="1:10" ht="24" hidden="1" customHeight="1" x14ac:dyDescent="0.3">
      <c r="A238" s="142">
        <v>43935</v>
      </c>
      <c r="B238" s="50" t="s">
        <v>822</v>
      </c>
      <c r="C238" s="5">
        <v>1030593</v>
      </c>
      <c r="D238" s="5"/>
      <c r="E238" s="5">
        <f>+IF(FINANCIACION[[#This Row],[$ CAPITAL]]&gt;=0,FINANCIACION[[#This Row],[$ CAPITAL]]+FINANCIACION[[#This Row],[$ INTERESES]],"")</f>
        <v>1030593</v>
      </c>
      <c r="F238" s="5">
        <f>+SUMIFS(FINANCIACION[$ CAPITAL],FINANCIACION[Fecha],"&lt;="&amp;FINANCIACION[[#This Row],[Fecha]],FINANCIACION[PRESTAMO],FINANCIACION[[#This Row],[PRESTAMO]])</f>
        <v>9620818.0499999933</v>
      </c>
      <c r="G238" s="53"/>
      <c r="H238" s="53"/>
      <c r="I238" s="5">
        <f>IF(FINANCIACION[[#This Row],[$ CAPITAL]]&gt;0,FINANCIACION[[#This Row],[$ CAPITAL]])</f>
        <v>1030593</v>
      </c>
      <c r="J238" s="33">
        <f>IF(FINANCIACION[[#This Row],[$ CAPITAL]]&gt;=0,FINANCIACION[[#This Row],[$ CAPITAL]]+FINANCIACION[[#This Row],[$ INTERESES]],0)</f>
        <v>1030593</v>
      </c>
    </row>
    <row r="239" spans="1:10" ht="24" hidden="1" customHeight="1" x14ac:dyDescent="0.3">
      <c r="A239" s="142">
        <v>43948</v>
      </c>
      <c r="B239" s="50" t="s">
        <v>822</v>
      </c>
      <c r="C239" s="5">
        <v>194501</v>
      </c>
      <c r="D239" s="5"/>
      <c r="E239" s="5">
        <f>+IF(FINANCIACION[[#This Row],[$ CAPITAL]]&gt;=0,FINANCIACION[[#This Row],[$ CAPITAL]]+FINANCIACION[[#This Row],[$ INTERESES]],"")</f>
        <v>194501</v>
      </c>
      <c r="F239" s="5">
        <f>+SUMIFS(FINANCIACION[$ CAPITAL],FINANCIACION[Fecha],"&lt;="&amp;FINANCIACION[[#This Row],[Fecha]],FINANCIACION[PRESTAMO],FINANCIACION[[#This Row],[PRESTAMO]])</f>
        <v>9815319.0499999933</v>
      </c>
      <c r="G239" s="53"/>
      <c r="H239" s="53"/>
      <c r="I239" s="5">
        <f>IF(FINANCIACION[[#This Row],[$ CAPITAL]]&gt;0,FINANCIACION[[#This Row],[$ CAPITAL]])</f>
        <v>194501</v>
      </c>
      <c r="J239" s="33">
        <f>IF(FINANCIACION[[#This Row],[$ CAPITAL]]&gt;=0,FINANCIACION[[#This Row],[$ CAPITAL]]+FINANCIACION[[#This Row],[$ INTERESES]],0)</f>
        <v>194501</v>
      </c>
    </row>
    <row r="240" spans="1:10" ht="24" hidden="1" customHeight="1" x14ac:dyDescent="0.3">
      <c r="A240" s="142">
        <v>43951</v>
      </c>
      <c r="B240" s="50" t="s">
        <v>822</v>
      </c>
      <c r="C240" s="5">
        <v>-2289805</v>
      </c>
      <c r="D240" s="5"/>
      <c r="E240" s="5" t="str">
        <f>+IF(FINANCIACION[[#This Row],[$ CAPITAL]]&gt;=0,FINANCIACION[[#This Row],[$ CAPITAL]]+FINANCIACION[[#This Row],[$ INTERESES]],"")</f>
        <v/>
      </c>
      <c r="F240" s="5">
        <f>+SUMIFS(FINANCIACION[$ CAPITAL],FINANCIACION[Fecha],"&lt;="&amp;FINANCIACION[[#This Row],[Fecha]],FINANCIACION[PRESTAMO],FINANCIACION[[#This Row],[PRESTAMO]])</f>
        <v>7525514.0499999933</v>
      </c>
      <c r="G240" s="53"/>
      <c r="H240" s="53"/>
      <c r="I240" s="5" t="b">
        <f>IF(FINANCIACION[[#This Row],[$ CAPITAL]]&gt;0,FINANCIACION[[#This Row],[$ CAPITAL]])</f>
        <v>0</v>
      </c>
      <c r="J240" s="33">
        <f>IF(FINANCIACION[[#This Row],[$ CAPITAL]]&gt;=0,FINANCIACION[[#This Row],[$ CAPITAL]]+FINANCIACION[[#This Row],[$ INTERESES]],0)</f>
        <v>0</v>
      </c>
    </row>
    <row r="241" spans="1:10" ht="24" hidden="1" customHeight="1" x14ac:dyDescent="0.3">
      <c r="A241" s="142">
        <v>43952</v>
      </c>
      <c r="B241" s="50" t="s">
        <v>822</v>
      </c>
      <c r="C241" s="5">
        <v>-39625275</v>
      </c>
      <c r="D241" s="5"/>
      <c r="E241" s="5" t="str">
        <f>+IF(FINANCIACION[[#This Row],[$ CAPITAL]]&gt;=0,FINANCIACION[[#This Row],[$ CAPITAL]]+FINANCIACION[[#This Row],[$ INTERESES]],"")</f>
        <v/>
      </c>
      <c r="F241" s="5">
        <f>+SUMIFS(FINANCIACION[$ CAPITAL],FINANCIACION[Fecha],"&lt;="&amp;FINANCIACION[[#This Row],[Fecha]],FINANCIACION[PRESTAMO],FINANCIACION[[#This Row],[PRESTAMO]])</f>
        <v>-32099760.950000007</v>
      </c>
      <c r="G241" s="53"/>
      <c r="H241" s="53"/>
      <c r="I241" s="5" t="b">
        <f>IF(FINANCIACION[[#This Row],[$ CAPITAL]]&gt;0,FINANCIACION[[#This Row],[$ CAPITAL]])</f>
        <v>0</v>
      </c>
      <c r="J241" s="33">
        <f>IF(FINANCIACION[[#This Row],[$ CAPITAL]]&gt;=0,FINANCIACION[[#This Row],[$ CAPITAL]]+FINANCIACION[[#This Row],[$ INTERESES]],0)</f>
        <v>0</v>
      </c>
    </row>
    <row r="242" spans="1:10" ht="24" hidden="1" customHeight="1" x14ac:dyDescent="0.3">
      <c r="A242" s="142">
        <v>43952</v>
      </c>
      <c r="B242" s="50" t="s">
        <v>822</v>
      </c>
      <c r="C242" s="5"/>
      <c r="D242" s="5">
        <v>1688036.71</v>
      </c>
      <c r="E242" s="5">
        <f>+IF(FINANCIACION[[#This Row],[$ CAPITAL]]&gt;=0,FINANCIACION[[#This Row],[$ CAPITAL]]+FINANCIACION[[#This Row],[$ INTERESES]],"")</f>
        <v>1688036.71</v>
      </c>
      <c r="F242" s="5">
        <f>+SUMIFS(FINANCIACION[$ CAPITAL],FINANCIACION[Fecha],"&lt;="&amp;FINANCIACION[[#This Row],[Fecha]],FINANCIACION[PRESTAMO],FINANCIACION[[#This Row],[PRESTAMO]])</f>
        <v>-32099760.950000007</v>
      </c>
      <c r="G242" s="53"/>
      <c r="H242" s="53"/>
      <c r="I242" s="5" t="b">
        <f>IF(FINANCIACION[[#This Row],[$ CAPITAL]]&gt;0,FINANCIACION[[#This Row],[$ CAPITAL]])</f>
        <v>0</v>
      </c>
      <c r="J242" s="33">
        <f>IF(FINANCIACION[[#This Row],[$ CAPITAL]]&gt;=0,FINANCIACION[[#This Row],[$ CAPITAL]]+FINANCIACION[[#This Row],[$ INTERESES]],0)</f>
        <v>1688036.71</v>
      </c>
    </row>
    <row r="243" spans="1:10" ht="24" hidden="1" customHeight="1" x14ac:dyDescent="0.3">
      <c r="A243" s="142">
        <v>43958</v>
      </c>
      <c r="B243" s="50" t="s">
        <v>822</v>
      </c>
      <c r="C243" s="5">
        <v>-1532050</v>
      </c>
      <c r="D243" s="5"/>
      <c r="E243" s="5" t="str">
        <f>+IF(FINANCIACION[[#This Row],[$ CAPITAL]]&gt;=0,FINANCIACION[[#This Row],[$ CAPITAL]]+FINANCIACION[[#This Row],[$ INTERESES]],"")</f>
        <v/>
      </c>
      <c r="F243" s="5">
        <f>+SUMIFS(FINANCIACION[$ CAPITAL],FINANCIACION[Fecha],"&lt;="&amp;FINANCIACION[[#This Row],[Fecha]],FINANCIACION[PRESTAMO],FINANCIACION[[#This Row],[PRESTAMO]])</f>
        <v>-39372691.950000003</v>
      </c>
      <c r="G243" s="53"/>
      <c r="H243" s="53"/>
      <c r="I243" s="5" t="b">
        <f>IF(FINANCIACION[[#This Row],[$ CAPITAL]]&gt;0,FINANCIACION[[#This Row],[$ CAPITAL]])</f>
        <v>0</v>
      </c>
      <c r="J243" s="33">
        <f>IF(FINANCIACION[[#This Row],[$ CAPITAL]]&gt;=0,FINANCIACION[[#This Row],[$ CAPITAL]]+FINANCIACION[[#This Row],[$ INTERESES]],0)</f>
        <v>0</v>
      </c>
    </row>
    <row r="244" spans="1:10" ht="24" hidden="1" customHeight="1" x14ac:dyDescent="0.3">
      <c r="A244" s="142">
        <v>43958</v>
      </c>
      <c r="B244" s="50" t="s">
        <v>822</v>
      </c>
      <c r="C244" s="5">
        <v>800765</v>
      </c>
      <c r="D244" s="5"/>
      <c r="E244" s="5">
        <f>+IF(FINANCIACION[[#This Row],[$ CAPITAL]]&gt;=0,FINANCIACION[[#This Row],[$ CAPITAL]]+FINANCIACION[[#This Row],[$ INTERESES]],"")</f>
        <v>800765</v>
      </c>
      <c r="F244" s="5">
        <f>+SUMIFS(FINANCIACION[$ CAPITAL],FINANCIACION[Fecha],"&lt;="&amp;FINANCIACION[[#This Row],[Fecha]],FINANCIACION[PRESTAMO],FINANCIACION[[#This Row],[PRESTAMO]])</f>
        <v>-39372691.950000003</v>
      </c>
      <c r="G244" s="53"/>
      <c r="H244" s="53"/>
      <c r="I244" s="5">
        <f>IF(FINANCIACION[[#This Row],[$ CAPITAL]]&gt;0,FINANCIACION[[#This Row],[$ CAPITAL]])</f>
        <v>800765</v>
      </c>
      <c r="J244" s="33">
        <f>IF(FINANCIACION[[#This Row],[$ CAPITAL]]&gt;=0,FINANCIACION[[#This Row],[$ CAPITAL]]+FINANCIACION[[#This Row],[$ INTERESES]],0)</f>
        <v>800765</v>
      </c>
    </row>
    <row r="245" spans="1:10" ht="24" hidden="1" customHeight="1" x14ac:dyDescent="0.3">
      <c r="A245" s="142">
        <v>43958</v>
      </c>
      <c r="B245" s="50" t="s">
        <v>822</v>
      </c>
      <c r="C245" s="5">
        <v>-6541646</v>
      </c>
      <c r="D245" s="5"/>
      <c r="E245" s="5" t="str">
        <f>+IF(FINANCIACION[[#This Row],[$ CAPITAL]]&gt;=0,FINANCIACION[[#This Row],[$ CAPITAL]]+FINANCIACION[[#This Row],[$ INTERESES]],"")</f>
        <v/>
      </c>
      <c r="F245" s="5">
        <f>+SUMIFS(FINANCIACION[$ CAPITAL],FINANCIACION[Fecha],"&lt;="&amp;FINANCIACION[[#This Row],[Fecha]],FINANCIACION[PRESTAMO],FINANCIACION[[#This Row],[PRESTAMO]])</f>
        <v>-39372691.950000003</v>
      </c>
      <c r="G245" s="7"/>
      <c r="H245" s="53"/>
      <c r="I245" s="5" t="b">
        <f>IF(FINANCIACION[[#This Row],[$ CAPITAL]]&gt;0,FINANCIACION[[#This Row],[$ CAPITAL]])</f>
        <v>0</v>
      </c>
      <c r="J245" s="33">
        <f>IF(FINANCIACION[[#This Row],[$ CAPITAL]]&gt;=0,FINANCIACION[[#This Row],[$ CAPITAL]]+FINANCIACION[[#This Row],[$ INTERESES]],0)</f>
        <v>0</v>
      </c>
    </row>
    <row r="246" spans="1:10" ht="24" hidden="1" customHeight="1" x14ac:dyDescent="0.3">
      <c r="A246" s="142">
        <v>43970</v>
      </c>
      <c r="B246" s="50" t="s">
        <v>822</v>
      </c>
      <c r="C246" s="5">
        <v>-18600000</v>
      </c>
      <c r="D246" s="5"/>
      <c r="E246" s="5" t="str">
        <f>+IF(FINANCIACION[[#This Row],[$ CAPITAL]]&gt;=0,FINANCIACION[[#This Row],[$ CAPITAL]]+FINANCIACION[[#This Row],[$ INTERESES]],"")</f>
        <v/>
      </c>
      <c r="F246" s="5">
        <f>+SUMIFS(FINANCIACION[$ CAPITAL],FINANCIACION[Fecha],"&lt;="&amp;FINANCIACION[[#This Row],[Fecha]],FINANCIACION[PRESTAMO],FINANCIACION[[#This Row],[PRESTAMO]])</f>
        <v>-57972691.950000003</v>
      </c>
      <c r="G246" s="7"/>
      <c r="H246" s="53"/>
      <c r="I246" s="5" t="b">
        <f>IF(FINANCIACION[[#This Row],[$ CAPITAL]]&gt;0,FINANCIACION[[#This Row],[$ CAPITAL]])</f>
        <v>0</v>
      </c>
      <c r="J246" s="33">
        <f>IF(FINANCIACION[[#This Row],[$ CAPITAL]]&gt;=0,FINANCIACION[[#This Row],[$ CAPITAL]]+FINANCIACION[[#This Row],[$ INTERESES]],0)</f>
        <v>0</v>
      </c>
    </row>
    <row r="247" spans="1:10" ht="24" hidden="1" customHeight="1" x14ac:dyDescent="0.3">
      <c r="A247" s="142">
        <v>43971</v>
      </c>
      <c r="B247" s="50" t="s">
        <v>823</v>
      </c>
      <c r="C247" s="5"/>
      <c r="D247" s="5">
        <v>840000</v>
      </c>
      <c r="E247" s="5">
        <f>+IF(FINANCIACION[[#This Row],[$ CAPITAL]]&gt;=0,FINANCIACION[[#This Row],[$ CAPITAL]]+FINANCIACION[[#This Row],[$ INTERESES]],"")</f>
        <v>840000</v>
      </c>
      <c r="F247" s="5">
        <f>+SUMIFS(FINANCIACION[$ CAPITAL],FINANCIACION[Fecha],"&lt;="&amp;FINANCIACION[[#This Row],[Fecha]],FINANCIACION[PRESTAMO],FINANCIACION[[#This Row],[PRESTAMO]])</f>
        <v>-84000000</v>
      </c>
      <c r="G247" s="7"/>
      <c r="H247" s="53"/>
      <c r="I247" s="5" t="b">
        <f>IF(FINANCIACION[[#This Row],[$ CAPITAL]]&gt;0,FINANCIACION[[#This Row],[$ CAPITAL]])</f>
        <v>0</v>
      </c>
      <c r="J247" s="33">
        <f>IF(FINANCIACION[[#This Row],[$ CAPITAL]]&gt;=0,FINANCIACION[[#This Row],[$ CAPITAL]]+FINANCIACION[[#This Row],[$ INTERESES]],0)</f>
        <v>840000</v>
      </c>
    </row>
    <row r="248" spans="1:10" ht="24" hidden="1" customHeight="1" x14ac:dyDescent="0.3">
      <c r="A248" s="142">
        <v>43973</v>
      </c>
      <c r="B248" s="50" t="s">
        <v>822</v>
      </c>
      <c r="C248" s="5">
        <v>113227.5</v>
      </c>
      <c r="D248" s="5"/>
      <c r="E248" s="5">
        <f>+IF(FINANCIACION[[#This Row],[$ CAPITAL]]&gt;=0,FINANCIACION[[#This Row],[$ CAPITAL]]+FINANCIACION[[#This Row],[$ INTERESES]],"")</f>
        <v>113227.5</v>
      </c>
      <c r="F248" s="5">
        <f>+SUMIFS(FINANCIACION[$ CAPITAL],FINANCIACION[Fecha],"&lt;="&amp;FINANCIACION[[#This Row],[Fecha]],FINANCIACION[PRESTAMO],FINANCIACION[[#This Row],[PRESTAMO]])</f>
        <v>-48459464.450000003</v>
      </c>
      <c r="G248" s="7"/>
      <c r="H248" s="53"/>
      <c r="I248" s="5">
        <f>IF(FINANCIACION[[#This Row],[$ CAPITAL]]&gt;0,FINANCIACION[[#This Row],[$ CAPITAL]])</f>
        <v>113227.5</v>
      </c>
      <c r="J248" s="33">
        <f>IF(FINANCIACION[[#This Row],[$ CAPITAL]]&gt;=0,FINANCIACION[[#This Row],[$ CAPITAL]]+FINANCIACION[[#This Row],[$ INTERESES]],0)</f>
        <v>113227.5</v>
      </c>
    </row>
    <row r="249" spans="1:10" ht="24" hidden="1" customHeight="1" x14ac:dyDescent="0.3">
      <c r="A249" s="142">
        <v>43973</v>
      </c>
      <c r="B249" s="50" t="s">
        <v>822</v>
      </c>
      <c r="C249" s="5">
        <v>9400000</v>
      </c>
      <c r="D249" s="5"/>
      <c r="E249" s="5">
        <f>+IF(FINANCIACION[[#This Row],[$ CAPITAL]]&gt;=0,FINANCIACION[[#This Row],[$ CAPITAL]]+FINANCIACION[[#This Row],[$ INTERESES]],"")</f>
        <v>9400000</v>
      </c>
      <c r="F249" s="5">
        <f>+SUMIFS(FINANCIACION[$ CAPITAL],FINANCIACION[Fecha],"&lt;="&amp;FINANCIACION[[#This Row],[Fecha]],FINANCIACION[PRESTAMO],FINANCIACION[[#This Row],[PRESTAMO]])</f>
        <v>-48459464.450000003</v>
      </c>
      <c r="G249" s="7"/>
      <c r="H249" s="53"/>
      <c r="I249" s="5">
        <f>IF(FINANCIACION[[#This Row],[$ CAPITAL]]&gt;0,FINANCIACION[[#This Row],[$ CAPITAL]])</f>
        <v>9400000</v>
      </c>
      <c r="J249" s="33">
        <f>IF(FINANCIACION[[#This Row],[$ CAPITAL]]&gt;=0,FINANCIACION[[#This Row],[$ CAPITAL]]+FINANCIACION[[#This Row],[$ INTERESES]],0)</f>
        <v>9400000</v>
      </c>
    </row>
    <row r="250" spans="1:10" ht="24" hidden="1" customHeight="1" x14ac:dyDescent="0.3">
      <c r="A250" s="142">
        <v>43977</v>
      </c>
      <c r="B250" s="50" t="s">
        <v>822</v>
      </c>
      <c r="C250" s="5">
        <v>1215058</v>
      </c>
      <c r="D250" s="5"/>
      <c r="E250" s="5">
        <f>+IF(FINANCIACION[[#This Row],[$ CAPITAL]]&gt;=0,FINANCIACION[[#This Row],[$ CAPITAL]]+FINANCIACION[[#This Row],[$ INTERESES]],"")</f>
        <v>1215058</v>
      </c>
      <c r="F250" s="5">
        <f>+SUMIFS(FINANCIACION[$ CAPITAL],FINANCIACION[Fecha],"&lt;="&amp;FINANCIACION[[#This Row],[Fecha]],FINANCIACION[PRESTAMO],FINANCIACION[[#This Row],[PRESTAMO]])</f>
        <v>-46244406.450000003</v>
      </c>
      <c r="G250" s="7"/>
      <c r="H250" s="53"/>
      <c r="I250" s="5">
        <f>IF(FINANCIACION[[#This Row],[$ CAPITAL]]&gt;0,FINANCIACION[[#This Row],[$ CAPITAL]])</f>
        <v>1215058</v>
      </c>
      <c r="J250" s="33">
        <f>IF(FINANCIACION[[#This Row],[$ CAPITAL]]&gt;=0,FINANCIACION[[#This Row],[$ CAPITAL]]+FINANCIACION[[#This Row],[$ INTERESES]],0)</f>
        <v>1215058</v>
      </c>
    </row>
    <row r="251" spans="1:10" ht="24" hidden="1" customHeight="1" x14ac:dyDescent="0.3">
      <c r="A251" s="142">
        <v>43977</v>
      </c>
      <c r="B251" s="50" t="s">
        <v>822</v>
      </c>
      <c r="C251" s="5">
        <v>1000000</v>
      </c>
      <c r="D251" s="5"/>
      <c r="E251" s="5">
        <f>+IF(FINANCIACION[[#This Row],[$ CAPITAL]]&gt;=0,FINANCIACION[[#This Row],[$ CAPITAL]]+FINANCIACION[[#This Row],[$ INTERESES]],"")</f>
        <v>1000000</v>
      </c>
      <c r="F251" s="5">
        <f>+SUMIFS(FINANCIACION[$ CAPITAL],FINANCIACION[Fecha],"&lt;="&amp;FINANCIACION[[#This Row],[Fecha]],FINANCIACION[PRESTAMO],FINANCIACION[[#This Row],[PRESTAMO]])</f>
        <v>-46244406.450000003</v>
      </c>
      <c r="G251" s="7"/>
      <c r="H251" s="53"/>
      <c r="I251" s="5">
        <f>IF(FINANCIACION[[#This Row],[$ CAPITAL]]&gt;0,FINANCIACION[[#This Row],[$ CAPITAL]])</f>
        <v>1000000</v>
      </c>
      <c r="J251" s="33">
        <f>IF(FINANCIACION[[#This Row],[$ CAPITAL]]&gt;=0,FINANCIACION[[#This Row],[$ CAPITAL]]+FINANCIACION[[#This Row],[$ INTERESES]],0)</f>
        <v>1000000</v>
      </c>
    </row>
    <row r="252" spans="1:10" ht="24" hidden="1" customHeight="1" x14ac:dyDescent="0.3">
      <c r="A252" s="142">
        <v>43978</v>
      </c>
      <c r="B252" s="50" t="s">
        <v>822</v>
      </c>
      <c r="C252" s="5">
        <v>2000000</v>
      </c>
      <c r="D252" s="5"/>
      <c r="E252" s="5">
        <f>+IF(FINANCIACION[[#This Row],[$ CAPITAL]]&gt;=0,FINANCIACION[[#This Row],[$ CAPITAL]]+FINANCIACION[[#This Row],[$ INTERESES]],"")</f>
        <v>2000000</v>
      </c>
      <c r="F252" s="5">
        <f>+SUMIFS(FINANCIACION[$ CAPITAL],FINANCIACION[Fecha],"&lt;="&amp;FINANCIACION[[#This Row],[Fecha]],FINANCIACION[PRESTAMO],FINANCIACION[[#This Row],[PRESTAMO]])</f>
        <v>-44244406.450000003</v>
      </c>
      <c r="G252" s="7"/>
      <c r="H252" s="53"/>
      <c r="I252" s="5">
        <f>IF(FINANCIACION[[#This Row],[$ CAPITAL]]&gt;0,FINANCIACION[[#This Row],[$ CAPITAL]])</f>
        <v>2000000</v>
      </c>
      <c r="J252" s="33">
        <f>IF(FINANCIACION[[#This Row],[$ CAPITAL]]&gt;=0,FINANCIACION[[#This Row],[$ CAPITAL]]+FINANCIACION[[#This Row],[$ INTERESES]],0)</f>
        <v>2000000</v>
      </c>
    </row>
    <row r="253" spans="1:10" ht="24" hidden="1" customHeight="1" x14ac:dyDescent="0.3">
      <c r="A253" s="142">
        <v>43980</v>
      </c>
      <c r="B253" s="50" t="s">
        <v>822</v>
      </c>
      <c r="C253" s="5">
        <v>1000000</v>
      </c>
      <c r="D253" s="5"/>
      <c r="E253" s="5">
        <f>+IF(FINANCIACION[[#This Row],[$ CAPITAL]]&gt;=0,FINANCIACION[[#This Row],[$ CAPITAL]]+FINANCIACION[[#This Row],[$ INTERESES]],"")</f>
        <v>1000000</v>
      </c>
      <c r="F253" s="5">
        <f>+SUMIFS(FINANCIACION[$ CAPITAL],FINANCIACION[Fecha],"&lt;="&amp;FINANCIACION[[#This Row],[Fecha]],FINANCIACION[PRESTAMO],FINANCIACION[[#This Row],[PRESTAMO]])</f>
        <v>-43244406.450000003</v>
      </c>
      <c r="G253" s="7"/>
      <c r="H253" s="53"/>
      <c r="I253" s="5">
        <f>IF(FINANCIACION[[#This Row],[$ CAPITAL]]&gt;0,FINANCIACION[[#This Row],[$ CAPITAL]])</f>
        <v>1000000</v>
      </c>
      <c r="J253" s="33">
        <f>IF(FINANCIACION[[#This Row],[$ CAPITAL]]&gt;=0,FINANCIACION[[#This Row],[$ CAPITAL]]+FINANCIACION[[#This Row],[$ INTERESES]],0)</f>
        <v>1000000</v>
      </c>
    </row>
    <row r="254" spans="1:10" ht="24" hidden="1" customHeight="1" x14ac:dyDescent="0.3">
      <c r="A254" s="142">
        <v>43982</v>
      </c>
      <c r="B254" s="50" t="s">
        <v>822</v>
      </c>
      <c r="C254" s="5">
        <v>607650</v>
      </c>
      <c r="D254" s="5"/>
      <c r="E254" s="5">
        <f>+IF(FINANCIACION[[#This Row],[$ CAPITAL]]&gt;=0,FINANCIACION[[#This Row],[$ CAPITAL]]+FINANCIACION[[#This Row],[$ INTERESES]],"")</f>
        <v>607650</v>
      </c>
      <c r="F254" s="5">
        <f>+SUMIFS(FINANCIACION[$ CAPITAL],FINANCIACION[Fecha],"&lt;="&amp;FINANCIACION[[#This Row],[Fecha]],FINANCIACION[PRESTAMO],FINANCIACION[[#This Row],[PRESTAMO]])</f>
        <v>-44947351.950000003</v>
      </c>
      <c r="G254" s="7"/>
      <c r="H254" s="53"/>
      <c r="I254" s="5">
        <f>IF(FINANCIACION[[#This Row],[$ CAPITAL]]&gt;0,FINANCIACION[[#This Row],[$ CAPITAL]])</f>
        <v>607650</v>
      </c>
      <c r="J254" s="33">
        <f>IF(FINANCIACION[[#This Row],[$ CAPITAL]]&gt;=0,FINANCIACION[[#This Row],[$ CAPITAL]]+FINANCIACION[[#This Row],[$ INTERESES]],0)</f>
        <v>607650</v>
      </c>
    </row>
    <row r="255" spans="1:10" ht="24" hidden="1" customHeight="1" x14ac:dyDescent="0.3">
      <c r="A255" s="142">
        <v>43982</v>
      </c>
      <c r="B255" s="50" t="s">
        <v>822</v>
      </c>
      <c r="C255" s="5">
        <v>-1739144.5</v>
      </c>
      <c r="D255" s="5"/>
      <c r="E255" s="5" t="str">
        <f>+IF(FINANCIACION[[#This Row],[$ CAPITAL]]&gt;=0,FINANCIACION[[#This Row],[$ CAPITAL]]+FINANCIACION[[#This Row],[$ INTERESES]],"")</f>
        <v/>
      </c>
      <c r="F255" s="5">
        <f>+SUMIFS(FINANCIACION[$ CAPITAL],FINANCIACION[Fecha],"&lt;="&amp;FINANCIACION[[#This Row],[Fecha]],FINANCIACION[PRESTAMO],FINANCIACION[[#This Row],[PRESTAMO]])</f>
        <v>-44947351.950000003</v>
      </c>
      <c r="G255" s="7"/>
      <c r="H255" s="53"/>
      <c r="I255" s="5" t="b">
        <f>IF(FINANCIACION[[#This Row],[$ CAPITAL]]&gt;0,FINANCIACION[[#This Row],[$ CAPITAL]])</f>
        <v>0</v>
      </c>
      <c r="J255" s="33">
        <f>IF(FINANCIACION[[#This Row],[$ CAPITAL]]&gt;=0,FINANCIACION[[#This Row],[$ CAPITAL]]+FINANCIACION[[#This Row],[$ INTERESES]],0)</f>
        <v>0</v>
      </c>
    </row>
    <row r="256" spans="1:10" ht="24" hidden="1" customHeight="1" x14ac:dyDescent="0.3">
      <c r="A256" s="142">
        <v>43982</v>
      </c>
      <c r="B256" s="50" t="s">
        <v>822</v>
      </c>
      <c r="C256" s="5">
        <v>-571451</v>
      </c>
      <c r="D256" s="5"/>
      <c r="E256" s="5" t="str">
        <f>+IF(FINANCIACION[[#This Row],[$ CAPITAL]]&gt;=0,FINANCIACION[[#This Row],[$ CAPITAL]]+FINANCIACION[[#This Row],[$ INTERESES]],"")</f>
        <v/>
      </c>
      <c r="F256" s="5">
        <f>+SUMIFS(FINANCIACION[$ CAPITAL],FINANCIACION[Fecha],"&lt;="&amp;FINANCIACION[[#This Row],[Fecha]],FINANCIACION[PRESTAMO],FINANCIACION[[#This Row],[PRESTAMO]])</f>
        <v>-44947351.950000003</v>
      </c>
      <c r="G256" s="7"/>
      <c r="H256" s="53"/>
      <c r="I256" s="5" t="b">
        <f>IF(FINANCIACION[[#This Row],[$ CAPITAL]]&gt;0,FINANCIACION[[#This Row],[$ CAPITAL]])</f>
        <v>0</v>
      </c>
      <c r="J256" s="33">
        <f>IF(FINANCIACION[[#This Row],[$ CAPITAL]]&gt;=0,FINANCIACION[[#This Row],[$ CAPITAL]]+FINANCIACION[[#This Row],[$ INTERESES]],0)</f>
        <v>0</v>
      </c>
    </row>
    <row r="257" spans="1:10" ht="24" hidden="1" customHeight="1" x14ac:dyDescent="0.3">
      <c r="A257" s="142">
        <v>43985</v>
      </c>
      <c r="B257" s="50" t="s">
        <v>822</v>
      </c>
      <c r="C257" s="5">
        <v>-32325882</v>
      </c>
      <c r="D257" s="5"/>
      <c r="E257" s="5" t="str">
        <f>+IF(FINANCIACION[[#This Row],[$ CAPITAL]]&gt;=0,FINANCIACION[[#This Row],[$ CAPITAL]]+FINANCIACION[[#This Row],[$ INTERESES]],"")</f>
        <v/>
      </c>
      <c r="F257" s="5">
        <f>+SUMIFS(FINANCIACION[$ CAPITAL],FINANCIACION[Fecha],"&lt;="&amp;FINANCIACION[[#This Row],[Fecha]],FINANCIACION[PRESTAMO],FINANCIACION[[#This Row],[PRESTAMO]])</f>
        <v>-77273233.950000003</v>
      </c>
      <c r="G257" s="7"/>
      <c r="H257" s="53"/>
      <c r="I257" s="5" t="b">
        <f>IF(FINANCIACION[[#This Row],[$ CAPITAL]]&gt;0,FINANCIACION[[#This Row],[$ CAPITAL]])</f>
        <v>0</v>
      </c>
      <c r="J257" s="33">
        <f>IF(FINANCIACION[[#This Row],[$ CAPITAL]]&gt;=0,FINANCIACION[[#This Row],[$ CAPITAL]]+FINANCIACION[[#This Row],[$ INTERESES]],0)</f>
        <v>0</v>
      </c>
    </row>
    <row r="258" spans="1:10" ht="24" hidden="1" customHeight="1" x14ac:dyDescent="0.3">
      <c r="A258" s="142">
        <v>43985</v>
      </c>
      <c r="B258" s="50" t="s">
        <v>822</v>
      </c>
      <c r="C258" s="5"/>
      <c r="D258" s="5">
        <v>1377082.57</v>
      </c>
      <c r="E258" s="5">
        <f>+IF(FINANCIACION[[#This Row],[$ CAPITAL]]&gt;=0,FINANCIACION[[#This Row],[$ CAPITAL]]+FINANCIACION[[#This Row],[$ INTERESES]],"")</f>
        <v>1377082.57</v>
      </c>
      <c r="F258" s="5">
        <f>+SUMIFS(FINANCIACION[$ CAPITAL],FINANCIACION[Fecha],"&lt;="&amp;FINANCIACION[[#This Row],[Fecha]],FINANCIACION[PRESTAMO],FINANCIACION[[#This Row],[PRESTAMO]])</f>
        <v>-77273233.950000003</v>
      </c>
      <c r="G258" s="7"/>
      <c r="H258" s="53"/>
      <c r="I258" s="5" t="b">
        <f>IF(FINANCIACION[[#This Row],[$ CAPITAL]]&gt;0,FINANCIACION[[#This Row],[$ CAPITAL]])</f>
        <v>0</v>
      </c>
      <c r="J258" s="33">
        <f>IF(FINANCIACION[[#This Row],[$ CAPITAL]]&gt;=0,FINANCIACION[[#This Row],[$ CAPITAL]]+FINANCIACION[[#This Row],[$ INTERESES]],0)</f>
        <v>1377082.57</v>
      </c>
    </row>
    <row r="259" spans="1:10" ht="24" hidden="1" customHeight="1" x14ac:dyDescent="0.3">
      <c r="A259" s="142">
        <v>43990</v>
      </c>
      <c r="B259" s="50" t="s">
        <v>822</v>
      </c>
      <c r="C259" s="5">
        <v>1000000</v>
      </c>
      <c r="D259" s="5"/>
      <c r="E259" s="5">
        <f>+IF(FINANCIACION[[#This Row],[$ CAPITAL]]&gt;=0,FINANCIACION[[#This Row],[$ CAPITAL]]+FINANCIACION[[#This Row],[$ INTERESES]],"")</f>
        <v>1000000</v>
      </c>
      <c r="F259" s="5">
        <f>+SUMIFS(FINANCIACION[$ CAPITAL],FINANCIACION[Fecha],"&lt;="&amp;FINANCIACION[[#This Row],[Fecha]],FINANCIACION[PRESTAMO],FINANCIACION[[#This Row],[PRESTAMO]])</f>
        <v>-76273233.950000003</v>
      </c>
      <c r="G259" s="7"/>
      <c r="H259" s="53"/>
      <c r="I259" s="5">
        <f>IF(FINANCIACION[[#This Row],[$ CAPITAL]]&gt;0,FINANCIACION[[#This Row],[$ CAPITAL]])</f>
        <v>1000000</v>
      </c>
      <c r="J259" s="33">
        <f>IF(FINANCIACION[[#This Row],[$ CAPITAL]]&gt;=0,FINANCIACION[[#This Row],[$ CAPITAL]]+FINANCIACION[[#This Row],[$ INTERESES]],0)</f>
        <v>1000000</v>
      </c>
    </row>
    <row r="260" spans="1:10" ht="24" hidden="1" customHeight="1" x14ac:dyDescent="0.3">
      <c r="A260" s="142">
        <v>43992</v>
      </c>
      <c r="B260" s="50" t="s">
        <v>822</v>
      </c>
      <c r="C260" s="5">
        <v>2000000</v>
      </c>
      <c r="D260" s="5"/>
      <c r="E260" s="5">
        <f>+IF(FINANCIACION[[#This Row],[$ CAPITAL]]&gt;=0,FINANCIACION[[#This Row],[$ CAPITAL]]+FINANCIACION[[#This Row],[$ INTERESES]],"")</f>
        <v>2000000</v>
      </c>
      <c r="F260" s="5">
        <f>+SUMIFS(FINANCIACION[$ CAPITAL],FINANCIACION[Fecha],"&lt;="&amp;FINANCIACION[[#This Row],[Fecha]],FINANCIACION[PRESTAMO],FINANCIACION[[#This Row],[PRESTAMO]])</f>
        <v>-69273233.950000003</v>
      </c>
      <c r="G260" s="7"/>
      <c r="H260" s="53"/>
      <c r="I260" s="5">
        <f>IF(FINANCIACION[[#This Row],[$ CAPITAL]]&gt;0,FINANCIACION[[#This Row],[$ CAPITAL]])</f>
        <v>2000000</v>
      </c>
      <c r="J260" s="33">
        <f>IF(FINANCIACION[[#This Row],[$ CAPITAL]]&gt;=0,FINANCIACION[[#This Row],[$ CAPITAL]]+FINANCIACION[[#This Row],[$ INTERESES]],0)</f>
        <v>2000000</v>
      </c>
    </row>
    <row r="261" spans="1:10" ht="24" hidden="1" customHeight="1" x14ac:dyDescent="0.3">
      <c r="A261" s="142">
        <v>43992</v>
      </c>
      <c r="B261" s="50" t="s">
        <v>822</v>
      </c>
      <c r="C261" s="5">
        <v>3000000</v>
      </c>
      <c r="D261" s="5"/>
      <c r="E261" s="5">
        <f>+IF(FINANCIACION[[#This Row],[$ CAPITAL]]&gt;=0,FINANCIACION[[#This Row],[$ CAPITAL]]+FINANCIACION[[#This Row],[$ INTERESES]],"")</f>
        <v>3000000</v>
      </c>
      <c r="F261" s="5">
        <f>+SUMIFS(FINANCIACION[$ CAPITAL],FINANCIACION[Fecha],"&lt;="&amp;FINANCIACION[[#This Row],[Fecha]],FINANCIACION[PRESTAMO],FINANCIACION[[#This Row],[PRESTAMO]])</f>
        <v>-69273233.950000003</v>
      </c>
      <c r="G261" s="7"/>
      <c r="H261" s="53"/>
      <c r="I261" s="5">
        <f>IF(FINANCIACION[[#This Row],[$ CAPITAL]]&gt;0,FINANCIACION[[#This Row],[$ CAPITAL]])</f>
        <v>3000000</v>
      </c>
      <c r="J261" s="33">
        <f>IF(FINANCIACION[[#This Row],[$ CAPITAL]]&gt;=0,FINANCIACION[[#This Row],[$ CAPITAL]]+FINANCIACION[[#This Row],[$ INTERESES]],0)</f>
        <v>3000000</v>
      </c>
    </row>
    <row r="262" spans="1:10" ht="24" hidden="1" customHeight="1" x14ac:dyDescent="0.3">
      <c r="A262" s="142">
        <v>43992</v>
      </c>
      <c r="B262" s="50" t="s">
        <v>822</v>
      </c>
      <c r="C262" s="5">
        <v>2000000</v>
      </c>
      <c r="D262" s="5"/>
      <c r="E262" s="5">
        <f>+IF(FINANCIACION[[#This Row],[$ CAPITAL]]&gt;=0,FINANCIACION[[#This Row],[$ CAPITAL]]+FINANCIACION[[#This Row],[$ INTERESES]],"")</f>
        <v>2000000</v>
      </c>
      <c r="F262" s="5">
        <f>+SUMIFS(FINANCIACION[$ CAPITAL],FINANCIACION[Fecha],"&lt;="&amp;FINANCIACION[[#This Row],[Fecha]],FINANCIACION[PRESTAMO],FINANCIACION[[#This Row],[PRESTAMO]])</f>
        <v>-69273233.950000003</v>
      </c>
      <c r="G262" s="7"/>
      <c r="H262" s="53"/>
      <c r="I262" s="5">
        <f>IF(FINANCIACION[[#This Row],[$ CAPITAL]]&gt;0,FINANCIACION[[#This Row],[$ CAPITAL]])</f>
        <v>2000000</v>
      </c>
      <c r="J262" s="33">
        <f>IF(FINANCIACION[[#This Row],[$ CAPITAL]]&gt;=0,FINANCIACION[[#This Row],[$ CAPITAL]]+FINANCIACION[[#This Row],[$ INTERESES]],0)</f>
        <v>2000000</v>
      </c>
    </row>
    <row r="263" spans="1:10" ht="24" hidden="1" customHeight="1" x14ac:dyDescent="0.3">
      <c r="A263" s="142">
        <v>43995</v>
      </c>
      <c r="B263" s="50" t="s">
        <v>822</v>
      </c>
      <c r="C263" s="5">
        <v>578591</v>
      </c>
      <c r="D263" s="5"/>
      <c r="E263" s="5">
        <f>+IF(FINANCIACION[[#This Row],[$ CAPITAL]]&gt;=0,FINANCIACION[[#This Row],[$ CAPITAL]]+FINANCIACION[[#This Row],[$ INTERESES]],"")</f>
        <v>578591</v>
      </c>
      <c r="F263" s="5">
        <f>+SUMIFS(FINANCIACION[$ CAPITAL],FINANCIACION[Fecha],"&lt;="&amp;FINANCIACION[[#This Row],[Fecha]],FINANCIACION[PRESTAMO],FINANCIACION[[#This Row],[PRESTAMO]])</f>
        <v>-62021870.950000003</v>
      </c>
      <c r="G263" s="7"/>
      <c r="H263" s="53"/>
      <c r="I263" s="5">
        <f>IF(FINANCIACION[[#This Row],[$ CAPITAL]]&gt;0,FINANCIACION[[#This Row],[$ CAPITAL]])</f>
        <v>578591</v>
      </c>
      <c r="J263" s="33">
        <f>IF(FINANCIACION[[#This Row],[$ CAPITAL]]&gt;=0,FINANCIACION[[#This Row],[$ CAPITAL]]+FINANCIACION[[#This Row],[$ INTERESES]],0)</f>
        <v>578591</v>
      </c>
    </row>
    <row r="264" spans="1:10" ht="24" hidden="1" customHeight="1" x14ac:dyDescent="0.3">
      <c r="A264" s="142">
        <v>43995</v>
      </c>
      <c r="B264" s="50" t="s">
        <v>822</v>
      </c>
      <c r="C264" s="5">
        <v>1672772</v>
      </c>
      <c r="D264" s="5"/>
      <c r="E264" s="5">
        <f>+IF(FINANCIACION[[#This Row],[$ CAPITAL]]&gt;=0,FINANCIACION[[#This Row],[$ CAPITAL]]+FINANCIACION[[#This Row],[$ INTERESES]],"")</f>
        <v>1672772</v>
      </c>
      <c r="F264" s="5">
        <f>+SUMIFS(FINANCIACION[$ CAPITAL],FINANCIACION[Fecha],"&lt;="&amp;FINANCIACION[[#This Row],[Fecha]],FINANCIACION[PRESTAMO],FINANCIACION[[#This Row],[PRESTAMO]])</f>
        <v>-62021870.950000003</v>
      </c>
      <c r="G264" s="7"/>
      <c r="H264" s="53"/>
      <c r="I264" s="5">
        <f>IF(FINANCIACION[[#This Row],[$ CAPITAL]]&gt;0,FINANCIACION[[#This Row],[$ CAPITAL]])</f>
        <v>1672772</v>
      </c>
      <c r="J264" s="33">
        <f>IF(FINANCIACION[[#This Row],[$ CAPITAL]]&gt;=0,FINANCIACION[[#This Row],[$ CAPITAL]]+FINANCIACION[[#This Row],[$ INTERESES]],0)</f>
        <v>1672772</v>
      </c>
    </row>
    <row r="265" spans="1:10" ht="24" hidden="1" customHeight="1" x14ac:dyDescent="0.3">
      <c r="A265" s="142">
        <v>43995</v>
      </c>
      <c r="B265" s="50" t="s">
        <v>822</v>
      </c>
      <c r="C265" s="5">
        <v>5000000</v>
      </c>
      <c r="D265" s="5"/>
      <c r="E265" s="5">
        <f>+IF(FINANCIACION[[#This Row],[$ CAPITAL]]&gt;=0,FINANCIACION[[#This Row],[$ CAPITAL]]+FINANCIACION[[#This Row],[$ INTERESES]],"")</f>
        <v>5000000</v>
      </c>
      <c r="F265" s="5">
        <f>+SUMIFS(FINANCIACION[$ CAPITAL],FINANCIACION[Fecha],"&lt;="&amp;FINANCIACION[[#This Row],[Fecha]],FINANCIACION[PRESTAMO],FINANCIACION[[#This Row],[PRESTAMO]])</f>
        <v>-62021870.950000003</v>
      </c>
      <c r="G265" s="7"/>
      <c r="H265" s="53"/>
      <c r="I265" s="5">
        <f>IF(FINANCIACION[[#This Row],[$ CAPITAL]]&gt;0,FINANCIACION[[#This Row],[$ CAPITAL]])</f>
        <v>5000000</v>
      </c>
      <c r="J265" s="33">
        <f>IF(FINANCIACION[[#This Row],[$ CAPITAL]]&gt;=0,FINANCIACION[[#This Row],[$ CAPITAL]]+FINANCIACION[[#This Row],[$ INTERESES]],0)</f>
        <v>5000000</v>
      </c>
    </row>
    <row r="266" spans="1:10" ht="24" hidden="1" customHeight="1" x14ac:dyDescent="0.3">
      <c r="A266" s="142">
        <v>44000</v>
      </c>
      <c r="B266" s="50" t="s">
        <v>823</v>
      </c>
      <c r="C266" s="5"/>
      <c r="D266" s="5">
        <v>840000</v>
      </c>
      <c r="E266" s="5">
        <f>+IF(FINANCIACION[[#This Row],[$ CAPITAL]]&gt;=0,FINANCIACION[[#This Row],[$ CAPITAL]]+FINANCIACION[[#This Row],[$ INTERESES]],"")</f>
        <v>840000</v>
      </c>
      <c r="F266" s="5">
        <f>+SUMIFS(FINANCIACION[$ CAPITAL],FINANCIACION[Fecha],"&lt;="&amp;FINANCIACION[[#This Row],[Fecha]],FINANCIACION[PRESTAMO],FINANCIACION[[#This Row],[PRESTAMO]])</f>
        <v>-84000000</v>
      </c>
      <c r="G266" s="7"/>
      <c r="H266" s="53"/>
      <c r="I266" s="5" t="b">
        <f>IF(FINANCIACION[[#This Row],[$ CAPITAL]]&gt;0,FINANCIACION[[#This Row],[$ CAPITAL]])</f>
        <v>0</v>
      </c>
      <c r="J266" s="33">
        <f>IF(FINANCIACION[[#This Row],[$ CAPITAL]]&gt;=0,FINANCIACION[[#This Row],[$ CAPITAL]]+FINANCIACION[[#This Row],[$ INTERESES]],0)</f>
        <v>840000</v>
      </c>
    </row>
    <row r="267" spans="1:10" ht="24" hidden="1" customHeight="1" x14ac:dyDescent="0.3">
      <c r="A267" s="142">
        <v>44000</v>
      </c>
      <c r="B267" s="50" t="s">
        <v>820</v>
      </c>
      <c r="C267" s="5">
        <v>260000</v>
      </c>
      <c r="D267" s="5">
        <v>740000</v>
      </c>
      <c r="E267" s="5">
        <f>+IF(FINANCIACION[[#This Row],[$ CAPITAL]]&gt;=0,FINANCIACION[[#This Row],[$ CAPITAL]]+FINANCIACION[[#This Row],[$ INTERESES]],"")</f>
        <v>1000000</v>
      </c>
      <c r="F267" s="5">
        <f>+SUMIFS(FINANCIACION[$ CAPITAL],FINANCIACION[Fecha],"&lt;="&amp;FINANCIACION[[#This Row],[Fecha]],FINANCIACION[PRESTAMO],FINANCIACION[[#This Row],[PRESTAMO]])</f>
        <v>-66939060</v>
      </c>
      <c r="G267" s="7"/>
      <c r="H267" s="53"/>
      <c r="I267" s="5">
        <f>IF(FINANCIACION[[#This Row],[$ CAPITAL]]&gt;0,FINANCIACION[[#This Row],[$ CAPITAL]])</f>
        <v>260000</v>
      </c>
      <c r="J267" s="33">
        <f>IF(FINANCIACION[[#This Row],[$ CAPITAL]]&gt;=0,FINANCIACION[[#This Row],[$ CAPITAL]]+FINANCIACION[[#This Row],[$ INTERESES]],0)</f>
        <v>1000000</v>
      </c>
    </row>
    <row r="268" spans="1:10" ht="24" hidden="1" customHeight="1" x14ac:dyDescent="0.3">
      <c r="A268" s="142">
        <v>44000</v>
      </c>
      <c r="B268" s="50" t="s">
        <v>822</v>
      </c>
      <c r="C268" s="5">
        <v>2000000</v>
      </c>
      <c r="D268" s="5"/>
      <c r="E268" s="5">
        <f>+IF(FINANCIACION[[#This Row],[$ CAPITAL]]&gt;=0,FINANCIACION[[#This Row],[$ CAPITAL]]+FINANCIACION[[#This Row],[$ INTERESES]],"")</f>
        <v>2000000</v>
      </c>
      <c r="F268" s="5">
        <f>+SUMIFS(FINANCIACION[$ CAPITAL],FINANCIACION[Fecha],"&lt;="&amp;FINANCIACION[[#This Row],[Fecha]],FINANCIACION[PRESTAMO],FINANCIACION[[#This Row],[PRESTAMO]])</f>
        <v>-60021870.950000003</v>
      </c>
      <c r="G268" s="7"/>
      <c r="H268" s="53"/>
      <c r="I268" s="5">
        <f>IF(FINANCIACION[[#This Row],[$ CAPITAL]]&gt;0,FINANCIACION[[#This Row],[$ CAPITAL]])</f>
        <v>2000000</v>
      </c>
      <c r="J268" s="33">
        <f>IF(FINANCIACION[[#This Row],[$ CAPITAL]]&gt;=0,FINANCIACION[[#This Row],[$ CAPITAL]]+FINANCIACION[[#This Row],[$ INTERESES]],0)</f>
        <v>2000000</v>
      </c>
    </row>
    <row r="269" spans="1:10" ht="24" hidden="1" customHeight="1" x14ac:dyDescent="0.3">
      <c r="A269" s="142">
        <v>44006</v>
      </c>
      <c r="B269" s="50" t="s">
        <v>825</v>
      </c>
      <c r="C269" s="5">
        <v>-65285277</v>
      </c>
      <c r="D269" s="5">
        <v>2792278</v>
      </c>
      <c r="E269" s="5" t="str">
        <f>+IF(FINANCIACION[[#This Row],[$ CAPITAL]]&gt;=0,FINANCIACION[[#This Row],[$ CAPITAL]]+FINANCIACION[[#This Row],[$ INTERESES]],"")</f>
        <v/>
      </c>
      <c r="F269" s="5">
        <f>+SUMIFS(FINANCIACION[$ CAPITAL],FINANCIACION[Fecha],"&lt;="&amp;FINANCIACION[[#This Row],[Fecha]],FINANCIACION[PRESTAMO],FINANCIACION[[#This Row],[PRESTAMO]])</f>
        <v>-65285277</v>
      </c>
      <c r="G269" s="7"/>
      <c r="H269" s="53"/>
      <c r="I269" s="5" t="b">
        <f>IF(FINANCIACION[[#This Row],[$ CAPITAL]]&gt;0,FINANCIACION[[#This Row],[$ CAPITAL]])</f>
        <v>0</v>
      </c>
      <c r="J269" s="33">
        <f>IF(FINANCIACION[[#This Row],[$ CAPITAL]]&gt;=0,FINANCIACION[[#This Row],[$ CAPITAL]]+FINANCIACION[[#This Row],[$ INTERESES]],0)</f>
        <v>0</v>
      </c>
    </row>
    <row r="270" spans="1:10" ht="24" hidden="1" customHeight="1" x14ac:dyDescent="0.3">
      <c r="A270" s="142">
        <v>44006</v>
      </c>
      <c r="B270" s="50" t="s">
        <v>826</v>
      </c>
      <c r="C270" s="5">
        <v>-95000000</v>
      </c>
      <c r="D270" s="5">
        <v>3947242</v>
      </c>
      <c r="E270" s="5" t="str">
        <f>+IF(FINANCIACION[[#This Row],[$ CAPITAL]]&gt;=0,FINANCIACION[[#This Row],[$ CAPITAL]]+FINANCIACION[[#This Row],[$ INTERESES]],"")</f>
        <v/>
      </c>
      <c r="F270" s="5">
        <f>+SUMIFS(FINANCIACION[$ CAPITAL],FINANCIACION[Fecha],"&lt;="&amp;FINANCIACION[[#This Row],[Fecha]],FINANCIACION[PRESTAMO],FINANCIACION[[#This Row],[PRESTAMO]])</f>
        <v>-95000000</v>
      </c>
      <c r="G270" s="7"/>
      <c r="H270" s="53"/>
      <c r="I270" s="5" t="b">
        <f>IF(FINANCIACION[[#This Row],[$ CAPITAL]]&gt;0,FINANCIACION[[#This Row],[$ CAPITAL]])</f>
        <v>0</v>
      </c>
      <c r="J270" s="33">
        <f>IF(FINANCIACION[[#This Row],[$ CAPITAL]]&gt;=0,FINANCIACION[[#This Row],[$ CAPITAL]]+FINANCIACION[[#This Row],[$ INTERESES]],0)</f>
        <v>0</v>
      </c>
    </row>
    <row r="271" spans="1:10" ht="24" hidden="1" customHeight="1" x14ac:dyDescent="0.3">
      <c r="A271" s="142">
        <v>44007</v>
      </c>
      <c r="B271" s="50" t="s">
        <v>822</v>
      </c>
      <c r="C271" s="5">
        <v>500000</v>
      </c>
      <c r="D271" s="5"/>
      <c r="E271" s="5">
        <f>+IF(FINANCIACION[[#This Row],[$ CAPITAL]]&gt;=0,FINANCIACION[[#This Row],[$ CAPITAL]]+FINANCIACION[[#This Row],[$ INTERESES]],"")</f>
        <v>500000</v>
      </c>
      <c r="F271" s="5">
        <f>+SUMIFS(FINANCIACION[$ CAPITAL],FINANCIACION[Fecha],"&lt;="&amp;FINANCIACION[[#This Row],[Fecha]],FINANCIACION[PRESTAMO],FINANCIACION[[#This Row],[PRESTAMO]])</f>
        <v>-59521870.950000003</v>
      </c>
      <c r="G271" s="7"/>
      <c r="H271" s="53"/>
      <c r="I271" s="5">
        <f>IF(FINANCIACION[[#This Row],[$ CAPITAL]]&gt;0,FINANCIACION[[#This Row],[$ CAPITAL]])</f>
        <v>500000</v>
      </c>
      <c r="J271" s="33">
        <f>IF(FINANCIACION[[#This Row],[$ CAPITAL]]&gt;=0,FINANCIACION[[#This Row],[$ CAPITAL]]+FINANCIACION[[#This Row],[$ INTERESES]],0)</f>
        <v>500000</v>
      </c>
    </row>
    <row r="272" spans="1:10" ht="24" hidden="1" customHeight="1" x14ac:dyDescent="0.3">
      <c r="A272" s="142">
        <v>44012</v>
      </c>
      <c r="B272" s="50" t="s">
        <v>188</v>
      </c>
      <c r="C272" s="5">
        <v>-219719</v>
      </c>
      <c r="D272" s="5"/>
      <c r="E272" s="5" t="str">
        <f>+IF(FINANCIACION[[#This Row],[$ CAPITAL]]&gt;=0,FINANCIACION[[#This Row],[$ CAPITAL]]+FINANCIACION[[#This Row],[$ INTERESES]],"")</f>
        <v/>
      </c>
      <c r="F272" s="5">
        <f>+SUMIFS(FINANCIACION[$ CAPITAL],FINANCIACION[Fecha],"&lt;="&amp;FINANCIACION[[#This Row],[Fecha]],FINANCIACION[PRESTAMO],FINANCIACION[[#This Row],[PRESTAMO]])</f>
        <v>-38080833</v>
      </c>
      <c r="G272" s="7"/>
      <c r="H272" s="53"/>
      <c r="I272" s="5" t="b">
        <f>IF(FINANCIACION[[#This Row],[$ CAPITAL]]&gt;0,FINANCIACION[[#This Row],[$ CAPITAL]])</f>
        <v>0</v>
      </c>
      <c r="J272" s="8">
        <f>IF(FINANCIACION[[#This Row],[$ CAPITAL]]&gt;=0,FINANCIACION[[#This Row],[$ CAPITAL]]+FINANCIACION[[#This Row],[$ INTERESES]],0)</f>
        <v>0</v>
      </c>
    </row>
    <row r="273" spans="1:10" ht="24" hidden="1" customHeight="1" x14ac:dyDescent="0.3">
      <c r="A273" s="142">
        <v>44012</v>
      </c>
      <c r="B273" s="50" t="s">
        <v>825</v>
      </c>
      <c r="C273" s="5">
        <v>-106360.96000000089</v>
      </c>
      <c r="D273" s="5"/>
      <c r="E273" s="5" t="str">
        <f>+IF(FINANCIACION[[#This Row],[$ CAPITAL]]&gt;=0,FINANCIACION[[#This Row],[$ CAPITAL]]+FINANCIACION[[#This Row],[$ INTERESES]],"")</f>
        <v/>
      </c>
      <c r="F273" s="5">
        <f>+SUMIFS(FINANCIACION[$ CAPITAL],FINANCIACION[Fecha],"&lt;="&amp;FINANCIACION[[#This Row],[Fecha]],FINANCIACION[PRESTAMO],FINANCIACION[[#This Row],[PRESTAMO]])</f>
        <v>-65391637.960000001</v>
      </c>
      <c r="G273" s="53"/>
      <c r="H273" s="53"/>
      <c r="I273" s="5" t="b">
        <f>IF(FINANCIACION[[#This Row],[$ CAPITAL]]&gt;0,FINANCIACION[[#This Row],[$ CAPITAL]])</f>
        <v>0</v>
      </c>
      <c r="J273" s="33">
        <f>IF(FINANCIACION[[#This Row],[$ CAPITAL]]&gt;=0,FINANCIACION[[#This Row],[$ CAPITAL]]+FINANCIACION[[#This Row],[$ INTERESES]],0)</f>
        <v>0</v>
      </c>
    </row>
    <row r="274" spans="1:10" ht="24" hidden="1" customHeight="1" x14ac:dyDescent="0.3">
      <c r="A274" s="142">
        <v>44012</v>
      </c>
      <c r="B274" s="50" t="s">
        <v>826</v>
      </c>
      <c r="C274" s="5">
        <v>-169090.98000000417</v>
      </c>
      <c r="D274" s="5"/>
      <c r="E274" s="5" t="str">
        <f>+IF(FINANCIACION[[#This Row],[$ CAPITAL]]&gt;=0,FINANCIACION[[#This Row],[$ CAPITAL]]+FINANCIACION[[#This Row],[$ INTERESES]],"")</f>
        <v/>
      </c>
      <c r="F274" s="5">
        <f>+SUMIFS(FINANCIACION[$ CAPITAL],FINANCIACION[Fecha],"&lt;="&amp;FINANCIACION[[#This Row],[Fecha]],FINANCIACION[PRESTAMO],FINANCIACION[[#This Row],[PRESTAMO]])</f>
        <v>-95169090.980000004</v>
      </c>
      <c r="G274" s="53"/>
      <c r="H274" s="53"/>
      <c r="I274" s="5" t="b">
        <f>IF(FINANCIACION[[#This Row],[$ CAPITAL]]&gt;0,FINANCIACION[[#This Row],[$ CAPITAL]])</f>
        <v>0</v>
      </c>
      <c r="J274" s="33">
        <f>IF(FINANCIACION[[#This Row],[$ CAPITAL]]&gt;=0,FINANCIACION[[#This Row],[$ CAPITAL]]+FINANCIACION[[#This Row],[$ INTERESES]],0)</f>
        <v>0</v>
      </c>
    </row>
    <row r="275" spans="1:10" ht="24" hidden="1" customHeight="1" x14ac:dyDescent="0.3">
      <c r="A275" s="142">
        <v>44012</v>
      </c>
      <c r="B275" s="50" t="s">
        <v>822</v>
      </c>
      <c r="C275" s="5">
        <v>-311626.27</v>
      </c>
      <c r="D275" s="5"/>
      <c r="E275" s="5" t="str">
        <f>+IF(FINANCIACION[[#This Row],[$ CAPITAL]]&gt;=0,FINANCIACION[[#This Row],[$ CAPITAL]]+FINANCIACION[[#This Row],[$ INTERESES]],"")</f>
        <v/>
      </c>
      <c r="F275" s="5">
        <f>+SUMIFS(FINANCIACION[$ CAPITAL],FINANCIACION[Fecha],"&lt;="&amp;FINANCIACION[[#This Row],[Fecha]],FINANCIACION[PRESTAMO],FINANCIACION[[#This Row],[PRESTAMO]])</f>
        <v>-78383579.760000005</v>
      </c>
      <c r="G275" s="7"/>
      <c r="H275" s="53"/>
      <c r="I275" s="5" t="b">
        <f>IF(FINANCIACION[[#This Row],[$ CAPITAL]]&gt;0,FINANCIACION[[#This Row],[$ CAPITAL]])</f>
        <v>0</v>
      </c>
      <c r="J275" s="8">
        <f>IF(FINANCIACION[[#This Row],[$ CAPITAL]]&gt;=0,FINANCIACION[[#This Row],[$ CAPITAL]]+FINANCIACION[[#This Row],[$ INTERESES]],0)</f>
        <v>0</v>
      </c>
    </row>
    <row r="276" spans="1:10" ht="24" hidden="1" customHeight="1" x14ac:dyDescent="0.3">
      <c r="A276" s="142">
        <v>44012</v>
      </c>
      <c r="B276" s="50" t="s">
        <v>822</v>
      </c>
      <c r="C276" s="5">
        <v>-640763.53999999911</v>
      </c>
      <c r="D276" s="5"/>
      <c r="E276" s="5" t="str">
        <f>+IF(FINANCIACION[[#This Row],[$ CAPITAL]]&gt;=0,FINANCIACION[[#This Row],[$ CAPITAL]]+FINANCIACION[[#This Row],[$ INTERESES]],"")</f>
        <v/>
      </c>
      <c r="F276" s="5">
        <f>+SUMIFS(FINANCIACION[$ CAPITAL],FINANCIACION[Fecha],"&lt;="&amp;FINANCIACION[[#This Row],[Fecha]],FINANCIACION[PRESTAMO],FINANCIACION[[#This Row],[PRESTAMO]])</f>
        <v>-78383579.760000005</v>
      </c>
      <c r="G276" s="7"/>
      <c r="H276" s="53"/>
      <c r="I276" s="5" t="b">
        <f>IF(FINANCIACION[[#This Row],[$ CAPITAL]]&gt;0,FINANCIACION[[#This Row],[$ CAPITAL]])</f>
        <v>0</v>
      </c>
      <c r="J276" s="8">
        <f>IF(FINANCIACION[[#This Row],[$ CAPITAL]]&gt;=0,FINANCIACION[[#This Row],[$ CAPITAL]]+FINANCIACION[[#This Row],[$ INTERESES]],0)</f>
        <v>0</v>
      </c>
    </row>
    <row r="277" spans="1:10" ht="24" hidden="1" customHeight="1" x14ac:dyDescent="0.3">
      <c r="A277" s="142">
        <v>44012</v>
      </c>
      <c r="B277" s="50" t="s">
        <v>822</v>
      </c>
      <c r="C277" s="5">
        <v>-1181776</v>
      </c>
      <c r="D277" s="5"/>
      <c r="E277" s="5" t="str">
        <f>+IF(FINANCIACION[[#This Row],[$ CAPITAL]]&gt;=0,FINANCIACION[[#This Row],[$ CAPITAL]]+FINANCIACION[[#This Row],[$ INTERESES]],"")</f>
        <v/>
      </c>
      <c r="F277" s="5">
        <f>+SUMIFS(FINANCIACION[$ CAPITAL],FINANCIACION[Fecha],"&lt;="&amp;FINANCIACION[[#This Row],[Fecha]],FINANCIACION[PRESTAMO],FINANCIACION[[#This Row],[PRESTAMO]])</f>
        <v>-78383579.760000005</v>
      </c>
      <c r="G277" s="53"/>
      <c r="H277" s="53"/>
      <c r="I277" s="5" t="b">
        <f>IF(FINANCIACION[[#This Row],[$ CAPITAL]]&gt;0,FINANCIACION[[#This Row],[$ CAPITAL]])</f>
        <v>0</v>
      </c>
      <c r="J277" s="33">
        <f>IF(FINANCIACION[[#This Row],[$ CAPITAL]]&gt;=0,FINANCIACION[[#This Row],[$ CAPITAL]]+FINANCIACION[[#This Row],[$ INTERESES]],0)</f>
        <v>0</v>
      </c>
    </row>
    <row r="278" spans="1:10" ht="24" hidden="1" customHeight="1" x14ac:dyDescent="0.3">
      <c r="A278" s="142">
        <v>44012</v>
      </c>
      <c r="B278" s="50" t="s">
        <v>822</v>
      </c>
      <c r="C278" s="5">
        <v>-18624840</v>
      </c>
      <c r="D278" s="5">
        <v>90144.06</v>
      </c>
      <c r="E278" s="5" t="str">
        <f>+IF(FINANCIACION[[#This Row],[$ CAPITAL]]&gt;=0,FINANCIACION[[#This Row],[$ CAPITAL]]+FINANCIACION[[#This Row],[$ INTERESES]],"")</f>
        <v/>
      </c>
      <c r="F278" s="5">
        <f>+SUMIFS(FINANCIACION[$ CAPITAL],FINANCIACION[Fecha],"&lt;="&amp;FINANCIACION[[#This Row],[Fecha]],FINANCIACION[PRESTAMO],FINANCIACION[[#This Row],[PRESTAMO]])</f>
        <v>-78383579.760000005</v>
      </c>
      <c r="G278" s="53"/>
      <c r="H278" s="53"/>
      <c r="I278" s="5" t="b">
        <f>IF(FINANCIACION[[#This Row],[$ CAPITAL]]&gt;0,FINANCIACION[[#This Row],[$ CAPITAL]])</f>
        <v>0</v>
      </c>
      <c r="J278" s="33">
        <f>IF(FINANCIACION[[#This Row],[$ CAPITAL]]&gt;=0,FINANCIACION[[#This Row],[$ CAPITAL]]+FINANCIACION[[#This Row],[$ INTERESES]],0)</f>
        <v>0</v>
      </c>
    </row>
    <row r="279" spans="1:10" ht="24" hidden="1" customHeight="1" x14ac:dyDescent="0.3">
      <c r="A279" s="142">
        <v>44012</v>
      </c>
      <c r="B279" s="50" t="s">
        <v>822</v>
      </c>
      <c r="C279" s="5">
        <v>1897297</v>
      </c>
      <c r="D279" s="5">
        <v>197413.45</v>
      </c>
      <c r="E279" s="5">
        <f>+IF(FINANCIACION[[#This Row],[$ CAPITAL]]&gt;=0,FINANCIACION[[#This Row],[$ CAPITAL]]+FINANCIACION[[#This Row],[$ INTERESES]],"")</f>
        <v>2094710.45</v>
      </c>
      <c r="F279" s="5">
        <f>+SUMIFS(FINANCIACION[$ CAPITAL],FINANCIACION[Fecha],"&lt;="&amp;FINANCIACION[[#This Row],[Fecha]],FINANCIACION[PRESTAMO],FINANCIACION[[#This Row],[PRESTAMO]])</f>
        <v>-78383579.760000005</v>
      </c>
      <c r="G279" s="53"/>
      <c r="H279" s="53"/>
      <c r="I279" s="5">
        <f>IF(FINANCIACION[[#This Row],[$ CAPITAL]]&gt;0,FINANCIACION[[#This Row],[$ CAPITAL]])</f>
        <v>1897297</v>
      </c>
      <c r="J279" s="33">
        <f>IF(FINANCIACION[[#This Row],[$ CAPITAL]]&gt;=0,FINANCIACION[[#This Row],[$ CAPITAL]]+FINANCIACION[[#This Row],[$ INTERESES]],0)</f>
        <v>2094710.45</v>
      </c>
    </row>
    <row r="280" spans="1:10" ht="24" hidden="1" customHeight="1" x14ac:dyDescent="0.3">
      <c r="A280" s="142">
        <v>44013</v>
      </c>
      <c r="B280" s="50" t="s">
        <v>823</v>
      </c>
      <c r="C280" s="5">
        <v>69000000</v>
      </c>
      <c r="D280" s="5">
        <v>840000</v>
      </c>
      <c r="E280" s="5">
        <f>+IF(FINANCIACION[[#This Row],[$ CAPITAL]]&gt;=0,FINANCIACION[[#This Row],[$ CAPITAL]]+FINANCIACION[[#This Row],[$ INTERESES]],"")</f>
        <v>69840000</v>
      </c>
      <c r="F280" s="5">
        <f>+SUMIFS(FINANCIACION[$ CAPITAL],FINANCIACION[Fecha],"&lt;="&amp;FINANCIACION[[#This Row],[Fecha]],FINANCIACION[PRESTAMO],FINANCIACION[[#This Row],[PRESTAMO]])</f>
        <v>-15000000</v>
      </c>
      <c r="G280" s="53"/>
      <c r="H280" s="53"/>
      <c r="I280" s="5">
        <f>IF(FINANCIACION[[#This Row],[$ CAPITAL]]&gt;0,FINANCIACION[[#This Row],[$ CAPITAL]])</f>
        <v>69000000</v>
      </c>
      <c r="J280" s="33">
        <f>IF(FINANCIACION[[#This Row],[$ CAPITAL]]&gt;=0,FINANCIACION[[#This Row],[$ CAPITAL]]+FINANCIACION[[#This Row],[$ INTERESES]],0)</f>
        <v>69840000</v>
      </c>
    </row>
    <row r="281" spans="1:10" ht="24" hidden="1" customHeight="1" x14ac:dyDescent="0.3">
      <c r="A281" s="142">
        <v>44013</v>
      </c>
      <c r="B281" s="50" t="s">
        <v>822</v>
      </c>
      <c r="C281" s="5">
        <v>805000</v>
      </c>
      <c r="D281" s="5"/>
      <c r="E281" s="5">
        <f>+IF(FINANCIACION[[#This Row],[$ CAPITAL]]&gt;=0,FINANCIACION[[#This Row],[$ CAPITAL]]+FINANCIACION[[#This Row],[$ INTERESES]],"")</f>
        <v>805000</v>
      </c>
      <c r="F281" s="5">
        <f>+SUMIFS(FINANCIACION[$ CAPITAL],FINANCIACION[Fecha],"&lt;="&amp;FINANCIACION[[#This Row],[Fecha]],FINANCIACION[PRESTAMO],FINANCIACION[[#This Row],[PRESTAMO]])</f>
        <v>-74400620.760000005</v>
      </c>
      <c r="G281" s="53"/>
      <c r="H281" s="53"/>
      <c r="I281" s="5">
        <f>IF(FINANCIACION[[#This Row],[$ CAPITAL]]&gt;0,FINANCIACION[[#This Row],[$ CAPITAL]])</f>
        <v>805000</v>
      </c>
      <c r="J281" s="33">
        <f>IF(FINANCIACION[[#This Row],[$ CAPITAL]]&gt;=0,FINANCIACION[[#This Row],[$ CAPITAL]]+FINANCIACION[[#This Row],[$ INTERESES]],0)</f>
        <v>805000</v>
      </c>
    </row>
    <row r="282" spans="1:10" ht="24" hidden="1" customHeight="1" x14ac:dyDescent="0.3">
      <c r="A282" s="142">
        <v>44013</v>
      </c>
      <c r="B282" s="50" t="s">
        <v>822</v>
      </c>
      <c r="C282" s="5">
        <v>3177959</v>
      </c>
      <c r="D282" s="5"/>
      <c r="E282" s="5">
        <f>+IF(FINANCIACION[[#This Row],[$ CAPITAL]]&gt;=0,FINANCIACION[[#This Row],[$ CAPITAL]]+FINANCIACION[[#This Row],[$ INTERESES]],"")</f>
        <v>3177959</v>
      </c>
      <c r="F282" s="5">
        <f>+SUMIFS(FINANCIACION[$ CAPITAL],FINANCIACION[Fecha],"&lt;="&amp;FINANCIACION[[#This Row],[Fecha]],FINANCIACION[PRESTAMO],FINANCIACION[[#This Row],[PRESTAMO]])</f>
        <v>-74400620.760000005</v>
      </c>
      <c r="G282" s="53"/>
      <c r="H282" s="53"/>
      <c r="I282" s="5">
        <f>IF(FINANCIACION[[#This Row],[$ CAPITAL]]&gt;0,FINANCIACION[[#This Row],[$ CAPITAL]])</f>
        <v>3177959</v>
      </c>
      <c r="J282" s="33">
        <f>IF(FINANCIACION[[#This Row],[$ CAPITAL]]&gt;=0,FINANCIACION[[#This Row],[$ CAPITAL]]+FINANCIACION[[#This Row],[$ INTERESES]],0)</f>
        <v>3177959</v>
      </c>
    </row>
    <row r="283" spans="1:10" ht="24" hidden="1" customHeight="1" x14ac:dyDescent="0.3">
      <c r="A283" s="142">
        <v>44019</v>
      </c>
      <c r="B283" s="50" t="s">
        <v>191</v>
      </c>
      <c r="C283" s="5">
        <v>6250000</v>
      </c>
      <c r="D283" s="5">
        <v>1097098</v>
      </c>
      <c r="E283" s="5">
        <f>+IF(FINANCIACION[[#This Row],[$ CAPITAL]]&gt;=0,FINANCIACION[[#This Row],[$ CAPITAL]]+FINANCIACION[[#This Row],[$ INTERESES]],"")</f>
        <v>7347098</v>
      </c>
      <c r="F283" s="5">
        <f>+SUMIFS(FINANCIACION[$ CAPITAL],FINANCIACION[Fecha],"&lt;="&amp;FINANCIACION[[#This Row],[Fecha]],FINANCIACION[PRESTAMO],FINANCIACION[[#This Row],[PRESTAMO]])</f>
        <v>-125000000</v>
      </c>
      <c r="G283" s="53"/>
      <c r="H283" s="53"/>
      <c r="I283" s="5">
        <f>IF(FINANCIACION[[#This Row],[$ CAPITAL]]&gt;0,FINANCIACION[[#This Row],[$ CAPITAL]])</f>
        <v>6250000</v>
      </c>
      <c r="J283" s="33">
        <f>IF(FINANCIACION[[#This Row],[$ CAPITAL]]&gt;=0,FINANCIACION[[#This Row],[$ CAPITAL]]+FINANCIACION[[#This Row],[$ INTERESES]],0)</f>
        <v>7347098</v>
      </c>
    </row>
    <row r="284" spans="1:10" ht="24" hidden="1" customHeight="1" x14ac:dyDescent="0.3">
      <c r="A284" s="142">
        <v>44019</v>
      </c>
      <c r="B284" s="50" t="s">
        <v>822</v>
      </c>
      <c r="C284" s="5">
        <v>5300000</v>
      </c>
      <c r="D284" s="5"/>
      <c r="E284" s="5">
        <f>+IF(FINANCIACION[[#This Row],[$ CAPITAL]]&gt;=0,FINANCIACION[[#This Row],[$ CAPITAL]]+FINANCIACION[[#This Row],[$ INTERESES]],"")</f>
        <v>5300000</v>
      </c>
      <c r="F284" s="5">
        <f>+SUMIFS(FINANCIACION[$ CAPITAL],FINANCIACION[Fecha],"&lt;="&amp;FINANCIACION[[#This Row],[Fecha]],FINANCIACION[PRESTAMO],FINANCIACION[[#This Row],[PRESTAMO]])</f>
        <v>-69082453.760000005</v>
      </c>
      <c r="G284" s="7"/>
      <c r="H284" s="53"/>
      <c r="I284" s="5">
        <f>IF(FINANCIACION[[#This Row],[$ CAPITAL]]&gt;0,FINANCIACION[[#This Row],[$ CAPITAL]])</f>
        <v>5300000</v>
      </c>
      <c r="J284" s="33">
        <f>IF(FINANCIACION[[#This Row],[$ CAPITAL]]&gt;=0,FINANCIACION[[#This Row],[$ CAPITAL]]+FINANCIACION[[#This Row],[$ INTERESES]],0)</f>
        <v>5300000</v>
      </c>
    </row>
    <row r="285" spans="1:10" ht="24" hidden="1" customHeight="1" x14ac:dyDescent="0.3">
      <c r="A285" s="142">
        <v>44019</v>
      </c>
      <c r="B285" s="50" t="s">
        <v>822</v>
      </c>
      <c r="C285" s="5">
        <v>18167</v>
      </c>
      <c r="D285" s="5"/>
      <c r="E285" s="5">
        <f>+IF(FINANCIACION[[#This Row],[$ CAPITAL]]&gt;=0,FINANCIACION[[#This Row],[$ CAPITAL]]+FINANCIACION[[#This Row],[$ INTERESES]],"")</f>
        <v>18167</v>
      </c>
      <c r="F285" s="5">
        <f>+SUMIFS(FINANCIACION[$ CAPITAL],FINANCIACION[Fecha],"&lt;="&amp;FINANCIACION[[#This Row],[Fecha]],FINANCIACION[PRESTAMO],FINANCIACION[[#This Row],[PRESTAMO]])</f>
        <v>-69082453.760000005</v>
      </c>
      <c r="G285" s="7"/>
      <c r="H285" s="53"/>
      <c r="I285" s="5">
        <f>IF(FINANCIACION[[#This Row],[$ CAPITAL]]&gt;0,FINANCIACION[[#This Row],[$ CAPITAL]])</f>
        <v>18167</v>
      </c>
      <c r="J285" s="33">
        <f>IF(FINANCIACION[[#This Row],[$ CAPITAL]]&gt;=0,FINANCIACION[[#This Row],[$ CAPITAL]]+FINANCIACION[[#This Row],[$ INTERESES]],0)</f>
        <v>18167</v>
      </c>
    </row>
    <row r="286" spans="1:10" ht="24" hidden="1" customHeight="1" x14ac:dyDescent="0.3">
      <c r="A286" s="142">
        <v>44021</v>
      </c>
      <c r="B286" s="50" t="s">
        <v>822</v>
      </c>
      <c r="C286" s="5">
        <v>1869398</v>
      </c>
      <c r="D286" s="5"/>
      <c r="E286" s="5">
        <f>+IF(FINANCIACION[[#This Row],[$ CAPITAL]]&gt;=0,FINANCIACION[[#This Row],[$ CAPITAL]]+FINANCIACION[[#This Row],[$ INTERESES]],"")</f>
        <v>1869398</v>
      </c>
      <c r="F286" s="5">
        <f>+SUMIFS(FINANCIACION[$ CAPITAL],FINANCIACION[Fecha],"&lt;="&amp;FINANCIACION[[#This Row],[Fecha]],FINANCIACION[PRESTAMO],FINANCIACION[[#This Row],[PRESTAMO]])</f>
        <v>-64563502.760000005</v>
      </c>
      <c r="G286" s="7"/>
      <c r="H286" s="53"/>
      <c r="I286" s="5">
        <f>IF(FINANCIACION[[#This Row],[$ CAPITAL]]&gt;0,FINANCIACION[[#This Row],[$ CAPITAL]])</f>
        <v>1869398</v>
      </c>
      <c r="J286" s="33">
        <f>IF(FINANCIACION[[#This Row],[$ CAPITAL]]&gt;=0,FINANCIACION[[#This Row],[$ CAPITAL]]+FINANCIACION[[#This Row],[$ INTERESES]],0)</f>
        <v>1869398</v>
      </c>
    </row>
    <row r="287" spans="1:10" ht="24" hidden="1" customHeight="1" x14ac:dyDescent="0.3">
      <c r="A287" s="142">
        <v>44021</v>
      </c>
      <c r="B287" s="50" t="s">
        <v>822</v>
      </c>
      <c r="C287" s="5">
        <v>2649553</v>
      </c>
      <c r="D287" s="5"/>
      <c r="E287" s="5">
        <f>+IF(FINANCIACION[[#This Row],[$ CAPITAL]]&gt;=0,FINANCIACION[[#This Row],[$ CAPITAL]]+FINANCIACION[[#This Row],[$ INTERESES]],"")</f>
        <v>2649553</v>
      </c>
      <c r="F287" s="5">
        <f>+SUMIFS(FINANCIACION[$ CAPITAL],FINANCIACION[Fecha],"&lt;="&amp;FINANCIACION[[#This Row],[Fecha]],FINANCIACION[PRESTAMO],FINANCIACION[[#This Row],[PRESTAMO]])</f>
        <v>-64563502.760000005</v>
      </c>
      <c r="G287" s="7"/>
      <c r="H287" s="53"/>
      <c r="I287" s="5">
        <f>IF(FINANCIACION[[#This Row],[$ CAPITAL]]&gt;0,FINANCIACION[[#This Row],[$ CAPITAL]])</f>
        <v>2649553</v>
      </c>
      <c r="J287" s="33">
        <f>IF(FINANCIACION[[#This Row],[$ CAPITAL]]&gt;=0,FINANCIACION[[#This Row],[$ CAPITAL]]+FINANCIACION[[#This Row],[$ INTERESES]],0)</f>
        <v>2649553</v>
      </c>
    </row>
    <row r="288" spans="1:10" ht="24" hidden="1" customHeight="1" x14ac:dyDescent="0.3">
      <c r="A288" s="142">
        <v>44022</v>
      </c>
      <c r="B288" s="50" t="s">
        <v>822</v>
      </c>
      <c r="C288" s="5">
        <v>2034715</v>
      </c>
      <c r="D288" s="5"/>
      <c r="E288" s="5">
        <f>+IF(FINANCIACION[[#This Row],[$ CAPITAL]]&gt;=0,FINANCIACION[[#This Row],[$ CAPITAL]]+FINANCIACION[[#This Row],[$ INTERESES]],"")</f>
        <v>2034715</v>
      </c>
      <c r="F288" s="5">
        <f>+SUMIFS(FINANCIACION[$ CAPITAL],FINANCIACION[Fecha],"&lt;="&amp;FINANCIACION[[#This Row],[Fecha]],FINANCIACION[PRESTAMO],FINANCIACION[[#This Row],[PRESTAMO]])</f>
        <v>-62528787.760000005</v>
      </c>
      <c r="G288" s="7"/>
      <c r="H288" s="53"/>
      <c r="I288" s="5">
        <f>IF(FINANCIACION[[#This Row],[$ CAPITAL]]&gt;0,FINANCIACION[[#This Row],[$ CAPITAL]])</f>
        <v>2034715</v>
      </c>
      <c r="J288" s="33">
        <f>IF(FINANCIACION[[#This Row],[$ CAPITAL]]&gt;=0,FINANCIACION[[#This Row],[$ CAPITAL]]+FINANCIACION[[#This Row],[$ INTERESES]],0)</f>
        <v>2034715</v>
      </c>
    </row>
    <row r="289" spans="1:10" ht="24" hidden="1" customHeight="1" x14ac:dyDescent="0.3">
      <c r="A289" s="142">
        <v>44026</v>
      </c>
      <c r="B289" s="50" t="s">
        <v>822</v>
      </c>
      <c r="C289" s="5">
        <v>1388000</v>
      </c>
      <c r="D289" s="5"/>
      <c r="E289" s="5">
        <f>+IF(FINANCIACION[[#This Row],[$ CAPITAL]]&gt;=0,FINANCIACION[[#This Row],[$ CAPITAL]]+FINANCIACION[[#This Row],[$ INTERESES]],"")</f>
        <v>1388000</v>
      </c>
      <c r="F289" s="5">
        <f>+SUMIFS(FINANCIACION[$ CAPITAL],FINANCIACION[Fecha],"&lt;="&amp;FINANCIACION[[#This Row],[Fecha]],FINANCIACION[PRESTAMO],FINANCIACION[[#This Row],[PRESTAMO]])</f>
        <v>-61140787.760000005</v>
      </c>
      <c r="G289" s="7"/>
      <c r="H289" s="53"/>
      <c r="I289" s="5">
        <f>IF(FINANCIACION[[#This Row],[$ CAPITAL]]&gt;0,FINANCIACION[[#This Row],[$ CAPITAL]])</f>
        <v>1388000</v>
      </c>
      <c r="J289" s="33">
        <f>IF(FINANCIACION[[#This Row],[$ CAPITAL]]&gt;=0,FINANCIACION[[#This Row],[$ CAPITAL]]+FINANCIACION[[#This Row],[$ INTERESES]],0)</f>
        <v>1388000</v>
      </c>
    </row>
    <row r="290" spans="1:10" ht="24" hidden="1" customHeight="1" x14ac:dyDescent="0.3">
      <c r="A290" s="142">
        <v>44027</v>
      </c>
      <c r="B290" s="50" t="s">
        <v>822</v>
      </c>
      <c r="C290" s="5">
        <v>1600816.7999999998</v>
      </c>
      <c r="D290" s="5"/>
      <c r="E290" s="5">
        <f>+IF(FINANCIACION[[#This Row],[$ CAPITAL]]&gt;=0,FINANCIACION[[#This Row],[$ CAPITAL]]+FINANCIACION[[#This Row],[$ INTERESES]],"")</f>
        <v>1600816.7999999998</v>
      </c>
      <c r="F290" s="5">
        <f>+SUMIFS(FINANCIACION[$ CAPITAL],FINANCIACION[Fecha],"&lt;="&amp;FINANCIACION[[#This Row],[Fecha]],FINANCIACION[PRESTAMO],FINANCIACION[[#This Row],[PRESTAMO]])</f>
        <v>-60710879.960000008</v>
      </c>
      <c r="G290" s="7"/>
      <c r="H290" s="53"/>
      <c r="I290" s="5">
        <f>IF(FINANCIACION[[#This Row],[$ CAPITAL]]&gt;0,FINANCIACION[[#This Row],[$ CAPITAL]])</f>
        <v>1600816.7999999998</v>
      </c>
      <c r="J290" s="33">
        <f>IF(FINANCIACION[[#This Row],[$ CAPITAL]]&gt;=0,FINANCIACION[[#This Row],[$ CAPITAL]]+FINANCIACION[[#This Row],[$ INTERESES]],0)</f>
        <v>1600816.7999999998</v>
      </c>
    </row>
    <row r="291" spans="1:10" ht="24" hidden="1" customHeight="1" x14ac:dyDescent="0.3">
      <c r="A291" s="142">
        <v>44027</v>
      </c>
      <c r="B291" s="50" t="s">
        <v>822</v>
      </c>
      <c r="C291" s="5">
        <v>-1170909</v>
      </c>
      <c r="D291" s="5"/>
      <c r="E291" s="5" t="str">
        <f>+IF(FINANCIACION[[#This Row],[$ CAPITAL]]&gt;=0,FINANCIACION[[#This Row],[$ CAPITAL]]+FINANCIACION[[#This Row],[$ INTERESES]],"")</f>
        <v/>
      </c>
      <c r="F291" s="5">
        <f>+SUMIFS(FINANCIACION[$ CAPITAL],FINANCIACION[Fecha],"&lt;="&amp;FINANCIACION[[#This Row],[Fecha]],FINANCIACION[PRESTAMO],FINANCIACION[[#This Row],[PRESTAMO]])</f>
        <v>-60710879.960000008</v>
      </c>
      <c r="G291" s="7"/>
      <c r="H291" s="53"/>
      <c r="I291" s="5" t="b">
        <f>IF(FINANCIACION[[#This Row],[$ CAPITAL]]&gt;0,FINANCIACION[[#This Row],[$ CAPITAL]])</f>
        <v>0</v>
      </c>
      <c r="J291" s="33">
        <f>IF(FINANCIACION[[#This Row],[$ CAPITAL]]&gt;=0,FINANCIACION[[#This Row],[$ CAPITAL]]+FINANCIACION[[#This Row],[$ INTERESES]],0)</f>
        <v>0</v>
      </c>
    </row>
    <row r="292" spans="1:10" ht="24" hidden="1" customHeight="1" x14ac:dyDescent="0.3">
      <c r="A292" s="142">
        <v>44029</v>
      </c>
      <c r="B292" s="50" t="s">
        <v>822</v>
      </c>
      <c r="C292" s="5">
        <v>4716218</v>
      </c>
      <c r="D292" s="5"/>
      <c r="E292" s="5">
        <f>+IF(FINANCIACION[[#This Row],[$ CAPITAL]]&gt;=0,FINANCIACION[[#This Row],[$ CAPITAL]]+FINANCIACION[[#This Row],[$ INTERESES]],"")</f>
        <v>4716218</v>
      </c>
      <c r="F292" s="5">
        <f>+SUMIFS(FINANCIACION[$ CAPITAL],FINANCIACION[Fecha],"&lt;="&amp;FINANCIACION[[#This Row],[Fecha]],FINANCIACION[PRESTAMO],FINANCIACION[[#This Row],[PRESTAMO]])</f>
        <v>-55994661.960000008</v>
      </c>
      <c r="G292" s="7"/>
      <c r="H292" s="53"/>
      <c r="I292" s="5">
        <f>IF(FINANCIACION[[#This Row],[$ CAPITAL]]&gt;0,FINANCIACION[[#This Row],[$ CAPITAL]])</f>
        <v>4716218</v>
      </c>
      <c r="J292" s="33">
        <f>IF(FINANCIACION[[#This Row],[$ CAPITAL]]&gt;=0,FINANCIACION[[#This Row],[$ CAPITAL]]+FINANCIACION[[#This Row],[$ INTERESES]],0)</f>
        <v>4716218</v>
      </c>
    </row>
    <row r="293" spans="1:10" ht="24" hidden="1" customHeight="1" x14ac:dyDescent="0.3">
      <c r="A293" s="142">
        <v>44033</v>
      </c>
      <c r="B293" s="50" t="s">
        <v>822</v>
      </c>
      <c r="C293" s="5">
        <v>4382316</v>
      </c>
      <c r="D293" s="5"/>
      <c r="E293" s="5">
        <f>+IF(FINANCIACION[[#This Row],[$ CAPITAL]]&gt;=0,FINANCIACION[[#This Row],[$ CAPITAL]]+FINANCIACION[[#This Row],[$ INTERESES]],"")</f>
        <v>4382316</v>
      </c>
      <c r="F293" s="5">
        <f>+SUMIFS(FINANCIACION[$ CAPITAL],FINANCIACION[Fecha],"&lt;="&amp;FINANCIACION[[#This Row],[Fecha]],FINANCIACION[PRESTAMO],FINANCIACION[[#This Row],[PRESTAMO]])</f>
        <v>-51612345.960000008</v>
      </c>
      <c r="G293" s="7"/>
      <c r="H293" s="53"/>
      <c r="I293" s="5">
        <f>IF(FINANCIACION[[#This Row],[$ CAPITAL]]&gt;0,FINANCIACION[[#This Row],[$ CAPITAL]])</f>
        <v>4382316</v>
      </c>
      <c r="J293" s="33">
        <f>IF(FINANCIACION[[#This Row],[$ CAPITAL]]&gt;=0,FINANCIACION[[#This Row],[$ CAPITAL]]+FINANCIACION[[#This Row],[$ INTERESES]],0)</f>
        <v>4382316</v>
      </c>
    </row>
    <row r="294" spans="1:10" ht="24" hidden="1" customHeight="1" x14ac:dyDescent="0.3">
      <c r="A294" s="142">
        <v>44034</v>
      </c>
      <c r="B294" s="50" t="s">
        <v>822</v>
      </c>
      <c r="C294" s="5">
        <v>3991020</v>
      </c>
      <c r="D294" s="5"/>
      <c r="E294" s="5">
        <f>+IF(FINANCIACION[[#This Row],[$ CAPITAL]]&gt;=0,FINANCIACION[[#This Row],[$ CAPITAL]]+FINANCIACION[[#This Row],[$ INTERESES]],"")</f>
        <v>3991020</v>
      </c>
      <c r="F294" s="5">
        <f>+SUMIFS(FINANCIACION[$ CAPITAL],FINANCIACION[Fecha],"&lt;="&amp;FINANCIACION[[#This Row],[Fecha]],FINANCIACION[PRESTAMO],FINANCIACION[[#This Row],[PRESTAMO]])</f>
        <v>-47621325.960000008</v>
      </c>
      <c r="G294" s="7"/>
      <c r="H294" s="53"/>
      <c r="I294" s="5">
        <f>IF(FINANCIACION[[#This Row],[$ CAPITAL]]&gt;0,FINANCIACION[[#This Row],[$ CAPITAL]])</f>
        <v>3991020</v>
      </c>
      <c r="J294" s="33">
        <f>IF(FINANCIACION[[#This Row],[$ CAPITAL]]&gt;=0,FINANCIACION[[#This Row],[$ CAPITAL]]+FINANCIACION[[#This Row],[$ INTERESES]],0)</f>
        <v>3991020</v>
      </c>
    </row>
    <row r="295" spans="1:10" ht="24" hidden="1" customHeight="1" x14ac:dyDescent="0.3">
      <c r="A295" s="142">
        <v>44037</v>
      </c>
      <c r="B295" s="50" t="s">
        <v>822</v>
      </c>
      <c r="C295" s="5">
        <v>5856240</v>
      </c>
      <c r="D295" s="5"/>
      <c r="E295" s="5">
        <f>+IF(FINANCIACION[[#This Row],[$ CAPITAL]]&gt;=0,FINANCIACION[[#This Row],[$ CAPITAL]]+FINANCIACION[[#This Row],[$ INTERESES]],"")</f>
        <v>5856240</v>
      </c>
      <c r="F295" s="5">
        <f>+SUMIFS(FINANCIACION[$ CAPITAL],FINANCIACION[Fecha],"&lt;="&amp;FINANCIACION[[#This Row],[Fecha]],FINANCIACION[PRESTAMO],FINANCIACION[[#This Row],[PRESTAMO]])</f>
        <v>-41765085.960000008</v>
      </c>
      <c r="G295" s="7"/>
      <c r="H295" s="53"/>
      <c r="I295" s="5">
        <f>IF(FINANCIACION[[#This Row],[$ CAPITAL]]&gt;0,FINANCIACION[[#This Row],[$ CAPITAL]])</f>
        <v>5856240</v>
      </c>
      <c r="J295" s="33">
        <f>IF(FINANCIACION[[#This Row],[$ CAPITAL]]&gt;=0,FINANCIACION[[#This Row],[$ CAPITAL]]+FINANCIACION[[#This Row],[$ INTERESES]],0)</f>
        <v>5856240</v>
      </c>
    </row>
    <row r="296" spans="1:10" ht="24" hidden="1" customHeight="1" x14ac:dyDescent="0.3">
      <c r="A296" s="142">
        <v>44041</v>
      </c>
      <c r="B296" s="50" t="s">
        <v>820</v>
      </c>
      <c r="C296" s="5">
        <v>360000</v>
      </c>
      <c r="D296" s="5">
        <v>740000</v>
      </c>
      <c r="E296" s="5">
        <f>+IF(FINANCIACION[[#This Row],[$ CAPITAL]]&gt;=0,FINANCIACION[[#This Row],[$ CAPITAL]]+FINANCIACION[[#This Row],[$ INTERESES]],"")</f>
        <v>1100000</v>
      </c>
      <c r="F296" s="5">
        <f>+SUMIFS(FINANCIACION[$ CAPITAL],FINANCIACION[Fecha],"&lt;="&amp;FINANCIACION[[#This Row],[Fecha]],FINANCIACION[PRESTAMO],FINANCIACION[[#This Row],[PRESTAMO]])</f>
        <v>-66579060</v>
      </c>
      <c r="G296" s="7"/>
      <c r="H296" s="53"/>
      <c r="I296" s="5">
        <f>IF(FINANCIACION[[#This Row],[$ CAPITAL]]&gt;0,FINANCIACION[[#This Row],[$ CAPITAL]])</f>
        <v>360000</v>
      </c>
      <c r="J296" s="33">
        <f>IF(FINANCIACION[[#This Row],[$ CAPITAL]]&gt;=0,FINANCIACION[[#This Row],[$ CAPITAL]]+FINANCIACION[[#This Row],[$ INTERESES]],0)</f>
        <v>1100000</v>
      </c>
    </row>
    <row r="297" spans="1:10" ht="24" hidden="1" customHeight="1" x14ac:dyDescent="0.3">
      <c r="A297" s="142">
        <v>44043</v>
      </c>
      <c r="B297" s="50" t="s">
        <v>823</v>
      </c>
      <c r="C297" s="5"/>
      <c r="D297" s="5">
        <v>150000</v>
      </c>
      <c r="E297" s="5">
        <f>+IF(FINANCIACION[[#This Row],[$ CAPITAL]]&gt;=0,FINANCIACION[[#This Row],[$ CAPITAL]]+FINANCIACION[[#This Row],[$ INTERESES]],"")</f>
        <v>150000</v>
      </c>
      <c r="F297" s="5">
        <f>+SUMIFS(FINANCIACION[$ CAPITAL],FINANCIACION[Fecha],"&lt;="&amp;FINANCIACION[[#This Row],[Fecha]],FINANCIACION[PRESTAMO],FINANCIACION[[#This Row],[PRESTAMO]])</f>
        <v>-15000000</v>
      </c>
      <c r="G297" s="7"/>
      <c r="H297" s="53"/>
      <c r="I297" s="5" t="b">
        <f>IF(FINANCIACION[[#This Row],[$ CAPITAL]]&gt;0,FINANCIACION[[#This Row],[$ CAPITAL]])</f>
        <v>0</v>
      </c>
      <c r="J297" s="33">
        <f>IF(FINANCIACION[[#This Row],[$ CAPITAL]]&gt;=0,FINANCIACION[[#This Row],[$ CAPITAL]]+FINANCIACION[[#This Row],[$ INTERESES]],0)</f>
        <v>150000</v>
      </c>
    </row>
    <row r="298" spans="1:10" ht="24" hidden="1" customHeight="1" x14ac:dyDescent="0.3">
      <c r="A298" s="142">
        <v>44043</v>
      </c>
      <c r="B298" s="50" t="s">
        <v>825</v>
      </c>
      <c r="C298" s="5">
        <v>-543974.96999999904</v>
      </c>
      <c r="D298" s="5"/>
      <c r="E298" s="5" t="str">
        <f>+IF(FINANCIACION[[#This Row],[$ CAPITAL]]&gt;=0,FINANCIACION[[#This Row],[$ CAPITAL]]+FINANCIACION[[#This Row],[$ INTERESES]],"")</f>
        <v/>
      </c>
      <c r="F298" s="5">
        <f>+SUMIFS(FINANCIACION[$ CAPITAL],FINANCIACION[Fecha],"&lt;="&amp;FINANCIACION[[#This Row],[Fecha]],FINANCIACION[PRESTAMO],FINANCIACION[[#This Row],[PRESTAMO]])</f>
        <v>-65935612.93</v>
      </c>
      <c r="G298" s="7"/>
      <c r="H298" s="53"/>
      <c r="I298" s="5" t="b">
        <f>IF(FINANCIACION[[#This Row],[$ CAPITAL]]&gt;0,FINANCIACION[[#This Row],[$ CAPITAL]])</f>
        <v>0</v>
      </c>
      <c r="J298" s="33">
        <f>IF(FINANCIACION[[#This Row],[$ CAPITAL]]&gt;=0,FINANCIACION[[#This Row],[$ CAPITAL]]+FINANCIACION[[#This Row],[$ INTERESES]],0)</f>
        <v>0</v>
      </c>
    </row>
    <row r="299" spans="1:10" ht="24" hidden="1" customHeight="1" x14ac:dyDescent="0.3">
      <c r="A299" s="142">
        <v>44043</v>
      </c>
      <c r="B299" s="50" t="s">
        <v>826</v>
      </c>
      <c r="C299" s="5">
        <v>-865832.45000000298</v>
      </c>
      <c r="D299" s="5"/>
      <c r="E299" s="5" t="str">
        <f>+IF(FINANCIACION[[#This Row],[$ CAPITAL]]&gt;=0,FINANCIACION[[#This Row],[$ CAPITAL]]+FINANCIACION[[#This Row],[$ INTERESES]],"")</f>
        <v/>
      </c>
      <c r="F299" s="5">
        <f>+SUMIFS(FINANCIACION[$ CAPITAL],FINANCIACION[Fecha],"&lt;="&amp;FINANCIACION[[#This Row],[Fecha]],FINANCIACION[PRESTAMO],FINANCIACION[[#This Row],[PRESTAMO]])</f>
        <v>-96034923.430000007</v>
      </c>
      <c r="G299" s="7"/>
      <c r="H299" s="53"/>
      <c r="I299" s="5" t="b">
        <f>IF(FINANCIACION[[#This Row],[$ CAPITAL]]&gt;0,FINANCIACION[[#This Row],[$ CAPITAL]])</f>
        <v>0</v>
      </c>
      <c r="J299" s="33">
        <f>IF(FINANCIACION[[#This Row],[$ CAPITAL]]&gt;=0,FINANCIACION[[#This Row],[$ CAPITAL]]+FINANCIACION[[#This Row],[$ INTERESES]],0)</f>
        <v>0</v>
      </c>
    </row>
    <row r="300" spans="1:10" ht="24" hidden="1" customHeight="1" x14ac:dyDescent="0.3">
      <c r="A300" s="142">
        <v>44043</v>
      </c>
      <c r="B300" s="50" t="s">
        <v>821</v>
      </c>
      <c r="C300" s="5">
        <v>-183255600</v>
      </c>
      <c r="D300" s="5"/>
      <c r="E300" s="5" t="str">
        <f>+IF(FINANCIACION[[#This Row],[$ CAPITAL]]&gt;=0,FINANCIACION[[#This Row],[$ CAPITAL]]+FINANCIACION[[#This Row],[$ INTERESES]],"")</f>
        <v/>
      </c>
      <c r="F300" s="5">
        <f>+SUMIFS(FINANCIACION[$ CAPITAL],FINANCIACION[Fecha],"&lt;="&amp;FINANCIACION[[#This Row],[Fecha]],FINANCIACION[PRESTAMO],FINANCIACION[[#This Row],[PRESTAMO]])</f>
        <v>-380443064</v>
      </c>
      <c r="G300" s="7"/>
      <c r="H300" s="53"/>
      <c r="I300" s="5" t="b">
        <f>IF(FINANCIACION[[#This Row],[$ CAPITAL]]&gt;0,FINANCIACION[[#This Row],[$ CAPITAL]])</f>
        <v>0</v>
      </c>
      <c r="J300" s="33">
        <f>IF(FINANCIACION[[#This Row],[$ CAPITAL]]&gt;=0,FINANCIACION[[#This Row],[$ CAPITAL]]+FINANCIACION[[#This Row],[$ INTERESES]],0)</f>
        <v>0</v>
      </c>
    </row>
    <row r="301" spans="1:10" ht="24" hidden="1" customHeight="1" x14ac:dyDescent="0.3">
      <c r="A301" s="142">
        <v>44043</v>
      </c>
      <c r="B301" s="50" t="s">
        <v>821</v>
      </c>
      <c r="C301" s="5">
        <v>187464467</v>
      </c>
      <c r="D301" s="5"/>
      <c r="E301" s="5">
        <f>+IF(FINANCIACION[[#This Row],[$ CAPITAL]]&gt;=0,FINANCIACION[[#This Row],[$ CAPITAL]]+FINANCIACION[[#This Row],[$ INTERESES]],"")</f>
        <v>187464467</v>
      </c>
      <c r="F301" s="5">
        <f>+SUMIFS(FINANCIACION[$ CAPITAL],FINANCIACION[Fecha],"&lt;="&amp;FINANCIACION[[#This Row],[Fecha]],FINANCIACION[PRESTAMO],FINANCIACION[[#This Row],[PRESTAMO]])</f>
        <v>-380443064</v>
      </c>
      <c r="G301" s="7"/>
      <c r="H301" s="53"/>
      <c r="I301" s="5">
        <f>IF(FINANCIACION[[#This Row],[$ CAPITAL]]&gt;0,FINANCIACION[[#This Row],[$ CAPITAL]])</f>
        <v>187464467</v>
      </c>
      <c r="J301" s="33">
        <f>IF(FINANCIACION[[#This Row],[$ CAPITAL]]&gt;=0,FINANCIACION[[#This Row],[$ CAPITAL]]+FINANCIACION[[#This Row],[$ INTERESES]],0)</f>
        <v>187464467</v>
      </c>
    </row>
    <row r="302" spans="1:10" ht="24" hidden="1" customHeight="1" x14ac:dyDescent="0.3">
      <c r="A302" s="142">
        <v>44043</v>
      </c>
      <c r="B302" s="50" t="s">
        <v>822</v>
      </c>
      <c r="C302" s="5">
        <v>-272689.21000000101</v>
      </c>
      <c r="D302" s="5"/>
      <c r="E302" s="5" t="str">
        <f>+IF(FINANCIACION[[#This Row],[$ CAPITAL]]&gt;=0,FINANCIACION[[#This Row],[$ CAPITAL]]+FINANCIACION[[#This Row],[$ INTERESES]],"")</f>
        <v/>
      </c>
      <c r="F302" s="5">
        <f>+SUMIFS(FINANCIACION[$ CAPITAL],FINANCIACION[Fecha],"&lt;="&amp;FINANCIACION[[#This Row],[Fecha]],FINANCIACION[PRESTAMO],FINANCIACION[[#This Row],[PRESTAMO]])</f>
        <v>-91544696.790000021</v>
      </c>
      <c r="G302" s="7"/>
      <c r="H302" s="53"/>
      <c r="I302" s="5" t="b">
        <f>IF(FINANCIACION[[#This Row],[$ CAPITAL]]&gt;0,FINANCIACION[[#This Row],[$ CAPITAL]])</f>
        <v>0</v>
      </c>
      <c r="J302" s="33">
        <f>IF(FINANCIACION[[#This Row],[$ CAPITAL]]&gt;=0,FINANCIACION[[#This Row],[$ CAPITAL]]+FINANCIACION[[#This Row],[$ INTERESES]],0)</f>
        <v>0</v>
      </c>
    </row>
    <row r="303" spans="1:10" ht="24" hidden="1" customHeight="1" x14ac:dyDescent="0.3">
      <c r="A303" s="142">
        <v>44043</v>
      </c>
      <c r="B303" s="50" t="s">
        <v>822</v>
      </c>
      <c r="C303" s="5">
        <v>-330830.88000000297</v>
      </c>
      <c r="D303" s="5"/>
      <c r="E303" s="5" t="str">
        <f>+IF(FINANCIACION[[#This Row],[$ CAPITAL]]&gt;=0,FINANCIACION[[#This Row],[$ CAPITAL]]+FINANCIACION[[#This Row],[$ INTERESES]],"")</f>
        <v/>
      </c>
      <c r="F303" s="5">
        <f>+SUMIFS(FINANCIACION[$ CAPITAL],FINANCIACION[Fecha],"&lt;="&amp;FINANCIACION[[#This Row],[Fecha]],FINANCIACION[PRESTAMO],FINANCIACION[[#This Row],[PRESTAMO]])</f>
        <v>-91544696.790000021</v>
      </c>
      <c r="G303" s="7"/>
      <c r="H303" s="53"/>
      <c r="I303" s="5" t="b">
        <f>IF(FINANCIACION[[#This Row],[$ CAPITAL]]&gt;0,FINANCIACION[[#This Row],[$ CAPITAL]])</f>
        <v>0</v>
      </c>
      <c r="J303" s="33">
        <f>IF(FINANCIACION[[#This Row],[$ CAPITAL]]&gt;=0,FINANCIACION[[#This Row],[$ CAPITAL]]+FINANCIACION[[#This Row],[$ INTERESES]],0)</f>
        <v>0</v>
      </c>
    </row>
    <row r="304" spans="1:10" ht="24" hidden="1" customHeight="1" x14ac:dyDescent="0.3">
      <c r="A304" s="142">
        <v>44043</v>
      </c>
      <c r="B304" s="50" t="s">
        <v>822</v>
      </c>
      <c r="C304" s="5">
        <v>734083.32</v>
      </c>
      <c r="D304" s="5"/>
      <c r="E304" s="5">
        <f>+IF(FINANCIACION[[#This Row],[$ CAPITAL]]&gt;=0,FINANCIACION[[#This Row],[$ CAPITAL]]+FINANCIACION[[#This Row],[$ INTERESES]],"")</f>
        <v>734083.32</v>
      </c>
      <c r="F304" s="5">
        <f>+SUMIFS(FINANCIACION[$ CAPITAL],FINANCIACION[Fecha],"&lt;="&amp;FINANCIACION[[#This Row],[Fecha]],FINANCIACION[PRESTAMO],FINANCIACION[[#This Row],[PRESTAMO]])</f>
        <v>-91544696.790000021</v>
      </c>
      <c r="G304" s="7"/>
      <c r="H304" s="53"/>
      <c r="I304" s="5">
        <f>IF(FINANCIACION[[#This Row],[$ CAPITAL]]&gt;0,FINANCIACION[[#This Row],[$ CAPITAL]])</f>
        <v>734083.32</v>
      </c>
      <c r="J304" s="33">
        <f>IF(FINANCIACION[[#This Row],[$ CAPITAL]]&gt;=0,FINANCIACION[[#This Row],[$ CAPITAL]]+FINANCIACION[[#This Row],[$ INTERESES]],0)</f>
        <v>734083.32</v>
      </c>
    </row>
    <row r="305" spans="1:10" ht="24" hidden="1" customHeight="1" x14ac:dyDescent="0.3">
      <c r="A305" s="142">
        <v>44043</v>
      </c>
      <c r="B305" s="50" t="s">
        <v>822</v>
      </c>
      <c r="C305" s="5">
        <v>-1869398.0000000014</v>
      </c>
      <c r="D305" s="5"/>
      <c r="E305" s="5" t="str">
        <f>+IF(FINANCIACION[[#This Row],[$ CAPITAL]]&gt;=0,FINANCIACION[[#This Row],[$ CAPITAL]]+FINANCIACION[[#This Row],[$ INTERESES]],"")</f>
        <v/>
      </c>
      <c r="F305" s="5">
        <f>+SUMIFS(FINANCIACION[$ CAPITAL],FINANCIACION[Fecha],"&lt;="&amp;FINANCIACION[[#This Row],[Fecha]],FINANCIACION[PRESTAMO],FINANCIACION[[#This Row],[PRESTAMO]])</f>
        <v>-91544696.790000021</v>
      </c>
      <c r="G305" s="7"/>
      <c r="H305" s="53"/>
      <c r="I305" s="5" t="b">
        <f>IF(FINANCIACION[[#This Row],[$ CAPITAL]]&gt;0,FINANCIACION[[#This Row],[$ CAPITAL]])</f>
        <v>0</v>
      </c>
      <c r="J305" s="33">
        <f>IF(FINANCIACION[[#This Row],[$ CAPITAL]]&gt;=0,FINANCIACION[[#This Row],[$ CAPITAL]]+FINANCIACION[[#This Row],[$ INTERESES]],0)</f>
        <v>0</v>
      </c>
    </row>
    <row r="306" spans="1:10" ht="24" hidden="1" customHeight="1" x14ac:dyDescent="0.3">
      <c r="A306" s="142">
        <v>44043</v>
      </c>
      <c r="B306" s="50" t="s">
        <v>822</v>
      </c>
      <c r="C306" s="5">
        <v>-42062215.060000002</v>
      </c>
      <c r="D306" s="5"/>
      <c r="E306" s="5" t="str">
        <f>+IF(FINANCIACION[[#This Row],[$ CAPITAL]]&gt;=0,FINANCIACION[[#This Row],[$ CAPITAL]]+FINANCIACION[[#This Row],[$ INTERESES]],"")</f>
        <v/>
      </c>
      <c r="F306" s="5">
        <f>+SUMIFS(FINANCIACION[$ CAPITAL],FINANCIACION[Fecha],"&lt;="&amp;FINANCIACION[[#This Row],[Fecha]],FINANCIACION[PRESTAMO],FINANCIACION[[#This Row],[PRESTAMO]])</f>
        <v>-91544696.790000021</v>
      </c>
      <c r="G306" s="7"/>
      <c r="H306" s="53"/>
      <c r="I306" s="5" t="b">
        <f>IF(FINANCIACION[[#This Row],[$ CAPITAL]]&gt;0,FINANCIACION[[#This Row],[$ CAPITAL]])</f>
        <v>0</v>
      </c>
      <c r="J306" s="33">
        <f>IF(FINANCIACION[[#This Row],[$ CAPITAL]]&gt;=0,FINANCIACION[[#This Row],[$ CAPITAL]]+FINANCIACION[[#This Row],[$ INTERESES]],0)</f>
        <v>0</v>
      </c>
    </row>
    <row r="307" spans="1:10" ht="24" hidden="1" customHeight="1" x14ac:dyDescent="0.3">
      <c r="A307" s="142">
        <v>44043</v>
      </c>
      <c r="B307" s="50" t="s">
        <v>822</v>
      </c>
      <c r="C307" s="5">
        <v>-679875</v>
      </c>
      <c r="D307" s="5"/>
      <c r="E307" s="5" t="str">
        <f>+IF(FINANCIACION[[#This Row],[$ CAPITAL]]&gt;=0,FINANCIACION[[#This Row],[$ CAPITAL]]+FINANCIACION[[#This Row],[$ INTERESES]],"")</f>
        <v/>
      </c>
      <c r="F307" s="5">
        <f>+SUMIFS(FINANCIACION[$ CAPITAL],FINANCIACION[Fecha],"&lt;="&amp;FINANCIACION[[#This Row],[Fecha]],FINANCIACION[PRESTAMO],FINANCIACION[[#This Row],[PRESTAMO]])</f>
        <v>-91544696.790000021</v>
      </c>
      <c r="G307" s="7"/>
      <c r="H307" s="53"/>
      <c r="I307" s="5" t="b">
        <f>IF(FINANCIACION[[#This Row],[$ CAPITAL]]&gt;0,FINANCIACION[[#This Row],[$ CAPITAL]])</f>
        <v>0</v>
      </c>
      <c r="J307" s="33">
        <f>IF(FINANCIACION[[#This Row],[$ CAPITAL]]&gt;=0,FINANCIACION[[#This Row],[$ CAPITAL]]+FINANCIACION[[#This Row],[$ INTERESES]],0)</f>
        <v>0</v>
      </c>
    </row>
    <row r="308" spans="1:10" ht="24" hidden="1" customHeight="1" x14ac:dyDescent="0.3">
      <c r="A308" s="142">
        <v>44043</v>
      </c>
      <c r="B308" s="50" t="s">
        <v>822</v>
      </c>
      <c r="C308" s="5">
        <v>-5298686</v>
      </c>
      <c r="D308" s="5"/>
      <c r="E308" s="5" t="str">
        <f>+IF(FINANCIACION[[#This Row],[$ CAPITAL]]&gt;=0,FINANCIACION[[#This Row],[$ CAPITAL]]+FINANCIACION[[#This Row],[$ INTERESES]],"")</f>
        <v/>
      </c>
      <c r="F308" s="5">
        <f>+SUMIFS(FINANCIACION[$ CAPITAL],FINANCIACION[Fecha],"&lt;="&amp;FINANCIACION[[#This Row],[Fecha]],FINANCIACION[PRESTAMO],FINANCIACION[[#This Row],[PRESTAMO]])</f>
        <v>-91544696.790000021</v>
      </c>
      <c r="G308" s="7"/>
      <c r="H308" s="53"/>
      <c r="I308" s="5" t="b">
        <f>IF(FINANCIACION[[#This Row],[$ CAPITAL]]&gt;0,FINANCIACION[[#This Row],[$ CAPITAL]])</f>
        <v>0</v>
      </c>
      <c r="J308" s="33">
        <f>IF(FINANCIACION[[#This Row],[$ CAPITAL]]&gt;=0,FINANCIACION[[#This Row],[$ CAPITAL]]+FINANCIACION[[#This Row],[$ INTERESES]],0)</f>
        <v>0</v>
      </c>
    </row>
    <row r="309" spans="1:10" ht="24" hidden="1" customHeight="1" x14ac:dyDescent="0.3">
      <c r="A309" s="142">
        <v>44047</v>
      </c>
      <c r="B309" s="50" t="s">
        <v>827</v>
      </c>
      <c r="C309" s="5">
        <v>-25733277</v>
      </c>
      <c r="D309" s="5"/>
      <c r="E309" s="5" t="str">
        <f>+IF(FINANCIACION[[#This Row],[$ CAPITAL]]&gt;=0,FINANCIACION[[#This Row],[$ CAPITAL]]+FINANCIACION[[#This Row],[$ INTERESES]],"")</f>
        <v/>
      </c>
      <c r="F309" s="5">
        <f>+SUMIFS(FINANCIACION[$ CAPITAL],FINANCIACION[Fecha],"&lt;="&amp;FINANCIACION[[#This Row],[Fecha]],FINANCIACION[PRESTAMO],FINANCIACION[[#This Row],[PRESTAMO]])</f>
        <v>-25733277</v>
      </c>
      <c r="G309" s="7"/>
      <c r="H309" s="53"/>
      <c r="I309" s="5" t="b">
        <f>IF(FINANCIACION[[#This Row],[$ CAPITAL]]&gt;0,FINANCIACION[[#This Row],[$ CAPITAL]])</f>
        <v>0</v>
      </c>
      <c r="J309" s="33">
        <f>IF(FINANCIACION[[#This Row],[$ CAPITAL]]&gt;=0,FINANCIACION[[#This Row],[$ CAPITAL]]+FINANCIACION[[#This Row],[$ INTERESES]],0)</f>
        <v>0</v>
      </c>
    </row>
    <row r="310" spans="1:10" ht="24" hidden="1" customHeight="1" x14ac:dyDescent="0.3">
      <c r="A310" s="142">
        <v>44047</v>
      </c>
      <c r="B310" s="50" t="s">
        <v>827</v>
      </c>
      <c r="C310" s="5"/>
      <c r="D310" s="5">
        <v>1100623</v>
      </c>
      <c r="E310" s="5">
        <f>+IF(FINANCIACION[[#This Row],[$ CAPITAL]]&gt;=0,FINANCIACION[[#This Row],[$ CAPITAL]]+FINANCIACION[[#This Row],[$ INTERESES]],"")</f>
        <v>1100623</v>
      </c>
      <c r="F310" s="5">
        <f>+SUMIFS(FINANCIACION[$ CAPITAL],FINANCIACION[Fecha],"&lt;="&amp;FINANCIACION[[#This Row],[Fecha]],FINANCIACION[PRESTAMO],FINANCIACION[[#This Row],[PRESTAMO]])</f>
        <v>-25733277</v>
      </c>
      <c r="G310" s="7"/>
      <c r="H310" s="53"/>
      <c r="I310" s="5" t="b">
        <f>IF(FINANCIACION[[#This Row],[$ CAPITAL]]&gt;0,FINANCIACION[[#This Row],[$ CAPITAL]])</f>
        <v>0</v>
      </c>
      <c r="J310" s="33">
        <f>IF(FINANCIACION[[#This Row],[$ CAPITAL]]&gt;=0,FINANCIACION[[#This Row],[$ CAPITAL]]+FINANCIACION[[#This Row],[$ INTERESES]],0)</f>
        <v>1100623</v>
      </c>
    </row>
    <row r="311" spans="1:10" ht="24" hidden="1" customHeight="1" x14ac:dyDescent="0.3">
      <c r="A311" s="142">
        <v>44050</v>
      </c>
      <c r="B311" s="50" t="s">
        <v>191</v>
      </c>
      <c r="C311" s="5">
        <v>1450874</v>
      </c>
      <c r="D311" s="5"/>
      <c r="E311" s="5">
        <f>+IF(FINANCIACION[[#This Row],[$ CAPITAL]]&gt;=0,FINANCIACION[[#This Row],[$ CAPITAL]]+FINANCIACION[[#This Row],[$ INTERESES]],"")</f>
        <v>1450874</v>
      </c>
      <c r="F311" s="5">
        <f>+SUMIFS(FINANCIACION[$ CAPITAL],FINANCIACION[Fecha],"&lt;="&amp;FINANCIACION[[#This Row],[Fecha]],FINANCIACION[PRESTAMO],FINANCIACION[[#This Row],[PRESTAMO]])</f>
        <v>-117299126</v>
      </c>
      <c r="G311" s="7"/>
      <c r="H311" s="53"/>
      <c r="I311" s="5">
        <f>IF(FINANCIACION[[#This Row],[$ CAPITAL]]&gt;0,FINANCIACION[[#This Row],[$ CAPITAL]])</f>
        <v>1450874</v>
      </c>
      <c r="J311" s="33">
        <f>IF(FINANCIACION[[#This Row],[$ CAPITAL]]&gt;=0,FINANCIACION[[#This Row],[$ CAPITAL]]+FINANCIACION[[#This Row],[$ INTERESES]],0)</f>
        <v>1450874</v>
      </c>
    </row>
    <row r="312" spans="1:10" ht="24" hidden="1" customHeight="1" x14ac:dyDescent="0.3">
      <c r="A312" s="142">
        <v>44050</v>
      </c>
      <c r="B312" s="50" t="s">
        <v>191</v>
      </c>
      <c r="C312" s="5">
        <v>6250000</v>
      </c>
      <c r="D312" s="5">
        <v>1004371.89</v>
      </c>
      <c r="E312" s="5">
        <f>+IF(FINANCIACION[[#This Row],[$ CAPITAL]]&gt;=0,FINANCIACION[[#This Row],[$ CAPITAL]]+FINANCIACION[[#This Row],[$ INTERESES]],"")</f>
        <v>7254371.8899999997</v>
      </c>
      <c r="F312" s="5">
        <f>+SUMIFS(FINANCIACION[$ CAPITAL],FINANCIACION[Fecha],"&lt;="&amp;FINANCIACION[[#This Row],[Fecha]],FINANCIACION[PRESTAMO],FINANCIACION[[#This Row],[PRESTAMO]])</f>
        <v>-117299126</v>
      </c>
      <c r="G312" s="53"/>
      <c r="H312" s="53"/>
      <c r="I312" s="5">
        <f>IF(FINANCIACION[[#This Row],[$ CAPITAL]]&gt;0,FINANCIACION[[#This Row],[$ CAPITAL]])</f>
        <v>6250000</v>
      </c>
      <c r="J312" s="33">
        <f>IF(FINANCIACION[[#This Row],[$ CAPITAL]]&gt;=0,FINANCIACION[[#This Row],[$ CAPITAL]]+FINANCIACION[[#This Row],[$ INTERESES]],0)</f>
        <v>7254371.8899999997</v>
      </c>
    </row>
    <row r="313" spans="1:10" ht="24" hidden="1" customHeight="1" x14ac:dyDescent="0.3">
      <c r="A313" s="142">
        <v>44053</v>
      </c>
      <c r="B313" s="50" t="s">
        <v>822</v>
      </c>
      <c r="C313" s="5">
        <v>2261802</v>
      </c>
      <c r="D313" s="5"/>
      <c r="E313" s="5">
        <f>+IF(FINANCIACION[[#This Row],[$ CAPITAL]]&gt;=0,FINANCIACION[[#This Row],[$ CAPITAL]]+FINANCIACION[[#This Row],[$ INTERESES]],"")</f>
        <v>2261802</v>
      </c>
      <c r="F313" s="5">
        <f>+SUMIFS(FINANCIACION[$ CAPITAL],FINANCIACION[Fecha],"&lt;="&amp;FINANCIACION[[#This Row],[Fecha]],FINANCIACION[PRESTAMO],FINANCIACION[[#This Row],[PRESTAMO]])</f>
        <v>-89282894.790000021</v>
      </c>
      <c r="G313" s="53"/>
      <c r="H313" s="53"/>
      <c r="I313" s="5">
        <f>IF(FINANCIACION[[#This Row],[$ CAPITAL]]&gt;0,FINANCIACION[[#This Row],[$ CAPITAL]])</f>
        <v>2261802</v>
      </c>
      <c r="J313" s="33">
        <f>IF(FINANCIACION[[#This Row],[$ CAPITAL]]&gt;=0,FINANCIACION[[#This Row],[$ CAPITAL]]+FINANCIACION[[#This Row],[$ INTERESES]],0)</f>
        <v>2261802</v>
      </c>
    </row>
    <row r="314" spans="1:10" ht="24" hidden="1" customHeight="1" x14ac:dyDescent="0.3">
      <c r="A314" s="142">
        <v>44057</v>
      </c>
      <c r="B314" s="50" t="s">
        <v>822</v>
      </c>
      <c r="C314" s="5">
        <v>3390345</v>
      </c>
      <c r="D314" s="5"/>
      <c r="E314" s="5">
        <f>+IF(FINANCIACION[[#This Row],[$ CAPITAL]]&gt;=0,FINANCIACION[[#This Row],[$ CAPITAL]]+FINANCIACION[[#This Row],[$ INTERESES]],"")</f>
        <v>3390345</v>
      </c>
      <c r="F314" s="5">
        <f>+SUMIFS(FINANCIACION[$ CAPITAL],FINANCIACION[Fecha],"&lt;="&amp;FINANCIACION[[#This Row],[Fecha]],FINANCIACION[PRESTAMO],FINANCIACION[[#This Row],[PRESTAMO]])</f>
        <v>-85892549.790000021</v>
      </c>
      <c r="G314" s="7"/>
      <c r="H314" s="53"/>
      <c r="I314" s="5">
        <f>IF(FINANCIACION[[#This Row],[$ CAPITAL]]&gt;0,FINANCIACION[[#This Row],[$ CAPITAL]])</f>
        <v>3390345</v>
      </c>
      <c r="J314" s="8">
        <f>IF(FINANCIACION[[#This Row],[$ CAPITAL]]&gt;=0,FINANCIACION[[#This Row],[$ CAPITAL]]+FINANCIACION[[#This Row],[$ INTERESES]],0)</f>
        <v>3390345</v>
      </c>
    </row>
    <row r="315" spans="1:10" ht="24" hidden="1" customHeight="1" x14ac:dyDescent="0.3">
      <c r="A315" s="142">
        <v>44062</v>
      </c>
      <c r="B315" s="50" t="s">
        <v>822</v>
      </c>
      <c r="C315" s="5">
        <v>341123</v>
      </c>
      <c r="D315" s="5"/>
      <c r="E315" s="5">
        <f>+IF(FINANCIACION[[#This Row],[$ CAPITAL]]&gt;=0,FINANCIACION[[#This Row],[$ CAPITAL]]+FINANCIACION[[#This Row],[$ INTERESES]],"")</f>
        <v>341123</v>
      </c>
      <c r="F315" s="5">
        <f>+SUMIFS(FINANCIACION[$ CAPITAL],FINANCIACION[Fecha],"&lt;="&amp;FINANCIACION[[#This Row],[Fecha]],FINANCIACION[PRESTAMO],FINANCIACION[[#This Row],[PRESTAMO]])</f>
        <v>-83489840.790000021</v>
      </c>
      <c r="G315" s="7"/>
      <c r="H315" s="53"/>
      <c r="I315" s="5">
        <f>IF(FINANCIACION[[#This Row],[$ CAPITAL]]&gt;0,FINANCIACION[[#This Row],[$ CAPITAL]])</f>
        <v>341123</v>
      </c>
      <c r="J315" s="8">
        <f>IF(FINANCIACION[[#This Row],[$ CAPITAL]]&gt;=0,FINANCIACION[[#This Row],[$ CAPITAL]]+FINANCIACION[[#This Row],[$ INTERESES]],0)</f>
        <v>341123</v>
      </c>
    </row>
    <row r="316" spans="1:10" ht="24" hidden="1" customHeight="1" x14ac:dyDescent="0.3">
      <c r="A316" s="142">
        <v>44062</v>
      </c>
      <c r="B316" s="50" t="s">
        <v>822</v>
      </c>
      <c r="C316" s="5">
        <v>2061586</v>
      </c>
      <c r="D316" s="5"/>
      <c r="E316" s="5">
        <f>+IF(FINANCIACION[[#This Row],[$ CAPITAL]]&gt;=0,FINANCIACION[[#This Row],[$ CAPITAL]]+FINANCIACION[[#This Row],[$ INTERESES]],"")</f>
        <v>2061586</v>
      </c>
      <c r="F316" s="5">
        <f>+SUMIFS(FINANCIACION[$ CAPITAL],FINANCIACION[Fecha],"&lt;="&amp;FINANCIACION[[#This Row],[Fecha]],FINANCIACION[PRESTAMO],FINANCIACION[[#This Row],[PRESTAMO]])</f>
        <v>-83489840.790000021</v>
      </c>
      <c r="G316" s="7"/>
      <c r="H316" s="53"/>
      <c r="I316" s="5">
        <f>IF(FINANCIACION[[#This Row],[$ CAPITAL]]&gt;0,FINANCIACION[[#This Row],[$ CAPITAL]])</f>
        <v>2061586</v>
      </c>
      <c r="J316" s="8">
        <f>IF(FINANCIACION[[#This Row],[$ CAPITAL]]&gt;=0,FINANCIACION[[#This Row],[$ CAPITAL]]+FINANCIACION[[#This Row],[$ INTERESES]],0)</f>
        <v>2061586</v>
      </c>
    </row>
    <row r="317" spans="1:10" ht="24" hidden="1" customHeight="1" x14ac:dyDescent="0.3">
      <c r="A317" s="142">
        <v>44068</v>
      </c>
      <c r="B317" s="50" t="s">
        <v>822</v>
      </c>
      <c r="C317" s="5">
        <v>1153107</v>
      </c>
      <c r="D317" s="5"/>
      <c r="E317" s="5">
        <f>+IF(FINANCIACION[[#This Row],[$ CAPITAL]]&gt;=0,FINANCIACION[[#This Row],[$ CAPITAL]]+FINANCIACION[[#This Row],[$ INTERESES]],"")</f>
        <v>1153107</v>
      </c>
      <c r="F317" s="5">
        <f>+SUMIFS(FINANCIACION[$ CAPITAL],FINANCIACION[Fecha],"&lt;="&amp;FINANCIACION[[#This Row],[Fecha]],FINANCIACION[PRESTAMO],FINANCIACION[[#This Row],[PRESTAMO]])</f>
        <v>-82336733.790000021</v>
      </c>
      <c r="G317" s="7"/>
      <c r="H317" s="53"/>
      <c r="I317" s="5">
        <f>IF(FINANCIACION[[#This Row],[$ CAPITAL]]&gt;0,FINANCIACION[[#This Row],[$ CAPITAL]])</f>
        <v>1153107</v>
      </c>
      <c r="J317" s="8">
        <f>IF(FINANCIACION[[#This Row],[$ CAPITAL]]&gt;=0,FINANCIACION[[#This Row],[$ CAPITAL]]+FINANCIACION[[#This Row],[$ INTERESES]],0)</f>
        <v>1153107</v>
      </c>
    </row>
    <row r="318" spans="1:10" ht="24" hidden="1" customHeight="1" x14ac:dyDescent="0.3">
      <c r="A318" s="142">
        <v>44073</v>
      </c>
      <c r="B318" s="50" t="s">
        <v>828</v>
      </c>
      <c r="C318" s="5">
        <v>-8000000</v>
      </c>
      <c r="D318" s="5"/>
      <c r="E318" s="5" t="str">
        <f>+IF(FINANCIACION[[#This Row],[$ CAPITAL]]&gt;=0,FINANCIACION[[#This Row],[$ CAPITAL]]+FINANCIACION[[#This Row],[$ INTERESES]],"")</f>
        <v/>
      </c>
      <c r="F318" s="5">
        <f>+SUMIFS(FINANCIACION[$ CAPITAL],FINANCIACION[Fecha],"&lt;="&amp;FINANCIACION[[#This Row],[Fecha]],FINANCIACION[PRESTAMO],FINANCIACION[[#This Row],[PRESTAMO]])</f>
        <v>-8000000</v>
      </c>
      <c r="G318" s="7"/>
      <c r="H318" s="53"/>
      <c r="I318" s="5" t="b">
        <f>IF(FINANCIACION[[#This Row],[$ CAPITAL]]&gt;0,FINANCIACION[[#This Row],[$ CAPITAL]])</f>
        <v>0</v>
      </c>
      <c r="J318" s="8">
        <f>IF(FINANCIACION[[#This Row],[$ CAPITAL]]&gt;=0,FINANCIACION[[#This Row],[$ CAPITAL]]+FINANCIACION[[#This Row],[$ INTERESES]],0)</f>
        <v>0</v>
      </c>
    </row>
    <row r="319" spans="1:10" ht="24" hidden="1" customHeight="1" x14ac:dyDescent="0.3">
      <c r="A319" s="142">
        <v>44074</v>
      </c>
      <c r="B319" s="50" t="s">
        <v>827</v>
      </c>
      <c r="C319" s="5">
        <v>-172466.73</v>
      </c>
      <c r="D319" s="5"/>
      <c r="E319" s="5" t="str">
        <f>+IF(FINANCIACION[[#This Row],[$ CAPITAL]]&gt;=0,FINANCIACION[[#This Row],[$ CAPITAL]]+FINANCIACION[[#This Row],[$ INTERESES]],"")</f>
        <v/>
      </c>
      <c r="F319" s="5">
        <f>+SUMIFS(FINANCIACION[$ CAPITAL],FINANCIACION[Fecha],"&lt;="&amp;FINANCIACION[[#This Row],[Fecha]],FINANCIACION[PRESTAMO],FINANCIACION[[#This Row],[PRESTAMO]])</f>
        <v>-25905743.73</v>
      </c>
      <c r="G319" s="53"/>
      <c r="H319" s="53"/>
      <c r="I319" s="5" t="b">
        <f>IF(FINANCIACION[[#This Row],[$ CAPITAL]]&gt;0,FINANCIACION[[#This Row],[$ CAPITAL]])</f>
        <v>0</v>
      </c>
      <c r="J319" s="33">
        <f>IF(FINANCIACION[[#This Row],[$ CAPITAL]]&gt;=0,FINANCIACION[[#This Row],[$ CAPITAL]]+FINANCIACION[[#This Row],[$ INTERESES]],0)</f>
        <v>0</v>
      </c>
    </row>
    <row r="320" spans="1:10" ht="24" hidden="1" customHeight="1" x14ac:dyDescent="0.3">
      <c r="A320" s="142">
        <v>44074</v>
      </c>
      <c r="B320" s="50" t="s">
        <v>825</v>
      </c>
      <c r="C320" s="5">
        <v>-511971.21999999898</v>
      </c>
      <c r="D320" s="5"/>
      <c r="E320" s="5" t="str">
        <f>+IF(FINANCIACION[[#This Row],[$ CAPITAL]]&gt;=0,FINANCIACION[[#This Row],[$ CAPITAL]]+FINANCIACION[[#This Row],[$ INTERESES]],"")</f>
        <v/>
      </c>
      <c r="F320" s="5">
        <f>+SUMIFS(FINANCIACION[$ CAPITAL],FINANCIACION[Fecha],"&lt;="&amp;FINANCIACION[[#This Row],[Fecha]],FINANCIACION[PRESTAMO],FINANCIACION[[#This Row],[PRESTAMO]])</f>
        <v>-66447584.149999999</v>
      </c>
      <c r="G320" s="53"/>
      <c r="H320" s="53"/>
      <c r="I320" s="5" t="b">
        <f>IF(FINANCIACION[[#This Row],[$ CAPITAL]]&gt;0,FINANCIACION[[#This Row],[$ CAPITAL]])</f>
        <v>0</v>
      </c>
      <c r="J320" s="33">
        <f>IF(FINANCIACION[[#This Row],[$ CAPITAL]]&gt;=0,FINANCIACION[[#This Row],[$ CAPITAL]]+FINANCIACION[[#This Row],[$ INTERESES]],0)</f>
        <v>0</v>
      </c>
    </row>
    <row r="321" spans="1:10" ht="24" hidden="1" customHeight="1" x14ac:dyDescent="0.3">
      <c r="A321" s="142">
        <v>44074</v>
      </c>
      <c r="B321" s="50" t="s">
        <v>826</v>
      </c>
      <c r="C321" s="5">
        <v>-818880.33999998902</v>
      </c>
      <c r="D321" s="5"/>
      <c r="E321" s="5" t="str">
        <f>+IF(FINANCIACION[[#This Row],[$ CAPITAL]]&gt;=0,FINANCIACION[[#This Row],[$ CAPITAL]]+FINANCIACION[[#This Row],[$ INTERESES]],"")</f>
        <v/>
      </c>
      <c r="F321" s="5">
        <f>+SUMIFS(FINANCIACION[$ CAPITAL],FINANCIACION[Fecha],"&lt;="&amp;FINANCIACION[[#This Row],[Fecha]],FINANCIACION[PRESTAMO],FINANCIACION[[#This Row],[PRESTAMO]])</f>
        <v>-96853803.769999996</v>
      </c>
      <c r="G321" s="53"/>
      <c r="H321" s="53"/>
      <c r="I321" s="5" t="b">
        <f>IF(FINANCIACION[[#This Row],[$ CAPITAL]]&gt;0,FINANCIACION[[#This Row],[$ CAPITAL]])</f>
        <v>0</v>
      </c>
      <c r="J321" s="33">
        <f>IF(FINANCIACION[[#This Row],[$ CAPITAL]]&gt;=0,FINANCIACION[[#This Row],[$ CAPITAL]]+FINANCIACION[[#This Row],[$ INTERESES]],0)</f>
        <v>0</v>
      </c>
    </row>
    <row r="322" spans="1:10" ht="24" hidden="1" customHeight="1" x14ac:dyDescent="0.3">
      <c r="A322" s="142">
        <v>44074</v>
      </c>
      <c r="B322" s="50" t="s">
        <v>822</v>
      </c>
      <c r="C322" s="5">
        <v>-256645.16999999806</v>
      </c>
      <c r="D322" s="5"/>
      <c r="E322" s="5" t="str">
        <f>+IF(FINANCIACION[[#This Row],[$ CAPITAL]]&gt;=0,FINANCIACION[[#This Row],[$ CAPITAL]]+FINANCIACION[[#This Row],[$ INTERESES]],"")</f>
        <v/>
      </c>
      <c r="F322" s="5">
        <f>+SUMIFS(FINANCIACION[$ CAPITAL],FINANCIACION[Fecha],"&lt;="&amp;FINANCIACION[[#This Row],[Fecha]],FINANCIACION[PRESTAMO],FINANCIACION[[#This Row],[PRESTAMO]])</f>
        <v>-94501512.170000017</v>
      </c>
      <c r="G322" s="7"/>
      <c r="H322" s="53"/>
      <c r="I322" s="5" t="b">
        <f>IF(FINANCIACION[[#This Row],[$ CAPITAL]]&gt;0,FINANCIACION[[#This Row],[$ CAPITAL]])</f>
        <v>0</v>
      </c>
      <c r="J322" s="8">
        <f>IF(FINANCIACION[[#This Row],[$ CAPITAL]]&gt;=0,FINANCIACION[[#This Row],[$ CAPITAL]]+FINANCIACION[[#This Row],[$ INTERESES]],0)</f>
        <v>0</v>
      </c>
    </row>
    <row r="323" spans="1:10" ht="24" hidden="1" customHeight="1" x14ac:dyDescent="0.3">
      <c r="A323" s="142">
        <v>44074</v>
      </c>
      <c r="B323" s="50" t="s">
        <v>822</v>
      </c>
      <c r="C323" s="5">
        <v>-314828.46999999898</v>
      </c>
      <c r="D323" s="5"/>
      <c r="E323" s="5" t="str">
        <f>+IF(FINANCIACION[[#This Row],[$ CAPITAL]]&gt;=0,FINANCIACION[[#This Row],[$ CAPITAL]]+FINANCIACION[[#This Row],[$ INTERESES]],"")</f>
        <v/>
      </c>
      <c r="F323" s="5">
        <f>+SUMIFS(FINANCIACION[$ CAPITAL],FINANCIACION[Fecha],"&lt;="&amp;FINANCIACION[[#This Row],[Fecha]],FINANCIACION[PRESTAMO],FINANCIACION[[#This Row],[PRESTAMO]])</f>
        <v>-94501512.170000017</v>
      </c>
      <c r="G323" s="7"/>
      <c r="H323" s="53"/>
      <c r="I323" s="5" t="b">
        <f>IF(FINANCIACION[[#This Row],[$ CAPITAL]]&gt;0,FINANCIACION[[#This Row],[$ CAPITAL]])</f>
        <v>0</v>
      </c>
      <c r="J323" s="8">
        <f>IF(FINANCIACION[[#This Row],[$ CAPITAL]]&gt;=0,FINANCIACION[[#This Row],[$ CAPITAL]]+FINANCIACION[[#This Row],[$ INTERESES]],0)</f>
        <v>0</v>
      </c>
    </row>
    <row r="324" spans="1:10" ht="24" hidden="1" customHeight="1" x14ac:dyDescent="0.3">
      <c r="A324" s="142">
        <v>44074</v>
      </c>
      <c r="B324" s="50" t="s">
        <v>822</v>
      </c>
      <c r="C324" s="5">
        <v>-341123</v>
      </c>
      <c r="D324" s="5"/>
      <c r="E324" s="5" t="str">
        <f>+IF(FINANCIACION[[#This Row],[$ CAPITAL]]&gt;=0,FINANCIACION[[#This Row],[$ CAPITAL]]+FINANCIACION[[#This Row],[$ INTERESES]],"")</f>
        <v/>
      </c>
      <c r="F324" s="5">
        <f>+SUMIFS(FINANCIACION[$ CAPITAL],FINANCIACION[Fecha],"&lt;="&amp;FINANCIACION[[#This Row],[Fecha]],FINANCIACION[PRESTAMO],FINANCIACION[[#This Row],[PRESTAMO]])</f>
        <v>-94501512.170000017</v>
      </c>
      <c r="G324" s="7"/>
      <c r="H324" s="53"/>
      <c r="I324" s="5" t="b">
        <f>IF(FINANCIACION[[#This Row],[$ CAPITAL]]&gt;0,FINANCIACION[[#This Row],[$ CAPITAL]])</f>
        <v>0</v>
      </c>
      <c r="J324" s="8">
        <f>IF(FINANCIACION[[#This Row],[$ CAPITAL]]&gt;=0,FINANCIACION[[#This Row],[$ CAPITAL]]+FINANCIACION[[#This Row],[$ INTERESES]],0)</f>
        <v>0</v>
      </c>
    </row>
    <row r="325" spans="1:10" ht="24" hidden="1" customHeight="1" x14ac:dyDescent="0.3">
      <c r="A325" s="142">
        <v>44074</v>
      </c>
      <c r="B325" s="50" t="s">
        <v>822</v>
      </c>
      <c r="C325" s="5">
        <v>-4208374.74</v>
      </c>
      <c r="D325" s="5"/>
      <c r="E325" s="5" t="str">
        <f>+IF(FINANCIACION[[#This Row],[$ CAPITAL]]&gt;=0,FINANCIACION[[#This Row],[$ CAPITAL]]+FINANCIACION[[#This Row],[$ INTERESES]],"")</f>
        <v/>
      </c>
      <c r="F325" s="5">
        <f>+SUMIFS(FINANCIACION[$ CAPITAL],FINANCIACION[Fecha],"&lt;="&amp;FINANCIACION[[#This Row],[Fecha]],FINANCIACION[PRESTAMO],FINANCIACION[[#This Row],[PRESTAMO]])</f>
        <v>-94501512.170000017</v>
      </c>
      <c r="G325" s="53"/>
      <c r="H325" s="53"/>
      <c r="I325" s="5" t="b">
        <f>IF(FINANCIACION[[#This Row],[$ CAPITAL]]&gt;0,FINANCIACION[[#This Row],[$ CAPITAL]])</f>
        <v>0</v>
      </c>
      <c r="J325" s="33">
        <f>IF(FINANCIACION[[#This Row],[$ CAPITAL]]&gt;=0,FINANCIACION[[#This Row],[$ CAPITAL]]+FINANCIACION[[#This Row],[$ INTERESES]],0)</f>
        <v>0</v>
      </c>
    </row>
    <row r="326" spans="1:10" ht="24" hidden="1" customHeight="1" x14ac:dyDescent="0.3">
      <c r="A326" s="142">
        <v>44074</v>
      </c>
      <c r="B326" s="50" t="s">
        <v>822</v>
      </c>
      <c r="C326" s="5">
        <v>-7043807</v>
      </c>
      <c r="D326" s="5"/>
      <c r="E326" s="5" t="str">
        <f>+IF(FINANCIACION[[#This Row],[$ CAPITAL]]&gt;=0,FINANCIACION[[#This Row],[$ CAPITAL]]+FINANCIACION[[#This Row],[$ INTERESES]],"")</f>
        <v/>
      </c>
      <c r="F326" s="5">
        <f>+SUMIFS(FINANCIACION[$ CAPITAL],FINANCIACION[Fecha],"&lt;="&amp;FINANCIACION[[#This Row],[Fecha]],FINANCIACION[PRESTAMO],FINANCIACION[[#This Row],[PRESTAMO]])</f>
        <v>-94501512.170000017</v>
      </c>
      <c r="G326" s="53"/>
      <c r="H326" s="53"/>
      <c r="I326" s="5" t="b">
        <f>IF(FINANCIACION[[#This Row],[$ CAPITAL]]&gt;0,FINANCIACION[[#This Row],[$ CAPITAL]])</f>
        <v>0</v>
      </c>
      <c r="J326" s="33">
        <f>IF(FINANCIACION[[#This Row],[$ CAPITAL]]&gt;=0,FINANCIACION[[#This Row],[$ CAPITAL]]+FINANCIACION[[#This Row],[$ INTERESES]],0)</f>
        <v>0</v>
      </c>
    </row>
    <row r="327" spans="1:10" ht="24" hidden="1" customHeight="1" x14ac:dyDescent="0.3">
      <c r="A327" s="142">
        <v>44075</v>
      </c>
      <c r="B327" s="50" t="s">
        <v>829</v>
      </c>
      <c r="C327" s="5">
        <v>-26952781</v>
      </c>
      <c r="D327" s="5">
        <v>1152781</v>
      </c>
      <c r="E327" s="5" t="str">
        <f>+IF(FINANCIACION[[#This Row],[$ CAPITAL]]&gt;=0,FINANCIACION[[#This Row],[$ CAPITAL]]+FINANCIACION[[#This Row],[$ INTERESES]],"")</f>
        <v/>
      </c>
      <c r="F327" s="5">
        <f>+SUMIFS(FINANCIACION[$ CAPITAL],FINANCIACION[Fecha],"&lt;="&amp;FINANCIACION[[#This Row],[Fecha]],FINANCIACION[PRESTAMO],FINANCIACION[[#This Row],[PRESTAMO]])</f>
        <v>-26952781</v>
      </c>
      <c r="G327" s="53"/>
      <c r="H327" s="53"/>
      <c r="I327" s="5" t="b">
        <f>IF(FINANCIACION[[#This Row],[$ CAPITAL]]&gt;0,FINANCIACION[[#This Row],[$ CAPITAL]])</f>
        <v>0</v>
      </c>
      <c r="J327" s="33">
        <f>IF(FINANCIACION[[#This Row],[$ CAPITAL]]&gt;=0,FINANCIACION[[#This Row],[$ CAPITAL]]+FINANCIACION[[#This Row],[$ INTERESES]],0)</f>
        <v>0</v>
      </c>
    </row>
    <row r="328" spans="1:10" ht="24" hidden="1" customHeight="1" x14ac:dyDescent="0.3">
      <c r="A328" s="142">
        <v>44075</v>
      </c>
      <c r="B328" s="50" t="s">
        <v>822</v>
      </c>
      <c r="C328" s="5">
        <v>8239202</v>
      </c>
      <c r="D328" s="5"/>
      <c r="E328" s="5">
        <f>+IF(FINANCIACION[[#This Row],[$ CAPITAL]]&gt;=0,FINANCIACION[[#This Row],[$ CAPITAL]]+FINANCIACION[[#This Row],[$ INTERESES]],"")</f>
        <v>8239202</v>
      </c>
      <c r="F328" s="5">
        <f>+SUMIFS(FINANCIACION[$ CAPITAL],FINANCIACION[Fecha],"&lt;="&amp;FINANCIACION[[#This Row],[Fecha]],FINANCIACION[PRESTAMO],FINANCIACION[[#This Row],[PRESTAMO]])</f>
        <v>-86262310.170000017</v>
      </c>
      <c r="G328" s="53"/>
      <c r="H328" s="53"/>
      <c r="I328" s="5">
        <f>IF(FINANCIACION[[#This Row],[$ CAPITAL]]&gt;0,FINANCIACION[[#This Row],[$ CAPITAL]])</f>
        <v>8239202</v>
      </c>
      <c r="J328" s="33">
        <f>IF(FINANCIACION[[#This Row],[$ CAPITAL]]&gt;=0,FINANCIACION[[#This Row],[$ CAPITAL]]+FINANCIACION[[#This Row],[$ INTERESES]],0)</f>
        <v>8239202</v>
      </c>
    </row>
    <row r="329" spans="1:10" ht="24" hidden="1" customHeight="1" x14ac:dyDescent="0.3">
      <c r="A329" s="142">
        <v>44076</v>
      </c>
      <c r="B329" s="50" t="s">
        <v>822</v>
      </c>
      <c r="C329" s="5">
        <v>4200000</v>
      </c>
      <c r="D329" s="5"/>
      <c r="E329" s="5">
        <f>+IF(FINANCIACION[[#This Row],[$ CAPITAL]]&gt;=0,FINANCIACION[[#This Row],[$ CAPITAL]]+FINANCIACION[[#This Row],[$ INTERESES]],"")</f>
        <v>4200000</v>
      </c>
      <c r="F329" s="5">
        <f>+SUMIFS(FINANCIACION[$ CAPITAL],FINANCIACION[Fecha],"&lt;="&amp;FINANCIACION[[#This Row],[Fecha]],FINANCIACION[PRESTAMO],FINANCIACION[[#This Row],[PRESTAMO]])</f>
        <v>-75852342.170000017</v>
      </c>
      <c r="G329" s="53"/>
      <c r="H329" s="53"/>
      <c r="I329" s="5">
        <f>IF(FINANCIACION[[#This Row],[$ CAPITAL]]&gt;0,FINANCIACION[[#This Row],[$ CAPITAL]])</f>
        <v>4200000</v>
      </c>
      <c r="J329" s="33">
        <f>IF(FINANCIACION[[#This Row],[$ CAPITAL]]&gt;=0,FINANCIACION[[#This Row],[$ CAPITAL]]+FINANCIACION[[#This Row],[$ INTERESES]],0)</f>
        <v>4200000</v>
      </c>
    </row>
    <row r="330" spans="1:10" ht="24" hidden="1" customHeight="1" x14ac:dyDescent="0.3">
      <c r="A330" s="142">
        <v>44076</v>
      </c>
      <c r="B330" s="50" t="s">
        <v>822</v>
      </c>
      <c r="C330" s="5">
        <v>2209968</v>
      </c>
      <c r="D330" s="5"/>
      <c r="E330" s="5">
        <f>+IF(FINANCIACION[[#This Row],[$ CAPITAL]]&gt;=0,FINANCIACION[[#This Row],[$ CAPITAL]]+FINANCIACION[[#This Row],[$ INTERESES]],"")</f>
        <v>2209968</v>
      </c>
      <c r="F330" s="5">
        <f>+SUMIFS(FINANCIACION[$ CAPITAL],FINANCIACION[Fecha],"&lt;="&amp;FINANCIACION[[#This Row],[Fecha]],FINANCIACION[PRESTAMO],FINANCIACION[[#This Row],[PRESTAMO]])</f>
        <v>-75852342.170000017</v>
      </c>
      <c r="G330" s="7"/>
      <c r="H330" s="53"/>
      <c r="I330" s="5">
        <f>IF(FINANCIACION[[#This Row],[$ CAPITAL]]&gt;0,FINANCIACION[[#This Row],[$ CAPITAL]])</f>
        <v>2209968</v>
      </c>
      <c r="J330" s="33">
        <f>IF(FINANCIACION[[#This Row],[$ CAPITAL]]&gt;=0,FINANCIACION[[#This Row],[$ CAPITAL]]+FINANCIACION[[#This Row],[$ INTERESES]],0)</f>
        <v>2209968</v>
      </c>
    </row>
    <row r="331" spans="1:10" ht="24" hidden="1" customHeight="1" x14ac:dyDescent="0.3">
      <c r="A331" s="142">
        <v>44076</v>
      </c>
      <c r="B331" s="50" t="s">
        <v>822</v>
      </c>
      <c r="C331" s="5">
        <v>2000000</v>
      </c>
      <c r="D331" s="5"/>
      <c r="E331" s="5">
        <f>+IF(FINANCIACION[[#This Row],[$ CAPITAL]]&gt;=0,FINANCIACION[[#This Row],[$ CAPITAL]]+FINANCIACION[[#This Row],[$ INTERESES]],"")</f>
        <v>2000000</v>
      </c>
      <c r="F331" s="5">
        <f>+SUMIFS(FINANCIACION[$ CAPITAL],FINANCIACION[Fecha],"&lt;="&amp;FINANCIACION[[#This Row],[Fecha]],FINANCIACION[PRESTAMO],FINANCIACION[[#This Row],[PRESTAMO]])</f>
        <v>-75852342.170000017</v>
      </c>
      <c r="G331" s="7"/>
      <c r="H331" s="53"/>
      <c r="I331" s="5">
        <f>IF(FINANCIACION[[#This Row],[$ CAPITAL]]&gt;0,FINANCIACION[[#This Row],[$ CAPITAL]])</f>
        <v>2000000</v>
      </c>
      <c r="J331" s="33">
        <f>IF(FINANCIACION[[#This Row],[$ CAPITAL]]&gt;=0,FINANCIACION[[#This Row],[$ CAPITAL]]+FINANCIACION[[#This Row],[$ INTERESES]],0)</f>
        <v>2000000</v>
      </c>
    </row>
    <row r="332" spans="1:10" ht="24" hidden="1" customHeight="1" x14ac:dyDescent="0.3">
      <c r="A332" s="142">
        <v>44076</v>
      </c>
      <c r="B332" s="50" t="s">
        <v>822</v>
      </c>
      <c r="C332" s="5">
        <v>2000000</v>
      </c>
      <c r="D332" s="5"/>
      <c r="E332" s="5">
        <f>+IF(FINANCIACION[[#This Row],[$ CAPITAL]]&gt;=0,FINANCIACION[[#This Row],[$ CAPITAL]]+FINANCIACION[[#This Row],[$ INTERESES]],"")</f>
        <v>2000000</v>
      </c>
      <c r="F332" s="5">
        <f>+SUMIFS(FINANCIACION[$ CAPITAL],FINANCIACION[Fecha],"&lt;="&amp;FINANCIACION[[#This Row],[Fecha]],FINANCIACION[PRESTAMO],FINANCIACION[[#This Row],[PRESTAMO]])</f>
        <v>-75852342.170000017</v>
      </c>
      <c r="G332" s="7"/>
      <c r="H332" s="53"/>
      <c r="I332" s="5">
        <f>IF(FINANCIACION[[#This Row],[$ CAPITAL]]&gt;0,FINANCIACION[[#This Row],[$ CAPITAL]])</f>
        <v>2000000</v>
      </c>
      <c r="J332" s="33">
        <f>IF(FINANCIACION[[#This Row],[$ CAPITAL]]&gt;=0,FINANCIACION[[#This Row],[$ CAPITAL]]+FINANCIACION[[#This Row],[$ INTERESES]],0)</f>
        <v>2000000</v>
      </c>
    </row>
    <row r="333" spans="1:10" ht="24" hidden="1" customHeight="1" x14ac:dyDescent="0.3">
      <c r="A333" s="142">
        <v>44078</v>
      </c>
      <c r="B333" s="50" t="s">
        <v>823</v>
      </c>
      <c r="C333" s="5"/>
      <c r="D333" s="5">
        <v>150000</v>
      </c>
      <c r="E333" s="5">
        <f>+IF(FINANCIACION[[#This Row],[$ CAPITAL]]&gt;=0,FINANCIACION[[#This Row],[$ CAPITAL]]+FINANCIACION[[#This Row],[$ INTERESES]],"")</f>
        <v>150000</v>
      </c>
      <c r="F333" s="5">
        <f>+SUMIFS(FINANCIACION[$ CAPITAL],FINANCIACION[Fecha],"&lt;="&amp;FINANCIACION[[#This Row],[Fecha]],FINANCIACION[PRESTAMO],FINANCIACION[[#This Row],[PRESTAMO]])</f>
        <v>-15000000</v>
      </c>
      <c r="G333" s="7"/>
      <c r="H333" s="53"/>
      <c r="I333" s="5" t="b">
        <f>IF(FINANCIACION[[#This Row],[$ CAPITAL]]&gt;0,FINANCIACION[[#This Row],[$ CAPITAL]])</f>
        <v>0</v>
      </c>
      <c r="J333" s="33">
        <f>IF(FINANCIACION[[#This Row],[$ CAPITAL]]&gt;=0,FINANCIACION[[#This Row],[$ CAPITAL]]+FINANCIACION[[#This Row],[$ INTERESES]],0)</f>
        <v>150000</v>
      </c>
    </row>
    <row r="334" spans="1:10" ht="24" hidden="1" customHeight="1" x14ac:dyDescent="0.3">
      <c r="A334" s="142">
        <v>44078</v>
      </c>
      <c r="B334" s="50" t="s">
        <v>820</v>
      </c>
      <c r="C334" s="5">
        <v>334200</v>
      </c>
      <c r="D334" s="5">
        <v>665800</v>
      </c>
      <c r="E334" s="5">
        <f>+IF(FINANCIACION[[#This Row],[$ CAPITAL]]&gt;=0,FINANCIACION[[#This Row],[$ CAPITAL]]+FINANCIACION[[#This Row],[$ INTERESES]],"")</f>
        <v>1000000</v>
      </c>
      <c r="F334" s="5">
        <f>+SUMIFS(FINANCIACION[$ CAPITAL],FINANCIACION[Fecha],"&lt;="&amp;FINANCIACION[[#This Row],[Fecha]],FINANCIACION[PRESTAMO],FINANCIACION[[#This Row],[PRESTAMO]])</f>
        <v>-66244860</v>
      </c>
      <c r="G334" s="7"/>
      <c r="H334" s="53"/>
      <c r="I334" s="5">
        <f>IF(FINANCIACION[[#This Row],[$ CAPITAL]]&gt;0,FINANCIACION[[#This Row],[$ CAPITAL]])</f>
        <v>334200</v>
      </c>
      <c r="J334" s="33">
        <f>IF(FINANCIACION[[#This Row],[$ CAPITAL]]&gt;=0,FINANCIACION[[#This Row],[$ CAPITAL]]+FINANCIACION[[#This Row],[$ INTERESES]],0)</f>
        <v>1000000</v>
      </c>
    </row>
    <row r="335" spans="1:10" ht="24" hidden="1" customHeight="1" x14ac:dyDescent="0.3">
      <c r="A335" s="142">
        <v>44078</v>
      </c>
      <c r="B335" s="50" t="s">
        <v>191</v>
      </c>
      <c r="C335" s="5">
        <v>6326000</v>
      </c>
      <c r="D335" s="5">
        <v>907029</v>
      </c>
      <c r="E335" s="5">
        <f>+IF(FINANCIACION[[#This Row],[$ CAPITAL]]&gt;=0,FINANCIACION[[#This Row],[$ CAPITAL]]+FINANCIACION[[#This Row],[$ INTERESES]],"")</f>
        <v>7233029</v>
      </c>
      <c r="F335" s="5">
        <f>+SUMIFS(FINANCIACION[$ CAPITAL],FINANCIACION[Fecha],"&lt;="&amp;FINANCIACION[[#This Row],[Fecha]],FINANCIACION[PRESTAMO],FINANCIACION[[#This Row],[PRESTAMO]])</f>
        <v>-110973126</v>
      </c>
      <c r="G335" s="7"/>
      <c r="H335" s="53"/>
      <c r="I335" s="5">
        <f>IF(FINANCIACION[[#This Row],[$ CAPITAL]]&gt;0,FINANCIACION[[#This Row],[$ CAPITAL]])</f>
        <v>6326000</v>
      </c>
      <c r="J335" s="33">
        <f>IF(FINANCIACION[[#This Row],[$ CAPITAL]]&gt;=0,FINANCIACION[[#This Row],[$ CAPITAL]]+FINANCIACION[[#This Row],[$ INTERESES]],0)</f>
        <v>7233029</v>
      </c>
    </row>
    <row r="336" spans="1:10" ht="24" hidden="1" customHeight="1" x14ac:dyDescent="0.3">
      <c r="A336" s="142">
        <v>44078</v>
      </c>
      <c r="B336" s="50" t="s">
        <v>822</v>
      </c>
      <c r="C336" s="5">
        <v>1826615</v>
      </c>
      <c r="D336" s="5"/>
      <c r="E336" s="5">
        <f>+IF(FINANCIACION[[#This Row],[$ CAPITAL]]&gt;=0,FINANCIACION[[#This Row],[$ CAPITAL]]+FINANCIACION[[#This Row],[$ INTERESES]],"")</f>
        <v>1826615</v>
      </c>
      <c r="F336" s="5">
        <f>+SUMIFS(FINANCIACION[$ CAPITAL],FINANCIACION[Fecha],"&lt;="&amp;FINANCIACION[[#This Row],[Fecha]],FINANCIACION[PRESTAMO],FINANCIACION[[#This Row],[PRESTAMO]])</f>
        <v>-73525727.170000017</v>
      </c>
      <c r="G336" s="7"/>
      <c r="H336" s="53"/>
      <c r="I336" s="5">
        <f>IF(FINANCIACION[[#This Row],[$ CAPITAL]]&gt;0,FINANCIACION[[#This Row],[$ CAPITAL]])</f>
        <v>1826615</v>
      </c>
      <c r="J336" s="33">
        <f>IF(FINANCIACION[[#This Row],[$ CAPITAL]]&gt;=0,FINANCIACION[[#This Row],[$ CAPITAL]]+FINANCIACION[[#This Row],[$ INTERESES]],0)</f>
        <v>1826615</v>
      </c>
    </row>
    <row r="337" spans="1:10" ht="24" hidden="1" customHeight="1" x14ac:dyDescent="0.3">
      <c r="A337" s="142">
        <v>44078</v>
      </c>
      <c r="B337" s="50" t="s">
        <v>822</v>
      </c>
      <c r="C337" s="5">
        <v>500000</v>
      </c>
      <c r="D337" s="5"/>
      <c r="E337" s="5">
        <f>+IF(FINANCIACION[[#This Row],[$ CAPITAL]]&gt;=0,FINANCIACION[[#This Row],[$ CAPITAL]]+FINANCIACION[[#This Row],[$ INTERESES]],"")</f>
        <v>500000</v>
      </c>
      <c r="F337" s="5">
        <f>+SUMIFS(FINANCIACION[$ CAPITAL],FINANCIACION[Fecha],"&lt;="&amp;FINANCIACION[[#This Row],[Fecha]],FINANCIACION[PRESTAMO],FINANCIACION[[#This Row],[PRESTAMO]])</f>
        <v>-73525727.170000017</v>
      </c>
      <c r="G337" s="7"/>
      <c r="H337" s="53"/>
      <c r="I337" s="5">
        <f>IF(FINANCIACION[[#This Row],[$ CAPITAL]]&gt;0,FINANCIACION[[#This Row],[$ CAPITAL]])</f>
        <v>500000</v>
      </c>
      <c r="J337" s="33">
        <f>IF(FINANCIACION[[#This Row],[$ CAPITAL]]&gt;=0,FINANCIACION[[#This Row],[$ CAPITAL]]+FINANCIACION[[#This Row],[$ INTERESES]],0)</f>
        <v>500000</v>
      </c>
    </row>
    <row r="338" spans="1:10" ht="24" hidden="1" customHeight="1" x14ac:dyDescent="0.3">
      <c r="A338" s="142">
        <v>44081</v>
      </c>
      <c r="B338" s="50" t="s">
        <v>187</v>
      </c>
      <c r="C338" s="5"/>
      <c r="D338" s="5">
        <v>31575</v>
      </c>
      <c r="E338" s="5">
        <f>+IF(FINANCIACION[[#This Row],[$ CAPITAL]]&gt;=0,FINANCIACION[[#This Row],[$ CAPITAL]]+FINANCIACION[[#This Row],[$ INTERESES]],"")</f>
        <v>31575</v>
      </c>
      <c r="F338" s="5">
        <f>+SUMIFS(FINANCIACION[$ CAPITAL],FINANCIACION[Fecha],"&lt;="&amp;FINANCIACION[[#This Row],[Fecha]],FINANCIACION[PRESTAMO],FINANCIACION[[#This Row],[PRESTAMO]])</f>
        <v>-16250000</v>
      </c>
      <c r="G338" s="7"/>
      <c r="H338" s="53"/>
      <c r="I338" s="5" t="b">
        <f>IF(FINANCIACION[[#This Row],[$ CAPITAL]]&gt;0,FINANCIACION[[#This Row],[$ CAPITAL]])</f>
        <v>0</v>
      </c>
      <c r="J338" s="33">
        <f>IF(FINANCIACION[[#This Row],[$ CAPITAL]]&gt;=0,FINANCIACION[[#This Row],[$ CAPITAL]]+FINANCIACION[[#This Row],[$ INTERESES]],0)</f>
        <v>31575</v>
      </c>
    </row>
    <row r="339" spans="1:10" ht="24" hidden="1" customHeight="1" x14ac:dyDescent="0.3">
      <c r="A339" s="142">
        <v>44081</v>
      </c>
      <c r="B339" s="50" t="s">
        <v>188</v>
      </c>
      <c r="C339" s="5"/>
      <c r="D339" s="5">
        <v>64575</v>
      </c>
      <c r="E339" s="5">
        <f>+IF(FINANCIACION[[#This Row],[$ CAPITAL]]&gt;=0,FINANCIACION[[#This Row],[$ CAPITAL]]+FINANCIACION[[#This Row],[$ INTERESES]],"")</f>
        <v>64575</v>
      </c>
      <c r="F339" s="5">
        <f>+SUMIFS(FINANCIACION[$ CAPITAL],FINANCIACION[Fecha],"&lt;="&amp;FINANCIACION[[#This Row],[Fecha]],FINANCIACION[PRESTAMO],FINANCIACION[[#This Row],[PRESTAMO]])</f>
        <v>-38080833</v>
      </c>
      <c r="G339" s="7"/>
      <c r="H339" s="53"/>
      <c r="I339" s="5" t="b">
        <f>IF(FINANCIACION[[#This Row],[$ CAPITAL]]&gt;0,FINANCIACION[[#This Row],[$ CAPITAL]])</f>
        <v>0</v>
      </c>
      <c r="J339" s="33">
        <f>IF(FINANCIACION[[#This Row],[$ CAPITAL]]&gt;=0,FINANCIACION[[#This Row],[$ CAPITAL]]+FINANCIACION[[#This Row],[$ INTERESES]],0)</f>
        <v>64575</v>
      </c>
    </row>
    <row r="340" spans="1:10" ht="24" hidden="1" customHeight="1" x14ac:dyDescent="0.3">
      <c r="A340" s="142">
        <v>44081</v>
      </c>
      <c r="B340" s="50" t="s">
        <v>822</v>
      </c>
      <c r="C340" s="5">
        <v>761488</v>
      </c>
      <c r="D340" s="5"/>
      <c r="E340" s="5">
        <f>+IF(FINANCIACION[[#This Row],[$ CAPITAL]]&gt;=0,FINANCIACION[[#This Row],[$ CAPITAL]]+FINANCIACION[[#This Row],[$ INTERESES]],"")</f>
        <v>761488</v>
      </c>
      <c r="F340" s="5">
        <f>+SUMIFS(FINANCIACION[$ CAPITAL],FINANCIACION[Fecha],"&lt;="&amp;FINANCIACION[[#This Row],[Fecha]],FINANCIACION[PRESTAMO],FINANCIACION[[#This Row],[PRESTAMO]])</f>
        <v>-68062239.170000017</v>
      </c>
      <c r="G340" s="7"/>
      <c r="H340" s="53"/>
      <c r="I340" s="5">
        <f>IF(FINANCIACION[[#This Row],[$ CAPITAL]]&gt;0,FINANCIACION[[#This Row],[$ CAPITAL]])</f>
        <v>761488</v>
      </c>
      <c r="J340" s="33">
        <f>IF(FINANCIACION[[#This Row],[$ CAPITAL]]&gt;=0,FINANCIACION[[#This Row],[$ CAPITAL]]+FINANCIACION[[#This Row],[$ INTERESES]],0)</f>
        <v>761488</v>
      </c>
    </row>
    <row r="341" spans="1:10" ht="24" hidden="1" customHeight="1" x14ac:dyDescent="0.3">
      <c r="A341" s="142">
        <v>44081</v>
      </c>
      <c r="B341" s="50" t="s">
        <v>822</v>
      </c>
      <c r="C341" s="5">
        <v>3702000</v>
      </c>
      <c r="D341" s="5"/>
      <c r="E341" s="5">
        <f>+IF(FINANCIACION[[#This Row],[$ CAPITAL]]&gt;=0,FINANCIACION[[#This Row],[$ CAPITAL]]+FINANCIACION[[#This Row],[$ INTERESES]],"")</f>
        <v>3702000</v>
      </c>
      <c r="F341" s="5">
        <f>+SUMIFS(FINANCIACION[$ CAPITAL],FINANCIACION[Fecha],"&lt;="&amp;FINANCIACION[[#This Row],[Fecha]],FINANCIACION[PRESTAMO],FINANCIACION[[#This Row],[PRESTAMO]])</f>
        <v>-68062239.170000017</v>
      </c>
      <c r="G341" s="7"/>
      <c r="H341" s="53"/>
      <c r="I341" s="5">
        <f>IF(FINANCIACION[[#This Row],[$ CAPITAL]]&gt;0,FINANCIACION[[#This Row],[$ CAPITAL]])</f>
        <v>3702000</v>
      </c>
      <c r="J341" s="33">
        <f>IF(FINANCIACION[[#This Row],[$ CAPITAL]]&gt;=0,FINANCIACION[[#This Row],[$ CAPITAL]]+FINANCIACION[[#This Row],[$ INTERESES]],0)</f>
        <v>3702000</v>
      </c>
    </row>
    <row r="342" spans="1:10" ht="24" hidden="1" customHeight="1" x14ac:dyDescent="0.3">
      <c r="A342" s="142">
        <v>44081</v>
      </c>
      <c r="B342" s="50" t="s">
        <v>822</v>
      </c>
      <c r="C342" s="5">
        <v>1000000</v>
      </c>
      <c r="D342" s="5"/>
      <c r="E342" s="5">
        <f>+IF(FINANCIACION[[#This Row],[$ CAPITAL]]&gt;=0,FINANCIACION[[#This Row],[$ CAPITAL]]+FINANCIACION[[#This Row],[$ INTERESES]],"")</f>
        <v>1000000</v>
      </c>
      <c r="F342" s="5">
        <f>+SUMIFS(FINANCIACION[$ CAPITAL],FINANCIACION[Fecha],"&lt;="&amp;FINANCIACION[[#This Row],[Fecha]],FINANCIACION[PRESTAMO],FINANCIACION[[#This Row],[PRESTAMO]])</f>
        <v>-68062239.170000017</v>
      </c>
      <c r="G342" s="7"/>
      <c r="H342" s="53"/>
      <c r="I342" s="5">
        <f>IF(FINANCIACION[[#This Row],[$ CAPITAL]]&gt;0,FINANCIACION[[#This Row],[$ CAPITAL]])</f>
        <v>1000000</v>
      </c>
      <c r="J342" s="33">
        <f>IF(FINANCIACION[[#This Row],[$ CAPITAL]]&gt;=0,FINANCIACION[[#This Row],[$ CAPITAL]]+FINANCIACION[[#This Row],[$ INTERESES]],0)</f>
        <v>1000000</v>
      </c>
    </row>
    <row r="343" spans="1:10" ht="24" hidden="1" customHeight="1" x14ac:dyDescent="0.3">
      <c r="A343" s="142">
        <v>44083</v>
      </c>
      <c r="B343" s="50" t="s">
        <v>819</v>
      </c>
      <c r="C343" s="5"/>
      <c r="D343" s="5">
        <v>950000</v>
      </c>
      <c r="E343" s="5">
        <f>+IF(FINANCIACION[[#This Row],[$ CAPITAL]]&gt;=0,FINANCIACION[[#This Row],[$ CAPITAL]]+FINANCIACION[[#This Row],[$ INTERESES]],"")</f>
        <v>950000</v>
      </c>
      <c r="F343" s="5">
        <f>+SUMIFS(FINANCIACION[$ CAPITAL],FINANCIACION[Fecha],"&lt;="&amp;FINANCIACION[[#This Row],[Fecha]],FINANCIACION[PRESTAMO],FINANCIACION[[#This Row],[PRESTAMO]])</f>
        <v>-94935167</v>
      </c>
      <c r="G343" s="7"/>
      <c r="H343" s="53"/>
      <c r="I343" s="5" t="b">
        <f>IF(FINANCIACION[[#This Row],[$ CAPITAL]]&gt;0,FINANCIACION[[#This Row],[$ CAPITAL]])</f>
        <v>0</v>
      </c>
      <c r="J343" s="33">
        <f>IF(FINANCIACION[[#This Row],[$ CAPITAL]]&gt;=0,FINANCIACION[[#This Row],[$ CAPITAL]]+FINANCIACION[[#This Row],[$ INTERESES]],0)</f>
        <v>950000</v>
      </c>
    </row>
    <row r="344" spans="1:10" ht="24" hidden="1" customHeight="1" x14ac:dyDescent="0.3">
      <c r="A344" s="142">
        <v>44088</v>
      </c>
      <c r="B344" s="50" t="s">
        <v>822</v>
      </c>
      <c r="C344" s="5">
        <v>2039950</v>
      </c>
      <c r="D344" s="5"/>
      <c r="E344" s="5">
        <f>+IF(FINANCIACION[[#This Row],[$ CAPITAL]]&gt;=0,FINANCIACION[[#This Row],[$ CAPITAL]]+FINANCIACION[[#This Row],[$ INTERESES]],"")</f>
        <v>2039950</v>
      </c>
      <c r="F344" s="5">
        <f>+SUMIFS(FINANCIACION[$ CAPITAL],FINANCIACION[Fecha],"&lt;="&amp;FINANCIACION[[#This Row],[Fecha]],FINANCIACION[PRESTAMO],FINANCIACION[[#This Row],[PRESTAMO]])</f>
        <v>-66022289.170000017</v>
      </c>
      <c r="G344" s="7"/>
      <c r="H344" s="53"/>
      <c r="I344" s="5">
        <f>IF(FINANCIACION[[#This Row],[$ CAPITAL]]&gt;0,FINANCIACION[[#This Row],[$ CAPITAL]])</f>
        <v>2039950</v>
      </c>
      <c r="J344" s="33">
        <f>IF(FINANCIACION[[#This Row],[$ CAPITAL]]&gt;=0,FINANCIACION[[#This Row],[$ CAPITAL]]+FINANCIACION[[#This Row],[$ INTERESES]],0)</f>
        <v>2039950</v>
      </c>
    </row>
    <row r="345" spans="1:10" ht="24" hidden="1" customHeight="1" x14ac:dyDescent="0.3">
      <c r="A345" s="142">
        <v>44092</v>
      </c>
      <c r="B345" s="50" t="s">
        <v>821</v>
      </c>
      <c r="C345" s="5">
        <v>3000000</v>
      </c>
      <c r="D345" s="5"/>
      <c r="E345" s="5">
        <f>+IF(FINANCIACION[[#This Row],[$ CAPITAL]]&gt;=0,FINANCIACION[[#This Row],[$ CAPITAL]]+FINANCIACION[[#This Row],[$ INTERESES]],"")</f>
        <v>3000000</v>
      </c>
      <c r="F345" s="5">
        <f>+SUMIFS(FINANCIACION[$ CAPITAL],FINANCIACION[Fecha],"&lt;="&amp;FINANCIACION[[#This Row],[Fecha]],FINANCIACION[PRESTAMO],FINANCIACION[[#This Row],[PRESTAMO]])</f>
        <v>-377443064</v>
      </c>
      <c r="G345" s="7"/>
      <c r="H345" s="53"/>
      <c r="I345" s="5">
        <f>IF(FINANCIACION[[#This Row],[$ CAPITAL]]&gt;0,FINANCIACION[[#This Row],[$ CAPITAL]])</f>
        <v>3000000</v>
      </c>
      <c r="J345" s="33">
        <f>IF(FINANCIACION[[#This Row],[$ CAPITAL]]&gt;=0,FINANCIACION[[#This Row],[$ CAPITAL]]+FINANCIACION[[#This Row],[$ INTERESES]],0)</f>
        <v>3000000</v>
      </c>
    </row>
    <row r="346" spans="1:10" ht="24" hidden="1" customHeight="1" x14ac:dyDescent="0.3">
      <c r="A346" s="142">
        <v>44095</v>
      </c>
      <c r="B346" s="50" t="s">
        <v>822</v>
      </c>
      <c r="C346" s="5"/>
      <c r="D346" s="5">
        <v>6015875</v>
      </c>
      <c r="E346" s="5">
        <f>+IF(FINANCIACION[[#This Row],[$ CAPITAL]]&gt;=0,FINANCIACION[[#This Row],[$ CAPITAL]]+FINANCIACION[[#This Row],[$ INTERESES]],"")</f>
        <v>6015875</v>
      </c>
      <c r="F346" s="5">
        <f>+SUMIFS(FINANCIACION[$ CAPITAL],FINANCIACION[Fecha],"&lt;="&amp;FINANCIACION[[#This Row],[Fecha]],FINANCIACION[PRESTAMO],FINANCIACION[[#This Row],[PRESTAMO]])</f>
        <v>-65070473.170000017</v>
      </c>
      <c r="G346" s="7"/>
      <c r="H346" s="53"/>
      <c r="I346" s="5" t="b">
        <f>IF(FINANCIACION[[#This Row],[$ CAPITAL]]&gt;0,FINANCIACION[[#This Row],[$ CAPITAL]])</f>
        <v>0</v>
      </c>
      <c r="J346" s="33">
        <f>IF(FINANCIACION[[#This Row],[$ CAPITAL]]&gt;=0,FINANCIACION[[#This Row],[$ CAPITAL]]+FINANCIACION[[#This Row],[$ INTERESES]],0)</f>
        <v>6015875</v>
      </c>
    </row>
    <row r="347" spans="1:10" ht="24" hidden="1" customHeight="1" x14ac:dyDescent="0.3">
      <c r="A347" s="142">
        <v>44095</v>
      </c>
      <c r="B347" s="50" t="s">
        <v>822</v>
      </c>
      <c r="C347" s="5">
        <v>951816</v>
      </c>
      <c r="D347" s="5"/>
      <c r="E347" s="5">
        <f>+IF(FINANCIACION[[#This Row],[$ CAPITAL]]&gt;=0,FINANCIACION[[#This Row],[$ CAPITAL]]+FINANCIACION[[#This Row],[$ INTERESES]],"")</f>
        <v>951816</v>
      </c>
      <c r="F347" s="5">
        <f>+SUMIFS(FINANCIACION[$ CAPITAL],FINANCIACION[Fecha],"&lt;="&amp;FINANCIACION[[#This Row],[Fecha]],FINANCIACION[PRESTAMO],FINANCIACION[[#This Row],[PRESTAMO]])</f>
        <v>-65070473.170000017</v>
      </c>
      <c r="G347" s="7"/>
      <c r="H347" s="53"/>
      <c r="I347" s="5">
        <f>IF(FINANCIACION[[#This Row],[$ CAPITAL]]&gt;0,FINANCIACION[[#This Row],[$ CAPITAL]])</f>
        <v>951816</v>
      </c>
      <c r="J347" s="33">
        <f>IF(FINANCIACION[[#This Row],[$ CAPITAL]]&gt;=0,FINANCIACION[[#This Row],[$ CAPITAL]]+FINANCIACION[[#This Row],[$ INTERESES]],0)</f>
        <v>951816</v>
      </c>
    </row>
    <row r="348" spans="1:10" ht="24" hidden="1" customHeight="1" x14ac:dyDescent="0.3">
      <c r="A348" s="142">
        <v>44099</v>
      </c>
      <c r="B348" s="50" t="s">
        <v>822</v>
      </c>
      <c r="C348" s="5">
        <v>3867810</v>
      </c>
      <c r="D348" s="5"/>
      <c r="E348" s="5">
        <f>+IF(FINANCIACION[[#This Row],[$ CAPITAL]]&gt;=0,FINANCIACION[[#This Row],[$ CAPITAL]]+FINANCIACION[[#This Row],[$ INTERESES]],"")</f>
        <v>3867810</v>
      </c>
      <c r="F348" s="5">
        <f>+SUMIFS(FINANCIACION[$ CAPITAL],FINANCIACION[Fecha],"&lt;="&amp;FINANCIACION[[#This Row],[Fecha]],FINANCIACION[PRESTAMO],FINANCIACION[[#This Row],[PRESTAMO]])</f>
        <v>-60702663.170000017</v>
      </c>
      <c r="G348" s="7"/>
      <c r="H348" s="53"/>
      <c r="I348" s="5">
        <f>IF(FINANCIACION[[#This Row],[$ CAPITAL]]&gt;0,FINANCIACION[[#This Row],[$ CAPITAL]])</f>
        <v>3867810</v>
      </c>
      <c r="J348" s="33">
        <f>IF(FINANCIACION[[#This Row],[$ CAPITAL]]&gt;=0,FINANCIACION[[#This Row],[$ CAPITAL]]+FINANCIACION[[#This Row],[$ INTERESES]],0)</f>
        <v>3867810</v>
      </c>
    </row>
    <row r="349" spans="1:10" ht="24" hidden="1" customHeight="1" x14ac:dyDescent="0.3">
      <c r="A349" s="142">
        <v>44099</v>
      </c>
      <c r="B349" s="50" t="s">
        <v>822</v>
      </c>
      <c r="C349" s="5">
        <v>500000</v>
      </c>
      <c r="D349" s="5"/>
      <c r="E349" s="5">
        <f>+IF(FINANCIACION[[#This Row],[$ CAPITAL]]&gt;=0,FINANCIACION[[#This Row],[$ CAPITAL]]+FINANCIACION[[#This Row],[$ INTERESES]],"")</f>
        <v>500000</v>
      </c>
      <c r="F349" s="5">
        <f>+SUMIFS(FINANCIACION[$ CAPITAL],FINANCIACION[Fecha],"&lt;="&amp;FINANCIACION[[#This Row],[Fecha]],FINANCIACION[PRESTAMO],FINANCIACION[[#This Row],[PRESTAMO]])</f>
        <v>-60702663.170000017</v>
      </c>
      <c r="G349" s="7"/>
      <c r="H349" s="53"/>
      <c r="I349" s="5">
        <f>IF(FINANCIACION[[#This Row],[$ CAPITAL]]&gt;0,FINANCIACION[[#This Row],[$ CAPITAL]])</f>
        <v>500000</v>
      </c>
      <c r="J349" s="33">
        <f>IF(FINANCIACION[[#This Row],[$ CAPITAL]]&gt;=0,FINANCIACION[[#This Row],[$ CAPITAL]]+FINANCIACION[[#This Row],[$ INTERESES]],0)</f>
        <v>500000</v>
      </c>
    </row>
    <row r="350" spans="1:10" ht="24" hidden="1" customHeight="1" x14ac:dyDescent="0.3">
      <c r="A350" s="142">
        <v>44104</v>
      </c>
      <c r="B350" s="50" t="s">
        <v>187</v>
      </c>
      <c r="C350" s="5">
        <v>-38080833</v>
      </c>
      <c r="D350" s="5"/>
      <c r="E350" s="5" t="str">
        <f>+IF(FINANCIACION[[#This Row],[$ CAPITAL]]&gt;=0,FINANCIACION[[#This Row],[$ CAPITAL]]+FINANCIACION[[#This Row],[$ INTERESES]],"")</f>
        <v/>
      </c>
      <c r="F350" s="5">
        <f>+SUMIFS(FINANCIACION[$ CAPITAL],FINANCIACION[Fecha],"&lt;="&amp;FINANCIACION[[#This Row],[Fecha]],FINANCIACION[PRESTAMO],FINANCIACION[[#This Row],[PRESTAMO]])</f>
        <v>-54330833</v>
      </c>
      <c r="G350" s="7"/>
      <c r="H350" s="53"/>
      <c r="I350" s="5" t="b">
        <f>IF(FINANCIACION[[#This Row],[$ CAPITAL]]&gt;0,FINANCIACION[[#This Row],[$ CAPITAL]])</f>
        <v>0</v>
      </c>
      <c r="J350" s="33">
        <f>IF(FINANCIACION[[#This Row],[$ CAPITAL]]&gt;=0,FINANCIACION[[#This Row],[$ CAPITAL]]+FINANCIACION[[#This Row],[$ INTERESES]],0)</f>
        <v>0</v>
      </c>
    </row>
    <row r="351" spans="1:10" ht="24" hidden="1" customHeight="1" x14ac:dyDescent="0.3">
      <c r="A351" s="142">
        <v>44104</v>
      </c>
      <c r="B351" s="50" t="s">
        <v>188</v>
      </c>
      <c r="C351" s="5">
        <v>34778781</v>
      </c>
      <c r="D351" s="5"/>
      <c r="E351" s="5">
        <f>+IF(FINANCIACION[[#This Row],[$ CAPITAL]]&gt;=0,FINANCIACION[[#This Row],[$ CAPITAL]]+FINANCIACION[[#This Row],[$ INTERESES]],"")</f>
        <v>34778781</v>
      </c>
      <c r="F351" s="5">
        <f>+SUMIFS(FINANCIACION[$ CAPITAL],FINANCIACION[Fecha],"&lt;="&amp;FINANCIACION[[#This Row],[Fecha]],FINANCIACION[PRESTAMO],FINANCIACION[[#This Row],[PRESTAMO]])</f>
        <v>-3302052</v>
      </c>
      <c r="G351" s="7"/>
      <c r="H351" s="53"/>
      <c r="I351" s="5">
        <f>IF(FINANCIACION[[#This Row],[$ CAPITAL]]&gt;0,FINANCIACION[[#This Row],[$ CAPITAL]])</f>
        <v>34778781</v>
      </c>
      <c r="J351" s="33">
        <f>IF(FINANCIACION[[#This Row],[$ CAPITAL]]&gt;=0,FINANCIACION[[#This Row],[$ CAPITAL]]+FINANCIACION[[#This Row],[$ INTERESES]],0)</f>
        <v>34778781</v>
      </c>
    </row>
    <row r="352" spans="1:10" ht="24" hidden="1" customHeight="1" x14ac:dyDescent="0.3">
      <c r="A352" s="142">
        <v>44104</v>
      </c>
      <c r="B352" s="50" t="s">
        <v>827</v>
      </c>
      <c r="C352" s="5">
        <v>-189966.1799999997</v>
      </c>
      <c r="D352" s="5"/>
      <c r="E352" s="5" t="str">
        <f>+IF(FINANCIACION[[#This Row],[$ CAPITAL]]&gt;=0,FINANCIACION[[#This Row],[$ CAPITAL]]+FINANCIACION[[#This Row],[$ INTERESES]],"")</f>
        <v/>
      </c>
      <c r="F352" s="5">
        <f>+SUMIFS(FINANCIACION[$ CAPITAL],FINANCIACION[Fecha],"&lt;="&amp;FINANCIACION[[#This Row],[Fecha]],FINANCIACION[PRESTAMO],FINANCIACION[[#This Row],[PRESTAMO]])</f>
        <v>-26095709.91</v>
      </c>
      <c r="G352" s="7"/>
      <c r="H352" s="53"/>
      <c r="I352" s="5" t="b">
        <f>IF(FINANCIACION[[#This Row],[$ CAPITAL]]&gt;0,FINANCIACION[[#This Row],[$ CAPITAL]])</f>
        <v>0</v>
      </c>
      <c r="J352" s="33">
        <f>IF(FINANCIACION[[#This Row],[$ CAPITAL]]&gt;=0,FINANCIACION[[#This Row],[$ CAPITAL]]+FINANCIACION[[#This Row],[$ INTERESES]],0)</f>
        <v>0</v>
      </c>
    </row>
    <row r="353" spans="1:10" ht="24" hidden="1" customHeight="1" x14ac:dyDescent="0.3">
      <c r="A353" s="142">
        <v>44104</v>
      </c>
      <c r="B353" s="50" t="s">
        <v>829</v>
      </c>
      <c r="C353" s="5">
        <v>-190565.6099999994</v>
      </c>
      <c r="D353" s="5"/>
      <c r="E353" s="5" t="str">
        <f>+IF(FINANCIACION[[#This Row],[$ CAPITAL]]&gt;=0,FINANCIACION[[#This Row],[$ CAPITAL]]+FINANCIACION[[#This Row],[$ INTERESES]],"")</f>
        <v/>
      </c>
      <c r="F353" s="5">
        <f>+SUMIFS(FINANCIACION[$ CAPITAL],FINANCIACION[Fecha],"&lt;="&amp;FINANCIACION[[#This Row],[Fecha]],FINANCIACION[PRESTAMO],FINANCIACION[[#This Row],[PRESTAMO]])</f>
        <v>-27143346.609999999</v>
      </c>
      <c r="G353" s="7"/>
      <c r="H353" s="53"/>
      <c r="I353" s="5" t="b">
        <f>IF(FINANCIACION[[#This Row],[$ CAPITAL]]&gt;0,FINANCIACION[[#This Row],[$ CAPITAL]])</f>
        <v>0</v>
      </c>
      <c r="J353" s="33">
        <f>IF(FINANCIACION[[#This Row],[$ CAPITAL]]&gt;=0,FINANCIACION[[#This Row],[$ CAPITAL]]+FINANCIACION[[#This Row],[$ INTERESES]],0)</f>
        <v>0</v>
      </c>
    </row>
    <row r="354" spans="1:10" ht="24" hidden="1" customHeight="1" x14ac:dyDescent="0.3">
      <c r="A354" s="142">
        <v>44104</v>
      </c>
      <c r="B354" s="50" t="s">
        <v>825</v>
      </c>
      <c r="C354" s="5">
        <v>-473294.0700000003</v>
      </c>
      <c r="D354" s="5"/>
      <c r="E354" s="5" t="str">
        <f>+IF(FINANCIACION[[#This Row],[$ CAPITAL]]&gt;=0,FINANCIACION[[#This Row],[$ CAPITAL]]+FINANCIACION[[#This Row],[$ INTERESES]],"")</f>
        <v/>
      </c>
      <c r="F354" s="5">
        <f>+SUMIFS(FINANCIACION[$ CAPITAL],FINANCIACION[Fecha],"&lt;="&amp;FINANCIACION[[#This Row],[Fecha]],FINANCIACION[PRESTAMO],FINANCIACION[[#This Row],[PRESTAMO]])</f>
        <v>-66920878.219999999</v>
      </c>
      <c r="G354" s="7"/>
      <c r="H354" s="53"/>
      <c r="I354" s="5" t="b">
        <f>IF(FINANCIACION[[#This Row],[$ CAPITAL]]&gt;0,FINANCIACION[[#This Row],[$ CAPITAL]])</f>
        <v>0</v>
      </c>
      <c r="J354" s="33">
        <f>IF(FINANCIACION[[#This Row],[$ CAPITAL]]&gt;=0,FINANCIACION[[#This Row],[$ CAPITAL]]+FINANCIACION[[#This Row],[$ INTERESES]],0)</f>
        <v>0</v>
      </c>
    </row>
    <row r="355" spans="1:10" ht="24" hidden="1" customHeight="1" x14ac:dyDescent="0.3">
      <c r="A355" s="142">
        <v>44104</v>
      </c>
      <c r="B355" s="50" t="s">
        <v>826</v>
      </c>
      <c r="C355" s="5">
        <v>-762127.79000000656</v>
      </c>
      <c r="D355" s="5"/>
      <c r="E355" s="5" t="str">
        <f>+IF(FINANCIACION[[#This Row],[$ CAPITAL]]&gt;=0,FINANCIACION[[#This Row],[$ CAPITAL]]+FINANCIACION[[#This Row],[$ INTERESES]],"")</f>
        <v/>
      </c>
      <c r="F355" s="5">
        <f>+SUMIFS(FINANCIACION[$ CAPITAL],FINANCIACION[Fecha],"&lt;="&amp;FINANCIACION[[#This Row],[Fecha]],FINANCIACION[PRESTAMO],FINANCIACION[[#This Row],[PRESTAMO]])</f>
        <v>-97615931.560000002</v>
      </c>
      <c r="G355" s="7"/>
      <c r="H355" s="53"/>
      <c r="I355" s="5" t="b">
        <f>IF(FINANCIACION[[#This Row],[$ CAPITAL]]&gt;0,FINANCIACION[[#This Row],[$ CAPITAL]])</f>
        <v>0</v>
      </c>
      <c r="J355" s="33">
        <f>IF(FINANCIACION[[#This Row],[$ CAPITAL]]&gt;=0,FINANCIACION[[#This Row],[$ CAPITAL]]+FINANCIACION[[#This Row],[$ INTERESES]],0)</f>
        <v>0</v>
      </c>
    </row>
    <row r="356" spans="1:10" ht="24" hidden="1" customHeight="1" x14ac:dyDescent="0.3">
      <c r="A356" s="142">
        <v>44104</v>
      </c>
      <c r="B356" s="50" t="s">
        <v>821</v>
      </c>
      <c r="C356" s="5">
        <v>-39568203</v>
      </c>
      <c r="D356" s="5"/>
      <c r="E356" s="5" t="str">
        <f>+IF(FINANCIACION[[#This Row],[$ CAPITAL]]&gt;=0,FINANCIACION[[#This Row],[$ CAPITAL]]+FINANCIACION[[#This Row],[$ INTERESES]],"")</f>
        <v/>
      </c>
      <c r="F356" s="5">
        <f>+SUMIFS(FINANCIACION[$ CAPITAL],FINANCIACION[Fecha],"&lt;="&amp;FINANCIACION[[#This Row],[Fecha]],FINANCIACION[PRESTAMO],FINANCIACION[[#This Row],[PRESTAMO]])</f>
        <v>-417011267</v>
      </c>
      <c r="G356" s="7"/>
      <c r="H356" s="53"/>
      <c r="I356" s="5" t="b">
        <f>IF(FINANCIACION[[#This Row],[$ CAPITAL]]&gt;0,FINANCIACION[[#This Row],[$ CAPITAL]])</f>
        <v>0</v>
      </c>
      <c r="J356" s="33">
        <f>IF(FINANCIACION[[#This Row],[$ CAPITAL]]&gt;=0,FINANCIACION[[#This Row],[$ CAPITAL]]+FINANCIACION[[#This Row],[$ INTERESES]],0)</f>
        <v>0</v>
      </c>
    </row>
    <row r="357" spans="1:10" ht="24" hidden="1" customHeight="1" x14ac:dyDescent="0.3">
      <c r="A357" s="142">
        <v>44104</v>
      </c>
      <c r="B357" s="50" t="s">
        <v>822</v>
      </c>
      <c r="C357" s="5">
        <v>-236242.01000000164</v>
      </c>
      <c r="D357" s="5"/>
      <c r="E357" s="5" t="str">
        <f>+IF(FINANCIACION[[#This Row],[$ CAPITAL]]&gt;=0,FINANCIACION[[#This Row],[$ CAPITAL]]+FINANCIACION[[#This Row],[$ INTERESES]],"")</f>
        <v/>
      </c>
      <c r="F357" s="5">
        <f>+SUMIFS(FINANCIACION[$ CAPITAL],FINANCIACION[Fecha],"&lt;="&amp;FINANCIACION[[#This Row],[Fecha]],FINANCIACION[PRESTAMO],FINANCIACION[[#This Row],[PRESTAMO]])</f>
        <v>-84819162.470000014</v>
      </c>
      <c r="G357" s="7"/>
      <c r="H357" s="53"/>
      <c r="I357" s="5" t="b">
        <f>IF(FINANCIACION[[#This Row],[$ CAPITAL]]&gt;0,FINANCIACION[[#This Row],[$ CAPITAL]])</f>
        <v>0</v>
      </c>
      <c r="J357" s="33">
        <f>IF(FINANCIACION[[#This Row],[$ CAPITAL]]&gt;=0,FINANCIACION[[#This Row],[$ CAPITAL]]+FINANCIACION[[#This Row],[$ INTERESES]],0)</f>
        <v>0</v>
      </c>
    </row>
    <row r="358" spans="1:10" ht="24" hidden="1" customHeight="1" x14ac:dyDescent="0.3">
      <c r="A358" s="142">
        <v>44104</v>
      </c>
      <c r="B358" s="50" t="s">
        <v>822</v>
      </c>
      <c r="C358" s="5">
        <v>-300004.53999999911</v>
      </c>
      <c r="D358" s="5"/>
      <c r="E358" s="5" t="str">
        <f>+IF(FINANCIACION[[#This Row],[$ CAPITAL]]&gt;=0,FINANCIACION[[#This Row],[$ CAPITAL]]+FINANCIACION[[#This Row],[$ INTERESES]],"")</f>
        <v/>
      </c>
      <c r="F358" s="5">
        <f>+SUMIFS(FINANCIACION[$ CAPITAL],FINANCIACION[Fecha],"&lt;="&amp;FINANCIACION[[#This Row],[Fecha]],FINANCIACION[PRESTAMO],FINANCIACION[[#This Row],[PRESTAMO]])</f>
        <v>-84819162.470000014</v>
      </c>
      <c r="G358" s="7"/>
      <c r="H358" s="53"/>
      <c r="I358" s="5" t="b">
        <f>IF(FINANCIACION[[#This Row],[$ CAPITAL]]&gt;0,FINANCIACION[[#This Row],[$ CAPITAL]])</f>
        <v>0</v>
      </c>
      <c r="J358" s="33">
        <f>IF(FINANCIACION[[#This Row],[$ CAPITAL]]&gt;=0,FINANCIACION[[#This Row],[$ CAPITAL]]+FINANCIACION[[#This Row],[$ INTERESES]],0)</f>
        <v>0</v>
      </c>
    </row>
    <row r="359" spans="1:10" ht="24" hidden="1" customHeight="1" x14ac:dyDescent="0.3">
      <c r="A359" s="142">
        <v>44104</v>
      </c>
      <c r="B359" s="50" t="s">
        <v>822</v>
      </c>
      <c r="C359" s="5">
        <v>-449896.74999999814</v>
      </c>
      <c r="D359" s="5"/>
      <c r="E359" s="5" t="str">
        <f>+IF(FINANCIACION[[#This Row],[$ CAPITAL]]&gt;=0,FINANCIACION[[#This Row],[$ CAPITAL]]+FINANCIACION[[#This Row],[$ INTERESES]],"")</f>
        <v/>
      </c>
      <c r="F359" s="5">
        <f>+SUMIFS(FINANCIACION[$ CAPITAL],FINANCIACION[Fecha],"&lt;="&amp;FINANCIACION[[#This Row],[Fecha]],FINANCIACION[PRESTAMO],FINANCIACION[[#This Row],[PRESTAMO]])</f>
        <v>-84819162.470000014</v>
      </c>
      <c r="G359" s="7"/>
      <c r="H359" s="53"/>
      <c r="I359" s="5" t="b">
        <f>IF(FINANCIACION[[#This Row],[$ CAPITAL]]&gt;0,FINANCIACION[[#This Row],[$ CAPITAL]])</f>
        <v>0</v>
      </c>
      <c r="J359" s="33">
        <f>IF(FINANCIACION[[#This Row],[$ CAPITAL]]&gt;=0,FINANCIACION[[#This Row],[$ CAPITAL]]+FINANCIACION[[#This Row],[$ INTERESES]],0)</f>
        <v>0</v>
      </c>
    </row>
    <row r="360" spans="1:10" ht="24" hidden="1" customHeight="1" x14ac:dyDescent="0.3">
      <c r="A360" s="142">
        <v>44104</v>
      </c>
      <c r="B360" s="50" t="s">
        <v>822</v>
      </c>
      <c r="C360" s="5">
        <v>-761487.9999999986</v>
      </c>
      <c r="D360" s="5"/>
      <c r="E360" s="5" t="str">
        <f>+IF(FINANCIACION[[#This Row],[$ CAPITAL]]&gt;=0,FINANCIACION[[#This Row],[$ CAPITAL]]+FINANCIACION[[#This Row],[$ INTERESES]],"")</f>
        <v/>
      </c>
      <c r="F360" s="5">
        <f>+SUMIFS(FINANCIACION[$ CAPITAL],FINANCIACION[Fecha],"&lt;="&amp;FINANCIACION[[#This Row],[Fecha]],FINANCIACION[PRESTAMO],FINANCIACION[[#This Row],[PRESTAMO]])</f>
        <v>-84819162.470000014</v>
      </c>
      <c r="G360" s="7"/>
      <c r="H360" s="53"/>
      <c r="I360" s="5" t="b">
        <f>IF(FINANCIACION[[#This Row],[$ CAPITAL]]&gt;0,FINANCIACION[[#This Row],[$ CAPITAL]])</f>
        <v>0</v>
      </c>
      <c r="J360" s="33">
        <f>IF(FINANCIACION[[#This Row],[$ CAPITAL]]&gt;=0,FINANCIACION[[#This Row],[$ CAPITAL]]+FINANCIACION[[#This Row],[$ INTERESES]],0)</f>
        <v>0</v>
      </c>
    </row>
    <row r="361" spans="1:10" ht="24" hidden="1" customHeight="1" x14ac:dyDescent="0.3">
      <c r="A361" s="142">
        <v>44104</v>
      </c>
      <c r="B361" s="50" t="s">
        <v>822</v>
      </c>
      <c r="C361" s="5">
        <v>-12827494.999999993</v>
      </c>
      <c r="D361" s="5"/>
      <c r="E361" s="5" t="str">
        <f>+IF(FINANCIACION[[#This Row],[$ CAPITAL]]&gt;=0,FINANCIACION[[#This Row],[$ CAPITAL]]+FINANCIACION[[#This Row],[$ INTERESES]],"")</f>
        <v/>
      </c>
      <c r="F361" s="5">
        <f>+SUMIFS(FINANCIACION[$ CAPITAL],FINANCIACION[Fecha],"&lt;="&amp;FINANCIACION[[#This Row],[Fecha]],FINANCIACION[PRESTAMO],FINANCIACION[[#This Row],[PRESTAMO]])</f>
        <v>-84819162.470000014</v>
      </c>
      <c r="G361" s="7"/>
      <c r="H361" s="53"/>
      <c r="I361" s="5" t="b">
        <f>IF(FINANCIACION[[#This Row],[$ CAPITAL]]&gt;0,FINANCIACION[[#This Row],[$ CAPITAL]])</f>
        <v>0</v>
      </c>
      <c r="J361" s="33">
        <f>IF(FINANCIACION[[#This Row],[$ CAPITAL]]&gt;=0,FINANCIACION[[#This Row],[$ CAPITAL]]+FINANCIACION[[#This Row],[$ INTERESES]],0)</f>
        <v>0</v>
      </c>
    </row>
    <row r="362" spans="1:10" ht="24" hidden="1" customHeight="1" x14ac:dyDescent="0.3">
      <c r="A362" s="142">
        <v>44104</v>
      </c>
      <c r="B362" s="50" t="s">
        <v>822</v>
      </c>
      <c r="C362" s="5">
        <v>-7592390.0000000037</v>
      </c>
      <c r="D362" s="5"/>
      <c r="E362" s="5" t="str">
        <f>+IF(FINANCIACION[[#This Row],[$ CAPITAL]]&gt;=0,FINANCIACION[[#This Row],[$ CAPITAL]]+FINANCIACION[[#This Row],[$ INTERESES]],"")</f>
        <v/>
      </c>
      <c r="F362" s="5">
        <f>+SUMIFS(FINANCIACION[$ CAPITAL],FINANCIACION[Fecha],"&lt;="&amp;FINANCIACION[[#This Row],[Fecha]],FINANCIACION[PRESTAMO],FINANCIACION[[#This Row],[PRESTAMO]])</f>
        <v>-84819162.470000014</v>
      </c>
      <c r="G362" s="7"/>
      <c r="H362" s="53"/>
      <c r="I362" s="5" t="b">
        <f>IF(FINANCIACION[[#This Row],[$ CAPITAL]]&gt;0,FINANCIACION[[#This Row],[$ CAPITAL]])</f>
        <v>0</v>
      </c>
      <c r="J362" s="33">
        <f>IF(FINANCIACION[[#This Row],[$ CAPITAL]]&gt;=0,FINANCIACION[[#This Row],[$ CAPITAL]]+FINANCIACION[[#This Row],[$ INTERESES]],0)</f>
        <v>0</v>
      </c>
    </row>
    <row r="363" spans="1:10" ht="24" hidden="1" customHeight="1" x14ac:dyDescent="0.3">
      <c r="A363" s="142">
        <v>44104</v>
      </c>
      <c r="B363" s="50" t="s">
        <v>822</v>
      </c>
      <c r="C363" s="5">
        <v>-1948983</v>
      </c>
      <c r="D363" s="5"/>
      <c r="E363" s="5" t="str">
        <f>+IF(FINANCIACION[[#This Row],[$ CAPITAL]]&gt;=0,FINANCIACION[[#This Row],[$ CAPITAL]]+FINANCIACION[[#This Row],[$ INTERESES]],"")</f>
        <v/>
      </c>
      <c r="F363" s="5">
        <f>+SUMIFS(FINANCIACION[$ CAPITAL],FINANCIACION[Fecha],"&lt;="&amp;FINANCIACION[[#This Row],[Fecha]],FINANCIACION[PRESTAMO],FINANCIACION[[#This Row],[PRESTAMO]])</f>
        <v>-84819162.470000014</v>
      </c>
      <c r="G363" s="7"/>
      <c r="H363" s="53"/>
      <c r="I363" s="5" t="b">
        <f>IF(FINANCIACION[[#This Row],[$ CAPITAL]]&gt;0,FINANCIACION[[#This Row],[$ CAPITAL]])</f>
        <v>0</v>
      </c>
      <c r="J363" s="33">
        <f>IF(FINANCIACION[[#This Row],[$ CAPITAL]]&gt;=0,FINANCIACION[[#This Row],[$ CAPITAL]]+FINANCIACION[[#This Row],[$ INTERESES]],0)</f>
        <v>0</v>
      </c>
    </row>
    <row r="364" spans="1:10" ht="24" hidden="1" customHeight="1" x14ac:dyDescent="0.3">
      <c r="A364" s="142">
        <v>44106</v>
      </c>
      <c r="B364" s="50" t="s">
        <v>823</v>
      </c>
      <c r="C364" s="5">
        <v>850000</v>
      </c>
      <c r="D364" s="5">
        <v>150000</v>
      </c>
      <c r="E364" s="5">
        <f>+IF(FINANCIACION[[#This Row],[$ CAPITAL]]&gt;=0,FINANCIACION[[#This Row],[$ CAPITAL]]+FINANCIACION[[#This Row],[$ INTERESES]],"")</f>
        <v>1000000</v>
      </c>
      <c r="F364" s="5">
        <f>+SUMIFS(FINANCIACION[$ CAPITAL],FINANCIACION[Fecha],"&lt;="&amp;FINANCIACION[[#This Row],[Fecha]],FINANCIACION[PRESTAMO],FINANCIACION[[#This Row],[PRESTAMO]])</f>
        <v>-14150000</v>
      </c>
      <c r="G364" s="7"/>
      <c r="H364" s="53"/>
      <c r="I364" s="5">
        <f>IF(FINANCIACION[[#This Row],[$ CAPITAL]]&gt;0,FINANCIACION[[#This Row],[$ CAPITAL]])</f>
        <v>850000</v>
      </c>
      <c r="J364" s="33">
        <f>IF(FINANCIACION[[#This Row],[$ CAPITAL]]&gt;=0,FINANCIACION[[#This Row],[$ CAPITAL]]+FINANCIACION[[#This Row],[$ INTERESES]],0)</f>
        <v>1000000</v>
      </c>
    </row>
    <row r="365" spans="1:10" ht="24" hidden="1" customHeight="1" x14ac:dyDescent="0.3">
      <c r="A365" s="142">
        <v>44106</v>
      </c>
      <c r="B365" s="50" t="s">
        <v>820</v>
      </c>
      <c r="C365" s="5">
        <v>537550</v>
      </c>
      <c r="D365" s="5">
        <v>662450</v>
      </c>
      <c r="E365" s="5">
        <f>+IF(FINANCIACION[[#This Row],[$ CAPITAL]]&gt;=0,FINANCIACION[[#This Row],[$ CAPITAL]]+FINANCIACION[[#This Row],[$ INTERESES]],"")</f>
        <v>1200000</v>
      </c>
      <c r="F365" s="5">
        <f>+SUMIFS(FINANCIACION[$ CAPITAL],FINANCIACION[Fecha],"&lt;="&amp;FINANCIACION[[#This Row],[Fecha]],FINANCIACION[PRESTAMO],FINANCIACION[[#This Row],[PRESTAMO]])</f>
        <v>-65707310</v>
      </c>
      <c r="G365" s="7"/>
      <c r="H365" s="53"/>
      <c r="I365" s="5">
        <f>IF(FINANCIACION[[#This Row],[$ CAPITAL]]&gt;0,FINANCIACION[[#This Row],[$ CAPITAL]])</f>
        <v>537550</v>
      </c>
      <c r="J365" s="33">
        <f>IF(FINANCIACION[[#This Row],[$ CAPITAL]]&gt;=0,FINANCIACION[[#This Row],[$ CAPITAL]]+FINANCIACION[[#This Row],[$ INTERESES]],0)</f>
        <v>1200000</v>
      </c>
    </row>
    <row r="366" spans="1:10" ht="24" hidden="1" customHeight="1" x14ac:dyDescent="0.3">
      <c r="A366" s="142">
        <v>44109</v>
      </c>
      <c r="B366" s="50" t="s">
        <v>819</v>
      </c>
      <c r="C366" s="5"/>
      <c r="D366" s="5">
        <v>950000</v>
      </c>
      <c r="E366" s="5">
        <f>+IF(FINANCIACION[[#This Row],[$ CAPITAL]]&gt;=0,FINANCIACION[[#This Row],[$ CAPITAL]]+FINANCIACION[[#This Row],[$ INTERESES]],"")</f>
        <v>950000</v>
      </c>
      <c r="F366" s="5">
        <f>+SUMIFS(FINANCIACION[$ CAPITAL],FINANCIACION[Fecha],"&lt;="&amp;FINANCIACION[[#This Row],[Fecha]],FINANCIACION[PRESTAMO],FINANCIACION[[#This Row],[PRESTAMO]])</f>
        <v>-94935167</v>
      </c>
      <c r="G366" s="7"/>
      <c r="H366" s="53"/>
      <c r="I366" s="5" t="b">
        <f>IF(FINANCIACION[[#This Row],[$ CAPITAL]]&gt;0,FINANCIACION[[#This Row],[$ CAPITAL]])</f>
        <v>0</v>
      </c>
      <c r="J366" s="33">
        <f>IF(FINANCIACION[[#This Row],[$ CAPITAL]]&gt;=0,FINANCIACION[[#This Row],[$ CAPITAL]]+FINANCIACION[[#This Row],[$ INTERESES]],0)</f>
        <v>950000</v>
      </c>
    </row>
    <row r="367" spans="1:10" ht="24" hidden="1" customHeight="1" x14ac:dyDescent="0.3">
      <c r="A367" s="142">
        <v>44109</v>
      </c>
      <c r="B367" s="50" t="s">
        <v>822</v>
      </c>
      <c r="C367" s="5">
        <v>990094.53</v>
      </c>
      <c r="D367" s="5">
        <v>190516.1</v>
      </c>
      <c r="E367" s="5">
        <f>+IF(FINANCIACION[[#This Row],[$ CAPITAL]]&gt;=0,FINANCIACION[[#This Row],[$ CAPITAL]]+FINANCIACION[[#This Row],[$ INTERESES]],"")</f>
        <v>1180610.6300000001</v>
      </c>
      <c r="F367" s="5">
        <f>+SUMIFS(FINANCIACION[$ CAPITAL],FINANCIACION[Fecha],"&lt;="&amp;FINANCIACION[[#This Row],[Fecha]],FINANCIACION[PRESTAMO],FINANCIACION[[#This Row],[PRESTAMO]])</f>
        <v>-83829067.940000013</v>
      </c>
      <c r="G367" s="7"/>
      <c r="H367" s="53"/>
      <c r="I367" s="5">
        <f>IF(FINANCIACION[[#This Row],[$ CAPITAL]]&gt;0,FINANCIACION[[#This Row],[$ CAPITAL]])</f>
        <v>990094.53</v>
      </c>
      <c r="J367" s="33">
        <f>IF(FINANCIACION[[#This Row],[$ CAPITAL]]&gt;=0,FINANCIACION[[#This Row],[$ CAPITAL]]+FINANCIACION[[#This Row],[$ INTERESES]],0)</f>
        <v>1180610.6300000001</v>
      </c>
    </row>
    <row r="368" spans="1:10" ht="24" hidden="1" customHeight="1" x14ac:dyDescent="0.3">
      <c r="A368" s="142">
        <v>44110</v>
      </c>
      <c r="B368" s="50" t="s">
        <v>191</v>
      </c>
      <c r="C368" s="5">
        <v>6326000</v>
      </c>
      <c r="D368" s="5">
        <v>805532.69</v>
      </c>
      <c r="E368" s="5">
        <f>+IF(FINANCIACION[[#This Row],[$ CAPITAL]]&gt;=0,FINANCIACION[[#This Row],[$ CAPITAL]]+FINANCIACION[[#This Row],[$ INTERESES]],"")</f>
        <v>7131532.6899999995</v>
      </c>
      <c r="F368" s="5">
        <f>+SUMIFS(FINANCIACION[$ CAPITAL],FINANCIACION[Fecha],"&lt;="&amp;FINANCIACION[[#This Row],[Fecha]],FINANCIACION[PRESTAMO],FINANCIACION[[#This Row],[PRESTAMO]])</f>
        <v>-104647126</v>
      </c>
      <c r="G368" s="7"/>
      <c r="H368" s="53"/>
      <c r="I368" s="5">
        <f>IF(FINANCIACION[[#This Row],[$ CAPITAL]]&gt;0,FINANCIACION[[#This Row],[$ CAPITAL]])</f>
        <v>6326000</v>
      </c>
      <c r="J368" s="33">
        <f>IF(FINANCIACION[[#This Row],[$ CAPITAL]]&gt;=0,FINANCIACION[[#This Row],[$ CAPITAL]]+FINANCIACION[[#This Row],[$ INTERESES]],0)</f>
        <v>7131532.6899999995</v>
      </c>
    </row>
    <row r="369" spans="1:10" ht="24" hidden="1" customHeight="1" x14ac:dyDescent="0.3">
      <c r="A369" s="142">
        <v>44111</v>
      </c>
      <c r="B369" s="50" t="s">
        <v>821</v>
      </c>
      <c r="C369" s="5">
        <v>3000000</v>
      </c>
      <c r="D369" s="5"/>
      <c r="E369" s="5">
        <f>+IF(FINANCIACION[[#This Row],[$ CAPITAL]]&gt;=0,FINANCIACION[[#This Row],[$ CAPITAL]]+FINANCIACION[[#This Row],[$ INTERESES]],"")</f>
        <v>3000000</v>
      </c>
      <c r="F369" s="5">
        <f>+SUMIFS(FINANCIACION[$ CAPITAL],FINANCIACION[Fecha],"&lt;="&amp;FINANCIACION[[#This Row],[Fecha]],FINANCIACION[PRESTAMO],FINANCIACION[[#This Row],[PRESTAMO]])</f>
        <v>-414011267</v>
      </c>
      <c r="G369" s="7"/>
      <c r="H369" s="53"/>
      <c r="I369" s="5">
        <f>IF(FINANCIACION[[#This Row],[$ CAPITAL]]&gt;0,FINANCIACION[[#This Row],[$ CAPITAL]])</f>
        <v>3000000</v>
      </c>
      <c r="J369" s="33">
        <f>IF(FINANCIACION[[#This Row],[$ CAPITAL]]&gt;=0,FINANCIACION[[#This Row],[$ CAPITAL]]+FINANCIACION[[#This Row],[$ INTERESES]],0)</f>
        <v>3000000</v>
      </c>
    </row>
    <row r="370" spans="1:10" ht="24" hidden="1" customHeight="1" x14ac:dyDescent="0.3">
      <c r="A370" s="142">
        <v>44117</v>
      </c>
      <c r="B370" s="50" t="s">
        <v>822</v>
      </c>
      <c r="C370" s="5">
        <v>3824250</v>
      </c>
      <c r="D370" s="5"/>
      <c r="E370" s="5">
        <f>+IF(FINANCIACION[[#This Row],[$ CAPITAL]]&gt;=0,FINANCIACION[[#This Row],[$ CAPITAL]]+FINANCIACION[[#This Row],[$ INTERESES]],"")</f>
        <v>3824250</v>
      </c>
      <c r="F370" s="5">
        <f>+SUMIFS(FINANCIACION[$ CAPITAL],FINANCIACION[Fecha],"&lt;="&amp;FINANCIACION[[#This Row],[Fecha]],FINANCIACION[PRESTAMO],FINANCIACION[[#This Row],[PRESTAMO]])</f>
        <v>-79004817.940000013</v>
      </c>
      <c r="G370" s="7"/>
      <c r="H370" s="53"/>
      <c r="I370" s="5">
        <f>IF(FINANCIACION[[#This Row],[$ CAPITAL]]&gt;0,FINANCIACION[[#This Row],[$ CAPITAL]])</f>
        <v>3824250</v>
      </c>
      <c r="J370" s="33">
        <f>IF(FINANCIACION[[#This Row],[$ CAPITAL]]&gt;=0,FINANCIACION[[#This Row],[$ CAPITAL]]+FINANCIACION[[#This Row],[$ INTERESES]],0)</f>
        <v>3824250</v>
      </c>
    </row>
    <row r="371" spans="1:10" ht="24" hidden="1" customHeight="1" x14ac:dyDescent="0.3">
      <c r="A371" s="142">
        <v>44117</v>
      </c>
      <c r="B371" s="50" t="s">
        <v>822</v>
      </c>
      <c r="C371" s="5">
        <v>1000000</v>
      </c>
      <c r="D371" s="5"/>
      <c r="E371" s="5">
        <f>+IF(FINANCIACION[[#This Row],[$ CAPITAL]]&gt;=0,FINANCIACION[[#This Row],[$ CAPITAL]]+FINANCIACION[[#This Row],[$ INTERESES]],"")</f>
        <v>1000000</v>
      </c>
      <c r="F371" s="5">
        <f>+SUMIFS(FINANCIACION[$ CAPITAL],FINANCIACION[Fecha],"&lt;="&amp;FINANCIACION[[#This Row],[Fecha]],FINANCIACION[PRESTAMO],FINANCIACION[[#This Row],[PRESTAMO]])</f>
        <v>-79004817.940000013</v>
      </c>
      <c r="G371" s="7"/>
      <c r="H371" s="53"/>
      <c r="I371" s="5">
        <f>IF(FINANCIACION[[#This Row],[$ CAPITAL]]&gt;0,FINANCIACION[[#This Row],[$ CAPITAL]])</f>
        <v>1000000</v>
      </c>
      <c r="J371" s="33">
        <f>IF(FINANCIACION[[#This Row],[$ CAPITAL]]&gt;=0,FINANCIACION[[#This Row],[$ CAPITAL]]+FINANCIACION[[#This Row],[$ INTERESES]],0)</f>
        <v>1000000</v>
      </c>
    </row>
    <row r="372" spans="1:10" ht="24" hidden="1" customHeight="1" x14ac:dyDescent="0.3">
      <c r="A372" s="142">
        <v>44123</v>
      </c>
      <c r="B372" s="50" t="s">
        <v>822</v>
      </c>
      <c r="C372" s="5">
        <v>3846480</v>
      </c>
      <c r="D372" s="5"/>
      <c r="E372" s="5">
        <f>+IF(FINANCIACION[[#This Row],[$ CAPITAL]]&gt;=0,FINANCIACION[[#This Row],[$ CAPITAL]]+FINANCIACION[[#This Row],[$ INTERESES]],"")</f>
        <v>3846480</v>
      </c>
      <c r="F372" s="5">
        <f>+SUMIFS(FINANCIACION[$ CAPITAL],FINANCIACION[Fecha],"&lt;="&amp;FINANCIACION[[#This Row],[Fecha]],FINANCIACION[PRESTAMO],FINANCIACION[[#This Row],[PRESTAMO]])</f>
        <v>-74158337.940000013</v>
      </c>
      <c r="G372" s="7"/>
      <c r="H372" s="53"/>
      <c r="I372" s="5">
        <f>IF(FINANCIACION[[#This Row],[$ CAPITAL]]&gt;0,FINANCIACION[[#This Row],[$ CAPITAL]])</f>
        <v>3846480</v>
      </c>
      <c r="J372" s="33">
        <f>IF(FINANCIACION[[#This Row],[$ CAPITAL]]&gt;=0,FINANCIACION[[#This Row],[$ CAPITAL]]+FINANCIACION[[#This Row],[$ INTERESES]],0)</f>
        <v>3846480</v>
      </c>
    </row>
    <row r="373" spans="1:10" ht="24" hidden="1" customHeight="1" x14ac:dyDescent="0.3">
      <c r="A373" s="142">
        <v>44123</v>
      </c>
      <c r="B373" s="50" t="s">
        <v>822</v>
      </c>
      <c r="C373" s="5">
        <v>1000000</v>
      </c>
      <c r="D373" s="5"/>
      <c r="E373" s="5">
        <f>+IF(FINANCIACION[[#This Row],[$ CAPITAL]]&gt;=0,FINANCIACION[[#This Row],[$ CAPITAL]]+FINANCIACION[[#This Row],[$ INTERESES]],"")</f>
        <v>1000000</v>
      </c>
      <c r="F373" s="5">
        <f>+SUMIFS(FINANCIACION[$ CAPITAL],FINANCIACION[Fecha],"&lt;="&amp;FINANCIACION[[#This Row],[Fecha]],FINANCIACION[PRESTAMO],FINANCIACION[[#This Row],[PRESTAMO]])</f>
        <v>-74158337.940000013</v>
      </c>
      <c r="G373" s="7"/>
      <c r="H373" s="53"/>
      <c r="I373" s="5">
        <f>IF(FINANCIACION[[#This Row],[$ CAPITAL]]&gt;0,FINANCIACION[[#This Row],[$ CAPITAL]])</f>
        <v>1000000</v>
      </c>
      <c r="J373" s="33">
        <f>IF(FINANCIACION[[#This Row],[$ CAPITAL]]&gt;=0,FINANCIACION[[#This Row],[$ CAPITAL]]+FINANCIACION[[#This Row],[$ INTERESES]],0)</f>
        <v>1000000</v>
      </c>
    </row>
    <row r="374" spans="1:10" ht="24" hidden="1" customHeight="1" x14ac:dyDescent="0.3">
      <c r="A374" s="142">
        <v>44130</v>
      </c>
      <c r="B374" s="50" t="s">
        <v>822</v>
      </c>
      <c r="C374" s="5">
        <v>3782660</v>
      </c>
      <c r="D374" s="5"/>
      <c r="E374" s="5">
        <f>+IF(FINANCIACION[[#This Row],[$ CAPITAL]]&gt;=0,FINANCIACION[[#This Row],[$ CAPITAL]]+FINANCIACION[[#This Row],[$ INTERESES]],"")</f>
        <v>3782660</v>
      </c>
      <c r="F374" s="5">
        <f>+SUMIFS(FINANCIACION[$ CAPITAL],FINANCIACION[Fecha],"&lt;="&amp;FINANCIACION[[#This Row],[Fecha]],FINANCIACION[PRESTAMO],FINANCIACION[[#This Row],[PRESTAMO]])</f>
        <v>-69375677.940000013</v>
      </c>
      <c r="G374" s="7"/>
      <c r="H374" s="53"/>
      <c r="I374" s="5">
        <f>IF(FINANCIACION[[#This Row],[$ CAPITAL]]&gt;0,FINANCIACION[[#This Row],[$ CAPITAL]])</f>
        <v>3782660</v>
      </c>
      <c r="J374" s="33">
        <f>IF(FINANCIACION[[#This Row],[$ CAPITAL]]&gt;=0,FINANCIACION[[#This Row],[$ CAPITAL]]+FINANCIACION[[#This Row],[$ INTERESES]],0)</f>
        <v>3782660</v>
      </c>
    </row>
    <row r="375" spans="1:10" ht="24" hidden="1" customHeight="1" x14ac:dyDescent="0.3">
      <c r="A375" s="142">
        <v>44130</v>
      </c>
      <c r="B375" s="50" t="s">
        <v>822</v>
      </c>
      <c r="C375" s="5">
        <v>1000000</v>
      </c>
      <c r="D375" s="5"/>
      <c r="E375" s="5">
        <f>+IF(FINANCIACION[[#This Row],[$ CAPITAL]]&gt;=0,FINANCIACION[[#This Row],[$ CAPITAL]]+FINANCIACION[[#This Row],[$ INTERESES]],"")</f>
        <v>1000000</v>
      </c>
      <c r="F375" s="5">
        <f>+SUMIFS(FINANCIACION[$ CAPITAL],FINANCIACION[Fecha],"&lt;="&amp;FINANCIACION[[#This Row],[Fecha]],FINANCIACION[PRESTAMO],FINANCIACION[[#This Row],[PRESTAMO]])</f>
        <v>-69375677.940000013</v>
      </c>
      <c r="G375" s="7"/>
      <c r="H375" s="53"/>
      <c r="I375" s="5">
        <f>IF(FINANCIACION[[#This Row],[$ CAPITAL]]&gt;0,FINANCIACION[[#This Row],[$ CAPITAL]])</f>
        <v>1000000</v>
      </c>
      <c r="J375" s="33">
        <f>IF(FINANCIACION[[#This Row],[$ CAPITAL]]&gt;=0,FINANCIACION[[#This Row],[$ CAPITAL]]+FINANCIACION[[#This Row],[$ INTERESES]],0)</f>
        <v>1000000</v>
      </c>
    </row>
    <row r="376" spans="1:10" ht="24" hidden="1" customHeight="1" x14ac:dyDescent="0.3">
      <c r="A376" s="142">
        <v>44131</v>
      </c>
      <c r="B376" s="50" t="s">
        <v>821</v>
      </c>
      <c r="C376" s="5">
        <v>5000000</v>
      </c>
      <c r="D376" s="5"/>
      <c r="E376" s="5">
        <f>+IF(FINANCIACION[[#This Row],[$ CAPITAL]]&gt;=0,FINANCIACION[[#This Row],[$ CAPITAL]]+FINANCIACION[[#This Row],[$ INTERESES]],"")</f>
        <v>5000000</v>
      </c>
      <c r="F376" s="5">
        <f>+SUMIFS(FINANCIACION[$ CAPITAL],FINANCIACION[Fecha],"&lt;="&amp;FINANCIACION[[#This Row],[Fecha]],FINANCIACION[PRESTAMO],FINANCIACION[[#This Row],[PRESTAMO]])</f>
        <v>-409011267</v>
      </c>
      <c r="G376" s="7"/>
      <c r="H376" s="53"/>
      <c r="I376" s="5">
        <f>IF(FINANCIACION[[#This Row],[$ CAPITAL]]&gt;0,FINANCIACION[[#This Row],[$ CAPITAL]])</f>
        <v>5000000</v>
      </c>
      <c r="J376" s="33">
        <f>IF(FINANCIACION[[#This Row],[$ CAPITAL]]&gt;=0,FINANCIACION[[#This Row],[$ CAPITAL]]+FINANCIACION[[#This Row],[$ INTERESES]],0)</f>
        <v>5000000</v>
      </c>
    </row>
    <row r="377" spans="1:10" ht="24" hidden="1" customHeight="1" x14ac:dyDescent="0.3">
      <c r="A377" s="142">
        <v>44135</v>
      </c>
      <c r="B377" s="50" t="s">
        <v>827</v>
      </c>
      <c r="C377" s="5">
        <v>-204034.69000000134</v>
      </c>
      <c r="D377" s="5"/>
      <c r="E377" s="5" t="str">
        <f>+IF(FINANCIACION[[#This Row],[$ CAPITAL]]&gt;=0,FINANCIACION[[#This Row],[$ CAPITAL]]+FINANCIACION[[#This Row],[$ INTERESES]],"")</f>
        <v/>
      </c>
      <c r="F377" s="5">
        <f>+SUMIFS(FINANCIACION[$ CAPITAL],FINANCIACION[Fecha],"&lt;="&amp;FINANCIACION[[#This Row],[Fecha]],FINANCIACION[PRESTAMO],FINANCIACION[[#This Row],[PRESTAMO]])</f>
        <v>-26299744.600000001</v>
      </c>
      <c r="G377" s="7"/>
      <c r="H377" s="53"/>
      <c r="I377" s="5" t="b">
        <f>IF(FINANCIACION[[#This Row],[$ CAPITAL]]&gt;0,FINANCIACION[[#This Row],[$ CAPITAL]])</f>
        <v>0</v>
      </c>
      <c r="J377" s="33">
        <f>IF(FINANCIACION[[#This Row],[$ CAPITAL]]&gt;=0,FINANCIACION[[#This Row],[$ CAPITAL]]+FINANCIACION[[#This Row],[$ INTERESES]],0)</f>
        <v>0</v>
      </c>
    </row>
    <row r="378" spans="1:10" ht="24" hidden="1" customHeight="1" x14ac:dyDescent="0.3">
      <c r="A378" s="142">
        <v>44135</v>
      </c>
      <c r="B378" s="50" t="s">
        <v>829</v>
      </c>
      <c r="C378" s="5">
        <v>-198507.05000000075</v>
      </c>
      <c r="D378" s="5"/>
      <c r="E378" s="5" t="str">
        <f>+IF(FINANCIACION[[#This Row],[$ CAPITAL]]&gt;=0,FINANCIACION[[#This Row],[$ CAPITAL]]+FINANCIACION[[#This Row],[$ INTERESES]],"")</f>
        <v/>
      </c>
      <c r="F378" s="5">
        <f>+SUMIFS(FINANCIACION[$ CAPITAL],FINANCIACION[Fecha],"&lt;="&amp;FINANCIACION[[#This Row],[Fecha]],FINANCIACION[PRESTAMO],FINANCIACION[[#This Row],[PRESTAMO]])</f>
        <v>-27341853.66</v>
      </c>
      <c r="G378" s="7"/>
      <c r="H378" s="53"/>
      <c r="I378" s="5" t="b">
        <f>IF(FINANCIACION[[#This Row],[$ CAPITAL]]&gt;0,FINANCIACION[[#This Row],[$ CAPITAL]])</f>
        <v>0</v>
      </c>
      <c r="J378" s="33">
        <f>IF(FINANCIACION[[#This Row],[$ CAPITAL]]&gt;=0,FINANCIACION[[#This Row],[$ CAPITAL]]+FINANCIACION[[#This Row],[$ INTERESES]],0)</f>
        <v>0</v>
      </c>
    </row>
    <row r="379" spans="1:10" ht="24" hidden="1" customHeight="1" x14ac:dyDescent="0.3">
      <c r="A379" s="142">
        <v>44135</v>
      </c>
      <c r="B379" s="50" t="s">
        <v>825</v>
      </c>
      <c r="C379" s="5">
        <v>-529471.48000000417</v>
      </c>
      <c r="D379" s="5"/>
      <c r="E379" s="5" t="str">
        <f>+IF(FINANCIACION[[#This Row],[$ CAPITAL]]&gt;=0,FINANCIACION[[#This Row],[$ CAPITAL]]+FINANCIACION[[#This Row],[$ INTERESES]],"")</f>
        <v/>
      </c>
      <c r="F379" s="5">
        <f>+SUMIFS(FINANCIACION[$ CAPITAL],FINANCIACION[Fecha],"&lt;="&amp;FINANCIACION[[#This Row],[Fecha]],FINANCIACION[PRESTAMO],FINANCIACION[[#This Row],[PRESTAMO]])</f>
        <v>-67450349.700000003</v>
      </c>
      <c r="G379" s="7"/>
      <c r="H379" s="53"/>
      <c r="I379" s="5" t="b">
        <f>IF(FINANCIACION[[#This Row],[$ CAPITAL]]&gt;0,FINANCIACION[[#This Row],[$ CAPITAL]])</f>
        <v>0</v>
      </c>
      <c r="J379" s="33">
        <f>IF(FINANCIACION[[#This Row],[$ CAPITAL]]&gt;=0,FINANCIACION[[#This Row],[$ CAPITAL]]+FINANCIACION[[#This Row],[$ INTERESES]],0)</f>
        <v>0</v>
      </c>
    </row>
    <row r="380" spans="1:10" ht="24" hidden="1" customHeight="1" x14ac:dyDescent="0.3">
      <c r="A380" s="142">
        <v>44135</v>
      </c>
      <c r="B380" s="50" t="s">
        <v>826</v>
      </c>
      <c r="C380" s="5">
        <v>-856581.43999999762</v>
      </c>
      <c r="D380" s="5"/>
      <c r="E380" s="5" t="str">
        <f>+IF(FINANCIACION[[#This Row],[$ CAPITAL]]&gt;=0,FINANCIACION[[#This Row],[$ CAPITAL]]+FINANCIACION[[#This Row],[$ INTERESES]],"")</f>
        <v/>
      </c>
      <c r="F380" s="5">
        <f>+SUMIFS(FINANCIACION[$ CAPITAL],FINANCIACION[Fecha],"&lt;="&amp;FINANCIACION[[#This Row],[Fecha]],FINANCIACION[PRESTAMO],FINANCIACION[[#This Row],[PRESTAMO]])</f>
        <v>-98472513</v>
      </c>
      <c r="G380" s="7"/>
      <c r="H380" s="53"/>
      <c r="I380" s="5" t="b">
        <f>IF(FINANCIACION[[#This Row],[$ CAPITAL]]&gt;0,FINANCIACION[[#This Row],[$ CAPITAL]])</f>
        <v>0</v>
      </c>
      <c r="J380" s="33">
        <f>IF(FINANCIACION[[#This Row],[$ CAPITAL]]&gt;=0,FINANCIACION[[#This Row],[$ CAPITAL]]+FINANCIACION[[#This Row],[$ INTERESES]],0)</f>
        <v>0</v>
      </c>
    </row>
    <row r="381" spans="1:10" ht="24" hidden="1" customHeight="1" x14ac:dyDescent="0.3">
      <c r="A381" s="142">
        <v>44135</v>
      </c>
      <c r="B381" s="50" t="s">
        <v>821</v>
      </c>
      <c r="C381" s="5">
        <v>6521200</v>
      </c>
      <c r="D381" s="5"/>
      <c r="E381" s="5">
        <f>+IF(FINANCIACION[[#This Row],[$ CAPITAL]]&gt;=0,FINANCIACION[[#This Row],[$ CAPITAL]]+FINANCIACION[[#This Row],[$ INTERESES]],"")</f>
        <v>6521200</v>
      </c>
      <c r="F381" s="5">
        <f>+SUMIFS(FINANCIACION[$ CAPITAL],FINANCIACION[Fecha],"&lt;="&amp;FINANCIACION[[#This Row],[Fecha]],FINANCIACION[PRESTAMO],FINANCIACION[[#This Row],[PRESTAMO]])</f>
        <v>-402490067</v>
      </c>
      <c r="G381" s="7"/>
      <c r="H381" s="53"/>
      <c r="I381" s="5">
        <f>IF(FINANCIACION[[#This Row],[$ CAPITAL]]&gt;0,FINANCIACION[[#This Row],[$ CAPITAL]])</f>
        <v>6521200</v>
      </c>
      <c r="J381" s="33">
        <f>IF(FINANCIACION[[#This Row],[$ CAPITAL]]&gt;=0,FINANCIACION[[#This Row],[$ CAPITAL]]+FINANCIACION[[#This Row],[$ INTERESES]],0)</f>
        <v>6521200</v>
      </c>
    </row>
    <row r="382" spans="1:10" ht="24" hidden="1" customHeight="1" x14ac:dyDescent="0.3">
      <c r="A382" s="142">
        <v>44135</v>
      </c>
      <c r="B382" s="50" t="s">
        <v>822</v>
      </c>
      <c r="C382" s="5">
        <v>-264978.33999999985</v>
      </c>
      <c r="D382" s="5"/>
      <c r="E382" s="5" t="str">
        <f>+IF(FINANCIACION[[#This Row],[$ CAPITAL]]&gt;=0,FINANCIACION[[#This Row],[$ CAPITAL]]+FINANCIACION[[#This Row],[$ INTERESES]],"")</f>
        <v/>
      </c>
      <c r="F382" s="5">
        <f>+SUMIFS(FINANCIACION[$ CAPITAL],FINANCIACION[Fecha],"&lt;="&amp;FINANCIACION[[#This Row],[Fecha]],FINANCIACION[PRESTAMO],FINANCIACION[[#This Row],[PRESTAMO]])</f>
        <v>-70069042.850000024</v>
      </c>
      <c r="G382" s="7"/>
      <c r="H382" s="53"/>
      <c r="I382" s="5" t="b">
        <f>IF(FINANCIACION[[#This Row],[$ CAPITAL]]&gt;0,FINANCIACION[[#This Row],[$ CAPITAL]])</f>
        <v>0</v>
      </c>
      <c r="J382" s="33">
        <f>IF(FINANCIACION[[#This Row],[$ CAPITAL]]&gt;=0,FINANCIACION[[#This Row],[$ CAPITAL]]+FINANCIACION[[#This Row],[$ INTERESES]],0)</f>
        <v>0</v>
      </c>
    </row>
    <row r="383" spans="1:10" ht="24" hidden="1" customHeight="1" x14ac:dyDescent="0.3">
      <c r="A383" s="142">
        <v>44135</v>
      </c>
      <c r="B383" s="50" t="s">
        <v>822</v>
      </c>
      <c r="C383" s="5">
        <v>-322222.5700000003</v>
      </c>
      <c r="D383" s="5"/>
      <c r="E383" s="5" t="str">
        <f>+IF(FINANCIACION[[#This Row],[$ CAPITAL]]&gt;=0,FINANCIACION[[#This Row],[$ CAPITAL]]+FINANCIACION[[#This Row],[$ INTERESES]],"")</f>
        <v/>
      </c>
      <c r="F383" s="5">
        <f>+SUMIFS(FINANCIACION[$ CAPITAL],FINANCIACION[Fecha],"&lt;="&amp;FINANCIACION[[#This Row],[Fecha]],FINANCIACION[PRESTAMO],FINANCIACION[[#This Row],[PRESTAMO]])</f>
        <v>-70069042.850000024</v>
      </c>
      <c r="G383" s="7"/>
      <c r="H383" s="53"/>
      <c r="I383" s="5" t="b">
        <f>IF(FINANCIACION[[#This Row],[$ CAPITAL]]&gt;0,FINANCIACION[[#This Row],[$ CAPITAL]])</f>
        <v>0</v>
      </c>
      <c r="J383" s="33">
        <f>IF(FINANCIACION[[#This Row],[$ CAPITAL]]&gt;=0,FINANCIACION[[#This Row],[$ CAPITAL]]+FINANCIACION[[#This Row],[$ INTERESES]],0)</f>
        <v>0</v>
      </c>
    </row>
    <row r="384" spans="1:10" ht="24" hidden="1" customHeight="1" x14ac:dyDescent="0.3">
      <c r="A384" s="142">
        <v>44135</v>
      </c>
      <c r="B384" s="50" t="s">
        <v>822</v>
      </c>
      <c r="C384" s="5">
        <v>-106164.00000000047</v>
      </c>
      <c r="D384" s="5"/>
      <c r="E384" s="5" t="str">
        <f>+IF(FINANCIACION[[#This Row],[$ CAPITAL]]&gt;=0,FINANCIACION[[#This Row],[$ CAPITAL]]+FINANCIACION[[#This Row],[$ INTERESES]],"")</f>
        <v/>
      </c>
      <c r="F384" s="5">
        <f>+SUMIFS(FINANCIACION[$ CAPITAL],FINANCIACION[Fecha],"&lt;="&amp;FINANCIACION[[#This Row],[Fecha]],FINANCIACION[PRESTAMO],FINANCIACION[[#This Row],[PRESTAMO]])</f>
        <v>-70069042.850000024</v>
      </c>
      <c r="G384" s="7"/>
      <c r="H384" s="53"/>
      <c r="I384" s="5" t="b">
        <f>IF(FINANCIACION[[#This Row],[$ CAPITAL]]&gt;0,FINANCIACION[[#This Row],[$ CAPITAL]])</f>
        <v>0</v>
      </c>
      <c r="J384" s="33">
        <f>IF(FINANCIACION[[#This Row],[$ CAPITAL]]&gt;=0,FINANCIACION[[#This Row],[$ CAPITAL]]+FINANCIACION[[#This Row],[$ INTERESES]],0)</f>
        <v>0</v>
      </c>
    </row>
    <row r="385" spans="1:10" ht="24" hidden="1" customHeight="1" x14ac:dyDescent="0.3">
      <c r="A385" s="142">
        <v>44138</v>
      </c>
      <c r="B385" s="50" t="s">
        <v>187</v>
      </c>
      <c r="C385" s="5"/>
      <c r="D385" s="5">
        <v>76830</v>
      </c>
      <c r="E385" s="5">
        <f>+IF(FINANCIACION[[#This Row],[$ CAPITAL]]&gt;=0,FINANCIACION[[#This Row],[$ CAPITAL]]+FINANCIACION[[#This Row],[$ INTERESES]],"")</f>
        <v>76830</v>
      </c>
      <c r="F385" s="5">
        <f>+SUMIFS(FINANCIACION[$ CAPITAL],FINANCIACION[Fecha],"&lt;="&amp;FINANCIACION[[#This Row],[Fecha]],FINANCIACION[PRESTAMO],FINANCIACION[[#This Row],[PRESTAMO]])</f>
        <v>-54330833</v>
      </c>
      <c r="G385" s="7"/>
      <c r="H385" s="53"/>
      <c r="I385" s="5" t="b">
        <f>IF(FINANCIACION[[#This Row],[$ CAPITAL]]&gt;0,FINANCIACION[[#This Row],[$ CAPITAL]])</f>
        <v>0</v>
      </c>
      <c r="J385" s="33">
        <f>IF(FINANCIACION[[#This Row],[$ CAPITAL]]&gt;=0,FINANCIACION[[#This Row],[$ CAPITAL]]+FINANCIACION[[#This Row],[$ INTERESES]],0)</f>
        <v>76830</v>
      </c>
    </row>
    <row r="386" spans="1:10" ht="24" hidden="1" customHeight="1" x14ac:dyDescent="0.3">
      <c r="A386" s="142">
        <v>44138</v>
      </c>
      <c r="B386" s="50" t="s">
        <v>188</v>
      </c>
      <c r="C386" s="5"/>
      <c r="D386" s="5">
        <v>530587</v>
      </c>
      <c r="E386" s="5">
        <f>+IF(FINANCIACION[[#This Row],[$ CAPITAL]]&gt;=0,FINANCIACION[[#This Row],[$ CAPITAL]]+FINANCIACION[[#This Row],[$ INTERESES]],"")</f>
        <v>530587</v>
      </c>
      <c r="F386" s="5">
        <f>+SUMIFS(FINANCIACION[$ CAPITAL],FINANCIACION[Fecha],"&lt;="&amp;FINANCIACION[[#This Row],[Fecha]],FINANCIACION[PRESTAMO],FINANCIACION[[#This Row],[PRESTAMO]])</f>
        <v>-3302052</v>
      </c>
      <c r="G386" s="7"/>
      <c r="H386" s="53"/>
      <c r="I386" s="5" t="b">
        <f>IF(FINANCIACION[[#This Row],[$ CAPITAL]]&gt;0,FINANCIACION[[#This Row],[$ CAPITAL]])</f>
        <v>0</v>
      </c>
      <c r="J386" s="33">
        <f>IF(FINANCIACION[[#This Row],[$ CAPITAL]]&gt;=0,FINANCIACION[[#This Row],[$ CAPITAL]]+FINANCIACION[[#This Row],[$ INTERESES]],0)</f>
        <v>530587</v>
      </c>
    </row>
    <row r="387" spans="1:10" ht="24" hidden="1" customHeight="1" x14ac:dyDescent="0.3">
      <c r="A387" s="142">
        <v>44138</v>
      </c>
      <c r="B387" s="50" t="s">
        <v>822</v>
      </c>
      <c r="C387" s="5">
        <v>3858560</v>
      </c>
      <c r="D387" s="5"/>
      <c r="E387" s="5">
        <f>+IF(FINANCIACION[[#This Row],[$ CAPITAL]]&gt;=0,FINANCIACION[[#This Row],[$ CAPITAL]]+FINANCIACION[[#This Row],[$ INTERESES]],"")</f>
        <v>3858560</v>
      </c>
      <c r="F387" s="5">
        <f>+SUMIFS(FINANCIACION[$ CAPITAL],FINANCIACION[Fecha],"&lt;="&amp;FINANCIACION[[#This Row],[Fecha]],FINANCIACION[PRESTAMO],FINANCIACION[[#This Row],[PRESTAMO]])</f>
        <v>-65210482.850000024</v>
      </c>
      <c r="G387" s="7"/>
      <c r="H387" s="53"/>
      <c r="I387" s="5">
        <f>IF(FINANCIACION[[#This Row],[$ CAPITAL]]&gt;0,FINANCIACION[[#This Row],[$ CAPITAL]])</f>
        <v>3858560</v>
      </c>
      <c r="J387" s="33">
        <f>IF(FINANCIACION[[#This Row],[$ CAPITAL]]&gt;=0,FINANCIACION[[#This Row],[$ CAPITAL]]+FINANCIACION[[#This Row],[$ INTERESES]],0)</f>
        <v>3858560</v>
      </c>
    </row>
    <row r="388" spans="1:10" ht="24" hidden="1" customHeight="1" x14ac:dyDescent="0.3">
      <c r="A388" s="142">
        <v>44138</v>
      </c>
      <c r="B388" s="50" t="s">
        <v>822</v>
      </c>
      <c r="C388" s="5">
        <v>1000000</v>
      </c>
      <c r="D388" s="5"/>
      <c r="E388" s="5">
        <f>+IF(FINANCIACION[[#This Row],[$ CAPITAL]]&gt;=0,FINANCIACION[[#This Row],[$ CAPITAL]]+FINANCIACION[[#This Row],[$ INTERESES]],"")</f>
        <v>1000000</v>
      </c>
      <c r="F388" s="5">
        <f>+SUMIFS(FINANCIACION[$ CAPITAL],FINANCIACION[Fecha],"&lt;="&amp;FINANCIACION[[#This Row],[Fecha]],FINANCIACION[PRESTAMO],FINANCIACION[[#This Row],[PRESTAMO]])</f>
        <v>-65210482.850000024</v>
      </c>
      <c r="G388" s="7"/>
      <c r="H388" s="53"/>
      <c r="I388" s="5">
        <f>IF(FINANCIACION[[#This Row],[$ CAPITAL]]&gt;0,FINANCIACION[[#This Row],[$ CAPITAL]])</f>
        <v>1000000</v>
      </c>
      <c r="J388" s="33">
        <f>IF(FINANCIACION[[#This Row],[$ CAPITAL]]&gt;=0,FINANCIACION[[#This Row],[$ CAPITAL]]+FINANCIACION[[#This Row],[$ INTERESES]],0)</f>
        <v>1000000</v>
      </c>
    </row>
    <row r="389" spans="1:10" ht="24" hidden="1" customHeight="1" x14ac:dyDescent="0.3">
      <c r="A389" s="142">
        <v>44139</v>
      </c>
      <c r="B389" s="50" t="s">
        <v>822</v>
      </c>
      <c r="C389" s="5">
        <v>990094.53</v>
      </c>
      <c r="D389" s="5">
        <v>182124.31000000006</v>
      </c>
      <c r="E389" s="5">
        <f>+IF(FINANCIACION[[#This Row],[$ CAPITAL]]&gt;=0,FINANCIACION[[#This Row],[$ CAPITAL]]+FINANCIACION[[#This Row],[$ INTERESES]],"")</f>
        <v>1172218.8400000001</v>
      </c>
      <c r="F389" s="5">
        <f>+SUMIFS(FINANCIACION[$ CAPITAL],FINANCIACION[Fecha],"&lt;="&amp;FINANCIACION[[#This Row],[Fecha]],FINANCIACION[PRESTAMO],FINANCIACION[[#This Row],[PRESTAMO]])</f>
        <v>-64220388.320000023</v>
      </c>
      <c r="G389" s="7"/>
      <c r="H389" s="53"/>
      <c r="I389" s="5">
        <f>IF(FINANCIACION[[#This Row],[$ CAPITAL]]&gt;0,FINANCIACION[[#This Row],[$ CAPITAL]])</f>
        <v>990094.53</v>
      </c>
      <c r="J389" s="33">
        <f>IF(FINANCIACION[[#This Row],[$ CAPITAL]]&gt;=0,FINANCIACION[[#This Row],[$ CAPITAL]]+FINANCIACION[[#This Row],[$ INTERESES]],0)</f>
        <v>1172218.8400000001</v>
      </c>
    </row>
    <row r="390" spans="1:10" ht="24" hidden="1" customHeight="1" x14ac:dyDescent="0.3">
      <c r="A390" s="142">
        <v>44141</v>
      </c>
      <c r="B390" s="50" t="s">
        <v>191</v>
      </c>
      <c r="C390" s="5">
        <v>6326000</v>
      </c>
      <c r="D390" s="5">
        <v>716774.57</v>
      </c>
      <c r="E390" s="5">
        <f>+IF(FINANCIACION[[#This Row],[$ CAPITAL]]&gt;=0,FINANCIACION[[#This Row],[$ CAPITAL]]+FINANCIACION[[#This Row],[$ INTERESES]],"")</f>
        <v>7042774.5700000003</v>
      </c>
      <c r="F390" s="5">
        <f>+SUMIFS(FINANCIACION[$ CAPITAL],FINANCIACION[Fecha],"&lt;="&amp;FINANCIACION[[#This Row],[Fecha]],FINANCIACION[PRESTAMO],FINANCIACION[[#This Row],[PRESTAMO]])</f>
        <v>-98321126</v>
      </c>
      <c r="G390" s="7"/>
      <c r="H390" s="53"/>
      <c r="I390" s="5">
        <f>IF(FINANCIACION[[#This Row],[$ CAPITAL]]&gt;0,FINANCIACION[[#This Row],[$ CAPITAL]])</f>
        <v>6326000</v>
      </c>
      <c r="J390" s="33">
        <f>IF(FINANCIACION[[#This Row],[$ CAPITAL]]&gt;=0,FINANCIACION[[#This Row],[$ CAPITAL]]+FINANCIACION[[#This Row],[$ INTERESES]],0)</f>
        <v>7042774.5700000003</v>
      </c>
    </row>
    <row r="391" spans="1:10" ht="24" hidden="1" customHeight="1" x14ac:dyDescent="0.3">
      <c r="A391" s="142">
        <v>44142</v>
      </c>
      <c r="B391" s="50" t="s">
        <v>819</v>
      </c>
      <c r="C391" s="5"/>
      <c r="D391" s="5">
        <v>950000</v>
      </c>
      <c r="E391" s="5">
        <f>+IF(FINANCIACION[[#This Row],[$ CAPITAL]]&gt;=0,FINANCIACION[[#This Row],[$ CAPITAL]]+FINANCIACION[[#This Row],[$ INTERESES]],"")</f>
        <v>950000</v>
      </c>
      <c r="F391" s="5">
        <f>+SUMIFS(FINANCIACION[$ CAPITAL],FINANCIACION[Fecha],"&lt;="&amp;FINANCIACION[[#This Row],[Fecha]],FINANCIACION[PRESTAMO],FINANCIACION[[#This Row],[PRESTAMO]])</f>
        <v>-94935167</v>
      </c>
      <c r="G391" s="7"/>
      <c r="H391" s="53"/>
      <c r="I391" s="5" t="b">
        <f>IF(FINANCIACION[[#This Row],[$ CAPITAL]]&gt;0,FINANCIACION[[#This Row],[$ CAPITAL]])</f>
        <v>0</v>
      </c>
      <c r="J391" s="33">
        <f>IF(FINANCIACION[[#This Row],[$ CAPITAL]]&gt;=0,FINANCIACION[[#This Row],[$ CAPITAL]]+FINANCIACION[[#This Row],[$ INTERESES]],0)</f>
        <v>950000</v>
      </c>
    </row>
    <row r="392" spans="1:10" ht="24" hidden="1" customHeight="1" x14ac:dyDescent="0.3">
      <c r="A392" s="142">
        <v>44142</v>
      </c>
      <c r="B392" s="50" t="s">
        <v>823</v>
      </c>
      <c r="C392" s="5">
        <v>858500</v>
      </c>
      <c r="D392" s="5">
        <v>141500</v>
      </c>
      <c r="E392" s="5">
        <f>+IF(FINANCIACION[[#This Row],[$ CAPITAL]]&gt;=0,FINANCIACION[[#This Row],[$ CAPITAL]]+FINANCIACION[[#This Row],[$ INTERESES]],"")</f>
        <v>1000000</v>
      </c>
      <c r="F392" s="5">
        <f>+SUMIFS(FINANCIACION[$ CAPITAL],FINANCIACION[Fecha],"&lt;="&amp;FINANCIACION[[#This Row],[Fecha]],FINANCIACION[PRESTAMO],FINANCIACION[[#This Row],[PRESTAMO]])</f>
        <v>-13291500</v>
      </c>
      <c r="G392" s="7"/>
      <c r="H392" s="53"/>
      <c r="I392" s="5">
        <f>IF(FINANCIACION[[#This Row],[$ CAPITAL]]&gt;0,FINANCIACION[[#This Row],[$ CAPITAL]])</f>
        <v>858500</v>
      </c>
      <c r="J392" s="33">
        <f>IF(FINANCIACION[[#This Row],[$ CAPITAL]]&gt;=0,FINANCIACION[[#This Row],[$ CAPITAL]]+FINANCIACION[[#This Row],[$ INTERESES]],0)</f>
        <v>1000000</v>
      </c>
    </row>
    <row r="393" spans="1:10" ht="24" hidden="1" customHeight="1" x14ac:dyDescent="0.3">
      <c r="A393" s="142">
        <v>44142</v>
      </c>
      <c r="B393" s="50" t="s">
        <v>820</v>
      </c>
      <c r="C393" s="5">
        <v>542926.9</v>
      </c>
      <c r="D393" s="5">
        <v>657073.1</v>
      </c>
      <c r="E393" s="5">
        <f>+IF(FINANCIACION[[#This Row],[$ CAPITAL]]&gt;=0,FINANCIACION[[#This Row],[$ CAPITAL]]+FINANCIACION[[#This Row],[$ INTERESES]],"")</f>
        <v>1200000</v>
      </c>
      <c r="F393" s="5">
        <f>+SUMIFS(FINANCIACION[$ CAPITAL],FINANCIACION[Fecha],"&lt;="&amp;FINANCIACION[[#This Row],[Fecha]],FINANCIACION[PRESTAMO],FINANCIACION[[#This Row],[PRESTAMO]])</f>
        <v>-65164383.100000001</v>
      </c>
      <c r="G393" s="7"/>
      <c r="H393" s="53"/>
      <c r="I393" s="5">
        <f>IF(FINANCIACION[[#This Row],[$ CAPITAL]]&gt;0,FINANCIACION[[#This Row],[$ CAPITAL]])</f>
        <v>542926.9</v>
      </c>
      <c r="J393" s="33">
        <f>IF(FINANCIACION[[#This Row],[$ CAPITAL]]&gt;=0,FINANCIACION[[#This Row],[$ CAPITAL]]+FINANCIACION[[#This Row],[$ INTERESES]],0)</f>
        <v>1200000</v>
      </c>
    </row>
    <row r="394" spans="1:10" ht="24" hidden="1" customHeight="1" x14ac:dyDescent="0.3">
      <c r="A394" s="142">
        <v>44144</v>
      </c>
      <c r="B394" s="50" t="s">
        <v>819</v>
      </c>
      <c r="C394" s="5">
        <v>3917000</v>
      </c>
      <c r="D394" s="5"/>
      <c r="E394" s="5">
        <f>+IF(FINANCIACION[[#This Row],[$ CAPITAL]]&gt;=0,FINANCIACION[[#This Row],[$ CAPITAL]]+FINANCIACION[[#This Row],[$ INTERESES]],"")</f>
        <v>3917000</v>
      </c>
      <c r="F394" s="5">
        <f>+SUMIFS(FINANCIACION[$ CAPITAL],FINANCIACION[Fecha],"&lt;="&amp;FINANCIACION[[#This Row],[Fecha]],FINANCIACION[PRESTAMO],FINANCIACION[[#This Row],[PRESTAMO]])</f>
        <v>-91018167</v>
      </c>
      <c r="G394" s="7"/>
      <c r="H394" s="53"/>
      <c r="I394" s="5">
        <f>IF(FINANCIACION[[#This Row],[$ CAPITAL]]&gt;0,FINANCIACION[[#This Row],[$ CAPITAL]])</f>
        <v>3917000</v>
      </c>
      <c r="J394" s="33">
        <f>IF(FINANCIACION[[#This Row],[$ CAPITAL]]&gt;=0,FINANCIACION[[#This Row],[$ CAPITAL]]+FINANCIACION[[#This Row],[$ INTERESES]],0)</f>
        <v>3917000</v>
      </c>
    </row>
    <row r="395" spans="1:10" ht="24" hidden="1" customHeight="1" x14ac:dyDescent="0.3">
      <c r="A395" s="142">
        <v>44144</v>
      </c>
      <c r="B395" s="50" t="s">
        <v>822</v>
      </c>
      <c r="C395" s="5">
        <v>120681</v>
      </c>
      <c r="D395" s="5"/>
      <c r="E395" s="5">
        <f>+IF(FINANCIACION[[#This Row],[$ CAPITAL]]&gt;=0,FINANCIACION[[#This Row],[$ CAPITAL]]+FINANCIACION[[#This Row],[$ INTERESES]],"")</f>
        <v>120681</v>
      </c>
      <c r="F395" s="5">
        <f>+SUMIFS(FINANCIACION[$ CAPITAL],FINANCIACION[Fecha],"&lt;="&amp;FINANCIACION[[#This Row],[Fecha]],FINANCIACION[PRESTAMO],FINANCIACION[[#This Row],[PRESTAMO]])</f>
        <v>-59361517.320000023</v>
      </c>
      <c r="G395" s="7"/>
      <c r="H395" s="53"/>
      <c r="I395" s="5">
        <f>IF(FINANCIACION[[#This Row],[$ CAPITAL]]&gt;0,FINANCIACION[[#This Row],[$ CAPITAL]])</f>
        <v>120681</v>
      </c>
      <c r="J395" s="33">
        <f>IF(FINANCIACION[[#This Row],[$ CAPITAL]]&gt;=0,FINANCIACION[[#This Row],[$ CAPITAL]]+FINANCIACION[[#This Row],[$ INTERESES]],0)</f>
        <v>120681</v>
      </c>
    </row>
    <row r="396" spans="1:10" ht="24" hidden="1" customHeight="1" x14ac:dyDescent="0.3">
      <c r="A396" s="142">
        <v>44144</v>
      </c>
      <c r="B396" s="50" t="s">
        <v>822</v>
      </c>
      <c r="C396" s="5">
        <v>3738190</v>
      </c>
      <c r="D396" s="5"/>
      <c r="E396" s="5">
        <f>+IF(FINANCIACION[[#This Row],[$ CAPITAL]]&gt;=0,FINANCIACION[[#This Row],[$ CAPITAL]]+FINANCIACION[[#This Row],[$ INTERESES]],"")</f>
        <v>3738190</v>
      </c>
      <c r="F396" s="5">
        <f>+SUMIFS(FINANCIACION[$ CAPITAL],FINANCIACION[Fecha],"&lt;="&amp;FINANCIACION[[#This Row],[Fecha]],FINANCIACION[PRESTAMO],FINANCIACION[[#This Row],[PRESTAMO]])</f>
        <v>-59361517.320000023</v>
      </c>
      <c r="G396" s="7"/>
      <c r="H396" s="53"/>
      <c r="I396" s="5">
        <f>IF(FINANCIACION[[#This Row],[$ CAPITAL]]&gt;0,FINANCIACION[[#This Row],[$ CAPITAL]])</f>
        <v>3738190</v>
      </c>
      <c r="J396" s="33">
        <f>IF(FINANCIACION[[#This Row],[$ CAPITAL]]&gt;=0,FINANCIACION[[#This Row],[$ CAPITAL]]+FINANCIACION[[#This Row],[$ INTERESES]],0)</f>
        <v>3738190</v>
      </c>
    </row>
    <row r="397" spans="1:10" ht="24" hidden="1" customHeight="1" x14ac:dyDescent="0.3">
      <c r="A397" s="142">
        <v>44144</v>
      </c>
      <c r="B397" s="50" t="s">
        <v>822</v>
      </c>
      <c r="C397" s="5">
        <v>1000000</v>
      </c>
      <c r="D397" s="5"/>
      <c r="E397" s="5">
        <f>+IF(FINANCIACION[[#This Row],[$ CAPITAL]]&gt;=0,FINANCIACION[[#This Row],[$ CAPITAL]]+FINANCIACION[[#This Row],[$ INTERESES]],"")</f>
        <v>1000000</v>
      </c>
      <c r="F397" s="5">
        <f>+SUMIFS(FINANCIACION[$ CAPITAL],FINANCIACION[Fecha],"&lt;="&amp;FINANCIACION[[#This Row],[Fecha]],FINANCIACION[PRESTAMO],FINANCIACION[[#This Row],[PRESTAMO]])</f>
        <v>-59361517.320000023</v>
      </c>
      <c r="G397" s="7"/>
      <c r="H397" s="53"/>
      <c r="I397" s="5">
        <f>IF(FINANCIACION[[#This Row],[$ CAPITAL]]&gt;0,FINANCIACION[[#This Row],[$ CAPITAL]])</f>
        <v>1000000</v>
      </c>
      <c r="J397" s="33">
        <f>IF(FINANCIACION[[#This Row],[$ CAPITAL]]&gt;=0,FINANCIACION[[#This Row],[$ CAPITAL]]+FINANCIACION[[#This Row],[$ INTERESES]],0)</f>
        <v>1000000</v>
      </c>
    </row>
    <row r="398" spans="1:10" ht="24" hidden="1" customHeight="1" x14ac:dyDescent="0.3">
      <c r="A398" s="142">
        <v>44155</v>
      </c>
      <c r="B398" s="50" t="s">
        <v>822</v>
      </c>
      <c r="C398" s="5">
        <v>-5000000</v>
      </c>
      <c r="D398" s="5"/>
      <c r="E398" s="5" t="str">
        <f>+IF(FINANCIACION[[#This Row],[$ CAPITAL]]&gt;=0,FINANCIACION[[#This Row],[$ CAPITAL]]+FINANCIACION[[#This Row],[$ INTERESES]],"")</f>
        <v/>
      </c>
      <c r="F398" s="5">
        <f>+SUMIFS(FINANCIACION[$ CAPITAL],FINANCIACION[Fecha],"&lt;="&amp;FINANCIACION[[#This Row],[Fecha]],FINANCIACION[PRESTAMO],FINANCIACION[[#This Row],[PRESTAMO]])</f>
        <v>-64361517.320000023</v>
      </c>
      <c r="G398" s="7"/>
      <c r="H398" s="53"/>
      <c r="I398" s="5" t="b">
        <f>IF(FINANCIACION[[#This Row],[$ CAPITAL]]&gt;0,FINANCIACION[[#This Row],[$ CAPITAL]])</f>
        <v>0</v>
      </c>
      <c r="J398" s="33">
        <f>IF(FINANCIACION[[#This Row],[$ CAPITAL]]&gt;=0,FINANCIACION[[#This Row],[$ CAPITAL]]+FINANCIACION[[#This Row],[$ INTERESES]],0)</f>
        <v>0</v>
      </c>
    </row>
    <row r="399" spans="1:10" ht="24" hidden="1" customHeight="1" x14ac:dyDescent="0.3">
      <c r="A399" s="142">
        <v>44158</v>
      </c>
      <c r="B399" s="50" t="s">
        <v>822</v>
      </c>
      <c r="C399" s="5">
        <v>3649900</v>
      </c>
      <c r="D399" s="5"/>
      <c r="E399" s="5">
        <f>+IF(FINANCIACION[[#This Row],[$ CAPITAL]]&gt;=0,FINANCIACION[[#This Row],[$ CAPITAL]]+FINANCIACION[[#This Row],[$ INTERESES]],"")</f>
        <v>3649900</v>
      </c>
      <c r="F399" s="5">
        <f>+SUMIFS(FINANCIACION[$ CAPITAL],FINANCIACION[Fecha],"&lt;="&amp;FINANCIACION[[#This Row],[Fecha]],FINANCIACION[PRESTAMO],FINANCIACION[[#This Row],[PRESTAMO]])</f>
        <v>-59711617.320000023</v>
      </c>
      <c r="G399" s="7"/>
      <c r="H399" s="53"/>
      <c r="I399" s="5">
        <f>IF(FINANCIACION[[#This Row],[$ CAPITAL]]&gt;0,FINANCIACION[[#This Row],[$ CAPITAL]])</f>
        <v>3649900</v>
      </c>
      <c r="J399" s="33">
        <f>IF(FINANCIACION[[#This Row],[$ CAPITAL]]&gt;=0,FINANCIACION[[#This Row],[$ CAPITAL]]+FINANCIACION[[#This Row],[$ INTERESES]],0)</f>
        <v>3649900</v>
      </c>
    </row>
    <row r="400" spans="1:10" ht="24" hidden="1" customHeight="1" x14ac:dyDescent="0.3">
      <c r="A400" s="142">
        <v>44158</v>
      </c>
      <c r="B400" s="50" t="s">
        <v>822</v>
      </c>
      <c r="C400" s="5">
        <v>1000000</v>
      </c>
      <c r="D400" s="5"/>
      <c r="E400" s="5">
        <f>+IF(FINANCIACION[[#This Row],[$ CAPITAL]]&gt;=0,FINANCIACION[[#This Row],[$ CAPITAL]]+FINANCIACION[[#This Row],[$ INTERESES]],"")</f>
        <v>1000000</v>
      </c>
      <c r="F400" s="5">
        <f>+SUMIFS(FINANCIACION[$ CAPITAL],FINANCIACION[Fecha],"&lt;="&amp;FINANCIACION[[#This Row],[Fecha]],FINANCIACION[PRESTAMO],FINANCIACION[[#This Row],[PRESTAMO]])</f>
        <v>-59711617.320000023</v>
      </c>
      <c r="G400" s="7"/>
      <c r="H400" s="53"/>
      <c r="I400" s="5">
        <f>IF(FINANCIACION[[#This Row],[$ CAPITAL]]&gt;0,FINANCIACION[[#This Row],[$ CAPITAL]])</f>
        <v>1000000</v>
      </c>
      <c r="J400" s="33">
        <f>IF(FINANCIACION[[#This Row],[$ CAPITAL]]&gt;=0,FINANCIACION[[#This Row],[$ CAPITAL]]+FINANCIACION[[#This Row],[$ INTERESES]],0)</f>
        <v>1000000</v>
      </c>
    </row>
    <row r="401" spans="1:10" ht="24" hidden="1" customHeight="1" x14ac:dyDescent="0.3">
      <c r="A401" s="142">
        <v>44161</v>
      </c>
      <c r="B401" s="50" t="s">
        <v>827</v>
      </c>
      <c r="C401" s="5">
        <v>5997.0599999986589</v>
      </c>
      <c r="D401" s="5">
        <v>570130.94000000134</v>
      </c>
      <c r="E401" s="5">
        <f>+IF(FINANCIACION[[#This Row],[$ CAPITAL]]&gt;=0,FINANCIACION[[#This Row],[$ CAPITAL]]+FINANCIACION[[#This Row],[$ INTERESES]],"")</f>
        <v>576128</v>
      </c>
      <c r="F401" s="5">
        <f>+SUMIFS(FINANCIACION[$ CAPITAL],FINANCIACION[Fecha],"&lt;="&amp;FINANCIACION[[#This Row],[Fecha]],FINANCIACION[PRESTAMO],FINANCIACION[[#This Row],[PRESTAMO]])</f>
        <v>-26293747.540000003</v>
      </c>
      <c r="G401" s="7"/>
      <c r="H401" s="53"/>
      <c r="I401" s="5">
        <f>IF(FINANCIACION[[#This Row],[$ CAPITAL]]&gt;0,FINANCIACION[[#This Row],[$ CAPITAL]])</f>
        <v>5997.0599999986589</v>
      </c>
      <c r="J401" s="33">
        <f>IF(FINANCIACION[[#This Row],[$ CAPITAL]]&gt;=0,FINANCIACION[[#This Row],[$ CAPITAL]]+FINANCIACION[[#This Row],[$ INTERESES]],0)</f>
        <v>576128</v>
      </c>
    </row>
    <row r="402" spans="1:10" ht="24" hidden="1" customHeight="1" x14ac:dyDescent="0.3">
      <c r="A402" s="142">
        <v>44161</v>
      </c>
      <c r="B402" s="50" t="s">
        <v>829</v>
      </c>
      <c r="C402" s="5">
        <v>6216.2899999991059</v>
      </c>
      <c r="D402" s="5">
        <v>393783.71000000089</v>
      </c>
      <c r="E402" s="5">
        <f>+IF(FINANCIACION[[#This Row],[$ CAPITAL]]&gt;=0,FINANCIACION[[#This Row],[$ CAPITAL]]+FINANCIACION[[#This Row],[$ INTERESES]],"")</f>
        <v>400000</v>
      </c>
      <c r="F402" s="5">
        <f>+SUMIFS(FINANCIACION[$ CAPITAL],FINANCIACION[Fecha],"&lt;="&amp;FINANCIACION[[#This Row],[Fecha]],FINANCIACION[PRESTAMO],FINANCIACION[[#This Row],[PRESTAMO]])</f>
        <v>-27335637.370000001</v>
      </c>
      <c r="G402" s="7"/>
      <c r="H402" s="53"/>
      <c r="I402" s="5">
        <f>IF(FINANCIACION[[#This Row],[$ CAPITAL]]&gt;0,FINANCIACION[[#This Row],[$ CAPITAL]])</f>
        <v>6216.2899999991059</v>
      </c>
      <c r="J402" s="33">
        <f>IF(FINANCIACION[[#This Row],[$ CAPITAL]]&gt;=0,FINANCIACION[[#This Row],[$ CAPITAL]]+FINANCIACION[[#This Row],[$ INTERESES]],0)</f>
        <v>400000</v>
      </c>
    </row>
    <row r="403" spans="1:10" ht="24" hidden="1" customHeight="1" x14ac:dyDescent="0.3">
      <c r="A403" s="142">
        <v>44161</v>
      </c>
      <c r="B403" s="50" t="s">
        <v>825</v>
      </c>
      <c r="C403" s="5">
        <v>15308.959999993443</v>
      </c>
      <c r="D403" s="5">
        <v>2484691.0400000066</v>
      </c>
      <c r="E403" s="5">
        <f>+IF(FINANCIACION[[#This Row],[$ CAPITAL]]&gt;=0,FINANCIACION[[#This Row],[$ CAPITAL]]+FINANCIACION[[#This Row],[$ INTERESES]],"")</f>
        <v>2500000</v>
      </c>
      <c r="F403" s="5">
        <f>+SUMIFS(FINANCIACION[$ CAPITAL],FINANCIACION[Fecha],"&lt;="&amp;FINANCIACION[[#This Row],[Fecha]],FINANCIACION[PRESTAMO],FINANCIACION[[#This Row],[PRESTAMO]])</f>
        <v>-67435040.74000001</v>
      </c>
      <c r="G403" s="7"/>
      <c r="H403" s="53"/>
      <c r="I403" s="5">
        <f>IF(FINANCIACION[[#This Row],[$ CAPITAL]]&gt;0,FINANCIACION[[#This Row],[$ CAPITAL]])</f>
        <v>15308.959999993443</v>
      </c>
      <c r="J403" s="33">
        <f>IF(FINANCIACION[[#This Row],[$ CAPITAL]]&gt;=0,FINANCIACION[[#This Row],[$ CAPITAL]]+FINANCIACION[[#This Row],[$ INTERESES]],0)</f>
        <v>2500000</v>
      </c>
    </row>
    <row r="404" spans="1:10" ht="24" hidden="1" customHeight="1" x14ac:dyDescent="0.3">
      <c r="A404" s="142">
        <v>44161</v>
      </c>
      <c r="B404" s="50" t="s">
        <v>826</v>
      </c>
      <c r="C404" s="5">
        <v>24886.480000004172</v>
      </c>
      <c r="D404" s="5">
        <v>3984146.5199999958</v>
      </c>
      <c r="E404" s="5">
        <f>+IF(FINANCIACION[[#This Row],[$ CAPITAL]]&gt;=0,FINANCIACION[[#This Row],[$ CAPITAL]]+FINANCIACION[[#This Row],[$ INTERESES]],"")</f>
        <v>4009033</v>
      </c>
      <c r="F404" s="5">
        <f>+SUMIFS(FINANCIACION[$ CAPITAL],FINANCIACION[Fecha],"&lt;="&amp;FINANCIACION[[#This Row],[Fecha]],FINANCIACION[PRESTAMO],FINANCIACION[[#This Row],[PRESTAMO]])</f>
        <v>-98447626.519999996</v>
      </c>
      <c r="G404" s="7"/>
      <c r="H404" s="53"/>
      <c r="I404" s="5">
        <f>IF(FINANCIACION[[#This Row],[$ CAPITAL]]&gt;0,FINANCIACION[[#This Row],[$ CAPITAL]])</f>
        <v>24886.480000004172</v>
      </c>
      <c r="J404" s="33">
        <f>IF(FINANCIACION[[#This Row],[$ CAPITAL]]&gt;=0,FINANCIACION[[#This Row],[$ CAPITAL]]+FINANCIACION[[#This Row],[$ INTERESES]],0)</f>
        <v>4009033</v>
      </c>
    </row>
    <row r="405" spans="1:10" ht="24" hidden="1" customHeight="1" x14ac:dyDescent="0.3">
      <c r="A405" s="142">
        <v>44161</v>
      </c>
      <c r="B405" s="50" t="s">
        <v>821</v>
      </c>
      <c r="C405" s="5">
        <v>0</v>
      </c>
      <c r="D405" s="5">
        <v>2000000</v>
      </c>
      <c r="E405" s="5">
        <f>+IF(FINANCIACION[[#This Row],[$ CAPITAL]]&gt;=0,FINANCIACION[[#This Row],[$ CAPITAL]]+FINANCIACION[[#This Row],[$ INTERESES]],"")</f>
        <v>2000000</v>
      </c>
      <c r="F405" s="5">
        <f>+SUMIFS(FINANCIACION[$ CAPITAL],FINANCIACION[Fecha],"&lt;="&amp;FINANCIACION[[#This Row],[Fecha]],FINANCIACION[PRESTAMO],FINANCIACION[[#This Row],[PRESTAMO]])</f>
        <v>-402490067</v>
      </c>
      <c r="G405" s="7"/>
      <c r="H405" s="53"/>
      <c r="I405" s="5" t="b">
        <f>IF(FINANCIACION[[#This Row],[$ CAPITAL]]&gt;0,FINANCIACION[[#This Row],[$ CAPITAL]])</f>
        <v>0</v>
      </c>
      <c r="J405" s="33">
        <f>IF(FINANCIACION[[#This Row],[$ CAPITAL]]&gt;=0,FINANCIACION[[#This Row],[$ CAPITAL]]+FINANCIACION[[#This Row],[$ INTERESES]],0)</f>
        <v>2000000</v>
      </c>
    </row>
    <row r="406" spans="1:10" ht="24" hidden="1" customHeight="1" x14ac:dyDescent="0.3">
      <c r="A406" s="142">
        <v>44161</v>
      </c>
      <c r="B406" s="50" t="s">
        <v>822</v>
      </c>
      <c r="C406" s="5">
        <v>7403.0900000035763</v>
      </c>
      <c r="D406" s="5">
        <v>1292596.9099999964</v>
      </c>
      <c r="E406" s="5">
        <f>+IF(FINANCIACION[[#This Row],[$ CAPITAL]]&gt;=0,FINANCIACION[[#This Row],[$ CAPITAL]]+FINANCIACION[[#This Row],[$ INTERESES]],"")</f>
        <v>1300000</v>
      </c>
      <c r="F406" s="5">
        <f>+SUMIFS(FINANCIACION[$ CAPITAL],FINANCIACION[Fecha],"&lt;="&amp;FINANCIACION[[#This Row],[Fecha]],FINANCIACION[PRESTAMO],FINANCIACION[[#This Row],[PRESTAMO]])</f>
        <v>-59695180.630000018</v>
      </c>
      <c r="G406" s="7"/>
      <c r="H406" s="53"/>
      <c r="I406" s="5">
        <f>IF(FINANCIACION[[#This Row],[$ CAPITAL]]&gt;0,FINANCIACION[[#This Row],[$ CAPITAL]])</f>
        <v>7403.0900000035763</v>
      </c>
      <c r="J406" s="33">
        <f>IF(FINANCIACION[[#This Row],[$ CAPITAL]]&gt;=0,FINANCIACION[[#This Row],[$ CAPITAL]]+FINANCIACION[[#This Row],[$ INTERESES]],0)</f>
        <v>1300000</v>
      </c>
    </row>
    <row r="407" spans="1:10" ht="24" hidden="1" customHeight="1" x14ac:dyDescent="0.3">
      <c r="A407" s="142">
        <v>44161</v>
      </c>
      <c r="B407" s="50" t="s">
        <v>822</v>
      </c>
      <c r="C407" s="5">
        <v>9033.6000000014901</v>
      </c>
      <c r="D407" s="5">
        <v>1582966.3999999985</v>
      </c>
      <c r="E407" s="5">
        <f>+IF(FINANCIACION[[#This Row],[$ CAPITAL]]&gt;=0,FINANCIACION[[#This Row],[$ CAPITAL]]+FINANCIACION[[#This Row],[$ INTERESES]],"")</f>
        <v>1592000</v>
      </c>
      <c r="F407" s="5">
        <f>+SUMIFS(FINANCIACION[$ CAPITAL],FINANCIACION[Fecha],"&lt;="&amp;FINANCIACION[[#This Row],[Fecha]],FINANCIACION[PRESTAMO],FINANCIACION[[#This Row],[PRESTAMO]])</f>
        <v>-59695180.630000018</v>
      </c>
      <c r="G407" s="7"/>
      <c r="H407" s="53"/>
      <c r="I407" s="5">
        <f>IF(FINANCIACION[[#This Row],[$ CAPITAL]]&gt;0,FINANCIACION[[#This Row],[$ CAPITAL]])</f>
        <v>9033.6000000014901</v>
      </c>
      <c r="J407" s="33">
        <f>IF(FINANCIACION[[#This Row],[$ CAPITAL]]&gt;=0,FINANCIACION[[#This Row],[$ CAPITAL]]+FINANCIACION[[#This Row],[$ INTERESES]],0)</f>
        <v>1592000</v>
      </c>
    </row>
    <row r="408" spans="1:10" ht="24" hidden="1" customHeight="1" x14ac:dyDescent="0.3">
      <c r="A408" s="142">
        <v>44162</v>
      </c>
      <c r="B408" s="50" t="s">
        <v>822</v>
      </c>
      <c r="C408" s="5">
        <v>1000000</v>
      </c>
      <c r="D408" s="5"/>
      <c r="E408" s="5">
        <f>+IF(FINANCIACION[[#This Row],[$ CAPITAL]]&gt;=0,FINANCIACION[[#This Row],[$ CAPITAL]]+FINANCIACION[[#This Row],[$ INTERESES]],"")</f>
        <v>1000000</v>
      </c>
      <c r="F408" s="5">
        <f>+SUMIFS(FINANCIACION[$ CAPITAL],FINANCIACION[Fecha],"&lt;="&amp;FINANCIACION[[#This Row],[Fecha]],FINANCIACION[PRESTAMO],FINANCIACION[[#This Row],[PRESTAMO]])</f>
        <v>-58695180.630000018</v>
      </c>
      <c r="G408" s="7"/>
      <c r="H408" s="53"/>
      <c r="I408" s="5">
        <f>IF(FINANCIACION[[#This Row],[$ CAPITAL]]&gt;0,FINANCIACION[[#This Row],[$ CAPITAL]])</f>
        <v>1000000</v>
      </c>
      <c r="J408" s="33">
        <f>IF(FINANCIACION[[#This Row],[$ CAPITAL]]&gt;=0,FINANCIACION[[#This Row],[$ CAPITAL]]+FINANCIACION[[#This Row],[$ INTERESES]],0)</f>
        <v>1000000</v>
      </c>
    </row>
    <row r="409" spans="1:10" ht="24" hidden="1" customHeight="1" x14ac:dyDescent="0.3">
      <c r="A409" s="142">
        <v>44163</v>
      </c>
      <c r="B409" s="50" t="s">
        <v>822</v>
      </c>
      <c r="C409" s="5">
        <v>-13000000</v>
      </c>
      <c r="D409" s="5"/>
      <c r="E409" s="5" t="str">
        <f>+IF(FINANCIACION[[#This Row],[$ CAPITAL]]&gt;=0,FINANCIACION[[#This Row],[$ CAPITAL]]+FINANCIACION[[#This Row],[$ INTERESES]],"")</f>
        <v/>
      </c>
      <c r="F409" s="5">
        <f>+SUMIFS(FINANCIACION[$ CAPITAL],FINANCIACION[Fecha],"&lt;="&amp;FINANCIACION[[#This Row],[Fecha]],FINANCIACION[PRESTAMO],FINANCIACION[[#This Row],[PRESTAMO]])</f>
        <v>-71695180.630000025</v>
      </c>
      <c r="G409" s="7"/>
      <c r="H409" s="53"/>
      <c r="I409" s="5" t="b">
        <f>IF(FINANCIACION[[#This Row],[$ CAPITAL]]&gt;0,FINANCIACION[[#This Row],[$ CAPITAL]])</f>
        <v>0</v>
      </c>
      <c r="J409" s="33">
        <f>IF(FINANCIACION[[#This Row],[$ CAPITAL]]&gt;=0,FINANCIACION[[#This Row],[$ CAPITAL]]+FINANCIACION[[#This Row],[$ INTERESES]],0)</f>
        <v>0</v>
      </c>
    </row>
    <row r="410" spans="1:10" ht="24" hidden="1" customHeight="1" x14ac:dyDescent="0.3">
      <c r="A410" s="142">
        <v>44165</v>
      </c>
      <c r="B410" s="50" t="s">
        <v>187</v>
      </c>
      <c r="C410" s="5"/>
      <c r="D410" s="5">
        <v>76791</v>
      </c>
      <c r="E410" s="5">
        <f>+IF(FINANCIACION[[#This Row],[$ CAPITAL]]&gt;=0,FINANCIACION[[#This Row],[$ CAPITAL]]+FINANCIACION[[#This Row],[$ INTERESES]],"")</f>
        <v>76791</v>
      </c>
      <c r="F410" s="5">
        <f>+SUMIFS(FINANCIACION[$ CAPITAL],FINANCIACION[Fecha],"&lt;="&amp;FINANCIACION[[#This Row],[Fecha]],FINANCIACION[PRESTAMO],FINANCIACION[[#This Row],[PRESTAMO]])</f>
        <v>-54330833</v>
      </c>
      <c r="G410" s="7"/>
      <c r="H410" s="53"/>
      <c r="I410" s="5" t="b">
        <f>IF(FINANCIACION[[#This Row],[$ CAPITAL]]&gt;0,FINANCIACION[[#This Row],[$ CAPITAL]])</f>
        <v>0</v>
      </c>
      <c r="J410" s="33">
        <f>IF(FINANCIACION[[#This Row],[$ CAPITAL]]&gt;=0,FINANCIACION[[#This Row],[$ CAPITAL]]+FINANCIACION[[#This Row],[$ INTERESES]],0)</f>
        <v>76791</v>
      </c>
    </row>
    <row r="411" spans="1:10" ht="24" hidden="1" customHeight="1" x14ac:dyDescent="0.3">
      <c r="A411" s="142">
        <v>44165</v>
      </c>
      <c r="B411" s="50" t="s">
        <v>188</v>
      </c>
      <c r="C411" s="5">
        <v>230412</v>
      </c>
      <c r="D411" s="5"/>
      <c r="E411" s="5">
        <f>+IF(FINANCIACION[[#This Row],[$ CAPITAL]]&gt;=0,FINANCIACION[[#This Row],[$ CAPITAL]]+FINANCIACION[[#This Row],[$ INTERESES]],"")</f>
        <v>230412</v>
      </c>
      <c r="F411" s="5">
        <f>+SUMIFS(FINANCIACION[$ CAPITAL],FINANCIACION[Fecha],"&lt;="&amp;FINANCIACION[[#This Row],[Fecha]],FINANCIACION[PRESTAMO],FINANCIACION[[#This Row],[PRESTAMO]])</f>
        <v>-3071640</v>
      </c>
      <c r="G411" s="7"/>
      <c r="H411" s="53"/>
      <c r="I411" s="5">
        <f>IF(FINANCIACION[[#This Row],[$ CAPITAL]]&gt;0,FINANCIACION[[#This Row],[$ CAPITAL]])</f>
        <v>230412</v>
      </c>
      <c r="J411" s="33">
        <f>IF(FINANCIACION[[#This Row],[$ CAPITAL]]&gt;=0,FINANCIACION[[#This Row],[$ CAPITAL]]+FINANCIACION[[#This Row],[$ INTERESES]],0)</f>
        <v>230412</v>
      </c>
    </row>
    <row r="412" spans="1:10" ht="24" hidden="1" customHeight="1" x14ac:dyDescent="0.3">
      <c r="A412" s="142">
        <v>44165</v>
      </c>
      <c r="B412" s="50" t="s">
        <v>188</v>
      </c>
      <c r="C412" s="5"/>
      <c r="D412" s="5">
        <v>497969</v>
      </c>
      <c r="E412" s="5">
        <f>+IF(FINANCIACION[[#This Row],[$ CAPITAL]]&gt;=0,FINANCIACION[[#This Row],[$ CAPITAL]]+FINANCIACION[[#This Row],[$ INTERESES]],"")</f>
        <v>497969</v>
      </c>
      <c r="F412" s="5">
        <f>+SUMIFS(FINANCIACION[$ CAPITAL],FINANCIACION[Fecha],"&lt;="&amp;FINANCIACION[[#This Row],[Fecha]],FINANCIACION[PRESTAMO],FINANCIACION[[#This Row],[PRESTAMO]])</f>
        <v>-3071640</v>
      </c>
      <c r="G412" s="7"/>
      <c r="H412" s="53"/>
      <c r="I412" s="5" t="b">
        <f>IF(FINANCIACION[[#This Row],[$ CAPITAL]]&gt;0,FINANCIACION[[#This Row],[$ CAPITAL]])</f>
        <v>0</v>
      </c>
      <c r="J412" s="33">
        <f>IF(FINANCIACION[[#This Row],[$ CAPITAL]]&gt;=0,FINANCIACION[[#This Row],[$ CAPITAL]]+FINANCIACION[[#This Row],[$ INTERESES]],0)</f>
        <v>497969</v>
      </c>
    </row>
    <row r="413" spans="1:10" ht="24" hidden="1" customHeight="1" x14ac:dyDescent="0.3">
      <c r="A413" s="142">
        <v>44165</v>
      </c>
      <c r="B413" s="50" t="s">
        <v>827</v>
      </c>
      <c r="C413" s="5">
        <v>409054.01000000164</v>
      </c>
      <c r="D413" s="5"/>
      <c r="E413" s="5">
        <f>+IF(FINANCIACION[[#This Row],[$ CAPITAL]]&gt;=0,FINANCIACION[[#This Row],[$ CAPITAL]]+FINANCIACION[[#This Row],[$ INTERESES]],"")</f>
        <v>409054.01000000164</v>
      </c>
      <c r="F413" s="5">
        <f>+SUMIFS(FINANCIACION[$ CAPITAL],FINANCIACION[Fecha],"&lt;="&amp;FINANCIACION[[#This Row],[Fecha]],FINANCIACION[PRESTAMO],FINANCIACION[[#This Row],[PRESTAMO]])</f>
        <v>-25884693.530000001</v>
      </c>
      <c r="G413" s="7"/>
      <c r="H413" s="53"/>
      <c r="I413" s="5">
        <f>IF(FINANCIACION[[#This Row],[$ CAPITAL]]&gt;0,FINANCIACION[[#This Row],[$ CAPITAL]])</f>
        <v>409054.01000000164</v>
      </c>
      <c r="J413" s="33">
        <f>IF(FINANCIACION[[#This Row],[$ CAPITAL]]&gt;=0,FINANCIACION[[#This Row],[$ CAPITAL]]+FINANCIACION[[#This Row],[$ INTERESES]],0)</f>
        <v>409054.01000000164</v>
      </c>
    </row>
    <row r="414" spans="1:10" ht="24" hidden="1" customHeight="1" x14ac:dyDescent="0.3">
      <c r="A414" s="142">
        <v>44165</v>
      </c>
      <c r="B414" s="50" t="s">
        <v>829</v>
      </c>
      <c r="C414" s="5">
        <v>214280.08000000194</v>
      </c>
      <c r="D414" s="5"/>
      <c r="E414" s="5">
        <f>+IF(FINANCIACION[[#This Row],[$ CAPITAL]]&gt;=0,FINANCIACION[[#This Row],[$ CAPITAL]]+FINANCIACION[[#This Row],[$ INTERESES]],"")</f>
        <v>214280.08000000194</v>
      </c>
      <c r="F414" s="5">
        <f>+SUMIFS(FINANCIACION[$ CAPITAL],FINANCIACION[Fecha],"&lt;="&amp;FINANCIACION[[#This Row],[Fecha]],FINANCIACION[PRESTAMO],FINANCIACION[[#This Row],[PRESTAMO]])</f>
        <v>-27121357.289999999</v>
      </c>
      <c r="G414" s="7"/>
      <c r="H414" s="53"/>
      <c r="I414" s="5">
        <f>IF(FINANCIACION[[#This Row],[$ CAPITAL]]&gt;0,FINANCIACION[[#This Row],[$ CAPITAL]])</f>
        <v>214280.08000000194</v>
      </c>
      <c r="J414" s="33">
        <f>IF(FINANCIACION[[#This Row],[$ CAPITAL]]&gt;=0,FINANCIACION[[#This Row],[$ CAPITAL]]+FINANCIACION[[#This Row],[$ INTERESES]],0)</f>
        <v>214280.08000000194</v>
      </c>
    </row>
    <row r="415" spans="1:10" ht="24" hidden="1" customHeight="1" x14ac:dyDescent="0.3">
      <c r="A415" s="142">
        <v>44165</v>
      </c>
      <c r="B415" s="50" t="s">
        <v>825</v>
      </c>
      <c r="C415" s="5">
        <v>2082309.400000006</v>
      </c>
      <c r="D415" s="5"/>
      <c r="E415" s="5">
        <f>+IF(FINANCIACION[[#This Row],[$ CAPITAL]]&gt;=0,FINANCIACION[[#This Row],[$ CAPITAL]]+FINANCIACION[[#This Row],[$ INTERESES]],"")</f>
        <v>2082309.400000006</v>
      </c>
      <c r="F415" s="5">
        <f>+SUMIFS(FINANCIACION[$ CAPITAL],FINANCIACION[Fecha],"&lt;="&amp;FINANCIACION[[#This Row],[Fecha]],FINANCIACION[PRESTAMO],FINANCIACION[[#This Row],[PRESTAMO]])</f>
        <v>-65352731.340000004</v>
      </c>
      <c r="G415" s="7"/>
      <c r="H415" s="53"/>
      <c r="I415" s="5">
        <f>IF(FINANCIACION[[#This Row],[$ CAPITAL]]&gt;0,FINANCIACION[[#This Row],[$ CAPITAL]])</f>
        <v>2082309.400000006</v>
      </c>
      <c r="J415" s="33">
        <f>IF(FINANCIACION[[#This Row],[$ CAPITAL]]&gt;=0,FINANCIACION[[#This Row],[$ CAPITAL]]+FINANCIACION[[#This Row],[$ INTERESES]],0)</f>
        <v>2082309.400000006</v>
      </c>
    </row>
    <row r="416" spans="1:10" ht="24" hidden="1" customHeight="1" x14ac:dyDescent="0.3">
      <c r="A416" s="142">
        <v>44165</v>
      </c>
      <c r="B416" s="50" t="s">
        <v>826</v>
      </c>
      <c r="C416" s="5">
        <v>3330972.049999997</v>
      </c>
      <c r="D416" s="5"/>
      <c r="E416" s="5">
        <f>+IF(FINANCIACION[[#This Row],[$ CAPITAL]]&gt;=0,FINANCIACION[[#This Row],[$ CAPITAL]]+FINANCIACION[[#This Row],[$ INTERESES]],"")</f>
        <v>3330972.049999997</v>
      </c>
      <c r="F416" s="5">
        <f>+SUMIFS(FINANCIACION[$ CAPITAL],FINANCIACION[Fecha],"&lt;="&amp;FINANCIACION[[#This Row],[Fecha]],FINANCIACION[PRESTAMO],FINANCIACION[[#This Row],[PRESTAMO]])</f>
        <v>-95116654.469999999</v>
      </c>
      <c r="G416" s="7"/>
      <c r="H416" s="53"/>
      <c r="I416" s="5">
        <f>IF(FINANCIACION[[#This Row],[$ CAPITAL]]&gt;0,FINANCIACION[[#This Row],[$ CAPITAL]])</f>
        <v>3330972.049999997</v>
      </c>
      <c r="J416" s="33">
        <f>IF(FINANCIACION[[#This Row],[$ CAPITAL]]&gt;=0,FINANCIACION[[#This Row],[$ CAPITAL]]+FINANCIACION[[#This Row],[$ INTERESES]],0)</f>
        <v>3330972.049999997</v>
      </c>
    </row>
    <row r="417" spans="1:10" ht="24" hidden="1" customHeight="1" x14ac:dyDescent="0.3">
      <c r="A417" s="142">
        <v>44165</v>
      </c>
      <c r="B417" s="50" t="s">
        <v>821</v>
      </c>
      <c r="C417" s="5">
        <v>5494197</v>
      </c>
      <c r="D417" s="5"/>
      <c r="E417" s="5">
        <f>+IF(FINANCIACION[[#This Row],[$ CAPITAL]]&gt;=0,FINANCIACION[[#This Row],[$ CAPITAL]]+FINANCIACION[[#This Row],[$ INTERESES]],"")</f>
        <v>5494197</v>
      </c>
      <c r="F417" s="5">
        <f>+SUMIFS(FINANCIACION[$ CAPITAL],FINANCIACION[Fecha],"&lt;="&amp;FINANCIACION[[#This Row],[Fecha]],FINANCIACION[PRESTAMO],FINANCIACION[[#This Row],[PRESTAMO]])</f>
        <v>-396995870</v>
      </c>
      <c r="G417" s="7"/>
      <c r="H417" s="53"/>
      <c r="I417" s="5">
        <f>IF(FINANCIACION[[#This Row],[$ CAPITAL]]&gt;0,FINANCIACION[[#This Row],[$ CAPITAL]])</f>
        <v>5494197</v>
      </c>
      <c r="J417" s="33">
        <f>IF(FINANCIACION[[#This Row],[$ CAPITAL]]&gt;=0,FINANCIACION[[#This Row],[$ CAPITAL]]+FINANCIACION[[#This Row],[$ INTERESES]],0)</f>
        <v>5494197</v>
      </c>
    </row>
    <row r="418" spans="1:10" ht="24" hidden="1" customHeight="1" x14ac:dyDescent="0.3">
      <c r="A418" s="142">
        <v>44165</v>
      </c>
      <c r="B418" s="50" t="s">
        <v>822</v>
      </c>
      <c r="C418" s="5">
        <v>2118385.0699999928</v>
      </c>
      <c r="D418" s="5"/>
      <c r="E418" s="5">
        <f>+IF(FINANCIACION[[#This Row],[$ CAPITAL]]&gt;=0,FINANCIACION[[#This Row],[$ CAPITAL]]+FINANCIACION[[#This Row],[$ INTERESES]],"")</f>
        <v>2118385.0699999928</v>
      </c>
      <c r="F418" s="5">
        <f>+SUMIFS(FINANCIACION[$ CAPITAL],FINANCIACION[Fecha],"&lt;="&amp;FINANCIACION[[#This Row],[Fecha]],FINANCIACION[PRESTAMO],FINANCIACION[[#This Row],[PRESTAMO]])</f>
        <v>-85486465.350000039</v>
      </c>
      <c r="G418" s="7"/>
      <c r="H418" s="53"/>
      <c r="I418" s="5">
        <f>IF(FINANCIACION[[#This Row],[$ CAPITAL]]&gt;0,FINANCIACION[[#This Row],[$ CAPITAL]])</f>
        <v>2118385.0699999928</v>
      </c>
      <c r="J418" s="33">
        <f>IF(FINANCIACION[[#This Row],[$ CAPITAL]]&gt;=0,FINANCIACION[[#This Row],[$ CAPITAL]]+FINANCIACION[[#This Row],[$ INTERESES]],0)</f>
        <v>2118385.0699999928</v>
      </c>
    </row>
    <row r="419" spans="1:10" ht="24" hidden="1" customHeight="1" x14ac:dyDescent="0.3">
      <c r="A419" s="142">
        <v>44165</v>
      </c>
      <c r="B419" s="50" t="s">
        <v>822</v>
      </c>
      <c r="C419" s="5">
        <v>3258640.2100000009</v>
      </c>
      <c r="D419" s="5"/>
      <c r="E419" s="5">
        <f>+IF(FINANCIACION[[#This Row],[$ CAPITAL]]&gt;=0,FINANCIACION[[#This Row],[$ CAPITAL]]+FINANCIACION[[#This Row],[$ INTERESES]],"")</f>
        <v>3258640.2100000009</v>
      </c>
      <c r="F419" s="5">
        <f>+SUMIFS(FINANCIACION[$ CAPITAL],FINANCIACION[Fecha],"&lt;="&amp;FINANCIACION[[#This Row],[Fecha]],FINANCIACION[PRESTAMO],FINANCIACION[[#This Row],[PRESTAMO]])</f>
        <v>-85486465.350000039</v>
      </c>
      <c r="G419" s="7"/>
      <c r="H419" s="53"/>
      <c r="I419" s="5">
        <f>IF(FINANCIACION[[#This Row],[$ CAPITAL]]&gt;0,FINANCIACION[[#This Row],[$ CAPITAL]])</f>
        <v>3258640.2100000009</v>
      </c>
      <c r="J419" s="33">
        <f>IF(FINANCIACION[[#This Row],[$ CAPITAL]]&gt;=0,FINANCIACION[[#This Row],[$ CAPITAL]]+FINANCIACION[[#This Row],[$ INTERESES]],0)</f>
        <v>3258640.2100000009</v>
      </c>
    </row>
    <row r="420" spans="1:10" ht="24" hidden="1" customHeight="1" x14ac:dyDescent="0.3">
      <c r="A420" s="142">
        <v>44165</v>
      </c>
      <c r="B420" s="50" t="s">
        <v>822</v>
      </c>
      <c r="C420" s="5">
        <v>-2196802.0000000005</v>
      </c>
      <c r="D420" s="5"/>
      <c r="E420" s="5" t="str">
        <f>+IF(FINANCIACION[[#This Row],[$ CAPITAL]]&gt;=0,FINANCIACION[[#This Row],[$ CAPITAL]]+FINANCIACION[[#This Row],[$ INTERESES]],"")</f>
        <v/>
      </c>
      <c r="F420" s="5">
        <f>+SUMIFS(FINANCIACION[$ CAPITAL],FINANCIACION[Fecha],"&lt;="&amp;FINANCIACION[[#This Row],[Fecha]],FINANCIACION[PRESTAMO],FINANCIACION[[#This Row],[PRESTAMO]])</f>
        <v>-85486465.350000039</v>
      </c>
      <c r="G420" s="7"/>
      <c r="H420" s="53"/>
      <c r="I420" s="5" t="b">
        <f>IF(FINANCIACION[[#This Row],[$ CAPITAL]]&gt;0,FINANCIACION[[#This Row],[$ CAPITAL]])</f>
        <v>0</v>
      </c>
      <c r="J420" s="33">
        <f>IF(FINANCIACION[[#This Row],[$ CAPITAL]]&gt;=0,FINANCIACION[[#This Row],[$ CAPITAL]]+FINANCIACION[[#This Row],[$ INTERESES]],0)</f>
        <v>0</v>
      </c>
    </row>
    <row r="421" spans="1:10" ht="24" hidden="1" customHeight="1" x14ac:dyDescent="0.3">
      <c r="A421" s="142">
        <v>44165</v>
      </c>
      <c r="B421" s="50" t="s">
        <v>822</v>
      </c>
      <c r="C421" s="5">
        <v>-14475360.000000004</v>
      </c>
      <c r="D421" s="5"/>
      <c r="E421" s="5" t="str">
        <f>+IF(FINANCIACION[[#This Row],[$ CAPITAL]]&gt;=0,FINANCIACION[[#This Row],[$ CAPITAL]]+FINANCIACION[[#This Row],[$ INTERESES]],"")</f>
        <v/>
      </c>
      <c r="F421" s="5">
        <f>+SUMIFS(FINANCIACION[$ CAPITAL],FINANCIACION[Fecha],"&lt;="&amp;FINANCIACION[[#This Row],[Fecha]],FINANCIACION[PRESTAMO],FINANCIACION[[#This Row],[PRESTAMO]])</f>
        <v>-85486465.350000039</v>
      </c>
      <c r="G421" s="7"/>
      <c r="H421" s="53"/>
      <c r="I421" s="5" t="b">
        <f>IF(FINANCIACION[[#This Row],[$ CAPITAL]]&gt;0,FINANCIACION[[#This Row],[$ CAPITAL]])</f>
        <v>0</v>
      </c>
      <c r="J421" s="33">
        <f>IF(FINANCIACION[[#This Row],[$ CAPITAL]]&gt;=0,FINANCIACION[[#This Row],[$ CAPITAL]]+FINANCIACION[[#This Row],[$ INTERESES]],0)</f>
        <v>0</v>
      </c>
    </row>
    <row r="422" spans="1:10" ht="24" hidden="1" customHeight="1" x14ac:dyDescent="0.3">
      <c r="A422" s="142">
        <v>44165</v>
      </c>
      <c r="B422" s="50" t="s">
        <v>822</v>
      </c>
      <c r="C422" s="5">
        <v>-2496148</v>
      </c>
      <c r="D422" s="5"/>
      <c r="E422" s="5" t="str">
        <f>+IF(FINANCIACION[[#This Row],[$ CAPITAL]]&gt;=0,FINANCIACION[[#This Row],[$ CAPITAL]]+FINANCIACION[[#This Row],[$ INTERESES]],"")</f>
        <v/>
      </c>
      <c r="F422" s="5">
        <f>+SUMIFS(FINANCIACION[$ CAPITAL],FINANCIACION[Fecha],"&lt;="&amp;FINANCIACION[[#This Row],[Fecha]],FINANCIACION[PRESTAMO],FINANCIACION[[#This Row],[PRESTAMO]])</f>
        <v>-85486465.350000039</v>
      </c>
      <c r="G422" s="7"/>
      <c r="H422" s="53"/>
      <c r="I422" s="5" t="b">
        <f>IF(FINANCIACION[[#This Row],[$ CAPITAL]]&gt;0,FINANCIACION[[#This Row],[$ CAPITAL]])</f>
        <v>0</v>
      </c>
      <c r="J422" s="33">
        <f>IF(FINANCIACION[[#This Row],[$ CAPITAL]]&gt;=0,FINANCIACION[[#This Row],[$ CAPITAL]]+FINANCIACION[[#This Row],[$ INTERESES]],0)</f>
        <v>0</v>
      </c>
    </row>
    <row r="423" spans="1:10" ht="24" hidden="1" customHeight="1" x14ac:dyDescent="0.3">
      <c r="A423" s="142">
        <v>44166</v>
      </c>
      <c r="B423" s="50" t="s">
        <v>190</v>
      </c>
      <c r="C423" s="5">
        <v>-90130880</v>
      </c>
      <c r="D423" s="5"/>
      <c r="E423" s="5" t="str">
        <f>+IF(FINANCIACION[[#This Row],[$ CAPITAL]]&gt;=0,FINANCIACION[[#This Row],[$ CAPITAL]]+FINANCIACION[[#This Row],[$ INTERESES]],"")</f>
        <v/>
      </c>
      <c r="F423" s="5">
        <f>+SUMIFS(FINANCIACION[$ CAPITAL],FINANCIACION[Fecha],"&lt;="&amp;FINANCIACION[[#This Row],[Fecha]],FINANCIACION[PRESTAMO],FINANCIACION[[#This Row],[PRESTAMO]])</f>
        <v>-90130880</v>
      </c>
      <c r="G423" s="7" t="s">
        <v>226</v>
      </c>
      <c r="H423" s="53">
        <v>-25751.68</v>
      </c>
      <c r="I423" s="5" t="b">
        <f>IF(FINANCIACION[[#This Row],[$ CAPITAL]]&gt;0,FINANCIACION[[#This Row],[$ CAPITAL]])</f>
        <v>0</v>
      </c>
      <c r="J423" s="33">
        <f>IF(FINANCIACION[[#This Row],[$ CAPITAL]]&gt;=0,FINANCIACION[[#This Row],[$ CAPITAL]]+FINANCIACION[[#This Row],[$ INTERESES]],0)</f>
        <v>0</v>
      </c>
    </row>
    <row r="424" spans="1:10" ht="24" hidden="1" customHeight="1" x14ac:dyDescent="0.3">
      <c r="A424" s="142">
        <v>44167</v>
      </c>
      <c r="B424" s="50" t="s">
        <v>822</v>
      </c>
      <c r="C424" s="5">
        <v>7066420</v>
      </c>
      <c r="D424" s="5"/>
      <c r="E424" s="5">
        <f>+IF(FINANCIACION[[#This Row],[$ CAPITAL]]&gt;=0,FINANCIACION[[#This Row],[$ CAPITAL]]+FINANCIACION[[#This Row],[$ INTERESES]],"")</f>
        <v>7066420</v>
      </c>
      <c r="F424" s="5">
        <f>+SUMIFS(FINANCIACION[$ CAPITAL],FINANCIACION[Fecha],"&lt;="&amp;FINANCIACION[[#This Row],[Fecha]],FINANCIACION[PRESTAMO],FINANCIACION[[#This Row],[PRESTAMO]])</f>
        <v>-78420045.350000039</v>
      </c>
      <c r="G424" s="7"/>
      <c r="H424" s="53"/>
      <c r="I424" s="5">
        <f>IF(FINANCIACION[[#This Row],[$ CAPITAL]]&gt;0,FINANCIACION[[#This Row],[$ CAPITAL]])</f>
        <v>7066420</v>
      </c>
      <c r="J424" s="33">
        <f>IF(FINANCIACION[[#This Row],[$ CAPITAL]]&gt;=0,FINANCIACION[[#This Row],[$ CAPITAL]]+FINANCIACION[[#This Row],[$ INTERESES]],0)</f>
        <v>7066420</v>
      </c>
    </row>
    <row r="425" spans="1:10" ht="24" hidden="1" customHeight="1" x14ac:dyDescent="0.3">
      <c r="A425" s="142">
        <v>44169</v>
      </c>
      <c r="B425" s="50" t="s">
        <v>822</v>
      </c>
      <c r="C425" s="5">
        <v>990094.53</v>
      </c>
      <c r="D425" s="5">
        <v>169712.89</v>
      </c>
      <c r="E425" s="5">
        <f>+IF(FINANCIACION[[#This Row],[$ CAPITAL]]&gt;=0,FINANCIACION[[#This Row],[$ CAPITAL]]+FINANCIACION[[#This Row],[$ INTERESES]],"")</f>
        <v>1159807.42</v>
      </c>
      <c r="F425" s="5">
        <f>+SUMIFS(FINANCIACION[$ CAPITAL],FINANCIACION[Fecha],"&lt;="&amp;FINANCIACION[[#This Row],[Fecha]],FINANCIACION[PRESTAMO],FINANCIACION[[#This Row],[PRESTAMO]])</f>
        <v>-77429950.820000038</v>
      </c>
      <c r="G425" s="7"/>
      <c r="H425" s="53"/>
      <c r="I425" s="5">
        <f>IF(FINANCIACION[[#This Row],[$ CAPITAL]]&gt;0,FINANCIACION[[#This Row],[$ CAPITAL]])</f>
        <v>990094.53</v>
      </c>
      <c r="J425" s="33">
        <f>IF(FINANCIACION[[#This Row],[$ CAPITAL]]&gt;=0,FINANCIACION[[#This Row],[$ CAPITAL]]+FINANCIACION[[#This Row],[$ INTERESES]],0)</f>
        <v>1159807.42</v>
      </c>
    </row>
    <row r="426" spans="1:10" ht="24" hidden="1" customHeight="1" x14ac:dyDescent="0.3">
      <c r="A426" s="142">
        <v>44171</v>
      </c>
      <c r="B426" s="50" t="s">
        <v>191</v>
      </c>
      <c r="C426" s="5">
        <v>6326000</v>
      </c>
      <c r="D426" s="5">
        <v>662992.15</v>
      </c>
      <c r="E426" s="5">
        <f>+IF(FINANCIACION[[#This Row],[$ CAPITAL]]&gt;=0,FINANCIACION[[#This Row],[$ CAPITAL]]+FINANCIACION[[#This Row],[$ INTERESES]],"")</f>
        <v>6988992.1500000004</v>
      </c>
      <c r="F426" s="5">
        <f>+SUMIFS(FINANCIACION[$ CAPITAL],FINANCIACION[Fecha],"&lt;="&amp;FINANCIACION[[#This Row],[Fecha]],FINANCIACION[PRESTAMO],FINANCIACION[[#This Row],[PRESTAMO]])</f>
        <v>-91995126</v>
      </c>
      <c r="G426" s="7"/>
      <c r="H426" s="53"/>
      <c r="I426" s="5">
        <f>IF(FINANCIACION[[#This Row],[$ CAPITAL]]&gt;0,FINANCIACION[[#This Row],[$ CAPITAL]])</f>
        <v>6326000</v>
      </c>
      <c r="J426" s="33">
        <f>IF(FINANCIACION[[#This Row],[$ CAPITAL]]&gt;=0,FINANCIACION[[#This Row],[$ CAPITAL]]+FINANCIACION[[#This Row],[$ INTERESES]],0)</f>
        <v>6988992.1500000004</v>
      </c>
    </row>
    <row r="427" spans="1:10" ht="24" hidden="1" customHeight="1" x14ac:dyDescent="0.3">
      <c r="A427" s="142">
        <v>44172</v>
      </c>
      <c r="B427" s="50" t="s">
        <v>822</v>
      </c>
      <c r="C427" s="5">
        <v>1500000</v>
      </c>
      <c r="D427" s="5"/>
      <c r="E427" s="5">
        <f>+IF(FINANCIACION[[#This Row],[$ CAPITAL]]&gt;=0,FINANCIACION[[#This Row],[$ CAPITAL]]+FINANCIACION[[#This Row],[$ INTERESES]],"")</f>
        <v>1500000</v>
      </c>
      <c r="F427" s="5">
        <f>+SUMIFS(FINANCIACION[$ CAPITAL],FINANCIACION[Fecha],"&lt;="&amp;FINANCIACION[[#This Row],[Fecha]],FINANCIACION[PRESTAMO],FINANCIACION[[#This Row],[PRESTAMO]])</f>
        <v>-75929950.820000038</v>
      </c>
      <c r="G427" s="7"/>
      <c r="H427" s="53"/>
      <c r="I427" s="5">
        <f>IF(FINANCIACION[[#This Row],[$ CAPITAL]]&gt;0,FINANCIACION[[#This Row],[$ CAPITAL]])</f>
        <v>1500000</v>
      </c>
      <c r="J427" s="33">
        <f>IF(FINANCIACION[[#This Row],[$ CAPITAL]]&gt;=0,FINANCIACION[[#This Row],[$ CAPITAL]]+FINANCIACION[[#This Row],[$ INTERESES]],0)</f>
        <v>1500000</v>
      </c>
    </row>
    <row r="428" spans="1:10" ht="24" hidden="1" customHeight="1" x14ac:dyDescent="0.3">
      <c r="A428" s="142">
        <v>44175</v>
      </c>
      <c r="B428" s="50" t="s">
        <v>819</v>
      </c>
      <c r="C428" s="5">
        <v>1655718.33</v>
      </c>
      <c r="D428" s="5">
        <v>910181.67</v>
      </c>
      <c r="E428" s="5">
        <f>+IF(FINANCIACION[[#This Row],[$ CAPITAL]]&gt;=0,FINANCIACION[[#This Row],[$ CAPITAL]]+FINANCIACION[[#This Row],[$ INTERESES]],"")</f>
        <v>2565900</v>
      </c>
      <c r="F428" s="5">
        <f>+SUMIFS(FINANCIACION[$ CAPITAL],FINANCIACION[Fecha],"&lt;="&amp;FINANCIACION[[#This Row],[Fecha]],FINANCIACION[PRESTAMO],FINANCIACION[[#This Row],[PRESTAMO]])</f>
        <v>-89362448.670000002</v>
      </c>
      <c r="G428" s="7"/>
      <c r="H428" s="53"/>
      <c r="I428" s="5">
        <f>IF(FINANCIACION[[#This Row],[$ CAPITAL]]&gt;0,FINANCIACION[[#This Row],[$ CAPITAL]])</f>
        <v>1655718.33</v>
      </c>
      <c r="J428" s="33">
        <f>IF(FINANCIACION[[#This Row],[$ CAPITAL]]&gt;=0,FINANCIACION[[#This Row],[$ CAPITAL]]+FINANCIACION[[#This Row],[$ INTERESES]],0)</f>
        <v>2565900</v>
      </c>
    </row>
    <row r="429" spans="1:10" ht="24" hidden="1" customHeight="1" x14ac:dyDescent="0.3">
      <c r="A429" s="142">
        <v>44175</v>
      </c>
      <c r="B429" s="50" t="s">
        <v>823</v>
      </c>
      <c r="C429" s="5">
        <v>867085</v>
      </c>
      <c r="D429" s="5">
        <v>132915</v>
      </c>
      <c r="E429" s="5">
        <f>+IF(FINANCIACION[[#This Row],[$ CAPITAL]]&gt;=0,FINANCIACION[[#This Row],[$ CAPITAL]]+FINANCIACION[[#This Row],[$ INTERESES]],"")</f>
        <v>1000000</v>
      </c>
      <c r="F429" s="5">
        <f>+SUMIFS(FINANCIACION[$ CAPITAL],FINANCIACION[Fecha],"&lt;="&amp;FINANCIACION[[#This Row],[Fecha]],FINANCIACION[PRESTAMO],FINANCIACION[[#This Row],[PRESTAMO]])</f>
        <v>-12424415</v>
      </c>
      <c r="G429" s="7"/>
      <c r="H429" s="53"/>
      <c r="I429" s="5">
        <f>IF(FINANCIACION[[#This Row],[$ CAPITAL]]&gt;0,FINANCIACION[[#This Row],[$ CAPITAL]])</f>
        <v>867085</v>
      </c>
      <c r="J429" s="33">
        <f>IF(FINANCIACION[[#This Row],[$ CAPITAL]]&gt;=0,FINANCIACION[[#This Row],[$ CAPITAL]]+FINANCIACION[[#This Row],[$ INTERESES]],0)</f>
        <v>1000000</v>
      </c>
    </row>
    <row r="430" spans="1:10" ht="24" hidden="1" customHeight="1" x14ac:dyDescent="0.3">
      <c r="A430" s="142">
        <v>44175</v>
      </c>
      <c r="B430" s="50" t="s">
        <v>820</v>
      </c>
      <c r="C430" s="5">
        <v>548356.17000000004</v>
      </c>
      <c r="D430" s="5">
        <v>651643.82999999996</v>
      </c>
      <c r="E430" s="5">
        <f>+IF(FINANCIACION[[#This Row],[$ CAPITAL]]&gt;=0,FINANCIACION[[#This Row],[$ CAPITAL]]+FINANCIACION[[#This Row],[$ INTERESES]],"")</f>
        <v>1200000</v>
      </c>
      <c r="F430" s="5">
        <f>+SUMIFS(FINANCIACION[$ CAPITAL],FINANCIACION[Fecha],"&lt;="&amp;FINANCIACION[[#This Row],[Fecha]],FINANCIACION[PRESTAMO],FINANCIACION[[#This Row],[PRESTAMO]])</f>
        <v>-64616026.93</v>
      </c>
      <c r="G430" s="7"/>
      <c r="H430" s="53"/>
      <c r="I430" s="5">
        <f>IF(FINANCIACION[[#This Row],[$ CAPITAL]]&gt;0,FINANCIACION[[#This Row],[$ CAPITAL]])</f>
        <v>548356.17000000004</v>
      </c>
      <c r="J430" s="33">
        <f>IF(FINANCIACION[[#This Row],[$ CAPITAL]]&gt;=0,FINANCIACION[[#This Row],[$ CAPITAL]]+FINANCIACION[[#This Row],[$ INTERESES]],0)</f>
        <v>1200000</v>
      </c>
    </row>
    <row r="431" spans="1:10" ht="24" hidden="1" customHeight="1" x14ac:dyDescent="0.3">
      <c r="A431" s="142">
        <v>44180</v>
      </c>
      <c r="B431" s="50" t="s">
        <v>822</v>
      </c>
      <c r="C431" s="5">
        <v>500000</v>
      </c>
      <c r="D431" s="5"/>
      <c r="E431" s="5">
        <f>+IF(FINANCIACION[[#This Row],[$ CAPITAL]]&gt;=0,FINANCIACION[[#This Row],[$ CAPITAL]]+FINANCIACION[[#This Row],[$ INTERESES]],"")</f>
        <v>500000</v>
      </c>
      <c r="F431" s="5">
        <f>+SUMIFS(FINANCIACION[$ CAPITAL],FINANCIACION[Fecha],"&lt;="&amp;FINANCIACION[[#This Row],[Fecha]],FINANCIACION[PRESTAMO],FINANCIACION[[#This Row],[PRESTAMO]])</f>
        <v>-70280145.820000038</v>
      </c>
      <c r="G431" s="7"/>
      <c r="H431" s="53"/>
      <c r="I431" s="5">
        <f>IF(FINANCIACION[[#This Row],[$ CAPITAL]]&gt;0,FINANCIACION[[#This Row],[$ CAPITAL]])</f>
        <v>500000</v>
      </c>
      <c r="J431" s="33">
        <f>IF(FINANCIACION[[#This Row],[$ CAPITAL]]&gt;=0,FINANCIACION[[#This Row],[$ CAPITAL]]+FINANCIACION[[#This Row],[$ INTERESES]],0)</f>
        <v>500000</v>
      </c>
    </row>
    <row r="432" spans="1:10" ht="24" hidden="1" customHeight="1" x14ac:dyDescent="0.3">
      <c r="A432" s="142">
        <v>44180</v>
      </c>
      <c r="B432" s="50" t="s">
        <v>822</v>
      </c>
      <c r="C432" s="5">
        <v>722835</v>
      </c>
      <c r="D432" s="5"/>
      <c r="E432" s="5">
        <f>+IF(FINANCIACION[[#This Row],[$ CAPITAL]]&gt;=0,FINANCIACION[[#This Row],[$ CAPITAL]]+FINANCIACION[[#This Row],[$ INTERESES]],"")</f>
        <v>722835</v>
      </c>
      <c r="F432" s="5">
        <f>+SUMIFS(FINANCIACION[$ CAPITAL],FINANCIACION[Fecha],"&lt;="&amp;FINANCIACION[[#This Row],[Fecha]],FINANCIACION[PRESTAMO],FINANCIACION[[#This Row],[PRESTAMO]])</f>
        <v>-70280145.820000038</v>
      </c>
      <c r="G432" s="7"/>
      <c r="H432" s="53"/>
      <c r="I432" s="5">
        <f>IF(FINANCIACION[[#This Row],[$ CAPITAL]]&gt;0,FINANCIACION[[#This Row],[$ CAPITAL]])</f>
        <v>722835</v>
      </c>
      <c r="J432" s="33">
        <f>IF(FINANCIACION[[#This Row],[$ CAPITAL]]&gt;=0,FINANCIACION[[#This Row],[$ CAPITAL]]+FINANCIACION[[#This Row],[$ INTERESES]],0)</f>
        <v>722835</v>
      </c>
    </row>
    <row r="433" spans="1:16" ht="24" hidden="1" customHeight="1" x14ac:dyDescent="0.3">
      <c r="A433" s="142">
        <v>44180</v>
      </c>
      <c r="B433" s="50" t="s">
        <v>822</v>
      </c>
      <c r="C433" s="5">
        <v>1000000</v>
      </c>
      <c r="D433" s="5"/>
      <c r="E433" s="5">
        <f>+IF(FINANCIACION[[#This Row],[$ CAPITAL]]&gt;=0,FINANCIACION[[#This Row],[$ CAPITAL]]+FINANCIACION[[#This Row],[$ INTERESES]],"")</f>
        <v>1000000</v>
      </c>
      <c r="F433" s="5">
        <f>+SUMIFS(FINANCIACION[$ CAPITAL],FINANCIACION[Fecha],"&lt;="&amp;FINANCIACION[[#This Row],[Fecha]],FINANCIACION[PRESTAMO],FINANCIACION[[#This Row],[PRESTAMO]])</f>
        <v>-70280145.820000038</v>
      </c>
      <c r="G433" s="7"/>
      <c r="H433" s="53"/>
      <c r="I433" s="5">
        <f>IF(FINANCIACION[[#This Row],[$ CAPITAL]]&gt;0,FINANCIACION[[#This Row],[$ CAPITAL]])</f>
        <v>1000000</v>
      </c>
      <c r="J433" s="33">
        <f>IF(FINANCIACION[[#This Row],[$ CAPITAL]]&gt;=0,FINANCIACION[[#This Row],[$ CAPITAL]]+FINANCIACION[[#This Row],[$ INTERESES]],0)</f>
        <v>1000000</v>
      </c>
    </row>
    <row r="434" spans="1:16" ht="24" hidden="1" customHeight="1" x14ac:dyDescent="0.3">
      <c r="A434" s="142">
        <v>44180</v>
      </c>
      <c r="B434" s="50" t="s">
        <v>822</v>
      </c>
      <c r="C434" s="5">
        <v>3426970</v>
      </c>
      <c r="D434" s="5"/>
      <c r="E434" s="5">
        <f>+IF(FINANCIACION[[#This Row],[$ CAPITAL]]&gt;=0,FINANCIACION[[#This Row],[$ CAPITAL]]+FINANCIACION[[#This Row],[$ INTERESES]],"")</f>
        <v>3426970</v>
      </c>
      <c r="F434" s="5">
        <f>+SUMIFS(FINANCIACION[$ CAPITAL],FINANCIACION[Fecha],"&lt;="&amp;FINANCIACION[[#This Row],[Fecha]],FINANCIACION[PRESTAMO],FINANCIACION[[#This Row],[PRESTAMO]])</f>
        <v>-70280145.820000038</v>
      </c>
      <c r="G434" s="7"/>
      <c r="H434" s="53"/>
      <c r="I434" s="5">
        <f>IF(FINANCIACION[[#This Row],[$ CAPITAL]]&gt;0,FINANCIACION[[#This Row],[$ CAPITAL]])</f>
        <v>3426970</v>
      </c>
      <c r="J434" s="33">
        <f>IF(FINANCIACION[[#This Row],[$ CAPITAL]]&gt;=0,FINANCIACION[[#This Row],[$ CAPITAL]]+FINANCIACION[[#This Row],[$ INTERESES]],0)</f>
        <v>3426970</v>
      </c>
    </row>
    <row r="435" spans="1:16" ht="24" hidden="1" customHeight="1" x14ac:dyDescent="0.3">
      <c r="A435" s="142">
        <v>44183</v>
      </c>
      <c r="B435" s="50" t="s">
        <v>822</v>
      </c>
      <c r="C435" s="5">
        <v>1000000</v>
      </c>
      <c r="D435" s="5"/>
      <c r="E435" s="5">
        <f>+IF(FINANCIACION[[#This Row],[$ CAPITAL]]&gt;=0,FINANCIACION[[#This Row],[$ CAPITAL]]+FINANCIACION[[#This Row],[$ INTERESES]],"")</f>
        <v>1000000</v>
      </c>
      <c r="F435" s="5">
        <f>+SUMIFS(FINANCIACION[$ CAPITAL],FINANCIACION[Fecha],"&lt;="&amp;FINANCIACION[[#This Row],[Fecha]],FINANCIACION[PRESTAMO],FINANCIACION[[#This Row],[PRESTAMO]])</f>
        <v>-69280145.820000038</v>
      </c>
      <c r="G435" s="7"/>
      <c r="H435" s="53"/>
      <c r="I435" s="5">
        <f>IF(FINANCIACION[[#This Row],[$ CAPITAL]]&gt;0,FINANCIACION[[#This Row],[$ CAPITAL]])</f>
        <v>1000000</v>
      </c>
      <c r="J435" s="33">
        <f>IF(FINANCIACION[[#This Row],[$ CAPITAL]]&gt;=0,FINANCIACION[[#This Row],[$ CAPITAL]]+FINANCIACION[[#This Row],[$ INTERESES]],0)</f>
        <v>1000000</v>
      </c>
    </row>
    <row r="436" spans="1:16" ht="24" hidden="1" customHeight="1" x14ac:dyDescent="0.3">
      <c r="A436" s="142">
        <v>44184</v>
      </c>
      <c r="B436" s="50" t="s">
        <v>822</v>
      </c>
      <c r="C436" s="5">
        <v>2000000</v>
      </c>
      <c r="D436" s="5"/>
      <c r="E436" s="5">
        <f>+IF(FINANCIACION[[#This Row],[$ CAPITAL]]&gt;=0,FINANCIACION[[#This Row],[$ CAPITAL]]+FINANCIACION[[#This Row],[$ INTERESES]],"")</f>
        <v>2000000</v>
      </c>
      <c r="F436" s="5">
        <f>+SUMIFS(FINANCIACION[$ CAPITAL],FINANCIACION[Fecha],"&lt;="&amp;FINANCIACION[[#This Row],[Fecha]],FINANCIACION[PRESTAMO],FINANCIACION[[#This Row],[PRESTAMO]])</f>
        <v>-67280145.820000038</v>
      </c>
      <c r="G436" s="7"/>
      <c r="H436" s="53"/>
      <c r="I436" s="5">
        <f>IF(FINANCIACION[[#This Row],[$ CAPITAL]]&gt;0,FINANCIACION[[#This Row],[$ CAPITAL]])</f>
        <v>2000000</v>
      </c>
      <c r="J436" s="33">
        <f>IF(FINANCIACION[[#This Row],[$ CAPITAL]]&gt;=0,FINANCIACION[[#This Row],[$ CAPITAL]]+FINANCIACION[[#This Row],[$ INTERESES]],0)</f>
        <v>2000000</v>
      </c>
    </row>
    <row r="437" spans="1:16" ht="24" hidden="1" customHeight="1" x14ac:dyDescent="0.3">
      <c r="A437" s="142">
        <v>44185</v>
      </c>
      <c r="B437" s="50" t="s">
        <v>822</v>
      </c>
      <c r="C437" s="5">
        <v>2000000</v>
      </c>
      <c r="D437" s="5"/>
      <c r="E437" s="5">
        <f>+IF(FINANCIACION[[#This Row],[$ CAPITAL]]&gt;=0,FINANCIACION[[#This Row],[$ CAPITAL]]+FINANCIACION[[#This Row],[$ INTERESES]],"")</f>
        <v>2000000</v>
      </c>
      <c r="F437" s="5">
        <f>+SUMIFS(FINANCIACION[$ CAPITAL],FINANCIACION[Fecha],"&lt;="&amp;FINANCIACION[[#This Row],[Fecha]],FINANCIACION[PRESTAMO],FINANCIACION[[#This Row],[PRESTAMO]])</f>
        <v>-65280145.820000038</v>
      </c>
      <c r="G437" s="7"/>
      <c r="H437" s="53"/>
      <c r="I437" s="5">
        <f>IF(FINANCIACION[[#This Row],[$ CAPITAL]]&gt;0,FINANCIACION[[#This Row],[$ CAPITAL]])</f>
        <v>2000000</v>
      </c>
      <c r="J437" s="33">
        <f>IF(FINANCIACION[[#This Row],[$ CAPITAL]]&gt;=0,FINANCIACION[[#This Row],[$ CAPITAL]]+FINANCIACION[[#This Row],[$ INTERESES]],0)</f>
        <v>2000000</v>
      </c>
    </row>
    <row r="438" spans="1:16" ht="24" hidden="1" customHeight="1" x14ac:dyDescent="0.3">
      <c r="A438" s="142">
        <v>44187</v>
      </c>
      <c r="B438" s="50" t="s">
        <v>827</v>
      </c>
      <c r="C438" s="5">
        <v>500000</v>
      </c>
      <c r="D438" s="5"/>
      <c r="E438" s="5">
        <f>+IF(FINANCIACION[[#This Row],[$ CAPITAL]]&gt;=0,FINANCIACION[[#This Row],[$ CAPITAL]]+FINANCIACION[[#This Row],[$ INTERESES]],"")</f>
        <v>500000</v>
      </c>
      <c r="F438" s="5">
        <f>+SUMIFS(FINANCIACION[$ CAPITAL],FINANCIACION[Fecha],"&lt;="&amp;FINANCIACION[[#This Row],[Fecha]],FINANCIACION[PRESTAMO],FINANCIACION[[#This Row],[PRESTAMO]])</f>
        <v>-25384693.530000001</v>
      </c>
      <c r="G438" s="7"/>
      <c r="H438" s="53"/>
      <c r="I438" s="5">
        <f>IF(FINANCIACION[[#This Row],[$ CAPITAL]]&gt;0,FINANCIACION[[#This Row],[$ CAPITAL]])</f>
        <v>500000</v>
      </c>
      <c r="J438" s="33">
        <f>IF(FINANCIACION[[#This Row],[$ CAPITAL]]&gt;=0,FINANCIACION[[#This Row],[$ CAPITAL]]+FINANCIACION[[#This Row],[$ INTERESES]],0)</f>
        <v>500000</v>
      </c>
    </row>
    <row r="439" spans="1:16" ht="24" hidden="1" customHeight="1" x14ac:dyDescent="0.3">
      <c r="A439" s="142">
        <v>44187</v>
      </c>
      <c r="B439" s="50" t="s">
        <v>829</v>
      </c>
      <c r="C439" s="5">
        <v>500000</v>
      </c>
      <c r="D439" s="5"/>
      <c r="E439" s="5">
        <f>+IF(FINANCIACION[[#This Row],[$ CAPITAL]]&gt;=0,FINANCIACION[[#This Row],[$ CAPITAL]]+FINANCIACION[[#This Row],[$ INTERESES]],"")</f>
        <v>500000</v>
      </c>
      <c r="F439" s="5">
        <f>+SUMIFS(FINANCIACION[$ CAPITAL],FINANCIACION[Fecha],"&lt;="&amp;FINANCIACION[[#This Row],[Fecha]],FINANCIACION[PRESTAMO],FINANCIACION[[#This Row],[PRESTAMO]])</f>
        <v>-26621357.289999999</v>
      </c>
      <c r="G439" s="7"/>
      <c r="H439" s="53"/>
      <c r="I439" s="5">
        <f>IF(FINANCIACION[[#This Row],[$ CAPITAL]]&gt;0,FINANCIACION[[#This Row],[$ CAPITAL]])</f>
        <v>500000</v>
      </c>
      <c r="J439" s="33">
        <f>IF(FINANCIACION[[#This Row],[$ CAPITAL]]&gt;=0,FINANCIACION[[#This Row],[$ CAPITAL]]+FINANCIACION[[#This Row],[$ INTERESES]],0)</f>
        <v>500000</v>
      </c>
    </row>
    <row r="440" spans="1:16" ht="24" hidden="1" customHeight="1" x14ac:dyDescent="0.3">
      <c r="A440" s="142">
        <v>44187</v>
      </c>
      <c r="B440" s="50" t="s">
        <v>826</v>
      </c>
      <c r="C440" s="5">
        <v>1000000</v>
      </c>
      <c r="D440" s="5"/>
      <c r="E440" s="5">
        <f>+IF(FINANCIACION[[#This Row],[$ CAPITAL]]&gt;=0,FINANCIACION[[#This Row],[$ CAPITAL]]+FINANCIACION[[#This Row],[$ INTERESES]],"")</f>
        <v>1000000</v>
      </c>
      <c r="F440" s="5">
        <f>+SUMIFS(FINANCIACION[$ CAPITAL],FINANCIACION[Fecha],"&lt;="&amp;FINANCIACION[[#This Row],[Fecha]],FINANCIACION[PRESTAMO],FINANCIACION[[#This Row],[PRESTAMO]])</f>
        <v>-94116654.469999999</v>
      </c>
      <c r="G440" s="7"/>
      <c r="H440" s="53"/>
      <c r="I440" s="5">
        <f>IF(FINANCIACION[[#This Row],[$ CAPITAL]]&gt;0,FINANCIACION[[#This Row],[$ CAPITAL]])</f>
        <v>1000000</v>
      </c>
      <c r="J440" s="33">
        <f>IF(FINANCIACION[[#This Row],[$ CAPITAL]]&gt;=0,FINANCIACION[[#This Row],[$ CAPITAL]]+FINANCIACION[[#This Row],[$ INTERESES]],0)</f>
        <v>1000000</v>
      </c>
    </row>
    <row r="441" spans="1:16" ht="24" hidden="1" customHeight="1" x14ac:dyDescent="0.3">
      <c r="A441" s="142">
        <v>44187</v>
      </c>
      <c r="B441" s="50" t="s">
        <v>821</v>
      </c>
      <c r="C441" s="5">
        <v>5215587</v>
      </c>
      <c r="D441" s="5"/>
      <c r="E441" s="5">
        <f>+IF(FINANCIACION[[#This Row],[$ CAPITAL]]&gt;=0,FINANCIACION[[#This Row],[$ CAPITAL]]+FINANCIACION[[#This Row],[$ INTERESES]],"")</f>
        <v>5215587</v>
      </c>
      <c r="F441" s="5">
        <f>+SUMIFS(FINANCIACION[$ CAPITAL],FINANCIACION[Fecha],"&lt;="&amp;FINANCIACION[[#This Row],[Fecha]],FINANCIACION[PRESTAMO],FINANCIACION[[#This Row],[PRESTAMO]])</f>
        <v>-391780283</v>
      </c>
      <c r="G441" s="7"/>
      <c r="H441" s="53"/>
      <c r="I441" s="5">
        <f>IF(FINANCIACION[[#This Row],[$ CAPITAL]]&gt;0,FINANCIACION[[#This Row],[$ CAPITAL]])</f>
        <v>5215587</v>
      </c>
      <c r="J441" s="33">
        <f>IF(FINANCIACION[[#This Row],[$ CAPITAL]]&gt;=0,FINANCIACION[[#This Row],[$ CAPITAL]]+FINANCIACION[[#This Row],[$ INTERESES]],0)</f>
        <v>5215587</v>
      </c>
    </row>
    <row r="442" spans="1:16" ht="24" hidden="1" customHeight="1" x14ac:dyDescent="0.3">
      <c r="A442" s="142">
        <v>44187</v>
      </c>
      <c r="B442" s="50" t="s">
        <v>822</v>
      </c>
      <c r="C442" s="5">
        <v>2000000</v>
      </c>
      <c r="D442" s="5"/>
      <c r="E442" s="5">
        <f>+IF(FINANCIACION[[#This Row],[$ CAPITAL]]&gt;=0,FINANCIACION[[#This Row],[$ CAPITAL]]+FINANCIACION[[#This Row],[$ INTERESES]],"")</f>
        <v>2000000</v>
      </c>
      <c r="F442" s="5">
        <f>+SUMIFS(FINANCIACION[$ CAPITAL],FINANCIACION[Fecha],"&lt;="&amp;FINANCIACION[[#This Row],[Fecha]],FINANCIACION[PRESTAMO],FINANCIACION[[#This Row],[PRESTAMO]])</f>
        <v>-58837735.820000038</v>
      </c>
      <c r="G442" s="7"/>
      <c r="H442" s="53"/>
      <c r="I442" s="5">
        <f>IF(FINANCIACION[[#This Row],[$ CAPITAL]]&gt;0,FINANCIACION[[#This Row],[$ CAPITAL]])</f>
        <v>2000000</v>
      </c>
      <c r="J442" s="33">
        <f>IF(FINANCIACION[[#This Row],[$ CAPITAL]]&gt;=0,FINANCIACION[[#This Row],[$ CAPITAL]]+FINANCIACION[[#This Row],[$ INTERESES]],0)</f>
        <v>2000000</v>
      </c>
      <c r="K442" s="10"/>
      <c r="N442" s="6"/>
      <c r="O442" s="9"/>
      <c r="P442" s="8"/>
    </row>
    <row r="443" spans="1:16" ht="24" hidden="1" customHeight="1" x14ac:dyDescent="0.3">
      <c r="A443" s="142">
        <v>44187</v>
      </c>
      <c r="B443" s="50" t="s">
        <v>822</v>
      </c>
      <c r="C443" s="5">
        <v>500000</v>
      </c>
      <c r="D443" s="5"/>
      <c r="E443" s="5">
        <f>+IF(FINANCIACION[[#This Row],[$ CAPITAL]]&gt;=0,FINANCIACION[[#This Row],[$ CAPITAL]]+FINANCIACION[[#This Row],[$ INTERESES]],"")</f>
        <v>500000</v>
      </c>
      <c r="F443" s="5">
        <f>+SUMIFS(FINANCIACION[$ CAPITAL],FINANCIACION[Fecha],"&lt;="&amp;FINANCIACION[[#This Row],[Fecha]],FINANCIACION[PRESTAMO],FINANCIACION[[#This Row],[PRESTAMO]])</f>
        <v>-58837735.820000038</v>
      </c>
      <c r="G443" s="7"/>
      <c r="H443" s="53"/>
      <c r="I443" s="5">
        <f>IF(FINANCIACION[[#This Row],[$ CAPITAL]]&gt;0,FINANCIACION[[#This Row],[$ CAPITAL]])</f>
        <v>500000</v>
      </c>
      <c r="J443" s="33">
        <f>IF(FINANCIACION[[#This Row],[$ CAPITAL]]&gt;=0,FINANCIACION[[#This Row],[$ CAPITAL]]+FINANCIACION[[#This Row],[$ INTERESES]],0)</f>
        <v>500000</v>
      </c>
      <c r="K443" s="10"/>
      <c r="N443" s="6"/>
      <c r="O443" s="9"/>
      <c r="P443" s="8"/>
    </row>
    <row r="444" spans="1:16" ht="24" hidden="1" customHeight="1" x14ac:dyDescent="0.3">
      <c r="A444" s="142">
        <v>44187</v>
      </c>
      <c r="B444" s="50" t="s">
        <v>822</v>
      </c>
      <c r="C444" s="5">
        <v>3442410</v>
      </c>
      <c r="D444" s="5"/>
      <c r="E444" s="5">
        <f>+IF(FINANCIACION[[#This Row],[$ CAPITAL]]&gt;=0,FINANCIACION[[#This Row],[$ CAPITAL]]+FINANCIACION[[#This Row],[$ INTERESES]],"")</f>
        <v>3442410</v>
      </c>
      <c r="F444" s="5">
        <f>+SUMIFS(FINANCIACION[$ CAPITAL],FINANCIACION[Fecha],"&lt;="&amp;FINANCIACION[[#This Row],[Fecha]],FINANCIACION[PRESTAMO],FINANCIACION[[#This Row],[PRESTAMO]])</f>
        <v>-58837735.820000038</v>
      </c>
      <c r="G444" s="7"/>
      <c r="H444" s="53"/>
      <c r="I444" s="5">
        <f>IF(FINANCIACION[[#This Row],[$ CAPITAL]]&gt;0,FINANCIACION[[#This Row],[$ CAPITAL]])</f>
        <v>3442410</v>
      </c>
      <c r="J444" s="33">
        <f>IF(FINANCIACION[[#This Row],[$ CAPITAL]]&gt;=0,FINANCIACION[[#This Row],[$ CAPITAL]]+FINANCIACION[[#This Row],[$ INTERESES]],0)</f>
        <v>3442410</v>
      </c>
      <c r="K444" s="10"/>
      <c r="N444" s="6"/>
      <c r="O444" s="9"/>
      <c r="P444" s="8"/>
    </row>
    <row r="445" spans="1:16" ht="24" hidden="1" customHeight="1" x14ac:dyDescent="0.3">
      <c r="A445" s="142">
        <v>44187</v>
      </c>
      <c r="B445" s="50" t="s">
        <v>822</v>
      </c>
      <c r="C445" s="5">
        <v>500000</v>
      </c>
      <c r="D445" s="5"/>
      <c r="E445" s="5">
        <f>+IF(FINANCIACION[[#This Row],[$ CAPITAL]]&gt;=0,FINANCIACION[[#This Row],[$ CAPITAL]]+FINANCIACION[[#This Row],[$ INTERESES]],"")</f>
        <v>500000</v>
      </c>
      <c r="F445" s="5">
        <f>+SUMIFS(FINANCIACION[$ CAPITAL],FINANCIACION[Fecha],"&lt;="&amp;FINANCIACION[[#This Row],[Fecha]],FINANCIACION[PRESTAMO],FINANCIACION[[#This Row],[PRESTAMO]])</f>
        <v>-58837735.820000038</v>
      </c>
      <c r="G445" s="7"/>
      <c r="H445" s="53"/>
      <c r="I445" s="5">
        <f>IF(FINANCIACION[[#This Row],[$ CAPITAL]]&gt;0,FINANCIACION[[#This Row],[$ CAPITAL]])</f>
        <v>500000</v>
      </c>
      <c r="J445" s="33">
        <f>IF(FINANCIACION[[#This Row],[$ CAPITAL]]&gt;=0,FINANCIACION[[#This Row],[$ CAPITAL]]+FINANCIACION[[#This Row],[$ INTERESES]],0)</f>
        <v>500000</v>
      </c>
      <c r="K445" s="10"/>
      <c r="N445" s="6"/>
      <c r="O445" s="9"/>
      <c r="P445" s="8"/>
    </row>
    <row r="446" spans="1:16" ht="24" hidden="1" customHeight="1" x14ac:dyDescent="0.3">
      <c r="A446" s="142">
        <v>44189</v>
      </c>
      <c r="B446" s="50" t="s">
        <v>822</v>
      </c>
      <c r="C446" s="5"/>
      <c r="D446" s="5">
        <v>75000</v>
      </c>
      <c r="E446" s="5">
        <f>+IF(FINANCIACION[[#This Row],[$ CAPITAL]]&gt;=0,FINANCIACION[[#This Row],[$ CAPITAL]]+FINANCIACION[[#This Row],[$ INTERESES]],"")</f>
        <v>75000</v>
      </c>
      <c r="F446" s="5">
        <f>+SUMIFS(FINANCIACION[$ CAPITAL],FINANCIACION[Fecha],"&lt;="&amp;FINANCIACION[[#This Row],[Fecha]],FINANCIACION[PRESTAMO],FINANCIACION[[#This Row],[PRESTAMO]])</f>
        <v>-54435225.820000038</v>
      </c>
      <c r="G446" s="7"/>
      <c r="H446" s="53"/>
      <c r="I446" s="5" t="b">
        <f>IF(FINANCIACION[[#This Row],[$ CAPITAL]]&gt;0,FINANCIACION[[#This Row],[$ CAPITAL]])</f>
        <v>0</v>
      </c>
      <c r="J446" s="33">
        <f>IF(FINANCIACION[[#This Row],[$ CAPITAL]]&gt;=0,FINANCIACION[[#This Row],[$ CAPITAL]]+FINANCIACION[[#This Row],[$ INTERESES]],0)</f>
        <v>75000</v>
      </c>
      <c r="K446" s="10"/>
      <c r="N446" s="6"/>
      <c r="O446" s="9"/>
      <c r="P446" s="8"/>
    </row>
    <row r="447" spans="1:16" ht="24" hidden="1" customHeight="1" x14ac:dyDescent="0.3">
      <c r="A447" s="142">
        <v>44189</v>
      </c>
      <c r="B447" s="50" t="s">
        <v>822</v>
      </c>
      <c r="C447" s="5">
        <v>500000</v>
      </c>
      <c r="D447" s="5"/>
      <c r="E447" s="5">
        <f>+IF(FINANCIACION[[#This Row],[$ CAPITAL]]&gt;=0,FINANCIACION[[#This Row],[$ CAPITAL]]+FINANCIACION[[#This Row],[$ INTERESES]],"")</f>
        <v>500000</v>
      </c>
      <c r="F447" s="5">
        <f>+SUMIFS(FINANCIACION[$ CAPITAL],FINANCIACION[Fecha],"&lt;="&amp;FINANCIACION[[#This Row],[Fecha]],FINANCIACION[PRESTAMO],FINANCIACION[[#This Row],[PRESTAMO]])</f>
        <v>-54435225.820000038</v>
      </c>
      <c r="G447" s="7"/>
      <c r="H447" s="53"/>
      <c r="I447" s="5">
        <f>IF(FINANCIACION[[#This Row],[$ CAPITAL]]&gt;0,FINANCIACION[[#This Row],[$ CAPITAL]])</f>
        <v>500000</v>
      </c>
      <c r="J447" s="33">
        <f>IF(FINANCIACION[[#This Row],[$ CAPITAL]]&gt;=0,FINANCIACION[[#This Row],[$ CAPITAL]]+FINANCIACION[[#This Row],[$ INTERESES]],0)</f>
        <v>500000</v>
      </c>
      <c r="K447" s="10"/>
      <c r="N447" s="6"/>
      <c r="O447" s="9"/>
      <c r="P447" s="8"/>
    </row>
    <row r="448" spans="1:16" ht="24" hidden="1" customHeight="1" x14ac:dyDescent="0.3">
      <c r="A448" s="142">
        <v>44189</v>
      </c>
      <c r="B448" s="50" t="s">
        <v>822</v>
      </c>
      <c r="C448" s="5">
        <v>3402510</v>
      </c>
      <c r="D448" s="5"/>
      <c r="E448" s="5">
        <f>+IF(FINANCIACION[[#This Row],[$ CAPITAL]]&gt;=0,FINANCIACION[[#This Row],[$ CAPITAL]]+FINANCIACION[[#This Row],[$ INTERESES]],"")</f>
        <v>3402510</v>
      </c>
      <c r="F448" s="5">
        <f>+SUMIFS(FINANCIACION[$ CAPITAL],FINANCIACION[Fecha],"&lt;="&amp;FINANCIACION[[#This Row],[Fecha]],FINANCIACION[PRESTAMO],FINANCIACION[[#This Row],[PRESTAMO]])</f>
        <v>-54435225.820000038</v>
      </c>
      <c r="G448" s="7"/>
      <c r="H448" s="53"/>
      <c r="I448" s="5">
        <f>IF(FINANCIACION[[#This Row],[$ CAPITAL]]&gt;0,FINANCIACION[[#This Row],[$ CAPITAL]])</f>
        <v>3402510</v>
      </c>
      <c r="J448" s="33">
        <f>IF(FINANCIACION[[#This Row],[$ CAPITAL]]&gt;=0,FINANCIACION[[#This Row],[$ CAPITAL]]+FINANCIACION[[#This Row],[$ INTERESES]],0)</f>
        <v>3402510</v>
      </c>
      <c r="K448" s="10"/>
      <c r="N448" s="6"/>
      <c r="O448" s="9"/>
      <c r="P448" s="8"/>
    </row>
    <row r="449" spans="1:16" ht="24" hidden="1" customHeight="1" x14ac:dyDescent="0.3">
      <c r="A449" s="142">
        <v>44189</v>
      </c>
      <c r="B449" s="50" t="s">
        <v>822</v>
      </c>
      <c r="C449" s="5">
        <v>500000</v>
      </c>
      <c r="D449" s="5"/>
      <c r="E449" s="5">
        <f>+IF(FINANCIACION[[#This Row],[$ CAPITAL]]&gt;=0,FINANCIACION[[#This Row],[$ CAPITAL]]+FINANCIACION[[#This Row],[$ INTERESES]],"")</f>
        <v>500000</v>
      </c>
      <c r="F449" s="5">
        <f>+SUMIFS(FINANCIACION[$ CAPITAL],FINANCIACION[Fecha],"&lt;="&amp;FINANCIACION[[#This Row],[Fecha]],FINANCIACION[PRESTAMO],FINANCIACION[[#This Row],[PRESTAMO]])</f>
        <v>-54435225.820000038</v>
      </c>
      <c r="G449" s="7"/>
      <c r="H449" s="53"/>
      <c r="I449" s="5">
        <f>IF(FINANCIACION[[#This Row],[$ CAPITAL]]&gt;0,FINANCIACION[[#This Row],[$ CAPITAL]])</f>
        <v>500000</v>
      </c>
      <c r="J449" s="33">
        <f>IF(FINANCIACION[[#This Row],[$ CAPITAL]]&gt;=0,FINANCIACION[[#This Row],[$ CAPITAL]]+FINANCIACION[[#This Row],[$ INTERESES]],0)</f>
        <v>500000</v>
      </c>
      <c r="K449" s="10"/>
      <c r="N449" s="6"/>
      <c r="O449" s="9"/>
      <c r="P449" s="8"/>
    </row>
    <row r="450" spans="1:16" ht="24" hidden="1" customHeight="1" x14ac:dyDescent="0.3">
      <c r="A450" s="142">
        <v>44191</v>
      </c>
      <c r="B450" s="50" t="s">
        <v>824</v>
      </c>
      <c r="C450" s="5"/>
      <c r="D450" s="5">
        <v>6750000</v>
      </c>
      <c r="E450" s="5">
        <f>+IF(FINANCIACION[[#This Row],[$ CAPITAL]]&gt;=0,FINANCIACION[[#This Row],[$ CAPITAL]]+FINANCIACION[[#This Row],[$ INTERESES]],"")</f>
        <v>6750000</v>
      </c>
      <c r="F450" s="5">
        <f>+SUMIFS(FINANCIACION[$ CAPITAL],FINANCIACION[Fecha],"&lt;="&amp;FINANCIACION[[#This Row],[Fecha]],FINANCIACION[PRESTAMO],FINANCIACION[[#This Row],[PRESTAMO]])</f>
        <v>-75000000</v>
      </c>
      <c r="G450" s="7"/>
      <c r="H450" s="53"/>
      <c r="I450" s="5" t="b">
        <f>IF(FINANCIACION[[#This Row],[$ CAPITAL]]&gt;0,FINANCIACION[[#This Row],[$ CAPITAL]])</f>
        <v>0</v>
      </c>
      <c r="J450" s="33">
        <f>IF(FINANCIACION[[#This Row],[$ CAPITAL]]&gt;=0,FINANCIACION[[#This Row],[$ CAPITAL]]+FINANCIACION[[#This Row],[$ INTERESES]],0)</f>
        <v>6750000</v>
      </c>
      <c r="K450" s="10"/>
      <c r="N450" s="6"/>
      <c r="O450" s="9"/>
      <c r="P450" s="8"/>
    </row>
    <row r="451" spans="1:16" ht="24" hidden="1" customHeight="1" x14ac:dyDescent="0.3">
      <c r="A451" s="142">
        <v>44193</v>
      </c>
      <c r="B451" s="50" t="s">
        <v>822</v>
      </c>
      <c r="C451" s="5">
        <v>3493770</v>
      </c>
      <c r="D451" s="5"/>
      <c r="E451" s="5">
        <f>+IF(FINANCIACION[[#This Row],[$ CAPITAL]]&gt;=0,FINANCIACION[[#This Row],[$ CAPITAL]]+FINANCIACION[[#This Row],[$ INTERESES]],"")</f>
        <v>3493770</v>
      </c>
      <c r="F451" s="5">
        <f>+SUMIFS(FINANCIACION[$ CAPITAL],FINANCIACION[Fecha],"&lt;="&amp;FINANCIACION[[#This Row],[Fecha]],FINANCIACION[PRESTAMO],FINANCIACION[[#This Row],[PRESTAMO]])</f>
        <v>-50390160.820000038</v>
      </c>
      <c r="G451" s="7"/>
      <c r="H451" s="53"/>
      <c r="I451" s="5">
        <f>IF(FINANCIACION[[#This Row],[$ CAPITAL]]&gt;0,FINANCIACION[[#This Row],[$ CAPITAL]])</f>
        <v>3493770</v>
      </c>
      <c r="J451" s="33">
        <f>IF(FINANCIACION[[#This Row],[$ CAPITAL]]&gt;=0,FINANCIACION[[#This Row],[$ CAPITAL]]+FINANCIACION[[#This Row],[$ INTERESES]],0)</f>
        <v>3493770</v>
      </c>
      <c r="K451" s="10"/>
      <c r="N451" s="6"/>
      <c r="O451" s="9"/>
      <c r="P451" s="8"/>
    </row>
    <row r="452" spans="1:16" ht="24" hidden="1" customHeight="1" x14ac:dyDescent="0.3">
      <c r="A452" s="142">
        <v>44193</v>
      </c>
      <c r="B452" s="50" t="s">
        <v>822</v>
      </c>
      <c r="C452" s="5">
        <v>551295</v>
      </c>
      <c r="D452" s="5"/>
      <c r="E452" s="5">
        <f>+IF(FINANCIACION[[#This Row],[$ CAPITAL]]&gt;=0,FINANCIACION[[#This Row],[$ CAPITAL]]+FINANCIACION[[#This Row],[$ INTERESES]],"")</f>
        <v>551295</v>
      </c>
      <c r="F452" s="5">
        <f>+SUMIFS(FINANCIACION[$ CAPITAL],FINANCIACION[Fecha],"&lt;="&amp;FINANCIACION[[#This Row],[Fecha]],FINANCIACION[PRESTAMO],FINANCIACION[[#This Row],[PRESTAMO]])</f>
        <v>-50390160.820000038</v>
      </c>
      <c r="G452" s="7"/>
      <c r="H452" s="53"/>
      <c r="I452" s="5">
        <f>IF(FINANCIACION[[#This Row],[$ CAPITAL]]&gt;0,FINANCIACION[[#This Row],[$ CAPITAL]])</f>
        <v>551295</v>
      </c>
      <c r="J452" s="33">
        <f>IF(FINANCIACION[[#This Row],[$ CAPITAL]]&gt;=0,FINANCIACION[[#This Row],[$ CAPITAL]]+FINANCIACION[[#This Row],[$ INTERESES]],0)</f>
        <v>551295</v>
      </c>
      <c r="K452" s="10"/>
      <c r="N452" s="6"/>
      <c r="O452" s="9"/>
      <c r="P452" s="8"/>
    </row>
    <row r="453" spans="1:16" ht="24" hidden="1" customHeight="1" x14ac:dyDescent="0.3">
      <c r="A453" s="142">
        <v>44194</v>
      </c>
      <c r="B453" s="50" t="s">
        <v>822</v>
      </c>
      <c r="C453" s="5">
        <v>3495390</v>
      </c>
      <c r="D453" s="5"/>
      <c r="E453" s="5">
        <f>+IF(FINANCIACION[[#This Row],[$ CAPITAL]]&gt;=0,FINANCIACION[[#This Row],[$ CAPITAL]]+FINANCIACION[[#This Row],[$ INTERESES]],"")</f>
        <v>3495390</v>
      </c>
      <c r="F453" s="5">
        <f>+SUMIFS(FINANCIACION[$ CAPITAL],FINANCIACION[Fecha],"&lt;="&amp;FINANCIACION[[#This Row],[Fecha]],FINANCIACION[PRESTAMO],FINANCIACION[[#This Row],[PRESTAMO]])</f>
        <v>-46894770.820000038</v>
      </c>
      <c r="G453" s="7"/>
      <c r="H453" s="53"/>
      <c r="I453" s="5">
        <f>IF(FINANCIACION[[#This Row],[$ CAPITAL]]&gt;0,FINANCIACION[[#This Row],[$ CAPITAL]])</f>
        <v>3495390</v>
      </c>
      <c r="J453" s="33">
        <f>IF(FINANCIACION[[#This Row],[$ CAPITAL]]&gt;=0,FINANCIACION[[#This Row],[$ CAPITAL]]+FINANCIACION[[#This Row],[$ INTERESES]],0)</f>
        <v>3495390</v>
      </c>
      <c r="K453" s="10"/>
      <c r="N453" s="6"/>
      <c r="O453" s="9"/>
      <c r="P453" s="8"/>
    </row>
    <row r="454" spans="1:16" ht="24" hidden="1" customHeight="1" x14ac:dyDescent="0.3">
      <c r="A454" s="142">
        <v>44195</v>
      </c>
      <c r="B454" s="50" t="s">
        <v>822</v>
      </c>
      <c r="C454" s="5">
        <v>1117500</v>
      </c>
      <c r="D454" s="5"/>
      <c r="E454" s="5">
        <f>+IF(FINANCIACION[[#This Row],[$ CAPITAL]]&gt;=0,FINANCIACION[[#This Row],[$ CAPITAL]]+FINANCIACION[[#This Row],[$ INTERESES]],"")</f>
        <v>1117500</v>
      </c>
      <c r="F454" s="5">
        <f>+SUMIFS(FINANCIACION[$ CAPITAL],FINANCIACION[Fecha],"&lt;="&amp;FINANCIACION[[#This Row],[Fecha]],FINANCIACION[PRESTAMO],FINANCIACION[[#This Row],[PRESTAMO]])</f>
        <v>-38813070.820000038</v>
      </c>
      <c r="G454" s="7"/>
      <c r="H454" s="53"/>
      <c r="I454" s="5">
        <f>IF(FINANCIACION[[#This Row],[$ CAPITAL]]&gt;0,FINANCIACION[[#This Row],[$ CAPITAL]])</f>
        <v>1117500</v>
      </c>
      <c r="J454" s="33">
        <f>IF(FINANCIACION[[#This Row],[$ CAPITAL]]&gt;=0,FINANCIACION[[#This Row],[$ CAPITAL]]+FINANCIACION[[#This Row],[$ INTERESES]],0)</f>
        <v>1117500</v>
      </c>
      <c r="K454" s="10"/>
      <c r="N454" s="6"/>
      <c r="O454" s="9"/>
      <c r="P454" s="8"/>
    </row>
    <row r="455" spans="1:16" ht="24" hidden="1" customHeight="1" x14ac:dyDescent="0.3">
      <c r="A455" s="142">
        <v>44195</v>
      </c>
      <c r="B455" s="50" t="s">
        <v>822</v>
      </c>
      <c r="C455" s="5">
        <v>6964200</v>
      </c>
      <c r="D455" s="5"/>
      <c r="E455" s="5">
        <f>+IF(FINANCIACION[[#This Row],[$ CAPITAL]]&gt;=0,FINANCIACION[[#This Row],[$ CAPITAL]]+FINANCIACION[[#This Row],[$ INTERESES]],"")</f>
        <v>6964200</v>
      </c>
      <c r="F455" s="5">
        <f>+SUMIFS(FINANCIACION[$ CAPITAL],FINANCIACION[Fecha],"&lt;="&amp;FINANCIACION[[#This Row],[Fecha]],FINANCIACION[PRESTAMO],FINANCIACION[[#This Row],[PRESTAMO]])</f>
        <v>-38813070.820000038</v>
      </c>
      <c r="G455" s="7"/>
      <c r="H455" s="53"/>
      <c r="I455" s="5">
        <f>IF(FINANCIACION[[#This Row],[$ CAPITAL]]&gt;0,FINANCIACION[[#This Row],[$ CAPITAL]])</f>
        <v>6964200</v>
      </c>
      <c r="J455" s="33">
        <f>IF(FINANCIACION[[#This Row],[$ CAPITAL]]&gt;=0,FINANCIACION[[#This Row],[$ CAPITAL]]+FINANCIACION[[#This Row],[$ INTERESES]],0)</f>
        <v>6964200</v>
      </c>
      <c r="K455" s="10"/>
      <c r="N455" s="6"/>
      <c r="O455" s="9"/>
      <c r="P455" s="8"/>
    </row>
    <row r="456" spans="1:16" ht="24" hidden="1" customHeight="1" x14ac:dyDescent="0.3">
      <c r="A456" s="142">
        <v>44196</v>
      </c>
      <c r="B456" s="50" t="s">
        <v>820</v>
      </c>
      <c r="C456" s="5">
        <v>-2349404.9287070036</v>
      </c>
      <c r="D456" s="5"/>
      <c r="E456" s="5" t="str">
        <f>+IF(FINANCIACION[[#This Row],[$ CAPITAL]]&gt;=0,FINANCIACION[[#This Row],[$ CAPITAL]]+FINANCIACION[[#This Row],[$ INTERESES]],"")</f>
        <v/>
      </c>
      <c r="F456" s="5">
        <f>+SUMIFS(FINANCIACION[$ CAPITAL],FINANCIACION[Fecha],"&lt;="&amp;FINANCIACION[[#This Row],[Fecha]],FINANCIACION[PRESTAMO],FINANCIACION[[#This Row],[PRESTAMO]])</f>
        <v>-66965431.858707003</v>
      </c>
      <c r="G456" s="7" t="s">
        <v>235</v>
      </c>
      <c r="H456" s="53"/>
      <c r="I456" s="5" t="b">
        <f>IF(FINANCIACION[[#This Row],[$ CAPITAL]]&gt;0,FINANCIACION[[#This Row],[$ CAPITAL]])</f>
        <v>0</v>
      </c>
      <c r="J456" s="33">
        <f>IF(FINANCIACION[[#This Row],[$ CAPITAL]]&gt;=0,FINANCIACION[[#This Row],[$ CAPITAL]]+FINANCIACION[[#This Row],[$ INTERESES]],0)</f>
        <v>0</v>
      </c>
      <c r="K456" s="10"/>
      <c r="N456" s="6"/>
      <c r="O456" s="9"/>
      <c r="P456" s="8"/>
    </row>
    <row r="457" spans="1:16" ht="24" hidden="1" customHeight="1" x14ac:dyDescent="0.3">
      <c r="A457" s="142">
        <v>44196</v>
      </c>
      <c r="B457" s="50" t="s">
        <v>187</v>
      </c>
      <c r="C457" s="5"/>
      <c r="D457" s="5">
        <v>76791</v>
      </c>
      <c r="E457" s="5">
        <f>+IF(FINANCIACION[[#This Row],[$ CAPITAL]]&gt;=0,FINANCIACION[[#This Row],[$ CAPITAL]]+FINANCIACION[[#This Row],[$ INTERESES]],"")</f>
        <v>76791</v>
      </c>
      <c r="F457" s="5">
        <f>+SUMIFS(FINANCIACION[$ CAPITAL],FINANCIACION[Fecha],"&lt;="&amp;FINANCIACION[[#This Row],[Fecha]],FINANCIACION[PRESTAMO],FINANCIACION[[#This Row],[PRESTAMO]])</f>
        <v>-54330833</v>
      </c>
      <c r="G457" s="7"/>
      <c r="H457" s="53"/>
      <c r="I457" s="5" t="b">
        <f>IF(FINANCIACION[[#This Row],[$ CAPITAL]]&gt;0,FINANCIACION[[#This Row],[$ CAPITAL]])</f>
        <v>0</v>
      </c>
      <c r="J457" s="33">
        <f>IF(FINANCIACION[[#This Row],[$ CAPITAL]]&gt;=0,FINANCIACION[[#This Row],[$ CAPITAL]]+FINANCIACION[[#This Row],[$ INTERESES]],0)</f>
        <v>76791</v>
      </c>
      <c r="K457" s="10"/>
      <c r="N457" s="6"/>
      <c r="O457" s="9"/>
      <c r="P457" s="8"/>
    </row>
    <row r="458" spans="1:16" ht="24" hidden="1" customHeight="1" x14ac:dyDescent="0.3">
      <c r="A458" s="142">
        <v>44196</v>
      </c>
      <c r="B458" s="50" t="s">
        <v>188</v>
      </c>
      <c r="C458" s="5"/>
      <c r="D458" s="5">
        <v>513600</v>
      </c>
      <c r="E458" s="5">
        <f>+IF(FINANCIACION[[#This Row],[$ CAPITAL]]&gt;=0,FINANCIACION[[#This Row],[$ CAPITAL]]+FINANCIACION[[#This Row],[$ INTERESES]],"")</f>
        <v>513600</v>
      </c>
      <c r="F458" s="5">
        <f>+SUMIFS(FINANCIACION[$ CAPITAL],FINANCIACION[Fecha],"&lt;="&amp;FINANCIACION[[#This Row],[Fecha]],FINANCIACION[PRESTAMO],FINANCIACION[[#This Row],[PRESTAMO]])</f>
        <v>-3071640</v>
      </c>
      <c r="G458" s="7"/>
      <c r="H458" s="53"/>
      <c r="I458" s="5" t="b">
        <f>IF(FINANCIACION[[#This Row],[$ CAPITAL]]&gt;0,FINANCIACION[[#This Row],[$ CAPITAL]])</f>
        <v>0</v>
      </c>
      <c r="J458" s="33">
        <f>IF(FINANCIACION[[#This Row],[$ CAPITAL]]&gt;=0,FINANCIACION[[#This Row],[$ CAPITAL]]+FINANCIACION[[#This Row],[$ INTERESES]],0)</f>
        <v>513600</v>
      </c>
      <c r="K458" s="10"/>
      <c r="N458" s="6"/>
      <c r="O458" s="9"/>
      <c r="P458" s="8"/>
    </row>
    <row r="459" spans="1:16" ht="24" hidden="1" customHeight="1" x14ac:dyDescent="0.3">
      <c r="A459" s="142">
        <v>44196</v>
      </c>
      <c r="B459" s="50" t="s">
        <v>827</v>
      </c>
      <c r="C459" s="5">
        <v>-198009.68999999799</v>
      </c>
      <c r="D459" s="5"/>
      <c r="E459" s="5" t="str">
        <f>+IF(FINANCIACION[[#This Row],[$ CAPITAL]]&gt;=0,FINANCIACION[[#This Row],[$ CAPITAL]]+FINANCIACION[[#This Row],[$ INTERESES]],"")</f>
        <v/>
      </c>
      <c r="F459" s="5">
        <f>+SUMIFS(FINANCIACION[$ CAPITAL],FINANCIACION[Fecha],"&lt;="&amp;FINANCIACION[[#This Row],[Fecha]],FINANCIACION[PRESTAMO],FINANCIACION[[#This Row],[PRESTAMO]])</f>
        <v>-25582703.219999999</v>
      </c>
      <c r="G459" s="7"/>
      <c r="H459" s="53"/>
      <c r="I459" s="5" t="b">
        <f>IF(FINANCIACION[[#This Row],[$ CAPITAL]]&gt;0,FINANCIACION[[#This Row],[$ CAPITAL]])</f>
        <v>0</v>
      </c>
      <c r="J459" s="33">
        <f>IF(FINANCIACION[[#This Row],[$ CAPITAL]]&gt;=0,FINANCIACION[[#This Row],[$ CAPITAL]]+FINANCIACION[[#This Row],[$ INTERESES]],0)</f>
        <v>0</v>
      </c>
      <c r="K459" s="10"/>
      <c r="N459" s="6"/>
      <c r="O459" s="9"/>
      <c r="P459" s="8"/>
    </row>
    <row r="460" spans="1:16" ht="24" hidden="1" customHeight="1" x14ac:dyDescent="0.3">
      <c r="A460" s="142">
        <v>44196</v>
      </c>
      <c r="B460" s="50" t="s">
        <v>829</v>
      </c>
      <c r="C460" s="5">
        <v>-189250.28999999899</v>
      </c>
      <c r="D460" s="5"/>
      <c r="E460" s="5" t="str">
        <f>+IF(FINANCIACION[[#This Row],[$ CAPITAL]]&gt;=0,FINANCIACION[[#This Row],[$ CAPITAL]]+FINANCIACION[[#This Row],[$ INTERESES]],"")</f>
        <v/>
      </c>
      <c r="F460" s="5">
        <f>+SUMIFS(FINANCIACION[$ CAPITAL],FINANCIACION[Fecha],"&lt;="&amp;FINANCIACION[[#This Row],[Fecha]],FINANCIACION[PRESTAMO],FINANCIACION[[#This Row],[PRESTAMO]])</f>
        <v>-26810607.579999998</v>
      </c>
      <c r="G460" s="7"/>
      <c r="H460" s="53"/>
      <c r="I460" s="5" t="b">
        <f>IF(FINANCIACION[[#This Row],[$ CAPITAL]]&gt;0,FINANCIACION[[#This Row],[$ CAPITAL]])</f>
        <v>0</v>
      </c>
      <c r="J460" s="33">
        <f>IF(FINANCIACION[[#This Row],[$ CAPITAL]]&gt;=0,FINANCIACION[[#This Row],[$ CAPITAL]]+FINANCIACION[[#This Row],[$ INTERESES]],0)</f>
        <v>0</v>
      </c>
      <c r="K460" s="10"/>
      <c r="N460" s="6"/>
      <c r="O460" s="9"/>
      <c r="P460" s="8"/>
    </row>
    <row r="461" spans="1:16" ht="24" hidden="1" customHeight="1" x14ac:dyDescent="0.3">
      <c r="A461" s="142">
        <v>44196</v>
      </c>
      <c r="B461" s="50" t="s">
        <v>825</v>
      </c>
      <c r="C461" s="5">
        <v>-512809.30999999493</v>
      </c>
      <c r="D461" s="5"/>
      <c r="E461" s="5" t="str">
        <f>+IF(FINANCIACION[[#This Row],[$ CAPITAL]]&gt;=0,FINANCIACION[[#This Row],[$ CAPITAL]]+FINANCIACION[[#This Row],[$ INTERESES]],"")</f>
        <v/>
      </c>
      <c r="F461" s="5">
        <f>+SUMIFS(FINANCIACION[$ CAPITAL],FINANCIACION[Fecha],"&lt;="&amp;FINANCIACION[[#This Row],[Fecha]],FINANCIACION[PRESTAMO],FINANCIACION[[#This Row],[PRESTAMO]])</f>
        <v>-65865540.649999999</v>
      </c>
      <c r="G461" s="7"/>
      <c r="H461" s="53"/>
      <c r="I461" s="5" t="b">
        <f>IF(FINANCIACION[[#This Row],[$ CAPITAL]]&gt;0,FINANCIACION[[#This Row],[$ CAPITAL]])</f>
        <v>0</v>
      </c>
      <c r="J461" s="33">
        <f>IF(FINANCIACION[[#This Row],[$ CAPITAL]]&gt;=0,FINANCIACION[[#This Row],[$ CAPITAL]]+FINANCIACION[[#This Row],[$ INTERESES]],0)</f>
        <v>0</v>
      </c>
      <c r="K461" s="10"/>
      <c r="N461" s="6"/>
      <c r="O461" s="9"/>
      <c r="P461" s="8"/>
    </row>
    <row r="462" spans="1:16" ht="24" hidden="1" customHeight="1" x14ac:dyDescent="0.3">
      <c r="A462" s="142">
        <v>44196</v>
      </c>
      <c r="B462" s="50" t="s">
        <v>826</v>
      </c>
      <c r="C462" s="5">
        <v>-827891.71999999881</v>
      </c>
      <c r="D462" s="5"/>
      <c r="E462" s="5" t="str">
        <f>+IF(FINANCIACION[[#This Row],[$ CAPITAL]]&gt;=0,FINANCIACION[[#This Row],[$ CAPITAL]]+FINANCIACION[[#This Row],[$ INTERESES]],"")</f>
        <v/>
      </c>
      <c r="F462" s="5">
        <f>+SUMIFS(FINANCIACION[$ CAPITAL],FINANCIACION[Fecha],"&lt;="&amp;FINANCIACION[[#This Row],[Fecha]],FINANCIACION[PRESTAMO],FINANCIACION[[#This Row],[PRESTAMO]])</f>
        <v>-94944546.189999998</v>
      </c>
      <c r="G462" s="7"/>
      <c r="H462" s="53"/>
      <c r="I462" s="5" t="b">
        <f>IF(FINANCIACION[[#This Row],[$ CAPITAL]]&gt;0,FINANCIACION[[#This Row],[$ CAPITAL]])</f>
        <v>0</v>
      </c>
      <c r="J462" s="33">
        <f>IF(FINANCIACION[[#This Row],[$ CAPITAL]]&gt;=0,FINANCIACION[[#This Row],[$ CAPITAL]]+FINANCIACION[[#This Row],[$ INTERESES]],0)</f>
        <v>0</v>
      </c>
      <c r="K462" s="10"/>
      <c r="N462" s="6"/>
      <c r="O462" s="9"/>
      <c r="P462" s="8"/>
    </row>
    <row r="463" spans="1:16" ht="24" hidden="1" customHeight="1" x14ac:dyDescent="0.3">
      <c r="A463" s="142">
        <v>44196</v>
      </c>
      <c r="B463" s="50" t="s">
        <v>821</v>
      </c>
      <c r="C463" s="5">
        <v>36112485</v>
      </c>
      <c r="D463" s="5"/>
      <c r="E463" s="5">
        <f>+IF(FINANCIACION[[#This Row],[$ CAPITAL]]&gt;=0,FINANCIACION[[#This Row],[$ CAPITAL]]+FINANCIACION[[#This Row],[$ INTERESES]],"")</f>
        <v>36112485</v>
      </c>
      <c r="F463" s="5">
        <f>+SUMIFS(FINANCIACION[$ CAPITAL],FINANCIACION[Fecha],"&lt;="&amp;FINANCIACION[[#This Row],[Fecha]],FINANCIACION[PRESTAMO],FINANCIACION[[#This Row],[PRESTAMO]])</f>
        <v>-349958312</v>
      </c>
      <c r="G463" s="7" t="s">
        <v>427</v>
      </c>
      <c r="H463" s="53"/>
      <c r="I463" s="5">
        <f>IF(FINANCIACION[[#This Row],[$ CAPITAL]]&gt;0,FINANCIACION[[#This Row],[$ CAPITAL]])</f>
        <v>36112485</v>
      </c>
      <c r="J463" s="33">
        <f>IF(FINANCIACION[[#This Row],[$ CAPITAL]]&gt;=0,FINANCIACION[[#This Row],[$ CAPITAL]]+FINANCIACION[[#This Row],[$ INTERESES]],0)</f>
        <v>36112485</v>
      </c>
      <c r="K463" s="10"/>
      <c r="N463" s="6"/>
      <c r="O463" s="9"/>
      <c r="P463" s="8"/>
    </row>
    <row r="464" spans="1:16" ht="24" hidden="1" customHeight="1" x14ac:dyDescent="0.3">
      <c r="A464" s="142">
        <v>44196</v>
      </c>
      <c r="B464" s="50" t="s">
        <v>821</v>
      </c>
      <c r="C464" s="5">
        <v>5709486</v>
      </c>
      <c r="D464" s="5"/>
      <c r="E464" s="5">
        <f>+IF(FINANCIACION[[#This Row],[$ CAPITAL]]&gt;=0,FINANCIACION[[#This Row],[$ CAPITAL]]+FINANCIACION[[#This Row],[$ INTERESES]],"")</f>
        <v>5709486</v>
      </c>
      <c r="F464" s="5">
        <f>+SUMIFS(FINANCIACION[$ CAPITAL],FINANCIACION[Fecha],"&lt;="&amp;FINANCIACION[[#This Row],[Fecha]],FINANCIACION[PRESTAMO],FINANCIACION[[#This Row],[PRESTAMO]])</f>
        <v>-349958312</v>
      </c>
      <c r="G464" s="7"/>
      <c r="H464" s="53"/>
      <c r="I464" s="5">
        <f>IF(FINANCIACION[[#This Row],[$ CAPITAL]]&gt;0,FINANCIACION[[#This Row],[$ CAPITAL]])</f>
        <v>5709486</v>
      </c>
      <c r="J464" s="33">
        <f>IF(FINANCIACION[[#This Row],[$ CAPITAL]]&gt;=0,FINANCIACION[[#This Row],[$ CAPITAL]]+FINANCIACION[[#This Row],[$ INTERESES]],0)</f>
        <v>5709486</v>
      </c>
      <c r="K464" s="10"/>
      <c r="N464" s="6"/>
      <c r="O464" s="9"/>
      <c r="P464" s="8"/>
    </row>
    <row r="465" spans="1:16" ht="24" hidden="1" customHeight="1" x14ac:dyDescent="0.3">
      <c r="A465" s="142">
        <v>44196</v>
      </c>
      <c r="B465" s="50" t="s">
        <v>822</v>
      </c>
      <c r="C465" s="5">
        <v>-289141.33000000566</v>
      </c>
      <c r="D465" s="5"/>
      <c r="E465" s="5" t="str">
        <f>+IF(FINANCIACION[[#This Row],[$ CAPITAL]]&gt;=0,FINANCIACION[[#This Row],[$ CAPITAL]]+FINANCIACION[[#This Row],[$ INTERESES]],"")</f>
        <v/>
      </c>
      <c r="F465" s="5">
        <f>+SUMIFS(FINANCIACION[$ CAPITAL],FINANCIACION[Fecha],"&lt;="&amp;FINANCIACION[[#This Row],[Fecha]],FINANCIACION[PRESTAMO],FINANCIACION[[#This Row],[PRESTAMO]])</f>
        <v>-63507571.150000036</v>
      </c>
      <c r="G465" s="7"/>
      <c r="H465" s="53"/>
      <c r="I465" s="5" t="b">
        <f>IF(FINANCIACION[[#This Row],[$ CAPITAL]]&gt;0,FINANCIACION[[#This Row],[$ CAPITAL]])</f>
        <v>0</v>
      </c>
      <c r="J465" s="33">
        <f>IF(FINANCIACION[[#This Row],[$ CAPITAL]]&gt;=0,FINANCIACION[[#This Row],[$ CAPITAL]]+FINANCIACION[[#This Row],[$ INTERESES]],0)</f>
        <v>0</v>
      </c>
      <c r="K465" s="10"/>
      <c r="N465" s="6"/>
      <c r="O465" s="9"/>
      <c r="P465" s="8"/>
    </row>
    <row r="466" spans="1:16" ht="24" hidden="1" customHeight="1" x14ac:dyDescent="0.3">
      <c r="A466" s="142">
        <v>44196</v>
      </c>
      <c r="B466" s="50" t="s">
        <v>822</v>
      </c>
      <c r="C466" s="5">
        <v>-3811270.9999999995</v>
      </c>
      <c r="D466" s="5"/>
      <c r="E466" s="5" t="str">
        <f>+IF(FINANCIACION[[#This Row],[$ CAPITAL]]&gt;=0,FINANCIACION[[#This Row],[$ CAPITAL]]+FINANCIACION[[#This Row],[$ INTERESES]],"")</f>
        <v/>
      </c>
      <c r="F466" s="5">
        <f>+SUMIFS(FINANCIACION[$ CAPITAL],FINANCIACION[Fecha],"&lt;="&amp;FINANCIACION[[#This Row],[Fecha]],FINANCIACION[PRESTAMO],FINANCIACION[[#This Row],[PRESTAMO]])</f>
        <v>-63507571.150000036</v>
      </c>
      <c r="G466" s="7"/>
      <c r="H466" s="53"/>
      <c r="I466" s="5" t="b">
        <f>IF(FINANCIACION[[#This Row],[$ CAPITAL]]&gt;0,FINANCIACION[[#This Row],[$ CAPITAL]])</f>
        <v>0</v>
      </c>
      <c r="J466" s="33">
        <f>IF(FINANCIACION[[#This Row],[$ CAPITAL]]&gt;=0,FINANCIACION[[#This Row],[$ CAPITAL]]+FINANCIACION[[#This Row],[$ INTERESES]],0)</f>
        <v>0</v>
      </c>
      <c r="K466" s="10"/>
      <c r="N466" s="6"/>
      <c r="O466" s="9"/>
      <c r="P466" s="8"/>
    </row>
    <row r="467" spans="1:16" ht="24" hidden="1" customHeight="1" x14ac:dyDescent="0.3">
      <c r="A467" s="142">
        <v>44196</v>
      </c>
      <c r="B467" s="50" t="s">
        <v>822</v>
      </c>
      <c r="C467" s="5">
        <v>-15366659.999999993</v>
      </c>
      <c r="D467" s="5"/>
      <c r="E467" s="5" t="str">
        <f>+IF(FINANCIACION[[#This Row],[$ CAPITAL]]&gt;=0,FINANCIACION[[#This Row],[$ CAPITAL]]+FINANCIACION[[#This Row],[$ INTERESES]],"")</f>
        <v/>
      </c>
      <c r="F467" s="5">
        <f>+SUMIFS(FINANCIACION[$ CAPITAL],FINANCIACION[Fecha],"&lt;="&amp;FINANCIACION[[#This Row],[Fecha]],FINANCIACION[PRESTAMO],FINANCIACION[[#This Row],[PRESTAMO]])</f>
        <v>-63507571.150000036</v>
      </c>
      <c r="G467" s="7"/>
      <c r="H467" s="53"/>
      <c r="I467" s="5" t="b">
        <f>IF(FINANCIACION[[#This Row],[$ CAPITAL]]&gt;0,FINANCIACION[[#This Row],[$ CAPITAL]])</f>
        <v>0</v>
      </c>
      <c r="J467" s="33">
        <f>IF(FINANCIACION[[#This Row],[$ CAPITAL]]&gt;=0,FINANCIACION[[#This Row],[$ CAPITAL]]+FINANCIACION[[#This Row],[$ INTERESES]],0)</f>
        <v>0</v>
      </c>
      <c r="K467" s="10"/>
      <c r="N467" s="6"/>
      <c r="O467" s="9"/>
      <c r="P467" s="8"/>
    </row>
    <row r="468" spans="1:16" ht="24" hidden="1" customHeight="1" x14ac:dyDescent="0.3">
      <c r="A468" s="142">
        <v>44196</v>
      </c>
      <c r="B468" s="50" t="s">
        <v>822</v>
      </c>
      <c r="C468" s="5">
        <v>-5227428</v>
      </c>
      <c r="D468" s="5"/>
      <c r="E468" s="5" t="str">
        <f>+IF(FINANCIACION[[#This Row],[$ CAPITAL]]&gt;=0,FINANCIACION[[#This Row],[$ CAPITAL]]+FINANCIACION[[#This Row],[$ INTERESES]],"")</f>
        <v/>
      </c>
      <c r="F468" s="5">
        <f>+SUMIFS(FINANCIACION[$ CAPITAL],FINANCIACION[Fecha],"&lt;="&amp;FINANCIACION[[#This Row],[Fecha]],FINANCIACION[PRESTAMO],FINANCIACION[[#This Row],[PRESTAMO]])</f>
        <v>-63507571.150000036</v>
      </c>
      <c r="G468" s="7"/>
      <c r="H468" s="53"/>
      <c r="I468" s="5" t="b">
        <f>IF(FINANCIACION[[#This Row],[$ CAPITAL]]&gt;0,FINANCIACION[[#This Row],[$ CAPITAL]])</f>
        <v>0</v>
      </c>
      <c r="J468" s="33">
        <f>IF(FINANCIACION[[#This Row],[$ CAPITAL]]&gt;=0,FINANCIACION[[#This Row],[$ CAPITAL]]+FINANCIACION[[#This Row],[$ INTERESES]],0)</f>
        <v>0</v>
      </c>
      <c r="K468" s="10"/>
      <c r="N468" s="6"/>
      <c r="O468" s="9"/>
      <c r="P468" s="8"/>
    </row>
    <row r="469" spans="1:16" ht="24" hidden="1" customHeight="1" x14ac:dyDescent="0.3">
      <c r="A469" s="142">
        <v>44197</v>
      </c>
      <c r="B469" s="50" t="s">
        <v>830</v>
      </c>
      <c r="C469" s="5">
        <v>-13000000</v>
      </c>
      <c r="D469" s="5"/>
      <c r="E469" s="5" t="str">
        <f>+IF(FINANCIACION[[#This Row],[$ CAPITAL]]&gt;=0,FINANCIACION[[#This Row],[$ CAPITAL]]+FINANCIACION[[#This Row],[$ INTERESES]],"")</f>
        <v/>
      </c>
      <c r="F469" s="5">
        <f>+SUMIFS(FINANCIACION[$ CAPITAL],FINANCIACION[Fecha],"&lt;="&amp;FINANCIACION[[#This Row],[Fecha]],FINANCIACION[PRESTAMO],FINANCIACION[[#This Row],[PRESTAMO]])</f>
        <v>-13000000</v>
      </c>
      <c r="G469" s="7"/>
      <c r="H469" s="53"/>
      <c r="I469" s="5" t="b">
        <f>IF(FINANCIACION[[#This Row],[$ CAPITAL]]&gt;0,FINANCIACION[[#This Row],[$ CAPITAL]])</f>
        <v>0</v>
      </c>
      <c r="J469" s="33">
        <f>IF(FINANCIACION[[#This Row],[$ CAPITAL]]&gt;=0,FINANCIACION[[#This Row],[$ CAPITAL]]+FINANCIACION[[#This Row],[$ INTERESES]],0)</f>
        <v>0</v>
      </c>
      <c r="K469" s="10"/>
      <c r="N469" s="6"/>
      <c r="O469" s="9"/>
      <c r="P469" s="8"/>
    </row>
    <row r="470" spans="1:16" ht="24" hidden="1" customHeight="1" x14ac:dyDescent="0.3">
      <c r="A470" s="142">
        <v>44200</v>
      </c>
      <c r="B470" s="50" t="s">
        <v>822</v>
      </c>
      <c r="C470" s="5">
        <v>990094.53</v>
      </c>
      <c r="D470" s="5">
        <v>157302.41999999993</v>
      </c>
      <c r="E470" s="5">
        <f>+IF(FINANCIACION[[#This Row],[$ CAPITAL]]&gt;=0,FINANCIACION[[#This Row],[$ CAPITAL]]+FINANCIACION[[#This Row],[$ INTERESES]],"")</f>
        <v>1147396.95</v>
      </c>
      <c r="F470" s="5">
        <f>+SUMIFS(FINANCIACION[$ CAPITAL],FINANCIACION[Fecha],"&lt;="&amp;FINANCIACION[[#This Row],[Fecha]],FINANCIACION[PRESTAMO],FINANCIACION[[#This Row],[PRESTAMO]])</f>
        <v>-62517476.620000035</v>
      </c>
      <c r="G470" s="7"/>
      <c r="H470" s="53"/>
      <c r="I470" s="5">
        <f>IF(FINANCIACION[[#This Row],[$ CAPITAL]]&gt;0,FINANCIACION[[#This Row],[$ CAPITAL]])</f>
        <v>990094.53</v>
      </c>
      <c r="J470" s="33">
        <f>IF(FINANCIACION[[#This Row],[$ CAPITAL]]&gt;=0,FINANCIACION[[#This Row],[$ CAPITAL]]+FINANCIACION[[#This Row],[$ INTERESES]],0)</f>
        <v>1147396.95</v>
      </c>
      <c r="K470" s="10"/>
      <c r="N470" s="6"/>
      <c r="O470" s="9"/>
      <c r="P470" s="8"/>
    </row>
    <row r="471" spans="1:16" ht="24" hidden="1" customHeight="1" x14ac:dyDescent="0.3">
      <c r="A471" s="142">
        <v>44202</v>
      </c>
      <c r="B471" s="50" t="s">
        <v>191</v>
      </c>
      <c r="C471" s="5">
        <v>6326000</v>
      </c>
      <c r="D471" s="5">
        <v>616570.43999999994</v>
      </c>
      <c r="E471" s="5">
        <f>+IF(FINANCIACION[[#This Row],[$ CAPITAL]]&gt;=0,FINANCIACION[[#This Row],[$ CAPITAL]]+FINANCIACION[[#This Row],[$ INTERESES]],"")</f>
        <v>6942570.4399999995</v>
      </c>
      <c r="F471" s="5">
        <f>+SUMIFS(FINANCIACION[$ CAPITAL],FINANCIACION[Fecha],"&lt;="&amp;FINANCIACION[[#This Row],[Fecha]],FINANCIACION[PRESTAMO],FINANCIACION[[#This Row],[PRESTAMO]])</f>
        <v>-85669126</v>
      </c>
      <c r="G471" s="7"/>
      <c r="H471" s="53"/>
      <c r="I471" s="5">
        <f>IF(FINANCIACION[[#This Row],[$ CAPITAL]]&gt;0,FINANCIACION[[#This Row],[$ CAPITAL]])</f>
        <v>6326000</v>
      </c>
      <c r="J471" s="33">
        <f>IF(FINANCIACION[[#This Row],[$ CAPITAL]]&gt;=0,FINANCIACION[[#This Row],[$ CAPITAL]]+FINANCIACION[[#This Row],[$ INTERESES]],0)</f>
        <v>6942570.4399999995</v>
      </c>
      <c r="K471" s="10"/>
      <c r="N471" s="6"/>
      <c r="O471" s="9"/>
      <c r="P471" s="8"/>
    </row>
    <row r="472" spans="1:16" ht="24" hidden="1" customHeight="1" x14ac:dyDescent="0.3">
      <c r="A472" s="142">
        <v>44204</v>
      </c>
      <c r="B472" s="50" t="s">
        <v>819</v>
      </c>
      <c r="C472" s="5">
        <v>1672275.5133</v>
      </c>
      <c r="D472" s="5">
        <v>893624.48670000001</v>
      </c>
      <c r="E472" s="5">
        <f>+IF(FINANCIACION[[#This Row],[$ CAPITAL]]&gt;=0,FINANCIACION[[#This Row],[$ CAPITAL]]+FINANCIACION[[#This Row],[$ INTERESES]],"")</f>
        <v>2565900</v>
      </c>
      <c r="F472" s="5">
        <f>+SUMIFS(FINANCIACION[$ CAPITAL],FINANCIACION[Fecha],"&lt;="&amp;FINANCIACION[[#This Row],[Fecha]],FINANCIACION[PRESTAMO],FINANCIACION[[#This Row],[PRESTAMO]])</f>
        <v>-87690173.1567</v>
      </c>
      <c r="G472" s="7"/>
      <c r="H472" s="53"/>
      <c r="I472" s="5">
        <f>IF(FINANCIACION[[#This Row],[$ CAPITAL]]&gt;0,FINANCIACION[[#This Row],[$ CAPITAL]])</f>
        <v>1672275.5133</v>
      </c>
      <c r="J472" s="33">
        <f>IF(FINANCIACION[[#This Row],[$ CAPITAL]]&gt;=0,FINANCIACION[[#This Row],[$ CAPITAL]]+FINANCIACION[[#This Row],[$ INTERESES]],0)</f>
        <v>2565900</v>
      </c>
      <c r="K472" s="10"/>
      <c r="N472" s="6"/>
      <c r="O472" s="9"/>
      <c r="P472" s="8"/>
    </row>
    <row r="473" spans="1:16" ht="24" hidden="1" customHeight="1" x14ac:dyDescent="0.3">
      <c r="A473" s="142">
        <v>44208</v>
      </c>
      <c r="B473" s="50" t="s">
        <v>823</v>
      </c>
      <c r="C473" s="5">
        <v>875755.85</v>
      </c>
      <c r="D473" s="5">
        <v>124244.15000000001</v>
      </c>
      <c r="E473" s="5">
        <f>+IF(FINANCIACION[[#This Row],[$ CAPITAL]]&gt;=0,FINANCIACION[[#This Row],[$ CAPITAL]]+FINANCIACION[[#This Row],[$ INTERESES]],"")</f>
        <v>1000000</v>
      </c>
      <c r="F473" s="5">
        <f>+SUMIFS(FINANCIACION[$ CAPITAL],FINANCIACION[Fecha],"&lt;="&amp;FINANCIACION[[#This Row],[Fecha]],FINANCIACION[PRESTAMO],FINANCIACION[[#This Row],[PRESTAMO]])</f>
        <v>-11548659.15</v>
      </c>
      <c r="G473" s="7"/>
      <c r="H473" s="53"/>
      <c r="I473" s="5">
        <f>IF(FINANCIACION[[#This Row],[$ CAPITAL]]&gt;0,FINANCIACION[[#This Row],[$ CAPITAL]])</f>
        <v>875755.85</v>
      </c>
      <c r="J473" s="33">
        <f>IF(FINANCIACION[[#This Row],[$ CAPITAL]]&gt;=0,FINANCIACION[[#This Row],[$ CAPITAL]]+FINANCIACION[[#This Row],[$ INTERESES]],0)</f>
        <v>1000000</v>
      </c>
      <c r="K473" s="10"/>
      <c r="N473" s="6"/>
      <c r="O473" s="9"/>
      <c r="P473" s="8"/>
    </row>
    <row r="474" spans="1:16" ht="24" hidden="1" customHeight="1" x14ac:dyDescent="0.3">
      <c r="A474" s="142">
        <v>44208</v>
      </c>
      <c r="B474" s="50" t="s">
        <v>820</v>
      </c>
      <c r="C474" s="5">
        <v>553839.73069999996</v>
      </c>
      <c r="D474" s="5">
        <v>646160.26930000004</v>
      </c>
      <c r="E474" s="5">
        <f>+IF(FINANCIACION[[#This Row],[$ CAPITAL]]&gt;=0,FINANCIACION[[#This Row],[$ CAPITAL]]+FINANCIACION[[#This Row],[$ INTERESES]],"")</f>
        <v>1200000</v>
      </c>
      <c r="F474" s="5">
        <f>+SUMIFS(FINANCIACION[$ CAPITAL],FINANCIACION[Fecha],"&lt;="&amp;FINANCIACION[[#This Row],[Fecha]],FINANCIACION[PRESTAMO],FINANCIACION[[#This Row],[PRESTAMO]])</f>
        <v>-66411592.128007002</v>
      </c>
      <c r="G474" s="7"/>
      <c r="H474" s="53"/>
      <c r="I474" s="5">
        <f>IF(FINANCIACION[[#This Row],[$ CAPITAL]]&gt;0,FINANCIACION[[#This Row],[$ CAPITAL]])</f>
        <v>553839.73069999996</v>
      </c>
      <c r="J474" s="33">
        <f>IF(FINANCIACION[[#This Row],[$ CAPITAL]]&gt;=0,FINANCIACION[[#This Row],[$ CAPITAL]]+FINANCIACION[[#This Row],[$ INTERESES]],0)</f>
        <v>1200000</v>
      </c>
      <c r="K474" s="10"/>
      <c r="N474" s="6"/>
      <c r="O474" s="9"/>
      <c r="P474" s="8"/>
    </row>
    <row r="475" spans="1:16" ht="24" hidden="1" customHeight="1" x14ac:dyDescent="0.3">
      <c r="A475" s="142">
        <v>44208</v>
      </c>
      <c r="B475" s="50" t="s">
        <v>822</v>
      </c>
      <c r="C475" s="5"/>
      <c r="D475" s="5">
        <v>130000</v>
      </c>
      <c r="E475" s="5">
        <f>+IF(FINANCIACION[[#This Row],[$ CAPITAL]]&gt;=0,FINANCIACION[[#This Row],[$ CAPITAL]]+FINANCIACION[[#This Row],[$ INTERESES]],"")</f>
        <v>130000</v>
      </c>
      <c r="F475" s="5">
        <f>+SUMIFS(FINANCIACION[$ CAPITAL],FINANCIACION[Fecha],"&lt;="&amp;FINANCIACION[[#This Row],[Fecha]],FINANCIACION[PRESTAMO],FINANCIACION[[#This Row],[PRESTAMO]])</f>
        <v>-60474043.620000035</v>
      </c>
      <c r="G475" s="7"/>
      <c r="H475" s="53"/>
      <c r="I475" s="5" t="b">
        <f>IF(FINANCIACION[[#This Row],[$ CAPITAL]]&gt;0,FINANCIACION[[#This Row],[$ CAPITAL]])</f>
        <v>0</v>
      </c>
      <c r="J475" s="33">
        <f>IF(FINANCIACION[[#This Row],[$ CAPITAL]]&gt;=0,FINANCIACION[[#This Row],[$ CAPITAL]]+FINANCIACION[[#This Row],[$ INTERESES]],0)</f>
        <v>130000</v>
      </c>
      <c r="K475" s="10"/>
      <c r="N475" s="6"/>
      <c r="O475" s="9"/>
      <c r="P475" s="8"/>
    </row>
    <row r="476" spans="1:16" ht="24" hidden="1" customHeight="1" x14ac:dyDescent="0.3">
      <c r="A476" s="142">
        <v>44208</v>
      </c>
      <c r="B476" s="50" t="s">
        <v>822</v>
      </c>
      <c r="C476" s="5">
        <v>1043433</v>
      </c>
      <c r="D476" s="5"/>
      <c r="E476" s="5">
        <f>+IF(FINANCIACION[[#This Row],[$ CAPITAL]]&gt;=0,FINANCIACION[[#This Row],[$ CAPITAL]]+FINANCIACION[[#This Row],[$ INTERESES]],"")</f>
        <v>1043433</v>
      </c>
      <c r="F476" s="5">
        <f>+SUMIFS(FINANCIACION[$ CAPITAL],FINANCIACION[Fecha],"&lt;="&amp;FINANCIACION[[#This Row],[Fecha]],FINANCIACION[PRESTAMO],FINANCIACION[[#This Row],[PRESTAMO]])</f>
        <v>-60474043.620000035</v>
      </c>
      <c r="G476" s="7"/>
      <c r="H476" s="53"/>
      <c r="I476" s="5">
        <f>IF(FINANCIACION[[#This Row],[$ CAPITAL]]&gt;0,FINANCIACION[[#This Row],[$ CAPITAL]])</f>
        <v>1043433</v>
      </c>
      <c r="J476" s="33">
        <f>IF(FINANCIACION[[#This Row],[$ CAPITAL]]&gt;=0,FINANCIACION[[#This Row],[$ CAPITAL]]+FINANCIACION[[#This Row],[$ INTERESES]],0)</f>
        <v>1043433</v>
      </c>
      <c r="K476" s="10"/>
      <c r="N476" s="6"/>
      <c r="O476" s="9"/>
      <c r="P476" s="8"/>
    </row>
    <row r="477" spans="1:16" ht="24" hidden="1" customHeight="1" x14ac:dyDescent="0.3">
      <c r="A477" s="142">
        <v>44208</v>
      </c>
      <c r="B477" s="50" t="s">
        <v>822</v>
      </c>
      <c r="C477" s="5">
        <v>1000000</v>
      </c>
      <c r="D477" s="5"/>
      <c r="E477" s="5">
        <f>+IF(FINANCIACION[[#This Row],[$ CAPITAL]]&gt;=0,FINANCIACION[[#This Row],[$ CAPITAL]]+FINANCIACION[[#This Row],[$ INTERESES]],"")</f>
        <v>1000000</v>
      </c>
      <c r="F477" s="5">
        <f>+SUMIFS(FINANCIACION[$ CAPITAL],FINANCIACION[Fecha],"&lt;="&amp;FINANCIACION[[#This Row],[Fecha]],FINANCIACION[PRESTAMO],FINANCIACION[[#This Row],[PRESTAMO]])</f>
        <v>-60474043.620000035</v>
      </c>
      <c r="G477" s="7"/>
      <c r="H477" s="53"/>
      <c r="I477" s="5">
        <f>IF(FINANCIACION[[#This Row],[$ CAPITAL]]&gt;0,FINANCIACION[[#This Row],[$ CAPITAL]])</f>
        <v>1000000</v>
      </c>
      <c r="J477" s="33">
        <f>IF(FINANCIACION[[#This Row],[$ CAPITAL]]&gt;=0,FINANCIACION[[#This Row],[$ CAPITAL]]+FINANCIACION[[#This Row],[$ INTERESES]],0)</f>
        <v>1000000</v>
      </c>
      <c r="K477" s="10"/>
      <c r="N477" s="6"/>
      <c r="O477" s="9"/>
      <c r="P477" s="8"/>
    </row>
    <row r="478" spans="1:16" ht="24" hidden="1" customHeight="1" x14ac:dyDescent="0.3">
      <c r="A478" s="142">
        <v>44212</v>
      </c>
      <c r="B478" s="50" t="s">
        <v>822</v>
      </c>
      <c r="C478" s="5">
        <v>172</v>
      </c>
      <c r="D478" s="5"/>
      <c r="E478" s="5">
        <f>+IF(FINANCIACION[[#This Row],[$ CAPITAL]]&gt;=0,FINANCIACION[[#This Row],[$ CAPITAL]]+FINANCIACION[[#This Row],[$ INTERESES]],"")</f>
        <v>172</v>
      </c>
      <c r="F478" s="5">
        <f>+SUMIFS(FINANCIACION[$ CAPITAL],FINANCIACION[Fecha],"&lt;="&amp;FINANCIACION[[#This Row],[Fecha]],FINANCIACION[PRESTAMO],FINANCIACION[[#This Row],[PRESTAMO]])</f>
        <v>-58432943.620000035</v>
      </c>
      <c r="G478" s="7"/>
      <c r="H478" s="53"/>
      <c r="I478" s="5">
        <f>IF(FINANCIACION[[#This Row],[$ CAPITAL]]&gt;0,FINANCIACION[[#This Row],[$ CAPITAL]])</f>
        <v>172</v>
      </c>
      <c r="J478" s="33">
        <f>IF(FINANCIACION[[#This Row],[$ CAPITAL]]&gt;=0,FINANCIACION[[#This Row],[$ CAPITAL]]+FINANCIACION[[#This Row],[$ INTERESES]],0)</f>
        <v>172</v>
      </c>
      <c r="K478" s="10"/>
      <c r="N478" s="6"/>
      <c r="O478" s="9"/>
      <c r="P478" s="8"/>
    </row>
    <row r="479" spans="1:16" ht="24" hidden="1" customHeight="1" x14ac:dyDescent="0.3">
      <c r="A479" s="142">
        <v>44212</v>
      </c>
      <c r="B479" s="50" t="s">
        <v>822</v>
      </c>
      <c r="C479" s="5">
        <v>1040928.0000000001</v>
      </c>
      <c r="D479" s="5"/>
      <c r="E479" s="5">
        <f>+IF(FINANCIACION[[#This Row],[$ CAPITAL]]&gt;=0,FINANCIACION[[#This Row],[$ CAPITAL]]+FINANCIACION[[#This Row],[$ INTERESES]],"")</f>
        <v>1040928.0000000001</v>
      </c>
      <c r="F479" s="5">
        <f>+SUMIFS(FINANCIACION[$ CAPITAL],FINANCIACION[Fecha],"&lt;="&amp;FINANCIACION[[#This Row],[Fecha]],FINANCIACION[PRESTAMO],FINANCIACION[[#This Row],[PRESTAMO]])</f>
        <v>-58432943.620000035</v>
      </c>
      <c r="G479" s="7"/>
      <c r="H479" s="53"/>
      <c r="I479" s="5">
        <f>IF(FINANCIACION[[#This Row],[$ CAPITAL]]&gt;0,FINANCIACION[[#This Row],[$ CAPITAL]])</f>
        <v>1040928.0000000001</v>
      </c>
      <c r="J479" s="33">
        <f>IF(FINANCIACION[[#This Row],[$ CAPITAL]]&gt;=0,FINANCIACION[[#This Row],[$ CAPITAL]]+FINANCIACION[[#This Row],[$ INTERESES]],0)</f>
        <v>1040928.0000000001</v>
      </c>
      <c r="K479" s="10"/>
      <c r="N479" s="6"/>
      <c r="O479" s="9"/>
      <c r="P479" s="8"/>
    </row>
    <row r="480" spans="1:16" ht="24" hidden="1" customHeight="1" x14ac:dyDescent="0.3">
      <c r="A480" s="142">
        <v>44212</v>
      </c>
      <c r="B480" s="50" t="s">
        <v>822</v>
      </c>
      <c r="C480" s="5">
        <v>1000000</v>
      </c>
      <c r="D480" s="5"/>
      <c r="E480" s="5">
        <f>+IF(FINANCIACION[[#This Row],[$ CAPITAL]]&gt;=0,FINANCIACION[[#This Row],[$ CAPITAL]]+FINANCIACION[[#This Row],[$ INTERESES]],"")</f>
        <v>1000000</v>
      </c>
      <c r="F480" s="5">
        <f>+SUMIFS(FINANCIACION[$ CAPITAL],FINANCIACION[Fecha],"&lt;="&amp;FINANCIACION[[#This Row],[Fecha]],FINANCIACION[PRESTAMO],FINANCIACION[[#This Row],[PRESTAMO]])</f>
        <v>-58432943.620000035</v>
      </c>
      <c r="G480" s="7"/>
      <c r="H480" s="53"/>
      <c r="I480" s="5">
        <f>IF(FINANCIACION[[#This Row],[$ CAPITAL]]&gt;0,FINANCIACION[[#This Row],[$ CAPITAL]])</f>
        <v>1000000</v>
      </c>
      <c r="J480" s="33">
        <f>IF(FINANCIACION[[#This Row],[$ CAPITAL]]&gt;=0,FINANCIACION[[#This Row],[$ CAPITAL]]+FINANCIACION[[#This Row],[$ INTERESES]],0)</f>
        <v>1000000</v>
      </c>
      <c r="K480" s="10"/>
      <c r="N480" s="6"/>
      <c r="O480" s="9"/>
      <c r="P480" s="8"/>
    </row>
    <row r="481" spans="1:16" ht="24" hidden="1" customHeight="1" x14ac:dyDescent="0.3">
      <c r="A481" s="142">
        <v>44226</v>
      </c>
      <c r="B481" s="50" t="s">
        <v>196</v>
      </c>
      <c r="C481" s="5">
        <v>-7016439</v>
      </c>
      <c r="D481" s="5"/>
      <c r="E481" s="5" t="str">
        <f>+IF(FINANCIACION[[#This Row],[$ CAPITAL]]&gt;=0,FINANCIACION[[#This Row],[$ CAPITAL]]+FINANCIACION[[#This Row],[$ INTERESES]],"")</f>
        <v/>
      </c>
      <c r="F481" s="5">
        <f>+SUMIFS(FINANCIACION[$ CAPITAL],FINANCIACION[Fecha],"&lt;="&amp;FINANCIACION[[#This Row],[Fecha]],FINANCIACION[PRESTAMO],FINANCIACION[[#This Row],[PRESTAMO]])</f>
        <v>-7016439</v>
      </c>
      <c r="G481" s="7" t="s">
        <v>225</v>
      </c>
      <c r="H481" s="53"/>
      <c r="I481" s="5" t="b">
        <f>IF(FINANCIACION[[#This Row],[$ CAPITAL]]&gt;0,FINANCIACION[[#This Row],[$ CAPITAL]])</f>
        <v>0</v>
      </c>
      <c r="J481" s="33">
        <f>IF(FINANCIACION[[#This Row],[$ CAPITAL]]&gt;=0,FINANCIACION[[#This Row],[$ CAPITAL]]+FINANCIACION[[#This Row],[$ INTERESES]],0)</f>
        <v>0</v>
      </c>
      <c r="K481" s="10"/>
      <c r="N481" s="6"/>
      <c r="O481" s="9"/>
      <c r="P481" s="8"/>
    </row>
    <row r="482" spans="1:16" ht="24" hidden="1" customHeight="1" x14ac:dyDescent="0.3">
      <c r="A482" s="142">
        <v>44228</v>
      </c>
      <c r="B482" s="50" t="s">
        <v>187</v>
      </c>
      <c r="C482" s="5"/>
      <c r="D482" s="5">
        <v>76791</v>
      </c>
      <c r="E482" s="5">
        <f>+IF(FINANCIACION[[#This Row],[$ CAPITAL]]&gt;=0,FINANCIACION[[#This Row],[$ CAPITAL]]+FINANCIACION[[#This Row],[$ INTERESES]],"")</f>
        <v>76791</v>
      </c>
      <c r="F482" s="5">
        <f>+SUMIFS(FINANCIACION[$ CAPITAL],FINANCIACION[Fecha],"&lt;="&amp;FINANCIACION[[#This Row],[Fecha]],FINANCIACION[PRESTAMO],FINANCIACION[[#This Row],[PRESTAMO]])</f>
        <v>-54330833</v>
      </c>
      <c r="G482" s="7"/>
      <c r="H482" s="53"/>
      <c r="I482" s="5" t="b">
        <f>IF(FINANCIACION[[#This Row],[$ CAPITAL]]&gt;0,FINANCIACION[[#This Row],[$ CAPITAL]])</f>
        <v>0</v>
      </c>
      <c r="J482" s="33">
        <f>IF(FINANCIACION[[#This Row],[$ CAPITAL]]&gt;=0,FINANCIACION[[#This Row],[$ CAPITAL]]+FINANCIACION[[#This Row],[$ INTERESES]],0)</f>
        <v>76791</v>
      </c>
      <c r="K482" s="10"/>
      <c r="N482" s="6"/>
      <c r="O482" s="9"/>
      <c r="P482" s="8"/>
    </row>
    <row r="483" spans="1:16" ht="24" hidden="1" customHeight="1" x14ac:dyDescent="0.3">
      <c r="A483" s="142">
        <v>44231</v>
      </c>
      <c r="B483" s="50" t="s">
        <v>822</v>
      </c>
      <c r="C483" s="5">
        <v>990094.53000000305</v>
      </c>
      <c r="D483" s="5">
        <v>144841.01</v>
      </c>
      <c r="E483" s="5">
        <f>+IF(FINANCIACION[[#This Row],[$ CAPITAL]]&gt;=0,FINANCIACION[[#This Row],[$ CAPITAL]]+FINANCIACION[[#This Row],[$ INTERESES]],"")</f>
        <v>1134935.5400000031</v>
      </c>
      <c r="F483" s="5">
        <f>+SUMIFS(FINANCIACION[$ CAPITAL],FINANCIACION[Fecha],"&lt;="&amp;FINANCIACION[[#This Row],[Fecha]],FINANCIACION[PRESTAMO],FINANCIACION[[#This Row],[PRESTAMO]])</f>
        <v>-57442849.090000033</v>
      </c>
      <c r="G483" s="7"/>
      <c r="H483" s="53"/>
      <c r="I483" s="5">
        <f>IF(FINANCIACION[[#This Row],[$ CAPITAL]]&gt;0,FINANCIACION[[#This Row],[$ CAPITAL]])</f>
        <v>990094.53000000305</v>
      </c>
      <c r="J483" s="33">
        <f>IF(FINANCIACION[[#This Row],[$ CAPITAL]]&gt;=0,FINANCIACION[[#This Row],[$ CAPITAL]]+FINANCIACION[[#This Row],[$ INTERESES]],0)</f>
        <v>1134935.5400000031</v>
      </c>
      <c r="K483" s="10"/>
      <c r="N483" s="6"/>
      <c r="O483" s="9"/>
      <c r="P483" s="8"/>
    </row>
    <row r="484" spans="1:16" ht="24" hidden="1" customHeight="1" x14ac:dyDescent="0.3">
      <c r="A484" s="142">
        <v>44233</v>
      </c>
      <c r="B484" s="50" t="s">
        <v>191</v>
      </c>
      <c r="C484" s="5">
        <v>6326000</v>
      </c>
      <c r="D484" s="5">
        <v>569963.18000000005</v>
      </c>
      <c r="E484" s="5">
        <f>+IF(FINANCIACION[[#This Row],[$ CAPITAL]]&gt;=0,FINANCIACION[[#This Row],[$ CAPITAL]]+FINANCIACION[[#This Row],[$ INTERESES]],"")</f>
        <v>6895963.1799999997</v>
      </c>
      <c r="F484" s="5">
        <f>+SUMIFS(FINANCIACION[$ CAPITAL],FINANCIACION[Fecha],"&lt;="&amp;FINANCIACION[[#This Row],[Fecha]],FINANCIACION[PRESTAMO],FINANCIACION[[#This Row],[PRESTAMO]])</f>
        <v>-79343126</v>
      </c>
      <c r="G484" s="7"/>
      <c r="H484" s="53"/>
      <c r="I484" s="5">
        <f>IF(FINANCIACION[[#This Row],[$ CAPITAL]]&gt;0,FINANCIACION[[#This Row],[$ CAPITAL]])</f>
        <v>6326000</v>
      </c>
      <c r="J484" s="33">
        <f>IF(FINANCIACION[[#This Row],[$ CAPITAL]]&gt;=0,FINANCIACION[[#This Row],[$ CAPITAL]]+FINANCIACION[[#This Row],[$ INTERESES]],0)</f>
        <v>6895963.1799999997</v>
      </c>
      <c r="K484" s="10"/>
      <c r="N484" s="6"/>
      <c r="O484" s="9"/>
      <c r="P484" s="8"/>
    </row>
    <row r="485" spans="1:16" ht="24" hidden="1" customHeight="1" x14ac:dyDescent="0.3">
      <c r="A485" s="142">
        <v>44237</v>
      </c>
      <c r="B485" s="50" t="s">
        <v>819</v>
      </c>
      <c r="C485" s="5">
        <v>1672275.5133</v>
      </c>
      <c r="D485" s="5">
        <v>893624.48670000001</v>
      </c>
      <c r="E485" s="5">
        <f>+IF(FINANCIACION[[#This Row],[$ CAPITAL]]&gt;=0,FINANCIACION[[#This Row],[$ CAPITAL]]+FINANCIACION[[#This Row],[$ INTERESES]],"")</f>
        <v>2565900</v>
      </c>
      <c r="F485" s="5">
        <f>+SUMIFS(FINANCIACION[$ CAPITAL],FINANCIACION[Fecha],"&lt;="&amp;FINANCIACION[[#This Row],[Fecha]],FINANCIACION[PRESTAMO],FINANCIACION[[#This Row],[PRESTAMO]])</f>
        <v>-86017897.643399999</v>
      </c>
      <c r="G485" s="7"/>
      <c r="H485" s="53"/>
      <c r="I485" s="5">
        <f>IF(FINANCIACION[[#This Row],[$ CAPITAL]]&gt;0,FINANCIACION[[#This Row],[$ CAPITAL]])</f>
        <v>1672275.5133</v>
      </c>
      <c r="J485" s="33">
        <f>IF(FINANCIACION[[#This Row],[$ CAPITAL]]&gt;=0,FINANCIACION[[#This Row],[$ CAPITAL]]+FINANCIACION[[#This Row],[$ INTERESES]],0)</f>
        <v>2565900</v>
      </c>
      <c r="K485" s="10"/>
      <c r="N485" s="6"/>
      <c r="O485" s="9"/>
      <c r="P485" s="8"/>
    </row>
    <row r="486" spans="1:16" ht="24" hidden="1" customHeight="1" x14ac:dyDescent="0.3">
      <c r="A486" s="142">
        <v>44237</v>
      </c>
      <c r="B486" s="50" t="s">
        <v>823</v>
      </c>
      <c r="C486" s="5">
        <v>875755.85</v>
      </c>
      <c r="D486" s="5">
        <v>124244.15000000001</v>
      </c>
      <c r="E486" s="5">
        <f>+IF(FINANCIACION[[#This Row],[$ CAPITAL]]&gt;=0,FINANCIACION[[#This Row],[$ CAPITAL]]+FINANCIACION[[#This Row],[$ INTERESES]],"")</f>
        <v>1000000</v>
      </c>
      <c r="F486" s="5">
        <f>+SUMIFS(FINANCIACION[$ CAPITAL],FINANCIACION[Fecha],"&lt;="&amp;FINANCIACION[[#This Row],[Fecha]],FINANCIACION[PRESTAMO],FINANCIACION[[#This Row],[PRESTAMO]])</f>
        <v>-10672903.300000001</v>
      </c>
      <c r="G486" s="7"/>
      <c r="H486" s="53"/>
      <c r="I486" s="5">
        <f>IF(FINANCIACION[[#This Row],[$ CAPITAL]]&gt;0,FINANCIACION[[#This Row],[$ CAPITAL]])</f>
        <v>875755.85</v>
      </c>
      <c r="J486" s="33">
        <f>IF(FINANCIACION[[#This Row],[$ CAPITAL]]&gt;=0,FINANCIACION[[#This Row],[$ CAPITAL]]+FINANCIACION[[#This Row],[$ INTERESES]],0)</f>
        <v>1000000</v>
      </c>
      <c r="K486" s="10"/>
      <c r="N486" s="6"/>
      <c r="O486" s="9"/>
      <c r="P486" s="8"/>
    </row>
    <row r="487" spans="1:16" ht="24" hidden="1" customHeight="1" x14ac:dyDescent="0.3">
      <c r="A487" s="142">
        <v>44237</v>
      </c>
      <c r="B487" s="50" t="s">
        <v>820</v>
      </c>
      <c r="C487" s="5">
        <v>559378.12800699996</v>
      </c>
      <c r="D487" s="5">
        <v>640621.87199300004</v>
      </c>
      <c r="E487" s="5">
        <f>+IF(FINANCIACION[[#This Row],[$ CAPITAL]]&gt;=0,FINANCIACION[[#This Row],[$ CAPITAL]]+FINANCIACION[[#This Row],[$ INTERESES]],"")</f>
        <v>1200000</v>
      </c>
      <c r="F487" s="5">
        <f>+SUMIFS(FINANCIACION[$ CAPITAL],FINANCIACION[Fecha],"&lt;="&amp;FINANCIACION[[#This Row],[Fecha]],FINANCIACION[PRESTAMO],FINANCIACION[[#This Row],[PRESTAMO]])</f>
        <v>-65852214</v>
      </c>
      <c r="G487" s="7"/>
      <c r="H487" s="53"/>
      <c r="I487" s="5">
        <f>IF(FINANCIACION[[#This Row],[$ CAPITAL]]&gt;0,FINANCIACION[[#This Row],[$ CAPITAL]])</f>
        <v>559378.12800699996</v>
      </c>
      <c r="J487" s="33">
        <f>IF(FINANCIACION[[#This Row],[$ CAPITAL]]&gt;=0,FINANCIACION[[#This Row],[$ CAPITAL]]+FINANCIACION[[#This Row],[$ INTERESES]],0)</f>
        <v>1200000</v>
      </c>
      <c r="K487" s="10"/>
      <c r="N487" s="6"/>
      <c r="O487" s="9"/>
      <c r="P487" s="8"/>
    </row>
    <row r="488" spans="1:16" ht="24" hidden="1" customHeight="1" x14ac:dyDescent="0.3">
      <c r="A488" s="142">
        <v>44237</v>
      </c>
      <c r="B488" s="50" t="s">
        <v>822</v>
      </c>
      <c r="C488" s="5"/>
      <c r="D488" s="5">
        <v>130000</v>
      </c>
      <c r="E488" s="5">
        <f>+IF(FINANCIACION[[#This Row],[$ CAPITAL]]&gt;=0,FINANCIACION[[#This Row],[$ CAPITAL]]+FINANCIACION[[#This Row],[$ INTERESES]],"")</f>
        <v>130000</v>
      </c>
      <c r="F488" s="5">
        <f>+SUMIFS(FINANCIACION[$ CAPITAL],FINANCIACION[Fecha],"&lt;="&amp;FINANCIACION[[#This Row],[Fecha]],FINANCIACION[PRESTAMO],FINANCIACION[[#This Row],[PRESTAMO]])</f>
        <v>-57442849.090000033</v>
      </c>
      <c r="G488" s="7"/>
      <c r="H488" s="53"/>
      <c r="I488" s="5" t="b">
        <f>IF(FINANCIACION[[#This Row],[$ CAPITAL]]&gt;0,FINANCIACION[[#This Row],[$ CAPITAL]])</f>
        <v>0</v>
      </c>
      <c r="J488" s="33">
        <f>IF(FINANCIACION[[#This Row],[$ CAPITAL]]&gt;=0,FINANCIACION[[#This Row],[$ CAPITAL]]+FINANCIACION[[#This Row],[$ INTERESES]],0)</f>
        <v>130000</v>
      </c>
      <c r="K488" s="10"/>
      <c r="N488" s="6"/>
      <c r="O488" s="9"/>
      <c r="P488" s="8"/>
    </row>
    <row r="489" spans="1:16" ht="24" hidden="1" customHeight="1" x14ac:dyDescent="0.3">
      <c r="A489" s="142">
        <v>44239</v>
      </c>
      <c r="B489" s="50" t="s">
        <v>822</v>
      </c>
      <c r="C489" s="5">
        <v>3525450</v>
      </c>
      <c r="D489" s="5"/>
      <c r="E489" s="5">
        <f>+IF(FINANCIACION[[#This Row],[$ CAPITAL]]&gt;=0,FINANCIACION[[#This Row],[$ CAPITAL]]+FINANCIACION[[#This Row],[$ INTERESES]],"")</f>
        <v>3525450</v>
      </c>
      <c r="F489" s="5">
        <f>+SUMIFS(FINANCIACION[$ CAPITAL],FINANCIACION[Fecha],"&lt;="&amp;FINANCIACION[[#This Row],[Fecha]],FINANCIACION[PRESTAMO],FINANCIACION[[#This Row],[PRESTAMO]])</f>
        <v>-53917399.090000033</v>
      </c>
      <c r="G489" s="7"/>
      <c r="H489" s="53"/>
      <c r="I489" s="5">
        <f>IF(FINANCIACION[[#This Row],[$ CAPITAL]]&gt;0,FINANCIACION[[#This Row],[$ CAPITAL]])</f>
        <v>3525450</v>
      </c>
      <c r="J489" s="33">
        <f>IF(FINANCIACION[[#This Row],[$ CAPITAL]]&gt;=0,FINANCIACION[[#This Row],[$ CAPITAL]]+FINANCIACION[[#This Row],[$ INTERESES]],0)</f>
        <v>3525450</v>
      </c>
      <c r="K489" s="10"/>
      <c r="N489" s="6"/>
      <c r="O489" s="9"/>
      <c r="P489" s="8"/>
    </row>
    <row r="490" spans="1:16" ht="24" hidden="1" customHeight="1" x14ac:dyDescent="0.3">
      <c r="A490" s="142">
        <v>44242</v>
      </c>
      <c r="B490" s="50" t="s">
        <v>822</v>
      </c>
      <c r="C490" s="5">
        <v>3515650</v>
      </c>
      <c r="D490" s="5"/>
      <c r="E490" s="5">
        <f>+IF(FINANCIACION[[#This Row],[$ CAPITAL]]&gt;=0,FINANCIACION[[#This Row],[$ CAPITAL]]+FINANCIACION[[#This Row],[$ INTERESES]],"")</f>
        <v>3515650</v>
      </c>
      <c r="F490" s="5">
        <f>+SUMIFS(FINANCIACION[$ CAPITAL],FINANCIACION[Fecha],"&lt;="&amp;FINANCIACION[[#This Row],[Fecha]],FINANCIACION[PRESTAMO],FINANCIACION[[#This Row],[PRESTAMO]])</f>
        <v>-49401749.090000033</v>
      </c>
      <c r="G490" s="7"/>
      <c r="H490" s="53"/>
      <c r="I490" s="5">
        <f>IF(FINANCIACION[[#This Row],[$ CAPITAL]]&gt;0,FINANCIACION[[#This Row],[$ CAPITAL]])</f>
        <v>3515650</v>
      </c>
      <c r="J490" s="33">
        <f>IF(FINANCIACION[[#This Row],[$ CAPITAL]]&gt;=0,FINANCIACION[[#This Row],[$ CAPITAL]]+FINANCIACION[[#This Row],[$ INTERESES]],0)</f>
        <v>3515650</v>
      </c>
      <c r="K490" s="10"/>
      <c r="N490" s="6"/>
      <c r="O490" s="9"/>
      <c r="P490" s="8"/>
    </row>
    <row r="491" spans="1:16" ht="24" hidden="1" customHeight="1" x14ac:dyDescent="0.3">
      <c r="A491" s="142">
        <v>44242</v>
      </c>
      <c r="B491" s="50" t="s">
        <v>822</v>
      </c>
      <c r="C491" s="5">
        <v>1000000</v>
      </c>
      <c r="D491" s="5"/>
      <c r="E491" s="5">
        <f>+IF(FINANCIACION[[#This Row],[$ CAPITAL]]&gt;=0,FINANCIACION[[#This Row],[$ CAPITAL]]+FINANCIACION[[#This Row],[$ INTERESES]],"")</f>
        <v>1000000</v>
      </c>
      <c r="F491" s="5">
        <f>+SUMIFS(FINANCIACION[$ CAPITAL],FINANCIACION[Fecha],"&lt;="&amp;FINANCIACION[[#This Row],[Fecha]],FINANCIACION[PRESTAMO],FINANCIACION[[#This Row],[PRESTAMO]])</f>
        <v>-49401749.090000033</v>
      </c>
      <c r="G491" s="7"/>
      <c r="H491" s="53"/>
      <c r="I491" s="5">
        <f>IF(FINANCIACION[[#This Row],[$ CAPITAL]]&gt;0,FINANCIACION[[#This Row],[$ CAPITAL]])</f>
        <v>1000000</v>
      </c>
      <c r="J491" s="33">
        <f>IF(FINANCIACION[[#This Row],[$ CAPITAL]]&gt;=0,FINANCIACION[[#This Row],[$ CAPITAL]]+FINANCIACION[[#This Row],[$ INTERESES]],0)</f>
        <v>1000000</v>
      </c>
      <c r="K491" s="10"/>
      <c r="N491" s="6"/>
      <c r="O491" s="9"/>
      <c r="P491" s="8"/>
    </row>
    <row r="492" spans="1:16" ht="24" hidden="1" customHeight="1" x14ac:dyDescent="0.3">
      <c r="A492" s="142">
        <v>44244</v>
      </c>
      <c r="B492" s="50" t="s">
        <v>827</v>
      </c>
      <c r="C492" s="5">
        <v>1200643</v>
      </c>
      <c r="D492" s="5"/>
      <c r="E492" s="5">
        <f>+IF(FINANCIACION[[#This Row],[$ CAPITAL]]&gt;=0,FINANCIACION[[#This Row],[$ CAPITAL]]+FINANCIACION[[#This Row],[$ INTERESES]],"")</f>
        <v>1200643</v>
      </c>
      <c r="F492" s="5">
        <f>+SUMIFS(FINANCIACION[$ CAPITAL],FINANCIACION[Fecha],"&lt;="&amp;FINANCIACION[[#This Row],[Fecha]],FINANCIACION[PRESTAMO],FINANCIACION[[#This Row],[PRESTAMO]])</f>
        <v>-24382060.219999999</v>
      </c>
      <c r="G492" s="7"/>
      <c r="H492" s="53"/>
      <c r="I492" s="5">
        <f>IF(FINANCIACION[[#This Row],[$ CAPITAL]]&gt;0,FINANCIACION[[#This Row],[$ CAPITAL]])</f>
        <v>1200643</v>
      </c>
      <c r="J492" s="33">
        <f>IF(FINANCIACION[[#This Row],[$ CAPITAL]]&gt;=0,FINANCIACION[[#This Row],[$ CAPITAL]]+FINANCIACION[[#This Row],[$ INTERESES]],0)</f>
        <v>1200643</v>
      </c>
      <c r="K492" s="10"/>
      <c r="N492" s="6"/>
      <c r="O492" s="9"/>
      <c r="P492" s="8"/>
    </row>
    <row r="493" spans="1:16" ht="24" hidden="1" customHeight="1" x14ac:dyDescent="0.3">
      <c r="A493" s="142">
        <v>44244</v>
      </c>
      <c r="B493" s="50" t="s">
        <v>829</v>
      </c>
      <c r="C493" s="5">
        <v>181769</v>
      </c>
      <c r="D493" s="5"/>
      <c r="E493" s="5">
        <f>+IF(FINANCIACION[[#This Row],[$ CAPITAL]]&gt;=0,FINANCIACION[[#This Row],[$ CAPITAL]]+FINANCIACION[[#This Row],[$ INTERESES]],"")</f>
        <v>181769</v>
      </c>
      <c r="F493" s="5">
        <f>+SUMIFS(FINANCIACION[$ CAPITAL],FINANCIACION[Fecha],"&lt;="&amp;FINANCIACION[[#This Row],[Fecha]],FINANCIACION[PRESTAMO],FINANCIACION[[#This Row],[PRESTAMO]])</f>
        <v>-26628838.579999998</v>
      </c>
      <c r="G493" s="7"/>
      <c r="H493" s="53"/>
      <c r="I493" s="5">
        <f>IF(FINANCIACION[[#This Row],[$ CAPITAL]]&gt;0,FINANCIACION[[#This Row],[$ CAPITAL]])</f>
        <v>181769</v>
      </c>
      <c r="J493" s="33">
        <f>IF(FINANCIACION[[#This Row],[$ CAPITAL]]&gt;=0,FINANCIACION[[#This Row],[$ CAPITAL]]+FINANCIACION[[#This Row],[$ INTERESES]],0)</f>
        <v>181769</v>
      </c>
      <c r="K493" s="10"/>
      <c r="N493" s="6"/>
      <c r="O493" s="9"/>
      <c r="P493" s="8"/>
    </row>
    <row r="494" spans="1:16" ht="24" hidden="1" customHeight="1" x14ac:dyDescent="0.3">
      <c r="A494" s="142">
        <v>44244</v>
      </c>
      <c r="B494" s="50" t="s">
        <v>825</v>
      </c>
      <c r="C494" s="5">
        <v>2603000</v>
      </c>
      <c r="D494" s="5"/>
      <c r="E494" s="5">
        <f>+IF(FINANCIACION[[#This Row],[$ CAPITAL]]&gt;=0,FINANCIACION[[#This Row],[$ CAPITAL]]+FINANCIACION[[#This Row],[$ INTERESES]],"")</f>
        <v>2603000</v>
      </c>
      <c r="F494" s="5">
        <f>+SUMIFS(FINANCIACION[$ CAPITAL],FINANCIACION[Fecha],"&lt;="&amp;FINANCIACION[[#This Row],[Fecha]],FINANCIACION[PRESTAMO],FINANCIACION[[#This Row],[PRESTAMO]])</f>
        <v>-63262540.649999999</v>
      </c>
      <c r="G494" s="7"/>
      <c r="H494" s="53"/>
      <c r="I494" s="5">
        <f>IF(FINANCIACION[[#This Row],[$ CAPITAL]]&gt;0,FINANCIACION[[#This Row],[$ CAPITAL]])</f>
        <v>2603000</v>
      </c>
      <c r="J494" s="33">
        <f>IF(FINANCIACION[[#This Row],[$ CAPITAL]]&gt;=0,FINANCIACION[[#This Row],[$ CAPITAL]]+FINANCIACION[[#This Row],[$ INTERESES]],0)</f>
        <v>2603000</v>
      </c>
      <c r="K494" s="10"/>
      <c r="N494" s="6"/>
      <c r="O494" s="9"/>
      <c r="P494" s="8"/>
    </row>
    <row r="495" spans="1:16" ht="24" hidden="1" customHeight="1" x14ac:dyDescent="0.3">
      <c r="A495" s="142">
        <v>44244</v>
      </c>
      <c r="B495" s="50" t="s">
        <v>826</v>
      </c>
      <c r="C495" s="5">
        <v>2718857</v>
      </c>
      <c r="D495" s="5"/>
      <c r="E495" s="5">
        <f>+IF(FINANCIACION[[#This Row],[$ CAPITAL]]&gt;=0,FINANCIACION[[#This Row],[$ CAPITAL]]+FINANCIACION[[#This Row],[$ INTERESES]],"")</f>
        <v>2718857</v>
      </c>
      <c r="F495" s="5">
        <f>+SUMIFS(FINANCIACION[$ CAPITAL],FINANCIACION[Fecha],"&lt;="&amp;FINANCIACION[[#This Row],[Fecha]],FINANCIACION[PRESTAMO],FINANCIACION[[#This Row],[PRESTAMO]])</f>
        <v>-92225689.189999998</v>
      </c>
      <c r="G495" s="7"/>
      <c r="H495" s="53"/>
      <c r="I495" s="5">
        <f>IF(FINANCIACION[[#This Row],[$ CAPITAL]]&gt;0,FINANCIACION[[#This Row],[$ CAPITAL]])</f>
        <v>2718857</v>
      </c>
      <c r="J495" s="33">
        <f>IF(FINANCIACION[[#This Row],[$ CAPITAL]]&gt;=0,FINANCIACION[[#This Row],[$ CAPITAL]]+FINANCIACION[[#This Row],[$ INTERESES]],0)</f>
        <v>2718857</v>
      </c>
      <c r="K495" s="10"/>
      <c r="N495" s="6"/>
      <c r="O495" s="9"/>
      <c r="P495" s="8"/>
    </row>
    <row r="496" spans="1:16" ht="24" hidden="1" customHeight="1" x14ac:dyDescent="0.3">
      <c r="A496" s="142">
        <v>44244</v>
      </c>
      <c r="B496" s="50" t="s">
        <v>821</v>
      </c>
      <c r="C496" s="5">
        <v>108181</v>
      </c>
      <c r="D496" s="5"/>
      <c r="E496" s="5">
        <f>+IF(FINANCIACION[[#This Row],[$ CAPITAL]]&gt;=0,FINANCIACION[[#This Row],[$ CAPITAL]]+FINANCIACION[[#This Row],[$ INTERESES]],"")</f>
        <v>108181</v>
      </c>
      <c r="F496" s="5">
        <f>+SUMIFS(FINANCIACION[$ CAPITAL],FINANCIACION[Fecha],"&lt;="&amp;FINANCIACION[[#This Row],[Fecha]],FINANCIACION[PRESTAMO],FINANCIACION[[#This Row],[PRESTAMO]])</f>
        <v>-346350131</v>
      </c>
      <c r="G496" s="7"/>
      <c r="H496" s="53"/>
      <c r="I496" s="5">
        <f>IF(FINANCIACION[[#This Row],[$ CAPITAL]]&gt;0,FINANCIACION[[#This Row],[$ CAPITAL]])</f>
        <v>108181</v>
      </c>
      <c r="J496" s="33">
        <f>IF(FINANCIACION[[#This Row],[$ CAPITAL]]&gt;=0,FINANCIACION[[#This Row],[$ CAPITAL]]+FINANCIACION[[#This Row],[$ INTERESES]],0)</f>
        <v>108181</v>
      </c>
      <c r="K496" s="10"/>
      <c r="N496" s="6"/>
      <c r="O496" s="9"/>
      <c r="P496" s="8"/>
    </row>
    <row r="497" spans="1:16" ht="24" hidden="1" customHeight="1" x14ac:dyDescent="0.3">
      <c r="A497" s="142">
        <v>44244</v>
      </c>
      <c r="B497" s="50" t="s">
        <v>821</v>
      </c>
      <c r="C497" s="5">
        <v>3500000</v>
      </c>
      <c r="D497" s="5"/>
      <c r="E497" s="5">
        <f>+IF(FINANCIACION[[#This Row],[$ CAPITAL]]&gt;=0,FINANCIACION[[#This Row],[$ CAPITAL]]+FINANCIACION[[#This Row],[$ INTERESES]],"")</f>
        <v>3500000</v>
      </c>
      <c r="F497" s="5">
        <f>+SUMIFS(FINANCIACION[$ CAPITAL],FINANCIACION[Fecha],"&lt;="&amp;FINANCIACION[[#This Row],[Fecha]],FINANCIACION[PRESTAMO],FINANCIACION[[#This Row],[PRESTAMO]])</f>
        <v>-346350131</v>
      </c>
      <c r="G497" s="7"/>
      <c r="H497" s="53"/>
      <c r="I497" s="5">
        <f>IF(FINANCIACION[[#This Row],[$ CAPITAL]]&gt;0,FINANCIACION[[#This Row],[$ CAPITAL]])</f>
        <v>3500000</v>
      </c>
      <c r="J497" s="33">
        <f>IF(FINANCIACION[[#This Row],[$ CAPITAL]]&gt;=0,FINANCIACION[[#This Row],[$ CAPITAL]]+FINANCIACION[[#This Row],[$ INTERESES]],0)</f>
        <v>3500000</v>
      </c>
      <c r="K497" s="10"/>
      <c r="N497" s="6"/>
      <c r="O497" s="9"/>
      <c r="P497" s="8"/>
    </row>
    <row r="498" spans="1:16" ht="24" hidden="1" customHeight="1" x14ac:dyDescent="0.3">
      <c r="A498" s="142">
        <v>44244</v>
      </c>
      <c r="B498" s="50" t="s">
        <v>822</v>
      </c>
      <c r="C498" s="5">
        <v>1282000</v>
      </c>
      <c r="D498" s="5"/>
      <c r="E498" s="5">
        <f>+IF(FINANCIACION[[#This Row],[$ CAPITAL]]&gt;=0,FINANCIACION[[#This Row],[$ CAPITAL]]+FINANCIACION[[#This Row],[$ INTERESES]],"")</f>
        <v>1282000</v>
      </c>
      <c r="F498" s="5">
        <f>+SUMIFS(FINANCIACION[$ CAPITAL],FINANCIACION[Fecha],"&lt;="&amp;FINANCIACION[[#This Row],[Fecha]],FINANCIACION[PRESTAMO],FINANCIACION[[#This Row],[PRESTAMO]])</f>
        <v>-46575749.090000033</v>
      </c>
      <c r="G498" s="7"/>
      <c r="H498" s="53"/>
      <c r="I498" s="5">
        <f>IF(FINANCIACION[[#This Row],[$ CAPITAL]]&gt;0,FINANCIACION[[#This Row],[$ CAPITAL]])</f>
        <v>1282000</v>
      </c>
      <c r="J498" s="33">
        <f>IF(FINANCIACION[[#This Row],[$ CAPITAL]]&gt;=0,FINANCIACION[[#This Row],[$ CAPITAL]]+FINANCIACION[[#This Row],[$ INTERESES]],0)</f>
        <v>1282000</v>
      </c>
      <c r="K498" s="10"/>
      <c r="N498" s="6"/>
      <c r="O498" s="9"/>
      <c r="P498" s="8"/>
    </row>
    <row r="499" spans="1:16" ht="24" hidden="1" customHeight="1" x14ac:dyDescent="0.3">
      <c r="A499" s="142">
        <v>44244</v>
      </c>
      <c r="B499" s="50" t="s">
        <v>822</v>
      </c>
      <c r="C499" s="5">
        <v>1544000</v>
      </c>
      <c r="D499" s="5"/>
      <c r="E499" s="5">
        <f>+IF(FINANCIACION[[#This Row],[$ CAPITAL]]&gt;=0,FINANCIACION[[#This Row],[$ CAPITAL]]+FINANCIACION[[#This Row],[$ INTERESES]],"")</f>
        <v>1544000</v>
      </c>
      <c r="F499" s="5">
        <f>+SUMIFS(FINANCIACION[$ CAPITAL],FINANCIACION[Fecha],"&lt;="&amp;FINANCIACION[[#This Row],[Fecha]],FINANCIACION[PRESTAMO],FINANCIACION[[#This Row],[PRESTAMO]])</f>
        <v>-46575749.090000033</v>
      </c>
      <c r="G499" s="7"/>
      <c r="H499" s="53"/>
      <c r="I499" s="5">
        <f>IF(FINANCIACION[[#This Row],[$ CAPITAL]]&gt;0,FINANCIACION[[#This Row],[$ CAPITAL]])</f>
        <v>1544000</v>
      </c>
      <c r="J499" s="33">
        <f>IF(FINANCIACION[[#This Row],[$ CAPITAL]]&gt;=0,FINANCIACION[[#This Row],[$ CAPITAL]]+FINANCIACION[[#This Row],[$ INTERESES]],0)</f>
        <v>1544000</v>
      </c>
      <c r="K499" s="10"/>
      <c r="N499" s="6"/>
      <c r="O499" s="9"/>
      <c r="P499" s="8"/>
    </row>
    <row r="500" spans="1:16" ht="24" hidden="1" customHeight="1" x14ac:dyDescent="0.3">
      <c r="A500" s="142">
        <v>44245</v>
      </c>
      <c r="B500" s="50" t="s">
        <v>823</v>
      </c>
      <c r="C500" s="5">
        <v>-50000000</v>
      </c>
      <c r="D500" s="5"/>
      <c r="E500" s="5" t="str">
        <f>+IF(FINANCIACION[[#This Row],[$ CAPITAL]]&gt;=0,FINANCIACION[[#This Row],[$ CAPITAL]]+FINANCIACION[[#This Row],[$ INTERESES]],"")</f>
        <v/>
      </c>
      <c r="F500" s="5">
        <f>+SUMIFS(FINANCIACION[$ CAPITAL],FINANCIACION[Fecha],"&lt;="&amp;FINANCIACION[[#This Row],[Fecha]],FINANCIACION[PRESTAMO],FINANCIACION[[#This Row],[PRESTAMO]])</f>
        <v>-60672903.299999997</v>
      </c>
      <c r="G500" s="7"/>
      <c r="H500" s="53"/>
      <c r="I500" s="5" t="b">
        <f>IF(FINANCIACION[[#This Row],[$ CAPITAL]]&gt;0,FINANCIACION[[#This Row],[$ CAPITAL]])</f>
        <v>0</v>
      </c>
      <c r="J500" s="33">
        <f>IF(FINANCIACION[[#This Row],[$ CAPITAL]]&gt;=0,FINANCIACION[[#This Row],[$ CAPITAL]]+FINANCIACION[[#This Row],[$ INTERESES]],0)</f>
        <v>0</v>
      </c>
      <c r="K500" s="10"/>
      <c r="N500" s="6"/>
      <c r="O500" s="9"/>
      <c r="P500" s="8"/>
    </row>
    <row r="501" spans="1:16" ht="24" hidden="1" customHeight="1" x14ac:dyDescent="0.3">
      <c r="A501" s="142">
        <v>44247</v>
      </c>
      <c r="B501" s="50" t="s">
        <v>830</v>
      </c>
      <c r="C501" s="5"/>
      <c r="D501" s="5">
        <v>130000</v>
      </c>
      <c r="E501" s="5">
        <f>+IF(FINANCIACION[[#This Row],[$ CAPITAL]]&gt;=0,FINANCIACION[[#This Row],[$ CAPITAL]]+FINANCIACION[[#This Row],[$ INTERESES]],"")</f>
        <v>130000</v>
      </c>
      <c r="F501" s="5">
        <f>+SUMIFS(FINANCIACION[$ CAPITAL],FINANCIACION[Fecha],"&lt;="&amp;FINANCIACION[[#This Row],[Fecha]],FINANCIACION[PRESTAMO],FINANCIACION[[#This Row],[PRESTAMO]])</f>
        <v>-13000000</v>
      </c>
      <c r="G501" s="7"/>
      <c r="H501" s="53"/>
      <c r="I501" s="5" t="b">
        <f>IF(FINANCIACION[[#This Row],[$ CAPITAL]]&gt;0,FINANCIACION[[#This Row],[$ CAPITAL]])</f>
        <v>0</v>
      </c>
      <c r="J501" s="33">
        <f>IF(FINANCIACION[[#This Row],[$ CAPITAL]]&gt;=0,FINANCIACION[[#This Row],[$ CAPITAL]]+FINANCIACION[[#This Row],[$ INTERESES]],0)</f>
        <v>130000</v>
      </c>
      <c r="K501" s="10"/>
      <c r="N501" s="6"/>
      <c r="O501" s="9"/>
      <c r="P501" s="8"/>
    </row>
    <row r="502" spans="1:16" ht="24" hidden="1" customHeight="1" x14ac:dyDescent="0.3">
      <c r="A502" s="142">
        <v>44248</v>
      </c>
      <c r="B502" s="50" t="s">
        <v>820</v>
      </c>
      <c r="C502" s="5">
        <v>-8879000</v>
      </c>
      <c r="D502" s="5"/>
      <c r="E502" s="5" t="str">
        <f>+IF(FINANCIACION[[#This Row],[$ CAPITAL]]&gt;=0,FINANCIACION[[#This Row],[$ CAPITAL]]+FINANCIACION[[#This Row],[$ INTERESES]],"")</f>
        <v/>
      </c>
      <c r="F502" s="5">
        <f>+SUMIFS(FINANCIACION[$ CAPITAL],FINANCIACION[Fecha],"&lt;="&amp;FINANCIACION[[#This Row],[Fecha]],FINANCIACION[PRESTAMO],FINANCIACION[[#This Row],[PRESTAMO]])</f>
        <v>-74731214</v>
      </c>
      <c r="G502" s="7"/>
      <c r="H502" s="53"/>
      <c r="I502" s="5" t="b">
        <f>IF(FINANCIACION[[#This Row],[$ CAPITAL]]&gt;0,FINANCIACION[[#This Row],[$ CAPITAL]])</f>
        <v>0</v>
      </c>
      <c r="J502" s="33">
        <f>IF(FINANCIACION[[#This Row],[$ CAPITAL]]&gt;=0,FINANCIACION[[#This Row],[$ CAPITAL]]+FINANCIACION[[#This Row],[$ INTERESES]],0)</f>
        <v>0</v>
      </c>
      <c r="K502" s="10"/>
      <c r="N502" s="6"/>
      <c r="O502" s="9"/>
      <c r="P502" s="8"/>
    </row>
    <row r="503" spans="1:16" ht="24" hidden="1" customHeight="1" x14ac:dyDescent="0.3">
      <c r="A503" s="142">
        <v>44255</v>
      </c>
      <c r="B503" s="50" t="s">
        <v>188</v>
      </c>
      <c r="C503" s="5">
        <v>230373</v>
      </c>
      <c r="D503" s="5">
        <v>510203</v>
      </c>
      <c r="E503" s="5">
        <f>+IF(FINANCIACION[[#This Row],[$ CAPITAL]]&gt;=0,FINANCIACION[[#This Row],[$ CAPITAL]]+FINANCIACION[[#This Row],[$ INTERESES]],"")</f>
        <v>740576</v>
      </c>
      <c r="F503" s="5">
        <f>+SUMIFS(FINANCIACION[$ CAPITAL],FINANCIACION[Fecha],"&lt;="&amp;FINANCIACION[[#This Row],[Fecha]],FINANCIACION[PRESTAMO],FINANCIACION[[#This Row],[PRESTAMO]])</f>
        <v>-2841267</v>
      </c>
      <c r="G503" s="7" t="s">
        <v>225</v>
      </c>
      <c r="H503" s="53"/>
      <c r="I503" s="5">
        <f>IF(FINANCIACION[[#This Row],[$ CAPITAL]]&gt;0,FINANCIACION[[#This Row],[$ CAPITAL]])</f>
        <v>230373</v>
      </c>
      <c r="J503" s="33">
        <f>IF(FINANCIACION[[#This Row],[$ CAPITAL]]&gt;=0,FINANCIACION[[#This Row],[$ CAPITAL]]+FINANCIACION[[#This Row],[$ INTERESES]],0)</f>
        <v>740576</v>
      </c>
      <c r="K503" s="10"/>
      <c r="N503" s="6"/>
      <c r="O503" s="9"/>
      <c r="P503" s="8"/>
    </row>
    <row r="504" spans="1:16" ht="24" hidden="1" customHeight="1" x14ac:dyDescent="0.3">
      <c r="A504" s="142">
        <v>44255</v>
      </c>
      <c r="B504" s="50" t="s">
        <v>190</v>
      </c>
      <c r="C504" s="5">
        <v>-2575168</v>
      </c>
      <c r="D504" s="5"/>
      <c r="E504" s="5" t="str">
        <f>+IF(FINANCIACION[[#This Row],[$ CAPITAL]]&gt;=0,FINANCIACION[[#This Row],[$ CAPITAL]]+FINANCIACION[[#This Row],[$ INTERESES]],"")</f>
        <v/>
      </c>
      <c r="F504" s="5">
        <f>+SUMIFS(FINANCIACION[$ CAPITAL],FINANCIACION[Fecha],"&lt;="&amp;FINANCIACION[[#This Row],[Fecha]],FINANCIACION[PRESTAMO],FINANCIACION[[#This Row],[PRESTAMO]])</f>
        <v>-92706048</v>
      </c>
      <c r="G504" s="7" t="s">
        <v>225</v>
      </c>
      <c r="H504" s="53"/>
      <c r="I504" s="5" t="b">
        <f>IF(FINANCIACION[[#This Row],[$ CAPITAL]]&gt;0,FINANCIACION[[#This Row],[$ CAPITAL]])</f>
        <v>0</v>
      </c>
      <c r="J504" s="33">
        <f>IF(FINANCIACION[[#This Row],[$ CAPITAL]]&gt;=0,FINANCIACION[[#This Row],[$ CAPITAL]]+FINANCIACION[[#This Row],[$ INTERESES]],0)</f>
        <v>0</v>
      </c>
      <c r="K504" s="10"/>
      <c r="N504" s="6"/>
      <c r="O504" s="9"/>
      <c r="P504" s="8"/>
    </row>
    <row r="505" spans="1:16" ht="24" hidden="1" customHeight="1" x14ac:dyDescent="0.3">
      <c r="A505" s="142">
        <v>44255</v>
      </c>
      <c r="B505" s="50" t="s">
        <v>827</v>
      </c>
      <c r="C505" s="5">
        <v>-324272.9299999997</v>
      </c>
      <c r="D505" s="5"/>
      <c r="E505" s="5" t="str">
        <f>+IF(FINANCIACION[[#This Row],[$ CAPITAL]]&gt;=0,FINANCIACION[[#This Row],[$ CAPITAL]]+FINANCIACION[[#This Row],[$ INTERESES]],"")</f>
        <v/>
      </c>
      <c r="F505" s="5">
        <f>+SUMIFS(FINANCIACION[$ CAPITAL],FINANCIACION[Fecha],"&lt;="&amp;FINANCIACION[[#This Row],[Fecha]],FINANCIACION[PRESTAMO],FINANCIACION[[#This Row],[PRESTAMO]])</f>
        <v>-24706333.149999999</v>
      </c>
      <c r="G505" s="7" t="s">
        <v>225</v>
      </c>
      <c r="H505" s="53"/>
      <c r="I505" s="5" t="b">
        <f>IF(FINANCIACION[[#This Row],[$ CAPITAL]]&gt;0,FINANCIACION[[#This Row],[$ CAPITAL]])</f>
        <v>0</v>
      </c>
      <c r="J505" s="33">
        <f>IF(FINANCIACION[[#This Row],[$ CAPITAL]]&gt;=0,FINANCIACION[[#This Row],[$ CAPITAL]]+FINANCIACION[[#This Row],[$ INTERESES]],0)</f>
        <v>0</v>
      </c>
      <c r="K505" s="10"/>
      <c r="N505" s="6"/>
      <c r="O505" s="9"/>
      <c r="P505" s="8"/>
    </row>
    <row r="506" spans="1:16" ht="24" hidden="1" customHeight="1" x14ac:dyDescent="0.3">
      <c r="A506" s="142">
        <v>44255</v>
      </c>
      <c r="B506" s="50" t="s">
        <v>829</v>
      </c>
      <c r="C506" s="5">
        <v>-362321.97000000253</v>
      </c>
      <c r="D506" s="5"/>
      <c r="E506" s="5" t="str">
        <f>+IF(FINANCIACION[[#This Row],[$ CAPITAL]]&gt;=0,FINANCIACION[[#This Row],[$ CAPITAL]]+FINANCIACION[[#This Row],[$ INTERESES]],"")</f>
        <v/>
      </c>
      <c r="F506" s="5">
        <f>+SUMIFS(FINANCIACION[$ CAPITAL],FINANCIACION[Fecha],"&lt;="&amp;FINANCIACION[[#This Row],[Fecha]],FINANCIACION[PRESTAMO],FINANCIACION[[#This Row],[PRESTAMO]])</f>
        <v>-26991160.550000001</v>
      </c>
      <c r="G506" s="7" t="s">
        <v>225</v>
      </c>
      <c r="H506" s="53"/>
      <c r="I506" s="5" t="b">
        <f>IF(FINANCIACION[[#This Row],[$ CAPITAL]]&gt;0,FINANCIACION[[#This Row],[$ CAPITAL]])</f>
        <v>0</v>
      </c>
      <c r="J506" s="33">
        <f>IF(FINANCIACION[[#This Row],[$ CAPITAL]]&gt;=0,FINANCIACION[[#This Row],[$ CAPITAL]]+FINANCIACION[[#This Row],[$ INTERESES]],0)</f>
        <v>0</v>
      </c>
      <c r="K506" s="10"/>
      <c r="N506" s="6"/>
      <c r="O506" s="9"/>
      <c r="P506" s="8"/>
    </row>
    <row r="507" spans="1:16" ht="24" hidden="1" customHeight="1" x14ac:dyDescent="0.3">
      <c r="A507" s="142">
        <v>44255</v>
      </c>
      <c r="B507" s="50" t="s">
        <v>825</v>
      </c>
      <c r="C507" s="5">
        <v>2266793.0700000003</v>
      </c>
      <c r="D507" s="5"/>
      <c r="E507" s="5">
        <f>+IF(FINANCIACION[[#This Row],[$ CAPITAL]]&gt;=0,FINANCIACION[[#This Row],[$ CAPITAL]]+FINANCIACION[[#This Row],[$ INTERESES]],"")</f>
        <v>2266793.0700000003</v>
      </c>
      <c r="F507" s="5">
        <f>+SUMIFS(FINANCIACION[$ CAPITAL],FINANCIACION[Fecha],"&lt;="&amp;FINANCIACION[[#This Row],[Fecha]],FINANCIACION[PRESTAMO],FINANCIACION[[#This Row],[PRESTAMO]])</f>
        <v>-60995747.579999998</v>
      </c>
      <c r="G507" s="7" t="s">
        <v>225</v>
      </c>
      <c r="H507" s="53"/>
      <c r="I507" s="5">
        <f>IF(FINANCIACION[[#This Row],[$ CAPITAL]]&gt;0,FINANCIACION[[#This Row],[$ CAPITAL]])</f>
        <v>2266793.0700000003</v>
      </c>
      <c r="J507" s="33">
        <f>IF(FINANCIACION[[#This Row],[$ CAPITAL]]&gt;=0,FINANCIACION[[#This Row],[$ CAPITAL]]+FINANCIACION[[#This Row],[$ INTERESES]],0)</f>
        <v>2266793.0700000003</v>
      </c>
      <c r="K507" s="10"/>
      <c r="N507" s="6"/>
      <c r="O507" s="9"/>
      <c r="P507" s="8"/>
    </row>
    <row r="508" spans="1:16" ht="24" hidden="1" customHeight="1" x14ac:dyDescent="0.3">
      <c r="A508" s="142">
        <v>44255</v>
      </c>
      <c r="B508" s="50" t="s">
        <v>826</v>
      </c>
      <c r="C508" s="5">
        <v>3748799.9599999934</v>
      </c>
      <c r="D508" s="5"/>
      <c r="E508" s="5">
        <f>+IF(FINANCIACION[[#This Row],[$ CAPITAL]]&gt;=0,FINANCIACION[[#This Row],[$ CAPITAL]]+FINANCIACION[[#This Row],[$ INTERESES]],"")</f>
        <v>3748799.9599999934</v>
      </c>
      <c r="F508" s="5">
        <f>+SUMIFS(FINANCIACION[$ CAPITAL],FINANCIACION[Fecha],"&lt;="&amp;FINANCIACION[[#This Row],[Fecha]],FINANCIACION[PRESTAMO],FINANCIACION[[#This Row],[PRESTAMO]])</f>
        <v>-88476889.230000004</v>
      </c>
      <c r="G508" s="7" t="s">
        <v>225</v>
      </c>
      <c r="H508" s="53"/>
      <c r="I508" s="5">
        <f>IF(FINANCIACION[[#This Row],[$ CAPITAL]]&gt;0,FINANCIACION[[#This Row],[$ CAPITAL]])</f>
        <v>3748799.9599999934</v>
      </c>
      <c r="J508" s="33">
        <f>IF(FINANCIACION[[#This Row],[$ CAPITAL]]&gt;=0,FINANCIACION[[#This Row],[$ CAPITAL]]+FINANCIACION[[#This Row],[$ INTERESES]],0)</f>
        <v>3748799.9599999934</v>
      </c>
      <c r="K508" s="10"/>
      <c r="N508" s="6"/>
      <c r="O508" s="9"/>
      <c r="P508" s="8"/>
    </row>
    <row r="509" spans="1:16" ht="24" hidden="1" customHeight="1" x14ac:dyDescent="0.3">
      <c r="A509" s="142">
        <v>44255</v>
      </c>
      <c r="B509" s="50" t="s">
        <v>821</v>
      </c>
      <c r="C509" s="5">
        <v>-8929573</v>
      </c>
      <c r="D509" s="5"/>
      <c r="E509" s="5" t="str">
        <f>+IF(FINANCIACION[[#This Row],[$ CAPITAL]]&gt;=0,FINANCIACION[[#This Row],[$ CAPITAL]]+FINANCIACION[[#This Row],[$ INTERESES]],"")</f>
        <v/>
      </c>
      <c r="F509" s="5">
        <f>+SUMIFS(FINANCIACION[$ CAPITAL],FINANCIACION[Fecha],"&lt;="&amp;FINANCIACION[[#This Row],[Fecha]],FINANCIACION[PRESTAMO],FINANCIACION[[#This Row],[PRESTAMO]])</f>
        <v>-355279704</v>
      </c>
      <c r="G509" s="7" t="s">
        <v>225</v>
      </c>
      <c r="H509" s="53"/>
      <c r="I509" s="5" t="b">
        <f>IF(FINANCIACION[[#This Row],[$ CAPITAL]]&gt;0,FINANCIACION[[#This Row],[$ CAPITAL]])</f>
        <v>0</v>
      </c>
      <c r="J509" s="33">
        <f>IF(FINANCIACION[[#This Row],[$ CAPITAL]]&gt;=0,FINANCIACION[[#This Row],[$ CAPITAL]]+FINANCIACION[[#This Row],[$ INTERESES]],0)</f>
        <v>0</v>
      </c>
      <c r="K509" s="10"/>
      <c r="N509" s="6"/>
      <c r="O509" s="9"/>
      <c r="P509" s="8"/>
    </row>
    <row r="510" spans="1:16" ht="24" hidden="1" customHeight="1" x14ac:dyDescent="0.3">
      <c r="A510" s="142">
        <v>44255</v>
      </c>
      <c r="B510" s="50" t="s">
        <v>822</v>
      </c>
      <c r="C510" s="5">
        <v>1162943.3500000052</v>
      </c>
      <c r="D510" s="5"/>
      <c r="E510" s="5">
        <f>+IF(FINANCIACION[[#This Row],[$ CAPITAL]]&gt;=0,FINANCIACION[[#This Row],[$ CAPITAL]]+FINANCIACION[[#This Row],[$ INTERESES]],"")</f>
        <v>1162943.3500000052</v>
      </c>
      <c r="F510" s="5">
        <f>+SUMIFS(FINANCIACION[$ CAPITAL],FINANCIACION[Fecha],"&lt;="&amp;FINANCIACION[[#This Row],[Fecha]],FINANCIACION[PRESTAMO],FINANCIACION[[#This Row],[PRESTAMO]])</f>
        <v>-72197464.860000014</v>
      </c>
      <c r="G510" s="7" t="s">
        <v>225</v>
      </c>
      <c r="H510" s="53"/>
      <c r="I510" s="5">
        <f>IF(FINANCIACION[[#This Row],[$ CAPITAL]]&gt;0,FINANCIACION[[#This Row],[$ CAPITAL]])</f>
        <v>1162943.3500000052</v>
      </c>
      <c r="J510" s="33">
        <f>IF(FINANCIACION[[#This Row],[$ CAPITAL]]&gt;=0,FINANCIACION[[#This Row],[$ CAPITAL]]+FINANCIACION[[#This Row],[$ INTERESES]],0)</f>
        <v>1162943.3500000052</v>
      </c>
      <c r="K510" s="10"/>
      <c r="N510" s="6"/>
      <c r="O510" s="9"/>
      <c r="P510" s="8"/>
    </row>
    <row r="511" spans="1:16" ht="24" hidden="1" customHeight="1" x14ac:dyDescent="0.3">
      <c r="A511" s="142">
        <v>44255</v>
      </c>
      <c r="B511" s="50" t="s">
        <v>822</v>
      </c>
      <c r="C511" s="5">
        <v>-267882</v>
      </c>
      <c r="D511" s="5"/>
      <c r="E511" s="5" t="str">
        <f>+IF(FINANCIACION[[#This Row],[$ CAPITAL]]&gt;=0,FINANCIACION[[#This Row],[$ CAPITAL]]+FINANCIACION[[#This Row],[$ INTERESES]],"")</f>
        <v/>
      </c>
      <c r="F511" s="5">
        <f>+SUMIFS(FINANCIACION[$ CAPITAL],FINANCIACION[Fecha],"&lt;="&amp;FINANCIACION[[#This Row],[Fecha]],FINANCIACION[PRESTAMO],FINANCIACION[[#This Row],[PRESTAMO]])</f>
        <v>-72197464.860000014</v>
      </c>
      <c r="G511" s="7" t="s">
        <v>225</v>
      </c>
      <c r="H511" s="53"/>
      <c r="I511" s="5" t="b">
        <f>IF(FINANCIACION[[#This Row],[$ CAPITAL]]&gt;0,FINANCIACION[[#This Row],[$ CAPITAL]])</f>
        <v>0</v>
      </c>
      <c r="J511" s="33">
        <f>IF(FINANCIACION[[#This Row],[$ CAPITAL]]&gt;=0,FINANCIACION[[#This Row],[$ CAPITAL]]+FINANCIACION[[#This Row],[$ INTERESES]],0)</f>
        <v>0</v>
      </c>
      <c r="K511" s="10"/>
      <c r="N511" s="6"/>
      <c r="O511" s="9"/>
      <c r="P511" s="8"/>
    </row>
    <row r="512" spans="1:16" ht="24" hidden="1" customHeight="1" x14ac:dyDescent="0.3">
      <c r="A512" s="142">
        <v>44255</v>
      </c>
      <c r="B512" s="50" t="s">
        <v>822</v>
      </c>
      <c r="C512" s="5">
        <v>-27478261</v>
      </c>
      <c r="D512" s="5"/>
      <c r="E512" s="5" t="str">
        <f>+IF(FINANCIACION[[#This Row],[$ CAPITAL]]&gt;=0,FINANCIACION[[#This Row],[$ CAPITAL]]+FINANCIACION[[#This Row],[$ INTERESES]],"")</f>
        <v/>
      </c>
      <c r="F512" s="5">
        <f>+SUMIFS(FINANCIACION[$ CAPITAL],FINANCIACION[Fecha],"&lt;="&amp;FINANCIACION[[#This Row],[Fecha]],FINANCIACION[PRESTAMO],FINANCIACION[[#This Row],[PRESTAMO]])</f>
        <v>-72197464.860000014</v>
      </c>
      <c r="G512" s="7" t="s">
        <v>225</v>
      </c>
      <c r="H512" s="53"/>
      <c r="I512" s="5" t="b">
        <f>IF(FINANCIACION[[#This Row],[$ CAPITAL]]&gt;0,FINANCIACION[[#This Row],[$ CAPITAL]])</f>
        <v>0</v>
      </c>
      <c r="J512" s="33">
        <f>IF(FINANCIACION[[#This Row],[$ CAPITAL]]&gt;=0,FINANCIACION[[#This Row],[$ CAPITAL]]+FINANCIACION[[#This Row],[$ INTERESES]],0)</f>
        <v>0</v>
      </c>
      <c r="K512" s="10"/>
      <c r="N512" s="6"/>
      <c r="O512" s="9"/>
      <c r="P512" s="8"/>
    </row>
    <row r="513" spans="1:16" ht="24" hidden="1" customHeight="1" x14ac:dyDescent="0.3">
      <c r="A513" s="142">
        <v>44255</v>
      </c>
      <c r="B513" s="50" t="s">
        <v>822</v>
      </c>
      <c r="C513" s="5">
        <v>-141771.9999999851</v>
      </c>
      <c r="D513" s="5"/>
      <c r="E513" s="5" t="str">
        <f>+IF(FINANCIACION[[#This Row],[$ CAPITAL]]&gt;=0,FINANCIACION[[#This Row],[$ CAPITAL]]+FINANCIACION[[#This Row],[$ INTERESES]],"")</f>
        <v/>
      </c>
      <c r="F513" s="5">
        <f>+SUMIFS(FINANCIACION[$ CAPITAL],FINANCIACION[Fecha],"&lt;="&amp;FINANCIACION[[#This Row],[Fecha]],FINANCIACION[PRESTAMO],FINANCIACION[[#This Row],[PRESTAMO]])</f>
        <v>-72197464.860000014</v>
      </c>
      <c r="G513" s="7" t="s">
        <v>225</v>
      </c>
      <c r="H513" s="53"/>
      <c r="I513" s="5" t="b">
        <f>IF(FINANCIACION[[#This Row],[$ CAPITAL]]&gt;0,FINANCIACION[[#This Row],[$ CAPITAL]])</f>
        <v>0</v>
      </c>
      <c r="J513" s="33">
        <f>IF(FINANCIACION[[#This Row],[$ CAPITAL]]&gt;=0,FINANCIACION[[#This Row],[$ CAPITAL]]+FINANCIACION[[#This Row],[$ INTERESES]],0)</f>
        <v>0</v>
      </c>
      <c r="K513" s="10"/>
      <c r="N513" s="6"/>
      <c r="O513" s="9"/>
      <c r="P513" s="8"/>
    </row>
    <row r="514" spans="1:16" ht="24" hidden="1" customHeight="1" x14ac:dyDescent="0.3">
      <c r="A514" s="142">
        <v>44255</v>
      </c>
      <c r="B514" s="50" t="s">
        <v>822</v>
      </c>
      <c r="C514" s="5">
        <v>1103255.8800000027</v>
      </c>
      <c r="D514" s="5"/>
      <c r="E514" s="5">
        <f>+IF(FINANCIACION[[#This Row],[$ CAPITAL]]&gt;=0,FINANCIACION[[#This Row],[$ CAPITAL]]+FINANCIACION[[#This Row],[$ INTERESES]],"")</f>
        <v>1103255.8800000027</v>
      </c>
      <c r="F514" s="5">
        <f>+SUMIFS(FINANCIACION[$ CAPITAL],FINANCIACION[Fecha],"&lt;="&amp;FINANCIACION[[#This Row],[Fecha]],FINANCIACION[PRESTAMO],FINANCIACION[[#This Row],[PRESTAMO]])</f>
        <v>-72197464.860000014</v>
      </c>
      <c r="G514" s="7" t="s">
        <v>225</v>
      </c>
      <c r="H514" s="53"/>
      <c r="I514" s="5">
        <f>IF(FINANCIACION[[#This Row],[$ CAPITAL]]&gt;0,FINANCIACION[[#This Row],[$ CAPITAL]])</f>
        <v>1103255.8800000027</v>
      </c>
      <c r="J514" s="33">
        <f>IF(FINANCIACION[[#This Row],[$ CAPITAL]]&gt;=0,FINANCIACION[[#This Row],[$ CAPITAL]]+FINANCIACION[[#This Row],[$ INTERESES]],0)</f>
        <v>1103255.8800000027</v>
      </c>
      <c r="K514" s="10"/>
      <c r="N514" s="6"/>
      <c r="O514" s="9"/>
      <c r="P514" s="8"/>
    </row>
    <row r="515" spans="1:16" ht="24" hidden="1" customHeight="1" x14ac:dyDescent="0.3">
      <c r="A515" s="142">
        <v>44255</v>
      </c>
      <c r="B515" s="50" t="s">
        <v>196</v>
      </c>
      <c r="C515" s="5">
        <v>-20437161</v>
      </c>
      <c r="D515" s="5"/>
      <c r="E515" s="5" t="str">
        <f>+IF(FINANCIACION[[#This Row],[$ CAPITAL]]&gt;=0,FINANCIACION[[#This Row],[$ CAPITAL]]+FINANCIACION[[#This Row],[$ INTERESES]],"")</f>
        <v/>
      </c>
      <c r="F515" s="5">
        <f>+SUMIFS(FINANCIACION[$ CAPITAL],FINANCIACION[Fecha],"&lt;="&amp;FINANCIACION[[#This Row],[Fecha]],FINANCIACION[PRESTAMO],FINANCIACION[[#This Row],[PRESTAMO]])</f>
        <v>-27453600</v>
      </c>
      <c r="G515" s="7" t="s">
        <v>225</v>
      </c>
      <c r="H515" s="53"/>
      <c r="I515" s="5" t="b">
        <f>IF(FINANCIACION[[#This Row],[$ CAPITAL]]&gt;0,FINANCIACION[[#This Row],[$ CAPITAL]])</f>
        <v>0</v>
      </c>
      <c r="J515" s="33">
        <f>IF(FINANCIACION[[#This Row],[$ CAPITAL]]&gt;=0,FINANCIACION[[#This Row],[$ CAPITAL]]+FINANCIACION[[#This Row],[$ INTERESES]],0)</f>
        <v>0</v>
      </c>
      <c r="K515" s="10"/>
      <c r="N515" s="6"/>
      <c r="O515" s="9"/>
      <c r="P515" s="8"/>
    </row>
    <row r="516" spans="1:16" ht="24" hidden="1" customHeight="1" x14ac:dyDescent="0.3">
      <c r="A516" s="142">
        <v>44256</v>
      </c>
      <c r="B516" s="50" t="s">
        <v>187</v>
      </c>
      <c r="C516" s="5"/>
      <c r="D516" s="5">
        <v>462578</v>
      </c>
      <c r="E516" s="5">
        <f>+IF(FINANCIACION[[#This Row],[$ CAPITAL]]&gt;=0,FINANCIACION[[#This Row],[$ CAPITAL]]+FINANCIACION[[#This Row],[$ INTERESES]],"")</f>
        <v>462578</v>
      </c>
      <c r="F516" s="5">
        <f>+SUMIFS(FINANCIACION[$ CAPITAL],FINANCIACION[Fecha],"&lt;="&amp;FINANCIACION[[#This Row],[Fecha]],FINANCIACION[PRESTAMO],FINANCIACION[[#This Row],[PRESTAMO]])</f>
        <v>-54330833</v>
      </c>
      <c r="G516" s="7"/>
      <c r="H516" s="53"/>
      <c r="I516" s="5" t="b">
        <f>IF(FINANCIACION[[#This Row],[$ CAPITAL]]&gt;0,FINANCIACION[[#This Row],[$ CAPITAL]])</f>
        <v>0</v>
      </c>
      <c r="J516" s="33">
        <f>IF(FINANCIACION[[#This Row],[$ CAPITAL]]&gt;=0,FINANCIACION[[#This Row],[$ CAPITAL]]+FINANCIACION[[#This Row],[$ INTERESES]],0)</f>
        <v>462578</v>
      </c>
      <c r="K516" s="10"/>
      <c r="N516" s="6"/>
      <c r="O516" s="9"/>
      <c r="P516" s="8"/>
    </row>
    <row r="517" spans="1:16" ht="24" hidden="1" customHeight="1" x14ac:dyDescent="0.3">
      <c r="A517" s="142">
        <v>44256</v>
      </c>
      <c r="B517" s="50" t="s">
        <v>188</v>
      </c>
      <c r="C517" s="5"/>
      <c r="D517" s="5">
        <v>76791</v>
      </c>
      <c r="E517" s="5">
        <f>+IF(FINANCIACION[[#This Row],[$ CAPITAL]]&gt;=0,FINANCIACION[[#This Row],[$ CAPITAL]]+FINANCIACION[[#This Row],[$ INTERESES]],"")</f>
        <v>76791</v>
      </c>
      <c r="F517" s="5">
        <f>+SUMIFS(FINANCIACION[$ CAPITAL],FINANCIACION[Fecha],"&lt;="&amp;FINANCIACION[[#This Row],[Fecha]],FINANCIACION[PRESTAMO],FINANCIACION[[#This Row],[PRESTAMO]])</f>
        <v>-2841267</v>
      </c>
      <c r="G517" s="7"/>
      <c r="H517" s="53"/>
      <c r="I517" s="5" t="b">
        <f>IF(FINANCIACION[[#This Row],[$ CAPITAL]]&gt;0,FINANCIACION[[#This Row],[$ CAPITAL]])</f>
        <v>0</v>
      </c>
      <c r="J517" s="33">
        <f>IF(FINANCIACION[[#This Row],[$ CAPITAL]]&gt;=0,FINANCIACION[[#This Row],[$ CAPITAL]]+FINANCIACION[[#This Row],[$ INTERESES]],0)</f>
        <v>76791</v>
      </c>
      <c r="K517" s="10"/>
      <c r="N517" s="6"/>
      <c r="O517" s="9"/>
      <c r="P517" s="8"/>
    </row>
    <row r="518" spans="1:16" ht="24" hidden="1" customHeight="1" x14ac:dyDescent="0.3">
      <c r="A518" s="142">
        <v>44257</v>
      </c>
      <c r="B518" s="50" t="s">
        <v>822</v>
      </c>
      <c r="C518" s="5">
        <v>1227858</v>
      </c>
      <c r="D518" s="5"/>
      <c r="E518" s="5">
        <f>+IF(FINANCIACION[[#This Row],[$ CAPITAL]]&gt;=0,FINANCIACION[[#This Row],[$ CAPITAL]]+FINANCIACION[[#This Row],[$ INTERESES]],"")</f>
        <v>1227858</v>
      </c>
      <c r="F518" s="5">
        <f>+SUMIFS(FINANCIACION[$ CAPITAL],FINANCIACION[Fecha],"&lt;="&amp;FINANCIACION[[#This Row],[Fecha]],FINANCIACION[PRESTAMO],FINANCIACION[[#This Row],[PRESTAMO]])</f>
        <v>-69969606.860000014</v>
      </c>
      <c r="G518" s="7"/>
      <c r="H518" s="53"/>
      <c r="I518" s="5">
        <f>IF(FINANCIACION[[#This Row],[$ CAPITAL]]&gt;0,FINANCIACION[[#This Row],[$ CAPITAL]])</f>
        <v>1227858</v>
      </c>
      <c r="J518" s="33">
        <f>IF(FINANCIACION[[#This Row],[$ CAPITAL]]&gt;=0,FINANCIACION[[#This Row],[$ CAPITAL]]+FINANCIACION[[#This Row],[$ INTERESES]],0)</f>
        <v>1227858</v>
      </c>
      <c r="K518" s="10"/>
      <c r="N518" s="6"/>
      <c r="O518" s="9"/>
      <c r="P518" s="8"/>
    </row>
    <row r="519" spans="1:16" ht="24" hidden="1" customHeight="1" x14ac:dyDescent="0.3">
      <c r="A519" s="142">
        <v>44257</v>
      </c>
      <c r="B519" s="50" t="s">
        <v>822</v>
      </c>
      <c r="C519" s="5">
        <v>100000</v>
      </c>
      <c r="D519" s="5"/>
      <c r="E519" s="5">
        <f>+IF(FINANCIACION[[#This Row],[$ CAPITAL]]&gt;=0,FINANCIACION[[#This Row],[$ CAPITAL]]+FINANCIACION[[#This Row],[$ INTERESES]],"")</f>
        <v>100000</v>
      </c>
      <c r="F519" s="5">
        <f>+SUMIFS(FINANCIACION[$ CAPITAL],FINANCIACION[Fecha],"&lt;="&amp;FINANCIACION[[#This Row],[Fecha]],FINANCIACION[PRESTAMO],FINANCIACION[[#This Row],[PRESTAMO]])</f>
        <v>-69969606.860000014</v>
      </c>
      <c r="G519" s="7"/>
      <c r="H519" s="53"/>
      <c r="I519" s="5">
        <f>IF(FINANCIACION[[#This Row],[$ CAPITAL]]&gt;0,FINANCIACION[[#This Row],[$ CAPITAL]])</f>
        <v>100000</v>
      </c>
      <c r="J519" s="33">
        <f>IF(FINANCIACION[[#This Row],[$ CAPITAL]]&gt;=0,FINANCIACION[[#This Row],[$ CAPITAL]]+FINANCIACION[[#This Row],[$ INTERESES]],0)</f>
        <v>100000</v>
      </c>
      <c r="K519" s="10"/>
      <c r="N519" s="6"/>
      <c r="O519" s="9"/>
      <c r="P519" s="8"/>
    </row>
    <row r="520" spans="1:16" ht="24" hidden="1" customHeight="1" x14ac:dyDescent="0.3">
      <c r="A520" s="142">
        <v>44257</v>
      </c>
      <c r="B520" s="50" t="s">
        <v>822</v>
      </c>
      <c r="C520" s="5">
        <v>900000</v>
      </c>
      <c r="D520" s="5"/>
      <c r="E520" s="5">
        <f>+IF(FINANCIACION[[#This Row],[$ CAPITAL]]&gt;=0,FINANCIACION[[#This Row],[$ CAPITAL]]+FINANCIACION[[#This Row],[$ INTERESES]],"")</f>
        <v>900000</v>
      </c>
      <c r="F520" s="5">
        <f>+SUMIFS(FINANCIACION[$ CAPITAL],FINANCIACION[Fecha],"&lt;="&amp;FINANCIACION[[#This Row],[Fecha]],FINANCIACION[PRESTAMO],FINANCIACION[[#This Row],[PRESTAMO]])</f>
        <v>-69969606.860000014</v>
      </c>
      <c r="G520" s="7"/>
      <c r="H520" s="53"/>
      <c r="I520" s="5">
        <f>IF(FINANCIACION[[#This Row],[$ CAPITAL]]&gt;0,FINANCIACION[[#This Row],[$ CAPITAL]])</f>
        <v>900000</v>
      </c>
      <c r="J520" s="33">
        <f>IF(FINANCIACION[[#This Row],[$ CAPITAL]]&gt;=0,FINANCIACION[[#This Row],[$ CAPITAL]]+FINANCIACION[[#This Row],[$ INTERESES]],0)</f>
        <v>900000</v>
      </c>
      <c r="K520" s="10"/>
      <c r="N520" s="6"/>
      <c r="O520" s="9"/>
      <c r="P520" s="8"/>
    </row>
    <row r="521" spans="1:16" ht="24" hidden="1" customHeight="1" x14ac:dyDescent="0.3">
      <c r="A521" s="142">
        <v>44259</v>
      </c>
      <c r="B521" s="50" t="s">
        <v>822</v>
      </c>
      <c r="C521" s="5">
        <v>990094.53000000305</v>
      </c>
      <c r="D521" s="5">
        <v>132480.529999997</v>
      </c>
      <c r="E521" s="5">
        <f>+IF(FINANCIACION[[#This Row],[$ CAPITAL]]&gt;=0,FINANCIACION[[#This Row],[$ CAPITAL]]+FINANCIACION[[#This Row],[$ INTERESES]],"")</f>
        <v>1122575.06</v>
      </c>
      <c r="F521" s="5">
        <f>+SUMIFS(FINANCIACION[$ CAPITAL],FINANCIACION[Fecha],"&lt;="&amp;FINANCIACION[[#This Row],[Fecha]],FINANCIACION[PRESTAMO],FINANCIACION[[#This Row],[PRESTAMO]])</f>
        <v>-68979512.330000013</v>
      </c>
      <c r="G521" s="7"/>
      <c r="H521" s="53"/>
      <c r="I521" s="5">
        <f>IF(FINANCIACION[[#This Row],[$ CAPITAL]]&gt;0,FINANCIACION[[#This Row],[$ CAPITAL]])</f>
        <v>990094.53000000305</v>
      </c>
      <c r="J521" s="33">
        <f>IF(FINANCIACION[[#This Row],[$ CAPITAL]]&gt;=0,FINANCIACION[[#This Row],[$ CAPITAL]]+FINANCIACION[[#This Row],[$ INTERESES]],0)</f>
        <v>1122575.06</v>
      </c>
      <c r="K521" s="10"/>
      <c r="N521" s="6"/>
      <c r="O521" s="9"/>
      <c r="P521" s="8"/>
    </row>
    <row r="522" spans="1:16" ht="24" hidden="1" customHeight="1" x14ac:dyDescent="0.3">
      <c r="A522" s="142">
        <v>44261</v>
      </c>
      <c r="B522" s="50" t="s">
        <v>191</v>
      </c>
      <c r="C522" s="5">
        <v>6326000</v>
      </c>
      <c r="D522" s="5">
        <v>528525.73</v>
      </c>
      <c r="E522" s="5">
        <f>+IF(FINANCIACION[[#This Row],[$ CAPITAL]]&gt;=0,FINANCIACION[[#This Row],[$ CAPITAL]]+FINANCIACION[[#This Row],[$ INTERESES]],"")</f>
        <v>6854525.7300000004</v>
      </c>
      <c r="F522" s="5">
        <f>+SUMIFS(FINANCIACION[$ CAPITAL],FINANCIACION[Fecha],"&lt;="&amp;FINANCIACION[[#This Row],[Fecha]],FINANCIACION[PRESTAMO],FINANCIACION[[#This Row],[PRESTAMO]])</f>
        <v>-73017126</v>
      </c>
      <c r="G522" s="7"/>
      <c r="H522" s="53"/>
      <c r="I522" s="5">
        <f>IF(FINANCIACION[[#This Row],[$ CAPITAL]]&gt;0,FINANCIACION[[#This Row],[$ CAPITAL]])</f>
        <v>6326000</v>
      </c>
      <c r="J522" s="33">
        <f>IF(FINANCIACION[[#This Row],[$ CAPITAL]]&gt;=0,FINANCIACION[[#This Row],[$ CAPITAL]]+FINANCIACION[[#This Row],[$ INTERESES]],0)</f>
        <v>6854525.7300000004</v>
      </c>
      <c r="K522" s="10"/>
      <c r="N522" s="6"/>
      <c r="O522" s="9"/>
      <c r="P522" s="8"/>
    </row>
    <row r="523" spans="1:16" ht="24" hidden="1" customHeight="1" x14ac:dyDescent="0.3">
      <c r="A523" s="142">
        <v>44263</v>
      </c>
      <c r="B523" s="50" t="s">
        <v>822</v>
      </c>
      <c r="C523" s="5">
        <v>9100500</v>
      </c>
      <c r="D523" s="5"/>
      <c r="E523" s="5">
        <f>+IF(FINANCIACION[[#This Row],[$ CAPITAL]]&gt;=0,FINANCIACION[[#This Row],[$ CAPITAL]]+FINANCIACION[[#This Row],[$ INTERESES]],"")</f>
        <v>9100500</v>
      </c>
      <c r="F523" s="5">
        <f>+SUMIFS(FINANCIACION[$ CAPITAL],FINANCIACION[Fecha],"&lt;="&amp;FINANCIACION[[#This Row],[Fecha]],FINANCIACION[PRESTAMO],FINANCIACION[[#This Row],[PRESTAMO]])</f>
        <v>-59879012.330000013</v>
      </c>
      <c r="G523" s="7"/>
      <c r="H523" s="53"/>
      <c r="I523" s="5">
        <f>IF(FINANCIACION[[#This Row],[$ CAPITAL]]&gt;0,FINANCIACION[[#This Row],[$ CAPITAL]])</f>
        <v>9100500</v>
      </c>
      <c r="J523" s="33">
        <f>IF(FINANCIACION[[#This Row],[$ CAPITAL]]&gt;=0,FINANCIACION[[#This Row],[$ CAPITAL]]+FINANCIACION[[#This Row],[$ INTERESES]],0)</f>
        <v>9100500</v>
      </c>
      <c r="K523" s="10"/>
      <c r="N523" s="6"/>
      <c r="O523" s="9"/>
      <c r="P523" s="8"/>
    </row>
    <row r="524" spans="1:16" ht="24" hidden="1" customHeight="1" x14ac:dyDescent="0.3">
      <c r="A524" s="142">
        <v>44264</v>
      </c>
      <c r="B524" s="50" t="s">
        <v>819</v>
      </c>
      <c r="C524" s="5">
        <v>1705721.0235660002</v>
      </c>
      <c r="D524" s="5">
        <v>860178.97643399995</v>
      </c>
      <c r="E524" s="5">
        <f>+IF(FINANCIACION[[#This Row],[$ CAPITAL]]&gt;=0,FINANCIACION[[#This Row],[$ CAPITAL]]+FINANCIACION[[#This Row],[$ INTERESES]],"")</f>
        <v>2565900</v>
      </c>
      <c r="F524" s="5">
        <f>+SUMIFS(FINANCIACION[$ CAPITAL],FINANCIACION[Fecha],"&lt;="&amp;FINANCIACION[[#This Row],[Fecha]],FINANCIACION[PRESTAMO],FINANCIACION[[#This Row],[PRESTAMO]])</f>
        <v>-84312176.619834006</v>
      </c>
      <c r="G524" s="7"/>
      <c r="H524" s="53"/>
      <c r="I524" s="5">
        <f>IF(FINANCIACION[[#This Row],[$ CAPITAL]]&gt;0,FINANCIACION[[#This Row],[$ CAPITAL]])</f>
        <v>1705721.0235660002</v>
      </c>
      <c r="J524" s="33">
        <f>IF(FINANCIACION[[#This Row],[$ CAPITAL]]&gt;=0,FINANCIACION[[#This Row],[$ CAPITAL]]+FINANCIACION[[#This Row],[$ INTERESES]],0)</f>
        <v>2565900</v>
      </c>
      <c r="K524" s="10"/>
      <c r="N524" s="6"/>
      <c r="O524" s="9"/>
      <c r="P524" s="8"/>
    </row>
    <row r="525" spans="1:16" ht="24" hidden="1" customHeight="1" x14ac:dyDescent="0.3">
      <c r="A525" s="142">
        <v>44264</v>
      </c>
      <c r="B525" s="50" t="s">
        <v>822</v>
      </c>
      <c r="C525" s="5"/>
      <c r="D525" s="5">
        <v>130000</v>
      </c>
      <c r="E525" s="5">
        <f>+IF(FINANCIACION[[#This Row],[$ CAPITAL]]&gt;=0,FINANCIACION[[#This Row],[$ CAPITAL]]+FINANCIACION[[#This Row],[$ INTERESES]],"")</f>
        <v>130000</v>
      </c>
      <c r="F525" s="5">
        <f>+SUMIFS(FINANCIACION[$ CAPITAL],FINANCIACION[Fecha],"&lt;="&amp;FINANCIACION[[#This Row],[Fecha]],FINANCIACION[PRESTAMO],FINANCIACION[[#This Row],[PRESTAMO]])</f>
        <v>-59879012.330000013</v>
      </c>
      <c r="G525" s="7"/>
      <c r="H525" s="53"/>
      <c r="I525" s="5" t="b">
        <f>IF(FINANCIACION[[#This Row],[$ CAPITAL]]&gt;0,FINANCIACION[[#This Row],[$ CAPITAL]])</f>
        <v>0</v>
      </c>
      <c r="J525" s="33">
        <f>IF(FINANCIACION[[#This Row],[$ CAPITAL]]&gt;=0,FINANCIACION[[#This Row],[$ CAPITAL]]+FINANCIACION[[#This Row],[$ INTERESES]],0)</f>
        <v>130000</v>
      </c>
      <c r="K525" s="10"/>
      <c r="N525" s="6"/>
      <c r="O525" s="9"/>
      <c r="P525" s="8"/>
    </row>
    <row r="526" spans="1:16" ht="24" hidden="1" customHeight="1" x14ac:dyDescent="0.3">
      <c r="A526" s="142">
        <v>44265</v>
      </c>
      <c r="B526" s="50" t="s">
        <v>830</v>
      </c>
      <c r="C526" s="5"/>
      <c r="D526" s="5">
        <v>130000</v>
      </c>
      <c r="E526" s="5">
        <f>+IF(FINANCIACION[[#This Row],[$ CAPITAL]]&gt;=0,FINANCIACION[[#This Row],[$ CAPITAL]]+FINANCIACION[[#This Row],[$ INTERESES]],"")</f>
        <v>130000</v>
      </c>
      <c r="F526" s="5">
        <f>+SUMIFS(FINANCIACION[$ CAPITAL],FINANCIACION[Fecha],"&lt;="&amp;FINANCIACION[[#This Row],[Fecha]],FINANCIACION[PRESTAMO],FINANCIACION[[#This Row],[PRESTAMO]])</f>
        <v>-13000000</v>
      </c>
      <c r="G526" s="7"/>
      <c r="H526" s="53"/>
      <c r="I526" s="5" t="b">
        <f>IF(FINANCIACION[[#This Row],[$ CAPITAL]]&gt;0,FINANCIACION[[#This Row],[$ CAPITAL]])</f>
        <v>0</v>
      </c>
      <c r="J526" s="33">
        <f>IF(FINANCIACION[[#This Row],[$ CAPITAL]]&gt;=0,FINANCIACION[[#This Row],[$ CAPITAL]]+FINANCIACION[[#This Row],[$ INTERESES]],0)</f>
        <v>130000</v>
      </c>
      <c r="K526" s="10"/>
      <c r="N526" s="6"/>
      <c r="O526" s="9"/>
      <c r="P526" s="8"/>
    </row>
    <row r="527" spans="1:16" ht="24" hidden="1" customHeight="1" x14ac:dyDescent="0.3">
      <c r="A527" s="142">
        <v>44265</v>
      </c>
      <c r="B527" s="50" t="s">
        <v>823</v>
      </c>
      <c r="C527" s="5">
        <v>277743.10809999995</v>
      </c>
      <c r="D527" s="5">
        <v>922256.89190000005</v>
      </c>
      <c r="E527" s="5">
        <f>+IF(FINANCIACION[[#This Row],[$ CAPITAL]]&gt;=0,FINANCIACION[[#This Row],[$ CAPITAL]]+FINANCIACION[[#This Row],[$ INTERESES]],"")</f>
        <v>1200000</v>
      </c>
      <c r="F527" s="5">
        <f>+SUMIFS(FINANCIACION[$ CAPITAL],FINANCIACION[Fecha],"&lt;="&amp;FINANCIACION[[#This Row],[Fecha]],FINANCIACION[PRESTAMO],FINANCIACION[[#This Row],[PRESTAMO]])</f>
        <v>-60395160.1919</v>
      </c>
      <c r="G527" s="7"/>
      <c r="H527" s="53"/>
      <c r="I527" s="5">
        <f>IF(FINANCIACION[[#This Row],[$ CAPITAL]]&gt;0,FINANCIACION[[#This Row],[$ CAPITAL]])</f>
        <v>277743.10809999995</v>
      </c>
      <c r="J527" s="33">
        <f>IF(FINANCIACION[[#This Row],[$ CAPITAL]]&gt;=0,FINANCIACION[[#This Row],[$ CAPITAL]]+FINANCIACION[[#This Row],[$ INTERESES]],0)</f>
        <v>1200000</v>
      </c>
      <c r="K527" s="10"/>
      <c r="N527" s="6"/>
      <c r="O527" s="9"/>
      <c r="P527" s="8"/>
    </row>
    <row r="528" spans="1:16" ht="24" hidden="1" customHeight="1" x14ac:dyDescent="0.3">
      <c r="A528" s="142">
        <v>44265</v>
      </c>
      <c r="B528" s="50" t="s">
        <v>820</v>
      </c>
      <c r="C528" s="5">
        <v>552687.86</v>
      </c>
      <c r="D528" s="5">
        <v>747312.14</v>
      </c>
      <c r="E528" s="5">
        <f>+IF(FINANCIACION[[#This Row],[$ CAPITAL]]&gt;=0,FINANCIACION[[#This Row],[$ CAPITAL]]+FINANCIACION[[#This Row],[$ INTERESES]],"")</f>
        <v>1300000</v>
      </c>
      <c r="F528" s="5">
        <f>+SUMIFS(FINANCIACION[$ CAPITAL],FINANCIACION[Fecha],"&lt;="&amp;FINANCIACION[[#This Row],[Fecha]],FINANCIACION[PRESTAMO],FINANCIACION[[#This Row],[PRESTAMO]])</f>
        <v>-74349214</v>
      </c>
      <c r="G528" s="7"/>
      <c r="H528" s="53"/>
      <c r="I528" s="5">
        <f>IF(FINANCIACION[[#This Row],[$ CAPITAL]]&gt;0,FINANCIACION[[#This Row],[$ CAPITAL]])</f>
        <v>552687.86</v>
      </c>
      <c r="J528" s="33">
        <f>IF(FINANCIACION[[#This Row],[$ CAPITAL]]&gt;=0,FINANCIACION[[#This Row],[$ CAPITAL]]+FINANCIACION[[#This Row],[$ INTERESES]],0)</f>
        <v>1300000</v>
      </c>
      <c r="K528" s="10"/>
      <c r="N528" s="6"/>
      <c r="O528" s="9"/>
      <c r="P528" s="8"/>
    </row>
    <row r="529" spans="1:16" ht="24" hidden="1" customHeight="1" x14ac:dyDescent="0.3">
      <c r="A529" s="142">
        <v>44266</v>
      </c>
      <c r="B529" s="50" t="s">
        <v>823</v>
      </c>
      <c r="C529" s="5">
        <v>315160.19189999998</v>
      </c>
      <c r="D529" s="5"/>
      <c r="E529" s="5">
        <f>+IF(FINANCIACION[[#This Row],[$ CAPITAL]]&gt;=0,FINANCIACION[[#This Row],[$ CAPITAL]]+FINANCIACION[[#This Row],[$ INTERESES]],"")</f>
        <v>315160.19189999998</v>
      </c>
      <c r="F529" s="5">
        <f>+SUMIFS(FINANCIACION[$ CAPITAL],FINANCIACION[Fecha],"&lt;="&amp;FINANCIACION[[#This Row],[Fecha]],FINANCIACION[PRESTAMO],FINANCIACION[[#This Row],[PRESTAMO]])</f>
        <v>-60080000</v>
      </c>
      <c r="G529" s="7" t="s">
        <v>236</v>
      </c>
      <c r="H529" s="53"/>
      <c r="I529" s="5">
        <f>IF(FINANCIACION[[#This Row],[$ CAPITAL]]&gt;0,FINANCIACION[[#This Row],[$ CAPITAL]])</f>
        <v>315160.19189999998</v>
      </c>
      <c r="J529" s="33">
        <f>IF(FINANCIACION[[#This Row],[$ CAPITAL]]&gt;=0,FINANCIACION[[#This Row],[$ CAPITAL]]+FINANCIACION[[#This Row],[$ INTERESES]],0)</f>
        <v>315160.19189999998</v>
      </c>
      <c r="K529" s="10"/>
      <c r="N529" s="6"/>
      <c r="O529" s="9"/>
      <c r="P529" s="8"/>
    </row>
    <row r="530" spans="1:16" ht="24" hidden="1" customHeight="1" x14ac:dyDescent="0.3">
      <c r="A530" s="142">
        <v>44271</v>
      </c>
      <c r="B530" s="50" t="s">
        <v>822</v>
      </c>
      <c r="C530" s="5">
        <v>3575630</v>
      </c>
      <c r="D530" s="5"/>
      <c r="E530" s="5">
        <f>+IF(FINANCIACION[[#This Row],[$ CAPITAL]]&gt;=0,FINANCIACION[[#This Row],[$ CAPITAL]]+FINANCIACION[[#This Row],[$ INTERESES]],"")</f>
        <v>3575630</v>
      </c>
      <c r="F530" s="5">
        <f>+SUMIFS(FINANCIACION[$ CAPITAL],FINANCIACION[Fecha],"&lt;="&amp;FINANCIACION[[#This Row],[Fecha]],FINANCIACION[PRESTAMO],FINANCIACION[[#This Row],[PRESTAMO]])</f>
        <v>-56303382.330000013</v>
      </c>
      <c r="G530" s="7" t="s">
        <v>67</v>
      </c>
      <c r="H530" s="53"/>
      <c r="I530" s="5">
        <f>IF(FINANCIACION[[#This Row],[$ CAPITAL]]&gt;0,FINANCIACION[[#This Row],[$ CAPITAL]])</f>
        <v>3575630</v>
      </c>
      <c r="J530" s="33">
        <f>IF(FINANCIACION[[#This Row],[$ CAPITAL]]&gt;=0,FINANCIACION[[#This Row],[$ CAPITAL]]+FINANCIACION[[#This Row],[$ INTERESES]],0)</f>
        <v>3575630</v>
      </c>
      <c r="K530" s="10"/>
      <c r="N530" s="6"/>
      <c r="O530" s="9"/>
      <c r="P530" s="8"/>
    </row>
    <row r="531" spans="1:16" ht="24" hidden="1" customHeight="1" x14ac:dyDescent="0.3">
      <c r="A531" s="142">
        <v>44284</v>
      </c>
      <c r="B531" s="50" t="s">
        <v>827</v>
      </c>
      <c r="C531" s="5">
        <v>997424.58000000194</v>
      </c>
      <c r="D531" s="5">
        <v>20575.419999998063</v>
      </c>
      <c r="E531" s="5">
        <f>+IF(FINANCIACION[[#This Row],[$ CAPITAL]]&gt;=0,FINANCIACION[[#This Row],[$ CAPITAL]]+FINANCIACION[[#This Row],[$ INTERESES]],"")</f>
        <v>1018000</v>
      </c>
      <c r="F531" s="5">
        <f>+SUMIFS(FINANCIACION[$ CAPITAL],FINANCIACION[Fecha],"&lt;="&amp;FINANCIACION[[#This Row],[Fecha]],FINANCIACION[PRESTAMO],FINANCIACION[[#This Row],[PRESTAMO]])</f>
        <v>-23708908.569999997</v>
      </c>
      <c r="G531" s="7"/>
      <c r="H531" s="53"/>
      <c r="I531" s="5">
        <f>IF(FINANCIACION[[#This Row],[$ CAPITAL]]&gt;0,FINANCIACION[[#This Row],[$ CAPITAL]])</f>
        <v>997424.58000000194</v>
      </c>
      <c r="J531" s="33">
        <f>IF(FINANCIACION[[#This Row],[$ CAPITAL]]&gt;=0,FINANCIACION[[#This Row],[$ CAPITAL]]+FINANCIACION[[#This Row],[$ INTERESES]],0)</f>
        <v>1018000</v>
      </c>
      <c r="K531" s="10"/>
      <c r="N531" s="6"/>
      <c r="O531" s="9"/>
      <c r="P531" s="8"/>
    </row>
    <row r="532" spans="1:16" ht="24" hidden="1" customHeight="1" x14ac:dyDescent="0.3">
      <c r="A532" s="142">
        <v>44284</v>
      </c>
      <c r="B532" s="50" t="s">
        <v>829</v>
      </c>
      <c r="C532" s="5">
        <v>1233330.6600000001</v>
      </c>
      <c r="D532" s="5">
        <v>22384.339999999851</v>
      </c>
      <c r="E532" s="5">
        <f>+IF(FINANCIACION[[#This Row],[$ CAPITAL]]&gt;=0,FINANCIACION[[#This Row],[$ CAPITAL]]+FINANCIACION[[#This Row],[$ INTERESES]],"")</f>
        <v>1255715</v>
      </c>
      <c r="F532" s="5">
        <f>+SUMIFS(FINANCIACION[$ CAPITAL],FINANCIACION[Fecha],"&lt;="&amp;FINANCIACION[[#This Row],[Fecha]],FINANCIACION[PRESTAMO],FINANCIACION[[#This Row],[PRESTAMO]])</f>
        <v>-25757829.890000001</v>
      </c>
      <c r="G532" s="7"/>
      <c r="H532" s="53"/>
      <c r="I532" s="5">
        <f>IF(FINANCIACION[[#This Row],[$ CAPITAL]]&gt;0,FINANCIACION[[#This Row],[$ CAPITAL]])</f>
        <v>1233330.6600000001</v>
      </c>
      <c r="J532" s="33">
        <f>IF(FINANCIACION[[#This Row],[$ CAPITAL]]&gt;=0,FINANCIACION[[#This Row],[$ CAPITAL]]+FINANCIACION[[#This Row],[$ INTERESES]],0)</f>
        <v>1255715</v>
      </c>
      <c r="K532" s="10"/>
      <c r="N532" s="6"/>
      <c r="O532" s="9"/>
      <c r="P532" s="8"/>
    </row>
    <row r="533" spans="1:16" ht="24" hidden="1" customHeight="1" x14ac:dyDescent="0.3">
      <c r="A533" s="142">
        <v>44284</v>
      </c>
      <c r="B533" s="50" t="s">
        <v>825</v>
      </c>
      <c r="C533" s="5">
        <v>2572447.9900000021</v>
      </c>
      <c r="D533" s="5">
        <v>12552.009999997914</v>
      </c>
      <c r="E533" s="5">
        <f>+IF(FINANCIACION[[#This Row],[$ CAPITAL]]&gt;=0,FINANCIACION[[#This Row],[$ CAPITAL]]+FINANCIACION[[#This Row],[$ INTERESES]],"")</f>
        <v>2585000</v>
      </c>
      <c r="F533" s="5">
        <f>+SUMIFS(FINANCIACION[$ CAPITAL],FINANCIACION[Fecha],"&lt;="&amp;FINANCIACION[[#This Row],[Fecha]],FINANCIACION[PRESTAMO],FINANCIACION[[#This Row],[PRESTAMO]])</f>
        <v>-58423299.589999996</v>
      </c>
      <c r="G533" s="7"/>
      <c r="H533" s="53"/>
      <c r="I533" s="5">
        <f>IF(FINANCIACION[[#This Row],[$ CAPITAL]]&gt;0,FINANCIACION[[#This Row],[$ CAPITAL]])</f>
        <v>2572447.9900000021</v>
      </c>
      <c r="J533" s="33">
        <f>IF(FINANCIACION[[#This Row],[$ CAPITAL]]&gt;=0,FINANCIACION[[#This Row],[$ CAPITAL]]+FINANCIACION[[#This Row],[$ INTERESES]],0)</f>
        <v>2585000</v>
      </c>
      <c r="K533" s="10"/>
      <c r="N533" s="6"/>
      <c r="O533" s="9"/>
      <c r="P533" s="8"/>
    </row>
    <row r="534" spans="1:16" ht="24" hidden="1" customHeight="1" x14ac:dyDescent="0.3">
      <c r="A534" s="142">
        <v>44284</v>
      </c>
      <c r="B534" s="50" t="s">
        <v>826</v>
      </c>
      <c r="C534" s="5">
        <v>4917561.8900000006</v>
      </c>
      <c r="D534" s="5">
        <v>82438.109999999404</v>
      </c>
      <c r="E534" s="5">
        <f>+IF(FINANCIACION[[#This Row],[$ CAPITAL]]&gt;=0,FINANCIACION[[#This Row],[$ CAPITAL]]+FINANCIACION[[#This Row],[$ INTERESES]],"")</f>
        <v>5000000</v>
      </c>
      <c r="F534" s="5">
        <f>+SUMIFS(FINANCIACION[$ CAPITAL],FINANCIACION[Fecha],"&lt;="&amp;FINANCIACION[[#This Row],[Fecha]],FINANCIACION[PRESTAMO],FINANCIACION[[#This Row],[PRESTAMO]])</f>
        <v>-83559327.340000004</v>
      </c>
      <c r="G534" s="7"/>
      <c r="H534" s="53"/>
      <c r="I534" s="5">
        <f>IF(FINANCIACION[[#This Row],[$ CAPITAL]]&gt;0,FINANCIACION[[#This Row],[$ CAPITAL]])</f>
        <v>4917561.8900000006</v>
      </c>
      <c r="J534" s="33">
        <f>IF(FINANCIACION[[#This Row],[$ CAPITAL]]&gt;=0,FINANCIACION[[#This Row],[$ CAPITAL]]+FINANCIACION[[#This Row],[$ INTERESES]],0)</f>
        <v>5000000</v>
      </c>
      <c r="K534" s="10"/>
      <c r="N534" s="6"/>
      <c r="O534" s="9"/>
      <c r="P534" s="8"/>
    </row>
    <row r="535" spans="1:16" ht="24" hidden="1" customHeight="1" x14ac:dyDescent="0.3">
      <c r="A535" s="142">
        <v>44284</v>
      </c>
      <c r="B535" s="50" t="s">
        <v>821</v>
      </c>
      <c r="C535" s="5">
        <v>8286154</v>
      </c>
      <c r="D535" s="5">
        <v>120765</v>
      </c>
      <c r="E535" s="5">
        <f>+IF(FINANCIACION[[#This Row],[$ CAPITAL]]&gt;=0,FINANCIACION[[#This Row],[$ CAPITAL]]+FINANCIACION[[#This Row],[$ INTERESES]],"")</f>
        <v>8406919</v>
      </c>
      <c r="F535" s="5">
        <f>+SUMIFS(FINANCIACION[$ CAPITAL],FINANCIACION[Fecha],"&lt;="&amp;FINANCIACION[[#This Row],[Fecha]],FINANCIACION[PRESTAMO],FINANCIACION[[#This Row],[PRESTAMO]])</f>
        <v>-346993550</v>
      </c>
      <c r="G535" s="7"/>
      <c r="H535" s="53"/>
      <c r="I535" s="5">
        <f>IF(FINANCIACION[[#This Row],[$ CAPITAL]]&gt;0,FINANCIACION[[#This Row],[$ CAPITAL]])</f>
        <v>8286154</v>
      </c>
      <c r="J535" s="33">
        <f>IF(FINANCIACION[[#This Row],[$ CAPITAL]]&gt;=0,FINANCIACION[[#This Row],[$ CAPITAL]]+FINANCIACION[[#This Row],[$ INTERESES]],0)</f>
        <v>8406919</v>
      </c>
      <c r="K535" s="10"/>
      <c r="N535" s="6"/>
      <c r="O535" s="9"/>
      <c r="P535" s="8"/>
    </row>
    <row r="536" spans="1:16" ht="24" hidden="1" customHeight="1" x14ac:dyDescent="0.3">
      <c r="A536" s="142">
        <v>44284</v>
      </c>
      <c r="B536" s="50" t="s">
        <v>822</v>
      </c>
      <c r="C536" s="5">
        <v>1247099.7200000025</v>
      </c>
      <c r="D536" s="5">
        <v>24900.279999997467</v>
      </c>
      <c r="E536" s="5">
        <f>+IF(FINANCIACION[[#This Row],[$ CAPITAL]]&gt;=0,FINANCIACION[[#This Row],[$ CAPITAL]]+FINANCIACION[[#This Row],[$ INTERESES]],"")</f>
        <v>1272000</v>
      </c>
      <c r="F536" s="5">
        <f>+SUMIFS(FINANCIACION[$ CAPITAL],FINANCIACION[Fecha],"&lt;="&amp;FINANCIACION[[#This Row],[Fecha]],FINANCIACION[PRESTAMO],FINANCIACION[[#This Row],[PRESTAMO]])</f>
        <v>-49887024.860000014</v>
      </c>
      <c r="G536" s="7"/>
      <c r="H536" s="53"/>
      <c r="I536" s="5">
        <f>IF(FINANCIACION[[#This Row],[$ CAPITAL]]&gt;0,FINANCIACION[[#This Row],[$ CAPITAL]])</f>
        <v>1247099.7200000025</v>
      </c>
      <c r="J536" s="33">
        <f>IF(FINANCIACION[[#This Row],[$ CAPITAL]]&gt;=0,FINANCIACION[[#This Row],[$ CAPITAL]]+FINANCIACION[[#This Row],[$ INTERESES]],0)</f>
        <v>1272000</v>
      </c>
      <c r="K536" s="10"/>
      <c r="N536" s="6"/>
      <c r="O536" s="9"/>
      <c r="P536" s="8"/>
    </row>
    <row r="537" spans="1:16" ht="24" hidden="1" customHeight="1" x14ac:dyDescent="0.3">
      <c r="A537" s="142">
        <v>44284</v>
      </c>
      <c r="B537" s="50" t="s">
        <v>822</v>
      </c>
      <c r="C537" s="5">
        <v>3665410</v>
      </c>
      <c r="D537" s="5"/>
      <c r="E537" s="5">
        <f>+IF(FINANCIACION[[#This Row],[$ CAPITAL]]&gt;=0,FINANCIACION[[#This Row],[$ CAPITAL]]+FINANCIACION[[#This Row],[$ INTERESES]],"")</f>
        <v>3665410</v>
      </c>
      <c r="F537" s="5">
        <f>+SUMIFS(FINANCIACION[$ CAPITAL],FINANCIACION[Fecha],"&lt;="&amp;FINANCIACION[[#This Row],[Fecha]],FINANCIACION[PRESTAMO],FINANCIACION[[#This Row],[PRESTAMO]])</f>
        <v>-49887024.860000014</v>
      </c>
      <c r="G537" s="7"/>
      <c r="H537" s="53"/>
      <c r="I537" s="5">
        <f>IF(FINANCIACION[[#This Row],[$ CAPITAL]]&gt;0,FINANCIACION[[#This Row],[$ CAPITAL]])</f>
        <v>3665410</v>
      </c>
      <c r="J537" s="33">
        <f>IF(FINANCIACION[[#This Row],[$ CAPITAL]]&gt;=0,FINANCIACION[[#This Row],[$ CAPITAL]]+FINANCIACION[[#This Row],[$ INTERESES]],0)</f>
        <v>3665410</v>
      </c>
      <c r="K537" s="10"/>
      <c r="N537" s="6"/>
      <c r="O537" s="9"/>
      <c r="P537" s="8"/>
    </row>
    <row r="538" spans="1:16" ht="24" hidden="1" customHeight="1" x14ac:dyDescent="0.3">
      <c r="A538" s="142">
        <v>44284</v>
      </c>
      <c r="B538" s="50" t="s">
        <v>822</v>
      </c>
      <c r="C538" s="5">
        <v>1503847.75</v>
      </c>
      <c r="D538" s="5">
        <v>28152.25</v>
      </c>
      <c r="E538" s="5">
        <f>+IF(FINANCIACION[[#This Row],[$ CAPITAL]]&gt;=0,FINANCIACION[[#This Row],[$ CAPITAL]]+FINANCIACION[[#This Row],[$ INTERESES]],"")</f>
        <v>1532000</v>
      </c>
      <c r="F538" s="5">
        <f>+SUMIFS(FINANCIACION[$ CAPITAL],FINANCIACION[Fecha],"&lt;="&amp;FINANCIACION[[#This Row],[Fecha]],FINANCIACION[PRESTAMO],FINANCIACION[[#This Row],[PRESTAMO]])</f>
        <v>-49887024.860000014</v>
      </c>
      <c r="G538" s="7"/>
      <c r="H538" s="53"/>
      <c r="I538" s="5">
        <f>IF(FINANCIACION[[#This Row],[$ CAPITAL]]&gt;0,FINANCIACION[[#This Row],[$ CAPITAL]])</f>
        <v>1503847.75</v>
      </c>
      <c r="J538" s="33">
        <f>IF(FINANCIACION[[#This Row],[$ CAPITAL]]&gt;=0,FINANCIACION[[#This Row],[$ CAPITAL]]+FINANCIACION[[#This Row],[$ INTERESES]],0)</f>
        <v>1532000</v>
      </c>
      <c r="K538" s="10"/>
      <c r="N538" s="6"/>
      <c r="O538" s="9"/>
      <c r="P538" s="8"/>
    </row>
    <row r="539" spans="1:16" ht="24" hidden="1" customHeight="1" x14ac:dyDescent="0.3">
      <c r="A539" s="142">
        <v>44285</v>
      </c>
      <c r="B539" s="50" t="s">
        <v>282</v>
      </c>
      <c r="C539" s="5">
        <v>-55440541</v>
      </c>
      <c r="D539" s="5"/>
      <c r="E539" s="5" t="str">
        <f>+IF(FINANCIACION[[#This Row],[$ CAPITAL]]&gt;=0,FINANCIACION[[#This Row],[$ CAPITAL]]+FINANCIACION[[#This Row],[$ INTERESES]],"")</f>
        <v/>
      </c>
      <c r="F539" s="5">
        <f>+SUMIFS(FINANCIACION[$ CAPITAL],FINANCIACION[Fecha],"&lt;="&amp;FINANCIACION[[#This Row],[Fecha]],FINANCIACION[PRESTAMO],FINANCIACION[[#This Row],[PRESTAMO]])</f>
        <v>-55440541</v>
      </c>
      <c r="G539" s="7" t="s">
        <v>831</v>
      </c>
      <c r="H539" s="53">
        <v>-14983.93</v>
      </c>
      <c r="I539" s="5" t="b">
        <f>IF(FINANCIACION[[#This Row],[$ CAPITAL]]&gt;0,FINANCIACION[[#This Row],[$ CAPITAL]])</f>
        <v>0</v>
      </c>
      <c r="J539" s="33">
        <f>IF(FINANCIACION[[#This Row],[$ CAPITAL]]&gt;=0,FINANCIACION[[#This Row],[$ CAPITAL]]+FINANCIACION[[#This Row],[$ INTERESES]],0)</f>
        <v>0</v>
      </c>
      <c r="K539" s="10"/>
      <c r="N539" s="6"/>
      <c r="O539" s="9"/>
      <c r="P539" s="8"/>
    </row>
    <row r="540" spans="1:16" ht="24" hidden="1" customHeight="1" x14ac:dyDescent="0.3">
      <c r="A540" s="142">
        <v>44285</v>
      </c>
      <c r="B540" s="50" t="s">
        <v>196</v>
      </c>
      <c r="C540" s="5">
        <v>1068900</v>
      </c>
      <c r="D540" s="5"/>
      <c r="E540" s="5">
        <f>+IF(FINANCIACION[[#This Row],[$ CAPITAL]]&gt;=0,FINANCIACION[[#This Row],[$ CAPITAL]]+FINANCIACION[[#This Row],[$ INTERESES]],"")</f>
        <v>1068900</v>
      </c>
      <c r="F540" s="5">
        <f>+SUMIFS(FINANCIACION[$ CAPITAL],FINANCIACION[Fecha],"&lt;="&amp;FINANCIACION[[#This Row],[Fecha]],FINANCIACION[PRESTAMO],FINANCIACION[[#This Row],[PRESTAMO]])</f>
        <v>-26384700</v>
      </c>
      <c r="G540" s="7" t="s">
        <v>225</v>
      </c>
      <c r="H540" s="53"/>
      <c r="I540" s="5">
        <f>IF(FINANCIACION[[#This Row],[$ CAPITAL]]&gt;0,FINANCIACION[[#This Row],[$ CAPITAL]])</f>
        <v>1068900</v>
      </c>
      <c r="J540" s="33">
        <f>IF(FINANCIACION[[#This Row],[$ CAPITAL]]&gt;=0,FINANCIACION[[#This Row],[$ CAPITAL]]+FINANCIACION[[#This Row],[$ INTERESES]],0)</f>
        <v>1068900</v>
      </c>
      <c r="K540" s="10"/>
      <c r="N540" s="6"/>
      <c r="O540" s="9"/>
      <c r="P540" s="8"/>
    </row>
    <row r="541" spans="1:16" ht="24" hidden="1" customHeight="1" x14ac:dyDescent="0.3">
      <c r="A541" s="142">
        <v>44286</v>
      </c>
      <c r="B541" s="50" t="s">
        <v>187</v>
      </c>
      <c r="C541" s="5">
        <v>1468400</v>
      </c>
      <c r="D541" s="5">
        <v>506320</v>
      </c>
      <c r="E541" s="5">
        <f>+IF(FINANCIACION[[#This Row],[$ CAPITAL]]&gt;=0,FINANCIACION[[#This Row],[$ CAPITAL]]+FINANCIACION[[#This Row],[$ INTERESES]],"")</f>
        <v>1974720</v>
      </c>
      <c r="F541" s="5">
        <f>+SUMIFS(FINANCIACION[$ CAPITAL],FINANCIACION[Fecha],"&lt;="&amp;FINANCIACION[[#This Row],[Fecha]],FINANCIACION[PRESTAMO],FINANCIACION[[#This Row],[PRESTAMO]])</f>
        <v>-52862433</v>
      </c>
      <c r="G541" s="7"/>
      <c r="H541" s="53"/>
      <c r="I541" s="5">
        <f>IF(FINANCIACION[[#This Row],[$ CAPITAL]]&gt;0,FINANCIACION[[#This Row],[$ CAPITAL]])</f>
        <v>1468400</v>
      </c>
      <c r="J541" s="33">
        <f>IF(FINANCIACION[[#This Row],[$ CAPITAL]]&gt;=0,FINANCIACION[[#This Row],[$ CAPITAL]]+FINANCIACION[[#This Row],[$ INTERESES]],0)</f>
        <v>1974720</v>
      </c>
      <c r="K541" s="10"/>
      <c r="N541" s="6"/>
      <c r="O541" s="9"/>
      <c r="P541" s="8"/>
    </row>
    <row r="542" spans="1:16" ht="24" hidden="1" customHeight="1" x14ac:dyDescent="0.3">
      <c r="A542" s="142">
        <v>44286</v>
      </c>
      <c r="B542" s="50" t="s">
        <v>188</v>
      </c>
      <c r="C542" s="5"/>
      <c r="D542" s="5">
        <v>76791</v>
      </c>
      <c r="E542" s="5">
        <f>+IF(FINANCIACION[[#This Row],[$ CAPITAL]]&gt;=0,FINANCIACION[[#This Row],[$ CAPITAL]]+FINANCIACION[[#This Row],[$ INTERESES]],"")</f>
        <v>76791</v>
      </c>
      <c r="F542" s="5">
        <f>+SUMIFS(FINANCIACION[$ CAPITAL],FINANCIACION[Fecha],"&lt;="&amp;FINANCIACION[[#This Row],[Fecha]],FINANCIACION[PRESTAMO],FINANCIACION[[#This Row],[PRESTAMO]])</f>
        <v>-2841267</v>
      </c>
      <c r="G542" s="7"/>
      <c r="H542" s="53"/>
      <c r="I542" s="5" t="b">
        <f>IF(FINANCIACION[[#This Row],[$ CAPITAL]]&gt;0,FINANCIACION[[#This Row],[$ CAPITAL]])</f>
        <v>0</v>
      </c>
      <c r="J542" s="33">
        <f>IF(FINANCIACION[[#This Row],[$ CAPITAL]]&gt;=0,FINANCIACION[[#This Row],[$ CAPITAL]]+FINANCIACION[[#This Row],[$ INTERESES]],0)</f>
        <v>76791</v>
      </c>
      <c r="K542" s="10"/>
      <c r="N542" s="6"/>
      <c r="O542" s="9"/>
      <c r="P542" s="8"/>
    </row>
    <row r="543" spans="1:16" ht="24" hidden="1" customHeight="1" x14ac:dyDescent="0.3">
      <c r="A543" s="142">
        <v>44286</v>
      </c>
      <c r="B543" s="50" t="s">
        <v>827</v>
      </c>
      <c r="C543" s="5">
        <v>-159538.51000000164</v>
      </c>
      <c r="D543" s="5"/>
      <c r="E543" s="5" t="str">
        <f>+IF(FINANCIACION[[#This Row],[$ CAPITAL]]&gt;=0,FINANCIACION[[#This Row],[$ CAPITAL]]+FINANCIACION[[#This Row],[$ INTERESES]],"")</f>
        <v/>
      </c>
      <c r="F543" s="5">
        <f>+SUMIFS(FINANCIACION[$ CAPITAL],FINANCIACION[Fecha],"&lt;="&amp;FINANCIACION[[#This Row],[Fecha]],FINANCIACION[PRESTAMO],FINANCIACION[[#This Row],[PRESTAMO]])</f>
        <v>-23868447.079999998</v>
      </c>
      <c r="G543" s="7" t="s">
        <v>225</v>
      </c>
      <c r="H543" s="53"/>
      <c r="I543" s="5" t="b">
        <f>IF(FINANCIACION[[#This Row],[$ CAPITAL]]&gt;0,FINANCIACION[[#This Row],[$ CAPITAL]])</f>
        <v>0</v>
      </c>
      <c r="J543" s="33">
        <f>IF(FINANCIACION[[#This Row],[$ CAPITAL]]&gt;=0,FINANCIACION[[#This Row],[$ CAPITAL]]+FINANCIACION[[#This Row],[$ INTERESES]],0)</f>
        <v>0</v>
      </c>
      <c r="K543" s="10"/>
      <c r="N543" s="6"/>
      <c r="O543" s="9"/>
      <c r="P543" s="8"/>
    </row>
    <row r="544" spans="1:16" ht="24" hidden="1" customHeight="1" x14ac:dyDescent="0.3">
      <c r="A544" s="142">
        <v>44286</v>
      </c>
      <c r="B544" s="50" t="s">
        <v>829</v>
      </c>
      <c r="C544" s="5">
        <v>-155319.6400000006</v>
      </c>
      <c r="D544" s="5"/>
      <c r="E544" s="5" t="str">
        <f>+IF(FINANCIACION[[#This Row],[$ CAPITAL]]&gt;=0,FINANCIACION[[#This Row],[$ CAPITAL]]+FINANCIACION[[#This Row],[$ INTERESES]],"")</f>
        <v/>
      </c>
      <c r="F544" s="5">
        <f>+SUMIFS(FINANCIACION[$ CAPITAL],FINANCIACION[Fecha],"&lt;="&amp;FINANCIACION[[#This Row],[Fecha]],FINANCIACION[PRESTAMO],FINANCIACION[[#This Row],[PRESTAMO]])</f>
        <v>-25913149.530000001</v>
      </c>
      <c r="G544" s="7" t="s">
        <v>225</v>
      </c>
      <c r="H544" s="53"/>
      <c r="I544" s="5" t="b">
        <f>IF(FINANCIACION[[#This Row],[$ CAPITAL]]&gt;0,FINANCIACION[[#This Row],[$ CAPITAL]])</f>
        <v>0</v>
      </c>
      <c r="J544" s="33">
        <f>IF(FINANCIACION[[#This Row],[$ CAPITAL]]&gt;=0,FINANCIACION[[#This Row],[$ CAPITAL]]+FINANCIACION[[#This Row],[$ INTERESES]],0)</f>
        <v>0</v>
      </c>
      <c r="K544" s="10"/>
      <c r="N544" s="6"/>
      <c r="O544" s="9"/>
      <c r="P544" s="8"/>
    </row>
    <row r="545" spans="1:16" ht="24" hidden="1" customHeight="1" x14ac:dyDescent="0.3">
      <c r="A545" s="142">
        <v>44286</v>
      </c>
      <c r="B545" s="50" t="s">
        <v>825</v>
      </c>
      <c r="C545" s="5">
        <v>-479341.21000000089</v>
      </c>
      <c r="D545" s="5"/>
      <c r="E545" s="5" t="str">
        <f>+IF(FINANCIACION[[#This Row],[$ CAPITAL]]&gt;=0,FINANCIACION[[#This Row],[$ CAPITAL]]+FINANCIACION[[#This Row],[$ INTERESES]],"")</f>
        <v/>
      </c>
      <c r="F545" s="5">
        <f>+SUMIFS(FINANCIACION[$ CAPITAL],FINANCIACION[Fecha],"&lt;="&amp;FINANCIACION[[#This Row],[Fecha]],FINANCIACION[PRESTAMO],FINANCIACION[[#This Row],[PRESTAMO]])</f>
        <v>-58902640.799999997</v>
      </c>
      <c r="G545" s="7" t="s">
        <v>225</v>
      </c>
      <c r="H545" s="53"/>
      <c r="I545" s="5" t="b">
        <f>IF(FINANCIACION[[#This Row],[$ CAPITAL]]&gt;0,FINANCIACION[[#This Row],[$ CAPITAL]])</f>
        <v>0</v>
      </c>
      <c r="J545" s="33">
        <f>IF(FINANCIACION[[#This Row],[$ CAPITAL]]&gt;=0,FINANCIACION[[#This Row],[$ CAPITAL]]+FINANCIACION[[#This Row],[$ INTERESES]],0)</f>
        <v>0</v>
      </c>
      <c r="K545" s="10"/>
      <c r="N545" s="6"/>
      <c r="O545" s="9"/>
      <c r="P545" s="8"/>
    </row>
    <row r="546" spans="1:16" ht="24" hidden="1" customHeight="1" x14ac:dyDescent="0.3">
      <c r="A546" s="142">
        <v>44286</v>
      </c>
      <c r="B546" s="50" t="s">
        <v>826</v>
      </c>
      <c r="C546" s="5">
        <v>-703537.09999999404</v>
      </c>
      <c r="D546" s="5"/>
      <c r="E546" s="5" t="str">
        <f>+IF(FINANCIACION[[#This Row],[$ CAPITAL]]&gt;=0,FINANCIACION[[#This Row],[$ CAPITAL]]+FINANCIACION[[#This Row],[$ INTERESES]],"")</f>
        <v/>
      </c>
      <c r="F546" s="5">
        <f>+SUMIFS(FINANCIACION[$ CAPITAL],FINANCIACION[Fecha],"&lt;="&amp;FINANCIACION[[#This Row],[Fecha]],FINANCIACION[PRESTAMO],FINANCIACION[[#This Row],[PRESTAMO]])</f>
        <v>-84262864.439999998</v>
      </c>
      <c r="G546" s="7" t="s">
        <v>225</v>
      </c>
      <c r="H546" s="53"/>
      <c r="I546" s="5" t="b">
        <f>IF(FINANCIACION[[#This Row],[$ CAPITAL]]&gt;0,FINANCIACION[[#This Row],[$ CAPITAL]])</f>
        <v>0</v>
      </c>
      <c r="J546" s="33">
        <f>IF(FINANCIACION[[#This Row],[$ CAPITAL]]&gt;=0,FINANCIACION[[#This Row],[$ CAPITAL]]+FINANCIACION[[#This Row],[$ INTERESES]],0)</f>
        <v>0</v>
      </c>
      <c r="K546" s="10"/>
      <c r="N546" s="6"/>
      <c r="O546" s="9"/>
      <c r="P546" s="8"/>
    </row>
    <row r="547" spans="1:16" ht="24" hidden="1" customHeight="1" x14ac:dyDescent="0.3">
      <c r="A547" s="142">
        <v>44286</v>
      </c>
      <c r="B547" s="50" t="s">
        <v>821</v>
      </c>
      <c r="C547" s="5">
        <v>-4128919</v>
      </c>
      <c r="D547" s="5"/>
      <c r="E547" s="5" t="str">
        <f>+IF(FINANCIACION[[#This Row],[$ CAPITAL]]&gt;=0,FINANCIACION[[#This Row],[$ CAPITAL]]+FINANCIACION[[#This Row],[$ INTERESES]],"")</f>
        <v/>
      </c>
      <c r="F547" s="5">
        <f>+SUMIFS(FINANCIACION[$ CAPITAL],FINANCIACION[Fecha],"&lt;="&amp;FINANCIACION[[#This Row],[Fecha]],FINANCIACION[PRESTAMO],FINANCIACION[[#This Row],[PRESTAMO]])</f>
        <v>-351122469</v>
      </c>
      <c r="G547" s="7" t="s">
        <v>225</v>
      </c>
      <c r="H547" s="53"/>
      <c r="I547" s="5" t="b">
        <f>IF(FINANCIACION[[#This Row],[$ CAPITAL]]&gt;0,FINANCIACION[[#This Row],[$ CAPITAL]])</f>
        <v>0</v>
      </c>
      <c r="J547" s="33">
        <f>IF(FINANCIACION[[#This Row],[$ CAPITAL]]&gt;=0,FINANCIACION[[#This Row],[$ CAPITAL]]+FINANCIACION[[#This Row],[$ INTERESES]],0)</f>
        <v>0</v>
      </c>
      <c r="K547" s="10"/>
      <c r="N547" s="6"/>
      <c r="O547" s="9"/>
      <c r="P547" s="8"/>
    </row>
    <row r="548" spans="1:16" ht="24" hidden="1" customHeight="1" x14ac:dyDescent="0.3">
      <c r="A548" s="142">
        <v>44286</v>
      </c>
      <c r="B548" s="50" t="s">
        <v>822</v>
      </c>
      <c r="C548" s="5">
        <v>-208305.96000000462</v>
      </c>
      <c r="D548" s="5"/>
      <c r="E548" s="5" t="str">
        <f>+IF(FINANCIACION[[#This Row],[$ CAPITAL]]&gt;=0,FINANCIACION[[#This Row],[$ CAPITAL]]+FINANCIACION[[#This Row],[$ INTERESES]],"")</f>
        <v/>
      </c>
      <c r="F548" s="5">
        <f>+SUMIFS(FINANCIACION[$ CAPITAL],FINANCIACION[Fecha],"&lt;="&amp;FINANCIACION[[#This Row],[Fecha]],FINANCIACION[PRESTAMO],FINANCIACION[[#This Row],[PRESTAMO]])</f>
        <v>-70787902.990000024</v>
      </c>
      <c r="G548" s="7" t="s">
        <v>225</v>
      </c>
      <c r="H548" s="53"/>
      <c r="I548" s="5" t="b">
        <f>IF(FINANCIACION[[#This Row],[$ CAPITAL]]&gt;0,FINANCIACION[[#This Row],[$ CAPITAL]])</f>
        <v>0</v>
      </c>
      <c r="J548" s="33">
        <f>IF(FINANCIACION[[#This Row],[$ CAPITAL]]&gt;=0,FINANCIACION[[#This Row],[$ CAPITAL]]+FINANCIACION[[#This Row],[$ INTERESES]],0)</f>
        <v>0</v>
      </c>
      <c r="K548" s="10"/>
      <c r="N548" s="6"/>
      <c r="O548" s="9"/>
      <c r="P548" s="8"/>
    </row>
    <row r="549" spans="1:16" ht="24" hidden="1" customHeight="1" x14ac:dyDescent="0.3">
      <c r="A549" s="142">
        <v>44286</v>
      </c>
      <c r="B549" s="50" t="s">
        <v>822</v>
      </c>
      <c r="C549" s="5">
        <v>67182</v>
      </c>
      <c r="D549" s="5"/>
      <c r="E549" s="5">
        <f>+IF(FINANCIACION[[#This Row],[$ CAPITAL]]&gt;=0,FINANCIACION[[#This Row],[$ CAPITAL]]+FINANCIACION[[#This Row],[$ INTERESES]],"")</f>
        <v>67182</v>
      </c>
      <c r="F549" s="5">
        <f>+SUMIFS(FINANCIACION[$ CAPITAL],FINANCIACION[Fecha],"&lt;="&amp;FINANCIACION[[#This Row],[Fecha]],FINANCIACION[PRESTAMO],FINANCIACION[[#This Row],[PRESTAMO]])</f>
        <v>-70787902.990000024</v>
      </c>
      <c r="G549" s="7" t="s">
        <v>225</v>
      </c>
      <c r="H549" s="53"/>
      <c r="I549" s="5">
        <f>IF(FINANCIACION[[#This Row],[$ CAPITAL]]&gt;0,FINANCIACION[[#This Row],[$ CAPITAL]])</f>
        <v>67182</v>
      </c>
      <c r="J549" s="33">
        <f>IF(FINANCIACION[[#This Row],[$ CAPITAL]]&gt;=0,FINANCIACION[[#This Row],[$ CAPITAL]]+FINANCIACION[[#This Row],[$ INTERESES]],0)</f>
        <v>67182</v>
      </c>
      <c r="K549" s="10"/>
      <c r="N549" s="6"/>
      <c r="O549" s="9"/>
      <c r="P549" s="8"/>
    </row>
    <row r="550" spans="1:16" ht="24" hidden="1" customHeight="1" x14ac:dyDescent="0.3">
      <c r="A550" s="142">
        <v>44286</v>
      </c>
      <c r="B550" s="50" t="s">
        <v>822</v>
      </c>
      <c r="C550" s="5">
        <v>-16500498</v>
      </c>
      <c r="D550" s="5"/>
      <c r="E550" s="5" t="str">
        <f>+IF(FINANCIACION[[#This Row],[$ CAPITAL]]&gt;=0,FINANCIACION[[#This Row],[$ CAPITAL]]+FINANCIACION[[#This Row],[$ INTERESES]],"")</f>
        <v/>
      </c>
      <c r="F550" s="5">
        <f>+SUMIFS(FINANCIACION[$ CAPITAL],FINANCIACION[Fecha],"&lt;="&amp;FINANCIACION[[#This Row],[Fecha]],FINANCIACION[PRESTAMO],FINANCIACION[[#This Row],[PRESTAMO]])</f>
        <v>-70787902.990000024</v>
      </c>
      <c r="G550" s="7" t="s">
        <v>225</v>
      </c>
      <c r="H550" s="53"/>
      <c r="I550" s="5" t="b">
        <f>IF(FINANCIACION[[#This Row],[$ CAPITAL]]&gt;0,FINANCIACION[[#This Row],[$ CAPITAL]])</f>
        <v>0</v>
      </c>
      <c r="J550" s="33">
        <f>IF(FINANCIACION[[#This Row],[$ CAPITAL]]&gt;=0,FINANCIACION[[#This Row],[$ CAPITAL]]+FINANCIACION[[#This Row],[$ INTERESES]],0)</f>
        <v>0</v>
      </c>
      <c r="K550" s="10"/>
      <c r="N550" s="6"/>
      <c r="O550" s="9"/>
      <c r="P550" s="8"/>
    </row>
    <row r="551" spans="1:16" ht="24" hidden="1" customHeight="1" x14ac:dyDescent="0.3">
      <c r="A551" s="142">
        <v>44286</v>
      </c>
      <c r="B551" s="50" t="s">
        <v>822</v>
      </c>
      <c r="C551" s="5">
        <v>-4040471</v>
      </c>
      <c r="D551" s="5"/>
      <c r="E551" s="5" t="str">
        <f>+IF(FINANCIACION[[#This Row],[$ CAPITAL]]&gt;=0,FINANCIACION[[#This Row],[$ CAPITAL]]+FINANCIACION[[#This Row],[$ INTERESES]],"")</f>
        <v/>
      </c>
      <c r="F551" s="5">
        <f>+SUMIFS(FINANCIACION[$ CAPITAL],FINANCIACION[Fecha],"&lt;="&amp;FINANCIACION[[#This Row],[Fecha]],FINANCIACION[PRESTAMO],FINANCIACION[[#This Row],[PRESTAMO]])</f>
        <v>-70787902.990000024</v>
      </c>
      <c r="G551" s="7" t="s">
        <v>225</v>
      </c>
      <c r="H551" s="53"/>
      <c r="I551" s="5" t="b">
        <f>IF(FINANCIACION[[#This Row],[$ CAPITAL]]&gt;0,FINANCIACION[[#This Row],[$ CAPITAL]])</f>
        <v>0</v>
      </c>
      <c r="J551" s="33">
        <f>IF(FINANCIACION[[#This Row],[$ CAPITAL]]&gt;=0,FINANCIACION[[#This Row],[$ CAPITAL]]+FINANCIACION[[#This Row],[$ INTERESES]],0)</f>
        <v>0</v>
      </c>
      <c r="K551" s="10"/>
      <c r="N551" s="6"/>
      <c r="O551" s="9"/>
      <c r="P551" s="8"/>
    </row>
    <row r="552" spans="1:16" ht="24" hidden="1" customHeight="1" x14ac:dyDescent="0.3">
      <c r="A552" s="142">
        <v>44286</v>
      </c>
      <c r="B552" s="50" t="s">
        <v>822</v>
      </c>
      <c r="C552" s="5">
        <v>-218785.16999999806</v>
      </c>
      <c r="D552" s="5"/>
      <c r="E552" s="5" t="str">
        <f>+IF(FINANCIACION[[#This Row],[$ CAPITAL]]&gt;=0,FINANCIACION[[#This Row],[$ CAPITAL]]+FINANCIACION[[#This Row],[$ INTERESES]],"")</f>
        <v/>
      </c>
      <c r="F552" s="5">
        <f>+SUMIFS(FINANCIACION[$ CAPITAL],FINANCIACION[Fecha],"&lt;="&amp;FINANCIACION[[#This Row],[Fecha]],FINANCIACION[PRESTAMO],FINANCIACION[[#This Row],[PRESTAMO]])</f>
        <v>-70787902.990000024</v>
      </c>
      <c r="G552" s="7" t="s">
        <v>225</v>
      </c>
      <c r="H552" s="53"/>
      <c r="I552" s="5" t="b">
        <f>IF(FINANCIACION[[#This Row],[$ CAPITAL]]&gt;0,FINANCIACION[[#This Row],[$ CAPITAL]])</f>
        <v>0</v>
      </c>
      <c r="J552" s="33">
        <f>IF(FINANCIACION[[#This Row],[$ CAPITAL]]&gt;=0,FINANCIACION[[#This Row],[$ CAPITAL]]+FINANCIACION[[#This Row],[$ INTERESES]],0)</f>
        <v>0</v>
      </c>
      <c r="K552" s="10"/>
      <c r="N552" s="6"/>
      <c r="O552" s="9"/>
      <c r="P552" s="8"/>
    </row>
    <row r="553" spans="1:16" ht="24" hidden="1" customHeight="1" x14ac:dyDescent="0.3">
      <c r="A553" s="142">
        <v>44290</v>
      </c>
      <c r="B553" s="50" t="s">
        <v>822</v>
      </c>
      <c r="C553" s="5">
        <v>990094.53000000305</v>
      </c>
      <c r="D553" s="5">
        <v>120069.57999999705</v>
      </c>
      <c r="E553" s="5">
        <f>+IF(FINANCIACION[[#This Row],[$ CAPITAL]]&gt;=0,FINANCIACION[[#This Row],[$ CAPITAL]]+FINANCIACION[[#This Row],[$ INTERESES]],"")</f>
        <v>1110164.1100000001</v>
      </c>
      <c r="F553" s="5">
        <f>+SUMIFS(FINANCIACION[$ CAPITAL],FINANCIACION[Fecha],"&lt;="&amp;FINANCIACION[[#This Row],[Fecha]],FINANCIACION[PRESTAMO],FINANCIACION[[#This Row],[PRESTAMO]])</f>
        <v>-69797808.460000023</v>
      </c>
      <c r="G553" s="7"/>
      <c r="H553" s="53"/>
      <c r="I553" s="5">
        <f>IF(FINANCIACION[[#This Row],[$ CAPITAL]]&gt;0,FINANCIACION[[#This Row],[$ CAPITAL]])</f>
        <v>990094.53000000305</v>
      </c>
      <c r="J553" s="33">
        <f>IF(FINANCIACION[[#This Row],[$ CAPITAL]]&gt;=0,FINANCIACION[[#This Row],[$ CAPITAL]]+FINANCIACION[[#This Row],[$ INTERESES]],0)</f>
        <v>1110164.1100000001</v>
      </c>
      <c r="K553" s="10"/>
      <c r="N553" s="6"/>
      <c r="O553" s="9"/>
      <c r="P553" s="8"/>
    </row>
    <row r="554" spans="1:16" ht="24" hidden="1" customHeight="1" x14ac:dyDescent="0.3">
      <c r="A554" s="142">
        <v>44294</v>
      </c>
      <c r="B554" s="50" t="s">
        <v>191</v>
      </c>
      <c r="C554" s="5">
        <v>6326000</v>
      </c>
      <c r="D554" s="5">
        <v>510908.2</v>
      </c>
      <c r="E554" s="5">
        <f>+IF(FINANCIACION[[#This Row],[$ CAPITAL]]&gt;=0,FINANCIACION[[#This Row],[$ CAPITAL]]+FINANCIACION[[#This Row],[$ INTERESES]],"")</f>
        <v>6836908.2000000002</v>
      </c>
      <c r="F554" s="5">
        <f>+SUMIFS(FINANCIACION[$ CAPITAL],FINANCIACION[Fecha],"&lt;="&amp;FINANCIACION[[#This Row],[Fecha]],FINANCIACION[PRESTAMO],FINANCIACION[[#This Row],[PRESTAMO]])</f>
        <v>-66691126</v>
      </c>
      <c r="G554" s="7"/>
      <c r="H554" s="53"/>
      <c r="I554" s="5">
        <f>IF(FINANCIACION[[#This Row],[$ CAPITAL]]&gt;0,FINANCIACION[[#This Row],[$ CAPITAL]])</f>
        <v>6326000</v>
      </c>
      <c r="J554" s="33">
        <f>IF(FINANCIACION[[#This Row],[$ CAPITAL]]&gt;=0,FINANCIACION[[#This Row],[$ CAPITAL]]+FINANCIACION[[#This Row],[$ INTERESES]],0)</f>
        <v>6836908.2000000002</v>
      </c>
      <c r="K554" s="10"/>
      <c r="N554" s="6"/>
      <c r="O554" s="9"/>
      <c r="P554" s="8"/>
    </row>
    <row r="555" spans="1:16" ht="24" hidden="1" customHeight="1" x14ac:dyDescent="0.3">
      <c r="A555" s="142">
        <v>44299</v>
      </c>
      <c r="B555" s="50" t="s">
        <v>819</v>
      </c>
      <c r="C555" s="5">
        <v>1722778.2338016599</v>
      </c>
      <c r="D555" s="5">
        <v>843121.7661983401</v>
      </c>
      <c r="E555" s="5">
        <f>+IF(FINANCIACION[[#This Row],[$ CAPITAL]]&gt;=0,FINANCIACION[[#This Row],[$ CAPITAL]]+FINANCIACION[[#This Row],[$ INTERESES]],"")</f>
        <v>2565900</v>
      </c>
      <c r="F555" s="5">
        <f>+SUMIFS(FINANCIACION[$ CAPITAL],FINANCIACION[Fecha],"&lt;="&amp;FINANCIACION[[#This Row],[Fecha]],FINANCIACION[PRESTAMO],FINANCIACION[[#This Row],[PRESTAMO]])</f>
        <v>-82589398.386032343</v>
      </c>
      <c r="G555" s="7"/>
      <c r="H555" s="53"/>
      <c r="I555" s="5">
        <f>IF(FINANCIACION[[#This Row],[$ CAPITAL]]&gt;0,FINANCIACION[[#This Row],[$ CAPITAL]])</f>
        <v>1722778.2338016599</v>
      </c>
      <c r="J555" s="33">
        <f>IF(FINANCIACION[[#This Row],[$ CAPITAL]]&gt;=0,FINANCIACION[[#This Row],[$ CAPITAL]]+FINANCIACION[[#This Row],[$ INTERESES]],0)</f>
        <v>2565900</v>
      </c>
      <c r="K555" s="10"/>
      <c r="N555" s="6"/>
      <c r="O555" s="9"/>
      <c r="P555" s="8"/>
    </row>
    <row r="556" spans="1:16" ht="24" hidden="1" customHeight="1" x14ac:dyDescent="0.3">
      <c r="A556" s="142">
        <v>44299</v>
      </c>
      <c r="B556" s="50" t="s">
        <v>823</v>
      </c>
      <c r="C556" s="5">
        <v>699200</v>
      </c>
      <c r="D556" s="5">
        <v>600800</v>
      </c>
      <c r="E556" s="5">
        <f>+IF(FINANCIACION[[#This Row],[$ CAPITAL]]&gt;=0,FINANCIACION[[#This Row],[$ CAPITAL]]+FINANCIACION[[#This Row],[$ INTERESES]],"")</f>
        <v>1300000</v>
      </c>
      <c r="F556" s="5">
        <f>+SUMIFS(FINANCIACION[$ CAPITAL],FINANCIACION[Fecha],"&lt;="&amp;FINANCIACION[[#This Row],[Fecha]],FINANCIACION[PRESTAMO],FINANCIACION[[#This Row],[PRESTAMO]])</f>
        <v>-59380800</v>
      </c>
      <c r="G556" s="7"/>
      <c r="H556" s="53"/>
      <c r="I556" s="5">
        <f>IF(FINANCIACION[[#This Row],[$ CAPITAL]]&gt;0,FINANCIACION[[#This Row],[$ CAPITAL]])</f>
        <v>699200</v>
      </c>
      <c r="J556" s="33">
        <f>IF(FINANCIACION[[#This Row],[$ CAPITAL]]&gt;=0,FINANCIACION[[#This Row],[$ CAPITAL]]+FINANCIACION[[#This Row],[$ INTERESES]],0)</f>
        <v>1300000</v>
      </c>
      <c r="K556" s="10"/>
      <c r="N556" s="6"/>
      <c r="O556" s="9"/>
      <c r="P556" s="8"/>
    </row>
    <row r="557" spans="1:16" ht="24" hidden="1" customHeight="1" x14ac:dyDescent="0.3">
      <c r="A557" s="142">
        <v>44299</v>
      </c>
      <c r="B557" s="50" t="s">
        <v>822</v>
      </c>
      <c r="C557" s="5">
        <v>13152852</v>
      </c>
      <c r="D557" s="5"/>
      <c r="E557" s="5">
        <f>+IF(FINANCIACION[[#This Row],[$ CAPITAL]]&gt;=0,FINANCIACION[[#This Row],[$ CAPITAL]]+FINANCIACION[[#This Row],[$ INTERESES]],"")</f>
        <v>13152852</v>
      </c>
      <c r="F557" s="5">
        <f>+SUMIFS(FINANCIACION[$ CAPITAL],FINANCIACION[Fecha],"&lt;="&amp;FINANCIACION[[#This Row],[Fecha]],FINANCIACION[PRESTAMO],FINANCIACION[[#This Row],[PRESTAMO]])</f>
        <v>-56644956.460000023</v>
      </c>
      <c r="G557" s="7"/>
      <c r="H557" s="53"/>
      <c r="I557" s="5">
        <f>IF(FINANCIACION[[#This Row],[$ CAPITAL]]&gt;0,FINANCIACION[[#This Row],[$ CAPITAL]])</f>
        <v>13152852</v>
      </c>
      <c r="J557" s="33">
        <f>IF(FINANCIACION[[#This Row],[$ CAPITAL]]&gt;=0,FINANCIACION[[#This Row],[$ CAPITAL]]+FINANCIACION[[#This Row],[$ INTERESES]],0)</f>
        <v>13152852</v>
      </c>
      <c r="K557" s="10"/>
      <c r="N557" s="6"/>
      <c r="O557" s="9"/>
      <c r="P557" s="8"/>
    </row>
    <row r="558" spans="1:16" ht="24" hidden="1" customHeight="1" x14ac:dyDescent="0.3">
      <c r="A558" s="142">
        <v>44301</v>
      </c>
      <c r="B558" s="50" t="s">
        <v>832</v>
      </c>
      <c r="C558" s="5">
        <v>-12000000</v>
      </c>
      <c r="D558" s="5"/>
      <c r="E558" s="5" t="str">
        <f>+IF(FINANCIACION[[#This Row],[$ CAPITAL]]&gt;=0,FINANCIACION[[#This Row],[$ CAPITAL]]+FINANCIACION[[#This Row],[$ INTERESES]],"")</f>
        <v/>
      </c>
      <c r="F558" s="5">
        <f>+SUMIFS(FINANCIACION[$ CAPITAL],FINANCIACION[Fecha],"&lt;="&amp;FINANCIACION[[#This Row],[Fecha]],FINANCIACION[PRESTAMO],FINANCIACION[[#This Row],[PRESTAMO]])</f>
        <v>-12000000</v>
      </c>
      <c r="G558" s="7"/>
      <c r="H558" s="53"/>
      <c r="I558" s="5" t="b">
        <f>IF(FINANCIACION[[#This Row],[$ CAPITAL]]&gt;0,FINANCIACION[[#This Row],[$ CAPITAL]])</f>
        <v>0</v>
      </c>
      <c r="J558" s="33">
        <f>IF(FINANCIACION[[#This Row],[$ CAPITAL]]&gt;=0,FINANCIACION[[#This Row],[$ CAPITAL]]+FINANCIACION[[#This Row],[$ INTERESES]],0)</f>
        <v>0</v>
      </c>
      <c r="K558" s="10"/>
      <c r="N558" s="6"/>
      <c r="O558" s="9"/>
      <c r="P558" s="8"/>
    </row>
    <row r="559" spans="1:16" ht="24" hidden="1" customHeight="1" x14ac:dyDescent="0.3">
      <c r="A559" s="142">
        <v>44301</v>
      </c>
      <c r="B559" s="50" t="s">
        <v>822</v>
      </c>
      <c r="C559" s="5">
        <v>4904459</v>
      </c>
      <c r="D559" s="5"/>
      <c r="E559" s="5">
        <f>+IF(FINANCIACION[[#This Row],[$ CAPITAL]]&gt;=0,FINANCIACION[[#This Row],[$ CAPITAL]]+FINANCIACION[[#This Row],[$ INTERESES]],"")</f>
        <v>4904459</v>
      </c>
      <c r="F559" s="5">
        <f>+SUMIFS(FINANCIACION[$ CAPITAL],FINANCIACION[Fecha],"&lt;="&amp;FINANCIACION[[#This Row],[Fecha]],FINANCIACION[PRESTAMO],FINANCIACION[[#This Row],[PRESTAMO]])</f>
        <v>-51740497.460000023</v>
      </c>
      <c r="G559" s="7"/>
      <c r="H559" s="53"/>
      <c r="I559" s="5">
        <f>IF(FINANCIACION[[#This Row],[$ CAPITAL]]&gt;0,FINANCIACION[[#This Row],[$ CAPITAL]])</f>
        <v>4904459</v>
      </c>
      <c r="J559" s="33">
        <f>IF(FINANCIACION[[#This Row],[$ CAPITAL]]&gt;=0,FINANCIACION[[#This Row],[$ CAPITAL]]+FINANCIACION[[#This Row],[$ INTERESES]],0)</f>
        <v>4904459</v>
      </c>
      <c r="K559" s="10"/>
      <c r="N559" s="6"/>
      <c r="O559" s="9"/>
      <c r="P559" s="8"/>
    </row>
    <row r="560" spans="1:16" ht="24" hidden="1" customHeight="1" x14ac:dyDescent="0.3">
      <c r="A560" s="142">
        <v>44312</v>
      </c>
      <c r="B560" s="50" t="s">
        <v>822</v>
      </c>
      <c r="C560" s="5">
        <v>200700</v>
      </c>
      <c r="D560" s="5"/>
      <c r="E560" s="5">
        <f>+IF(FINANCIACION[[#This Row],[$ CAPITAL]]&gt;=0,FINANCIACION[[#This Row],[$ CAPITAL]]+FINANCIACION[[#This Row],[$ INTERESES]],"")</f>
        <v>200700</v>
      </c>
      <c r="F560" s="5">
        <f>+SUMIFS(FINANCIACION[$ CAPITAL],FINANCIACION[Fecha],"&lt;="&amp;FINANCIACION[[#This Row],[Fecha]],FINANCIACION[PRESTAMO],FINANCIACION[[#This Row],[PRESTAMO]])</f>
        <v>-51539797.460000023</v>
      </c>
      <c r="G560" s="7"/>
      <c r="H560" s="53"/>
      <c r="I560" s="5">
        <f>IF(FINANCIACION[[#This Row],[$ CAPITAL]]&gt;0,FINANCIACION[[#This Row],[$ CAPITAL]])</f>
        <v>200700</v>
      </c>
      <c r="J560" s="33">
        <f>IF(FINANCIACION[[#This Row],[$ CAPITAL]]&gt;=0,FINANCIACION[[#This Row],[$ CAPITAL]]+FINANCIACION[[#This Row],[$ INTERESES]],0)</f>
        <v>200700</v>
      </c>
      <c r="K560" s="10"/>
      <c r="N560" s="6"/>
      <c r="O560" s="9"/>
      <c r="P560" s="8"/>
    </row>
    <row r="561" spans="1:16" ht="24" hidden="1" customHeight="1" x14ac:dyDescent="0.3">
      <c r="A561" s="142">
        <v>44315</v>
      </c>
      <c r="B561" s="50" t="s">
        <v>822</v>
      </c>
      <c r="C561" s="5">
        <v>1620486.1199999999</v>
      </c>
      <c r="D561" s="5"/>
      <c r="E561" s="5">
        <f>+IF(FINANCIACION[[#This Row],[$ CAPITAL]]&gt;=0,FINANCIACION[[#This Row],[$ CAPITAL]]+FINANCIACION[[#This Row],[$ INTERESES]],"")</f>
        <v>1620486.1199999999</v>
      </c>
      <c r="F561" s="5">
        <f>+SUMIFS(FINANCIACION[$ CAPITAL],FINANCIACION[Fecha],"&lt;="&amp;FINANCIACION[[#This Row],[Fecha]],FINANCIACION[PRESTAMO],FINANCIACION[[#This Row],[PRESTAMO]])</f>
        <v>-49919311.340000026</v>
      </c>
      <c r="G561" s="7"/>
      <c r="H561" s="53"/>
      <c r="I561" s="5">
        <f>IF(FINANCIACION[[#This Row],[$ CAPITAL]]&gt;0,FINANCIACION[[#This Row],[$ CAPITAL]])</f>
        <v>1620486.1199999999</v>
      </c>
      <c r="J561" s="33">
        <f>IF(FINANCIACION[[#This Row],[$ CAPITAL]]&gt;=0,FINANCIACION[[#This Row],[$ CAPITAL]]+FINANCIACION[[#This Row],[$ INTERESES]],0)</f>
        <v>1620486.1199999999</v>
      </c>
      <c r="K561" s="10"/>
      <c r="N561" s="6"/>
      <c r="O561" s="9"/>
      <c r="P561" s="8"/>
    </row>
    <row r="562" spans="1:16" ht="24" hidden="1" customHeight="1" x14ac:dyDescent="0.3">
      <c r="A562" s="142">
        <v>44316</v>
      </c>
      <c r="B562" s="50" t="s">
        <v>187</v>
      </c>
      <c r="C562" s="5">
        <v>1468400</v>
      </c>
      <c r="D562" s="5">
        <v>506320</v>
      </c>
      <c r="E562" s="5">
        <f>+IF(FINANCIACION[[#This Row],[$ CAPITAL]]&gt;=0,FINANCIACION[[#This Row],[$ CAPITAL]]+FINANCIACION[[#This Row],[$ INTERESES]],"")</f>
        <v>1974720</v>
      </c>
      <c r="F562" s="5">
        <f>+SUMIFS(FINANCIACION[$ CAPITAL],FINANCIACION[Fecha],"&lt;="&amp;FINANCIACION[[#This Row],[Fecha]],FINANCIACION[PRESTAMO],FINANCIACION[[#This Row],[PRESTAMO]])</f>
        <v>-51394000</v>
      </c>
      <c r="G562" s="7"/>
      <c r="H562" s="53"/>
      <c r="I562" s="5">
        <f>IF(FINANCIACION[[#This Row],[$ CAPITAL]]&gt;0,FINANCIACION[[#This Row],[$ CAPITAL]])</f>
        <v>1468400</v>
      </c>
      <c r="J562" s="33">
        <f>IF(FINANCIACION[[#This Row],[$ CAPITAL]]&gt;=0,FINANCIACION[[#This Row],[$ CAPITAL]]+FINANCIACION[[#This Row],[$ INTERESES]],0)</f>
        <v>1974720</v>
      </c>
      <c r="K562" s="10"/>
      <c r="N562" s="6"/>
      <c r="O562" s="9"/>
      <c r="P562" s="8"/>
    </row>
    <row r="563" spans="1:16" ht="24" hidden="1" customHeight="1" x14ac:dyDescent="0.3">
      <c r="A563" s="142">
        <v>44316</v>
      </c>
      <c r="B563" s="50" t="s">
        <v>187</v>
      </c>
      <c r="C563" s="5">
        <v>33</v>
      </c>
      <c r="D563" s="5"/>
      <c r="E563" s="5">
        <f>+IF(FINANCIACION[[#This Row],[$ CAPITAL]]&gt;=0,FINANCIACION[[#This Row],[$ CAPITAL]]+FINANCIACION[[#This Row],[$ INTERESES]],"")</f>
        <v>33</v>
      </c>
      <c r="F563" s="5">
        <f>+SUMIFS(FINANCIACION[$ CAPITAL],FINANCIACION[Fecha],"&lt;="&amp;FINANCIACION[[#This Row],[Fecha]],FINANCIACION[PRESTAMO],FINANCIACION[[#This Row],[PRESTAMO]])</f>
        <v>-51394000</v>
      </c>
      <c r="G563" s="7" t="s">
        <v>225</v>
      </c>
      <c r="H563" s="53"/>
      <c r="I563" s="5">
        <f>IF(FINANCIACION[[#This Row],[$ CAPITAL]]&gt;0,FINANCIACION[[#This Row],[$ CAPITAL]])</f>
        <v>33</v>
      </c>
      <c r="J563" s="33">
        <f>IF(FINANCIACION[[#This Row],[$ CAPITAL]]&gt;=0,FINANCIACION[[#This Row],[$ CAPITAL]]+FINANCIACION[[#This Row],[$ INTERESES]],0)</f>
        <v>33</v>
      </c>
      <c r="K563" s="10"/>
      <c r="N563" s="6"/>
      <c r="O563" s="9"/>
      <c r="P563" s="8"/>
    </row>
    <row r="564" spans="1:16" ht="24" hidden="1" customHeight="1" x14ac:dyDescent="0.3">
      <c r="A564" s="142">
        <v>44316</v>
      </c>
      <c r="B564" s="50" t="s">
        <v>188</v>
      </c>
      <c r="C564" s="5"/>
      <c r="D564" s="5">
        <v>76791</v>
      </c>
      <c r="E564" s="5">
        <f>+IF(FINANCIACION[[#This Row],[$ CAPITAL]]&gt;=0,FINANCIACION[[#This Row],[$ CAPITAL]]+FINANCIACION[[#This Row],[$ INTERESES]],"")</f>
        <v>76791</v>
      </c>
      <c r="F564" s="5">
        <f>+SUMIFS(FINANCIACION[$ CAPITAL],FINANCIACION[Fecha],"&lt;="&amp;FINANCIACION[[#This Row],[Fecha]],FINANCIACION[PRESTAMO],FINANCIACION[[#This Row],[PRESTAMO]])</f>
        <v>-2687685</v>
      </c>
      <c r="G564" s="7"/>
      <c r="H564" s="53"/>
      <c r="I564" s="5" t="b">
        <f>IF(FINANCIACION[[#This Row],[$ CAPITAL]]&gt;0,FINANCIACION[[#This Row],[$ CAPITAL]])</f>
        <v>0</v>
      </c>
      <c r="J564" s="33">
        <f>IF(FINANCIACION[[#This Row],[$ CAPITAL]]&gt;=0,FINANCIACION[[#This Row],[$ CAPITAL]]+FINANCIACION[[#This Row],[$ INTERESES]],0)</f>
        <v>76791</v>
      </c>
    </row>
    <row r="565" spans="1:16" ht="24" hidden="1" customHeight="1" x14ac:dyDescent="0.3">
      <c r="A565" s="142">
        <v>44316</v>
      </c>
      <c r="B565" s="50" t="s">
        <v>188</v>
      </c>
      <c r="C565" s="5">
        <v>153582</v>
      </c>
      <c r="D565" s="5"/>
      <c r="E565" s="5">
        <f>+IF(FINANCIACION[[#This Row],[$ CAPITAL]]&gt;=0,FINANCIACION[[#This Row],[$ CAPITAL]]+FINANCIACION[[#This Row],[$ INTERESES]],"")</f>
        <v>153582</v>
      </c>
      <c r="F565" s="5">
        <f>+SUMIFS(FINANCIACION[$ CAPITAL],FINANCIACION[Fecha],"&lt;="&amp;FINANCIACION[[#This Row],[Fecha]],FINANCIACION[PRESTAMO],FINANCIACION[[#This Row],[PRESTAMO]])</f>
        <v>-2687685</v>
      </c>
      <c r="G565" s="7" t="s">
        <v>225</v>
      </c>
      <c r="H565" s="53"/>
      <c r="I565" s="5">
        <f>IF(FINANCIACION[[#This Row],[$ CAPITAL]]&gt;0,FINANCIACION[[#This Row],[$ CAPITAL]])</f>
        <v>153582</v>
      </c>
      <c r="J565" s="33">
        <f>IF(FINANCIACION[[#This Row],[$ CAPITAL]]&gt;=0,FINANCIACION[[#This Row],[$ CAPITAL]]+FINANCIACION[[#This Row],[$ INTERESES]],0)</f>
        <v>153582</v>
      </c>
    </row>
    <row r="566" spans="1:16" ht="24" hidden="1" customHeight="1" x14ac:dyDescent="0.3">
      <c r="A566" s="142">
        <v>44316</v>
      </c>
      <c r="B566" s="50" t="s">
        <v>190</v>
      </c>
      <c r="C566" s="5">
        <v>-5150336</v>
      </c>
      <c r="D566" s="5"/>
      <c r="E566" s="5" t="str">
        <f>+IF(FINANCIACION[[#This Row],[$ CAPITAL]]&gt;=0,FINANCIACION[[#This Row],[$ CAPITAL]]+FINANCIACION[[#This Row],[$ INTERESES]],"")</f>
        <v/>
      </c>
      <c r="F566" s="5">
        <f>+SUMIFS(FINANCIACION[$ CAPITAL],FINANCIACION[Fecha],"&lt;="&amp;FINANCIACION[[#This Row],[Fecha]],FINANCIACION[PRESTAMO],FINANCIACION[[#This Row],[PRESTAMO]])</f>
        <v>-97856384</v>
      </c>
      <c r="G566" s="7" t="s">
        <v>225</v>
      </c>
      <c r="H566" s="53"/>
      <c r="I566" s="5" t="b">
        <f>IF(FINANCIACION[[#This Row],[$ CAPITAL]]&gt;0,FINANCIACION[[#This Row],[$ CAPITAL]])</f>
        <v>0</v>
      </c>
      <c r="J566" s="33">
        <f>IF(FINANCIACION[[#This Row],[$ CAPITAL]]&gt;=0,FINANCIACION[[#This Row],[$ CAPITAL]]+FINANCIACION[[#This Row],[$ INTERESES]],0)</f>
        <v>0</v>
      </c>
    </row>
    <row r="567" spans="1:16" ht="24" hidden="1" customHeight="1" x14ac:dyDescent="0.3">
      <c r="A567" s="142">
        <v>44316</v>
      </c>
      <c r="B567" s="50" t="s">
        <v>282</v>
      </c>
      <c r="C567" s="5">
        <v>-1498393</v>
      </c>
      <c r="D567" s="5"/>
      <c r="E567" s="5" t="str">
        <f>+IF(FINANCIACION[[#This Row],[$ CAPITAL]]&gt;=0,FINANCIACION[[#This Row],[$ CAPITAL]]+FINANCIACION[[#This Row],[$ INTERESES]],"")</f>
        <v/>
      </c>
      <c r="F567" s="5">
        <f>+SUMIFS(FINANCIACION[$ CAPITAL],FINANCIACION[Fecha],"&lt;="&amp;FINANCIACION[[#This Row],[Fecha]],FINANCIACION[PRESTAMO],FINANCIACION[[#This Row],[PRESTAMO]])</f>
        <v>-56938934</v>
      </c>
      <c r="G567" s="7" t="s">
        <v>225</v>
      </c>
      <c r="H567" s="53"/>
      <c r="I567" s="5" t="b">
        <f>IF(FINANCIACION[[#This Row],[$ CAPITAL]]&gt;0,FINANCIACION[[#This Row],[$ CAPITAL]])</f>
        <v>0</v>
      </c>
      <c r="J567" s="33">
        <f>IF(FINANCIACION[[#This Row],[$ CAPITAL]]&gt;=0,FINANCIACION[[#This Row],[$ CAPITAL]]+FINANCIACION[[#This Row],[$ INTERESES]],0)</f>
        <v>0</v>
      </c>
    </row>
    <row r="568" spans="1:16" ht="24" hidden="1" customHeight="1" x14ac:dyDescent="0.3">
      <c r="A568" s="142">
        <v>44316</v>
      </c>
      <c r="B568" s="50" t="s">
        <v>827</v>
      </c>
      <c r="C568" s="5">
        <v>-152551.12000000104</v>
      </c>
      <c r="D568" s="5"/>
      <c r="E568" s="5" t="str">
        <f>+IF(FINANCIACION[[#This Row],[$ CAPITAL]]&gt;=0,FINANCIACION[[#This Row],[$ CAPITAL]]+FINANCIACION[[#This Row],[$ INTERESES]],"")</f>
        <v/>
      </c>
      <c r="F568" s="5">
        <f>+SUMIFS(FINANCIACION[$ CAPITAL],FINANCIACION[Fecha],"&lt;="&amp;FINANCIACION[[#This Row],[Fecha]],FINANCIACION[PRESTAMO],FINANCIACION[[#This Row],[PRESTAMO]])</f>
        <v>-24020998.199999999</v>
      </c>
      <c r="G568" s="7" t="s">
        <v>225</v>
      </c>
      <c r="H568" s="53"/>
      <c r="I568" s="5" t="b">
        <f>IF(FINANCIACION[[#This Row],[$ CAPITAL]]&gt;0,FINANCIACION[[#This Row],[$ CAPITAL]])</f>
        <v>0</v>
      </c>
      <c r="J568" s="33">
        <f>IF(FINANCIACION[[#This Row],[$ CAPITAL]]&gt;=0,FINANCIACION[[#This Row],[$ CAPITAL]]+FINANCIACION[[#This Row],[$ INTERESES]],0)</f>
        <v>0</v>
      </c>
    </row>
    <row r="569" spans="1:16" ht="24" hidden="1" customHeight="1" x14ac:dyDescent="0.3">
      <c r="A569" s="142">
        <v>44316</v>
      </c>
      <c r="B569" s="50" t="s">
        <v>829</v>
      </c>
      <c r="C569" s="5">
        <v>-171349.36999999732</v>
      </c>
      <c r="D569" s="5"/>
      <c r="E569" s="5" t="str">
        <f>+IF(FINANCIACION[[#This Row],[$ CAPITAL]]&gt;=0,FINANCIACION[[#This Row],[$ CAPITAL]]+FINANCIACION[[#This Row],[$ INTERESES]],"")</f>
        <v/>
      </c>
      <c r="F569" s="5">
        <f>+SUMIFS(FINANCIACION[$ CAPITAL],FINANCIACION[Fecha],"&lt;="&amp;FINANCIACION[[#This Row],[Fecha]],FINANCIACION[PRESTAMO],FINANCIACION[[#This Row],[PRESTAMO]])</f>
        <v>-26084498.899999999</v>
      </c>
      <c r="G569" s="7" t="s">
        <v>225</v>
      </c>
      <c r="H569" s="53"/>
      <c r="I569" s="5" t="b">
        <f>IF(FINANCIACION[[#This Row],[$ CAPITAL]]&gt;0,FINANCIACION[[#This Row],[$ CAPITAL]])</f>
        <v>0</v>
      </c>
      <c r="J569" s="33">
        <f>IF(FINANCIACION[[#This Row],[$ CAPITAL]]&gt;=0,FINANCIACION[[#This Row],[$ CAPITAL]]+FINANCIACION[[#This Row],[$ INTERESES]],0)</f>
        <v>0</v>
      </c>
    </row>
    <row r="570" spans="1:16" ht="24" hidden="1" customHeight="1" x14ac:dyDescent="0.3">
      <c r="A570" s="142">
        <v>44316</v>
      </c>
      <c r="B570" s="50" t="s">
        <v>825</v>
      </c>
      <c r="C570" s="5">
        <v>2220246.8299999982</v>
      </c>
      <c r="D570" s="5"/>
      <c r="E570" s="5">
        <f>+IF(FINANCIACION[[#This Row],[$ CAPITAL]]&gt;=0,FINANCIACION[[#This Row],[$ CAPITAL]]+FINANCIACION[[#This Row],[$ INTERESES]],"")</f>
        <v>2220246.8299999982</v>
      </c>
      <c r="F570" s="5">
        <f>+SUMIFS(FINANCIACION[$ CAPITAL],FINANCIACION[Fecha],"&lt;="&amp;FINANCIACION[[#This Row],[Fecha]],FINANCIACION[PRESTAMO],FINANCIACION[[#This Row],[PRESTAMO]])</f>
        <v>-56682393.969999999</v>
      </c>
      <c r="G570" s="7" t="s">
        <v>225</v>
      </c>
      <c r="H570" s="53"/>
      <c r="I570" s="5">
        <f>IF(FINANCIACION[[#This Row],[$ CAPITAL]]&gt;0,FINANCIACION[[#This Row],[$ CAPITAL]])</f>
        <v>2220246.8299999982</v>
      </c>
      <c r="J570" s="33">
        <f>IF(FINANCIACION[[#This Row],[$ CAPITAL]]&gt;=0,FINANCIACION[[#This Row],[$ CAPITAL]]+FINANCIACION[[#This Row],[$ INTERESES]],0)</f>
        <v>2220246.8299999982</v>
      </c>
    </row>
    <row r="571" spans="1:16" ht="24" hidden="1" customHeight="1" x14ac:dyDescent="0.3">
      <c r="A571" s="142">
        <v>44316</v>
      </c>
      <c r="B571" s="50" t="s">
        <v>826</v>
      </c>
      <c r="C571" s="5">
        <v>2039889.7599999905</v>
      </c>
      <c r="D571" s="5"/>
      <c r="E571" s="5">
        <f>+IF(FINANCIACION[[#This Row],[$ CAPITAL]]&gt;=0,FINANCIACION[[#This Row],[$ CAPITAL]]+FINANCIACION[[#This Row],[$ INTERESES]],"")</f>
        <v>2039889.7599999905</v>
      </c>
      <c r="F571" s="5">
        <f>+SUMIFS(FINANCIACION[$ CAPITAL],FINANCIACION[Fecha],"&lt;="&amp;FINANCIACION[[#This Row],[Fecha]],FINANCIACION[PRESTAMO],FINANCIACION[[#This Row],[PRESTAMO]])</f>
        <v>-82222974.680000007</v>
      </c>
      <c r="G571" s="7" t="s">
        <v>225</v>
      </c>
      <c r="H571" s="53"/>
      <c r="I571" s="5">
        <f>IF(FINANCIACION[[#This Row],[$ CAPITAL]]&gt;0,FINANCIACION[[#This Row],[$ CAPITAL]])</f>
        <v>2039889.7599999905</v>
      </c>
      <c r="J571" s="33">
        <f>IF(FINANCIACION[[#This Row],[$ CAPITAL]]&gt;=0,FINANCIACION[[#This Row],[$ CAPITAL]]+FINANCIACION[[#This Row],[$ INTERESES]],0)</f>
        <v>2039889.7599999905</v>
      </c>
    </row>
    <row r="572" spans="1:16" ht="24" hidden="1" customHeight="1" x14ac:dyDescent="0.3">
      <c r="A572" s="142">
        <v>44316</v>
      </c>
      <c r="B572" s="50" t="s">
        <v>821</v>
      </c>
      <c r="C572" s="5">
        <v>-3722340</v>
      </c>
      <c r="D572" s="5"/>
      <c r="E572" s="5" t="str">
        <f>+IF(FINANCIACION[[#This Row],[$ CAPITAL]]&gt;=0,FINANCIACION[[#This Row],[$ CAPITAL]]+FINANCIACION[[#This Row],[$ INTERESES]],"")</f>
        <v/>
      </c>
      <c r="F572" s="5">
        <f>+SUMIFS(FINANCIACION[$ CAPITAL],FINANCIACION[Fecha],"&lt;="&amp;FINANCIACION[[#This Row],[Fecha]],FINANCIACION[PRESTAMO],FINANCIACION[[#This Row],[PRESTAMO]])</f>
        <v>-354844809</v>
      </c>
      <c r="G572" s="7" t="s">
        <v>225</v>
      </c>
      <c r="H572" s="53"/>
      <c r="I572" s="5" t="b">
        <f>IF(FINANCIACION[[#This Row],[$ CAPITAL]]&gt;0,FINANCIACION[[#This Row],[$ CAPITAL]])</f>
        <v>0</v>
      </c>
      <c r="J572" s="33">
        <f>IF(FINANCIACION[[#This Row],[$ CAPITAL]]&gt;=0,FINANCIACION[[#This Row],[$ CAPITAL]]+FINANCIACION[[#This Row],[$ INTERESES]],0)</f>
        <v>0</v>
      </c>
    </row>
    <row r="573" spans="1:16" ht="24" hidden="1" customHeight="1" x14ac:dyDescent="0.3">
      <c r="A573" s="142">
        <v>44316</v>
      </c>
      <c r="B573" s="50" t="s">
        <v>822</v>
      </c>
      <c r="C573" s="5">
        <v>1096187</v>
      </c>
      <c r="D573" s="5"/>
      <c r="E573" s="5">
        <f>+IF(FINANCIACION[[#This Row],[$ CAPITAL]]&gt;=0,FINANCIACION[[#This Row],[$ CAPITAL]]+FINANCIACION[[#This Row],[$ INTERESES]],"")</f>
        <v>1096187</v>
      </c>
      <c r="F573" s="5">
        <f>+SUMIFS(FINANCIACION[$ CAPITAL],FINANCIACION[Fecha],"&lt;="&amp;FINANCIACION[[#This Row],[Fecha]],FINANCIACION[PRESTAMO],FINANCIACION[[#This Row],[PRESTAMO]])</f>
        <v>-71741402.340000033</v>
      </c>
      <c r="G573" s="7" t="s">
        <v>225</v>
      </c>
      <c r="H573" s="53"/>
      <c r="I573" s="5">
        <f>IF(FINANCIACION[[#This Row],[$ CAPITAL]]&gt;0,FINANCIACION[[#This Row],[$ CAPITAL]])</f>
        <v>1096187</v>
      </c>
      <c r="J573" s="33">
        <f>IF(FINANCIACION[[#This Row],[$ CAPITAL]]&gt;=0,FINANCIACION[[#This Row],[$ CAPITAL]]+FINANCIACION[[#This Row],[$ INTERESES]],0)</f>
        <v>1096187</v>
      </c>
    </row>
    <row r="574" spans="1:16" ht="24" hidden="1" customHeight="1" x14ac:dyDescent="0.3">
      <c r="A574" s="142">
        <v>44316</v>
      </c>
      <c r="B574" s="50" t="s">
        <v>822</v>
      </c>
      <c r="C574" s="5">
        <v>-22691238.119999997</v>
      </c>
      <c r="D574" s="5"/>
      <c r="E574" s="5" t="str">
        <f>+IF(FINANCIACION[[#This Row],[$ CAPITAL]]&gt;=0,FINANCIACION[[#This Row],[$ CAPITAL]]+FINANCIACION[[#This Row],[$ INTERESES]],"")</f>
        <v/>
      </c>
      <c r="F574" s="5">
        <f>+SUMIFS(FINANCIACION[$ CAPITAL],FINANCIACION[Fecha],"&lt;="&amp;FINANCIACION[[#This Row],[Fecha]],FINANCIACION[PRESTAMO],FINANCIACION[[#This Row],[PRESTAMO]])</f>
        <v>-71741402.340000033</v>
      </c>
      <c r="G574" s="7" t="s">
        <v>225</v>
      </c>
      <c r="H574" s="53"/>
      <c r="I574" s="5" t="b">
        <f>IF(FINANCIACION[[#This Row],[$ CAPITAL]]&gt;0,FINANCIACION[[#This Row],[$ CAPITAL]])</f>
        <v>0</v>
      </c>
      <c r="J574" s="33">
        <f>IF(FINANCIACION[[#This Row],[$ CAPITAL]]&gt;=0,FINANCIACION[[#This Row],[$ CAPITAL]]+FINANCIACION[[#This Row],[$ INTERESES]],0)</f>
        <v>0</v>
      </c>
    </row>
    <row r="575" spans="1:16" ht="24" hidden="1" customHeight="1" x14ac:dyDescent="0.3">
      <c r="A575" s="142">
        <v>44316</v>
      </c>
      <c r="B575" s="50" t="s">
        <v>822</v>
      </c>
      <c r="C575" s="5">
        <v>-18535</v>
      </c>
      <c r="D575" s="5"/>
      <c r="E575" s="5" t="str">
        <f>+IF(FINANCIACION[[#This Row],[$ CAPITAL]]&gt;=0,FINANCIACION[[#This Row],[$ CAPITAL]]+FINANCIACION[[#This Row],[$ INTERESES]],"")</f>
        <v/>
      </c>
      <c r="F575" s="5">
        <f>+SUMIFS(FINANCIACION[$ CAPITAL],FINANCIACION[Fecha],"&lt;="&amp;FINANCIACION[[#This Row],[Fecha]],FINANCIACION[PRESTAMO],FINANCIACION[[#This Row],[PRESTAMO]])</f>
        <v>-71741402.340000033</v>
      </c>
      <c r="G575" s="7" t="s">
        <v>225</v>
      </c>
      <c r="H575" s="53"/>
      <c r="I575" s="5" t="b">
        <f>IF(FINANCIACION[[#This Row],[$ CAPITAL]]&gt;0,FINANCIACION[[#This Row],[$ CAPITAL]])</f>
        <v>0</v>
      </c>
      <c r="J575" s="33">
        <f>IF(FINANCIACION[[#This Row],[$ CAPITAL]]&gt;=0,FINANCIACION[[#This Row],[$ CAPITAL]]+FINANCIACION[[#This Row],[$ INTERESES]],0)</f>
        <v>0</v>
      </c>
    </row>
    <row r="576" spans="1:16" ht="24" hidden="1" customHeight="1" x14ac:dyDescent="0.3">
      <c r="A576" s="142">
        <v>44316</v>
      </c>
      <c r="B576" s="50" t="s">
        <v>822</v>
      </c>
      <c r="C576" s="5">
        <v>-208504.88000000268</v>
      </c>
      <c r="D576" s="5"/>
      <c r="E576" s="5" t="str">
        <f>+IF(FINANCIACION[[#This Row],[$ CAPITAL]]&gt;=0,FINANCIACION[[#This Row],[$ CAPITAL]]+FINANCIACION[[#This Row],[$ INTERESES]],"")</f>
        <v/>
      </c>
      <c r="F576" s="5">
        <f>+SUMIFS(FINANCIACION[$ CAPITAL],FINANCIACION[Fecha],"&lt;="&amp;FINANCIACION[[#This Row],[Fecha]],FINANCIACION[PRESTAMO],FINANCIACION[[#This Row],[PRESTAMO]])</f>
        <v>-71741402.340000033</v>
      </c>
      <c r="G576" s="7" t="s">
        <v>225</v>
      </c>
      <c r="H576" s="53"/>
      <c r="I576" s="5" t="b">
        <f>IF(FINANCIACION[[#This Row],[$ CAPITAL]]&gt;0,FINANCIACION[[#This Row],[$ CAPITAL]])</f>
        <v>0</v>
      </c>
      <c r="J576" s="33">
        <f>IF(FINANCIACION[[#This Row],[$ CAPITAL]]&gt;=0,FINANCIACION[[#This Row],[$ CAPITAL]]+FINANCIACION[[#This Row],[$ INTERESES]],0)</f>
        <v>0</v>
      </c>
    </row>
    <row r="577" spans="1:10" ht="24" hidden="1" customHeight="1" x14ac:dyDescent="0.3">
      <c r="A577" s="142">
        <v>44316</v>
      </c>
      <c r="B577" s="50" t="s">
        <v>196</v>
      </c>
      <c r="C577" s="5">
        <v>-7917900</v>
      </c>
      <c r="D577" s="5"/>
      <c r="E577" s="5" t="str">
        <f>+IF(FINANCIACION[[#This Row],[$ CAPITAL]]&gt;=0,FINANCIACION[[#This Row],[$ CAPITAL]]+FINANCIACION[[#This Row],[$ INTERESES]],"")</f>
        <v/>
      </c>
      <c r="F577" s="5">
        <f>+SUMIFS(FINANCIACION[$ CAPITAL],FINANCIACION[Fecha],"&lt;="&amp;FINANCIACION[[#This Row],[Fecha]],FINANCIACION[PRESTAMO],FINANCIACION[[#This Row],[PRESTAMO]])</f>
        <v>-34302600</v>
      </c>
      <c r="G577" s="7" t="s">
        <v>225</v>
      </c>
      <c r="H577" s="53"/>
      <c r="I577" s="5" t="b">
        <f>IF(FINANCIACION[[#This Row],[$ CAPITAL]]&gt;0,FINANCIACION[[#This Row],[$ CAPITAL]])</f>
        <v>0</v>
      </c>
      <c r="J577" s="33">
        <f>IF(FINANCIACION[[#This Row],[$ CAPITAL]]&gt;=0,FINANCIACION[[#This Row],[$ CAPITAL]]+FINANCIACION[[#This Row],[$ INTERESES]],0)</f>
        <v>0</v>
      </c>
    </row>
    <row r="578" spans="1:10" ht="24" hidden="1" customHeight="1" x14ac:dyDescent="0.3">
      <c r="A578" s="142">
        <v>44319</v>
      </c>
      <c r="B578" s="50" t="s">
        <v>829</v>
      </c>
      <c r="C578" s="5">
        <v>894000</v>
      </c>
      <c r="D578" s="5">
        <v>166402.96</v>
      </c>
      <c r="E578" s="5">
        <f>+IF(FINANCIACION[[#This Row],[$ CAPITAL]]&gt;=0,FINANCIACION[[#This Row],[$ CAPITAL]]+FINANCIACION[[#This Row],[$ INTERESES]],"")</f>
        <v>1060402.96</v>
      </c>
      <c r="F578" s="5">
        <f>+SUMIFS(FINANCIACION[$ CAPITAL],FINANCIACION[Fecha],"&lt;="&amp;FINANCIACION[[#This Row],[Fecha]],FINANCIACION[PRESTAMO],FINANCIACION[[#This Row],[PRESTAMO]])</f>
        <v>-25190498.899999999</v>
      </c>
      <c r="G578" s="7"/>
      <c r="H578" s="53"/>
      <c r="I578" s="5">
        <f>IF(FINANCIACION[[#This Row],[$ CAPITAL]]&gt;0,FINANCIACION[[#This Row],[$ CAPITAL]])</f>
        <v>894000</v>
      </c>
      <c r="J578" s="33">
        <f>IF(FINANCIACION[[#This Row],[$ CAPITAL]]&gt;=0,FINANCIACION[[#This Row],[$ CAPITAL]]+FINANCIACION[[#This Row],[$ INTERESES]],0)</f>
        <v>1060402.96</v>
      </c>
    </row>
    <row r="579" spans="1:10" ht="24" hidden="1" customHeight="1" x14ac:dyDescent="0.3">
      <c r="A579" s="142">
        <v>44320</v>
      </c>
      <c r="B579" s="50" t="s">
        <v>827</v>
      </c>
      <c r="C579" s="5">
        <v>1011000</v>
      </c>
      <c r="D579" s="5"/>
      <c r="E579" s="5">
        <f>+IF(FINANCIACION[[#This Row],[$ CAPITAL]]&gt;=0,FINANCIACION[[#This Row],[$ CAPITAL]]+FINANCIACION[[#This Row],[$ INTERESES]],"")</f>
        <v>1011000</v>
      </c>
      <c r="F579" s="5">
        <f>+SUMIFS(FINANCIACION[$ CAPITAL],FINANCIACION[Fecha],"&lt;="&amp;FINANCIACION[[#This Row],[Fecha]],FINANCIACION[PRESTAMO],FINANCIACION[[#This Row],[PRESTAMO]])</f>
        <v>-23009998.199999999</v>
      </c>
      <c r="G579" s="7"/>
      <c r="H579" s="53"/>
      <c r="I579" s="5">
        <f>IF(FINANCIACION[[#This Row],[$ CAPITAL]]&gt;0,FINANCIACION[[#This Row],[$ CAPITAL]])</f>
        <v>1011000</v>
      </c>
      <c r="J579" s="33">
        <f>IF(FINANCIACION[[#This Row],[$ CAPITAL]]&gt;=0,FINANCIACION[[#This Row],[$ CAPITAL]]+FINANCIACION[[#This Row],[$ INTERESES]],0)</f>
        <v>1011000</v>
      </c>
    </row>
    <row r="580" spans="1:10" ht="24" hidden="1" customHeight="1" x14ac:dyDescent="0.3">
      <c r="A580" s="142">
        <v>44320</v>
      </c>
      <c r="B580" s="50" t="s">
        <v>821</v>
      </c>
      <c r="C580" s="5">
        <v>5000000</v>
      </c>
      <c r="D580" s="5"/>
      <c r="E580" s="5">
        <f>+IF(FINANCIACION[[#This Row],[$ CAPITAL]]&gt;=0,FINANCIACION[[#This Row],[$ CAPITAL]]+FINANCIACION[[#This Row],[$ INTERESES]],"")</f>
        <v>5000000</v>
      </c>
      <c r="F580" s="5">
        <f>+SUMIFS(FINANCIACION[$ CAPITAL],FINANCIACION[Fecha],"&lt;="&amp;FINANCIACION[[#This Row],[Fecha]],FINANCIACION[PRESTAMO],FINANCIACION[[#This Row],[PRESTAMO]])</f>
        <v>-349844809</v>
      </c>
      <c r="G580" s="7"/>
      <c r="H580" s="53"/>
      <c r="I580" s="5">
        <f>IF(FINANCIACION[[#This Row],[$ CAPITAL]]&gt;0,FINANCIACION[[#This Row],[$ CAPITAL]])</f>
        <v>5000000</v>
      </c>
      <c r="J580" s="33">
        <f>IF(FINANCIACION[[#This Row],[$ CAPITAL]]&gt;=0,FINANCIACION[[#This Row],[$ CAPITAL]]+FINANCIACION[[#This Row],[$ INTERESES]],0)</f>
        <v>5000000</v>
      </c>
    </row>
    <row r="581" spans="1:10" ht="24" hidden="1" customHeight="1" x14ac:dyDescent="0.3">
      <c r="A581" s="142">
        <v>44320</v>
      </c>
      <c r="B581" s="50" t="s">
        <v>822</v>
      </c>
      <c r="C581" s="5">
        <v>990094.53000000305</v>
      </c>
      <c r="D581" s="5">
        <v>107658.64999999688</v>
      </c>
      <c r="E581" s="5">
        <f>+IF(FINANCIACION[[#This Row],[$ CAPITAL]]&gt;=0,FINANCIACION[[#This Row],[$ CAPITAL]]+FINANCIACION[[#This Row],[$ INTERESES]],"")</f>
        <v>1097753.18</v>
      </c>
      <c r="F581" s="5">
        <f>+SUMIFS(FINANCIACION[$ CAPITAL],FINANCIACION[Fecha],"&lt;="&amp;FINANCIACION[[#This Row],[Fecha]],FINANCIACION[PRESTAMO],FINANCIACION[[#This Row],[PRESTAMO]])</f>
        <v>-69229307.810000032</v>
      </c>
      <c r="G581" s="7"/>
      <c r="H581" s="53"/>
      <c r="I581" s="5">
        <f>IF(FINANCIACION[[#This Row],[$ CAPITAL]]&gt;0,FINANCIACION[[#This Row],[$ CAPITAL]])</f>
        <v>990094.53000000305</v>
      </c>
      <c r="J581" s="33">
        <f>IF(FINANCIACION[[#This Row],[$ CAPITAL]]&gt;=0,FINANCIACION[[#This Row],[$ CAPITAL]]+FINANCIACION[[#This Row],[$ INTERESES]],0)</f>
        <v>1097753.18</v>
      </c>
    </row>
    <row r="582" spans="1:10" ht="24" hidden="1" customHeight="1" x14ac:dyDescent="0.3">
      <c r="A582" s="142">
        <v>44320</v>
      </c>
      <c r="B582" s="50" t="s">
        <v>822</v>
      </c>
      <c r="C582" s="5">
        <v>1522000</v>
      </c>
      <c r="D582" s="5"/>
      <c r="E582" s="5">
        <f>+IF(FINANCIACION[[#This Row],[$ CAPITAL]]&gt;=0,FINANCIACION[[#This Row],[$ CAPITAL]]+FINANCIACION[[#This Row],[$ INTERESES]],"")</f>
        <v>1522000</v>
      </c>
      <c r="F582" s="5">
        <f>+SUMIFS(FINANCIACION[$ CAPITAL],FINANCIACION[Fecha],"&lt;="&amp;FINANCIACION[[#This Row],[Fecha]],FINANCIACION[PRESTAMO],FINANCIACION[[#This Row],[PRESTAMO]])</f>
        <v>-69229307.810000032</v>
      </c>
      <c r="G582" s="7"/>
      <c r="H582" s="53"/>
      <c r="I582" s="5">
        <f>IF(FINANCIACION[[#This Row],[$ CAPITAL]]&gt;0,FINANCIACION[[#This Row],[$ CAPITAL]])</f>
        <v>1522000</v>
      </c>
      <c r="J582" s="33">
        <f>IF(FINANCIACION[[#This Row],[$ CAPITAL]]&gt;=0,FINANCIACION[[#This Row],[$ CAPITAL]]+FINANCIACION[[#This Row],[$ INTERESES]],0)</f>
        <v>1522000</v>
      </c>
    </row>
    <row r="583" spans="1:10" ht="24" hidden="1" customHeight="1" x14ac:dyDescent="0.3">
      <c r="A583" s="142">
        <v>44328</v>
      </c>
      <c r="B583" s="50" t="s">
        <v>191</v>
      </c>
      <c r="C583" s="5">
        <v>6342416.9000000004</v>
      </c>
      <c r="D583" s="5">
        <v>443060.1</v>
      </c>
      <c r="E583" s="5">
        <f>+IF(FINANCIACION[[#This Row],[$ CAPITAL]]&gt;=0,FINANCIACION[[#This Row],[$ CAPITAL]]+FINANCIACION[[#This Row],[$ INTERESES]],"")</f>
        <v>6785477</v>
      </c>
      <c r="F583" s="5">
        <f>+SUMIFS(FINANCIACION[$ CAPITAL],FINANCIACION[Fecha],"&lt;="&amp;FINANCIACION[[#This Row],[Fecha]],FINANCIACION[PRESTAMO],FINANCIACION[[#This Row],[PRESTAMO]])</f>
        <v>-60348709.100000001</v>
      </c>
      <c r="G583" s="7"/>
      <c r="H583" s="53"/>
      <c r="I583" s="5">
        <f>IF(FINANCIACION[[#This Row],[$ CAPITAL]]&gt;0,FINANCIACION[[#This Row],[$ CAPITAL]])</f>
        <v>6342416.9000000004</v>
      </c>
      <c r="J583" s="33">
        <f>IF(FINANCIACION[[#This Row],[$ CAPITAL]]&gt;=0,FINANCIACION[[#This Row],[$ CAPITAL]]+FINANCIACION[[#This Row],[$ INTERESES]],0)</f>
        <v>6785477</v>
      </c>
    </row>
    <row r="584" spans="1:10" ht="24" hidden="1" customHeight="1" x14ac:dyDescent="0.3">
      <c r="A584" s="142">
        <v>44328</v>
      </c>
      <c r="B584" s="50" t="s">
        <v>821</v>
      </c>
      <c r="C584" s="5">
        <v>918187</v>
      </c>
      <c r="D584" s="5"/>
      <c r="E584" s="5">
        <f>+IF(FINANCIACION[[#This Row],[$ CAPITAL]]&gt;=0,FINANCIACION[[#This Row],[$ CAPITAL]]+FINANCIACION[[#This Row],[$ INTERESES]],"")</f>
        <v>918187</v>
      </c>
      <c r="F584" s="5">
        <f>+SUMIFS(FINANCIACION[$ CAPITAL],FINANCIACION[Fecha],"&lt;="&amp;FINANCIACION[[#This Row],[Fecha]],FINANCIACION[PRESTAMO],FINANCIACION[[#This Row],[PRESTAMO]])</f>
        <v>-348926622</v>
      </c>
      <c r="G584" s="7"/>
      <c r="H584" s="53"/>
      <c r="I584" s="5">
        <f>IF(FINANCIACION[[#This Row],[$ CAPITAL]]&gt;0,FINANCIACION[[#This Row],[$ CAPITAL]])</f>
        <v>918187</v>
      </c>
      <c r="J584" s="33">
        <f>IF(FINANCIACION[[#This Row],[$ CAPITAL]]&gt;=0,FINANCIACION[[#This Row],[$ CAPITAL]]+FINANCIACION[[#This Row],[$ INTERESES]],0)</f>
        <v>918187</v>
      </c>
    </row>
    <row r="585" spans="1:10" ht="24" hidden="1" customHeight="1" x14ac:dyDescent="0.3">
      <c r="A585" s="142">
        <v>44328</v>
      </c>
      <c r="B585" s="50" t="s">
        <v>822</v>
      </c>
      <c r="C585" s="5">
        <v>7406400</v>
      </c>
      <c r="D585" s="5"/>
      <c r="E585" s="5">
        <f>+IF(FINANCIACION[[#This Row],[$ CAPITAL]]&gt;=0,FINANCIACION[[#This Row],[$ CAPITAL]]+FINANCIACION[[#This Row],[$ INTERESES]],"")</f>
        <v>7406400</v>
      </c>
      <c r="F585" s="5">
        <f>+SUMIFS(FINANCIACION[$ CAPITAL],FINANCIACION[Fecha],"&lt;="&amp;FINANCIACION[[#This Row],[Fecha]],FINANCIACION[PRESTAMO],FINANCIACION[[#This Row],[PRESTAMO]])</f>
        <v>-58119707.810000032</v>
      </c>
      <c r="G585" s="7"/>
      <c r="H585" s="53"/>
      <c r="I585" s="5">
        <f>IF(FINANCIACION[[#This Row],[$ CAPITAL]]&gt;0,FINANCIACION[[#This Row],[$ CAPITAL]])</f>
        <v>7406400</v>
      </c>
      <c r="J585" s="33">
        <f>IF(FINANCIACION[[#This Row],[$ CAPITAL]]&gt;=0,FINANCIACION[[#This Row],[$ CAPITAL]]+FINANCIACION[[#This Row],[$ INTERESES]],0)</f>
        <v>7406400</v>
      </c>
    </row>
    <row r="586" spans="1:10" ht="24" hidden="1" customHeight="1" x14ac:dyDescent="0.3">
      <c r="A586" s="142">
        <v>44328</v>
      </c>
      <c r="B586" s="50" t="s">
        <v>822</v>
      </c>
      <c r="C586" s="5">
        <v>3703200</v>
      </c>
      <c r="D586" s="5"/>
      <c r="E586" s="5">
        <f>+IF(FINANCIACION[[#This Row],[$ CAPITAL]]&gt;=0,FINANCIACION[[#This Row],[$ CAPITAL]]+FINANCIACION[[#This Row],[$ INTERESES]],"")</f>
        <v>3703200</v>
      </c>
      <c r="F586" s="5">
        <f>+SUMIFS(FINANCIACION[$ CAPITAL],FINANCIACION[Fecha],"&lt;="&amp;FINANCIACION[[#This Row],[Fecha]],FINANCIACION[PRESTAMO],FINANCIACION[[#This Row],[PRESTAMO]])</f>
        <v>-58119707.810000032</v>
      </c>
      <c r="G586" s="7"/>
      <c r="H586" s="53"/>
      <c r="I586" s="5">
        <f>IF(FINANCIACION[[#This Row],[$ CAPITAL]]&gt;0,FINANCIACION[[#This Row],[$ CAPITAL]])</f>
        <v>3703200</v>
      </c>
      <c r="J586" s="33">
        <f>IF(FINANCIACION[[#This Row],[$ CAPITAL]]&gt;=0,FINANCIACION[[#This Row],[$ CAPITAL]]+FINANCIACION[[#This Row],[$ INTERESES]],0)</f>
        <v>3703200</v>
      </c>
    </row>
    <row r="587" spans="1:10" ht="24" hidden="1" customHeight="1" x14ac:dyDescent="0.3">
      <c r="A587" s="142">
        <v>44330</v>
      </c>
      <c r="B587" s="50" t="s">
        <v>822</v>
      </c>
      <c r="C587" s="5">
        <v>-35000000</v>
      </c>
      <c r="D587" s="5">
        <v>955808</v>
      </c>
      <c r="E587" s="5" t="str">
        <f>+IF(FINANCIACION[[#This Row],[$ CAPITAL]]&gt;=0,FINANCIACION[[#This Row],[$ CAPITAL]]+FINANCIACION[[#This Row],[$ INTERESES]],"")</f>
        <v/>
      </c>
      <c r="F587" s="5">
        <f>+SUMIFS(FINANCIACION[$ CAPITAL],FINANCIACION[Fecha],"&lt;="&amp;FINANCIACION[[#This Row],[Fecha]],FINANCIACION[PRESTAMO],FINANCIACION[[#This Row],[PRESTAMO]])</f>
        <v>-93119707.810000032</v>
      </c>
      <c r="G587" s="7"/>
      <c r="H587" s="53"/>
      <c r="I587" s="5" t="b">
        <f>IF(FINANCIACION[[#This Row],[$ CAPITAL]]&gt;0,FINANCIACION[[#This Row],[$ CAPITAL]])</f>
        <v>0</v>
      </c>
      <c r="J587" s="33">
        <f>IF(FINANCIACION[[#This Row],[$ CAPITAL]]&gt;=0,FINANCIACION[[#This Row],[$ CAPITAL]]+FINANCIACION[[#This Row],[$ INTERESES]],0)</f>
        <v>0</v>
      </c>
    </row>
    <row r="588" spans="1:10" ht="24" hidden="1" customHeight="1" x14ac:dyDescent="0.3">
      <c r="A588" s="142">
        <v>44330</v>
      </c>
      <c r="B588" s="50" t="s">
        <v>194</v>
      </c>
      <c r="C588" s="5">
        <v>-35000000</v>
      </c>
      <c r="D588" s="5">
        <v>955808</v>
      </c>
      <c r="E588" s="5" t="str">
        <f>+IF(FINANCIACION[[#This Row],[$ CAPITAL]]&gt;=0,FINANCIACION[[#This Row],[$ CAPITAL]]+FINANCIACION[[#This Row],[$ INTERESES]],"")</f>
        <v/>
      </c>
      <c r="F588" s="5">
        <f>+SUMIFS(FINANCIACION[$ CAPITAL],FINANCIACION[Fecha],"&lt;="&amp;FINANCIACION[[#This Row],[Fecha]],FINANCIACION[PRESTAMO],FINANCIACION[[#This Row],[PRESTAMO]])</f>
        <v>-35000000</v>
      </c>
      <c r="G588" s="7"/>
      <c r="H588" s="53"/>
      <c r="I588" s="5" t="b">
        <f>IF(FINANCIACION[[#This Row],[$ CAPITAL]]&gt;0,FINANCIACION[[#This Row],[$ CAPITAL]])</f>
        <v>0</v>
      </c>
      <c r="J588" s="33">
        <f>IF(FINANCIACION[[#This Row],[$ CAPITAL]]&gt;=0,FINANCIACION[[#This Row],[$ CAPITAL]]+FINANCIACION[[#This Row],[$ INTERESES]],0)</f>
        <v>0</v>
      </c>
    </row>
    <row r="589" spans="1:10" ht="24" hidden="1" customHeight="1" x14ac:dyDescent="0.3">
      <c r="A589" s="142">
        <v>44334</v>
      </c>
      <c r="B589" s="50" t="s">
        <v>822</v>
      </c>
      <c r="C589" s="5">
        <v>8131031.1399999913</v>
      </c>
      <c r="D589" s="5">
        <v>12434.860000008717</v>
      </c>
      <c r="E589" s="5">
        <f>+IF(FINANCIACION[[#This Row],[$ CAPITAL]]&gt;=0,FINANCIACION[[#This Row],[$ CAPITAL]]+FINANCIACION[[#This Row],[$ INTERESES]],"")</f>
        <v>8143466</v>
      </c>
      <c r="F589" s="5">
        <f>+SUMIFS(FINANCIACION[$ CAPITAL],FINANCIACION[Fecha],"&lt;="&amp;FINANCIACION[[#This Row],[Fecha]],FINANCIACION[PRESTAMO],FINANCIACION[[#This Row],[PRESTAMO]])</f>
        <v>-84464929.670000046</v>
      </c>
      <c r="G589" s="7"/>
      <c r="H589" s="53"/>
      <c r="I589" s="5">
        <f>IF(FINANCIACION[[#This Row],[$ CAPITAL]]&gt;0,FINANCIACION[[#This Row],[$ CAPITAL]])</f>
        <v>8131031.1399999913</v>
      </c>
      <c r="J589" s="33">
        <f>IF(FINANCIACION[[#This Row],[$ CAPITAL]]&gt;=0,FINANCIACION[[#This Row],[$ CAPITAL]]+FINANCIACION[[#This Row],[$ INTERESES]],0)</f>
        <v>8143466</v>
      </c>
    </row>
    <row r="590" spans="1:10" ht="24" hidden="1" customHeight="1" x14ac:dyDescent="0.3">
      <c r="A590" s="142">
        <v>44334</v>
      </c>
      <c r="B590" s="50" t="s">
        <v>822</v>
      </c>
      <c r="C590" s="5">
        <v>523747</v>
      </c>
      <c r="D590" s="5"/>
      <c r="E590" s="5">
        <f>+IF(FINANCIACION[[#This Row],[$ CAPITAL]]&gt;=0,FINANCIACION[[#This Row],[$ CAPITAL]]+FINANCIACION[[#This Row],[$ INTERESES]],"")</f>
        <v>523747</v>
      </c>
      <c r="F590" s="5">
        <f>+SUMIFS(FINANCIACION[$ CAPITAL],FINANCIACION[Fecha],"&lt;="&amp;FINANCIACION[[#This Row],[Fecha]],FINANCIACION[PRESTAMO],FINANCIACION[[#This Row],[PRESTAMO]])</f>
        <v>-84464929.670000046</v>
      </c>
      <c r="G590" s="7"/>
      <c r="H590" s="53"/>
      <c r="I590" s="5">
        <f>IF(FINANCIACION[[#This Row],[$ CAPITAL]]&gt;0,FINANCIACION[[#This Row],[$ CAPITAL]])</f>
        <v>523747</v>
      </c>
      <c r="J590" s="33">
        <f>IF(FINANCIACION[[#This Row],[$ CAPITAL]]&gt;=0,FINANCIACION[[#This Row],[$ CAPITAL]]+FINANCIACION[[#This Row],[$ INTERESES]],0)</f>
        <v>523747</v>
      </c>
    </row>
    <row r="591" spans="1:10" ht="24" hidden="1" customHeight="1" x14ac:dyDescent="0.3">
      <c r="A591" s="142">
        <v>44265</v>
      </c>
      <c r="B591" s="50" t="s">
        <v>820</v>
      </c>
      <c r="C591" s="5">
        <v>-170687.859999999</v>
      </c>
      <c r="D591" s="5"/>
      <c r="E591" s="5" t="str">
        <f>+IF(FINANCIACION[[#This Row],[$ CAPITAL]]&gt;=0,FINANCIACION[[#This Row],[$ CAPITAL]]+FINANCIACION[[#This Row],[$ INTERESES]],"")</f>
        <v/>
      </c>
      <c r="F591" s="5">
        <f>+SUMIFS(FINANCIACION[$ CAPITAL],FINANCIACION[Fecha],"&lt;="&amp;FINANCIACION[[#This Row],[Fecha]],FINANCIACION[PRESTAMO],FINANCIACION[[#This Row],[PRESTAMO]])</f>
        <v>-74349214</v>
      </c>
      <c r="G591" s="7" t="s">
        <v>1632</v>
      </c>
      <c r="H591" s="53"/>
      <c r="I591" s="5" t="b">
        <f>+IF(FINANCIACION[[#This Row],[$ CAPITAL]]&gt;0,FINANCIACION[[#This Row],[$ CAPITAL]])</f>
        <v>0</v>
      </c>
      <c r="J591" s="33">
        <f>+IF(FINANCIACION[[#This Row],[$ CAPITAL]]&gt;=0,FINANCIACION[[#This Row],[$ CAPITAL]]+FINANCIACION[[#This Row],[$ INTERESES]],0)</f>
        <v>0</v>
      </c>
    </row>
    <row r="592" spans="1:10" ht="24" hidden="1" customHeight="1" x14ac:dyDescent="0.3">
      <c r="A592" s="142">
        <v>44340</v>
      </c>
      <c r="B592" s="50" t="s">
        <v>820</v>
      </c>
      <c r="C592" s="5">
        <v>458214.73859999992</v>
      </c>
      <c r="D592" s="5">
        <v>741785.26140000008</v>
      </c>
      <c r="E592" s="5">
        <f>+IF(FINANCIACION[[#This Row],[$ CAPITAL]]&gt;=0,FINANCIACION[[#This Row],[$ CAPITAL]]+FINANCIACION[[#This Row],[$ INTERESES]],"")</f>
        <v>1200000</v>
      </c>
      <c r="F592" s="5">
        <f>+SUMIFS(FINANCIACION[$ CAPITAL],FINANCIACION[Fecha],"&lt;="&amp;FINANCIACION[[#This Row],[Fecha]],FINANCIACION[PRESTAMO],FINANCIACION[[#This Row],[PRESTAMO]])</f>
        <v>-73890999.261399999</v>
      </c>
      <c r="G592" s="7"/>
      <c r="H592" s="53"/>
      <c r="I592" s="5">
        <f>IF(FINANCIACION[[#This Row],[$ CAPITAL]]&gt;0,FINANCIACION[[#This Row],[$ CAPITAL]])</f>
        <v>458214.73859999992</v>
      </c>
      <c r="J592" s="33">
        <f>IF(FINANCIACION[[#This Row],[$ CAPITAL]]&gt;=0,FINANCIACION[[#This Row],[$ CAPITAL]]+FINANCIACION[[#This Row],[$ INTERESES]],0)</f>
        <v>1200000</v>
      </c>
    </row>
    <row r="593" spans="1:10" ht="24" hidden="1" customHeight="1" x14ac:dyDescent="0.3">
      <c r="A593" s="142">
        <v>44340</v>
      </c>
      <c r="B593" s="50" t="s">
        <v>832</v>
      </c>
      <c r="C593" s="5"/>
      <c r="D593" s="5">
        <v>120000</v>
      </c>
      <c r="E593" s="5">
        <f>+IF(FINANCIACION[[#This Row],[$ CAPITAL]]&gt;=0,FINANCIACION[[#This Row],[$ CAPITAL]]+FINANCIACION[[#This Row],[$ INTERESES]],"")</f>
        <v>120000</v>
      </c>
      <c r="F593" s="5">
        <f>+SUMIFS(FINANCIACION[$ CAPITAL],FINANCIACION[Fecha],"&lt;="&amp;FINANCIACION[[#This Row],[Fecha]],FINANCIACION[PRESTAMO],FINANCIACION[[#This Row],[PRESTAMO]])</f>
        <v>-12000000</v>
      </c>
      <c r="G593" s="7"/>
      <c r="H593" s="53"/>
      <c r="I593" s="5" t="b">
        <f>IF(FINANCIACION[[#This Row],[$ CAPITAL]]&gt;0,FINANCIACION[[#This Row],[$ CAPITAL]])</f>
        <v>0</v>
      </c>
      <c r="J593" s="33">
        <f>IF(FINANCIACION[[#This Row],[$ CAPITAL]]&gt;=0,FINANCIACION[[#This Row],[$ CAPITAL]]+FINANCIACION[[#This Row],[$ INTERESES]],0)</f>
        <v>120000</v>
      </c>
    </row>
    <row r="594" spans="1:10" ht="24" hidden="1" customHeight="1" x14ac:dyDescent="0.3">
      <c r="A594" s="142">
        <v>44340</v>
      </c>
      <c r="B594" s="50" t="s">
        <v>827</v>
      </c>
      <c r="C594" s="5">
        <v>1002261.0300000012</v>
      </c>
      <c r="D594" s="5">
        <v>4738.9699999988079</v>
      </c>
      <c r="E594" s="5">
        <f>+IF(FINANCIACION[[#This Row],[$ CAPITAL]]&gt;=0,FINANCIACION[[#This Row],[$ CAPITAL]]+FINANCIACION[[#This Row],[$ INTERESES]],"")</f>
        <v>1007000</v>
      </c>
      <c r="F594" s="5">
        <f>+SUMIFS(FINANCIACION[$ CAPITAL],FINANCIACION[Fecha],"&lt;="&amp;FINANCIACION[[#This Row],[Fecha]],FINANCIACION[PRESTAMO],FINANCIACION[[#This Row],[PRESTAMO]])</f>
        <v>-22007737.169999998</v>
      </c>
      <c r="G594" s="7"/>
      <c r="H594" s="53"/>
      <c r="I594" s="5">
        <f>IF(FINANCIACION[[#This Row],[$ CAPITAL]]&gt;0,FINANCIACION[[#This Row],[$ CAPITAL]])</f>
        <v>1002261.0300000012</v>
      </c>
      <c r="J594" s="8">
        <f>IF(FINANCIACION[[#This Row],[$ CAPITAL]]&gt;=0,FINANCIACION[[#This Row],[$ CAPITAL]]+FINANCIACION[[#This Row],[$ INTERESES]],0)</f>
        <v>1007000</v>
      </c>
    </row>
    <row r="595" spans="1:10" ht="24" hidden="1" customHeight="1" x14ac:dyDescent="0.3">
      <c r="A595" s="142">
        <v>44340</v>
      </c>
      <c r="B595" s="50" t="s">
        <v>829</v>
      </c>
      <c r="C595" s="5">
        <v>1055849.8999999985</v>
      </c>
      <c r="D595" s="5">
        <v>5150.1000000014901</v>
      </c>
      <c r="E595" s="5">
        <f>+IF(FINANCIACION[[#This Row],[$ CAPITAL]]&gt;=0,FINANCIACION[[#This Row],[$ CAPITAL]]+FINANCIACION[[#This Row],[$ INTERESES]],"")</f>
        <v>1061000</v>
      </c>
      <c r="F595" s="5">
        <f>+SUMIFS(FINANCIACION[$ CAPITAL],FINANCIACION[Fecha],"&lt;="&amp;FINANCIACION[[#This Row],[Fecha]],FINANCIACION[PRESTAMO],FINANCIACION[[#This Row],[PRESTAMO]])</f>
        <v>-24134649</v>
      </c>
      <c r="G595" s="7"/>
      <c r="H595" s="53"/>
      <c r="I595" s="5">
        <f>IF(FINANCIACION[[#This Row],[$ CAPITAL]]&gt;0,FINANCIACION[[#This Row],[$ CAPITAL]])</f>
        <v>1055849.8999999985</v>
      </c>
      <c r="J595" s="8">
        <f>IF(FINANCIACION[[#This Row],[$ CAPITAL]]&gt;=0,FINANCIACION[[#This Row],[$ CAPITAL]]+FINANCIACION[[#This Row],[$ INTERESES]],0)</f>
        <v>1061000</v>
      </c>
    </row>
    <row r="596" spans="1:10" ht="24" hidden="1" customHeight="1" x14ac:dyDescent="0.3">
      <c r="A596" s="142">
        <v>44340</v>
      </c>
      <c r="B596" s="50" t="s">
        <v>825</v>
      </c>
      <c r="C596" s="5">
        <v>2539245.3100000024</v>
      </c>
      <c r="D596" s="5">
        <v>11754.689999997616</v>
      </c>
      <c r="E596" s="5">
        <f>+IF(FINANCIACION[[#This Row],[$ CAPITAL]]&gt;=0,FINANCIACION[[#This Row],[$ CAPITAL]]+FINANCIACION[[#This Row],[$ INTERESES]],"")</f>
        <v>2551000</v>
      </c>
      <c r="F596" s="5">
        <f>+SUMIFS(FINANCIACION[$ CAPITAL],FINANCIACION[Fecha],"&lt;="&amp;FINANCIACION[[#This Row],[Fecha]],FINANCIACION[PRESTAMO],FINANCIACION[[#This Row],[PRESTAMO]])</f>
        <v>-54143148.659999996</v>
      </c>
      <c r="G596" s="7"/>
      <c r="H596" s="53"/>
      <c r="I596" s="5">
        <f>IF(FINANCIACION[[#This Row],[$ CAPITAL]]&gt;0,FINANCIACION[[#This Row],[$ CAPITAL]])</f>
        <v>2539245.3100000024</v>
      </c>
      <c r="J596" s="33">
        <f>IF(FINANCIACION[[#This Row],[$ CAPITAL]]&gt;=0,FINANCIACION[[#This Row],[$ CAPITAL]]+FINANCIACION[[#This Row],[$ INTERESES]],0)</f>
        <v>2551000</v>
      </c>
    </row>
    <row r="597" spans="1:10" ht="24" hidden="1" customHeight="1" x14ac:dyDescent="0.3">
      <c r="A597" s="142">
        <v>44340</v>
      </c>
      <c r="B597" s="50" t="s">
        <v>826</v>
      </c>
      <c r="C597" s="5">
        <v>3748005.3799999952</v>
      </c>
      <c r="D597" s="5">
        <v>18994.620000004768</v>
      </c>
      <c r="E597" s="5">
        <f>+IF(FINANCIACION[[#This Row],[$ CAPITAL]]&gt;=0,FINANCIACION[[#This Row],[$ CAPITAL]]+FINANCIACION[[#This Row],[$ INTERESES]],"")</f>
        <v>3767000</v>
      </c>
      <c r="F597" s="5">
        <f>+SUMIFS(FINANCIACION[$ CAPITAL],FINANCIACION[Fecha],"&lt;="&amp;FINANCIACION[[#This Row],[Fecha]],FINANCIACION[PRESTAMO],FINANCIACION[[#This Row],[PRESTAMO]])</f>
        <v>-78474969.300000012</v>
      </c>
      <c r="G597" s="7"/>
      <c r="H597" s="53"/>
      <c r="I597" s="5">
        <f>IF(FINANCIACION[[#This Row],[$ CAPITAL]]&gt;0,FINANCIACION[[#This Row],[$ CAPITAL]])</f>
        <v>3748005.3799999952</v>
      </c>
      <c r="J597" s="33">
        <f>IF(FINANCIACION[[#This Row],[$ CAPITAL]]&gt;=0,FINANCIACION[[#This Row],[$ CAPITAL]]+FINANCIACION[[#This Row],[$ INTERESES]],0)</f>
        <v>3767000</v>
      </c>
    </row>
    <row r="598" spans="1:10" ht="24" hidden="1" customHeight="1" x14ac:dyDescent="0.3">
      <c r="A598" s="142">
        <v>44340</v>
      </c>
      <c r="B598" s="50" t="s">
        <v>822</v>
      </c>
      <c r="C598" s="5">
        <v>1251291.4899999984</v>
      </c>
      <c r="D598" s="5">
        <v>5708.5100000016391</v>
      </c>
      <c r="E598" s="5">
        <f>+IF(FINANCIACION[[#This Row],[$ CAPITAL]]&gt;=0,FINANCIACION[[#This Row],[$ CAPITAL]]+FINANCIACION[[#This Row],[$ INTERESES]],"")</f>
        <v>1257000</v>
      </c>
      <c r="F598" s="5">
        <f>+SUMIFS(FINANCIACION[$ CAPITAL],FINANCIACION[Fecha],"&lt;="&amp;FINANCIACION[[#This Row],[Fecha]],FINANCIACION[PRESTAMO],FINANCIACION[[#This Row],[PRESTAMO]])</f>
        <v>-74228675.440000057</v>
      </c>
      <c r="G598" s="7"/>
      <c r="H598" s="53"/>
      <c r="I598" s="5">
        <f>IF(FINANCIACION[[#This Row],[$ CAPITAL]]&gt;0,FINANCIACION[[#This Row],[$ CAPITAL]])</f>
        <v>1251291.4899999984</v>
      </c>
      <c r="J598" s="8">
        <f>IF(FINANCIACION[[#This Row],[$ CAPITAL]]&gt;=0,FINANCIACION[[#This Row],[$ CAPITAL]]+FINANCIACION[[#This Row],[$ INTERESES]],0)</f>
        <v>1257000</v>
      </c>
    </row>
    <row r="599" spans="1:10" ht="24" hidden="1" customHeight="1" x14ac:dyDescent="0.3">
      <c r="A599" s="142">
        <v>44340</v>
      </c>
      <c r="B599" s="50" t="s">
        <v>822</v>
      </c>
      <c r="C599" s="5">
        <v>7476380</v>
      </c>
      <c r="D599" s="5"/>
      <c r="E599" s="5">
        <f>+IF(FINANCIACION[[#This Row],[$ CAPITAL]]&gt;=0,FINANCIACION[[#This Row],[$ CAPITAL]]+FINANCIACION[[#This Row],[$ INTERESES]],"")</f>
        <v>7476380</v>
      </c>
      <c r="F599" s="5">
        <f>+SUMIFS(FINANCIACION[$ CAPITAL],FINANCIACION[Fecha],"&lt;="&amp;FINANCIACION[[#This Row],[Fecha]],FINANCIACION[PRESTAMO],FINANCIACION[[#This Row],[PRESTAMO]])</f>
        <v>-74228675.440000057</v>
      </c>
      <c r="G599" s="7"/>
      <c r="H599" s="53"/>
      <c r="I599" s="5">
        <f>IF(FINANCIACION[[#This Row],[$ CAPITAL]]&gt;0,FINANCIACION[[#This Row],[$ CAPITAL]])</f>
        <v>7476380</v>
      </c>
      <c r="J599" s="33">
        <f>IF(FINANCIACION[[#This Row],[$ CAPITAL]]&gt;=0,FINANCIACION[[#This Row],[$ CAPITAL]]+FINANCIACION[[#This Row],[$ INTERESES]],0)</f>
        <v>7476380</v>
      </c>
    </row>
    <row r="600" spans="1:10" ht="24" hidden="1" customHeight="1" x14ac:dyDescent="0.3">
      <c r="A600" s="142">
        <v>44340</v>
      </c>
      <c r="B600" s="50" t="s">
        <v>822</v>
      </c>
      <c r="C600" s="5">
        <v>1508582.7400000021</v>
      </c>
      <c r="D600" s="5">
        <v>6417.2599999979138</v>
      </c>
      <c r="E600" s="5">
        <f>+IF(FINANCIACION[[#This Row],[$ CAPITAL]]&gt;=0,FINANCIACION[[#This Row],[$ CAPITAL]]+FINANCIACION[[#This Row],[$ INTERESES]],"")</f>
        <v>1515000</v>
      </c>
      <c r="F600" s="5">
        <f>+SUMIFS(FINANCIACION[$ CAPITAL],FINANCIACION[Fecha],"&lt;="&amp;FINANCIACION[[#This Row],[Fecha]],FINANCIACION[PRESTAMO],FINANCIACION[[#This Row],[PRESTAMO]])</f>
        <v>-74228675.440000057</v>
      </c>
      <c r="G600" s="7"/>
      <c r="H600" s="53"/>
      <c r="I600" s="5">
        <f>IF(FINANCIACION[[#This Row],[$ CAPITAL]]&gt;0,FINANCIACION[[#This Row],[$ CAPITAL]])</f>
        <v>1508582.7400000021</v>
      </c>
      <c r="J600" s="33">
        <f>IF(FINANCIACION[[#This Row],[$ CAPITAL]]&gt;=0,FINANCIACION[[#This Row],[$ CAPITAL]]+FINANCIACION[[#This Row],[$ INTERESES]],0)</f>
        <v>1515000</v>
      </c>
    </row>
    <row r="601" spans="1:10" ht="24" hidden="1" customHeight="1" x14ac:dyDescent="0.3">
      <c r="A601" s="142">
        <v>44341</v>
      </c>
      <c r="B601" s="50" t="s">
        <v>822</v>
      </c>
      <c r="C601" s="5"/>
      <c r="D601" s="5">
        <v>120000</v>
      </c>
      <c r="E601" s="5">
        <f>+IF(FINANCIACION[[#This Row],[$ CAPITAL]]&gt;=0,FINANCIACION[[#This Row],[$ CAPITAL]]+FINANCIACION[[#This Row],[$ INTERESES]],"")</f>
        <v>120000</v>
      </c>
      <c r="F601" s="5">
        <f>+SUMIFS(FINANCIACION[$ CAPITAL],FINANCIACION[Fecha],"&lt;="&amp;FINANCIACION[[#This Row],[Fecha]],FINANCIACION[PRESTAMO],FINANCIACION[[#This Row],[PRESTAMO]])</f>
        <v>-73770460.701400056</v>
      </c>
      <c r="G601" s="7"/>
      <c r="H601" s="53"/>
      <c r="I601" s="5" t="b">
        <f>IF(FINANCIACION[[#This Row],[$ CAPITAL]]&gt;0,FINANCIACION[[#This Row],[$ CAPITAL]])</f>
        <v>0</v>
      </c>
      <c r="J601" s="8">
        <f>IF(FINANCIACION[[#This Row],[$ CAPITAL]]&gt;=0,FINANCIACION[[#This Row],[$ CAPITAL]]+FINANCIACION[[#This Row],[$ INTERESES]],0)</f>
        <v>120000</v>
      </c>
    </row>
    <row r="602" spans="1:10" ht="24" hidden="1" customHeight="1" x14ac:dyDescent="0.3">
      <c r="A602" s="142">
        <v>44341</v>
      </c>
      <c r="B602" s="50" t="s">
        <v>822</v>
      </c>
      <c r="C602" s="5"/>
      <c r="D602" s="5">
        <v>220000</v>
      </c>
      <c r="E602" s="5">
        <f>+IF(FINANCIACION[[#This Row],[$ CAPITAL]]&gt;=0,FINANCIACION[[#This Row],[$ CAPITAL]]+FINANCIACION[[#This Row],[$ INTERESES]],"")</f>
        <v>220000</v>
      </c>
      <c r="F602" s="5">
        <f>+SUMIFS(FINANCIACION[$ CAPITAL],FINANCIACION[Fecha],"&lt;="&amp;FINANCIACION[[#This Row],[Fecha]],FINANCIACION[PRESTAMO],FINANCIACION[[#This Row],[PRESTAMO]])</f>
        <v>-73770460.701400056</v>
      </c>
      <c r="G602" s="7"/>
      <c r="H602" s="53"/>
      <c r="I602" s="5" t="b">
        <f>IF(FINANCIACION[[#This Row],[$ CAPITAL]]&gt;0,FINANCIACION[[#This Row],[$ CAPITAL]])</f>
        <v>0</v>
      </c>
      <c r="J602" s="8">
        <f>IF(FINANCIACION[[#This Row],[$ CAPITAL]]&gt;=0,FINANCIACION[[#This Row],[$ CAPITAL]]+FINANCIACION[[#This Row],[$ INTERESES]],0)</f>
        <v>220000</v>
      </c>
    </row>
    <row r="603" spans="1:10" ht="24" hidden="1" customHeight="1" x14ac:dyDescent="0.3">
      <c r="A603" s="142">
        <v>44341</v>
      </c>
      <c r="B603" s="50" t="s">
        <v>822</v>
      </c>
      <c r="C603" s="5">
        <v>458214.73859999992</v>
      </c>
      <c r="D603" s="5">
        <v>741785.26140000008</v>
      </c>
      <c r="E603" s="5">
        <f>+IF(FINANCIACION[[#This Row],[$ CAPITAL]]&gt;=0,FINANCIACION[[#This Row],[$ CAPITAL]]+FINANCIACION[[#This Row],[$ INTERESES]],"")</f>
        <v>1200000</v>
      </c>
      <c r="F603" s="5">
        <f>+SUMIFS(FINANCIACION[$ CAPITAL],FINANCIACION[Fecha],"&lt;="&amp;FINANCIACION[[#This Row],[Fecha]],FINANCIACION[PRESTAMO],FINANCIACION[[#This Row],[PRESTAMO]])</f>
        <v>-73770460.701400056</v>
      </c>
      <c r="G603" s="7"/>
      <c r="H603" s="53"/>
      <c r="I603" s="5">
        <f>IF(FINANCIACION[[#This Row],[$ CAPITAL]]&gt;0,FINANCIACION[[#This Row],[$ CAPITAL]])</f>
        <v>458214.73859999992</v>
      </c>
      <c r="J603" s="8">
        <f>IF(FINANCIACION[[#This Row],[$ CAPITAL]]&gt;=0,FINANCIACION[[#This Row],[$ CAPITAL]]+FINANCIACION[[#This Row],[$ INTERESES]],0)</f>
        <v>1200000</v>
      </c>
    </row>
    <row r="604" spans="1:10" ht="24" hidden="1" customHeight="1" x14ac:dyDescent="0.3">
      <c r="A604" s="142">
        <v>44343</v>
      </c>
      <c r="B604" s="50" t="s">
        <v>822</v>
      </c>
      <c r="C604" s="5">
        <v>1000000</v>
      </c>
      <c r="D604" s="5"/>
      <c r="E604" s="5">
        <f>+IF(FINANCIACION[[#This Row],[$ CAPITAL]]&gt;=0,FINANCIACION[[#This Row],[$ CAPITAL]]+FINANCIACION[[#This Row],[$ INTERESES]],"")</f>
        <v>1000000</v>
      </c>
      <c r="F604" s="5">
        <f>+SUMIFS(FINANCIACION[$ CAPITAL],FINANCIACION[Fecha],"&lt;="&amp;FINANCIACION[[#This Row],[Fecha]],FINANCIACION[PRESTAMO],FINANCIACION[[#This Row],[PRESTAMO]])</f>
        <v>-72770460.701400056</v>
      </c>
      <c r="G604" s="7"/>
      <c r="H604" s="53"/>
      <c r="I604" s="5">
        <f>IF(FINANCIACION[[#This Row],[$ CAPITAL]]&gt;0,FINANCIACION[[#This Row],[$ CAPITAL]])</f>
        <v>1000000</v>
      </c>
      <c r="J604" s="8">
        <f>IF(FINANCIACION[[#This Row],[$ CAPITAL]]&gt;=0,FINANCIACION[[#This Row],[$ CAPITAL]]+FINANCIACION[[#This Row],[$ INTERESES]],0)</f>
        <v>1000000</v>
      </c>
    </row>
    <row r="605" spans="1:10" ht="24" hidden="1" customHeight="1" x14ac:dyDescent="0.3">
      <c r="A605" s="142">
        <v>44344</v>
      </c>
      <c r="B605" s="50" t="s">
        <v>823</v>
      </c>
      <c r="C605" s="5">
        <v>706192</v>
      </c>
      <c r="D605" s="5">
        <v>593808</v>
      </c>
      <c r="E605" s="5">
        <f>+IF(FINANCIACION[[#This Row],[$ CAPITAL]]&gt;=0,FINANCIACION[[#This Row],[$ CAPITAL]]+FINANCIACION[[#This Row],[$ INTERESES]],"")</f>
        <v>1300000</v>
      </c>
      <c r="F605" s="5">
        <f>+SUMIFS(FINANCIACION[$ CAPITAL],FINANCIACION[Fecha],"&lt;="&amp;FINANCIACION[[#This Row],[Fecha]],FINANCIACION[PRESTAMO],FINANCIACION[[#This Row],[PRESTAMO]])</f>
        <v>-58674608</v>
      </c>
      <c r="G605" s="7"/>
      <c r="H605" s="53"/>
      <c r="I605" s="5">
        <f>IF(FINANCIACION[[#This Row],[$ CAPITAL]]&gt;0,FINANCIACION[[#This Row],[$ CAPITAL]])</f>
        <v>706192</v>
      </c>
      <c r="J605" s="8">
        <f>IF(FINANCIACION[[#This Row],[$ CAPITAL]]&gt;=0,FINANCIACION[[#This Row],[$ CAPITAL]]+FINANCIACION[[#This Row],[$ INTERESES]],0)</f>
        <v>1300000</v>
      </c>
    </row>
    <row r="606" spans="1:10" ht="24" hidden="1" customHeight="1" x14ac:dyDescent="0.3">
      <c r="A606" s="142">
        <v>44344</v>
      </c>
      <c r="B606" s="50" t="s">
        <v>822</v>
      </c>
      <c r="C606" s="5">
        <v>1100000</v>
      </c>
      <c r="D606" s="5">
        <v>200000</v>
      </c>
      <c r="E606" s="5">
        <f>+IF(FINANCIACION[[#This Row],[$ CAPITAL]]&gt;=0,FINANCIACION[[#This Row],[$ CAPITAL]]+FINANCIACION[[#This Row],[$ INTERESES]],"")</f>
        <v>1300000</v>
      </c>
      <c r="F606" s="5">
        <f>+SUMIFS(FINANCIACION[$ CAPITAL],FINANCIACION[Fecha],"&lt;="&amp;FINANCIACION[[#This Row],[Fecha]],FINANCIACION[PRESTAMO],FINANCIACION[[#This Row],[PRESTAMO]])</f>
        <v>-71670460.701400056</v>
      </c>
      <c r="G606" s="7"/>
      <c r="H606" s="53"/>
      <c r="I606" s="5">
        <f>IF(FINANCIACION[[#This Row],[$ CAPITAL]]&gt;0,FINANCIACION[[#This Row],[$ CAPITAL]])</f>
        <v>1100000</v>
      </c>
      <c r="J606" s="8">
        <f>IF(FINANCIACION[[#This Row],[$ CAPITAL]]&gt;=0,FINANCIACION[[#This Row],[$ CAPITAL]]+FINANCIACION[[#This Row],[$ INTERESES]],0)</f>
        <v>1300000</v>
      </c>
    </row>
    <row r="607" spans="1:10" ht="24" hidden="1" customHeight="1" x14ac:dyDescent="0.3">
      <c r="A607" s="142">
        <v>44346</v>
      </c>
      <c r="B607" s="50" t="s">
        <v>191</v>
      </c>
      <c r="C607" s="5">
        <v>6309583.1000000015</v>
      </c>
      <c r="D607" s="5"/>
      <c r="E607" s="5">
        <f>+IF(FINANCIACION[[#This Row],[$ CAPITAL]]&gt;=0,FINANCIACION[[#This Row],[$ CAPITAL]]+FINANCIACION[[#This Row],[$ INTERESES]],"")</f>
        <v>6309583.1000000015</v>
      </c>
      <c r="F607" s="5">
        <f>+SUMIFS(FINANCIACION[$ CAPITAL],FINANCIACION[Fecha],"&lt;="&amp;FINANCIACION[[#This Row],[Fecha]],FINANCIACION[PRESTAMO],FINANCIACION[[#This Row],[PRESTAMO]])</f>
        <v>-54039126</v>
      </c>
      <c r="G607" s="7" t="s">
        <v>225</v>
      </c>
      <c r="H607" s="53"/>
      <c r="I607" s="5">
        <f>IF(FINANCIACION[[#This Row],[$ CAPITAL]]&gt;0,FINANCIACION[[#This Row],[$ CAPITAL]])</f>
        <v>6309583.1000000015</v>
      </c>
      <c r="J607" s="8">
        <f>IF(FINANCIACION[[#This Row],[$ CAPITAL]]&gt;=0,FINANCIACION[[#This Row],[$ CAPITAL]]+FINANCIACION[[#This Row],[$ INTERESES]],0)</f>
        <v>6309583.1000000015</v>
      </c>
    </row>
    <row r="608" spans="1:10" ht="24" hidden="1" customHeight="1" x14ac:dyDescent="0.3">
      <c r="A608" s="142">
        <v>44346</v>
      </c>
      <c r="B608" s="50" t="s">
        <v>833</v>
      </c>
      <c r="C608" s="5">
        <v>-26031901.309999999</v>
      </c>
      <c r="D608" s="5"/>
      <c r="E608" s="5" t="str">
        <f>+IF(FINANCIACION[[#This Row],[$ CAPITAL]]&gt;=0,FINANCIACION[[#This Row],[$ CAPITAL]]+FINANCIACION[[#This Row],[$ INTERESES]],"")</f>
        <v/>
      </c>
      <c r="F608" s="5">
        <f>+SUMIFS(FINANCIACION[$ CAPITAL],FINANCIACION[Fecha],"&lt;="&amp;FINANCIACION[[#This Row],[Fecha]],FINANCIACION[PRESTAMO],FINANCIACION[[#This Row],[PRESTAMO]])</f>
        <v>-26031901.309999999</v>
      </c>
      <c r="G608" s="7" t="s">
        <v>225</v>
      </c>
      <c r="H608" s="53"/>
      <c r="I608" s="5" t="b">
        <f>IF(FINANCIACION[[#This Row],[$ CAPITAL]]&gt;0,FINANCIACION[[#This Row],[$ CAPITAL]])</f>
        <v>0</v>
      </c>
      <c r="J608" s="8">
        <f>IF(FINANCIACION[[#This Row],[$ CAPITAL]]&gt;=0,FINANCIACION[[#This Row],[$ CAPITAL]]+FINANCIACION[[#This Row],[$ INTERESES]],0)</f>
        <v>0</v>
      </c>
    </row>
    <row r="609" spans="1:10" ht="24" hidden="1" customHeight="1" x14ac:dyDescent="0.3">
      <c r="A609" s="142">
        <v>44346</v>
      </c>
      <c r="B609" s="50" t="s">
        <v>827</v>
      </c>
      <c r="C609" s="5">
        <v>-274364.74000000209</v>
      </c>
      <c r="D609" s="5"/>
      <c r="E609" s="5" t="str">
        <f>+IF(FINANCIACION[[#This Row],[$ CAPITAL]]&gt;=0,FINANCIACION[[#This Row],[$ CAPITAL]]+FINANCIACION[[#This Row],[$ INTERESES]],"")</f>
        <v/>
      </c>
      <c r="F609" s="5">
        <f>+SUMIFS(FINANCIACION[$ CAPITAL],FINANCIACION[Fecha],"&lt;="&amp;FINANCIACION[[#This Row],[Fecha]],FINANCIACION[PRESTAMO],FINANCIACION[[#This Row],[PRESTAMO]])</f>
        <v>-22282101.91</v>
      </c>
      <c r="G609" s="7" t="s">
        <v>225</v>
      </c>
      <c r="H609" s="53"/>
      <c r="I609" s="5" t="b">
        <f>IF(FINANCIACION[[#This Row],[$ CAPITAL]]&gt;0,FINANCIACION[[#This Row],[$ CAPITAL]])</f>
        <v>0</v>
      </c>
      <c r="J609" s="8">
        <f>IF(FINANCIACION[[#This Row],[$ CAPITAL]]&gt;=0,FINANCIACION[[#This Row],[$ CAPITAL]]+FINANCIACION[[#This Row],[$ INTERESES]],0)</f>
        <v>0</v>
      </c>
    </row>
    <row r="610" spans="1:10" ht="24" hidden="1" customHeight="1" x14ac:dyDescent="0.3">
      <c r="A610" s="142">
        <v>44346</v>
      </c>
      <c r="B610" s="50" t="s">
        <v>829</v>
      </c>
      <c r="C610" s="5">
        <v>-137423.60000000149</v>
      </c>
      <c r="D610" s="5"/>
      <c r="E610" s="5" t="str">
        <f>+IF(FINANCIACION[[#This Row],[$ CAPITAL]]&gt;=0,FINANCIACION[[#This Row],[$ CAPITAL]]+FINANCIACION[[#This Row],[$ INTERESES]],"")</f>
        <v/>
      </c>
      <c r="F610" s="5">
        <f>+SUMIFS(FINANCIACION[$ CAPITAL],FINANCIACION[Fecha],"&lt;="&amp;FINANCIACION[[#This Row],[Fecha]],FINANCIACION[PRESTAMO],FINANCIACION[[#This Row],[PRESTAMO]])</f>
        <v>-24272072.600000001</v>
      </c>
      <c r="G610" s="7" t="s">
        <v>225</v>
      </c>
      <c r="H610" s="53"/>
      <c r="I610" s="5" t="b">
        <f>IF(FINANCIACION[[#This Row],[$ CAPITAL]]&gt;0,FINANCIACION[[#This Row],[$ CAPITAL]])</f>
        <v>0</v>
      </c>
      <c r="J610" s="8">
        <f>IF(FINANCIACION[[#This Row],[$ CAPITAL]]&gt;=0,FINANCIACION[[#This Row],[$ CAPITAL]]+FINANCIACION[[#This Row],[$ INTERESES]],0)</f>
        <v>0</v>
      </c>
    </row>
    <row r="611" spans="1:10" ht="24" hidden="1" customHeight="1" x14ac:dyDescent="0.3">
      <c r="A611" s="142">
        <v>44346</v>
      </c>
      <c r="B611" s="50" t="s">
        <v>825</v>
      </c>
      <c r="C611" s="5">
        <v>-675338.46000000834</v>
      </c>
      <c r="D611" s="5"/>
      <c r="E611" s="5" t="str">
        <f>+IF(FINANCIACION[[#This Row],[$ CAPITAL]]&gt;=0,FINANCIACION[[#This Row],[$ CAPITAL]]+FINANCIACION[[#This Row],[$ INTERESES]],"")</f>
        <v/>
      </c>
      <c r="F611" s="5">
        <f>+SUMIFS(FINANCIACION[$ CAPITAL],FINANCIACION[Fecha],"&lt;="&amp;FINANCIACION[[#This Row],[Fecha]],FINANCIACION[PRESTAMO],FINANCIACION[[#This Row],[PRESTAMO]])</f>
        <v>-54818487.120000005</v>
      </c>
      <c r="G611" s="7" t="s">
        <v>225</v>
      </c>
      <c r="H611" s="53"/>
      <c r="I611" s="5" t="b">
        <f>IF(FINANCIACION[[#This Row],[$ CAPITAL]]&gt;0,FINANCIACION[[#This Row],[$ CAPITAL]])</f>
        <v>0</v>
      </c>
      <c r="J611" s="8">
        <f>IF(FINANCIACION[[#This Row],[$ CAPITAL]]&gt;=0,FINANCIACION[[#This Row],[$ CAPITAL]]+FINANCIACION[[#This Row],[$ INTERESES]],0)</f>
        <v>0</v>
      </c>
    </row>
    <row r="612" spans="1:10" ht="24" hidden="1" customHeight="1" x14ac:dyDescent="0.3">
      <c r="A612" s="142">
        <v>44346</v>
      </c>
      <c r="B612" s="50" t="s">
        <v>826</v>
      </c>
      <c r="C612" s="5">
        <v>-1092235.3799999803</v>
      </c>
      <c r="D612" s="5"/>
      <c r="E612" s="5" t="str">
        <f>+IF(FINANCIACION[[#This Row],[$ CAPITAL]]&gt;=0,FINANCIACION[[#This Row],[$ CAPITAL]]+FINANCIACION[[#This Row],[$ INTERESES]],"")</f>
        <v/>
      </c>
      <c r="F612" s="5">
        <f>+SUMIFS(FINANCIACION[$ CAPITAL],FINANCIACION[Fecha],"&lt;="&amp;FINANCIACION[[#This Row],[Fecha]],FINANCIACION[PRESTAMO],FINANCIACION[[#This Row],[PRESTAMO]])</f>
        <v>-79567204.679999992</v>
      </c>
      <c r="G612" s="7" t="s">
        <v>225</v>
      </c>
      <c r="H612" s="53"/>
      <c r="I612" s="5" t="b">
        <f>IF(FINANCIACION[[#This Row],[$ CAPITAL]]&gt;0,FINANCIACION[[#This Row],[$ CAPITAL]])</f>
        <v>0</v>
      </c>
      <c r="J612" s="8">
        <f>IF(FINANCIACION[[#This Row],[$ CAPITAL]]&gt;=0,FINANCIACION[[#This Row],[$ CAPITAL]]+FINANCIACION[[#This Row],[$ INTERESES]],0)</f>
        <v>0</v>
      </c>
    </row>
    <row r="613" spans="1:10" ht="24" hidden="1" customHeight="1" x14ac:dyDescent="0.3">
      <c r="A613" s="142">
        <v>44346</v>
      </c>
      <c r="B613" s="50" t="s">
        <v>821</v>
      </c>
      <c r="C613" s="5">
        <v>-7131410</v>
      </c>
      <c r="D613" s="5"/>
      <c r="E613" s="5" t="str">
        <f>+IF(FINANCIACION[[#This Row],[$ CAPITAL]]&gt;=0,FINANCIACION[[#This Row],[$ CAPITAL]]+FINANCIACION[[#This Row],[$ INTERESES]],"")</f>
        <v/>
      </c>
      <c r="F613" s="5">
        <f>+SUMIFS(FINANCIACION[$ CAPITAL],FINANCIACION[Fecha],"&lt;="&amp;FINANCIACION[[#This Row],[Fecha]],FINANCIACION[PRESTAMO],FINANCIACION[[#This Row],[PRESTAMO]])</f>
        <v>-356058032</v>
      </c>
      <c r="G613" s="7" t="s">
        <v>225</v>
      </c>
      <c r="H613" s="53"/>
      <c r="I613" s="5" t="b">
        <f>IF(FINANCIACION[[#This Row],[$ CAPITAL]]&gt;0,FINANCIACION[[#This Row],[$ CAPITAL]])</f>
        <v>0</v>
      </c>
      <c r="J613" s="8">
        <f>IF(FINANCIACION[[#This Row],[$ CAPITAL]]&gt;=0,FINANCIACION[[#This Row],[$ CAPITAL]]+FINANCIACION[[#This Row],[$ INTERESES]],0)</f>
        <v>0</v>
      </c>
    </row>
    <row r="614" spans="1:10" ht="24" hidden="1" customHeight="1" x14ac:dyDescent="0.3">
      <c r="A614" s="142">
        <v>44346</v>
      </c>
      <c r="B614" s="50" t="s">
        <v>822</v>
      </c>
      <c r="C614" s="5">
        <v>-2409465</v>
      </c>
      <c r="D614" s="5"/>
      <c r="E614" s="5" t="str">
        <f>+IF(FINANCIACION[[#This Row],[$ CAPITAL]]&gt;=0,FINANCIACION[[#This Row],[$ CAPITAL]]+FINANCIACION[[#This Row],[$ INTERESES]],"")</f>
        <v/>
      </c>
      <c r="F614" s="5">
        <f>+SUMIFS(FINANCIACION[$ CAPITAL],FINANCIACION[Fecha],"&lt;="&amp;FINANCIACION[[#This Row],[Fecha]],FINANCIACION[PRESTAMO],FINANCIACION[[#This Row],[PRESTAMO]])</f>
        <v>-51434041.962125674</v>
      </c>
      <c r="G614" s="7"/>
      <c r="H614" s="53"/>
      <c r="I614" s="5" t="b">
        <f>IF(FINANCIACION[[#This Row],[$ CAPITAL]]&gt;0,FINANCIACION[[#This Row],[$ CAPITAL]])</f>
        <v>0</v>
      </c>
      <c r="J614" s="8">
        <f>IF(FINANCIACION[[#This Row],[$ CAPITAL]]&gt;=0,FINANCIACION[[#This Row],[$ CAPITAL]]+FINANCIACION[[#This Row],[$ INTERESES]],0)</f>
        <v>0</v>
      </c>
    </row>
    <row r="615" spans="1:10" ht="24" hidden="1" customHeight="1" x14ac:dyDescent="0.3">
      <c r="A615" s="142">
        <v>44346</v>
      </c>
      <c r="B615" s="50" t="s">
        <v>822</v>
      </c>
      <c r="C615" s="5">
        <v>-21292270</v>
      </c>
      <c r="D615" s="5"/>
      <c r="E615" s="5" t="str">
        <f>+IF(FINANCIACION[[#This Row],[$ CAPITAL]]&gt;=0,FINANCIACION[[#This Row],[$ CAPITAL]]+FINANCIACION[[#This Row],[$ INTERESES]],"")</f>
        <v/>
      </c>
      <c r="F615" s="5">
        <f>+SUMIFS(FINANCIACION[$ CAPITAL],FINANCIACION[Fecha],"&lt;="&amp;FINANCIACION[[#This Row],[Fecha]],FINANCIACION[PRESTAMO],FINANCIACION[[#This Row],[PRESTAMO]])</f>
        <v>-51434041.962125674</v>
      </c>
      <c r="G615" s="7"/>
      <c r="H615" s="53"/>
      <c r="I615" s="5" t="b">
        <f>IF(FINANCIACION[[#This Row],[$ CAPITAL]]&gt;0,FINANCIACION[[#This Row],[$ CAPITAL]])</f>
        <v>0</v>
      </c>
      <c r="J615" s="8">
        <f>IF(FINANCIACION[[#This Row],[$ CAPITAL]]&gt;=0,FINANCIACION[[#This Row],[$ CAPITAL]]+FINANCIACION[[#This Row],[$ INTERESES]],0)</f>
        <v>0</v>
      </c>
    </row>
    <row r="616" spans="1:10" ht="24" hidden="1" customHeight="1" x14ac:dyDescent="0.3">
      <c r="A616" s="142">
        <v>44346</v>
      </c>
      <c r="B616" s="50" t="s">
        <v>822</v>
      </c>
      <c r="C616" s="5">
        <v>-5989831</v>
      </c>
      <c r="D616" s="5"/>
      <c r="E616" s="5" t="str">
        <f>+IF(FINANCIACION[[#This Row],[$ CAPITAL]]&gt;=0,FINANCIACION[[#This Row],[$ CAPITAL]]+FINANCIACION[[#This Row],[$ INTERESES]],"")</f>
        <v/>
      </c>
      <c r="F616" s="5">
        <f>+SUMIFS(FINANCIACION[$ CAPITAL],FINANCIACION[Fecha],"&lt;="&amp;FINANCIACION[[#This Row],[Fecha]],FINANCIACION[PRESTAMO],FINANCIACION[[#This Row],[PRESTAMO]])</f>
        <v>-51434041.962125674</v>
      </c>
      <c r="G616" s="7"/>
      <c r="H616" s="53"/>
      <c r="I616" s="5" t="b">
        <f>IF(FINANCIACION[[#This Row],[$ CAPITAL]]&gt;0,FINANCIACION[[#This Row],[$ CAPITAL]])</f>
        <v>0</v>
      </c>
      <c r="J616" s="8">
        <f>IF(FINANCIACION[[#This Row],[$ CAPITAL]]&gt;=0,FINANCIACION[[#This Row],[$ CAPITAL]]+FINANCIACION[[#This Row],[$ INTERESES]],0)</f>
        <v>0</v>
      </c>
    </row>
    <row r="617" spans="1:10" ht="24" hidden="1" customHeight="1" x14ac:dyDescent="0.3">
      <c r="A617" s="142">
        <v>44346</v>
      </c>
      <c r="B617" s="50" t="s">
        <v>822</v>
      </c>
      <c r="C617" s="5">
        <v>1130115</v>
      </c>
      <c r="D617" s="5"/>
      <c r="E617" s="5">
        <f>+IF(FINANCIACION[[#This Row],[$ CAPITAL]]&gt;=0,FINANCIACION[[#This Row],[$ CAPITAL]]+FINANCIACION[[#This Row],[$ INTERESES]],"")</f>
        <v>1130115</v>
      </c>
      <c r="F617" s="5">
        <f>+SUMIFS(FINANCIACION[$ CAPITAL],FINANCIACION[Fecha],"&lt;="&amp;FINANCIACION[[#This Row],[Fecha]],FINANCIACION[PRESTAMO],FINANCIACION[[#This Row],[PRESTAMO]])</f>
        <v>-51434041.962125674</v>
      </c>
      <c r="G617" s="7"/>
      <c r="H617" s="53"/>
      <c r="I617" s="5">
        <f>IF(FINANCIACION[[#This Row],[$ CAPITAL]]&gt;0,FINANCIACION[[#This Row],[$ CAPITAL]])</f>
        <v>1130115</v>
      </c>
      <c r="J617" s="8">
        <f>IF(FINANCIACION[[#This Row],[$ CAPITAL]]&gt;=0,FINANCIACION[[#This Row],[$ CAPITAL]]+FINANCIACION[[#This Row],[$ INTERESES]],0)</f>
        <v>1130115</v>
      </c>
    </row>
    <row r="618" spans="1:10" ht="24" hidden="1" customHeight="1" x14ac:dyDescent="0.3">
      <c r="A618" s="142">
        <v>44346</v>
      </c>
      <c r="B618" s="50" t="s">
        <v>822</v>
      </c>
      <c r="C618" s="5">
        <v>2575168</v>
      </c>
      <c r="D618" s="5"/>
      <c r="E618" s="5">
        <f>+IF(FINANCIACION[[#This Row],[$ CAPITAL]]&gt;=0,FINANCIACION[[#This Row],[$ CAPITAL]]+FINANCIACION[[#This Row],[$ INTERESES]],"")</f>
        <v>2575168</v>
      </c>
      <c r="F618" s="5">
        <f>+SUMIFS(FINANCIACION[$ CAPITAL],FINANCIACION[Fecha],"&lt;="&amp;FINANCIACION[[#This Row],[Fecha]],FINANCIACION[PRESTAMO],FINANCIACION[[#This Row],[PRESTAMO]])</f>
        <v>-51434041.962125674</v>
      </c>
      <c r="G618" s="7"/>
      <c r="H618" s="53"/>
      <c r="I618" s="5">
        <f>IF(FINANCIACION[[#This Row],[$ CAPITAL]]&gt;0,FINANCIACION[[#This Row],[$ CAPITAL]])</f>
        <v>2575168</v>
      </c>
      <c r="J618" s="8">
        <f>IF(FINANCIACION[[#This Row],[$ CAPITAL]]&gt;=0,FINANCIACION[[#This Row],[$ CAPITAL]]+FINANCIACION[[#This Row],[$ INTERESES]],0)</f>
        <v>2575168</v>
      </c>
    </row>
    <row r="619" spans="1:10" ht="24" hidden="1" customHeight="1" x14ac:dyDescent="0.3">
      <c r="A619" s="142">
        <v>44346</v>
      </c>
      <c r="B619" s="50" t="s">
        <v>822</v>
      </c>
      <c r="C619" s="5">
        <v>1498393</v>
      </c>
      <c r="D619" s="5"/>
      <c r="E619" s="5">
        <f>+IF(FINANCIACION[[#This Row],[$ CAPITAL]]&gt;=0,FINANCIACION[[#This Row],[$ CAPITAL]]+FINANCIACION[[#This Row],[$ INTERESES]],"")</f>
        <v>1498393</v>
      </c>
      <c r="F619" s="5">
        <f>+SUMIFS(FINANCIACION[$ CAPITAL],FINANCIACION[Fecha],"&lt;="&amp;FINANCIACION[[#This Row],[Fecha]],FINANCIACION[PRESTAMO],FINANCIACION[[#This Row],[PRESTAMO]])</f>
        <v>-51434041.962125674</v>
      </c>
      <c r="G619" s="7"/>
      <c r="H619" s="53"/>
      <c r="I619" s="5">
        <f>IF(FINANCIACION[[#This Row],[$ CAPITAL]]&gt;0,FINANCIACION[[#This Row],[$ CAPITAL]])</f>
        <v>1498393</v>
      </c>
      <c r="J619" s="8">
        <f>IF(FINANCIACION[[#This Row],[$ CAPITAL]]&gt;=0,FINANCIACION[[#This Row],[$ CAPITAL]]+FINANCIACION[[#This Row],[$ INTERESES]],0)</f>
        <v>1498393</v>
      </c>
    </row>
    <row r="620" spans="1:10" ht="24" hidden="1" customHeight="1" x14ac:dyDescent="0.3">
      <c r="A620" s="142">
        <v>44346</v>
      </c>
      <c r="B620" s="50" t="s">
        <v>822</v>
      </c>
      <c r="C620" s="5">
        <v>44724308.739274383</v>
      </c>
      <c r="D620" s="5"/>
      <c r="E620" s="5">
        <f>+IF(FINANCIACION[[#This Row],[$ CAPITAL]]&gt;=0,FINANCIACION[[#This Row],[$ CAPITAL]]+FINANCIACION[[#This Row],[$ INTERESES]],"")</f>
        <v>44724308.739274383</v>
      </c>
      <c r="F620" s="5">
        <f>+SUMIFS(FINANCIACION[$ CAPITAL],FINANCIACION[Fecha],"&lt;="&amp;FINANCIACION[[#This Row],[Fecha]],FINANCIACION[PRESTAMO],FINANCIACION[[#This Row],[PRESTAMO]])</f>
        <v>-51434041.962125674</v>
      </c>
      <c r="G620" s="7" t="s">
        <v>225</v>
      </c>
      <c r="H620" s="53"/>
      <c r="I620" s="5">
        <f>IF(FINANCIACION[[#This Row],[$ CAPITAL]]&gt;0,FINANCIACION[[#This Row],[$ CAPITAL]])</f>
        <v>44724308.739274383</v>
      </c>
      <c r="J620" s="8">
        <f>IF(FINANCIACION[[#This Row],[$ CAPITAL]]&gt;=0,FINANCIACION[[#This Row],[$ CAPITAL]]+FINANCIACION[[#This Row],[$ INTERESES]],0)</f>
        <v>44724308.739274383</v>
      </c>
    </row>
    <row r="621" spans="1:10" ht="24" hidden="1" customHeight="1" x14ac:dyDescent="0.3">
      <c r="A621" s="142">
        <v>44346</v>
      </c>
      <c r="B621" s="50" t="s">
        <v>196</v>
      </c>
      <c r="C621" s="5">
        <v>936000</v>
      </c>
      <c r="D621" s="5"/>
      <c r="E621" s="5">
        <f>+IF(FINANCIACION[[#This Row],[$ CAPITAL]]&gt;=0,FINANCIACION[[#This Row],[$ CAPITAL]]+FINANCIACION[[#This Row],[$ INTERESES]],"")</f>
        <v>936000</v>
      </c>
      <c r="F621" s="5">
        <f>+SUMIFS(FINANCIACION[$ CAPITAL],FINANCIACION[Fecha],"&lt;="&amp;FINANCIACION[[#This Row],[Fecha]],FINANCIACION[PRESTAMO],FINANCIACION[[#This Row],[PRESTAMO]])</f>
        <v>-33366600</v>
      </c>
      <c r="G621" s="7"/>
      <c r="H621" s="53"/>
      <c r="I621" s="5">
        <f>IF(FINANCIACION[[#This Row],[$ CAPITAL]]&gt;0,FINANCIACION[[#This Row],[$ CAPITAL]])</f>
        <v>936000</v>
      </c>
      <c r="J621" s="8">
        <f>IF(FINANCIACION[[#This Row],[$ CAPITAL]]&gt;=0,FINANCIACION[[#This Row],[$ CAPITAL]]+FINANCIACION[[#This Row],[$ INTERESES]],0)</f>
        <v>936000</v>
      </c>
    </row>
    <row r="622" spans="1:10" ht="24" hidden="1" customHeight="1" x14ac:dyDescent="0.3">
      <c r="A622" s="142">
        <v>44347</v>
      </c>
      <c r="B622" s="50" t="s">
        <v>187</v>
      </c>
      <c r="C622" s="5">
        <v>1468400</v>
      </c>
      <c r="D622" s="5">
        <v>477575</v>
      </c>
      <c r="E622" s="5">
        <f>+IF(FINANCIACION[[#This Row],[$ CAPITAL]]&gt;=0,FINANCIACION[[#This Row],[$ CAPITAL]]+FINANCIACION[[#This Row],[$ INTERESES]],"")</f>
        <v>1945975</v>
      </c>
      <c r="F622" s="5">
        <f>+SUMIFS(FINANCIACION[$ CAPITAL],FINANCIACION[Fecha],"&lt;="&amp;FINANCIACION[[#This Row],[Fecha]],FINANCIACION[PRESTAMO],FINANCIACION[[#This Row],[PRESTAMO]])</f>
        <v>-49925600</v>
      </c>
      <c r="G622" s="7"/>
      <c r="H622" s="53"/>
      <c r="I622" s="5">
        <f>IF(FINANCIACION[[#This Row],[$ CAPITAL]]&gt;0,FINANCIACION[[#This Row],[$ CAPITAL]])</f>
        <v>1468400</v>
      </c>
      <c r="J622" s="8">
        <f>IF(FINANCIACION[[#This Row],[$ CAPITAL]]&gt;=0,FINANCIACION[[#This Row],[$ CAPITAL]]+FINANCIACION[[#This Row],[$ INTERESES]],0)</f>
        <v>1945975</v>
      </c>
    </row>
    <row r="623" spans="1:10" ht="24" hidden="1" customHeight="1" x14ac:dyDescent="0.3">
      <c r="A623" s="142">
        <v>44347</v>
      </c>
      <c r="B623" s="50" t="s">
        <v>188</v>
      </c>
      <c r="C623" s="5">
        <v>76791</v>
      </c>
      <c r="D623" s="5"/>
      <c r="E623" s="5">
        <f>+IF(FINANCIACION[[#This Row],[$ CAPITAL]]&gt;=0,FINANCIACION[[#This Row],[$ CAPITAL]]+FINANCIACION[[#This Row],[$ INTERESES]],"")</f>
        <v>76791</v>
      </c>
      <c r="F623" s="5">
        <f>+SUMIFS(FINANCIACION[$ CAPITAL],FINANCIACION[Fecha],"&lt;="&amp;FINANCIACION[[#This Row],[Fecha]],FINANCIACION[PRESTAMO],FINANCIACION[[#This Row],[PRESTAMO]])</f>
        <v>-2610894</v>
      </c>
      <c r="G623" s="7"/>
      <c r="H623" s="53"/>
      <c r="I623" s="5">
        <f>IF(FINANCIACION[[#This Row],[$ CAPITAL]]&gt;0,FINANCIACION[[#This Row],[$ CAPITAL]])</f>
        <v>76791</v>
      </c>
      <c r="J623" s="8">
        <f>IF(FINANCIACION[[#This Row],[$ CAPITAL]]&gt;=0,FINANCIACION[[#This Row],[$ CAPITAL]]+FINANCIACION[[#This Row],[$ INTERESES]],0)</f>
        <v>76791</v>
      </c>
    </row>
    <row r="624" spans="1:10" ht="24" hidden="1" customHeight="1" x14ac:dyDescent="0.3">
      <c r="A624" s="142">
        <v>44347</v>
      </c>
      <c r="B624" s="50" t="s">
        <v>822</v>
      </c>
      <c r="C624" s="5">
        <v>1468400</v>
      </c>
      <c r="D624" s="5">
        <v>477575</v>
      </c>
      <c r="E624" s="5">
        <f>+IF(FINANCIACION[[#This Row],[$ CAPITAL]]&gt;=0,FINANCIACION[[#This Row],[$ CAPITAL]]+FINANCIACION[[#This Row],[$ INTERESES]],"")</f>
        <v>1945975</v>
      </c>
      <c r="F624" s="5">
        <f>+SUMIFS(FINANCIACION[$ CAPITAL],FINANCIACION[Fecha],"&lt;="&amp;FINANCIACION[[#This Row],[Fecha]],FINANCIACION[PRESTAMO],FINANCIACION[[#This Row],[PRESTAMO]])</f>
        <v>-43888850.962125674</v>
      </c>
      <c r="G624" s="7"/>
      <c r="H624" s="53"/>
      <c r="I624" s="5">
        <f>IF(FINANCIACION[[#This Row],[$ CAPITAL]]&gt;0,FINANCIACION[[#This Row],[$ CAPITAL]])</f>
        <v>1468400</v>
      </c>
      <c r="J624" s="8">
        <f>IF(FINANCIACION[[#This Row],[$ CAPITAL]]&gt;=0,FINANCIACION[[#This Row],[$ CAPITAL]]+FINANCIACION[[#This Row],[$ INTERESES]],0)</f>
        <v>1945975</v>
      </c>
    </row>
    <row r="625" spans="1:10" ht="24" hidden="1" customHeight="1" x14ac:dyDescent="0.3">
      <c r="A625" s="142">
        <v>44347</v>
      </c>
      <c r="B625" s="50" t="s">
        <v>822</v>
      </c>
      <c r="C625" s="5">
        <v>76791</v>
      </c>
      <c r="D625" s="5"/>
      <c r="E625" s="5">
        <f>+IF(FINANCIACION[[#This Row],[$ CAPITAL]]&gt;=0,FINANCIACION[[#This Row],[$ CAPITAL]]+FINANCIACION[[#This Row],[$ INTERESES]],"")</f>
        <v>76791</v>
      </c>
      <c r="F625" s="5">
        <f>+SUMIFS(FINANCIACION[$ CAPITAL],FINANCIACION[Fecha],"&lt;="&amp;FINANCIACION[[#This Row],[Fecha]],FINANCIACION[PRESTAMO],FINANCIACION[[#This Row],[PRESTAMO]])</f>
        <v>-43888850.962125674</v>
      </c>
      <c r="G625" s="7"/>
      <c r="H625" s="53"/>
      <c r="I625" s="5">
        <f>IF(FINANCIACION[[#This Row],[$ CAPITAL]]&gt;0,FINANCIACION[[#This Row],[$ CAPITAL]])</f>
        <v>76791</v>
      </c>
      <c r="J625" s="8">
        <f>IF(FINANCIACION[[#This Row],[$ CAPITAL]]&gt;=0,FINANCIACION[[#This Row],[$ CAPITAL]]+FINANCIACION[[#This Row],[$ INTERESES]],0)</f>
        <v>76791</v>
      </c>
    </row>
    <row r="626" spans="1:10" ht="24" hidden="1" customHeight="1" x14ac:dyDescent="0.3">
      <c r="A626" s="142">
        <v>44347</v>
      </c>
      <c r="B626" s="50" t="s">
        <v>822</v>
      </c>
      <c r="C626" s="5"/>
      <c r="D626" s="5">
        <v>919622</v>
      </c>
      <c r="E626" s="5">
        <f>+IF(FINANCIACION[[#This Row],[$ CAPITAL]]&gt;=0,FINANCIACION[[#This Row],[$ CAPITAL]]+FINANCIACION[[#This Row],[$ INTERESES]],"")</f>
        <v>919622</v>
      </c>
      <c r="F626" s="5">
        <f>+SUMIFS(FINANCIACION[$ CAPITAL],FINANCIACION[Fecha],"&lt;="&amp;FINANCIACION[[#This Row],[Fecha]],FINANCIACION[PRESTAMO],FINANCIACION[[#This Row],[PRESTAMO]])</f>
        <v>-43888850.962125674</v>
      </c>
      <c r="G626" s="7"/>
      <c r="H626" s="53"/>
      <c r="I626" s="5" t="b">
        <f>IF(FINANCIACION[[#This Row],[$ CAPITAL]]&gt;0,FINANCIACION[[#This Row],[$ CAPITAL]])</f>
        <v>0</v>
      </c>
      <c r="J626" s="8">
        <f>IF(FINANCIACION[[#This Row],[$ CAPITAL]]&gt;=0,FINANCIACION[[#This Row],[$ CAPITAL]]+FINANCIACION[[#This Row],[$ INTERESES]],0)</f>
        <v>919622</v>
      </c>
    </row>
    <row r="627" spans="1:10" ht="24" hidden="1" customHeight="1" x14ac:dyDescent="0.3">
      <c r="A627" s="142">
        <v>44347</v>
      </c>
      <c r="B627" s="50" t="s">
        <v>822</v>
      </c>
      <c r="C627" s="5">
        <v>6000000</v>
      </c>
      <c r="D627" s="5"/>
      <c r="E627" s="5">
        <f>+IF(FINANCIACION[[#This Row],[$ CAPITAL]]&gt;=0,FINANCIACION[[#This Row],[$ CAPITAL]]+FINANCIACION[[#This Row],[$ INTERESES]],"")</f>
        <v>6000000</v>
      </c>
      <c r="F627" s="5">
        <f>+SUMIFS(FINANCIACION[$ CAPITAL],FINANCIACION[Fecha],"&lt;="&amp;FINANCIACION[[#This Row],[Fecha]],FINANCIACION[PRESTAMO],FINANCIACION[[#This Row],[PRESTAMO]])</f>
        <v>-43888850.962125674</v>
      </c>
      <c r="G627" s="7"/>
      <c r="H627" s="53"/>
      <c r="I627" s="5">
        <f>IF(FINANCIACION[[#This Row],[$ CAPITAL]]&gt;0,FINANCIACION[[#This Row],[$ CAPITAL]])</f>
        <v>6000000</v>
      </c>
      <c r="J627" s="8">
        <f>IF(FINANCIACION[[#This Row],[$ CAPITAL]]&gt;=0,FINANCIACION[[#This Row],[$ CAPITAL]]+FINANCIACION[[#This Row],[$ INTERESES]],0)</f>
        <v>6000000</v>
      </c>
    </row>
    <row r="628" spans="1:10" ht="24" hidden="1" customHeight="1" x14ac:dyDescent="0.3">
      <c r="A628" s="142">
        <v>44350</v>
      </c>
      <c r="B628" s="50" t="s">
        <v>822</v>
      </c>
      <c r="C628" s="5">
        <v>1000000</v>
      </c>
      <c r="D628" s="5"/>
      <c r="E628" s="5">
        <f>+IF(FINANCIACION[[#This Row],[$ CAPITAL]]&gt;=0,FINANCIACION[[#This Row],[$ CAPITAL]]+FINANCIACION[[#This Row],[$ INTERESES]],"")</f>
        <v>1000000</v>
      </c>
      <c r="F628" s="5">
        <f>+SUMIFS(FINANCIACION[$ CAPITAL],FINANCIACION[Fecha],"&lt;="&amp;FINANCIACION[[#This Row],[Fecha]],FINANCIACION[PRESTAMO],FINANCIACION[[#This Row],[PRESTAMO]])</f>
        <v>-39246560.962125674</v>
      </c>
      <c r="G628" s="7"/>
      <c r="H628" s="53"/>
      <c r="I628" s="5">
        <f>IF(FINANCIACION[[#This Row],[$ CAPITAL]]&gt;0,FINANCIACION[[#This Row],[$ CAPITAL]])</f>
        <v>1000000</v>
      </c>
      <c r="J628" s="8">
        <f>IF(FINANCIACION[[#This Row],[$ CAPITAL]]&gt;=0,FINANCIACION[[#This Row],[$ CAPITAL]]+FINANCIACION[[#This Row],[$ INTERESES]],0)</f>
        <v>1000000</v>
      </c>
    </row>
    <row r="629" spans="1:10" ht="24" hidden="1" customHeight="1" x14ac:dyDescent="0.3">
      <c r="A629" s="142">
        <v>44350</v>
      </c>
      <c r="B629" s="50" t="s">
        <v>822</v>
      </c>
      <c r="C629" s="5">
        <v>3642290</v>
      </c>
      <c r="D629" s="5"/>
      <c r="E629" s="5">
        <f>+IF(FINANCIACION[[#This Row],[$ CAPITAL]]&gt;=0,FINANCIACION[[#This Row],[$ CAPITAL]]+FINANCIACION[[#This Row],[$ INTERESES]],"")</f>
        <v>3642290</v>
      </c>
      <c r="F629" s="5">
        <f>+SUMIFS(FINANCIACION[$ CAPITAL],FINANCIACION[Fecha],"&lt;="&amp;FINANCIACION[[#This Row],[Fecha]],FINANCIACION[PRESTAMO],FINANCIACION[[#This Row],[PRESTAMO]])</f>
        <v>-39246560.962125674</v>
      </c>
      <c r="G629" s="7"/>
      <c r="H629" s="53"/>
      <c r="I629" s="5">
        <f>IF(FINANCIACION[[#This Row],[$ CAPITAL]]&gt;0,FINANCIACION[[#This Row],[$ CAPITAL]])</f>
        <v>3642290</v>
      </c>
      <c r="J629" s="8">
        <f>IF(FINANCIACION[[#This Row],[$ CAPITAL]]&gt;=0,FINANCIACION[[#This Row],[$ CAPITAL]]+FINANCIACION[[#This Row],[$ INTERESES]],0)</f>
        <v>3642290</v>
      </c>
    </row>
    <row r="630" spans="1:10" ht="24" hidden="1" customHeight="1" x14ac:dyDescent="0.3">
      <c r="A630" s="142">
        <v>44350</v>
      </c>
      <c r="B630" s="50" t="s">
        <v>196</v>
      </c>
      <c r="C630" s="5">
        <v>3642290</v>
      </c>
      <c r="D630" s="5"/>
      <c r="E630" s="5">
        <f>+IF(FINANCIACION[[#This Row],[$ CAPITAL]]&gt;=0,FINANCIACION[[#This Row],[$ CAPITAL]]+FINANCIACION[[#This Row],[$ INTERESES]],"")</f>
        <v>3642290</v>
      </c>
      <c r="F630" s="5">
        <f>+SUMIFS(FINANCIACION[$ CAPITAL],FINANCIACION[Fecha],"&lt;="&amp;FINANCIACION[[#This Row],[Fecha]],FINANCIACION[PRESTAMO],FINANCIACION[[#This Row],[PRESTAMO]])</f>
        <v>-29724310</v>
      </c>
      <c r="G630" s="7"/>
      <c r="H630" s="53"/>
      <c r="I630" s="5">
        <f>IF(FINANCIACION[[#This Row],[$ CAPITAL]]&gt;0,FINANCIACION[[#This Row],[$ CAPITAL]])</f>
        <v>3642290</v>
      </c>
      <c r="J630" s="8">
        <f>IF(FINANCIACION[[#This Row],[$ CAPITAL]]&gt;=0,FINANCIACION[[#This Row],[$ CAPITAL]]+FINANCIACION[[#This Row],[$ INTERESES]],0)</f>
        <v>3642290</v>
      </c>
    </row>
    <row r="631" spans="1:10" ht="24" hidden="1" customHeight="1" x14ac:dyDescent="0.3">
      <c r="A631" s="142">
        <v>44356</v>
      </c>
      <c r="B631" s="50" t="s">
        <v>822</v>
      </c>
      <c r="C631" s="5">
        <v>6326000</v>
      </c>
      <c r="D631" s="5">
        <v>408134.11000000034</v>
      </c>
      <c r="E631" s="5">
        <f>+IF(FINANCIACION[[#This Row],[$ CAPITAL]]&gt;=0,FINANCIACION[[#This Row],[$ CAPITAL]]+FINANCIACION[[#This Row],[$ INTERESES]],"")</f>
        <v>6734134.1100000003</v>
      </c>
      <c r="F631" s="5">
        <f>+SUMIFS(FINANCIACION[$ CAPITAL],FINANCIACION[Fecha],"&lt;="&amp;FINANCIACION[[#This Row],[Fecha]],FINANCIACION[PRESTAMO],FINANCIACION[[#This Row],[PRESTAMO]])</f>
        <v>-32920560.962125674</v>
      </c>
      <c r="G631" s="7"/>
      <c r="H631" s="53"/>
      <c r="I631" s="5">
        <f>IF(FINANCIACION[[#This Row],[$ CAPITAL]]&gt;0,FINANCIACION[[#This Row],[$ CAPITAL]])</f>
        <v>6326000</v>
      </c>
      <c r="J631" s="8">
        <f>IF(FINANCIACION[[#This Row],[$ CAPITAL]]&gt;=0,FINANCIACION[[#This Row],[$ CAPITAL]]+FINANCIACION[[#This Row],[$ INTERESES]],0)</f>
        <v>6734134.1100000003</v>
      </c>
    </row>
    <row r="632" spans="1:10" ht="24" hidden="1" customHeight="1" x14ac:dyDescent="0.3">
      <c r="A632" s="142">
        <v>44357</v>
      </c>
      <c r="B632" s="50" t="s">
        <v>819</v>
      </c>
      <c r="C632" s="5">
        <v>1851506.0161396766</v>
      </c>
      <c r="D632" s="5">
        <v>825893.98386032344</v>
      </c>
      <c r="E632" s="5">
        <f>+IF(FINANCIACION[[#This Row],[$ CAPITAL]]&gt;=0,FINANCIACION[[#This Row],[$ CAPITAL]]+FINANCIACION[[#This Row],[$ INTERESES]],"")</f>
        <v>2677400</v>
      </c>
      <c r="F632" s="5">
        <f>+SUMIFS(FINANCIACION[$ CAPITAL],FINANCIACION[Fecha],"&lt;="&amp;FINANCIACION[[#This Row],[Fecha]],FINANCIACION[PRESTAMO],FINANCIACION[[#This Row],[PRESTAMO]])</f>
        <v>-80737892.369892672</v>
      </c>
      <c r="G632" s="7"/>
      <c r="H632" s="53"/>
      <c r="I632" s="5">
        <f>IF(FINANCIACION[[#This Row],[$ CAPITAL]]&gt;0,FINANCIACION[[#This Row],[$ CAPITAL]])</f>
        <v>1851506.0161396766</v>
      </c>
      <c r="J632" s="8">
        <f>IF(FINANCIACION[[#This Row],[$ CAPITAL]]&gt;=0,FINANCIACION[[#This Row],[$ CAPITAL]]+FINANCIACION[[#This Row],[$ INTERESES]],0)</f>
        <v>2677400</v>
      </c>
    </row>
    <row r="633" spans="1:10" ht="24" hidden="1" customHeight="1" x14ac:dyDescent="0.3">
      <c r="A633" s="142">
        <v>44358</v>
      </c>
      <c r="B633" s="50" t="s">
        <v>823</v>
      </c>
      <c r="C633" s="5">
        <v>713253.92</v>
      </c>
      <c r="D633" s="5">
        <v>586746.07999999996</v>
      </c>
      <c r="E633" s="5">
        <f>+IF(FINANCIACION[[#This Row],[$ CAPITAL]]&gt;=0,FINANCIACION[[#This Row],[$ CAPITAL]]+FINANCIACION[[#This Row],[$ INTERESES]],"")</f>
        <v>1300000</v>
      </c>
      <c r="F633" s="5">
        <f>+SUMIFS(FINANCIACION[$ CAPITAL],FINANCIACION[Fecha],"&lt;="&amp;FINANCIACION[[#This Row],[Fecha]],FINANCIACION[PRESTAMO],FINANCIACION[[#This Row],[PRESTAMO]])</f>
        <v>-57961354.079999998</v>
      </c>
      <c r="G633" s="7"/>
      <c r="H633" s="53"/>
      <c r="I633" s="5">
        <f>IF(FINANCIACION[[#This Row],[$ CAPITAL]]&gt;0,FINANCIACION[[#This Row],[$ CAPITAL]])</f>
        <v>713253.92</v>
      </c>
      <c r="J633" s="8">
        <f>IF(FINANCIACION[[#This Row],[$ CAPITAL]]&gt;=0,FINANCIACION[[#This Row],[$ CAPITAL]]+FINANCIACION[[#This Row],[$ INTERESES]],0)</f>
        <v>1300000</v>
      </c>
    </row>
    <row r="634" spans="1:10" ht="24" hidden="1" customHeight="1" x14ac:dyDescent="0.3">
      <c r="A634" s="142">
        <v>44358</v>
      </c>
      <c r="B634" s="50" t="s">
        <v>820</v>
      </c>
      <c r="C634" s="5">
        <v>462796.88598599995</v>
      </c>
      <c r="D634" s="5">
        <v>737203.11401400005</v>
      </c>
      <c r="E634" s="5">
        <f>+IF(FINANCIACION[[#This Row],[$ CAPITAL]]&gt;=0,FINANCIACION[[#This Row],[$ CAPITAL]]+FINANCIACION[[#This Row],[$ INTERESES]],"")</f>
        <v>1200000</v>
      </c>
      <c r="F634" s="5">
        <f>+SUMIFS(FINANCIACION[$ CAPITAL],FINANCIACION[Fecha],"&lt;="&amp;FINANCIACION[[#This Row],[Fecha]],FINANCIACION[PRESTAMO],FINANCIACION[[#This Row],[PRESTAMO]])</f>
        <v>-73428202.375413999</v>
      </c>
      <c r="G634" s="7"/>
      <c r="H634" s="53"/>
      <c r="I634" s="5">
        <f>IF(FINANCIACION[[#This Row],[$ CAPITAL]]&gt;0,FINANCIACION[[#This Row],[$ CAPITAL]])</f>
        <v>462796.88598599995</v>
      </c>
      <c r="J634" s="8">
        <f>IF(FINANCIACION[[#This Row],[$ CAPITAL]]&gt;=0,FINANCIACION[[#This Row],[$ CAPITAL]]+FINANCIACION[[#This Row],[$ INTERESES]],0)</f>
        <v>1200000</v>
      </c>
    </row>
    <row r="635" spans="1:10" ht="24" hidden="1" customHeight="1" x14ac:dyDescent="0.3">
      <c r="A635" s="142">
        <v>44358</v>
      </c>
      <c r="B635" s="50" t="s">
        <v>832</v>
      </c>
      <c r="C635" s="5"/>
      <c r="D635" s="5">
        <v>120000</v>
      </c>
      <c r="E635" s="5">
        <f>+IF(FINANCIACION[[#This Row],[$ CAPITAL]]&gt;=0,FINANCIACION[[#This Row],[$ CAPITAL]]+FINANCIACION[[#This Row],[$ INTERESES]],"")</f>
        <v>120000</v>
      </c>
      <c r="F635" s="5">
        <f>+SUMIFS(FINANCIACION[$ CAPITAL],FINANCIACION[Fecha],"&lt;="&amp;FINANCIACION[[#This Row],[Fecha]],FINANCIACION[PRESTAMO],FINANCIACION[[#This Row],[PRESTAMO]])</f>
        <v>-12000000</v>
      </c>
      <c r="G635" s="7"/>
      <c r="H635" s="53"/>
      <c r="I635" s="5" t="b">
        <f>IF(FINANCIACION[[#This Row],[$ CAPITAL]]&gt;0,FINANCIACION[[#This Row],[$ CAPITAL]])</f>
        <v>0</v>
      </c>
      <c r="J635" s="8">
        <f>IF(FINANCIACION[[#This Row],[$ CAPITAL]]&gt;=0,FINANCIACION[[#This Row],[$ CAPITAL]]+FINANCIACION[[#This Row],[$ INTERESES]],0)</f>
        <v>120000</v>
      </c>
    </row>
    <row r="636" spans="1:10" ht="24" hidden="1" customHeight="1" x14ac:dyDescent="0.3">
      <c r="A636" s="142">
        <v>44358</v>
      </c>
      <c r="B636" s="50" t="s">
        <v>822</v>
      </c>
      <c r="C636" s="5">
        <v>462796.88598599995</v>
      </c>
      <c r="D636" s="5">
        <v>737203.11401400005</v>
      </c>
      <c r="E636" s="5">
        <f>+IF(FINANCIACION[[#This Row],[$ CAPITAL]]&gt;=0,FINANCIACION[[#This Row],[$ CAPITAL]]+FINANCIACION[[#This Row],[$ INTERESES]],"")</f>
        <v>1200000</v>
      </c>
      <c r="F636" s="5">
        <f>+SUMIFS(FINANCIACION[$ CAPITAL],FINANCIACION[Fecha],"&lt;="&amp;FINANCIACION[[#This Row],[Fecha]],FINANCIACION[PRESTAMO],FINANCIACION[[#This Row],[PRESTAMO]])</f>
        <v>-29893004.139999997</v>
      </c>
      <c r="G636" s="7"/>
      <c r="H636" s="53"/>
      <c r="I636" s="5">
        <f>IF(FINANCIACION[[#This Row],[$ CAPITAL]]&gt;0,FINANCIACION[[#This Row],[$ CAPITAL]])</f>
        <v>462796.88598599995</v>
      </c>
      <c r="J636" s="8">
        <f>IF(FINANCIACION[[#This Row],[$ CAPITAL]]&gt;=0,FINANCIACION[[#This Row],[$ CAPITAL]]+FINANCIACION[[#This Row],[$ INTERESES]],0)</f>
        <v>1200000</v>
      </c>
    </row>
    <row r="637" spans="1:10" ht="24" hidden="1" customHeight="1" x14ac:dyDescent="0.3">
      <c r="A637" s="142">
        <v>44358</v>
      </c>
      <c r="B637" s="50" t="s">
        <v>822</v>
      </c>
      <c r="C637" s="5"/>
      <c r="D637" s="5">
        <v>120000</v>
      </c>
      <c r="E637" s="5">
        <f>+IF(FINANCIACION[[#This Row],[$ CAPITAL]]&gt;=0,FINANCIACION[[#This Row],[$ CAPITAL]]+FINANCIACION[[#This Row],[$ INTERESES]],"")</f>
        <v>120000</v>
      </c>
      <c r="F637" s="5">
        <f>+SUMIFS(FINANCIACION[$ CAPITAL],FINANCIACION[Fecha],"&lt;="&amp;FINANCIACION[[#This Row],[Fecha]],FINANCIACION[PRESTAMO],FINANCIACION[[#This Row],[PRESTAMO]])</f>
        <v>-29893004.139999997</v>
      </c>
      <c r="G637" s="7"/>
      <c r="H637" s="53"/>
      <c r="I637" s="5" t="b">
        <f>IF(FINANCIACION[[#This Row],[$ CAPITAL]]&gt;0,FINANCIACION[[#This Row],[$ CAPITAL]])</f>
        <v>0</v>
      </c>
      <c r="J637" s="8">
        <f>IF(FINANCIACION[[#This Row],[$ CAPITAL]]&gt;=0,FINANCIACION[[#This Row],[$ CAPITAL]]+FINANCIACION[[#This Row],[$ INTERESES]],0)</f>
        <v>120000</v>
      </c>
    </row>
    <row r="638" spans="1:10" ht="24" hidden="1" customHeight="1" x14ac:dyDescent="0.3">
      <c r="A638" s="142">
        <v>44358</v>
      </c>
      <c r="B638" s="50" t="s">
        <v>822</v>
      </c>
      <c r="C638" s="5"/>
      <c r="D638" s="5">
        <v>640000</v>
      </c>
      <c r="E638" s="5">
        <f>+IF(FINANCIACION[[#This Row],[$ CAPITAL]]&gt;=0,FINANCIACION[[#This Row],[$ CAPITAL]]+FINANCIACION[[#This Row],[$ INTERESES]],"")</f>
        <v>640000</v>
      </c>
      <c r="F638" s="5">
        <f>+SUMIFS(FINANCIACION[$ CAPITAL],FINANCIACION[Fecha],"&lt;="&amp;FINANCIACION[[#This Row],[Fecha]],FINANCIACION[PRESTAMO],FINANCIACION[[#This Row],[PRESTAMO]])</f>
        <v>-29893004.139999997</v>
      </c>
      <c r="G638" s="7"/>
      <c r="H638" s="53"/>
      <c r="I638" s="5" t="b">
        <f>IF(FINANCIACION[[#This Row],[$ CAPITAL]]&gt;0,FINANCIACION[[#This Row],[$ CAPITAL]])</f>
        <v>0</v>
      </c>
      <c r="J638" s="8">
        <f>IF(FINANCIACION[[#This Row],[$ CAPITAL]]&gt;=0,FINANCIACION[[#This Row],[$ CAPITAL]]+FINANCIACION[[#This Row],[$ INTERESES]],0)</f>
        <v>640000</v>
      </c>
    </row>
    <row r="639" spans="1:10" ht="24" hidden="1" customHeight="1" x14ac:dyDescent="0.3">
      <c r="A639" s="142">
        <v>44358</v>
      </c>
      <c r="B639" s="50" t="s">
        <v>822</v>
      </c>
      <c r="C639" s="5">
        <v>713253.92</v>
      </c>
      <c r="D639" s="5">
        <v>586746.07999999996</v>
      </c>
      <c r="E639" s="5">
        <f>+IF(FINANCIACION[[#This Row],[$ CAPITAL]]&gt;=0,FINANCIACION[[#This Row],[$ CAPITAL]]+FINANCIACION[[#This Row],[$ INTERESES]],"")</f>
        <v>1300000</v>
      </c>
      <c r="F639" s="5">
        <f>+SUMIFS(FINANCIACION[$ CAPITAL],FINANCIACION[Fecha],"&lt;="&amp;FINANCIACION[[#This Row],[Fecha]],FINANCIACION[PRESTAMO],FINANCIACION[[#This Row],[PRESTAMO]])</f>
        <v>-29893004.139999997</v>
      </c>
      <c r="G639" s="7"/>
      <c r="H639" s="53"/>
      <c r="I639" s="5">
        <f>IF(FINANCIACION[[#This Row],[$ CAPITAL]]&gt;0,FINANCIACION[[#This Row],[$ CAPITAL]])</f>
        <v>713253.92</v>
      </c>
      <c r="J639" s="8">
        <f>IF(FINANCIACION[[#This Row],[$ CAPITAL]]&gt;=0,FINANCIACION[[#This Row],[$ CAPITAL]]+FINANCIACION[[#This Row],[$ INTERESES]],0)</f>
        <v>1300000</v>
      </c>
    </row>
    <row r="640" spans="1:10" ht="24" hidden="1" customHeight="1" x14ac:dyDescent="0.3">
      <c r="A640" s="142">
        <v>44358</v>
      </c>
      <c r="B640" s="50" t="s">
        <v>822</v>
      </c>
      <c r="C640" s="5"/>
      <c r="D640" s="5">
        <v>220000</v>
      </c>
      <c r="E640" s="5">
        <f>+IF(FINANCIACION[[#This Row],[$ CAPITAL]]&gt;=0,FINANCIACION[[#This Row],[$ CAPITAL]]+FINANCIACION[[#This Row],[$ INTERESES]],"")</f>
        <v>220000</v>
      </c>
      <c r="F640" s="5">
        <f>+SUMIFS(FINANCIACION[$ CAPITAL],FINANCIACION[Fecha],"&lt;="&amp;FINANCIACION[[#This Row],[Fecha]],FINANCIACION[PRESTAMO],FINANCIACION[[#This Row],[PRESTAMO]])</f>
        <v>-29893004.139999997</v>
      </c>
      <c r="G640" s="53"/>
      <c r="H640" s="53"/>
      <c r="I640" s="5" t="b">
        <f>IF(FINANCIACION[[#This Row],[$ CAPITAL]]&gt;0,FINANCIACION[[#This Row],[$ CAPITAL]])</f>
        <v>0</v>
      </c>
      <c r="J640" s="33">
        <f>IF(FINANCIACION[[#This Row],[$ CAPITAL]]&gt;=0,FINANCIACION[[#This Row],[$ CAPITAL]]+FINANCIACION[[#This Row],[$ INTERESES]],0)</f>
        <v>220000</v>
      </c>
    </row>
    <row r="641" spans="1:10" ht="24" hidden="1" customHeight="1" x14ac:dyDescent="0.3">
      <c r="A641" s="142">
        <v>44358</v>
      </c>
      <c r="B641" s="50" t="s">
        <v>822</v>
      </c>
      <c r="C641" s="5">
        <v>1851506.0161396766</v>
      </c>
      <c r="D641" s="5">
        <v>825893.98386032344</v>
      </c>
      <c r="E641" s="5">
        <f>+IF(FINANCIACION[[#This Row],[$ CAPITAL]]&gt;=0,FINANCIACION[[#This Row],[$ CAPITAL]]+FINANCIACION[[#This Row],[$ INTERESES]],"")</f>
        <v>2677400</v>
      </c>
      <c r="F641" s="5">
        <f>+SUMIFS(FINANCIACION[$ CAPITAL],FINANCIACION[Fecha],"&lt;="&amp;FINANCIACION[[#This Row],[Fecha]],FINANCIACION[PRESTAMO],FINANCIACION[[#This Row],[PRESTAMO]])</f>
        <v>-29893004.139999997</v>
      </c>
      <c r="G641" s="53"/>
      <c r="H641" s="53"/>
      <c r="I641" s="5">
        <f>IF(FINANCIACION[[#This Row],[$ CAPITAL]]&gt;0,FINANCIACION[[#This Row],[$ CAPITAL]])</f>
        <v>1851506.0161396766</v>
      </c>
      <c r="J641" s="33">
        <f>IF(FINANCIACION[[#This Row],[$ CAPITAL]]&gt;=0,FINANCIACION[[#This Row],[$ CAPITAL]]+FINANCIACION[[#This Row],[$ INTERESES]],0)</f>
        <v>2677400</v>
      </c>
    </row>
    <row r="642" spans="1:10" ht="24" hidden="1" customHeight="1" x14ac:dyDescent="0.3">
      <c r="A642" s="142">
        <v>44362</v>
      </c>
      <c r="B642" s="50" t="s">
        <v>820</v>
      </c>
      <c r="C642" s="5">
        <v>-3000000</v>
      </c>
      <c r="D642" s="5"/>
      <c r="E642" s="5" t="str">
        <f>+IF(FINANCIACION[[#This Row],[$ CAPITAL]]&gt;=0,FINANCIACION[[#This Row],[$ CAPITAL]]+FINANCIACION[[#This Row],[$ INTERESES]],"")</f>
        <v/>
      </c>
      <c r="F642" s="5">
        <f>+SUMIFS(FINANCIACION[$ CAPITAL],FINANCIACION[Fecha],"&lt;="&amp;FINANCIACION[[#This Row],[Fecha]],FINANCIACION[PRESTAMO],FINANCIACION[[#This Row],[PRESTAMO]])</f>
        <v>-76428202.375413999</v>
      </c>
      <c r="G642" s="53" t="s">
        <v>379</v>
      </c>
      <c r="H642" s="53"/>
      <c r="I642" s="5" t="b">
        <f>IF(FINANCIACION[[#This Row],[$ CAPITAL]]&gt;0,FINANCIACION[[#This Row],[$ CAPITAL]])</f>
        <v>0</v>
      </c>
      <c r="J642" s="33">
        <f>IF(FINANCIACION[[#This Row],[$ CAPITAL]]&gt;=0,FINANCIACION[[#This Row],[$ CAPITAL]]+FINANCIACION[[#This Row],[$ INTERESES]],0)</f>
        <v>0</v>
      </c>
    </row>
    <row r="643" spans="1:10" ht="24" hidden="1" customHeight="1" x14ac:dyDescent="0.3">
      <c r="A643" s="142">
        <v>44362</v>
      </c>
      <c r="B643" s="50" t="s">
        <v>194</v>
      </c>
      <c r="C643" s="5"/>
      <c r="D643" s="5">
        <v>227850</v>
      </c>
      <c r="E643" s="5">
        <f>+IF(FINANCIACION[[#This Row],[$ CAPITAL]]&gt;=0,FINANCIACION[[#This Row],[$ CAPITAL]]+FINANCIACION[[#This Row],[$ INTERESES]],"")</f>
        <v>227850</v>
      </c>
      <c r="F643" s="5">
        <f>+SUMIFS(FINANCIACION[$ CAPITAL],FINANCIACION[Fecha],"&lt;="&amp;FINANCIACION[[#This Row],[Fecha]],FINANCIACION[PRESTAMO],FINANCIACION[[#This Row],[PRESTAMO]])</f>
        <v>-35000000</v>
      </c>
      <c r="G643" s="53"/>
      <c r="H643" s="53"/>
      <c r="I643" s="5" t="b">
        <f>IF(FINANCIACION[[#This Row],[$ CAPITAL]]&gt;0,FINANCIACION[[#This Row],[$ CAPITAL]])</f>
        <v>0</v>
      </c>
      <c r="J643" s="33">
        <f>IF(FINANCIACION[[#This Row],[$ CAPITAL]]&gt;=0,FINANCIACION[[#This Row],[$ CAPITAL]]+FINANCIACION[[#This Row],[$ INTERESES]],0)</f>
        <v>227850</v>
      </c>
    </row>
    <row r="644" spans="1:10" ht="24" hidden="1" customHeight="1" x14ac:dyDescent="0.3">
      <c r="A644" s="142">
        <v>44363</v>
      </c>
      <c r="B644" s="50" t="s">
        <v>830</v>
      </c>
      <c r="C644" s="5"/>
      <c r="D644" s="5">
        <v>390000</v>
      </c>
      <c r="E644" s="5">
        <f>+IF(FINANCIACION[[#This Row],[$ CAPITAL]]&gt;=0,FINANCIACION[[#This Row],[$ CAPITAL]]+FINANCIACION[[#This Row],[$ INTERESES]],"")</f>
        <v>390000</v>
      </c>
      <c r="F644" s="5">
        <f>+SUMIFS(FINANCIACION[$ CAPITAL],FINANCIACION[Fecha],"&lt;="&amp;FINANCIACION[[#This Row],[Fecha]],FINANCIACION[PRESTAMO],FINANCIACION[[#This Row],[PRESTAMO]])</f>
        <v>-13000000</v>
      </c>
      <c r="G644" s="53"/>
      <c r="H644" s="53"/>
      <c r="I644" s="5" t="b">
        <f>IF(FINANCIACION[[#This Row],[$ CAPITAL]]&gt;0,FINANCIACION[[#This Row],[$ CAPITAL]])</f>
        <v>0</v>
      </c>
      <c r="J644" s="33">
        <f>IF(FINANCIACION[[#This Row],[$ CAPITAL]]&gt;=0,FINANCIACION[[#This Row],[$ CAPITAL]]+FINANCIACION[[#This Row],[$ INTERESES]],0)</f>
        <v>390000</v>
      </c>
    </row>
    <row r="645" spans="1:10" ht="24" hidden="1" customHeight="1" x14ac:dyDescent="0.3">
      <c r="A645" s="142">
        <v>44363</v>
      </c>
      <c r="B645" s="50" t="s">
        <v>197</v>
      </c>
      <c r="C645" s="5">
        <v>2000000</v>
      </c>
      <c r="D645" s="5"/>
      <c r="E645" s="5">
        <f>+IF(FINANCIACION[[#This Row],[$ CAPITAL]]&gt;=0,FINANCIACION[[#This Row],[$ CAPITAL]]+FINANCIACION[[#This Row],[$ INTERESES]],"")</f>
        <v>2000000</v>
      </c>
      <c r="F645" s="5">
        <f>+SUMIFS(FINANCIACION[$ CAPITAL],FINANCIACION[Fecha],"&lt;="&amp;FINANCIACION[[#This Row],[Fecha]],FINANCIACION[PRESTAMO],FINANCIACION[[#This Row],[PRESTAMO]])</f>
        <v>-3450061</v>
      </c>
      <c r="G645" s="53"/>
      <c r="H645" s="53"/>
      <c r="I645" s="5">
        <f>IF(FINANCIACION[[#This Row],[$ CAPITAL]]&gt;0,FINANCIACION[[#This Row],[$ CAPITAL]])</f>
        <v>2000000</v>
      </c>
      <c r="J645" s="33">
        <f>IF(FINANCIACION[[#This Row],[$ CAPITAL]]&gt;=0,FINANCIACION[[#This Row],[$ CAPITAL]]+FINANCIACION[[#This Row],[$ INTERESES]],0)</f>
        <v>2000000</v>
      </c>
    </row>
    <row r="646" spans="1:10" ht="24" hidden="1" customHeight="1" x14ac:dyDescent="0.3">
      <c r="A646" s="142">
        <v>44363</v>
      </c>
      <c r="B646" s="50" t="s">
        <v>197</v>
      </c>
      <c r="C646" s="5">
        <v>-5450061</v>
      </c>
      <c r="D646" s="5"/>
      <c r="E646" s="5" t="str">
        <f>+IF(FINANCIACION[[#This Row],[$ CAPITAL]]&gt;=0,FINANCIACION[[#This Row],[$ CAPITAL]]+FINANCIACION[[#This Row],[$ INTERESES]],"")</f>
        <v/>
      </c>
      <c r="F646" s="5">
        <f>+SUMIFS(FINANCIACION[$ CAPITAL],FINANCIACION[Fecha],"&lt;="&amp;FINANCIACION[[#This Row],[Fecha]],FINANCIACION[PRESTAMO],FINANCIACION[[#This Row],[PRESTAMO]])</f>
        <v>-3450061</v>
      </c>
      <c r="G646" s="53"/>
      <c r="H646" s="53"/>
      <c r="I646" s="5" t="b">
        <f>IF(FINANCIACION[[#This Row],[$ CAPITAL]]&gt;0,FINANCIACION[[#This Row],[$ CAPITAL]])</f>
        <v>0</v>
      </c>
      <c r="J646" s="33">
        <f>IF(FINANCIACION[[#This Row],[$ CAPITAL]]&gt;=0,FINANCIACION[[#This Row],[$ CAPITAL]]+FINANCIACION[[#This Row],[$ INTERESES]],0)</f>
        <v>0</v>
      </c>
    </row>
    <row r="647" spans="1:10" ht="24" hidden="1" customHeight="1" x14ac:dyDescent="0.3">
      <c r="A647" s="142">
        <v>44365</v>
      </c>
      <c r="B647" s="50" t="s">
        <v>196</v>
      </c>
      <c r="C647" s="5">
        <v>5968720</v>
      </c>
      <c r="D647" s="5"/>
      <c r="E647" s="5">
        <f>+IF(FINANCIACION[[#This Row],[$ CAPITAL]]&gt;=0,FINANCIACION[[#This Row],[$ CAPITAL]]+FINANCIACION[[#This Row],[$ INTERESES]],"")</f>
        <v>5968720</v>
      </c>
      <c r="F647" s="5">
        <f>+SUMIFS(FINANCIACION[$ CAPITAL],FINANCIACION[Fecha],"&lt;="&amp;FINANCIACION[[#This Row],[Fecha]],FINANCIACION[PRESTAMO],FINANCIACION[[#This Row],[PRESTAMO]])</f>
        <v>-23755590</v>
      </c>
      <c r="G647" s="53"/>
      <c r="H647" s="53"/>
      <c r="I647" s="5">
        <f>IF(FINANCIACION[[#This Row],[$ CAPITAL]]&gt;0,FINANCIACION[[#This Row],[$ CAPITAL]])</f>
        <v>5968720</v>
      </c>
      <c r="J647" s="33">
        <f>IF(FINANCIACION[[#This Row],[$ CAPITAL]]&gt;=0,FINANCIACION[[#This Row],[$ CAPITAL]]+FINANCIACION[[#This Row],[$ INTERESES]],0)</f>
        <v>5968720</v>
      </c>
    </row>
    <row r="648" spans="1:10" ht="24" hidden="1" customHeight="1" x14ac:dyDescent="0.3">
      <c r="A648" s="142">
        <v>44369</v>
      </c>
      <c r="B648" s="50" t="s">
        <v>822</v>
      </c>
      <c r="C648" s="5">
        <v>1496187.629999999</v>
      </c>
      <c r="D648" s="5">
        <v>12812.370000001043</v>
      </c>
      <c r="E648" s="5">
        <f>+IF(FINANCIACION[[#This Row],[$ CAPITAL]]&gt;=0,FINANCIACION[[#This Row],[$ CAPITAL]]+FINANCIACION[[#This Row],[$ INTERESES]],"")</f>
        <v>1509000</v>
      </c>
      <c r="F648" s="5">
        <f>+SUMIFS(FINANCIACION[$ CAPITAL],FINANCIACION[Fecha],"&lt;="&amp;FINANCIACION[[#This Row],[Fecha]],FINANCIACION[PRESTAMO],FINANCIACION[[#This Row],[PRESTAMO]])</f>
        <v>-28396816.509999998</v>
      </c>
      <c r="G648" s="53"/>
      <c r="H648" s="53"/>
      <c r="I648" s="5">
        <f>IF(FINANCIACION[[#This Row],[$ CAPITAL]]&gt;0,FINANCIACION[[#This Row],[$ CAPITAL]])</f>
        <v>1496187.629999999</v>
      </c>
      <c r="J648" s="33">
        <f>IF(FINANCIACION[[#This Row],[$ CAPITAL]]&gt;=0,FINANCIACION[[#This Row],[$ CAPITAL]]+FINANCIACION[[#This Row],[$ INTERESES]],0)</f>
        <v>1509000</v>
      </c>
    </row>
    <row r="649" spans="1:10" ht="24" hidden="1" customHeight="1" x14ac:dyDescent="0.3">
      <c r="A649" s="142">
        <v>44370</v>
      </c>
      <c r="B649" s="50" t="s">
        <v>833</v>
      </c>
      <c r="C649" s="5">
        <v>1241305.5700000003</v>
      </c>
      <c r="D649" s="5">
        <v>10694.429999999702</v>
      </c>
      <c r="E649" s="5">
        <f>+IF(FINANCIACION[[#This Row],[$ CAPITAL]]&gt;=0,FINANCIACION[[#This Row],[$ CAPITAL]]+FINANCIACION[[#This Row],[$ INTERESES]],"")</f>
        <v>1252000</v>
      </c>
      <c r="F649" s="5">
        <f>+SUMIFS(FINANCIACION[$ CAPITAL],FINANCIACION[Fecha],"&lt;="&amp;FINANCIACION[[#This Row],[Fecha]],FINANCIACION[PRESTAMO],FINANCIACION[[#This Row],[PRESTAMO]])</f>
        <v>-24790595.739999998</v>
      </c>
      <c r="G649" s="53"/>
      <c r="H649" s="53"/>
      <c r="I649" s="5">
        <f>IF(FINANCIACION[[#This Row],[$ CAPITAL]]&gt;0,FINANCIACION[[#This Row],[$ CAPITAL]])</f>
        <v>1241305.5700000003</v>
      </c>
      <c r="J649" s="33">
        <f>IF(FINANCIACION[[#This Row],[$ CAPITAL]]&gt;=0,FINANCIACION[[#This Row],[$ CAPITAL]]+FINANCIACION[[#This Row],[$ INTERESES]],0)</f>
        <v>1252000</v>
      </c>
    </row>
    <row r="650" spans="1:10" ht="24" hidden="1" customHeight="1" x14ac:dyDescent="0.3">
      <c r="A650" s="142">
        <v>44371</v>
      </c>
      <c r="B650" s="50" t="s">
        <v>825</v>
      </c>
      <c r="C650" s="5">
        <v>2519439.0600000024</v>
      </c>
      <c r="D650" s="5">
        <v>22560.939999997616</v>
      </c>
      <c r="E650" s="5">
        <f>+IF(FINANCIACION[[#This Row],[$ CAPITAL]]&gt;=0,FINANCIACION[[#This Row],[$ CAPITAL]]+FINANCIACION[[#This Row],[$ INTERESES]],"")</f>
        <v>2542000</v>
      </c>
      <c r="F650" s="5">
        <f>+SUMIFS(FINANCIACION[$ CAPITAL],FINANCIACION[Fecha],"&lt;="&amp;FINANCIACION[[#This Row],[Fecha]],FINANCIACION[PRESTAMO],FINANCIACION[[#This Row],[PRESTAMO]])</f>
        <v>-52299048.060000002</v>
      </c>
      <c r="G650" s="53"/>
      <c r="H650" s="53"/>
      <c r="I650" s="5">
        <f>IF(FINANCIACION[[#This Row],[$ CAPITAL]]&gt;0,FINANCIACION[[#This Row],[$ CAPITAL]])</f>
        <v>2519439.0600000024</v>
      </c>
      <c r="J650" s="33">
        <f>IF(FINANCIACION[[#This Row],[$ CAPITAL]]&gt;=0,FINANCIACION[[#This Row],[$ CAPITAL]]+FINANCIACION[[#This Row],[$ INTERESES]],0)</f>
        <v>2542000</v>
      </c>
    </row>
    <row r="651" spans="1:10" ht="24" hidden="1" customHeight="1" x14ac:dyDescent="0.3">
      <c r="A651" s="142">
        <v>44372</v>
      </c>
      <c r="B651" s="50" t="s">
        <v>826</v>
      </c>
      <c r="C651" s="5">
        <v>3713546.1699999869</v>
      </c>
      <c r="D651" s="5">
        <v>36453.830000013113</v>
      </c>
      <c r="E651" s="5">
        <f>+IF(FINANCIACION[[#This Row],[$ CAPITAL]]&gt;=0,FINANCIACION[[#This Row],[$ CAPITAL]]+FINANCIACION[[#This Row],[$ INTERESES]],"")</f>
        <v>3750000</v>
      </c>
      <c r="F651" s="5">
        <f>+SUMIFS(FINANCIACION[$ CAPITAL],FINANCIACION[Fecha],"&lt;="&amp;FINANCIACION[[#This Row],[Fecha]],FINANCIACION[PRESTAMO],FINANCIACION[[#This Row],[PRESTAMO]])</f>
        <v>-75853658.510000005</v>
      </c>
      <c r="G651" s="53"/>
      <c r="H651" s="53"/>
      <c r="I651" s="5">
        <f>IF(FINANCIACION[[#This Row],[$ CAPITAL]]&gt;0,FINANCIACION[[#This Row],[$ CAPITAL]])</f>
        <v>3713546.1699999869</v>
      </c>
      <c r="J651" s="33">
        <f>IF(FINANCIACION[[#This Row],[$ CAPITAL]]&gt;=0,FINANCIACION[[#This Row],[$ CAPITAL]]+FINANCIACION[[#This Row],[$ INTERESES]],0)</f>
        <v>3750000</v>
      </c>
    </row>
    <row r="652" spans="1:10" ht="24" hidden="1" customHeight="1" x14ac:dyDescent="0.3">
      <c r="A652" s="142">
        <v>44373</v>
      </c>
      <c r="B652" s="50" t="s">
        <v>827</v>
      </c>
      <c r="C652" s="5">
        <v>993488.5700000003</v>
      </c>
      <c r="D652" s="5">
        <v>9511.429999999702</v>
      </c>
      <c r="E652" s="5">
        <f>+IF(FINANCIACION[[#This Row],[$ CAPITAL]]&gt;=0,FINANCIACION[[#This Row],[$ CAPITAL]]+FINANCIACION[[#This Row],[$ INTERESES]],"")</f>
        <v>1003000</v>
      </c>
      <c r="F652" s="5">
        <f>+SUMIFS(FINANCIACION[$ CAPITAL],FINANCIACION[Fecha],"&lt;="&amp;FINANCIACION[[#This Row],[Fecha]],FINANCIACION[PRESTAMO],FINANCIACION[[#This Row],[PRESTAMO]])</f>
        <v>-21288613.34</v>
      </c>
      <c r="G652" s="53"/>
      <c r="H652" s="53"/>
      <c r="I652" s="5">
        <f>IF(FINANCIACION[[#This Row],[$ CAPITAL]]&gt;0,FINANCIACION[[#This Row],[$ CAPITAL]])</f>
        <v>993488.5700000003</v>
      </c>
      <c r="J652" s="33">
        <f>IF(FINANCIACION[[#This Row],[$ CAPITAL]]&gt;=0,FINANCIACION[[#This Row],[$ CAPITAL]]+FINANCIACION[[#This Row],[$ INTERESES]],0)</f>
        <v>1003000</v>
      </c>
    </row>
    <row r="653" spans="1:10" ht="24" hidden="1" customHeight="1" x14ac:dyDescent="0.3">
      <c r="A653" s="142">
        <v>44374</v>
      </c>
      <c r="B653" s="50" t="s">
        <v>829</v>
      </c>
      <c r="C653" s="5">
        <v>1046623.2200000025</v>
      </c>
      <c r="D653" s="5">
        <v>10376.779999997467</v>
      </c>
      <c r="E653" s="5">
        <f>+IF(FINANCIACION[[#This Row],[$ CAPITAL]]&gt;=0,FINANCIACION[[#This Row],[$ CAPITAL]]+FINANCIACION[[#This Row],[$ INTERESES]],"")</f>
        <v>1057000</v>
      </c>
      <c r="F653" s="5">
        <f>+SUMIFS(FINANCIACION[$ CAPITAL],FINANCIACION[Fecha],"&lt;="&amp;FINANCIACION[[#This Row],[Fecha]],FINANCIACION[PRESTAMO],FINANCIACION[[#This Row],[PRESTAMO]])</f>
        <v>-23225449.379999999</v>
      </c>
      <c r="G653" s="53"/>
      <c r="H653" s="53"/>
      <c r="I653" s="5">
        <f>IF(FINANCIACION[[#This Row],[$ CAPITAL]]&gt;0,FINANCIACION[[#This Row],[$ CAPITAL]])</f>
        <v>1046623.2200000025</v>
      </c>
      <c r="J653" s="33">
        <f>IF(FINANCIACION[[#This Row],[$ CAPITAL]]&gt;=0,FINANCIACION[[#This Row],[$ CAPITAL]]+FINANCIACION[[#This Row],[$ INTERESES]],0)</f>
        <v>1057000</v>
      </c>
    </row>
    <row r="654" spans="1:10" ht="24" hidden="1" customHeight="1" x14ac:dyDescent="0.3">
      <c r="A654" s="142">
        <v>44375</v>
      </c>
      <c r="B654" s="50" t="s">
        <v>821</v>
      </c>
      <c r="C654" s="5">
        <v>11613334</v>
      </c>
      <c r="D654" s="5">
        <v>235877</v>
      </c>
      <c r="E654" s="5">
        <f>+IF(FINANCIACION[[#This Row],[$ CAPITAL]]&gt;=0,FINANCIACION[[#This Row],[$ CAPITAL]]+FINANCIACION[[#This Row],[$ INTERESES]],"")</f>
        <v>11849211</v>
      </c>
      <c r="F654" s="5">
        <f>+SUMIFS(FINANCIACION[$ CAPITAL],FINANCIACION[Fecha],"&lt;="&amp;FINANCIACION[[#This Row],[Fecha]],FINANCIACION[PRESTAMO],FINANCIACION[[#This Row],[PRESTAMO]])</f>
        <v>-344444698</v>
      </c>
      <c r="G654" s="53"/>
      <c r="H654" s="53"/>
      <c r="I654" s="5">
        <f>IF(FINANCIACION[[#This Row],[$ CAPITAL]]&gt;0,FINANCIACION[[#This Row],[$ CAPITAL]])</f>
        <v>11613334</v>
      </c>
      <c r="J654" s="33">
        <f>IF(FINANCIACION[[#This Row],[$ CAPITAL]]&gt;=0,FINANCIACION[[#This Row],[$ CAPITAL]]+FINANCIACION[[#This Row],[$ INTERESES]],0)</f>
        <v>11849211</v>
      </c>
    </row>
    <row r="655" spans="1:10" ht="24" hidden="1" customHeight="1" x14ac:dyDescent="0.3">
      <c r="A655" s="142">
        <v>44377</v>
      </c>
      <c r="B655" s="50" t="s">
        <v>187</v>
      </c>
      <c r="C655" s="5">
        <v>1468400</v>
      </c>
      <c r="D655" s="5">
        <v>453711</v>
      </c>
      <c r="E655" s="5">
        <f>+IF(FINANCIACION[[#This Row],[$ CAPITAL]]&gt;=0,FINANCIACION[[#This Row],[$ CAPITAL]]+FINANCIACION[[#This Row],[$ INTERESES]],"")</f>
        <v>1922111</v>
      </c>
      <c r="F655" s="5">
        <f>+SUMIFS(FINANCIACION[$ CAPITAL],FINANCIACION[Fecha],"&lt;="&amp;FINANCIACION[[#This Row],[Fecha]],FINANCIACION[PRESTAMO],FINANCIACION[[#This Row],[PRESTAMO]])</f>
        <v>-48457200</v>
      </c>
      <c r="G655" s="53"/>
      <c r="H655" s="53"/>
      <c r="I655" s="5">
        <f>IF(FINANCIACION[[#This Row],[$ CAPITAL]]&gt;0,FINANCIACION[[#This Row],[$ CAPITAL]])</f>
        <v>1468400</v>
      </c>
      <c r="J655" s="33">
        <f>IF(FINANCIACION[[#This Row],[$ CAPITAL]]&gt;=0,FINANCIACION[[#This Row],[$ CAPITAL]]+FINANCIACION[[#This Row],[$ INTERESES]],0)</f>
        <v>1922111</v>
      </c>
    </row>
    <row r="656" spans="1:10" ht="24" hidden="1" customHeight="1" x14ac:dyDescent="0.3">
      <c r="A656" s="142">
        <v>44377</v>
      </c>
      <c r="B656" s="50" t="s">
        <v>188</v>
      </c>
      <c r="C656" s="5">
        <v>76791</v>
      </c>
      <c r="D656" s="5"/>
      <c r="E656" s="5">
        <f>+IF(FINANCIACION[[#This Row],[$ CAPITAL]]&gt;=0,FINANCIACION[[#This Row],[$ CAPITAL]]+FINANCIACION[[#This Row],[$ INTERESES]],"")</f>
        <v>76791</v>
      </c>
      <c r="F656" s="5">
        <f>+SUMIFS(FINANCIACION[$ CAPITAL],FINANCIACION[Fecha],"&lt;="&amp;FINANCIACION[[#This Row],[Fecha]],FINANCIACION[PRESTAMO],FINANCIACION[[#This Row],[PRESTAMO]])</f>
        <v>-2534103</v>
      </c>
      <c r="G656" s="53"/>
      <c r="H656" s="53"/>
      <c r="I656" s="5">
        <f>IF(FINANCIACION[[#This Row],[$ CAPITAL]]&gt;0,FINANCIACION[[#This Row],[$ CAPITAL]])</f>
        <v>76791</v>
      </c>
      <c r="J656" s="33">
        <f>IF(FINANCIACION[[#This Row],[$ CAPITAL]]&gt;=0,FINANCIACION[[#This Row],[$ CAPITAL]]+FINANCIACION[[#This Row],[$ INTERESES]],0)</f>
        <v>76791</v>
      </c>
    </row>
    <row r="657" spans="1:34" ht="24" hidden="1" customHeight="1" x14ac:dyDescent="0.3">
      <c r="A657" s="142">
        <v>44377</v>
      </c>
      <c r="B657" s="50" t="s">
        <v>372</v>
      </c>
      <c r="C657" s="5">
        <v>-22522714</v>
      </c>
      <c r="D657" s="5"/>
      <c r="E657" s="5" t="str">
        <f>+IF(FINANCIACION[[#This Row],[$ CAPITAL]]&gt;=0,FINANCIACION[[#This Row],[$ CAPITAL]]+FINANCIACION[[#This Row],[$ INTERESES]],"")</f>
        <v/>
      </c>
      <c r="F657" s="5">
        <f>+SUMIFS(FINANCIACION[$ CAPITAL],FINANCIACION[Fecha],"&lt;="&amp;FINANCIACION[[#This Row],[Fecha]],FINANCIACION[PRESTAMO],FINANCIACION[[#This Row],[PRESTAMO]])</f>
        <v>-22522714</v>
      </c>
      <c r="G657" s="53" t="s">
        <v>373</v>
      </c>
      <c r="H657" s="53">
        <v>-5927.03</v>
      </c>
      <c r="I657" s="5" t="b">
        <f>IF(FINANCIACION[[#This Row],[$ CAPITAL]]&gt;0,FINANCIACION[[#This Row],[$ CAPITAL]])</f>
        <v>0</v>
      </c>
      <c r="J657" s="33">
        <f>IF(FINANCIACION[[#This Row],[$ CAPITAL]]&gt;=0,FINANCIACION[[#This Row],[$ CAPITAL]]+FINANCIACION[[#This Row],[$ INTERESES]],0)</f>
        <v>0</v>
      </c>
    </row>
    <row r="658" spans="1:34" ht="24" hidden="1" customHeight="1" x14ac:dyDescent="0.3">
      <c r="A658" s="142">
        <v>44377</v>
      </c>
      <c r="B658" s="50" t="s">
        <v>195</v>
      </c>
      <c r="C658" s="5">
        <v>-1409465</v>
      </c>
      <c r="D658" s="5"/>
      <c r="E658" s="5" t="str">
        <f>+IF(FINANCIACION[[#This Row],[$ CAPITAL]]&gt;=0,FINANCIACION[[#This Row],[$ CAPITAL]]+FINANCIACION[[#This Row],[$ INTERESES]],"")</f>
        <v/>
      </c>
      <c r="F658" s="5">
        <f>+SUMIFS(FINANCIACION[$ CAPITAL],FINANCIACION[Fecha],"&lt;="&amp;FINANCIACION[[#This Row],[Fecha]],FINANCIACION[PRESTAMO],FINANCIACION[[#This Row],[PRESTAMO]])</f>
        <v>-1409465</v>
      </c>
      <c r="G658" s="53" t="s">
        <v>225</v>
      </c>
      <c r="H658" s="53"/>
      <c r="I658" s="5" t="b">
        <f>IF(FINANCIACION[[#This Row],[$ CAPITAL]]&gt;0,FINANCIACION[[#This Row],[$ CAPITAL]])</f>
        <v>0</v>
      </c>
      <c r="J658" s="33">
        <f>IF(FINANCIACION[[#This Row],[$ CAPITAL]]&gt;=0,FINANCIACION[[#This Row],[$ CAPITAL]]+FINANCIACION[[#This Row],[$ INTERESES]],0)</f>
        <v>0</v>
      </c>
    </row>
    <row r="659" spans="1:34" ht="24" hidden="1" customHeight="1" x14ac:dyDescent="0.3">
      <c r="A659" s="142">
        <v>44377</v>
      </c>
      <c r="B659" s="50" t="s">
        <v>196</v>
      </c>
      <c r="C659" s="5">
        <v>1790</v>
      </c>
      <c r="D659" s="5"/>
      <c r="E659" s="5">
        <f>+IF(FINANCIACION[[#This Row],[$ CAPITAL]]&gt;=0,FINANCIACION[[#This Row],[$ CAPITAL]]+FINANCIACION[[#This Row],[$ INTERESES]],"")</f>
        <v>1790</v>
      </c>
      <c r="F659" s="5">
        <f>+SUMIFS(FINANCIACION[$ CAPITAL],FINANCIACION[Fecha],"&lt;="&amp;FINANCIACION[[#This Row],[Fecha]],FINANCIACION[PRESTAMO],FINANCIACION[[#This Row],[PRESTAMO]])</f>
        <v>-23753800</v>
      </c>
      <c r="G659" s="53" t="s">
        <v>225</v>
      </c>
      <c r="H659" s="53"/>
      <c r="I659" s="5">
        <f>IF(FINANCIACION[[#This Row],[$ CAPITAL]]&gt;0,FINANCIACION[[#This Row],[$ CAPITAL]])</f>
        <v>1790</v>
      </c>
      <c r="J659" s="33">
        <f>IF(FINANCIACION[[#This Row],[$ CAPITAL]]&gt;=0,FINANCIACION[[#This Row],[$ CAPITAL]]+FINANCIACION[[#This Row],[$ INTERESES]],0)</f>
        <v>1790</v>
      </c>
    </row>
    <row r="660" spans="1:34" ht="24" hidden="1" customHeight="1" x14ac:dyDescent="0.3">
      <c r="A660" s="142">
        <v>44377</v>
      </c>
      <c r="B660" s="50" t="s">
        <v>197</v>
      </c>
      <c r="C660" s="5">
        <v>-2469502</v>
      </c>
      <c r="D660" s="5"/>
      <c r="E660" s="5" t="str">
        <f>+IF(FINANCIACION[[#This Row],[$ CAPITAL]]&gt;=0,FINANCIACION[[#This Row],[$ CAPITAL]]+FINANCIACION[[#This Row],[$ INTERESES]],"")</f>
        <v/>
      </c>
      <c r="F660" s="5">
        <f>+SUMIFS(FINANCIACION[$ CAPITAL],FINANCIACION[Fecha],"&lt;="&amp;FINANCIACION[[#This Row],[Fecha]],FINANCIACION[PRESTAMO],FINANCIACION[[#This Row],[PRESTAMO]])</f>
        <v>-5919563</v>
      </c>
      <c r="G660" s="53" t="s">
        <v>225</v>
      </c>
      <c r="H660" s="53"/>
      <c r="I660" s="5" t="b">
        <f>IF(FINANCIACION[[#This Row],[$ CAPITAL]]&gt;0,FINANCIACION[[#This Row],[$ CAPITAL]])</f>
        <v>0</v>
      </c>
      <c r="J660" s="33">
        <f>IF(FINANCIACION[[#This Row],[$ CAPITAL]]&gt;=0,FINANCIACION[[#This Row],[$ CAPITAL]]+FINANCIACION[[#This Row],[$ INTERESES]],0)</f>
        <v>0</v>
      </c>
    </row>
    <row r="661" spans="1:34" ht="24" hidden="1" customHeight="1" x14ac:dyDescent="0.3">
      <c r="A661" s="142">
        <v>44379</v>
      </c>
      <c r="B661" s="50" t="s">
        <v>191</v>
      </c>
      <c r="C661" s="5">
        <v>6326000</v>
      </c>
      <c r="D661" s="5">
        <v>365283.37</v>
      </c>
      <c r="E661" s="5">
        <f>+IF(FINANCIACION[[#This Row],[$ CAPITAL]]&gt;=0,FINANCIACION[[#This Row],[$ CAPITAL]]+FINANCIACION[[#This Row],[$ INTERESES]],"")</f>
        <v>6691283.3700000001</v>
      </c>
      <c r="F661" s="5">
        <f>+SUMIFS(FINANCIACION[$ CAPITAL],FINANCIACION[Fecha],"&lt;="&amp;FINANCIACION[[#This Row],[Fecha]],FINANCIACION[PRESTAMO],FINANCIACION[[#This Row],[PRESTAMO]])</f>
        <v>-47713126</v>
      </c>
      <c r="G661" s="53"/>
      <c r="H661" s="53"/>
      <c r="I661" s="5">
        <f>IF(FINANCIACION[[#This Row],[$ CAPITAL]]&gt;0,FINANCIACION[[#This Row],[$ CAPITAL]])</f>
        <v>6326000</v>
      </c>
      <c r="J661" s="33">
        <f>IF(FINANCIACION[[#This Row],[$ CAPITAL]]&gt;=0,FINANCIACION[[#This Row],[$ CAPITAL]]+FINANCIACION[[#This Row],[$ INTERESES]],0)</f>
        <v>6691283.3700000001</v>
      </c>
    </row>
    <row r="662" spans="1:34" ht="24" hidden="1" customHeight="1" x14ac:dyDescent="0.3">
      <c r="A662" s="142">
        <v>44389</v>
      </c>
      <c r="B662" s="50" t="s">
        <v>820</v>
      </c>
      <c r="C662" s="5">
        <v>3000000</v>
      </c>
      <c r="D662" s="5"/>
      <c r="E662" s="5">
        <f>+IF(FINANCIACION[[#This Row],[$ CAPITAL]]&gt;=0,FINANCIACION[[#This Row],[$ CAPITAL]]+FINANCIACION[[#This Row],[$ INTERESES]],"")</f>
        <v>3000000</v>
      </c>
      <c r="F662" s="5">
        <f>+SUMIFS(FINANCIACION[$ CAPITAL],FINANCIACION[Fecha],"&lt;="&amp;FINANCIACION[[#This Row],[Fecha]],FINANCIACION[PRESTAMO],FINANCIACION[[#This Row],[PRESTAMO]])</f>
        <v>-73428202.375413999</v>
      </c>
      <c r="G662" s="53"/>
      <c r="H662" s="53"/>
      <c r="I662" s="5">
        <f>IF(FINANCIACION[[#This Row],[$ CAPITAL]]&gt;0,FINANCIACION[[#This Row],[$ CAPITAL]])</f>
        <v>3000000</v>
      </c>
      <c r="J662" s="33">
        <f>IF(FINANCIACION[[#This Row],[$ CAPITAL]]&gt;=0,FINANCIACION[[#This Row],[$ CAPITAL]]+FINANCIACION[[#This Row],[$ INTERESES]],0)</f>
        <v>3000000</v>
      </c>
    </row>
    <row r="663" spans="1:34" ht="24" hidden="1" customHeight="1" x14ac:dyDescent="0.3">
      <c r="A663" s="142">
        <v>44389</v>
      </c>
      <c r="B663" s="50" t="s">
        <v>195</v>
      </c>
      <c r="C663" s="5">
        <v>1000000</v>
      </c>
      <c r="D663" s="5"/>
      <c r="E663" s="5">
        <f>+IF(FINANCIACION[[#This Row],[$ CAPITAL]]&gt;=0,FINANCIACION[[#This Row],[$ CAPITAL]]+FINANCIACION[[#This Row],[$ INTERESES]],"")</f>
        <v>1000000</v>
      </c>
      <c r="F663" s="5">
        <f>+SUMIFS(FINANCIACION[$ CAPITAL],FINANCIACION[Fecha],"&lt;="&amp;FINANCIACION[[#This Row],[Fecha]],FINANCIACION[PRESTAMO],FINANCIACION[[#This Row],[PRESTAMO]])</f>
        <v>-409465</v>
      </c>
      <c r="G663" s="53"/>
      <c r="H663" s="53"/>
      <c r="I663" s="5">
        <f>IF(FINANCIACION[[#This Row],[$ CAPITAL]]&gt;0,FINANCIACION[[#This Row],[$ CAPITAL]])</f>
        <v>1000000</v>
      </c>
      <c r="J663" s="33">
        <f>IF(FINANCIACION[[#This Row],[$ CAPITAL]]&gt;=0,FINANCIACION[[#This Row],[$ CAPITAL]]+FINANCIACION[[#This Row],[$ INTERESES]],0)</f>
        <v>1000000</v>
      </c>
    </row>
    <row r="664" spans="1:34" ht="24" hidden="1" customHeight="1" x14ac:dyDescent="0.3">
      <c r="A664" s="142">
        <v>44389</v>
      </c>
      <c r="B664" s="50" t="s">
        <v>196</v>
      </c>
      <c r="C664" s="5">
        <v>3829460</v>
      </c>
      <c r="D664" s="5"/>
      <c r="E664" s="5">
        <f>+IF(FINANCIACION[[#This Row],[$ CAPITAL]]&gt;=0,FINANCIACION[[#This Row],[$ CAPITAL]]+FINANCIACION[[#This Row],[$ INTERESES]],"")</f>
        <v>3829460</v>
      </c>
      <c r="F664" s="5">
        <f>+SUMIFS(FINANCIACION[$ CAPITAL],FINANCIACION[Fecha],"&lt;="&amp;FINANCIACION[[#This Row],[Fecha]],FINANCIACION[PRESTAMO],FINANCIACION[[#This Row],[PRESTAMO]])</f>
        <v>-19924340</v>
      </c>
      <c r="G664" s="53"/>
      <c r="H664" s="53"/>
      <c r="I664" s="5">
        <f>IF(FINANCIACION[[#This Row],[$ CAPITAL]]&gt;0,FINANCIACION[[#This Row],[$ CAPITAL]])</f>
        <v>3829460</v>
      </c>
      <c r="J664" s="33">
        <f>IF(FINANCIACION[[#This Row],[$ CAPITAL]]&gt;=0,FINANCIACION[[#This Row],[$ CAPITAL]]+FINANCIACION[[#This Row],[$ INTERESES]],0)</f>
        <v>3829460</v>
      </c>
    </row>
    <row r="665" spans="1:34" ht="24" hidden="1" customHeight="1" x14ac:dyDescent="0.3">
      <c r="A665" s="142">
        <v>44389</v>
      </c>
      <c r="B665" s="50" t="s">
        <v>197</v>
      </c>
      <c r="C665" s="5">
        <v>1000000</v>
      </c>
      <c r="D665" s="5"/>
      <c r="E665" s="5">
        <f>+IF(FINANCIACION[[#This Row],[$ CAPITAL]]&gt;=0,FINANCIACION[[#This Row],[$ CAPITAL]]+FINANCIACION[[#This Row],[$ INTERESES]],"")</f>
        <v>1000000</v>
      </c>
      <c r="F665" s="5">
        <f>+SUMIFS(FINANCIACION[$ CAPITAL],FINANCIACION[Fecha],"&lt;="&amp;FINANCIACION[[#This Row],[Fecha]],FINANCIACION[PRESTAMO],FINANCIACION[[#This Row],[PRESTAMO]])</f>
        <v>-4919563</v>
      </c>
      <c r="G665" s="53"/>
      <c r="H665" s="53"/>
      <c r="I665" s="5">
        <f>IF(FINANCIACION[[#This Row],[$ CAPITAL]]&gt;0,FINANCIACION[[#This Row],[$ CAPITAL]])</f>
        <v>1000000</v>
      </c>
      <c r="J665" s="33">
        <f>IF(FINANCIACION[[#This Row],[$ CAPITAL]]&gt;=0,FINANCIACION[[#This Row],[$ CAPITAL]]+FINANCIACION[[#This Row],[$ INTERESES]],0)</f>
        <v>1000000</v>
      </c>
    </row>
    <row r="666" spans="1:34" ht="24" hidden="1" customHeight="1" x14ac:dyDescent="0.3">
      <c r="A666" s="142">
        <v>44390</v>
      </c>
      <c r="B666" s="50" t="s">
        <v>830</v>
      </c>
      <c r="C666" s="5"/>
      <c r="D666" s="5">
        <v>130000</v>
      </c>
      <c r="E666" s="5">
        <f>+IF(FINANCIACION[[#This Row],[$ CAPITAL]]&gt;=0,FINANCIACION[[#This Row],[$ CAPITAL]]+FINANCIACION[[#This Row],[$ INTERESES]],"")</f>
        <v>130000</v>
      </c>
      <c r="F666" s="5">
        <f>+SUMIFS(FINANCIACION[$ CAPITAL],FINANCIACION[Fecha],"&lt;="&amp;FINANCIACION[[#This Row],[Fecha]],FINANCIACION[PRESTAMO],FINANCIACION[[#This Row],[PRESTAMO]])</f>
        <v>-13000000</v>
      </c>
      <c r="G666" s="53"/>
      <c r="H666" s="53"/>
      <c r="I666" s="5" t="b">
        <f>IF(FINANCIACION[[#This Row],[$ CAPITAL]]&gt;0,FINANCIACION[[#This Row],[$ CAPITAL]])</f>
        <v>0</v>
      </c>
      <c r="J666" s="33">
        <f>IF(FINANCIACION[[#This Row],[$ CAPITAL]]&gt;=0,FINANCIACION[[#This Row],[$ CAPITAL]]+FINANCIACION[[#This Row],[$ INTERESES]],0)</f>
        <v>130000</v>
      </c>
    </row>
    <row r="667" spans="1:34" ht="24" hidden="1" customHeight="1" x14ac:dyDescent="0.3">
      <c r="A667" s="142">
        <v>44390</v>
      </c>
      <c r="B667" s="50" t="s">
        <v>819</v>
      </c>
      <c r="C667" s="5">
        <v>1859999.0763010732</v>
      </c>
      <c r="D667" s="5">
        <v>807378.92369892669</v>
      </c>
      <c r="E667" s="5">
        <f>+IF(FINANCIACION[[#This Row],[$ CAPITAL]]&gt;=0,FINANCIACION[[#This Row],[$ CAPITAL]]+FINANCIACION[[#This Row],[$ INTERESES]],"")</f>
        <v>2667378</v>
      </c>
      <c r="F667" s="5">
        <f>+SUMIFS(FINANCIACION[$ CAPITAL],FINANCIACION[Fecha],"&lt;="&amp;FINANCIACION[[#This Row],[Fecha]],FINANCIACION[PRESTAMO],FINANCIACION[[#This Row],[PRESTAMO]])</f>
        <v>-78877893.293591604</v>
      </c>
      <c r="G667" s="7"/>
      <c r="H667" s="53"/>
      <c r="I667" s="5">
        <f>IF(FINANCIACION[[#This Row],[$ CAPITAL]]&gt;0,FINANCIACION[[#This Row],[$ CAPITAL]])</f>
        <v>1859999.0763010732</v>
      </c>
      <c r="J667" s="33">
        <f>IF(FINANCIACION[[#This Row],[$ CAPITAL]]&gt;=0,FINANCIACION[[#This Row],[$ CAPITAL]]+FINANCIACION[[#This Row],[$ INTERESES]],0)</f>
        <v>2667378</v>
      </c>
    </row>
    <row r="668" spans="1:34" ht="24" hidden="1" customHeight="1" x14ac:dyDescent="0.3">
      <c r="A668" s="142">
        <v>44390</v>
      </c>
      <c r="B668" s="50" t="s">
        <v>823</v>
      </c>
      <c r="C668" s="5">
        <v>720386.45920000004</v>
      </c>
      <c r="D668" s="5">
        <v>579613.54079999996</v>
      </c>
      <c r="E668" s="5">
        <f>+IF(FINANCIACION[[#This Row],[$ CAPITAL]]&gt;=0,FINANCIACION[[#This Row],[$ CAPITAL]]+FINANCIACION[[#This Row],[$ INTERESES]],"")</f>
        <v>1300000</v>
      </c>
      <c r="F668" s="5">
        <f>+SUMIFS(FINANCIACION[$ CAPITAL],FINANCIACION[Fecha],"&lt;="&amp;FINANCIACION[[#This Row],[Fecha]],FINANCIACION[PRESTAMO],FINANCIACION[[#This Row],[PRESTAMO]])</f>
        <v>-57240967.620799996</v>
      </c>
      <c r="G668" s="53"/>
      <c r="H668" s="53"/>
      <c r="I668" s="5">
        <f>IF(FINANCIACION[[#This Row],[$ CAPITAL]]&gt;0,FINANCIACION[[#This Row],[$ CAPITAL]])</f>
        <v>720386.45920000004</v>
      </c>
      <c r="J668" s="33">
        <f>IF(FINANCIACION[[#This Row],[$ CAPITAL]]&gt;=0,FINANCIACION[[#This Row],[$ CAPITAL]]+FINANCIACION[[#This Row],[$ INTERESES]],0)</f>
        <v>1300000</v>
      </c>
    </row>
    <row r="669" spans="1:34" ht="24" hidden="1" customHeight="1" x14ac:dyDescent="0.3">
      <c r="A669" s="142">
        <v>44390</v>
      </c>
      <c r="B669" s="50" t="s">
        <v>820</v>
      </c>
      <c r="C669" s="5">
        <v>467424.85484586004</v>
      </c>
      <c r="D669" s="5">
        <v>732575.14515413996</v>
      </c>
      <c r="E669" s="5">
        <f>+IF(FINANCIACION[[#This Row],[$ CAPITAL]]&gt;=0,FINANCIACION[[#This Row],[$ CAPITAL]]+FINANCIACION[[#This Row],[$ INTERESES]],"")</f>
        <v>1200000</v>
      </c>
      <c r="F669" s="5">
        <f>+SUMIFS(FINANCIACION[$ CAPITAL],FINANCIACION[Fecha],"&lt;="&amp;FINANCIACION[[#This Row],[Fecha]],FINANCIACION[PRESTAMO],FINANCIACION[[#This Row],[PRESTAMO]])</f>
        <v>-72960777.520568132</v>
      </c>
      <c r="G669" s="53"/>
      <c r="H669" s="53"/>
      <c r="I669" s="204">
        <f>IF(FINANCIACION[[#This Row],[$ CAPITAL]]&gt;0,FINANCIACION[[#This Row],[$ CAPITAL]])</f>
        <v>467424.85484586004</v>
      </c>
      <c r="J669" s="209">
        <f>IF(FINANCIACION[[#This Row],[$ CAPITAL]]&gt;=0,FINANCIACION[[#This Row],[$ CAPITAL]]+FINANCIACION[[#This Row],[$ INTERESES]],0)</f>
        <v>1200000</v>
      </c>
      <c r="K669" s="205"/>
      <c r="L669" s="205"/>
      <c r="M669" s="205"/>
      <c r="N669" s="206"/>
      <c r="O669" s="210"/>
      <c r="P669" s="205"/>
      <c r="Q669" s="205"/>
      <c r="R669" s="205"/>
      <c r="S669" s="205"/>
      <c r="T669" s="205"/>
      <c r="U669" s="205"/>
      <c r="V669" s="205"/>
      <c r="W669" s="205"/>
      <c r="X669" s="205"/>
      <c r="Y669" s="205"/>
      <c r="Z669" s="205"/>
      <c r="AA669" s="205"/>
      <c r="AB669" s="205"/>
      <c r="AC669" s="205"/>
      <c r="AD669" s="205"/>
      <c r="AE669" s="205"/>
      <c r="AF669" s="205"/>
      <c r="AG669" s="205"/>
      <c r="AH669" s="205"/>
    </row>
    <row r="670" spans="1:34" ht="24" hidden="1" customHeight="1" x14ac:dyDescent="0.3">
      <c r="A670" s="142">
        <v>44390</v>
      </c>
      <c r="B670" s="50" t="s">
        <v>832</v>
      </c>
      <c r="C670" s="5"/>
      <c r="D670" s="5">
        <v>120000</v>
      </c>
      <c r="E670" s="5">
        <f>+IF(FINANCIACION[[#This Row],[$ CAPITAL]]&gt;=0,FINANCIACION[[#This Row],[$ CAPITAL]]+FINANCIACION[[#This Row],[$ INTERESES]],"")</f>
        <v>120000</v>
      </c>
      <c r="F670" s="5">
        <f>+SUMIFS(FINANCIACION[$ CAPITAL],FINANCIACION[Fecha],"&lt;="&amp;FINANCIACION[[#This Row],[Fecha]],FINANCIACION[PRESTAMO],FINANCIACION[[#This Row],[PRESTAMO]])</f>
        <v>-12000000</v>
      </c>
      <c r="G670" s="53"/>
      <c r="H670" s="53"/>
      <c r="I670" s="5" t="b">
        <f>IF(FINANCIACION[[#This Row],[$ CAPITAL]]&gt;0,FINANCIACION[[#This Row],[$ CAPITAL]])</f>
        <v>0</v>
      </c>
      <c r="J670" s="33">
        <f>IF(FINANCIACION[[#This Row],[$ CAPITAL]]&gt;=0,FINANCIACION[[#This Row],[$ CAPITAL]]+FINANCIACION[[#This Row],[$ INTERESES]],0)</f>
        <v>120000</v>
      </c>
    </row>
    <row r="671" spans="1:34" ht="24" hidden="1" customHeight="1" x14ac:dyDescent="0.3">
      <c r="A671" s="142">
        <v>44391</v>
      </c>
      <c r="B671" s="50" t="s">
        <v>194</v>
      </c>
      <c r="C671" s="5"/>
      <c r="D671" s="5">
        <v>227850</v>
      </c>
      <c r="E671" s="5">
        <f>+IF(FINANCIACION[[#This Row],[$ CAPITAL]]&gt;=0,FINANCIACION[[#This Row],[$ CAPITAL]]+FINANCIACION[[#This Row],[$ INTERESES]],"")</f>
        <v>227850</v>
      </c>
      <c r="F671" s="5">
        <f>+SUMIFS(FINANCIACION[$ CAPITAL],FINANCIACION[Fecha],"&lt;="&amp;FINANCIACION[[#This Row],[Fecha]],FINANCIACION[PRESTAMO],FINANCIACION[[#This Row],[PRESTAMO]])</f>
        <v>-35000000</v>
      </c>
      <c r="G671" s="53"/>
      <c r="H671" s="53"/>
      <c r="I671" s="5" t="b">
        <f>IF(FINANCIACION[[#This Row],[$ CAPITAL]]&gt;0,FINANCIACION[[#This Row],[$ CAPITAL]])</f>
        <v>0</v>
      </c>
      <c r="J671" s="33">
        <f>IF(FINANCIACION[[#This Row],[$ CAPITAL]]&gt;=0,FINANCIACION[[#This Row],[$ CAPITAL]]+FINANCIACION[[#This Row],[$ INTERESES]],0)</f>
        <v>227850</v>
      </c>
    </row>
    <row r="672" spans="1:34" ht="24" hidden="1" customHeight="1" x14ac:dyDescent="0.3">
      <c r="A672" s="142">
        <v>44396</v>
      </c>
      <c r="B672" s="50" t="s">
        <v>195</v>
      </c>
      <c r="C672" s="5">
        <v>484706</v>
      </c>
      <c r="D672" s="5"/>
      <c r="E672" s="5">
        <f>+IF(FINANCIACION[[#This Row],[$ CAPITAL]]&gt;=0,FINANCIACION[[#This Row],[$ CAPITAL]]+FINANCIACION[[#This Row],[$ INTERESES]],"")</f>
        <v>484706</v>
      </c>
      <c r="F672" s="5">
        <f>+SUMIFS(FINANCIACION[$ CAPITAL],FINANCIACION[Fecha],"&lt;="&amp;FINANCIACION[[#This Row],[Fecha]],FINANCIACION[PRESTAMO],FINANCIACION[[#This Row],[PRESTAMO]])</f>
        <v>75241</v>
      </c>
      <c r="G672" s="53"/>
      <c r="H672" s="53"/>
      <c r="I672" s="5">
        <f>IF(FINANCIACION[[#This Row],[$ CAPITAL]]&gt;0,FINANCIACION[[#This Row],[$ CAPITAL]])</f>
        <v>484706</v>
      </c>
      <c r="J672" s="33">
        <f>IF(FINANCIACION[[#This Row],[$ CAPITAL]]&gt;=0,FINANCIACION[[#This Row],[$ CAPITAL]]+FINANCIACION[[#This Row],[$ INTERESES]],0)</f>
        <v>484706</v>
      </c>
    </row>
    <row r="673" spans="1:10" ht="24" hidden="1" customHeight="1" x14ac:dyDescent="0.3">
      <c r="A673" s="142">
        <v>44396</v>
      </c>
      <c r="B673" s="50" t="s">
        <v>196</v>
      </c>
      <c r="C673" s="5">
        <v>3808460</v>
      </c>
      <c r="D673" s="5"/>
      <c r="E673" s="5">
        <f>+IF(FINANCIACION[[#This Row],[$ CAPITAL]]&gt;=0,FINANCIACION[[#This Row],[$ CAPITAL]]+FINANCIACION[[#This Row],[$ INTERESES]],"")</f>
        <v>3808460</v>
      </c>
      <c r="F673" s="5">
        <f>+SUMIFS(FINANCIACION[$ CAPITAL],FINANCIACION[Fecha],"&lt;="&amp;FINANCIACION[[#This Row],[Fecha]],FINANCIACION[PRESTAMO],FINANCIACION[[#This Row],[PRESTAMO]])</f>
        <v>-16115880</v>
      </c>
      <c r="G673" s="53"/>
      <c r="H673" s="53"/>
      <c r="I673" s="5">
        <f>IF(FINANCIACION[[#This Row],[$ CAPITAL]]&gt;0,FINANCIACION[[#This Row],[$ CAPITAL]])</f>
        <v>3808460</v>
      </c>
      <c r="J673" s="33">
        <f>IF(FINANCIACION[[#This Row],[$ CAPITAL]]&gt;=0,FINANCIACION[[#This Row],[$ CAPITAL]]+FINANCIACION[[#This Row],[$ INTERESES]],0)</f>
        <v>3808460</v>
      </c>
    </row>
    <row r="674" spans="1:10" ht="24" hidden="1" customHeight="1" x14ac:dyDescent="0.3">
      <c r="A674" s="142">
        <v>44396</v>
      </c>
      <c r="B674" s="50" t="s">
        <v>197</v>
      </c>
      <c r="C674" s="5">
        <v>1000000</v>
      </c>
      <c r="D674" s="5"/>
      <c r="E674" s="5">
        <f>+IF(FINANCIACION[[#This Row],[$ CAPITAL]]&gt;=0,FINANCIACION[[#This Row],[$ CAPITAL]]+FINANCIACION[[#This Row],[$ INTERESES]],"")</f>
        <v>1000000</v>
      </c>
      <c r="F674" s="5">
        <f>+SUMIFS(FINANCIACION[$ CAPITAL],FINANCIACION[Fecha],"&lt;="&amp;FINANCIACION[[#This Row],[Fecha]],FINANCIACION[PRESTAMO],FINANCIACION[[#This Row],[PRESTAMO]])</f>
        <v>-3919563</v>
      </c>
      <c r="G674" s="53"/>
      <c r="H674" s="53"/>
      <c r="I674" s="5">
        <f>IF(FINANCIACION[[#This Row],[$ CAPITAL]]&gt;0,FINANCIACION[[#This Row],[$ CAPITAL]])</f>
        <v>1000000</v>
      </c>
      <c r="J674" s="33">
        <f>IF(FINANCIACION[[#This Row],[$ CAPITAL]]&gt;=0,FINANCIACION[[#This Row],[$ CAPITAL]]+FINANCIACION[[#This Row],[$ INTERESES]],0)</f>
        <v>1000000</v>
      </c>
    </row>
    <row r="675" spans="1:10" ht="24" hidden="1" customHeight="1" x14ac:dyDescent="0.3">
      <c r="A675" s="142">
        <v>44398</v>
      </c>
      <c r="B675" s="50" t="s">
        <v>833</v>
      </c>
      <c r="C675" s="5">
        <v>1234372.6199999973</v>
      </c>
      <c r="D675" s="5">
        <v>10627.380000002682</v>
      </c>
      <c r="E675" s="5">
        <f>+IF(FINANCIACION[[#This Row],[$ CAPITAL]]&gt;=0,FINANCIACION[[#This Row],[$ CAPITAL]]+FINANCIACION[[#This Row],[$ INTERESES]],"")</f>
        <v>1245000</v>
      </c>
      <c r="F675" s="5">
        <f>+SUMIFS(FINANCIACION[$ CAPITAL],FINANCIACION[Fecha],"&lt;="&amp;FINANCIACION[[#This Row],[Fecha]],FINANCIACION[PRESTAMO],FINANCIACION[[#This Row],[PRESTAMO]])</f>
        <v>-23556223.120000001</v>
      </c>
      <c r="G675" s="7"/>
      <c r="H675" s="53"/>
      <c r="I675" s="5">
        <f>IF(FINANCIACION[[#This Row],[$ CAPITAL]]&gt;0,FINANCIACION[[#This Row],[$ CAPITAL]])</f>
        <v>1234372.6199999973</v>
      </c>
      <c r="J675" s="33">
        <f>IF(FINANCIACION[[#This Row],[$ CAPITAL]]&gt;=0,FINANCIACION[[#This Row],[$ CAPITAL]]+FINANCIACION[[#This Row],[$ INTERESES]],0)</f>
        <v>1245000</v>
      </c>
    </row>
    <row r="676" spans="1:10" ht="24" hidden="1" customHeight="1" x14ac:dyDescent="0.3">
      <c r="A676" s="142">
        <v>44398</v>
      </c>
      <c r="B676" s="50" t="s">
        <v>827</v>
      </c>
      <c r="C676" s="5">
        <v>988148.28999999911</v>
      </c>
      <c r="D676" s="5">
        <v>8851.7100000008941</v>
      </c>
      <c r="E676" s="5">
        <f>+IF(FINANCIACION[[#This Row],[$ CAPITAL]]&gt;=0,FINANCIACION[[#This Row],[$ CAPITAL]]+FINANCIACION[[#This Row],[$ INTERESES]],"")</f>
        <v>997000</v>
      </c>
      <c r="F676" s="5">
        <f>+SUMIFS(FINANCIACION[$ CAPITAL],FINANCIACION[Fecha],"&lt;="&amp;FINANCIACION[[#This Row],[Fecha]],FINANCIACION[PRESTAMO],FINANCIACION[[#This Row],[PRESTAMO]])</f>
        <v>-20300465.050000001</v>
      </c>
      <c r="G676" s="53"/>
      <c r="H676" s="53"/>
      <c r="I676" s="5">
        <f>IF(FINANCIACION[[#This Row],[$ CAPITAL]]&gt;0,FINANCIACION[[#This Row],[$ CAPITAL]])</f>
        <v>988148.28999999911</v>
      </c>
      <c r="J676" s="33">
        <f>IF(FINANCIACION[[#This Row],[$ CAPITAL]]&gt;=0,FINANCIACION[[#This Row],[$ CAPITAL]]+FINANCIACION[[#This Row],[$ INTERESES]],0)</f>
        <v>997000</v>
      </c>
    </row>
    <row r="677" spans="1:10" ht="24" hidden="1" customHeight="1" x14ac:dyDescent="0.3">
      <c r="A677" s="142">
        <v>44398</v>
      </c>
      <c r="B677" s="50" t="s">
        <v>829</v>
      </c>
      <c r="C677" s="5">
        <v>1041327.2299999967</v>
      </c>
      <c r="D677" s="5">
        <v>9672.7700000032783</v>
      </c>
      <c r="E677" s="5">
        <f>+IF(FINANCIACION[[#This Row],[$ CAPITAL]]&gt;=0,FINANCIACION[[#This Row],[$ CAPITAL]]+FINANCIACION[[#This Row],[$ INTERESES]],"")</f>
        <v>1051000</v>
      </c>
      <c r="F677" s="5">
        <f>+SUMIFS(FINANCIACION[$ CAPITAL],FINANCIACION[Fecha],"&lt;="&amp;FINANCIACION[[#This Row],[Fecha]],FINANCIACION[PRESTAMO],FINANCIACION[[#This Row],[PRESTAMO]])</f>
        <v>-22184122.150000002</v>
      </c>
      <c r="G677" s="53"/>
      <c r="H677" s="53"/>
      <c r="I677" s="5">
        <f>IF(FINANCIACION[[#This Row],[$ CAPITAL]]&gt;0,FINANCIACION[[#This Row],[$ CAPITAL]])</f>
        <v>1041327.2299999967</v>
      </c>
      <c r="J677" s="33">
        <f>IF(FINANCIACION[[#This Row],[$ CAPITAL]]&gt;=0,FINANCIACION[[#This Row],[$ CAPITAL]]+FINANCIACION[[#This Row],[$ INTERESES]],0)</f>
        <v>1051000</v>
      </c>
    </row>
    <row r="678" spans="1:10" ht="24" hidden="1" customHeight="1" x14ac:dyDescent="0.3">
      <c r="A678" s="142">
        <v>44398</v>
      </c>
      <c r="B678" s="50" t="s">
        <v>825</v>
      </c>
      <c r="C678" s="5">
        <v>2507536.7899999991</v>
      </c>
      <c r="D678" s="5">
        <v>22463.210000000894</v>
      </c>
      <c r="E678" s="5">
        <f>+IF(FINANCIACION[[#This Row],[$ CAPITAL]]&gt;=0,FINANCIACION[[#This Row],[$ CAPITAL]]+FINANCIACION[[#This Row],[$ INTERESES]],"")</f>
        <v>2530000</v>
      </c>
      <c r="F678" s="5">
        <f>+SUMIFS(FINANCIACION[$ CAPITAL],FINANCIACION[Fecha],"&lt;="&amp;FINANCIACION[[#This Row],[Fecha]],FINANCIACION[PRESTAMO],FINANCIACION[[#This Row],[PRESTAMO]])</f>
        <v>-49791511.270000003</v>
      </c>
      <c r="G678" s="53"/>
      <c r="H678" s="53"/>
      <c r="I678" s="5">
        <f>IF(FINANCIACION[[#This Row],[$ CAPITAL]]&gt;0,FINANCIACION[[#This Row],[$ CAPITAL]])</f>
        <v>2507536.7899999991</v>
      </c>
      <c r="J678" s="33">
        <f>IF(FINANCIACION[[#This Row],[$ CAPITAL]]&gt;=0,FINANCIACION[[#This Row],[$ CAPITAL]]+FINANCIACION[[#This Row],[$ INTERESES]],0)</f>
        <v>2530000</v>
      </c>
    </row>
    <row r="679" spans="1:10" ht="24" hidden="1" customHeight="1" x14ac:dyDescent="0.3">
      <c r="A679" s="142">
        <v>44398</v>
      </c>
      <c r="B679" s="50" t="s">
        <v>826</v>
      </c>
      <c r="C679" s="5">
        <v>3693729.5600000024</v>
      </c>
      <c r="D679" s="5">
        <v>36270.439999997616</v>
      </c>
      <c r="E679" s="5">
        <f>+IF(FINANCIACION[[#This Row],[$ CAPITAL]]&gt;=0,FINANCIACION[[#This Row],[$ CAPITAL]]+FINANCIACION[[#This Row],[$ INTERESES]],"")</f>
        <v>3730000</v>
      </c>
      <c r="F679" s="5">
        <f>+SUMIFS(FINANCIACION[$ CAPITAL],FINANCIACION[Fecha],"&lt;="&amp;FINANCIACION[[#This Row],[Fecha]],FINANCIACION[PRESTAMO],FINANCIACION[[#This Row],[PRESTAMO]])</f>
        <v>-72159928.950000003</v>
      </c>
      <c r="G679" s="53"/>
      <c r="H679" s="53"/>
      <c r="I679" s="5">
        <f>IF(FINANCIACION[[#This Row],[$ CAPITAL]]&gt;0,FINANCIACION[[#This Row],[$ CAPITAL]])</f>
        <v>3693729.5600000024</v>
      </c>
      <c r="J679" s="33">
        <f>IF(FINANCIACION[[#This Row],[$ CAPITAL]]&gt;=0,FINANCIACION[[#This Row],[$ CAPITAL]]+FINANCIACION[[#This Row],[$ INTERESES]],0)</f>
        <v>3730000</v>
      </c>
    </row>
    <row r="680" spans="1:10" ht="24" hidden="1" customHeight="1" x14ac:dyDescent="0.3">
      <c r="A680" s="142">
        <v>44398</v>
      </c>
      <c r="B680" s="50" t="s">
        <v>822</v>
      </c>
      <c r="C680" s="5">
        <v>1488144.4800000004</v>
      </c>
      <c r="D680" s="5">
        <v>11855.519999999553</v>
      </c>
      <c r="E680" s="5">
        <f>+IF(FINANCIACION[[#This Row],[$ CAPITAL]]&gt;=0,FINANCIACION[[#This Row],[$ CAPITAL]]+FINANCIACION[[#This Row],[$ INTERESES]],"")</f>
        <v>1500000</v>
      </c>
      <c r="F680" s="5">
        <f>+SUMIFS(FINANCIACION[$ CAPITAL],FINANCIACION[Fecha],"&lt;="&amp;FINANCIACION[[#This Row],[Fecha]],FINANCIACION[PRESTAMO],FINANCIACION[[#This Row],[PRESTAMO]])</f>
        <v>-26908672.029999997</v>
      </c>
      <c r="G680" s="53"/>
      <c r="H680" s="53"/>
      <c r="I680" s="5">
        <f>IF(FINANCIACION[[#This Row],[$ CAPITAL]]&gt;0,FINANCIACION[[#This Row],[$ CAPITAL]])</f>
        <v>1488144.4800000004</v>
      </c>
      <c r="J680" s="33">
        <f>IF(FINANCIACION[[#This Row],[$ CAPITAL]]&gt;=0,FINANCIACION[[#This Row],[$ CAPITAL]]+FINANCIACION[[#This Row],[$ INTERESES]],0)</f>
        <v>1500000</v>
      </c>
    </row>
    <row r="681" spans="1:10" ht="24" hidden="1" customHeight="1" x14ac:dyDescent="0.3">
      <c r="A681" s="142">
        <v>44407</v>
      </c>
      <c r="B681" s="50" t="s">
        <v>197</v>
      </c>
      <c r="C681" s="5">
        <v>1000000</v>
      </c>
      <c r="D681" s="5"/>
      <c r="E681" s="5">
        <f>+IF(FINANCIACION[[#This Row],[$ CAPITAL]]&gt;=0,FINANCIACION[[#This Row],[$ CAPITAL]]+FINANCIACION[[#This Row],[$ INTERESES]],"")</f>
        <v>1000000</v>
      </c>
      <c r="F681" s="5">
        <f>+SUMIFS(FINANCIACION[$ CAPITAL],FINANCIACION[Fecha],"&lt;="&amp;FINANCIACION[[#This Row],[Fecha]],FINANCIACION[PRESTAMO],FINANCIACION[[#This Row],[PRESTAMO]])</f>
        <v>-2919563</v>
      </c>
      <c r="G681" s="53"/>
      <c r="H681" s="53"/>
      <c r="I681" s="5">
        <f>IF(FINANCIACION[[#This Row],[$ CAPITAL]]&gt;0,FINANCIACION[[#This Row],[$ CAPITAL]])</f>
        <v>1000000</v>
      </c>
      <c r="J681" s="33">
        <f>IF(FINANCIACION[[#This Row],[$ CAPITAL]]&gt;=0,FINANCIACION[[#This Row],[$ CAPITAL]]+FINANCIACION[[#This Row],[$ INTERESES]],0)</f>
        <v>1000000</v>
      </c>
    </row>
    <row r="682" spans="1:10" ht="24" hidden="1" customHeight="1" x14ac:dyDescent="0.3">
      <c r="A682" s="142">
        <v>44408</v>
      </c>
      <c r="B682" s="50" t="s">
        <v>190</v>
      </c>
      <c r="C682" s="5">
        <v>-2575168</v>
      </c>
      <c r="D682" s="5"/>
      <c r="E682" s="5" t="str">
        <f>+IF(FINANCIACION[[#This Row],[$ CAPITAL]]&gt;=0,FINANCIACION[[#This Row],[$ CAPITAL]]+FINANCIACION[[#This Row],[$ INTERESES]],"")</f>
        <v/>
      </c>
      <c r="F682" s="5">
        <f>+SUMIFS(FINANCIACION[$ CAPITAL],FINANCIACION[Fecha],"&lt;="&amp;FINANCIACION[[#This Row],[Fecha]],FINANCIACION[PRESTAMO],FINANCIACION[[#This Row],[PRESTAMO]])</f>
        <v>-100431552</v>
      </c>
      <c r="G682" s="7" t="s">
        <v>225</v>
      </c>
      <c r="H682" s="53"/>
      <c r="I682" s="5" t="b">
        <f>IF(FINANCIACION[[#This Row],[$ CAPITAL]]&gt;0,FINANCIACION[[#This Row],[$ CAPITAL]])</f>
        <v>0</v>
      </c>
      <c r="J682" s="33">
        <f>IF(FINANCIACION[[#This Row],[$ CAPITAL]]&gt;=0,FINANCIACION[[#This Row],[$ CAPITAL]]+FINANCIACION[[#This Row],[$ INTERESES]],0)</f>
        <v>0</v>
      </c>
    </row>
    <row r="683" spans="1:10" ht="24" hidden="1" customHeight="1" x14ac:dyDescent="0.3">
      <c r="A683" s="142">
        <v>44408</v>
      </c>
      <c r="B683" s="50" t="s">
        <v>282</v>
      </c>
      <c r="C683" s="5">
        <v>-1498393</v>
      </c>
      <c r="D683" s="5"/>
      <c r="E683" s="5" t="str">
        <f>+IF(FINANCIACION[[#This Row],[$ CAPITAL]]&gt;=0,FINANCIACION[[#This Row],[$ CAPITAL]]+FINANCIACION[[#This Row],[$ INTERESES]],"")</f>
        <v/>
      </c>
      <c r="F683" s="5">
        <f>+SUMIFS(FINANCIACION[$ CAPITAL],FINANCIACION[Fecha],"&lt;="&amp;FINANCIACION[[#This Row],[Fecha]],FINANCIACION[PRESTAMO],FINANCIACION[[#This Row],[PRESTAMO]])</f>
        <v>-58437327</v>
      </c>
      <c r="G683" s="7" t="s">
        <v>225</v>
      </c>
      <c r="H683" s="53"/>
      <c r="I683" s="5" t="b">
        <f>IF(FINANCIACION[[#This Row],[$ CAPITAL]]&gt;0,FINANCIACION[[#This Row],[$ CAPITAL]])</f>
        <v>0</v>
      </c>
      <c r="J683" s="33">
        <f>IF(FINANCIACION[[#This Row],[$ CAPITAL]]&gt;=0,FINANCIACION[[#This Row],[$ CAPITAL]]+FINANCIACION[[#This Row],[$ INTERESES]],0)</f>
        <v>0</v>
      </c>
    </row>
    <row r="684" spans="1:10" ht="24" hidden="1" customHeight="1" x14ac:dyDescent="0.3">
      <c r="A684" s="142">
        <v>44408</v>
      </c>
      <c r="B684" s="50" t="s">
        <v>372</v>
      </c>
      <c r="C684" s="5">
        <v>-592703</v>
      </c>
      <c r="D684" s="5"/>
      <c r="E684" s="5" t="str">
        <f>+IF(FINANCIACION[[#This Row],[$ CAPITAL]]&gt;=0,FINANCIACION[[#This Row],[$ CAPITAL]]+FINANCIACION[[#This Row],[$ INTERESES]],"")</f>
        <v/>
      </c>
      <c r="F684" s="5">
        <f>+SUMIFS(FINANCIACION[$ CAPITAL],FINANCIACION[Fecha],"&lt;="&amp;FINANCIACION[[#This Row],[Fecha]],FINANCIACION[PRESTAMO],FINANCIACION[[#This Row],[PRESTAMO]])</f>
        <v>-23115417</v>
      </c>
      <c r="G684" s="7" t="s">
        <v>225</v>
      </c>
      <c r="H684" s="53"/>
      <c r="I684" s="5" t="b">
        <f>IF(FINANCIACION[[#This Row],[$ CAPITAL]]&gt;0,FINANCIACION[[#This Row],[$ CAPITAL]])</f>
        <v>0</v>
      </c>
      <c r="J684" s="33">
        <f>IF(FINANCIACION[[#This Row],[$ CAPITAL]]&gt;=0,FINANCIACION[[#This Row],[$ CAPITAL]]+FINANCIACION[[#This Row],[$ INTERESES]],0)</f>
        <v>0</v>
      </c>
    </row>
    <row r="685" spans="1:10" ht="24" hidden="1" customHeight="1" x14ac:dyDescent="0.3">
      <c r="A685" s="142">
        <v>44408</v>
      </c>
      <c r="B685" s="50" t="s">
        <v>833</v>
      </c>
      <c r="C685" s="5">
        <v>-163555.28999999911</v>
      </c>
      <c r="D685" s="5"/>
      <c r="E685" s="5" t="str">
        <f>+IF(FINANCIACION[[#This Row],[$ CAPITAL]]&gt;=0,FINANCIACION[[#This Row],[$ CAPITAL]]+FINANCIACION[[#This Row],[$ INTERESES]],"")</f>
        <v/>
      </c>
      <c r="F685" s="5">
        <f>+SUMIFS(FINANCIACION[$ CAPITAL],FINANCIACION[Fecha],"&lt;="&amp;FINANCIACION[[#This Row],[Fecha]],FINANCIACION[PRESTAMO],FINANCIACION[[#This Row],[PRESTAMO]])</f>
        <v>-23719778.41</v>
      </c>
      <c r="G685" s="7" t="s">
        <v>225</v>
      </c>
      <c r="H685" s="53"/>
      <c r="I685" s="5" t="b">
        <f>IF(FINANCIACION[[#This Row],[$ CAPITAL]]&gt;0,FINANCIACION[[#This Row],[$ CAPITAL]])</f>
        <v>0</v>
      </c>
      <c r="J685" s="33">
        <f>IF(FINANCIACION[[#This Row],[$ CAPITAL]]&gt;=0,FINANCIACION[[#This Row],[$ CAPITAL]]+FINANCIACION[[#This Row],[$ INTERESES]],0)</f>
        <v>0</v>
      </c>
    </row>
    <row r="686" spans="1:10" ht="24" hidden="1" customHeight="1" x14ac:dyDescent="0.3">
      <c r="A686" s="142">
        <v>44408</v>
      </c>
      <c r="B686" s="50" t="s">
        <v>827</v>
      </c>
      <c r="C686" s="5">
        <v>-137370.62000000104</v>
      </c>
      <c r="D686" s="5"/>
      <c r="E686" s="5" t="str">
        <f>+IF(FINANCIACION[[#This Row],[$ CAPITAL]]&gt;=0,FINANCIACION[[#This Row],[$ CAPITAL]]+FINANCIACION[[#This Row],[$ INTERESES]],"")</f>
        <v/>
      </c>
      <c r="F686" s="5">
        <f>+SUMIFS(FINANCIACION[$ CAPITAL],FINANCIACION[Fecha],"&lt;="&amp;FINANCIACION[[#This Row],[Fecha]],FINANCIACION[PRESTAMO],FINANCIACION[[#This Row],[PRESTAMO]])</f>
        <v>-20437835.670000002</v>
      </c>
      <c r="G686" s="7" t="s">
        <v>225</v>
      </c>
      <c r="H686" s="53"/>
      <c r="I686" s="5" t="b">
        <f>IF(FINANCIACION[[#This Row],[$ CAPITAL]]&gt;0,FINANCIACION[[#This Row],[$ CAPITAL]])</f>
        <v>0</v>
      </c>
      <c r="J686" s="33">
        <f>IF(FINANCIACION[[#This Row],[$ CAPITAL]]&gt;=0,FINANCIACION[[#This Row],[$ CAPITAL]]+FINANCIACION[[#This Row],[$ INTERESES]],0)</f>
        <v>0</v>
      </c>
    </row>
    <row r="687" spans="1:10" ht="24" hidden="1" customHeight="1" x14ac:dyDescent="0.3">
      <c r="A687" s="142">
        <v>44408</v>
      </c>
      <c r="B687" s="50" t="s">
        <v>829</v>
      </c>
      <c r="C687" s="5">
        <v>-144629.48999999836</v>
      </c>
      <c r="D687" s="5"/>
      <c r="E687" s="5" t="str">
        <f>+IF(FINANCIACION[[#This Row],[$ CAPITAL]]&gt;=0,FINANCIACION[[#This Row],[$ CAPITAL]]+FINANCIACION[[#This Row],[$ INTERESES]],"")</f>
        <v/>
      </c>
      <c r="F687" s="5">
        <f>+SUMIFS(FINANCIACION[$ CAPITAL],FINANCIACION[Fecha],"&lt;="&amp;FINANCIACION[[#This Row],[Fecha]],FINANCIACION[PRESTAMO],FINANCIACION[[#This Row],[PRESTAMO]])</f>
        <v>-22328751.640000001</v>
      </c>
      <c r="G687" s="7" t="s">
        <v>225</v>
      </c>
      <c r="H687" s="53"/>
      <c r="I687" s="5" t="b">
        <f>IF(FINANCIACION[[#This Row],[$ CAPITAL]]&gt;0,FINANCIACION[[#This Row],[$ CAPITAL]])</f>
        <v>0</v>
      </c>
      <c r="J687" s="33">
        <f>IF(FINANCIACION[[#This Row],[$ CAPITAL]]&gt;=0,FINANCIACION[[#This Row],[$ CAPITAL]]+FINANCIACION[[#This Row],[$ INTERESES]],0)</f>
        <v>0</v>
      </c>
    </row>
    <row r="688" spans="1:10" ht="24" hidden="1" customHeight="1" x14ac:dyDescent="0.3">
      <c r="A688" s="142">
        <v>44408</v>
      </c>
      <c r="B688" s="50" t="s">
        <v>825</v>
      </c>
      <c r="C688" s="5">
        <v>-344502.33999999613</v>
      </c>
      <c r="D688" s="5"/>
      <c r="E688" s="5" t="str">
        <f>+IF(FINANCIACION[[#This Row],[$ CAPITAL]]&gt;=0,FINANCIACION[[#This Row],[$ CAPITAL]]+FINANCIACION[[#This Row],[$ INTERESES]],"")</f>
        <v/>
      </c>
      <c r="F688" s="5">
        <f>+SUMIFS(FINANCIACION[$ CAPITAL],FINANCIACION[Fecha],"&lt;="&amp;FINANCIACION[[#This Row],[Fecha]],FINANCIACION[PRESTAMO],FINANCIACION[[#This Row],[PRESTAMO]])</f>
        <v>-50136013.609999999</v>
      </c>
      <c r="G688" s="7" t="s">
        <v>225</v>
      </c>
      <c r="H688" s="53"/>
      <c r="I688" s="5" t="b">
        <f>IF(FINANCIACION[[#This Row],[$ CAPITAL]]&gt;0,FINANCIACION[[#This Row],[$ CAPITAL]])</f>
        <v>0</v>
      </c>
      <c r="J688" s="33">
        <f>IF(FINANCIACION[[#This Row],[$ CAPITAL]]&gt;=0,FINANCIACION[[#This Row],[$ CAPITAL]]+FINANCIACION[[#This Row],[$ INTERESES]],0)</f>
        <v>0</v>
      </c>
    </row>
    <row r="689" spans="1:10" ht="24" hidden="1" customHeight="1" x14ac:dyDescent="0.3">
      <c r="A689" s="142">
        <v>44408</v>
      </c>
      <c r="B689" s="50" t="s">
        <v>826</v>
      </c>
      <c r="C689" s="5">
        <v>-556501.06000000238</v>
      </c>
      <c r="D689" s="5"/>
      <c r="E689" s="5" t="str">
        <f>+IF(FINANCIACION[[#This Row],[$ CAPITAL]]&gt;=0,FINANCIACION[[#This Row],[$ CAPITAL]]+FINANCIACION[[#This Row],[$ INTERESES]],"")</f>
        <v/>
      </c>
      <c r="F689" s="5">
        <f>+SUMIFS(FINANCIACION[$ CAPITAL],FINANCIACION[Fecha],"&lt;="&amp;FINANCIACION[[#This Row],[Fecha]],FINANCIACION[PRESTAMO],FINANCIACION[[#This Row],[PRESTAMO]])</f>
        <v>-72716430.010000005</v>
      </c>
      <c r="G689" s="7" t="s">
        <v>225</v>
      </c>
      <c r="H689" s="53"/>
      <c r="I689" s="5" t="b">
        <f>IF(FINANCIACION[[#This Row],[$ CAPITAL]]&gt;0,FINANCIACION[[#This Row],[$ CAPITAL]])</f>
        <v>0</v>
      </c>
      <c r="J689" s="33">
        <f>IF(FINANCIACION[[#This Row],[$ CAPITAL]]&gt;=0,FINANCIACION[[#This Row],[$ CAPITAL]]+FINANCIACION[[#This Row],[$ INTERESES]],0)</f>
        <v>0</v>
      </c>
    </row>
    <row r="690" spans="1:10" ht="24" hidden="1" customHeight="1" x14ac:dyDescent="0.3">
      <c r="A690" s="142">
        <v>44408</v>
      </c>
      <c r="B690" s="50" t="s">
        <v>822</v>
      </c>
      <c r="C690" s="5">
        <v>-184703.77999999374</v>
      </c>
      <c r="D690" s="5"/>
      <c r="E690" s="5" t="str">
        <f>+IF(FINANCIACION[[#This Row],[$ CAPITAL]]&gt;=0,FINANCIACION[[#This Row],[$ CAPITAL]]+FINANCIACION[[#This Row],[$ INTERESES]],"")</f>
        <v/>
      </c>
      <c r="F690" s="5">
        <f>+SUMIFS(FINANCIACION[$ CAPITAL],FINANCIACION[Fecha],"&lt;="&amp;FINANCIACION[[#This Row],[Fecha]],FINANCIACION[PRESTAMO],FINANCIACION[[#This Row],[PRESTAMO]])</f>
        <v>-27093375.809999991</v>
      </c>
      <c r="G690" s="7" t="s">
        <v>225</v>
      </c>
      <c r="H690" s="53"/>
      <c r="I690" s="5" t="b">
        <f>IF(FINANCIACION[[#This Row],[$ CAPITAL]]&gt;0,FINANCIACION[[#This Row],[$ CAPITAL]])</f>
        <v>0</v>
      </c>
      <c r="J690" s="33">
        <f>IF(FINANCIACION[[#This Row],[$ CAPITAL]]&gt;=0,FINANCIACION[[#This Row],[$ CAPITAL]]+FINANCIACION[[#This Row],[$ INTERESES]],0)</f>
        <v>0</v>
      </c>
    </row>
    <row r="691" spans="1:10" ht="24" hidden="1" customHeight="1" x14ac:dyDescent="0.3">
      <c r="A691" s="142">
        <v>44408</v>
      </c>
      <c r="B691" s="50" t="s">
        <v>195</v>
      </c>
      <c r="C691" s="5">
        <v>-1348569</v>
      </c>
      <c r="D691" s="5"/>
      <c r="E691" s="5" t="str">
        <f>+IF(FINANCIACION[[#This Row],[$ CAPITAL]]&gt;=0,FINANCIACION[[#This Row],[$ CAPITAL]]+FINANCIACION[[#This Row],[$ INTERESES]],"")</f>
        <v/>
      </c>
      <c r="F691" s="5">
        <f>+SUMIFS(FINANCIACION[$ CAPITAL],FINANCIACION[Fecha],"&lt;="&amp;FINANCIACION[[#This Row],[Fecha]],FINANCIACION[PRESTAMO],FINANCIACION[[#This Row],[PRESTAMO]])</f>
        <v>-1273328</v>
      </c>
      <c r="G691" s="7" t="s">
        <v>225</v>
      </c>
      <c r="H691" s="53"/>
      <c r="I691" s="5" t="b">
        <f>IF(FINANCIACION[[#This Row],[$ CAPITAL]]&gt;0,FINANCIACION[[#This Row],[$ CAPITAL]])</f>
        <v>0</v>
      </c>
      <c r="J691" s="8">
        <f>IF(FINANCIACION[[#This Row],[$ CAPITAL]]&gt;=0,FINANCIACION[[#This Row],[$ CAPITAL]]+FINANCIACION[[#This Row],[$ INTERESES]],0)</f>
        <v>0</v>
      </c>
    </row>
    <row r="692" spans="1:10" ht="24" hidden="1" customHeight="1" x14ac:dyDescent="0.3">
      <c r="A692" s="142">
        <v>44408</v>
      </c>
      <c r="B692" s="50" t="s">
        <v>196</v>
      </c>
      <c r="C692" s="5">
        <v>-11578020</v>
      </c>
      <c r="D692" s="5"/>
      <c r="E692" s="5" t="str">
        <f>+IF(FINANCIACION[[#This Row],[$ CAPITAL]]&gt;=0,FINANCIACION[[#This Row],[$ CAPITAL]]+FINANCIACION[[#This Row],[$ INTERESES]],"")</f>
        <v/>
      </c>
      <c r="F692" s="5">
        <f>+SUMIFS(FINANCIACION[$ CAPITAL],FINANCIACION[Fecha],"&lt;="&amp;FINANCIACION[[#This Row],[Fecha]],FINANCIACION[PRESTAMO],FINANCIACION[[#This Row],[PRESTAMO]])</f>
        <v>-27693900</v>
      </c>
      <c r="G692" s="7" t="s">
        <v>225</v>
      </c>
      <c r="H692" s="53"/>
      <c r="I692" s="5" t="b">
        <f>IF(FINANCIACION[[#This Row],[$ CAPITAL]]&gt;0,FINANCIACION[[#This Row],[$ CAPITAL]])</f>
        <v>0</v>
      </c>
      <c r="J692" s="8">
        <f>IF(FINANCIACION[[#This Row],[$ CAPITAL]]&gt;=0,FINANCIACION[[#This Row],[$ CAPITAL]]+FINANCIACION[[#This Row],[$ INTERESES]],0)</f>
        <v>0</v>
      </c>
    </row>
    <row r="693" spans="1:10" ht="24" hidden="1" customHeight="1" x14ac:dyDescent="0.3">
      <c r="A693" s="142">
        <v>44408</v>
      </c>
      <c r="B693" s="50" t="s">
        <v>197</v>
      </c>
      <c r="C693" s="5">
        <v>-992237</v>
      </c>
      <c r="D693" s="5"/>
      <c r="E693" s="5" t="str">
        <f>+IF(FINANCIACION[[#This Row],[$ CAPITAL]]&gt;=0,FINANCIACION[[#This Row],[$ CAPITAL]]+FINANCIACION[[#This Row],[$ INTERESES]],"")</f>
        <v/>
      </c>
      <c r="F693" s="5">
        <f>+SUMIFS(FINANCIACION[$ CAPITAL],FINANCIACION[Fecha],"&lt;="&amp;FINANCIACION[[#This Row],[Fecha]],FINANCIACION[PRESTAMO],FINANCIACION[[#This Row],[PRESTAMO]])</f>
        <v>-3911800</v>
      </c>
      <c r="G693" s="7" t="s">
        <v>225</v>
      </c>
      <c r="H693" s="53"/>
      <c r="I693" s="5" t="b">
        <f>IF(FINANCIACION[[#This Row],[$ CAPITAL]]&gt;0,FINANCIACION[[#This Row],[$ CAPITAL]])</f>
        <v>0</v>
      </c>
      <c r="J693" s="8">
        <f>IF(FINANCIACION[[#This Row],[$ CAPITAL]]&gt;=0,FINANCIACION[[#This Row],[$ CAPITAL]]+FINANCIACION[[#This Row],[$ INTERESES]],0)</f>
        <v>0</v>
      </c>
    </row>
    <row r="694" spans="1:10" ht="24" hidden="1" customHeight="1" x14ac:dyDescent="0.3">
      <c r="A694" s="142">
        <v>44410</v>
      </c>
      <c r="B694" s="50" t="s">
        <v>187</v>
      </c>
      <c r="C694" s="5">
        <v>1468400</v>
      </c>
      <c r="D694" s="5">
        <v>455909</v>
      </c>
      <c r="E694" s="5">
        <f>+IF(FINANCIACION[[#This Row],[$ CAPITAL]]&gt;=0,FINANCIACION[[#This Row],[$ CAPITAL]]+FINANCIACION[[#This Row],[$ INTERESES]],"")</f>
        <v>1924309</v>
      </c>
      <c r="F694" s="5">
        <f>+SUMIFS(FINANCIACION[$ CAPITAL],FINANCIACION[Fecha],"&lt;="&amp;FINANCIACION[[#This Row],[Fecha]],FINANCIACION[PRESTAMO],FINANCIACION[[#This Row],[PRESTAMO]])</f>
        <v>-46988800</v>
      </c>
      <c r="G694" s="7"/>
      <c r="H694" s="53"/>
      <c r="I694" s="5">
        <f>IF(FINANCIACION[[#This Row],[$ CAPITAL]]&gt;0,FINANCIACION[[#This Row],[$ CAPITAL]])</f>
        <v>1468400</v>
      </c>
      <c r="J694" s="8">
        <f>IF(FINANCIACION[[#This Row],[$ CAPITAL]]&gt;=0,FINANCIACION[[#This Row],[$ CAPITAL]]+FINANCIACION[[#This Row],[$ INTERESES]],0)</f>
        <v>1924309</v>
      </c>
    </row>
    <row r="695" spans="1:10" ht="24" hidden="1" customHeight="1" x14ac:dyDescent="0.3">
      <c r="A695" s="142">
        <v>44410</v>
      </c>
      <c r="B695" s="50" t="s">
        <v>188</v>
      </c>
      <c r="C695" s="5">
        <v>76791</v>
      </c>
      <c r="D695" s="5"/>
      <c r="E695" s="5">
        <f>+IF(FINANCIACION[[#This Row],[$ CAPITAL]]&gt;=0,FINANCIACION[[#This Row],[$ CAPITAL]]+FINANCIACION[[#This Row],[$ INTERESES]],"")</f>
        <v>76791</v>
      </c>
      <c r="F695" s="5">
        <f>+SUMIFS(FINANCIACION[$ CAPITAL],FINANCIACION[Fecha],"&lt;="&amp;FINANCIACION[[#This Row],[Fecha]],FINANCIACION[PRESTAMO],FINANCIACION[[#This Row],[PRESTAMO]])</f>
        <v>-2457312</v>
      </c>
      <c r="G695" s="7"/>
      <c r="H695" s="53"/>
      <c r="I695" s="5">
        <f>IF(FINANCIACION[[#This Row],[$ CAPITAL]]&gt;0,FINANCIACION[[#This Row],[$ CAPITAL]])</f>
        <v>76791</v>
      </c>
      <c r="J695" s="8">
        <f>IF(FINANCIACION[[#This Row],[$ CAPITAL]]&gt;=0,FINANCIACION[[#This Row],[$ CAPITAL]]+FINANCIACION[[#This Row],[$ INTERESES]],0)</f>
        <v>76791</v>
      </c>
    </row>
    <row r="696" spans="1:10" ht="24" hidden="1" customHeight="1" x14ac:dyDescent="0.3">
      <c r="A696" s="142">
        <v>44414</v>
      </c>
      <c r="B696" s="50" t="s">
        <v>191</v>
      </c>
      <c r="C696" s="5">
        <v>6326000</v>
      </c>
      <c r="D696" s="5">
        <v>316768.87</v>
      </c>
      <c r="E696" s="5">
        <f>+IF(FINANCIACION[[#This Row],[$ CAPITAL]]&gt;=0,FINANCIACION[[#This Row],[$ CAPITAL]]+FINANCIACION[[#This Row],[$ INTERESES]],"")</f>
        <v>6642768.8700000001</v>
      </c>
      <c r="F696" s="5">
        <f>+SUMIFS(FINANCIACION[$ CAPITAL],FINANCIACION[Fecha],"&lt;="&amp;FINANCIACION[[#This Row],[Fecha]],FINANCIACION[PRESTAMO],FINANCIACION[[#This Row],[PRESTAMO]])</f>
        <v>-41387126</v>
      </c>
      <c r="G696" s="7"/>
      <c r="H696" s="53"/>
      <c r="I696" s="5">
        <f>IF(FINANCIACION[[#This Row],[$ CAPITAL]]&gt;0,FINANCIACION[[#This Row],[$ CAPITAL]])</f>
        <v>6326000</v>
      </c>
      <c r="J696" s="8">
        <f>IF(FINANCIACION[[#This Row],[$ CAPITAL]]&gt;=0,FINANCIACION[[#This Row],[$ CAPITAL]]+FINANCIACION[[#This Row],[$ INTERESES]],0)</f>
        <v>6642768.8700000001</v>
      </c>
    </row>
    <row r="697" spans="1:10" ht="24" hidden="1" customHeight="1" x14ac:dyDescent="0.3">
      <c r="A697" s="142">
        <v>44414</v>
      </c>
      <c r="B697" s="50" t="s">
        <v>195</v>
      </c>
      <c r="C697" s="5">
        <v>1200000</v>
      </c>
      <c r="D697" s="5"/>
      <c r="E697" s="5">
        <f>+IF(FINANCIACION[[#This Row],[$ CAPITAL]]&gt;=0,FINANCIACION[[#This Row],[$ CAPITAL]]+FINANCIACION[[#This Row],[$ INTERESES]],"")</f>
        <v>1200000</v>
      </c>
      <c r="F697" s="5">
        <f>+SUMIFS(FINANCIACION[$ CAPITAL],FINANCIACION[Fecha],"&lt;="&amp;FINANCIACION[[#This Row],[Fecha]],FINANCIACION[PRESTAMO],FINANCIACION[[#This Row],[PRESTAMO]])</f>
        <v>-73328</v>
      </c>
      <c r="G697" s="53"/>
      <c r="H697" s="53"/>
      <c r="I697" s="5">
        <f>IF(FINANCIACION[[#This Row],[$ CAPITAL]]&gt;0,FINANCIACION[[#This Row],[$ CAPITAL]])</f>
        <v>1200000</v>
      </c>
      <c r="J697" s="33">
        <f>IF(FINANCIACION[[#This Row],[$ CAPITAL]]&gt;=0,FINANCIACION[[#This Row],[$ CAPITAL]]+FINANCIACION[[#This Row],[$ INTERESES]],0)</f>
        <v>1200000</v>
      </c>
    </row>
    <row r="698" spans="1:10" ht="24" hidden="1" customHeight="1" x14ac:dyDescent="0.3">
      <c r="A698" s="142">
        <v>44414</v>
      </c>
      <c r="B698" s="50" t="s">
        <v>196</v>
      </c>
      <c r="C698" s="5">
        <v>3910810</v>
      </c>
      <c r="D698" s="5"/>
      <c r="E698" s="5">
        <f>+IF(FINANCIACION[[#This Row],[$ CAPITAL]]&gt;=0,FINANCIACION[[#This Row],[$ CAPITAL]]+FINANCIACION[[#This Row],[$ INTERESES]],"")</f>
        <v>3910810</v>
      </c>
      <c r="F698" s="5">
        <f>+SUMIFS(FINANCIACION[$ CAPITAL],FINANCIACION[Fecha],"&lt;="&amp;FINANCIACION[[#This Row],[Fecha]],FINANCIACION[PRESTAMO],FINANCIACION[[#This Row],[PRESTAMO]])</f>
        <v>-23783090</v>
      </c>
      <c r="G698" s="53"/>
      <c r="H698" s="53"/>
      <c r="I698" s="5">
        <f>IF(FINANCIACION[[#This Row],[$ CAPITAL]]&gt;0,FINANCIACION[[#This Row],[$ CAPITAL]])</f>
        <v>3910810</v>
      </c>
      <c r="J698" s="33">
        <f>IF(FINANCIACION[[#This Row],[$ CAPITAL]]&gt;=0,FINANCIACION[[#This Row],[$ CAPITAL]]+FINANCIACION[[#This Row],[$ INTERESES]],0)</f>
        <v>3910810</v>
      </c>
    </row>
    <row r="699" spans="1:10" ht="24" hidden="1" customHeight="1" x14ac:dyDescent="0.3">
      <c r="A699" s="142">
        <v>44414</v>
      </c>
      <c r="B699" s="50" t="s">
        <v>197</v>
      </c>
      <c r="C699" s="5">
        <v>2500000</v>
      </c>
      <c r="D699" s="5"/>
      <c r="E699" s="5">
        <f>+IF(FINANCIACION[[#This Row],[$ CAPITAL]]&gt;=0,FINANCIACION[[#This Row],[$ CAPITAL]]+FINANCIACION[[#This Row],[$ INTERESES]],"")</f>
        <v>2500000</v>
      </c>
      <c r="F699" s="5">
        <f>+SUMIFS(FINANCIACION[$ CAPITAL],FINANCIACION[Fecha],"&lt;="&amp;FINANCIACION[[#This Row],[Fecha]],FINANCIACION[PRESTAMO],FINANCIACION[[#This Row],[PRESTAMO]])</f>
        <v>-1411800</v>
      </c>
      <c r="G699" s="53"/>
      <c r="H699" s="53"/>
      <c r="I699" s="5">
        <f>IF(FINANCIACION[[#This Row],[$ CAPITAL]]&gt;0,FINANCIACION[[#This Row],[$ CAPITAL]])</f>
        <v>2500000</v>
      </c>
      <c r="J699" s="33">
        <f>IF(FINANCIACION[[#This Row],[$ CAPITAL]]&gt;=0,FINANCIACION[[#This Row],[$ CAPITAL]]+FINANCIACION[[#This Row],[$ INTERESES]],0)</f>
        <v>2500000</v>
      </c>
    </row>
    <row r="700" spans="1:10" ht="24" hidden="1" customHeight="1" x14ac:dyDescent="0.3">
      <c r="A700" s="142">
        <v>44420</v>
      </c>
      <c r="B700" s="50" t="s">
        <v>834</v>
      </c>
      <c r="C700" s="5">
        <v>-40000000</v>
      </c>
      <c r="D700" s="5"/>
      <c r="E700" s="5" t="str">
        <f>+IF(FINANCIACION[[#This Row],[$ CAPITAL]]&gt;=0,FINANCIACION[[#This Row],[$ CAPITAL]]+FINANCIACION[[#This Row],[$ INTERESES]],"")</f>
        <v/>
      </c>
      <c r="F700" s="5">
        <f>+SUMIFS(FINANCIACION[$ CAPITAL],FINANCIACION[Fecha],"&lt;="&amp;FINANCIACION[[#This Row],[Fecha]],FINANCIACION[PRESTAMO],FINANCIACION[[#This Row],[PRESTAMO]])</f>
        <v>-40000000</v>
      </c>
      <c r="G700" s="7" t="s">
        <v>417</v>
      </c>
      <c r="H700" s="53"/>
      <c r="I700" s="5" t="b">
        <f>IF(FINANCIACION[[#This Row],[$ CAPITAL]]&gt;0,FINANCIACION[[#This Row],[$ CAPITAL]])</f>
        <v>0</v>
      </c>
      <c r="J700" s="33">
        <f>IF(FINANCIACION[[#This Row],[$ CAPITAL]]&gt;=0,FINANCIACION[[#This Row],[$ CAPITAL]]+FINANCIACION[[#This Row],[$ INTERESES]],0)</f>
        <v>0</v>
      </c>
    </row>
    <row r="701" spans="1:10" ht="24" hidden="1" customHeight="1" x14ac:dyDescent="0.3">
      <c r="A701" s="142">
        <v>44421</v>
      </c>
      <c r="B701" s="50" t="s">
        <v>196</v>
      </c>
      <c r="C701" s="5">
        <v>3887070</v>
      </c>
      <c r="D701" s="5"/>
      <c r="E701" s="5">
        <f>+IF(FINANCIACION[[#This Row],[$ CAPITAL]]&gt;=0,FINANCIACION[[#This Row],[$ CAPITAL]]+FINANCIACION[[#This Row],[$ INTERESES]],"")</f>
        <v>3887070</v>
      </c>
      <c r="F701" s="5">
        <f>+SUMIFS(FINANCIACION[$ CAPITAL],FINANCIACION[Fecha],"&lt;="&amp;FINANCIACION[[#This Row],[Fecha]],FINANCIACION[PRESTAMO],FINANCIACION[[#This Row],[PRESTAMO]])</f>
        <v>-19896020</v>
      </c>
      <c r="G701" s="53"/>
      <c r="H701" s="53"/>
      <c r="I701" s="5">
        <f>IF(FINANCIACION[[#This Row],[$ CAPITAL]]&gt;0,FINANCIACION[[#This Row],[$ CAPITAL]])</f>
        <v>3887070</v>
      </c>
      <c r="J701" s="33">
        <f>IF(FINANCIACION[[#This Row],[$ CAPITAL]]&gt;=0,FINANCIACION[[#This Row],[$ CAPITAL]]+FINANCIACION[[#This Row],[$ INTERESES]],0)</f>
        <v>3887070</v>
      </c>
    </row>
    <row r="702" spans="1:10" ht="24" hidden="1" customHeight="1" x14ac:dyDescent="0.3">
      <c r="A702" s="142">
        <v>44422</v>
      </c>
      <c r="B702" s="50" t="s">
        <v>819</v>
      </c>
      <c r="C702" s="5">
        <v>1878599.0670640841</v>
      </c>
      <c r="D702" s="5">
        <v>788778.932935916</v>
      </c>
      <c r="E702" s="5">
        <f>+IF(FINANCIACION[[#This Row],[$ CAPITAL]]&gt;=0,FINANCIACION[[#This Row],[$ CAPITAL]]+FINANCIACION[[#This Row],[$ INTERESES]],"")</f>
        <v>2667378</v>
      </c>
      <c r="F702" s="5">
        <f>+SUMIFS(FINANCIACION[$ CAPITAL],FINANCIACION[Fecha],"&lt;="&amp;FINANCIACION[[#This Row],[Fecha]],FINANCIACION[PRESTAMO],FINANCIACION[[#This Row],[PRESTAMO]])</f>
        <v>-76999294.226527512</v>
      </c>
      <c r="G702" s="53"/>
      <c r="H702" s="53"/>
      <c r="I702" s="5">
        <f>IF(FINANCIACION[[#This Row],[$ CAPITAL]]&gt;0,FINANCIACION[[#This Row],[$ CAPITAL]])</f>
        <v>1878599.0670640841</v>
      </c>
      <c r="J702" s="33">
        <f>IF(FINANCIACION[[#This Row],[$ CAPITAL]]&gt;=0,FINANCIACION[[#This Row],[$ CAPITAL]]+FINANCIACION[[#This Row],[$ INTERESES]],0)</f>
        <v>2667378</v>
      </c>
    </row>
    <row r="703" spans="1:10" ht="24" hidden="1" customHeight="1" x14ac:dyDescent="0.3">
      <c r="A703" s="142">
        <v>44425</v>
      </c>
      <c r="B703" s="50" t="s">
        <v>830</v>
      </c>
      <c r="C703" s="5"/>
      <c r="D703" s="5">
        <v>130000</v>
      </c>
      <c r="E703" s="5">
        <f>+IF(FINANCIACION[[#This Row],[$ CAPITAL]]&gt;=0,FINANCIACION[[#This Row],[$ CAPITAL]]+FINANCIACION[[#This Row],[$ INTERESES]],"")</f>
        <v>130000</v>
      </c>
      <c r="F703" s="5">
        <f>+SUMIFS(FINANCIACION[$ CAPITAL],FINANCIACION[Fecha],"&lt;="&amp;FINANCIACION[[#This Row],[Fecha]],FINANCIACION[PRESTAMO],FINANCIACION[[#This Row],[PRESTAMO]])</f>
        <v>-13000000</v>
      </c>
      <c r="G703" s="53"/>
      <c r="H703" s="53"/>
      <c r="I703" s="5" t="b">
        <f>IF(FINANCIACION[[#This Row],[$ CAPITAL]]&gt;0,FINANCIACION[[#This Row],[$ CAPITAL]])</f>
        <v>0</v>
      </c>
      <c r="J703" s="33">
        <f>IF(FINANCIACION[[#This Row],[$ CAPITAL]]&gt;=0,FINANCIACION[[#This Row],[$ CAPITAL]]+FINANCIACION[[#This Row],[$ INTERESES]],0)</f>
        <v>130000</v>
      </c>
    </row>
    <row r="704" spans="1:10" ht="24" hidden="1" customHeight="1" x14ac:dyDescent="0.3">
      <c r="A704" s="142">
        <v>44425</v>
      </c>
      <c r="B704" s="50" t="s">
        <v>823</v>
      </c>
      <c r="C704" s="5">
        <v>727590.32379200007</v>
      </c>
      <c r="D704" s="5">
        <v>572409.67620799993</v>
      </c>
      <c r="E704" s="5">
        <f>+IF(FINANCIACION[[#This Row],[$ CAPITAL]]&gt;=0,FINANCIACION[[#This Row],[$ CAPITAL]]+FINANCIACION[[#This Row],[$ INTERESES]],"")</f>
        <v>1300000</v>
      </c>
      <c r="F704" s="5">
        <f>+SUMIFS(FINANCIACION[$ CAPITAL],FINANCIACION[Fecha],"&lt;="&amp;FINANCIACION[[#This Row],[Fecha]],FINANCIACION[PRESTAMO],FINANCIACION[[#This Row],[PRESTAMO]])</f>
        <v>-56513377.297007993</v>
      </c>
      <c r="G704" s="53"/>
      <c r="H704" s="53"/>
      <c r="I704" s="5">
        <f>IF(FINANCIACION[[#This Row],[$ CAPITAL]]&gt;0,FINANCIACION[[#This Row],[$ CAPITAL]])</f>
        <v>727590.32379200007</v>
      </c>
      <c r="J704" s="33">
        <f>IF(FINANCIACION[[#This Row],[$ CAPITAL]]&gt;=0,FINANCIACION[[#This Row],[$ CAPITAL]]+FINANCIACION[[#This Row],[$ INTERESES]],0)</f>
        <v>1300000</v>
      </c>
    </row>
    <row r="705" spans="1:34" ht="24" hidden="1" customHeight="1" x14ac:dyDescent="0.3">
      <c r="A705" s="142">
        <v>44425</v>
      </c>
      <c r="B705" s="50" t="s">
        <v>820</v>
      </c>
      <c r="C705" s="5">
        <v>472099.1033943186</v>
      </c>
      <c r="D705" s="5">
        <v>727900.8966056814</v>
      </c>
      <c r="E705" s="5">
        <f>+IF(FINANCIACION[[#This Row],[$ CAPITAL]]&gt;=0,FINANCIACION[[#This Row],[$ CAPITAL]]+FINANCIACION[[#This Row],[$ INTERESES]],"")</f>
        <v>1200000</v>
      </c>
      <c r="F705" s="5">
        <f>+SUMIFS(FINANCIACION[$ CAPITAL],FINANCIACION[Fecha],"&lt;="&amp;FINANCIACION[[#This Row],[Fecha]],FINANCIACION[PRESTAMO],FINANCIACION[[#This Row],[PRESTAMO]])</f>
        <v>-72488678.417173818</v>
      </c>
      <c r="G705" s="53"/>
      <c r="H705" s="53"/>
      <c r="I705" s="204">
        <f>IF(FINANCIACION[[#This Row],[$ CAPITAL]]&gt;0,FINANCIACION[[#This Row],[$ CAPITAL]])</f>
        <v>472099.1033943186</v>
      </c>
      <c r="J705" s="209">
        <f>IF(FINANCIACION[[#This Row],[$ CAPITAL]]&gt;=0,FINANCIACION[[#This Row],[$ CAPITAL]]+FINANCIACION[[#This Row],[$ INTERESES]],0)</f>
        <v>1200000</v>
      </c>
      <c r="K705" s="205"/>
      <c r="L705" s="205"/>
      <c r="M705" s="205"/>
      <c r="N705" s="206"/>
      <c r="O705" s="210"/>
      <c r="P705" s="205"/>
      <c r="Q705" s="205"/>
      <c r="R705" s="205"/>
      <c r="S705" s="205"/>
      <c r="T705" s="205"/>
      <c r="U705" s="205"/>
      <c r="V705" s="205"/>
      <c r="W705" s="205"/>
      <c r="X705" s="205"/>
      <c r="Y705" s="205"/>
      <c r="Z705" s="205"/>
      <c r="AA705" s="205"/>
      <c r="AB705" s="205"/>
      <c r="AC705" s="205"/>
      <c r="AD705" s="205"/>
      <c r="AE705" s="205"/>
      <c r="AF705" s="205"/>
      <c r="AG705" s="205"/>
      <c r="AH705" s="205"/>
    </row>
    <row r="706" spans="1:34" ht="24" hidden="1" customHeight="1" x14ac:dyDescent="0.3">
      <c r="A706" s="142">
        <v>44425</v>
      </c>
      <c r="B706" s="50" t="s">
        <v>832</v>
      </c>
      <c r="C706" s="5"/>
      <c r="D706" s="5">
        <v>120000</v>
      </c>
      <c r="E706" s="5">
        <f>+IF(FINANCIACION[[#This Row],[$ CAPITAL]]&gt;=0,FINANCIACION[[#This Row],[$ CAPITAL]]+FINANCIACION[[#This Row],[$ INTERESES]],"")</f>
        <v>120000</v>
      </c>
      <c r="F706" s="5">
        <f>+SUMIFS(FINANCIACION[$ CAPITAL],FINANCIACION[Fecha],"&lt;="&amp;FINANCIACION[[#This Row],[Fecha]],FINANCIACION[PRESTAMO],FINANCIACION[[#This Row],[PRESTAMO]])</f>
        <v>-12000000</v>
      </c>
      <c r="G706" s="7"/>
      <c r="H706" s="53"/>
      <c r="I706" s="5" t="b">
        <f>IF(FINANCIACION[[#This Row],[$ CAPITAL]]&gt;0,FINANCIACION[[#This Row],[$ CAPITAL]])</f>
        <v>0</v>
      </c>
      <c r="J706" s="33">
        <f>IF(FINANCIACION[[#This Row],[$ CAPITAL]]&gt;=0,FINANCIACION[[#This Row],[$ CAPITAL]]+FINANCIACION[[#This Row],[$ INTERESES]],0)</f>
        <v>120000</v>
      </c>
    </row>
    <row r="707" spans="1:34" ht="24" hidden="1" customHeight="1" x14ac:dyDescent="0.3">
      <c r="A707" s="142">
        <v>44425</v>
      </c>
      <c r="B707" s="50" t="s">
        <v>194</v>
      </c>
      <c r="C707" s="5"/>
      <c r="D707" s="5">
        <v>227850</v>
      </c>
      <c r="E707" s="5">
        <f>+IF(FINANCIACION[[#This Row],[$ CAPITAL]]&gt;=0,FINANCIACION[[#This Row],[$ CAPITAL]]+FINANCIACION[[#This Row],[$ INTERESES]],"")</f>
        <v>227850</v>
      </c>
      <c r="F707" s="5">
        <f>+SUMIFS(FINANCIACION[$ CAPITAL],FINANCIACION[Fecha],"&lt;="&amp;FINANCIACION[[#This Row],[Fecha]],FINANCIACION[PRESTAMO],FINANCIACION[[#This Row],[PRESTAMO]])</f>
        <v>-35000000</v>
      </c>
      <c r="G707" s="7"/>
      <c r="H707" s="53"/>
      <c r="I707" s="5" t="b">
        <f>IF(FINANCIACION[[#This Row],[$ CAPITAL]]&gt;0,FINANCIACION[[#This Row],[$ CAPITAL]])</f>
        <v>0</v>
      </c>
      <c r="J707" s="33">
        <f>IF(FINANCIACION[[#This Row],[$ CAPITAL]]&gt;=0,FINANCIACION[[#This Row],[$ CAPITAL]]+FINANCIACION[[#This Row],[$ INTERESES]],0)</f>
        <v>227850</v>
      </c>
    </row>
    <row r="708" spans="1:34" ht="24" hidden="1" customHeight="1" x14ac:dyDescent="0.3">
      <c r="A708" s="142">
        <v>44426</v>
      </c>
      <c r="B708" s="50" t="s">
        <v>833</v>
      </c>
      <c r="C708" s="5">
        <v>1233101.4399999976</v>
      </c>
      <c r="D708" s="5">
        <v>4898.5600000023842</v>
      </c>
      <c r="E708" s="5">
        <f>+IF(FINANCIACION[[#This Row],[$ CAPITAL]]&gt;=0,FINANCIACION[[#This Row],[$ CAPITAL]]+FINANCIACION[[#This Row],[$ INTERESES]],"")</f>
        <v>1238000</v>
      </c>
      <c r="F708" s="5">
        <f>+SUMIFS(FINANCIACION[$ CAPITAL],FINANCIACION[Fecha],"&lt;="&amp;FINANCIACION[[#This Row],[Fecha]],FINANCIACION[PRESTAMO],FINANCIACION[[#This Row],[PRESTAMO]])</f>
        <v>-22486676.970000003</v>
      </c>
      <c r="G708" s="7"/>
      <c r="H708" s="53"/>
      <c r="I708" s="5">
        <f>IF(FINANCIACION[[#This Row],[$ CAPITAL]]&gt;0,FINANCIACION[[#This Row],[$ CAPITAL]])</f>
        <v>1233101.4399999976</v>
      </c>
      <c r="J708" s="33">
        <f>IF(FINANCIACION[[#This Row],[$ CAPITAL]]&gt;=0,FINANCIACION[[#This Row],[$ CAPITAL]]+FINANCIACION[[#This Row],[$ INTERESES]],0)</f>
        <v>1238000</v>
      </c>
    </row>
    <row r="709" spans="1:34" ht="24" hidden="1" customHeight="1" x14ac:dyDescent="0.3">
      <c r="A709" s="142">
        <v>44426</v>
      </c>
      <c r="B709" s="50" t="s">
        <v>827</v>
      </c>
      <c r="C709" s="5">
        <v>988729.23999999836</v>
      </c>
      <c r="D709" s="5">
        <v>4270.7600000016391</v>
      </c>
      <c r="E709" s="5">
        <f>+IF(FINANCIACION[[#This Row],[$ CAPITAL]]&gt;=0,FINANCIACION[[#This Row],[$ CAPITAL]]+FINANCIACION[[#This Row],[$ INTERESES]],"")</f>
        <v>993000</v>
      </c>
      <c r="F709" s="5">
        <f>+SUMIFS(FINANCIACION[$ CAPITAL],FINANCIACION[Fecha],"&lt;="&amp;FINANCIACION[[#This Row],[Fecha]],FINANCIACION[PRESTAMO],FINANCIACION[[#This Row],[PRESTAMO]])</f>
        <v>-19449106.430000003</v>
      </c>
      <c r="G709" s="7"/>
      <c r="H709" s="53"/>
      <c r="I709" s="5">
        <f>IF(FINANCIACION[[#This Row],[$ CAPITAL]]&gt;0,FINANCIACION[[#This Row],[$ CAPITAL]])</f>
        <v>988729.23999999836</v>
      </c>
      <c r="J709" s="33">
        <f>IF(FINANCIACION[[#This Row],[$ CAPITAL]]&gt;=0,FINANCIACION[[#This Row],[$ CAPITAL]]+FINANCIACION[[#This Row],[$ INTERESES]],0)</f>
        <v>993000</v>
      </c>
    </row>
    <row r="710" spans="1:34" ht="24" hidden="1" customHeight="1" x14ac:dyDescent="0.3">
      <c r="A710" s="142">
        <v>44426</v>
      </c>
      <c r="B710" s="50" t="s">
        <v>829</v>
      </c>
      <c r="C710" s="5">
        <v>1040361.5199999996</v>
      </c>
      <c r="D710" s="5">
        <v>4638.480000000447</v>
      </c>
      <c r="E710" s="5">
        <f>+IF(FINANCIACION[[#This Row],[$ CAPITAL]]&gt;=0,FINANCIACION[[#This Row],[$ CAPITAL]]+FINANCIACION[[#This Row],[$ INTERESES]],"")</f>
        <v>1045000</v>
      </c>
      <c r="F710" s="5">
        <f>+SUMIFS(FINANCIACION[$ CAPITAL],FINANCIACION[Fecha],"&lt;="&amp;FINANCIACION[[#This Row],[Fecha]],FINANCIACION[PRESTAMO],FINANCIACION[[#This Row],[PRESTAMO]])</f>
        <v>-21288390.120000001</v>
      </c>
      <c r="G710" s="7"/>
      <c r="H710" s="53"/>
      <c r="I710" s="5">
        <f>IF(FINANCIACION[[#This Row],[$ CAPITAL]]&gt;0,FINANCIACION[[#This Row],[$ CAPITAL]])</f>
        <v>1040361.5199999996</v>
      </c>
      <c r="J710" s="33">
        <f>IF(FINANCIACION[[#This Row],[$ CAPITAL]]&gt;=0,FINANCIACION[[#This Row],[$ CAPITAL]]+FINANCIACION[[#This Row],[$ INTERESES]],0)</f>
        <v>1045000</v>
      </c>
    </row>
    <row r="711" spans="1:34" ht="24" hidden="1" customHeight="1" x14ac:dyDescent="0.3">
      <c r="A711" s="142">
        <v>44426</v>
      </c>
      <c r="B711" s="50" t="s">
        <v>825</v>
      </c>
      <c r="C711" s="5">
        <v>2504623.9299999997</v>
      </c>
      <c r="D711" s="5">
        <v>10376.070000000298</v>
      </c>
      <c r="E711" s="5">
        <f>+IF(FINANCIACION[[#This Row],[$ CAPITAL]]&gt;=0,FINANCIACION[[#This Row],[$ CAPITAL]]+FINANCIACION[[#This Row],[$ INTERESES]],"")</f>
        <v>2515000</v>
      </c>
      <c r="F711" s="5">
        <f>+SUMIFS(FINANCIACION[$ CAPITAL],FINANCIACION[Fecha],"&lt;="&amp;FINANCIACION[[#This Row],[Fecha]],FINANCIACION[PRESTAMO],FINANCIACION[[#This Row],[PRESTAMO]])</f>
        <v>-47631389.68</v>
      </c>
      <c r="G711" s="7"/>
      <c r="H711" s="53"/>
      <c r="I711" s="5">
        <f>IF(FINANCIACION[[#This Row],[$ CAPITAL]]&gt;0,FINANCIACION[[#This Row],[$ CAPITAL]])</f>
        <v>2504623.9299999997</v>
      </c>
      <c r="J711" s="33">
        <f>IF(FINANCIACION[[#This Row],[$ CAPITAL]]&gt;=0,FINANCIACION[[#This Row],[$ CAPITAL]]+FINANCIACION[[#This Row],[$ INTERESES]],0)</f>
        <v>2515000</v>
      </c>
    </row>
    <row r="712" spans="1:34" ht="24" hidden="1" customHeight="1" x14ac:dyDescent="0.3">
      <c r="A712" s="142">
        <v>44426</v>
      </c>
      <c r="B712" s="50" t="s">
        <v>826</v>
      </c>
      <c r="C712" s="5">
        <v>3688246.1700000018</v>
      </c>
      <c r="D712" s="5">
        <v>16753.829999998212</v>
      </c>
      <c r="E712" s="5">
        <f>+IF(FINANCIACION[[#This Row],[$ CAPITAL]]&gt;=0,FINANCIACION[[#This Row],[$ CAPITAL]]+FINANCIACION[[#This Row],[$ INTERESES]],"")</f>
        <v>3705000</v>
      </c>
      <c r="F712" s="5">
        <f>+SUMIFS(FINANCIACION[$ CAPITAL],FINANCIACION[Fecha],"&lt;="&amp;FINANCIACION[[#This Row],[Fecha]],FINANCIACION[PRESTAMO],FINANCIACION[[#This Row],[PRESTAMO]])</f>
        <v>-69028183.840000004</v>
      </c>
      <c r="G712" s="7"/>
      <c r="H712" s="53"/>
      <c r="I712" s="5">
        <f>IF(FINANCIACION[[#This Row],[$ CAPITAL]]&gt;0,FINANCIACION[[#This Row],[$ CAPITAL]])</f>
        <v>3688246.1700000018</v>
      </c>
      <c r="J712" s="33">
        <f>IF(FINANCIACION[[#This Row],[$ CAPITAL]]&gt;=0,FINANCIACION[[#This Row],[$ CAPITAL]]+FINANCIACION[[#This Row],[$ INTERESES]],0)</f>
        <v>3705000</v>
      </c>
    </row>
    <row r="713" spans="1:34" ht="24" hidden="1" customHeight="1" x14ac:dyDescent="0.3">
      <c r="A713" s="142">
        <v>44426</v>
      </c>
      <c r="B713" s="50" t="s">
        <v>821</v>
      </c>
      <c r="C713" s="5">
        <v>5709486</v>
      </c>
      <c r="D713" s="5">
        <v>242086</v>
      </c>
      <c r="E713" s="5">
        <f>+IF(FINANCIACION[[#This Row],[$ CAPITAL]]&gt;=0,FINANCIACION[[#This Row],[$ CAPITAL]]+FINANCIACION[[#This Row],[$ INTERESES]],"")</f>
        <v>5951572</v>
      </c>
      <c r="F713" s="5">
        <f>+SUMIFS(FINANCIACION[$ CAPITAL],FINANCIACION[Fecha],"&lt;="&amp;FINANCIACION[[#This Row],[Fecha]],FINANCIACION[PRESTAMO],FINANCIACION[[#This Row],[PRESTAMO]])</f>
        <v>-338735212</v>
      </c>
      <c r="G713" s="7"/>
      <c r="H713" s="53"/>
      <c r="I713" s="5">
        <f>IF(FINANCIACION[[#This Row],[$ CAPITAL]]&gt;0,FINANCIACION[[#This Row],[$ CAPITAL]])</f>
        <v>5709486</v>
      </c>
      <c r="J713" s="33">
        <f>IF(FINANCIACION[[#This Row],[$ CAPITAL]]&gt;=0,FINANCIACION[[#This Row],[$ CAPITAL]]+FINANCIACION[[#This Row],[$ INTERESES]],0)</f>
        <v>5951572</v>
      </c>
    </row>
    <row r="714" spans="1:34" ht="24" hidden="1" customHeight="1" x14ac:dyDescent="0.3">
      <c r="A714" s="142">
        <v>44426</v>
      </c>
      <c r="B714" s="50" t="s">
        <v>822</v>
      </c>
      <c r="C714" s="5">
        <v>1487315.6400000006</v>
      </c>
      <c r="D714" s="5">
        <v>5684.359999999404</v>
      </c>
      <c r="E714" s="5">
        <f>+IF(FINANCIACION[[#This Row],[$ CAPITAL]]&gt;=0,FINANCIACION[[#This Row],[$ CAPITAL]]+FINANCIACION[[#This Row],[$ INTERESES]],"")</f>
        <v>1493000</v>
      </c>
      <c r="F714" s="5">
        <f>+SUMIFS(FINANCIACION[$ CAPITAL],FINANCIACION[Fecha],"&lt;="&amp;FINANCIACION[[#This Row],[Fecha]],FINANCIACION[PRESTAMO],FINANCIACION[[#This Row],[PRESTAMO]])</f>
        <v>-25606060.169999991</v>
      </c>
      <c r="G714" s="7"/>
      <c r="H714" s="53"/>
      <c r="I714" s="5">
        <f>IF(FINANCIACION[[#This Row],[$ CAPITAL]]&gt;0,FINANCIACION[[#This Row],[$ CAPITAL]])</f>
        <v>1487315.6400000006</v>
      </c>
      <c r="J714" s="33">
        <f>IF(FINANCIACION[[#This Row],[$ CAPITAL]]&gt;=0,FINANCIACION[[#This Row],[$ CAPITAL]]+FINANCIACION[[#This Row],[$ INTERESES]],0)</f>
        <v>1493000</v>
      </c>
    </row>
    <row r="715" spans="1:34" ht="24" hidden="1" customHeight="1" x14ac:dyDescent="0.3">
      <c r="A715" s="142">
        <v>44426</v>
      </c>
      <c r="B715" s="50" t="s">
        <v>195</v>
      </c>
      <c r="C715" s="5">
        <v>74118</v>
      </c>
      <c r="D715" s="5"/>
      <c r="E715" s="5">
        <f>+IF(FINANCIACION[[#This Row],[$ CAPITAL]]&gt;=0,FINANCIACION[[#This Row],[$ CAPITAL]]+FINANCIACION[[#This Row],[$ INTERESES]],"")</f>
        <v>74118</v>
      </c>
      <c r="F715" s="5">
        <f>+SUMIFS(FINANCIACION[$ CAPITAL],FINANCIACION[Fecha],"&lt;="&amp;FINANCIACION[[#This Row],[Fecha]],FINANCIACION[PRESTAMO],FINANCIACION[[#This Row],[PRESTAMO]])</f>
        <v>790</v>
      </c>
      <c r="G715" s="7"/>
      <c r="H715" s="53"/>
      <c r="I715" s="5">
        <f>IF(FINANCIACION[[#This Row],[$ CAPITAL]]&gt;0,FINANCIACION[[#This Row],[$ CAPITAL]])</f>
        <v>74118</v>
      </c>
      <c r="J715" s="33">
        <f>IF(FINANCIACION[[#This Row],[$ CAPITAL]]&gt;=0,FINANCIACION[[#This Row],[$ CAPITAL]]+FINANCIACION[[#This Row],[$ INTERESES]],0)</f>
        <v>74118</v>
      </c>
    </row>
    <row r="716" spans="1:34" ht="24" hidden="1" customHeight="1" x14ac:dyDescent="0.3">
      <c r="A716" s="142">
        <v>44426</v>
      </c>
      <c r="B716" s="50" t="s">
        <v>196</v>
      </c>
      <c r="C716" s="5">
        <v>3868410</v>
      </c>
      <c r="D716" s="5"/>
      <c r="E716" s="5">
        <f>+IF(FINANCIACION[[#This Row],[$ CAPITAL]]&gt;=0,FINANCIACION[[#This Row],[$ CAPITAL]]+FINANCIACION[[#This Row],[$ INTERESES]],"")</f>
        <v>3868410</v>
      </c>
      <c r="F716" s="5">
        <f>+SUMIFS(FINANCIACION[$ CAPITAL],FINANCIACION[Fecha],"&lt;="&amp;FINANCIACION[[#This Row],[Fecha]],FINANCIACION[PRESTAMO],FINANCIACION[[#This Row],[PRESTAMO]])</f>
        <v>-16027610</v>
      </c>
      <c r="G716" s="7"/>
      <c r="H716" s="53"/>
      <c r="I716" s="5">
        <f>IF(FINANCIACION[[#This Row],[$ CAPITAL]]&gt;0,FINANCIACION[[#This Row],[$ CAPITAL]])</f>
        <v>3868410</v>
      </c>
      <c r="J716" s="8">
        <f>IF(FINANCIACION[[#This Row],[$ CAPITAL]]&gt;=0,FINANCIACION[[#This Row],[$ CAPITAL]]+FINANCIACION[[#This Row],[$ INTERESES]],0)</f>
        <v>3868410</v>
      </c>
    </row>
    <row r="717" spans="1:34" ht="24" hidden="1" customHeight="1" x14ac:dyDescent="0.3">
      <c r="A717" s="142">
        <v>44426</v>
      </c>
      <c r="B717" s="50" t="s">
        <v>197</v>
      </c>
      <c r="C717" s="5">
        <v>1000000</v>
      </c>
      <c r="D717" s="5"/>
      <c r="E717" s="5">
        <f>+IF(FINANCIACION[[#This Row],[$ CAPITAL]]&gt;=0,FINANCIACION[[#This Row],[$ CAPITAL]]+FINANCIACION[[#This Row],[$ INTERESES]],"")</f>
        <v>1000000</v>
      </c>
      <c r="F717" s="5">
        <f>+SUMIFS(FINANCIACION[$ CAPITAL],FINANCIACION[Fecha],"&lt;="&amp;FINANCIACION[[#This Row],[Fecha]],FINANCIACION[PRESTAMO],FINANCIACION[[#This Row],[PRESTAMO]])</f>
        <v>-411800</v>
      </c>
      <c r="G717" s="7"/>
      <c r="H717" s="53"/>
      <c r="I717" s="5">
        <f>IF(FINANCIACION[[#This Row],[$ CAPITAL]]&gt;0,FINANCIACION[[#This Row],[$ CAPITAL]])</f>
        <v>1000000</v>
      </c>
      <c r="J717" s="8">
        <f>IF(FINANCIACION[[#This Row],[$ CAPITAL]]&gt;=0,FINANCIACION[[#This Row],[$ CAPITAL]]+FINANCIACION[[#This Row],[$ INTERESES]],0)</f>
        <v>1000000</v>
      </c>
    </row>
    <row r="718" spans="1:34" ht="24" hidden="1" customHeight="1" x14ac:dyDescent="0.3">
      <c r="A718" s="142">
        <v>44439</v>
      </c>
      <c r="B718" s="50" t="s">
        <v>187</v>
      </c>
      <c r="C718" s="5">
        <v>1468400</v>
      </c>
      <c r="D718" s="5">
        <v>442095</v>
      </c>
      <c r="E718" s="5">
        <f>+IF(FINANCIACION[[#This Row],[$ CAPITAL]]&gt;=0,FINANCIACION[[#This Row],[$ CAPITAL]]+FINANCIACION[[#This Row],[$ INTERESES]],"")</f>
        <v>1910495</v>
      </c>
      <c r="F718" s="5">
        <f>+SUMIFS(FINANCIACION[$ CAPITAL],FINANCIACION[Fecha],"&lt;="&amp;FINANCIACION[[#This Row],[Fecha]],FINANCIACION[PRESTAMO],FINANCIACION[[#This Row],[PRESTAMO]])</f>
        <v>-45520400</v>
      </c>
      <c r="G718" s="7"/>
      <c r="H718" s="53"/>
      <c r="I718" s="5">
        <f>IF(FINANCIACION[[#This Row],[$ CAPITAL]]&gt;0,FINANCIACION[[#This Row],[$ CAPITAL]])</f>
        <v>1468400</v>
      </c>
      <c r="J718" s="8">
        <f>IF(FINANCIACION[[#This Row],[$ CAPITAL]]&gt;=0,FINANCIACION[[#This Row],[$ CAPITAL]]+FINANCIACION[[#This Row],[$ INTERESES]],0)</f>
        <v>1910495</v>
      </c>
    </row>
    <row r="719" spans="1:34" ht="24" hidden="1" customHeight="1" x14ac:dyDescent="0.3">
      <c r="A719" s="142">
        <v>44439</v>
      </c>
      <c r="B719" s="50" t="s">
        <v>188</v>
      </c>
      <c r="C719" s="5">
        <v>76791</v>
      </c>
      <c r="D719" s="5"/>
      <c r="E719" s="5">
        <f>+IF(FINANCIACION[[#This Row],[$ CAPITAL]]&gt;=0,FINANCIACION[[#This Row],[$ CAPITAL]]+FINANCIACION[[#This Row],[$ INTERESES]],"")</f>
        <v>76791</v>
      </c>
      <c r="F719" s="5">
        <f>+SUMIFS(FINANCIACION[$ CAPITAL],FINANCIACION[Fecha],"&lt;="&amp;FINANCIACION[[#This Row],[Fecha]],FINANCIACION[PRESTAMO],FINANCIACION[[#This Row],[PRESTAMO]])</f>
        <v>-2380521</v>
      </c>
      <c r="G719" s="7"/>
      <c r="H719" s="53"/>
      <c r="I719" s="5">
        <f>IF(FINANCIACION[[#This Row],[$ CAPITAL]]&gt;0,FINANCIACION[[#This Row],[$ CAPITAL]])</f>
        <v>76791</v>
      </c>
      <c r="J719" s="8">
        <f>IF(FINANCIACION[[#This Row],[$ CAPITAL]]&gt;=0,FINANCIACION[[#This Row],[$ CAPITAL]]+FINANCIACION[[#This Row],[$ INTERESES]],0)</f>
        <v>76791</v>
      </c>
    </row>
    <row r="720" spans="1:34" ht="24" hidden="1" customHeight="1" x14ac:dyDescent="0.3">
      <c r="A720" s="142">
        <v>44439</v>
      </c>
      <c r="B720" s="50" t="s">
        <v>195</v>
      </c>
      <c r="C720" s="5">
        <v>-790</v>
      </c>
      <c r="D720" s="5"/>
      <c r="E720" s="5" t="str">
        <f>+IF(FINANCIACION[[#This Row],[$ CAPITAL]]&gt;=0,FINANCIACION[[#This Row],[$ CAPITAL]]+FINANCIACION[[#This Row],[$ INTERESES]],"")</f>
        <v/>
      </c>
      <c r="F720" s="5">
        <f>+SUMIFS(FINANCIACION[$ CAPITAL],FINANCIACION[Fecha],"&lt;="&amp;FINANCIACION[[#This Row],[Fecha]],FINANCIACION[PRESTAMO],FINANCIACION[[#This Row],[PRESTAMO]])</f>
        <v>63580</v>
      </c>
      <c r="G720" s="7" t="s">
        <v>225</v>
      </c>
      <c r="H720" s="53"/>
      <c r="I720" s="5" t="b">
        <f>IF(FINANCIACION[[#This Row],[$ CAPITAL]]&gt;0,FINANCIACION[[#This Row],[$ CAPITAL]])</f>
        <v>0</v>
      </c>
      <c r="J720" s="8">
        <f>IF(FINANCIACION[[#This Row],[$ CAPITAL]]&gt;=0,FINANCIACION[[#This Row],[$ CAPITAL]]+FINANCIACION[[#This Row],[$ INTERESES]],0)</f>
        <v>0</v>
      </c>
    </row>
    <row r="721" spans="1:10" ht="24" hidden="1" customHeight="1" x14ac:dyDescent="0.3">
      <c r="A721" s="142">
        <v>44439</v>
      </c>
      <c r="B721" s="50" t="s">
        <v>195</v>
      </c>
      <c r="C721" s="5">
        <v>63580</v>
      </c>
      <c r="D721" s="5"/>
      <c r="E721" s="5">
        <f>+IF(FINANCIACION[[#This Row],[$ CAPITAL]]&gt;=0,FINANCIACION[[#This Row],[$ CAPITAL]]+FINANCIACION[[#This Row],[$ INTERESES]],"")</f>
        <v>63580</v>
      </c>
      <c r="F721" s="5">
        <f>+SUMIFS(FINANCIACION[$ CAPITAL],FINANCIACION[Fecha],"&lt;="&amp;FINANCIACION[[#This Row],[Fecha]],FINANCIACION[PRESTAMO],FINANCIACION[[#This Row],[PRESTAMO]])</f>
        <v>63580</v>
      </c>
      <c r="G721" s="7"/>
      <c r="H721" s="53"/>
      <c r="I721" s="5">
        <f>IF(FINANCIACION[[#This Row],[$ CAPITAL]]&gt;0,FINANCIACION[[#This Row],[$ CAPITAL]])</f>
        <v>63580</v>
      </c>
      <c r="J721" s="8">
        <f>IF(FINANCIACION[[#This Row],[$ CAPITAL]]&gt;=0,FINANCIACION[[#This Row],[$ CAPITAL]]+FINANCIACION[[#This Row],[$ INTERESES]],0)</f>
        <v>63580</v>
      </c>
    </row>
    <row r="722" spans="1:10" ht="24" hidden="1" customHeight="1" x14ac:dyDescent="0.3">
      <c r="A722" s="142">
        <v>44439</v>
      </c>
      <c r="B722" s="50" t="s">
        <v>196</v>
      </c>
      <c r="C722" s="5">
        <v>38068.699999999997</v>
      </c>
      <c r="D722" s="5"/>
      <c r="E722" s="5">
        <f>+IF(FINANCIACION[[#This Row],[$ CAPITAL]]&gt;=0,FINANCIACION[[#This Row],[$ CAPITAL]]+FINANCIACION[[#This Row],[$ INTERESES]],"")</f>
        <v>38068.699999999997</v>
      </c>
      <c r="F722" s="5">
        <f>+SUMIFS(FINANCIACION[$ CAPITAL],FINANCIACION[Fecha],"&lt;="&amp;FINANCIACION[[#This Row],[Fecha]],FINANCIACION[PRESTAMO],FINANCIACION[[#This Row],[PRESTAMO]])</f>
        <v>-31683600</v>
      </c>
      <c r="G722" s="53"/>
      <c r="H722" s="53"/>
      <c r="I722" s="5">
        <f>IF(FINANCIACION[[#This Row],[$ CAPITAL]]&gt;0,FINANCIACION[[#This Row],[$ CAPITAL]])</f>
        <v>38068.699999999997</v>
      </c>
      <c r="J722" s="33">
        <f>IF(FINANCIACION[[#This Row],[$ CAPITAL]]&gt;=0,FINANCIACION[[#This Row],[$ CAPITAL]]+FINANCIACION[[#This Row],[$ INTERESES]],0)</f>
        <v>38068.699999999997</v>
      </c>
    </row>
    <row r="723" spans="1:10" ht="24" hidden="1" customHeight="1" x14ac:dyDescent="0.3">
      <c r="A723" s="142">
        <v>44439</v>
      </c>
      <c r="B723" s="50" t="s">
        <v>196</v>
      </c>
      <c r="C723" s="5">
        <v>-15694058.699999999</v>
      </c>
      <c r="D723" s="5"/>
      <c r="E723" s="5" t="str">
        <f>+IF(FINANCIACION[[#This Row],[$ CAPITAL]]&gt;=0,FINANCIACION[[#This Row],[$ CAPITAL]]+FINANCIACION[[#This Row],[$ INTERESES]],"")</f>
        <v/>
      </c>
      <c r="F723" s="5">
        <f>+SUMIFS(FINANCIACION[$ CAPITAL],FINANCIACION[Fecha],"&lt;="&amp;FINANCIACION[[#This Row],[Fecha]],FINANCIACION[PRESTAMO],FINANCIACION[[#This Row],[PRESTAMO]])</f>
        <v>-31683600</v>
      </c>
      <c r="G723" s="53" t="s">
        <v>225</v>
      </c>
      <c r="H723" s="53"/>
      <c r="I723" s="5" t="b">
        <f>IF(FINANCIACION[[#This Row],[$ CAPITAL]]&gt;0,FINANCIACION[[#This Row],[$ CAPITAL]])</f>
        <v>0</v>
      </c>
      <c r="J723" s="33">
        <f>IF(FINANCIACION[[#This Row],[$ CAPITAL]]&gt;=0,FINANCIACION[[#This Row],[$ CAPITAL]]+FINANCIACION[[#This Row],[$ INTERESES]],0)</f>
        <v>0</v>
      </c>
    </row>
    <row r="724" spans="1:10" ht="24" hidden="1" customHeight="1" x14ac:dyDescent="0.3">
      <c r="A724" s="142">
        <v>44439</v>
      </c>
      <c r="B724" s="50" t="s">
        <v>197</v>
      </c>
      <c r="C724" s="5">
        <v>-5634</v>
      </c>
      <c r="D724" s="5"/>
      <c r="E724" s="5" t="str">
        <f>+IF(FINANCIACION[[#This Row],[$ CAPITAL]]&gt;=0,FINANCIACION[[#This Row],[$ CAPITAL]]+FINANCIACION[[#This Row],[$ INTERESES]],"")</f>
        <v/>
      </c>
      <c r="F724" s="5">
        <f>+SUMIFS(FINANCIACION[$ CAPITAL],FINANCIACION[Fecha],"&lt;="&amp;FINANCIACION[[#This Row],[Fecha]],FINANCIACION[PRESTAMO],FINANCIACION[[#This Row],[PRESTAMO]])</f>
        <v>-417434</v>
      </c>
      <c r="G724" s="53" t="s">
        <v>225</v>
      </c>
      <c r="H724" s="53"/>
      <c r="I724" s="5" t="b">
        <f>IF(FINANCIACION[[#This Row],[$ CAPITAL]]&gt;0,FINANCIACION[[#This Row],[$ CAPITAL]])</f>
        <v>0</v>
      </c>
      <c r="J724" s="33">
        <f>IF(FINANCIACION[[#This Row],[$ CAPITAL]]&gt;=0,FINANCIACION[[#This Row],[$ CAPITAL]]+FINANCIACION[[#This Row],[$ INTERESES]],0)</f>
        <v>0</v>
      </c>
    </row>
    <row r="725" spans="1:10" ht="24" hidden="1" customHeight="1" x14ac:dyDescent="0.3">
      <c r="A725" s="142">
        <v>44440</v>
      </c>
      <c r="B725" s="50" t="s">
        <v>196</v>
      </c>
      <c r="C725" s="5">
        <v>11300000</v>
      </c>
      <c r="D725" s="5"/>
      <c r="E725" s="5">
        <f>+IF(FINANCIACION[[#This Row],[$ CAPITAL]]&gt;=0,FINANCIACION[[#This Row],[$ CAPITAL]]+FINANCIACION[[#This Row],[$ INTERESES]],"")</f>
        <v>11300000</v>
      </c>
      <c r="F725" s="5">
        <f>+SUMIFS(FINANCIACION[$ CAPITAL],FINANCIACION[Fecha],"&lt;="&amp;FINANCIACION[[#This Row],[Fecha]],FINANCIACION[PRESTAMO],FINANCIACION[[#This Row],[PRESTAMO]])</f>
        <v>-20383600</v>
      </c>
      <c r="G725" s="7"/>
      <c r="H725" s="53"/>
      <c r="I725" s="5">
        <f>IF(FINANCIACION[[#This Row],[$ CAPITAL]]&gt;0,FINANCIACION[[#This Row],[$ CAPITAL]])</f>
        <v>11300000</v>
      </c>
      <c r="J725" s="33">
        <f>IF(FINANCIACION[[#This Row],[$ CAPITAL]]&gt;=0,FINANCIACION[[#This Row],[$ CAPITAL]]+FINANCIACION[[#This Row],[$ INTERESES]],0)</f>
        <v>11300000</v>
      </c>
    </row>
    <row r="726" spans="1:10" ht="24" hidden="1" customHeight="1" x14ac:dyDescent="0.3">
      <c r="A726" s="142">
        <v>44440</v>
      </c>
      <c r="B726" s="50" t="s">
        <v>197</v>
      </c>
      <c r="C726" s="5">
        <v>417434</v>
      </c>
      <c r="D726" s="5"/>
      <c r="E726" s="5">
        <f>+IF(FINANCIACION[[#This Row],[$ CAPITAL]]&gt;=0,FINANCIACION[[#This Row],[$ CAPITAL]]+FINANCIACION[[#This Row],[$ INTERESES]],"")</f>
        <v>417434</v>
      </c>
      <c r="F726" s="5">
        <f>+SUMIFS(FINANCIACION[$ CAPITAL],FINANCIACION[Fecha],"&lt;="&amp;FINANCIACION[[#This Row],[Fecha]],FINANCIACION[PRESTAMO],FINANCIACION[[#This Row],[PRESTAMO]])</f>
        <v>0</v>
      </c>
      <c r="G726" s="53"/>
      <c r="H726" s="53"/>
      <c r="I726" s="5">
        <f>IF(FINANCIACION[[#This Row],[$ CAPITAL]]&gt;0,FINANCIACION[[#This Row],[$ CAPITAL]])</f>
        <v>417434</v>
      </c>
      <c r="J726" s="33">
        <f>IF(FINANCIACION[[#This Row],[$ CAPITAL]]&gt;=0,FINANCIACION[[#This Row],[$ CAPITAL]]+FINANCIACION[[#This Row],[$ INTERESES]],0)</f>
        <v>417434</v>
      </c>
    </row>
    <row r="727" spans="1:10" ht="24" hidden="1" customHeight="1" x14ac:dyDescent="0.3">
      <c r="A727" s="142">
        <v>44445</v>
      </c>
      <c r="B727" s="50" t="s">
        <v>191</v>
      </c>
      <c r="C727" s="5">
        <v>6326000</v>
      </c>
      <c r="D727" s="5">
        <v>282642.03000000003</v>
      </c>
      <c r="E727" s="5">
        <f>+IF(FINANCIACION[[#This Row],[$ CAPITAL]]&gt;=0,FINANCIACION[[#This Row],[$ CAPITAL]]+FINANCIACION[[#This Row],[$ INTERESES]],"")</f>
        <v>6608642.0300000003</v>
      </c>
      <c r="F727" s="5">
        <f>+SUMIFS(FINANCIACION[$ CAPITAL],FINANCIACION[Fecha],"&lt;="&amp;FINANCIACION[[#This Row],[Fecha]],FINANCIACION[PRESTAMO],FINANCIACION[[#This Row],[PRESTAMO]])</f>
        <v>-35061126</v>
      </c>
      <c r="G727" s="53"/>
      <c r="H727" s="53"/>
      <c r="I727" s="5">
        <f>IF(FINANCIACION[[#This Row],[$ CAPITAL]]&gt;0,FINANCIACION[[#This Row],[$ CAPITAL]])</f>
        <v>6326000</v>
      </c>
      <c r="J727" s="33">
        <f>IF(FINANCIACION[[#This Row],[$ CAPITAL]]&gt;=0,FINANCIACION[[#This Row],[$ CAPITAL]]+FINANCIACION[[#This Row],[$ INTERESES]],0)</f>
        <v>6608642.0300000003</v>
      </c>
    </row>
    <row r="728" spans="1:10" ht="24" hidden="1" customHeight="1" x14ac:dyDescent="0.3">
      <c r="A728" s="142">
        <v>44450</v>
      </c>
      <c r="B728" s="50" t="s">
        <v>830</v>
      </c>
      <c r="C728" s="5"/>
      <c r="D728" s="5">
        <v>130000</v>
      </c>
      <c r="E728" s="5">
        <f>+IF(FINANCIACION[[#This Row],[$ CAPITAL]]&gt;=0,FINANCIACION[[#This Row],[$ CAPITAL]]+FINANCIACION[[#This Row],[$ INTERESES]],"")</f>
        <v>130000</v>
      </c>
      <c r="F728" s="5">
        <f>+SUMIFS(FINANCIACION[$ CAPITAL],FINANCIACION[Fecha],"&lt;="&amp;FINANCIACION[[#This Row],[Fecha]],FINANCIACION[PRESTAMO],FINANCIACION[[#This Row],[PRESTAMO]])</f>
        <v>-13000000</v>
      </c>
      <c r="G728" s="53"/>
      <c r="H728" s="53"/>
      <c r="I728" s="5" t="b">
        <f>IF(FINANCIACION[[#This Row],[$ CAPITAL]]&gt;0,FINANCIACION[[#This Row],[$ CAPITAL]])</f>
        <v>0</v>
      </c>
      <c r="J728" s="33">
        <f>IF(FINANCIACION[[#This Row],[$ CAPITAL]]&gt;=0,FINANCIACION[[#This Row],[$ CAPITAL]]+FINANCIACION[[#This Row],[$ INTERESES]],0)</f>
        <v>130000</v>
      </c>
    </row>
    <row r="729" spans="1:10" ht="24" hidden="1" customHeight="1" x14ac:dyDescent="0.3">
      <c r="A729" s="142">
        <v>44450</v>
      </c>
      <c r="B729" s="50" t="s">
        <v>834</v>
      </c>
      <c r="C729" s="5"/>
      <c r="D729" s="5">
        <v>400000</v>
      </c>
      <c r="E729" s="5">
        <f>+IF(FINANCIACION[[#This Row],[$ CAPITAL]]&gt;=0,FINANCIACION[[#This Row],[$ CAPITAL]]+FINANCIACION[[#This Row],[$ INTERESES]],"")</f>
        <v>400000</v>
      </c>
      <c r="F729" s="5">
        <f>+SUMIFS(FINANCIACION[$ CAPITAL],FINANCIACION[Fecha],"&lt;="&amp;FINANCIACION[[#This Row],[Fecha]],FINANCIACION[PRESTAMO],FINANCIACION[[#This Row],[PRESTAMO]])</f>
        <v>-40000000</v>
      </c>
      <c r="G729" s="53" t="s">
        <v>471</v>
      </c>
      <c r="H729" s="53"/>
      <c r="I729" s="5" t="b">
        <f>IF(FINANCIACION[[#This Row],[$ CAPITAL]]&gt;0,FINANCIACION[[#This Row],[$ CAPITAL]])</f>
        <v>0</v>
      </c>
      <c r="J729" s="33">
        <f>IF(FINANCIACION[[#This Row],[$ CAPITAL]]&gt;=0,FINANCIACION[[#This Row],[$ CAPITAL]]+FINANCIACION[[#This Row],[$ INTERESES]],0)</f>
        <v>400000</v>
      </c>
    </row>
    <row r="730" spans="1:10" ht="24" hidden="1" customHeight="1" x14ac:dyDescent="0.3">
      <c r="A730" s="142">
        <v>44450</v>
      </c>
      <c r="B730" s="50" t="s">
        <v>819</v>
      </c>
      <c r="C730" s="5">
        <v>1907385.0577347248</v>
      </c>
      <c r="D730" s="5">
        <v>769992.94226527517</v>
      </c>
      <c r="E730" s="5">
        <f>+IF(FINANCIACION[[#This Row],[$ CAPITAL]]&gt;=0,FINANCIACION[[#This Row],[$ CAPITAL]]+FINANCIACION[[#This Row],[$ INTERESES]],"")</f>
        <v>2677378</v>
      </c>
      <c r="F730" s="5">
        <f>+SUMIFS(FINANCIACION[$ CAPITAL],FINANCIACION[Fecha],"&lt;="&amp;FINANCIACION[[#This Row],[Fecha]],FINANCIACION[PRESTAMO],FINANCIACION[[#This Row],[PRESTAMO]])</f>
        <v>-75091909.168792784</v>
      </c>
      <c r="G730" s="53"/>
      <c r="H730" s="53"/>
      <c r="I730" s="5">
        <f>IF(FINANCIACION[[#This Row],[$ CAPITAL]]&gt;0,FINANCIACION[[#This Row],[$ CAPITAL]])</f>
        <v>1907385.0577347248</v>
      </c>
      <c r="J730" s="33">
        <f>IF(FINANCIACION[[#This Row],[$ CAPITAL]]&gt;=0,FINANCIACION[[#This Row],[$ CAPITAL]]+FINANCIACION[[#This Row],[$ INTERESES]],0)</f>
        <v>2677378</v>
      </c>
    </row>
    <row r="731" spans="1:10" ht="24" hidden="1" customHeight="1" x14ac:dyDescent="0.3">
      <c r="A731" s="142">
        <v>44450</v>
      </c>
      <c r="B731" s="50" t="s">
        <v>823</v>
      </c>
      <c r="C731" s="5">
        <v>734866.22702992009</v>
      </c>
      <c r="D731" s="5">
        <v>565133.77297007991</v>
      </c>
      <c r="E731" s="5">
        <f>+IF(FINANCIACION[[#This Row],[$ CAPITAL]]&gt;=0,FINANCIACION[[#This Row],[$ CAPITAL]]+FINANCIACION[[#This Row],[$ INTERESES]],"")</f>
        <v>1300000</v>
      </c>
      <c r="F731" s="5">
        <f>+SUMIFS(FINANCIACION[$ CAPITAL],FINANCIACION[Fecha],"&lt;="&amp;FINANCIACION[[#This Row],[Fecha]],FINANCIACION[PRESTAMO],FINANCIACION[[#This Row],[PRESTAMO]])</f>
        <v>-55778511.069978073</v>
      </c>
      <c r="G731" s="7"/>
      <c r="H731" s="53"/>
      <c r="I731" s="5">
        <f>IF(FINANCIACION[[#This Row],[$ CAPITAL]]&gt;0,FINANCIACION[[#This Row],[$ CAPITAL]])</f>
        <v>734866.22702992009</v>
      </c>
      <c r="J731" s="33">
        <f>IF(FINANCIACION[[#This Row],[$ CAPITAL]]&gt;=0,FINANCIACION[[#This Row],[$ CAPITAL]]+FINANCIACION[[#This Row],[$ INTERESES]],0)</f>
        <v>1300000</v>
      </c>
    </row>
    <row r="732" spans="1:10" ht="24" hidden="1" customHeight="1" x14ac:dyDescent="0.3">
      <c r="A732" s="142">
        <v>44450</v>
      </c>
      <c r="B732" s="50" t="s">
        <v>820</v>
      </c>
      <c r="C732" s="5">
        <v>476820.09442826186</v>
      </c>
      <c r="D732" s="5">
        <v>723179.90557173814</v>
      </c>
      <c r="E732" s="5">
        <f>+IF(FINANCIACION[[#This Row],[$ CAPITAL]]&gt;=0,FINANCIACION[[#This Row],[$ CAPITAL]]+FINANCIACION[[#This Row],[$ INTERESES]],"")</f>
        <v>1200000</v>
      </c>
      <c r="F732" s="5">
        <f>+SUMIFS(FINANCIACION[$ CAPITAL],FINANCIACION[Fecha],"&lt;="&amp;FINANCIACION[[#This Row],[Fecha]],FINANCIACION[PRESTAMO],FINANCIACION[[#This Row],[PRESTAMO]])</f>
        <v>-72011858.322745562</v>
      </c>
      <c r="G732" s="7"/>
      <c r="H732" s="53"/>
      <c r="I732" s="5">
        <f>IF(FINANCIACION[[#This Row],[$ CAPITAL]]&gt;0,FINANCIACION[[#This Row],[$ CAPITAL]])</f>
        <v>476820.09442826186</v>
      </c>
      <c r="J732" s="33">
        <f>IF(FINANCIACION[[#This Row],[$ CAPITAL]]&gt;=0,FINANCIACION[[#This Row],[$ CAPITAL]]+FINANCIACION[[#This Row],[$ INTERESES]],0)</f>
        <v>1200000</v>
      </c>
    </row>
    <row r="733" spans="1:10" ht="24" hidden="1" customHeight="1" x14ac:dyDescent="0.3">
      <c r="A733" s="142">
        <v>44450</v>
      </c>
      <c r="B733" s="50" t="s">
        <v>832</v>
      </c>
      <c r="C733" s="5"/>
      <c r="D733" s="5">
        <v>120000</v>
      </c>
      <c r="E733" s="5">
        <f>+IF(FINANCIACION[[#This Row],[$ CAPITAL]]&gt;=0,FINANCIACION[[#This Row],[$ CAPITAL]]+FINANCIACION[[#This Row],[$ INTERESES]],"")</f>
        <v>120000</v>
      </c>
      <c r="F733" s="5">
        <f>+SUMIFS(FINANCIACION[$ CAPITAL],FINANCIACION[Fecha],"&lt;="&amp;FINANCIACION[[#This Row],[Fecha]],FINANCIACION[PRESTAMO],FINANCIACION[[#This Row],[PRESTAMO]])</f>
        <v>-12000000</v>
      </c>
      <c r="G733" s="7"/>
      <c r="H733" s="53"/>
      <c r="I733" s="5" t="b">
        <f>IF(FINANCIACION[[#This Row],[$ CAPITAL]]&gt;0,FINANCIACION[[#This Row],[$ CAPITAL]])</f>
        <v>0</v>
      </c>
      <c r="J733" s="33">
        <f>IF(FINANCIACION[[#This Row],[$ CAPITAL]]&gt;=0,FINANCIACION[[#This Row],[$ CAPITAL]]+FINANCIACION[[#This Row],[$ INTERESES]],0)</f>
        <v>120000</v>
      </c>
    </row>
    <row r="734" spans="1:10" ht="24" hidden="1" customHeight="1" x14ac:dyDescent="0.3">
      <c r="A734" s="142">
        <v>44453</v>
      </c>
      <c r="B734" s="50" t="s">
        <v>194</v>
      </c>
      <c r="C734" s="5"/>
      <c r="D734" s="5">
        <v>228229.16</v>
      </c>
      <c r="E734" s="5">
        <f>+IF(FINANCIACION[[#This Row],[$ CAPITAL]]&gt;=0,FINANCIACION[[#This Row],[$ CAPITAL]]+FINANCIACION[[#This Row],[$ INTERESES]],"")</f>
        <v>228229.16</v>
      </c>
      <c r="F734" s="5">
        <f>+SUMIFS(FINANCIACION[$ CAPITAL],FINANCIACION[Fecha],"&lt;="&amp;FINANCIACION[[#This Row],[Fecha]],FINANCIACION[PRESTAMO],FINANCIACION[[#This Row],[PRESTAMO]])</f>
        <v>-35000000</v>
      </c>
      <c r="G734" s="7"/>
      <c r="H734" s="53"/>
      <c r="I734" s="5" t="b">
        <f>IF(FINANCIACION[[#This Row],[$ CAPITAL]]&gt;0,FINANCIACION[[#This Row],[$ CAPITAL]])</f>
        <v>0</v>
      </c>
      <c r="J734" s="33">
        <f>IF(FINANCIACION[[#This Row],[$ CAPITAL]]&gt;=0,FINANCIACION[[#This Row],[$ CAPITAL]]+FINANCIACION[[#This Row],[$ INTERESES]],0)</f>
        <v>228229.16</v>
      </c>
    </row>
    <row r="735" spans="1:10" ht="24" hidden="1" customHeight="1" x14ac:dyDescent="0.3">
      <c r="A735" s="142">
        <v>44459</v>
      </c>
      <c r="B735" s="50" t="s">
        <v>833</v>
      </c>
      <c r="C735" s="5">
        <v>1218805.6799999997</v>
      </c>
      <c r="D735" s="5">
        <v>14194.320000000298</v>
      </c>
      <c r="E735" s="5">
        <f>+IF(FINANCIACION[[#This Row],[$ CAPITAL]]&gt;=0,FINANCIACION[[#This Row],[$ CAPITAL]]+FINANCIACION[[#This Row],[$ INTERESES]],"")</f>
        <v>1233000</v>
      </c>
      <c r="F735" s="5">
        <f>+SUMIFS(FINANCIACION[$ CAPITAL],FINANCIACION[Fecha],"&lt;="&amp;FINANCIACION[[#This Row],[Fecha]],FINANCIACION[PRESTAMO],FINANCIACION[[#This Row],[PRESTAMO]])</f>
        <v>-21267871.290000003</v>
      </c>
      <c r="G735" s="7"/>
      <c r="H735" s="53"/>
      <c r="I735" s="5">
        <f>IF(FINANCIACION[[#This Row],[$ CAPITAL]]&gt;0,FINANCIACION[[#This Row],[$ CAPITAL]])</f>
        <v>1218805.6799999997</v>
      </c>
      <c r="J735" s="33">
        <f>IF(FINANCIACION[[#This Row],[$ CAPITAL]]&gt;=0,FINANCIACION[[#This Row],[$ CAPITAL]]+FINANCIACION[[#This Row],[$ INTERESES]],0)</f>
        <v>1233000</v>
      </c>
    </row>
    <row r="736" spans="1:10" ht="24" hidden="1" customHeight="1" x14ac:dyDescent="0.3">
      <c r="A736" s="142">
        <v>44459</v>
      </c>
      <c r="B736" s="50" t="s">
        <v>827</v>
      </c>
      <c r="C736" s="5">
        <v>974272.16999999806</v>
      </c>
      <c r="D736" s="5">
        <v>12727.830000001937</v>
      </c>
      <c r="E736" s="5">
        <f>+IF(FINANCIACION[[#This Row],[$ CAPITAL]]&gt;=0,FINANCIACION[[#This Row],[$ CAPITAL]]+FINANCIACION[[#This Row],[$ INTERESES]],"")</f>
        <v>987000</v>
      </c>
      <c r="F736" s="5">
        <f>+SUMIFS(FINANCIACION[$ CAPITAL],FINANCIACION[Fecha],"&lt;="&amp;FINANCIACION[[#This Row],[Fecha]],FINANCIACION[PRESTAMO],FINANCIACION[[#This Row],[PRESTAMO]])</f>
        <v>-18474834.260000005</v>
      </c>
      <c r="G736" s="7"/>
      <c r="H736" s="53"/>
      <c r="I736" s="5">
        <f>IF(FINANCIACION[[#This Row],[$ CAPITAL]]&gt;0,FINANCIACION[[#This Row],[$ CAPITAL]])</f>
        <v>974272.16999999806</v>
      </c>
      <c r="J736" s="8">
        <f>IF(FINANCIACION[[#This Row],[$ CAPITAL]]&gt;=0,FINANCIACION[[#This Row],[$ CAPITAL]]+FINANCIACION[[#This Row],[$ INTERESES]],0)</f>
        <v>987000</v>
      </c>
    </row>
    <row r="737" spans="1:10" ht="24" hidden="1" customHeight="1" x14ac:dyDescent="0.3">
      <c r="A737" s="142">
        <v>44459</v>
      </c>
      <c r="B737" s="50" t="s">
        <v>829</v>
      </c>
      <c r="C737" s="5">
        <v>1027038.799999997</v>
      </c>
      <c r="D737" s="5">
        <v>13961.20000000298</v>
      </c>
      <c r="E737" s="5">
        <f>+IF(FINANCIACION[[#This Row],[$ CAPITAL]]&gt;=0,FINANCIACION[[#This Row],[$ CAPITAL]]+FINANCIACION[[#This Row],[$ INTERESES]],"")</f>
        <v>1041000</v>
      </c>
      <c r="F737" s="5">
        <f>+SUMIFS(FINANCIACION[$ CAPITAL],FINANCIACION[Fecha],"&lt;="&amp;FINANCIACION[[#This Row],[Fecha]],FINANCIACION[PRESTAMO],FINANCIACION[[#This Row],[PRESTAMO]])</f>
        <v>-20261351.320000004</v>
      </c>
      <c r="G737" s="7"/>
      <c r="H737" s="53"/>
      <c r="I737" s="5">
        <f>IF(FINANCIACION[[#This Row],[$ CAPITAL]]&gt;0,FINANCIACION[[#This Row],[$ CAPITAL]])</f>
        <v>1027038.799999997</v>
      </c>
      <c r="J737" s="8">
        <f>IF(FINANCIACION[[#This Row],[$ CAPITAL]]&gt;=0,FINANCIACION[[#This Row],[$ CAPITAL]]+FINANCIACION[[#This Row],[$ INTERESES]],0)</f>
        <v>1041000</v>
      </c>
    </row>
    <row r="738" spans="1:10" ht="24" hidden="1" customHeight="1" x14ac:dyDescent="0.3">
      <c r="A738" s="142">
        <v>44459</v>
      </c>
      <c r="B738" s="50" t="s">
        <v>825</v>
      </c>
      <c r="C738" s="5">
        <v>2473862.3900000006</v>
      </c>
      <c r="D738" s="5">
        <v>30137.609999999404</v>
      </c>
      <c r="E738" s="5">
        <f>+IF(FINANCIACION[[#This Row],[$ CAPITAL]]&gt;=0,FINANCIACION[[#This Row],[$ CAPITAL]]+FINANCIACION[[#This Row],[$ INTERESES]],"")</f>
        <v>2504000</v>
      </c>
      <c r="F738" s="5">
        <f>+SUMIFS(FINANCIACION[$ CAPITAL],FINANCIACION[Fecha],"&lt;="&amp;FINANCIACION[[#This Row],[Fecha]],FINANCIACION[PRESTAMO],FINANCIACION[[#This Row],[PRESTAMO]])</f>
        <v>-45157527.289999999</v>
      </c>
      <c r="G738" s="7"/>
      <c r="H738" s="53"/>
      <c r="I738" s="5">
        <f>IF(FINANCIACION[[#This Row],[$ CAPITAL]]&gt;0,FINANCIACION[[#This Row],[$ CAPITAL]])</f>
        <v>2473862.3900000006</v>
      </c>
      <c r="J738" s="33">
        <f>IF(FINANCIACION[[#This Row],[$ CAPITAL]]&gt;=0,FINANCIACION[[#This Row],[$ CAPITAL]]+FINANCIACION[[#This Row],[$ INTERESES]],0)</f>
        <v>2504000</v>
      </c>
    </row>
    <row r="739" spans="1:10" ht="24" hidden="1" customHeight="1" x14ac:dyDescent="0.3">
      <c r="A739" s="142">
        <v>44459</v>
      </c>
      <c r="B739" s="50" t="s">
        <v>826</v>
      </c>
      <c r="C739" s="5">
        <v>3639410.0100000054</v>
      </c>
      <c r="D739" s="5">
        <v>48589.989999994636</v>
      </c>
      <c r="E739" s="5">
        <f>+IF(FINANCIACION[[#This Row],[$ CAPITAL]]&gt;=0,FINANCIACION[[#This Row],[$ CAPITAL]]+FINANCIACION[[#This Row],[$ INTERESES]],"")</f>
        <v>3688000</v>
      </c>
      <c r="F739" s="5">
        <f>+SUMIFS(FINANCIACION[$ CAPITAL],FINANCIACION[Fecha],"&lt;="&amp;FINANCIACION[[#This Row],[Fecha]],FINANCIACION[PRESTAMO],FINANCIACION[[#This Row],[PRESTAMO]])</f>
        <v>-65388773.829999998</v>
      </c>
      <c r="G739" s="7"/>
      <c r="H739" s="53"/>
      <c r="I739" s="5">
        <f>IF(FINANCIACION[[#This Row],[$ CAPITAL]]&gt;0,FINANCIACION[[#This Row],[$ CAPITAL]])</f>
        <v>3639410.0100000054</v>
      </c>
      <c r="J739" s="33">
        <f>IF(FINANCIACION[[#This Row],[$ CAPITAL]]&gt;=0,FINANCIACION[[#This Row],[$ CAPITAL]]+FINANCIACION[[#This Row],[$ INTERESES]],0)</f>
        <v>3688000</v>
      </c>
    </row>
    <row r="740" spans="1:10" ht="24" hidden="1" customHeight="1" x14ac:dyDescent="0.3">
      <c r="A740" s="142">
        <v>44459</v>
      </c>
      <c r="B740" s="50" t="s">
        <v>821</v>
      </c>
      <c r="C740" s="5">
        <v>5238034</v>
      </c>
      <c r="D740" s="5">
        <v>713538</v>
      </c>
      <c r="E740" s="5">
        <f>+IF(FINANCIACION[[#This Row],[$ CAPITAL]]&gt;=0,FINANCIACION[[#This Row],[$ CAPITAL]]+FINANCIACION[[#This Row],[$ INTERESES]],"")</f>
        <v>5951572</v>
      </c>
      <c r="F740" s="5">
        <f>+SUMIFS(FINANCIACION[$ CAPITAL],FINANCIACION[Fecha],"&lt;="&amp;FINANCIACION[[#This Row],[Fecha]],FINANCIACION[PRESTAMO],FINANCIACION[[#This Row],[PRESTAMO]])</f>
        <v>-333497178</v>
      </c>
      <c r="G740" s="7"/>
      <c r="H740" s="53"/>
      <c r="I740" s="5">
        <f>IF(FINANCIACION[[#This Row],[$ CAPITAL]]&gt;0,FINANCIACION[[#This Row],[$ CAPITAL]])</f>
        <v>5238034</v>
      </c>
      <c r="J740" s="33">
        <f>IF(FINANCIACION[[#This Row],[$ CAPITAL]]&gt;=0,FINANCIACION[[#This Row],[$ CAPITAL]]+FINANCIACION[[#This Row],[$ INTERESES]],0)</f>
        <v>5951572</v>
      </c>
    </row>
    <row r="741" spans="1:10" ht="24" hidden="1" customHeight="1" x14ac:dyDescent="0.3">
      <c r="A741" s="142">
        <v>44459</v>
      </c>
      <c r="B741" s="50" t="s">
        <v>822</v>
      </c>
      <c r="C741" s="5">
        <v>1468176.0800000019</v>
      </c>
      <c r="D741" s="5">
        <v>16823.919999998063</v>
      </c>
      <c r="E741" s="5">
        <f>+IF(FINANCIACION[[#This Row],[$ CAPITAL]]&gt;=0,FINANCIACION[[#This Row],[$ CAPITAL]]+FINANCIACION[[#This Row],[$ INTERESES]],"")</f>
        <v>1485000</v>
      </c>
      <c r="F741" s="5">
        <f>+SUMIFS(FINANCIACION[$ CAPITAL],FINANCIACION[Fecha],"&lt;="&amp;FINANCIACION[[#This Row],[Fecha]],FINANCIACION[PRESTAMO],FINANCIACION[[#This Row],[PRESTAMO]])</f>
        <v>-24137884.089999989</v>
      </c>
      <c r="G741" s="7"/>
      <c r="H741" s="53"/>
      <c r="I741" s="5">
        <f>IF(FINANCIACION[[#This Row],[$ CAPITAL]]&gt;0,FINANCIACION[[#This Row],[$ CAPITAL]])</f>
        <v>1468176.0800000019</v>
      </c>
      <c r="J741" s="33">
        <f>IF(FINANCIACION[[#This Row],[$ CAPITAL]]&gt;=0,FINANCIACION[[#This Row],[$ CAPITAL]]+FINANCIACION[[#This Row],[$ INTERESES]],0)</f>
        <v>1485000</v>
      </c>
    </row>
    <row r="742" spans="1:10" ht="24" hidden="1" customHeight="1" x14ac:dyDescent="0.3">
      <c r="A742" s="142">
        <v>44466</v>
      </c>
      <c r="B742" s="50" t="s">
        <v>190</v>
      </c>
      <c r="C742" s="5">
        <v>2673800</v>
      </c>
      <c r="D742" s="5"/>
      <c r="E742" s="5">
        <f>+IF(FINANCIACION[[#This Row],[$ CAPITAL]]&gt;=0,FINANCIACION[[#This Row],[$ CAPITAL]]+FINANCIACION[[#This Row],[$ INTERESES]],"")</f>
        <v>2673800</v>
      </c>
      <c r="F742" s="5">
        <f>+SUMIFS(FINANCIACION[$ CAPITAL],FINANCIACION[Fecha],"&lt;="&amp;FINANCIACION[[#This Row],[Fecha]],FINANCIACION[PRESTAMO],FINANCIACION[[#This Row],[PRESTAMO]])</f>
        <v>-97757752</v>
      </c>
      <c r="G742" s="7" t="s">
        <v>478</v>
      </c>
      <c r="H742" s="53">
        <v>698.85</v>
      </c>
      <c r="I742" s="5">
        <f>IF(FINANCIACION[[#This Row],[$ CAPITAL]]&gt;0,FINANCIACION[[#This Row],[$ CAPITAL]])</f>
        <v>2673800</v>
      </c>
      <c r="J742" s="8">
        <f>IF(FINANCIACION[[#This Row],[$ CAPITAL]]&gt;=0,FINANCIACION[[#This Row],[$ CAPITAL]]+FINANCIACION[[#This Row],[$ INTERESES]],0)</f>
        <v>2673800</v>
      </c>
    </row>
    <row r="743" spans="1:10" ht="24" hidden="1" customHeight="1" x14ac:dyDescent="0.3">
      <c r="A743" s="142">
        <v>44469</v>
      </c>
      <c r="B743" s="50" t="s">
        <v>187</v>
      </c>
      <c r="C743" s="5">
        <v>1468400</v>
      </c>
      <c r="D743" s="5">
        <v>418397</v>
      </c>
      <c r="E743" s="5">
        <f>+IF(FINANCIACION[[#This Row],[$ CAPITAL]]&gt;=0,FINANCIACION[[#This Row],[$ CAPITAL]]+FINANCIACION[[#This Row],[$ INTERESES]],"")</f>
        <v>1886797</v>
      </c>
      <c r="F743" s="5">
        <f>+SUMIFS(FINANCIACION[$ CAPITAL],FINANCIACION[Fecha],"&lt;="&amp;FINANCIACION[[#This Row],[Fecha]],FINANCIACION[PRESTAMO],FINANCIACION[[#This Row],[PRESTAMO]])</f>
        <v>-44052000</v>
      </c>
      <c r="G743" s="7"/>
      <c r="H743" s="53"/>
      <c r="I743" s="5">
        <f>IF(FINANCIACION[[#This Row],[$ CAPITAL]]&gt;0,FINANCIACION[[#This Row],[$ CAPITAL]])</f>
        <v>1468400</v>
      </c>
      <c r="J743" s="8">
        <f>IF(FINANCIACION[[#This Row],[$ CAPITAL]]&gt;=0,FINANCIACION[[#This Row],[$ CAPITAL]]+FINANCIACION[[#This Row],[$ INTERESES]],0)</f>
        <v>1886797</v>
      </c>
    </row>
    <row r="744" spans="1:10" ht="24" hidden="1" customHeight="1" x14ac:dyDescent="0.3">
      <c r="A744" s="142">
        <v>44469</v>
      </c>
      <c r="B744" s="50" t="s">
        <v>188</v>
      </c>
      <c r="C744" s="5">
        <v>76791</v>
      </c>
      <c r="D744" s="5"/>
      <c r="E744" s="5">
        <f>+IF(FINANCIACION[[#This Row],[$ CAPITAL]]&gt;=0,FINANCIACION[[#This Row],[$ CAPITAL]]+FINANCIACION[[#This Row],[$ INTERESES]],"")</f>
        <v>76791</v>
      </c>
      <c r="F744" s="5">
        <f>+SUMIFS(FINANCIACION[$ CAPITAL],FINANCIACION[Fecha],"&lt;="&amp;FINANCIACION[[#This Row],[Fecha]],FINANCIACION[PRESTAMO],FINANCIACION[[#This Row],[PRESTAMO]])</f>
        <v>-2303730</v>
      </c>
      <c r="G744" s="7"/>
      <c r="H744" s="53"/>
      <c r="I744" s="5">
        <f>IF(FINANCIACION[[#This Row],[$ CAPITAL]]&gt;0,FINANCIACION[[#This Row],[$ CAPITAL]])</f>
        <v>76791</v>
      </c>
      <c r="J744" s="8">
        <f>IF(FINANCIACION[[#This Row],[$ CAPITAL]]&gt;=0,FINANCIACION[[#This Row],[$ CAPITAL]]+FINANCIACION[[#This Row],[$ INTERESES]],0)</f>
        <v>76791</v>
      </c>
    </row>
    <row r="745" spans="1:10" ht="24" hidden="1" customHeight="1" x14ac:dyDescent="0.3">
      <c r="A745" s="142">
        <v>44469</v>
      </c>
      <c r="B745" s="50" t="s">
        <v>190</v>
      </c>
      <c r="C745" s="5">
        <v>1304356.5</v>
      </c>
      <c r="D745" s="5"/>
      <c r="E745" s="5">
        <f>+IF(FINANCIACION[[#This Row],[$ CAPITAL]]&gt;=0,FINANCIACION[[#This Row],[$ CAPITAL]]+FINANCIACION[[#This Row],[$ INTERESES]],"")</f>
        <v>1304356.5</v>
      </c>
      <c r="F745" s="5">
        <f>+SUMIFS(FINANCIACION[$ CAPITAL],FINANCIACION[Fecha],"&lt;="&amp;FINANCIACION[[#This Row],[Fecha]],FINANCIACION[PRESTAMO],FINANCIACION[[#This Row],[PRESTAMO]])</f>
        <v>-96453395.5</v>
      </c>
      <c r="G745" s="7" t="s">
        <v>225</v>
      </c>
      <c r="H745" s="53"/>
      <c r="I745" s="5">
        <f>IF(FINANCIACION[[#This Row],[$ CAPITAL]]&gt;0,FINANCIACION[[#This Row],[$ CAPITAL]])</f>
        <v>1304356.5</v>
      </c>
      <c r="J745" s="8">
        <f>IF(FINANCIACION[[#This Row],[$ CAPITAL]]&gt;=0,FINANCIACION[[#This Row],[$ CAPITAL]]+FINANCIACION[[#This Row],[$ INTERESES]],0)</f>
        <v>1304356.5</v>
      </c>
    </row>
    <row r="746" spans="1:10" ht="24" hidden="1" customHeight="1" x14ac:dyDescent="0.3">
      <c r="A746" s="142">
        <v>44469</v>
      </c>
      <c r="B746" s="50" t="s">
        <v>282</v>
      </c>
      <c r="C746" s="5">
        <v>749196.5</v>
      </c>
      <c r="D746" s="5"/>
      <c r="E746" s="5">
        <f>+IF(FINANCIACION[[#This Row],[$ CAPITAL]]&gt;=0,FINANCIACION[[#This Row],[$ CAPITAL]]+FINANCIACION[[#This Row],[$ INTERESES]],"")</f>
        <v>749196.5</v>
      </c>
      <c r="F746" s="5">
        <f>+SUMIFS(FINANCIACION[$ CAPITAL],FINANCIACION[Fecha],"&lt;="&amp;FINANCIACION[[#This Row],[Fecha]],FINANCIACION[PRESTAMO],FINANCIACION[[#This Row],[PRESTAMO]])</f>
        <v>-57688130.5</v>
      </c>
      <c r="G746" s="7" t="s">
        <v>225</v>
      </c>
      <c r="H746" s="53"/>
      <c r="I746" s="5">
        <f>IF(FINANCIACION[[#This Row],[$ CAPITAL]]&gt;0,FINANCIACION[[#This Row],[$ CAPITAL]])</f>
        <v>749196.5</v>
      </c>
      <c r="J746" s="8">
        <f>IF(FINANCIACION[[#This Row],[$ CAPITAL]]&gt;=0,FINANCIACION[[#This Row],[$ CAPITAL]]+FINANCIACION[[#This Row],[$ INTERESES]],0)</f>
        <v>749196.5</v>
      </c>
    </row>
    <row r="747" spans="1:10" ht="24" hidden="1" customHeight="1" x14ac:dyDescent="0.3">
      <c r="A747" s="142">
        <v>44469</v>
      </c>
      <c r="B747" s="50" t="s">
        <v>372</v>
      </c>
      <c r="C747" s="5">
        <v>296351.5</v>
      </c>
      <c r="D747" s="5"/>
      <c r="E747" s="5">
        <f>+IF(FINANCIACION[[#This Row],[$ CAPITAL]]&gt;=0,FINANCIACION[[#This Row],[$ CAPITAL]]+FINANCIACION[[#This Row],[$ INTERESES]],"")</f>
        <v>296351.5</v>
      </c>
      <c r="F747" s="5">
        <f>+SUMIFS(FINANCIACION[$ CAPITAL],FINANCIACION[Fecha],"&lt;="&amp;FINANCIACION[[#This Row],[Fecha]],FINANCIACION[PRESTAMO],FINANCIACION[[#This Row],[PRESTAMO]])</f>
        <v>-22819065.5</v>
      </c>
      <c r="G747" s="53" t="s">
        <v>225</v>
      </c>
      <c r="H747" s="53"/>
      <c r="I747" s="5">
        <f>IF(FINANCIACION[[#This Row],[$ CAPITAL]]&gt;0,FINANCIACION[[#This Row],[$ CAPITAL]])</f>
        <v>296351.5</v>
      </c>
      <c r="J747" s="33">
        <f>IF(FINANCIACION[[#This Row],[$ CAPITAL]]&gt;=0,FINANCIACION[[#This Row],[$ CAPITAL]]+FINANCIACION[[#This Row],[$ INTERESES]],0)</f>
        <v>296351.5</v>
      </c>
    </row>
    <row r="748" spans="1:10" ht="24" hidden="1" customHeight="1" x14ac:dyDescent="0.3">
      <c r="A748" s="142">
        <v>44469</v>
      </c>
      <c r="B748" s="50" t="s">
        <v>195</v>
      </c>
      <c r="C748" s="5">
        <v>-692683</v>
      </c>
      <c r="D748" s="5"/>
      <c r="E748" s="5" t="str">
        <f>+IF(FINANCIACION[[#This Row],[$ CAPITAL]]&gt;=0,FINANCIACION[[#This Row],[$ CAPITAL]]+FINANCIACION[[#This Row],[$ INTERESES]],"")</f>
        <v/>
      </c>
      <c r="F748" s="5">
        <f>+SUMIFS(FINANCIACION[$ CAPITAL],FINANCIACION[Fecha],"&lt;="&amp;FINANCIACION[[#This Row],[Fecha]],FINANCIACION[PRESTAMO],FINANCIACION[[#This Row],[PRESTAMO]])</f>
        <v>-629103</v>
      </c>
      <c r="G748" s="53" t="s">
        <v>225</v>
      </c>
      <c r="H748" s="53"/>
      <c r="I748" s="5" t="b">
        <f>IF(FINANCIACION[[#This Row],[$ CAPITAL]]&gt;0,FINANCIACION[[#This Row],[$ CAPITAL]])</f>
        <v>0</v>
      </c>
      <c r="J748" s="33">
        <f>IF(FINANCIACION[[#This Row],[$ CAPITAL]]&gt;=0,FINANCIACION[[#This Row],[$ CAPITAL]]+FINANCIACION[[#This Row],[$ INTERESES]],0)</f>
        <v>0</v>
      </c>
    </row>
    <row r="749" spans="1:10" ht="24" hidden="1" customHeight="1" x14ac:dyDescent="0.3">
      <c r="A749" s="142">
        <v>44469</v>
      </c>
      <c r="B749" s="50" t="s">
        <v>196</v>
      </c>
      <c r="C749" s="5">
        <v>-13423250</v>
      </c>
      <c r="D749" s="5"/>
      <c r="E749" s="5" t="str">
        <f>+IF(FINANCIACION[[#This Row],[$ CAPITAL]]&gt;=0,FINANCIACION[[#This Row],[$ CAPITAL]]+FINANCIACION[[#This Row],[$ INTERESES]],"")</f>
        <v/>
      </c>
      <c r="F749" s="5">
        <f>+SUMIFS(FINANCIACION[$ CAPITAL],FINANCIACION[Fecha],"&lt;="&amp;FINANCIACION[[#This Row],[Fecha]],FINANCIACION[PRESTAMO],FINANCIACION[[#This Row],[PRESTAMO]])</f>
        <v>-33806850</v>
      </c>
      <c r="G749" s="53" t="s">
        <v>225</v>
      </c>
      <c r="H749" s="53"/>
      <c r="I749" s="5" t="b">
        <f>IF(FINANCIACION[[#This Row],[$ CAPITAL]]&gt;0,FINANCIACION[[#This Row],[$ CAPITAL]])</f>
        <v>0</v>
      </c>
      <c r="J749" s="33">
        <f>IF(FINANCIACION[[#This Row],[$ CAPITAL]]&gt;=0,FINANCIACION[[#This Row],[$ CAPITAL]]+FINANCIACION[[#This Row],[$ INTERESES]],0)</f>
        <v>0</v>
      </c>
    </row>
    <row r="750" spans="1:10" ht="24" hidden="1" customHeight="1" x14ac:dyDescent="0.3">
      <c r="A750" s="142">
        <v>44469</v>
      </c>
      <c r="B750" s="50" t="s">
        <v>197</v>
      </c>
      <c r="C750" s="5">
        <v>-4108939</v>
      </c>
      <c r="D750" s="5"/>
      <c r="E750" s="5" t="str">
        <f>+IF(FINANCIACION[[#This Row],[$ CAPITAL]]&gt;=0,FINANCIACION[[#This Row],[$ CAPITAL]]+FINANCIACION[[#This Row],[$ INTERESES]],"")</f>
        <v/>
      </c>
      <c r="F750" s="5">
        <f>+SUMIFS(FINANCIACION[$ CAPITAL],FINANCIACION[Fecha],"&lt;="&amp;FINANCIACION[[#This Row],[Fecha]],FINANCIACION[PRESTAMO],FINANCIACION[[#This Row],[PRESTAMO]])</f>
        <v>-4108939</v>
      </c>
      <c r="G750" s="7" t="s">
        <v>225</v>
      </c>
      <c r="H750" s="53"/>
      <c r="I750" s="5" t="b">
        <f>IF(FINANCIACION[[#This Row],[$ CAPITAL]]&gt;0,FINANCIACION[[#This Row],[$ CAPITAL]])</f>
        <v>0</v>
      </c>
      <c r="J750" s="33">
        <f>IF(FINANCIACION[[#This Row],[$ CAPITAL]]&gt;=0,FINANCIACION[[#This Row],[$ CAPITAL]]+FINANCIACION[[#This Row],[$ INTERESES]],0)</f>
        <v>0</v>
      </c>
    </row>
    <row r="751" spans="1:10" ht="24" hidden="1" customHeight="1" x14ac:dyDescent="0.3">
      <c r="A751" s="142">
        <v>44474</v>
      </c>
      <c r="B751" s="50" t="s">
        <v>190</v>
      </c>
      <c r="C751" s="5">
        <v>30448000</v>
      </c>
      <c r="D751" s="5">
        <v>39337</v>
      </c>
      <c r="E751" s="5">
        <f>+IF(FINANCIACION[[#This Row],[$ CAPITAL]]&gt;=0,FINANCIACION[[#This Row],[$ CAPITAL]]+FINANCIACION[[#This Row],[$ INTERESES]],"")</f>
        <v>30487337</v>
      </c>
      <c r="F751" s="5">
        <f>+SUMIFS(FINANCIACION[$ CAPITAL],FINANCIACION[Fecha],"&lt;="&amp;FINANCIACION[[#This Row],[Fecha]],FINANCIACION[PRESTAMO],FINANCIACION[[#This Row],[PRESTAMO]])</f>
        <v>-66005395.5</v>
      </c>
      <c r="G751" s="53"/>
      <c r="H751" s="53">
        <v>8000</v>
      </c>
      <c r="I751" s="5">
        <f>IF(FINANCIACION[[#This Row],[$ CAPITAL]]&gt;0,FINANCIACION[[#This Row],[$ CAPITAL]])</f>
        <v>30448000</v>
      </c>
      <c r="J751" s="33">
        <f>IF(FINANCIACION[[#This Row],[$ CAPITAL]]&gt;=0,FINANCIACION[[#This Row],[$ CAPITAL]]+FINANCIACION[[#This Row],[$ INTERESES]],0)</f>
        <v>30487337</v>
      </c>
    </row>
    <row r="752" spans="1:10" ht="24" hidden="1" customHeight="1" x14ac:dyDescent="0.3">
      <c r="A752" s="142">
        <v>44475</v>
      </c>
      <c r="B752" s="50" t="s">
        <v>828</v>
      </c>
      <c r="C752" s="5"/>
      <c r="D752" s="5">
        <v>640000</v>
      </c>
      <c r="E752" s="5">
        <f>+IF(FINANCIACION[[#This Row],[$ CAPITAL]]&gt;=0,FINANCIACION[[#This Row],[$ CAPITAL]]+FINANCIACION[[#This Row],[$ INTERESES]],"")</f>
        <v>640000</v>
      </c>
      <c r="F752" s="5">
        <f>+SUMIFS(FINANCIACION[$ CAPITAL],FINANCIACION[Fecha],"&lt;="&amp;FINANCIACION[[#This Row],[Fecha]],FINANCIACION[PRESTAMO],FINANCIACION[[#This Row],[PRESTAMO]])</f>
        <v>-8000000</v>
      </c>
      <c r="G752" s="7"/>
      <c r="H752" s="53"/>
      <c r="I752" s="5" t="b">
        <f>IF(FINANCIACION[[#This Row],[$ CAPITAL]]&gt;0,FINANCIACION[[#This Row],[$ CAPITAL]])</f>
        <v>0</v>
      </c>
      <c r="J752" s="33">
        <f>IF(FINANCIACION[[#This Row],[$ CAPITAL]]&gt;=0,FINANCIACION[[#This Row],[$ CAPITAL]]+FINANCIACION[[#This Row],[$ INTERESES]],0)</f>
        <v>640000</v>
      </c>
    </row>
    <row r="753" spans="1:10" ht="24" hidden="1" customHeight="1" x14ac:dyDescent="0.3">
      <c r="A753" s="142">
        <v>44475</v>
      </c>
      <c r="B753" s="50" t="s">
        <v>486</v>
      </c>
      <c r="C753" s="5">
        <v>-52697606.5</v>
      </c>
      <c r="D753" s="5"/>
      <c r="E753" s="5" t="str">
        <f>+IF(FINANCIACION[[#This Row],[$ CAPITAL]]&gt;=0,FINANCIACION[[#This Row],[$ CAPITAL]]+FINANCIACION[[#This Row],[$ INTERESES]],"")</f>
        <v/>
      </c>
      <c r="F753" s="5">
        <f>+SUMIFS(FINANCIACION[$ CAPITAL],FINANCIACION[Fecha],"&lt;="&amp;FINANCIACION[[#This Row],[Fecha]],FINANCIACION[PRESTAMO],FINANCIACION[[#This Row],[PRESTAMO]])</f>
        <v>-52697606.5</v>
      </c>
      <c r="G753" s="53" t="s">
        <v>1080</v>
      </c>
      <c r="H753" s="53">
        <v>-13687.69</v>
      </c>
      <c r="I753" s="5" t="b">
        <f>IF(FINANCIACION[[#This Row],[$ CAPITAL]]&gt;0,FINANCIACION[[#This Row],[$ CAPITAL]])</f>
        <v>0</v>
      </c>
      <c r="J753" s="33">
        <f>IF(FINANCIACION[[#This Row],[$ CAPITAL]]&gt;=0,FINANCIACION[[#This Row],[$ CAPITAL]]+FINANCIACION[[#This Row],[$ INTERESES]],0)</f>
        <v>0</v>
      </c>
    </row>
    <row r="754" spans="1:10" ht="24" hidden="1" customHeight="1" x14ac:dyDescent="0.3">
      <c r="A754" s="142">
        <v>44476</v>
      </c>
      <c r="B754" s="50" t="s">
        <v>195</v>
      </c>
      <c r="C754" s="5">
        <v>1000000</v>
      </c>
      <c r="D754" s="5"/>
      <c r="E754" s="5">
        <f>+IF(FINANCIACION[[#This Row],[$ CAPITAL]]&gt;=0,FINANCIACION[[#This Row],[$ CAPITAL]]+FINANCIACION[[#This Row],[$ INTERESES]],"")</f>
        <v>1000000</v>
      </c>
      <c r="F754" s="5">
        <f>+SUMIFS(FINANCIACION[$ CAPITAL],FINANCIACION[Fecha],"&lt;="&amp;FINANCIACION[[#This Row],[Fecha]],FINANCIACION[PRESTAMO],FINANCIACION[[#This Row],[PRESTAMO]])</f>
        <v>370897</v>
      </c>
      <c r="G754" s="53"/>
      <c r="H754" s="53"/>
      <c r="I754" s="5">
        <f>IF(FINANCIACION[[#This Row],[$ CAPITAL]]&gt;0,FINANCIACION[[#This Row],[$ CAPITAL]])</f>
        <v>1000000</v>
      </c>
      <c r="J754" s="33">
        <f>IF(FINANCIACION[[#This Row],[$ CAPITAL]]&gt;=0,FINANCIACION[[#This Row],[$ CAPITAL]]+FINANCIACION[[#This Row],[$ INTERESES]],0)</f>
        <v>1000000</v>
      </c>
    </row>
    <row r="755" spans="1:10" ht="24" hidden="1" customHeight="1" x14ac:dyDescent="0.3">
      <c r="A755" s="142">
        <v>44476</v>
      </c>
      <c r="B755" s="50" t="s">
        <v>196</v>
      </c>
      <c r="C755" s="5">
        <v>3788030</v>
      </c>
      <c r="D755" s="5"/>
      <c r="E755" s="5">
        <f>+IF(FINANCIACION[[#This Row],[$ CAPITAL]]&gt;=0,FINANCIACION[[#This Row],[$ CAPITAL]]+FINANCIACION[[#This Row],[$ INTERESES]],"")</f>
        <v>3788030</v>
      </c>
      <c r="F755" s="5">
        <f>+SUMIFS(FINANCIACION[$ CAPITAL],FINANCIACION[Fecha],"&lt;="&amp;FINANCIACION[[#This Row],[Fecha]],FINANCIACION[PRESTAMO],FINANCIACION[[#This Row],[PRESTAMO]])</f>
        <v>-30018820</v>
      </c>
      <c r="G755" s="53"/>
      <c r="H755" s="53"/>
      <c r="I755" s="5">
        <f>IF(FINANCIACION[[#This Row],[$ CAPITAL]]&gt;0,FINANCIACION[[#This Row],[$ CAPITAL]])</f>
        <v>3788030</v>
      </c>
      <c r="J755" s="33">
        <f>IF(FINANCIACION[[#This Row],[$ CAPITAL]]&gt;=0,FINANCIACION[[#This Row],[$ CAPITAL]]+FINANCIACION[[#This Row],[$ INTERESES]],0)</f>
        <v>3788030</v>
      </c>
    </row>
    <row r="756" spans="1:10" ht="24" hidden="1" customHeight="1" x14ac:dyDescent="0.3">
      <c r="A756" s="142">
        <v>44476</v>
      </c>
      <c r="B756" s="50" t="s">
        <v>197</v>
      </c>
      <c r="C756" s="5">
        <v>1000000</v>
      </c>
      <c r="D756" s="5"/>
      <c r="E756" s="5">
        <f>+IF(FINANCIACION[[#This Row],[$ CAPITAL]]&gt;=0,FINANCIACION[[#This Row],[$ CAPITAL]]+FINANCIACION[[#This Row],[$ INTERESES]],"")</f>
        <v>1000000</v>
      </c>
      <c r="F756" s="5">
        <f>+SUMIFS(FINANCIACION[$ CAPITAL],FINANCIACION[Fecha],"&lt;="&amp;FINANCIACION[[#This Row],[Fecha]],FINANCIACION[PRESTAMO],FINANCIACION[[#This Row],[PRESTAMO]])</f>
        <v>-3108939</v>
      </c>
      <c r="G756" s="53"/>
      <c r="H756" s="53"/>
      <c r="I756" s="5">
        <f>IF(FINANCIACION[[#This Row],[$ CAPITAL]]&gt;0,FINANCIACION[[#This Row],[$ CAPITAL]])</f>
        <v>1000000</v>
      </c>
      <c r="J756" s="33">
        <f>IF(FINANCIACION[[#This Row],[$ CAPITAL]]&gt;=0,FINANCIACION[[#This Row],[$ CAPITAL]]+FINANCIACION[[#This Row],[$ INTERESES]],0)</f>
        <v>1000000</v>
      </c>
    </row>
    <row r="757" spans="1:10" ht="24" hidden="1" customHeight="1" x14ac:dyDescent="0.3">
      <c r="A757" s="142">
        <v>44477</v>
      </c>
      <c r="B757" s="50" t="s">
        <v>819</v>
      </c>
      <c r="C757" s="5">
        <v>1926458.90831207</v>
      </c>
      <c r="D757" s="5">
        <v>750919.09168792795</v>
      </c>
      <c r="E757" s="5">
        <f>+IF(FINANCIACION[[#This Row],[$ CAPITAL]]&gt;=0,FINANCIACION[[#This Row],[$ CAPITAL]]+FINANCIACION[[#This Row],[$ INTERESES]],"")</f>
        <v>2677377.9999999981</v>
      </c>
      <c r="F757" s="5">
        <f>+SUMIFS(FINANCIACION[$ CAPITAL],FINANCIACION[Fecha],"&lt;="&amp;FINANCIACION[[#This Row],[Fecha]],FINANCIACION[PRESTAMO],FINANCIACION[[#This Row],[PRESTAMO]])</f>
        <v>-73165450.260480717</v>
      </c>
      <c r="G757" s="7"/>
      <c r="H757" s="53"/>
      <c r="I757" s="5">
        <f>IF(FINANCIACION[[#This Row],[$ CAPITAL]]&gt;0,FINANCIACION[[#This Row],[$ CAPITAL]])</f>
        <v>1926458.90831207</v>
      </c>
      <c r="J757" s="33">
        <f>IF(FINANCIACION[[#This Row],[$ CAPITAL]]&gt;=0,FINANCIACION[[#This Row],[$ CAPITAL]]+FINANCIACION[[#This Row],[$ INTERESES]],0)</f>
        <v>2677377.9999999981</v>
      </c>
    </row>
    <row r="758" spans="1:10" ht="24" hidden="1" customHeight="1" x14ac:dyDescent="0.3">
      <c r="A758" s="142">
        <v>44480</v>
      </c>
      <c r="B758" s="50" t="s">
        <v>834</v>
      </c>
      <c r="C758" s="5"/>
      <c r="D758" s="5">
        <v>400000</v>
      </c>
      <c r="E758" s="5">
        <f>+IF(FINANCIACION[[#This Row],[$ CAPITAL]]&gt;=0,FINANCIACION[[#This Row],[$ CAPITAL]]+FINANCIACION[[#This Row],[$ INTERESES]],"")</f>
        <v>400000</v>
      </c>
      <c r="F758" s="5">
        <f>+SUMIFS(FINANCIACION[$ CAPITAL],FINANCIACION[Fecha],"&lt;="&amp;FINANCIACION[[#This Row],[Fecha]],FINANCIACION[PRESTAMO],FINANCIACION[[#This Row],[PRESTAMO]])</f>
        <v>-40000000</v>
      </c>
      <c r="G758" s="7" t="s">
        <v>471</v>
      </c>
      <c r="H758" s="53"/>
      <c r="I758" s="5" t="b">
        <f>IF(FINANCIACION[[#This Row],[$ CAPITAL]]&gt;0,FINANCIACION[[#This Row],[$ CAPITAL]])</f>
        <v>0</v>
      </c>
      <c r="J758" s="33">
        <f>IF(FINANCIACION[[#This Row],[$ CAPITAL]]&gt;=0,FINANCIACION[[#This Row],[$ CAPITAL]]+FINANCIACION[[#This Row],[$ INTERESES]],0)</f>
        <v>400000</v>
      </c>
    </row>
    <row r="759" spans="1:10" ht="24" hidden="1" customHeight="1" x14ac:dyDescent="0.3">
      <c r="A759" s="142">
        <v>44480</v>
      </c>
      <c r="B759" s="50" t="s">
        <v>823</v>
      </c>
      <c r="C759" s="5">
        <v>742214.88930021925</v>
      </c>
      <c r="D759" s="5">
        <v>557785.11069978075</v>
      </c>
      <c r="E759" s="5">
        <f>+IF(FINANCIACION[[#This Row],[$ CAPITAL]]&gt;=0,FINANCIACION[[#This Row],[$ CAPITAL]]+FINANCIACION[[#This Row],[$ INTERESES]],"")</f>
        <v>1300000</v>
      </c>
      <c r="F759" s="5">
        <f>+SUMIFS(FINANCIACION[$ CAPITAL],FINANCIACION[Fecha],"&lt;="&amp;FINANCIACION[[#This Row],[Fecha]],FINANCIACION[PRESTAMO],FINANCIACION[[#This Row],[PRESTAMO]])</f>
        <v>-55036296.180677854</v>
      </c>
      <c r="G759" s="7"/>
      <c r="H759" s="53"/>
      <c r="I759" s="5">
        <f>IF(FINANCIACION[[#This Row],[$ CAPITAL]]&gt;0,FINANCIACION[[#This Row],[$ CAPITAL]])</f>
        <v>742214.88930021925</v>
      </c>
      <c r="J759" s="33">
        <f>IF(FINANCIACION[[#This Row],[$ CAPITAL]]&gt;=0,FINANCIACION[[#This Row],[$ CAPITAL]]+FINANCIACION[[#This Row],[$ INTERESES]],0)</f>
        <v>1300000</v>
      </c>
    </row>
    <row r="760" spans="1:10" ht="24" hidden="1" customHeight="1" x14ac:dyDescent="0.3">
      <c r="A760" s="142">
        <v>44480</v>
      </c>
      <c r="B760" s="50" t="s">
        <v>820</v>
      </c>
      <c r="C760" s="5">
        <v>481588.29537254432</v>
      </c>
      <c r="D760" s="5">
        <v>718411.70462745568</v>
      </c>
      <c r="E760" s="5">
        <f>+IF(FINANCIACION[[#This Row],[$ CAPITAL]]&gt;=0,FINANCIACION[[#This Row],[$ CAPITAL]]+FINANCIACION[[#This Row],[$ INTERESES]],"")</f>
        <v>1200000</v>
      </c>
      <c r="F760" s="5">
        <f>+SUMIFS(FINANCIACION[$ CAPITAL],FINANCIACION[Fecha],"&lt;="&amp;FINANCIACION[[#This Row],[Fecha]],FINANCIACION[PRESTAMO],FINANCIACION[[#This Row],[PRESTAMO]])</f>
        <v>-71530270.027373016</v>
      </c>
      <c r="G760" s="7"/>
      <c r="H760" s="53"/>
      <c r="I760" s="5">
        <f>IF(FINANCIACION[[#This Row],[$ CAPITAL]]&gt;0,FINANCIACION[[#This Row],[$ CAPITAL]])</f>
        <v>481588.29537254432</v>
      </c>
      <c r="J760" s="33">
        <f>IF(FINANCIACION[[#This Row],[$ CAPITAL]]&gt;=0,FINANCIACION[[#This Row],[$ CAPITAL]]+FINANCIACION[[#This Row],[$ INTERESES]],0)</f>
        <v>1200000</v>
      </c>
    </row>
    <row r="761" spans="1:10" ht="24" hidden="1" customHeight="1" x14ac:dyDescent="0.3">
      <c r="A761" s="142">
        <v>44480</v>
      </c>
      <c r="B761" s="50" t="s">
        <v>832</v>
      </c>
      <c r="C761" s="5"/>
      <c r="D761" s="5">
        <v>120000</v>
      </c>
      <c r="E761" s="5">
        <f>+IF(FINANCIACION[[#This Row],[$ CAPITAL]]&gt;=0,FINANCIACION[[#This Row],[$ CAPITAL]]+FINANCIACION[[#This Row],[$ INTERESES]],"")</f>
        <v>120000</v>
      </c>
      <c r="F761" s="5">
        <f>+SUMIFS(FINANCIACION[$ CAPITAL],FINANCIACION[Fecha],"&lt;="&amp;FINANCIACION[[#This Row],[Fecha]],FINANCIACION[PRESTAMO],FINANCIACION[[#This Row],[PRESTAMO]])</f>
        <v>-12000000</v>
      </c>
      <c r="G761" s="7"/>
      <c r="H761" s="53"/>
      <c r="I761" s="5" t="b">
        <f>IF(FINANCIACION[[#This Row],[$ CAPITAL]]&gt;0,FINANCIACION[[#This Row],[$ CAPITAL]])</f>
        <v>0</v>
      </c>
      <c r="J761" s="33">
        <f>IF(FINANCIACION[[#This Row],[$ CAPITAL]]&gt;=0,FINANCIACION[[#This Row],[$ CAPITAL]]+FINANCIACION[[#This Row],[$ INTERESES]],0)</f>
        <v>120000</v>
      </c>
    </row>
    <row r="762" spans="1:10" ht="24" hidden="1" customHeight="1" x14ac:dyDescent="0.3">
      <c r="A762" s="142">
        <v>44480</v>
      </c>
      <c r="B762" s="50" t="s">
        <v>191</v>
      </c>
      <c r="C762" s="5">
        <v>6367304.5499999998</v>
      </c>
      <c r="D762" s="5">
        <v>241337.49</v>
      </c>
      <c r="E762" s="5">
        <f>+IF(FINANCIACION[[#This Row],[$ CAPITAL]]&gt;=0,FINANCIACION[[#This Row],[$ CAPITAL]]+FINANCIACION[[#This Row],[$ INTERESES]],"")</f>
        <v>6608642.04</v>
      </c>
      <c r="F762" s="5">
        <f>+SUMIFS(FINANCIACION[$ CAPITAL],FINANCIACION[Fecha],"&lt;="&amp;FINANCIACION[[#This Row],[Fecha]],FINANCIACION[PRESTAMO],FINANCIACION[[#This Row],[PRESTAMO]])</f>
        <v>-28693821.449999999</v>
      </c>
      <c r="G762" s="7"/>
      <c r="H762" s="53"/>
      <c r="I762" s="5">
        <f>IF(FINANCIACION[[#This Row],[$ CAPITAL]]&gt;0,FINANCIACION[[#This Row],[$ CAPITAL]])</f>
        <v>6367304.5499999998</v>
      </c>
      <c r="J762" s="33">
        <f>IF(FINANCIACION[[#This Row],[$ CAPITAL]]&gt;=0,FINANCIACION[[#This Row],[$ CAPITAL]]+FINANCIACION[[#This Row],[$ INTERESES]],0)</f>
        <v>6608642.04</v>
      </c>
    </row>
    <row r="763" spans="1:10" ht="24" hidden="1" customHeight="1" x14ac:dyDescent="0.3">
      <c r="A763" s="142">
        <v>44480</v>
      </c>
      <c r="B763" s="50" t="s">
        <v>196</v>
      </c>
      <c r="C763" s="5">
        <v>3765800</v>
      </c>
      <c r="D763" s="5"/>
      <c r="E763" s="5">
        <f>+IF(FINANCIACION[[#This Row],[$ CAPITAL]]&gt;=0,FINANCIACION[[#This Row],[$ CAPITAL]]+FINANCIACION[[#This Row],[$ INTERESES]],"")</f>
        <v>3765800</v>
      </c>
      <c r="F763" s="5">
        <f>+SUMIFS(FINANCIACION[$ CAPITAL],FINANCIACION[Fecha],"&lt;="&amp;FINANCIACION[[#This Row],[Fecha]],FINANCIACION[PRESTAMO],FINANCIACION[[#This Row],[PRESTAMO]])</f>
        <v>-26253020</v>
      </c>
      <c r="G763" s="7"/>
      <c r="H763" s="53"/>
      <c r="I763" s="5">
        <f>IF(FINANCIACION[[#This Row],[$ CAPITAL]]&gt;0,FINANCIACION[[#This Row],[$ CAPITAL]])</f>
        <v>3765800</v>
      </c>
      <c r="J763" s="33">
        <f>IF(FINANCIACION[[#This Row],[$ CAPITAL]]&gt;=0,FINANCIACION[[#This Row],[$ CAPITAL]]+FINANCIACION[[#This Row],[$ INTERESES]],0)</f>
        <v>3765800</v>
      </c>
    </row>
    <row r="764" spans="1:10" ht="24" hidden="1" customHeight="1" x14ac:dyDescent="0.3">
      <c r="A764" s="142">
        <v>44483</v>
      </c>
      <c r="B764" s="50" t="s">
        <v>194</v>
      </c>
      <c r="C764" s="5"/>
      <c r="D764" s="5">
        <v>231875</v>
      </c>
      <c r="E764" s="5">
        <f>+IF(FINANCIACION[[#This Row],[$ CAPITAL]]&gt;=0,FINANCIACION[[#This Row],[$ CAPITAL]]+FINANCIACION[[#This Row],[$ INTERESES]],"")</f>
        <v>231875</v>
      </c>
      <c r="F764" s="5">
        <f>+SUMIFS(FINANCIACION[$ CAPITAL],FINANCIACION[Fecha],"&lt;="&amp;FINANCIACION[[#This Row],[Fecha]],FINANCIACION[PRESTAMO],FINANCIACION[[#This Row],[PRESTAMO]])</f>
        <v>-35000000</v>
      </c>
      <c r="G764" s="7"/>
      <c r="H764" s="53"/>
      <c r="I764" s="5" t="b">
        <f>IF(FINANCIACION[[#This Row],[$ CAPITAL]]&gt;0,FINANCIACION[[#This Row],[$ CAPITAL]])</f>
        <v>0</v>
      </c>
      <c r="J764" s="8">
        <f>IF(FINANCIACION[[#This Row],[$ CAPITAL]]&gt;=0,FINANCIACION[[#This Row],[$ CAPITAL]]+FINANCIACION[[#This Row],[$ INTERESES]],0)</f>
        <v>231875</v>
      </c>
    </row>
    <row r="765" spans="1:10" ht="24" hidden="1" customHeight="1" x14ac:dyDescent="0.3">
      <c r="A765" s="142">
        <v>44483</v>
      </c>
      <c r="B765" s="50" t="s">
        <v>195</v>
      </c>
      <c r="C765" s="5">
        <v>945175</v>
      </c>
      <c r="D765" s="5"/>
      <c r="E765" s="5">
        <f>+IF(FINANCIACION[[#This Row],[$ CAPITAL]]&gt;=0,FINANCIACION[[#This Row],[$ CAPITAL]]+FINANCIACION[[#This Row],[$ INTERESES]],"")</f>
        <v>945175</v>
      </c>
      <c r="F765" s="5">
        <f>+SUMIFS(FINANCIACION[$ CAPITAL],FINANCIACION[Fecha],"&lt;="&amp;FINANCIACION[[#This Row],[Fecha]],FINANCIACION[PRESTAMO],FINANCIACION[[#This Row],[PRESTAMO]])</f>
        <v>1316072</v>
      </c>
      <c r="G765" s="7"/>
      <c r="H765" s="53"/>
      <c r="I765" s="5">
        <f>IF(FINANCIACION[[#This Row],[$ CAPITAL]]&gt;0,FINANCIACION[[#This Row],[$ CAPITAL]])</f>
        <v>945175</v>
      </c>
      <c r="J765" s="8">
        <f>IF(FINANCIACION[[#This Row],[$ CAPITAL]]&gt;=0,FINANCIACION[[#This Row],[$ CAPITAL]]+FINANCIACION[[#This Row],[$ INTERESES]],0)</f>
        <v>945175</v>
      </c>
    </row>
    <row r="766" spans="1:10" ht="24" hidden="1" customHeight="1" x14ac:dyDescent="0.3">
      <c r="A766" s="142">
        <v>44483</v>
      </c>
      <c r="B766" s="50" t="s">
        <v>196</v>
      </c>
      <c r="C766" s="5">
        <v>5607720</v>
      </c>
      <c r="D766" s="5"/>
      <c r="E766" s="5">
        <f>+IF(FINANCIACION[[#This Row],[$ CAPITAL]]&gt;=0,FINANCIACION[[#This Row],[$ CAPITAL]]+FINANCIACION[[#This Row],[$ INTERESES]],"")</f>
        <v>5607720</v>
      </c>
      <c r="F766" s="5">
        <f>+SUMIFS(FINANCIACION[$ CAPITAL],FINANCIACION[Fecha],"&lt;="&amp;FINANCIACION[[#This Row],[Fecha]],FINANCIACION[PRESTAMO],FINANCIACION[[#This Row],[PRESTAMO]])</f>
        <v>-5691380</v>
      </c>
      <c r="G766" s="7"/>
      <c r="H766" s="53"/>
      <c r="I766" s="5">
        <f>IF(FINANCIACION[[#This Row],[$ CAPITAL]]&gt;0,FINANCIACION[[#This Row],[$ CAPITAL]])</f>
        <v>5607720</v>
      </c>
      <c r="J766" s="8">
        <f>IF(FINANCIACION[[#This Row],[$ CAPITAL]]&gt;=0,FINANCIACION[[#This Row],[$ CAPITAL]]+FINANCIACION[[#This Row],[$ INTERESES]],0)</f>
        <v>5607720</v>
      </c>
    </row>
    <row r="767" spans="1:10" ht="24" hidden="1" customHeight="1" x14ac:dyDescent="0.3">
      <c r="A767" s="142">
        <v>44483</v>
      </c>
      <c r="B767" s="50" t="s">
        <v>196</v>
      </c>
      <c r="C767" s="5">
        <v>14953920</v>
      </c>
      <c r="D767" s="5"/>
      <c r="E767" s="5">
        <f>+IF(FINANCIACION[[#This Row],[$ CAPITAL]]&gt;=0,FINANCIACION[[#This Row],[$ CAPITAL]]+FINANCIACION[[#This Row],[$ INTERESES]],"")</f>
        <v>14953920</v>
      </c>
      <c r="F767" s="5">
        <f>+SUMIFS(FINANCIACION[$ CAPITAL],FINANCIACION[Fecha],"&lt;="&amp;FINANCIACION[[#This Row],[Fecha]],FINANCIACION[PRESTAMO],FINANCIACION[[#This Row],[PRESTAMO]])</f>
        <v>-5691380</v>
      </c>
      <c r="G767" s="7"/>
      <c r="H767" s="53"/>
      <c r="I767" s="5">
        <f>IF(FINANCIACION[[#This Row],[$ CAPITAL]]&gt;0,FINANCIACION[[#This Row],[$ CAPITAL]])</f>
        <v>14953920</v>
      </c>
      <c r="J767" s="8">
        <f>IF(FINANCIACION[[#This Row],[$ CAPITAL]]&gt;=0,FINANCIACION[[#This Row],[$ CAPITAL]]+FINANCIACION[[#This Row],[$ INTERESES]],0)</f>
        <v>14953920</v>
      </c>
    </row>
    <row r="768" spans="1:10" ht="24" hidden="1" customHeight="1" x14ac:dyDescent="0.3">
      <c r="A768" s="142">
        <v>44483</v>
      </c>
      <c r="B768" s="50" t="s">
        <v>197</v>
      </c>
      <c r="C768" s="5">
        <v>1000000</v>
      </c>
      <c r="D768" s="5"/>
      <c r="E768" s="5">
        <f>+IF(FINANCIACION[[#This Row],[$ CAPITAL]]&gt;=0,FINANCIACION[[#This Row],[$ CAPITAL]]+FINANCIACION[[#This Row],[$ INTERESES]],"")</f>
        <v>1000000</v>
      </c>
      <c r="F768" s="5">
        <f>+SUMIFS(FINANCIACION[$ CAPITAL],FINANCIACION[Fecha],"&lt;="&amp;FINANCIACION[[#This Row],[Fecha]],FINANCIACION[PRESTAMO],FINANCIACION[[#This Row],[PRESTAMO]])</f>
        <v>-2108939</v>
      </c>
      <c r="G768" s="7"/>
      <c r="H768" s="53"/>
      <c r="I768" s="5">
        <f>IF(FINANCIACION[[#This Row],[$ CAPITAL]]&gt;0,FINANCIACION[[#This Row],[$ CAPITAL]])</f>
        <v>1000000</v>
      </c>
      <c r="J768" s="8">
        <f>IF(FINANCIACION[[#This Row],[$ CAPITAL]]&gt;=0,FINANCIACION[[#This Row],[$ CAPITAL]]+FINANCIACION[[#This Row],[$ INTERESES]],0)</f>
        <v>1000000</v>
      </c>
    </row>
    <row r="769" spans="1:10" ht="24" hidden="1" customHeight="1" x14ac:dyDescent="0.3">
      <c r="A769" s="142">
        <v>44488</v>
      </c>
      <c r="B769" s="50" t="s">
        <v>821</v>
      </c>
      <c r="C769" s="5">
        <v>5238034</v>
      </c>
      <c r="D769" s="5">
        <v>683538</v>
      </c>
      <c r="E769" s="5">
        <f>+IF(FINANCIACION[[#This Row],[$ CAPITAL]]&gt;=0,FINANCIACION[[#This Row],[$ CAPITAL]]+FINANCIACION[[#This Row],[$ INTERESES]],"")</f>
        <v>5921572</v>
      </c>
      <c r="F769" s="5">
        <f>+SUMIFS(FINANCIACION[$ CAPITAL],FINANCIACION[Fecha],"&lt;="&amp;FINANCIACION[[#This Row],[Fecha]],FINANCIACION[PRESTAMO],FINANCIACION[[#This Row],[PRESTAMO]])</f>
        <v>-328259144</v>
      </c>
      <c r="G769" s="53"/>
      <c r="H769" s="53"/>
      <c r="I769" s="5">
        <f>IF(FINANCIACION[[#This Row],[$ CAPITAL]]&gt;0,FINANCIACION[[#This Row],[$ CAPITAL]])</f>
        <v>5238034</v>
      </c>
      <c r="J769" s="33">
        <f>IF(FINANCIACION[[#This Row],[$ CAPITAL]]&gt;=0,FINANCIACION[[#This Row],[$ CAPITAL]]+FINANCIACION[[#This Row],[$ INTERESES]],0)</f>
        <v>5921572</v>
      </c>
    </row>
    <row r="770" spans="1:10" ht="24" hidden="1" customHeight="1" x14ac:dyDescent="0.3">
      <c r="A770" s="142">
        <v>44488</v>
      </c>
      <c r="B770" s="50" t="s">
        <v>195</v>
      </c>
      <c r="C770" s="5">
        <v>1570289</v>
      </c>
      <c r="D770" s="5"/>
      <c r="E770" s="5">
        <f>+IF(FINANCIACION[[#This Row],[$ CAPITAL]]&gt;=0,FINANCIACION[[#This Row],[$ CAPITAL]]+FINANCIACION[[#This Row],[$ INTERESES]],"")</f>
        <v>1570289</v>
      </c>
      <c r="F770" s="5">
        <f>+SUMIFS(FINANCIACION[$ CAPITAL],FINANCIACION[Fecha],"&lt;="&amp;FINANCIACION[[#This Row],[Fecha]],FINANCIACION[PRESTAMO],FINANCIACION[[#This Row],[PRESTAMO]])</f>
        <v>2886361</v>
      </c>
      <c r="G770" s="7"/>
      <c r="H770" s="53"/>
      <c r="I770" s="5">
        <f>IF(FINANCIACION[[#This Row],[$ CAPITAL]]&gt;0,FINANCIACION[[#This Row],[$ CAPITAL]])</f>
        <v>1570289</v>
      </c>
      <c r="J770" s="8">
        <f>IF(FINANCIACION[[#This Row],[$ CAPITAL]]&gt;=0,FINANCIACION[[#This Row],[$ CAPITAL]]+FINANCIACION[[#This Row],[$ INTERESES]],0)</f>
        <v>1570289</v>
      </c>
    </row>
    <row r="771" spans="1:10" ht="24" hidden="1" customHeight="1" x14ac:dyDescent="0.3">
      <c r="A771" s="142">
        <v>44490</v>
      </c>
      <c r="B771" s="50" t="s">
        <v>833</v>
      </c>
      <c r="C771" s="5">
        <v>1207376.9100000001</v>
      </c>
      <c r="D771" s="5">
        <v>18623.089999999851</v>
      </c>
      <c r="E771" s="5">
        <f>+IF(FINANCIACION[[#This Row],[$ CAPITAL]]&gt;=0,FINANCIACION[[#This Row],[$ CAPITAL]]+FINANCIACION[[#This Row],[$ INTERESES]],"")</f>
        <v>1226000</v>
      </c>
      <c r="F771" s="5">
        <f>+SUMIFS(FINANCIACION[$ CAPITAL],FINANCIACION[Fecha],"&lt;="&amp;FINANCIACION[[#This Row],[Fecha]],FINANCIACION[PRESTAMO],FINANCIACION[[#This Row],[PRESTAMO]])</f>
        <v>-20060494.380000003</v>
      </c>
      <c r="G771" s="53"/>
      <c r="H771" s="53"/>
      <c r="I771" s="5">
        <f>IF(FINANCIACION[[#This Row],[$ CAPITAL]]&gt;0,FINANCIACION[[#This Row],[$ CAPITAL]])</f>
        <v>1207376.9100000001</v>
      </c>
      <c r="J771" s="33">
        <f>IF(FINANCIACION[[#This Row],[$ CAPITAL]]&gt;=0,FINANCIACION[[#This Row],[$ CAPITAL]]+FINANCIACION[[#This Row],[$ INTERESES]],0)</f>
        <v>1226000</v>
      </c>
    </row>
    <row r="772" spans="1:10" ht="24" hidden="1" customHeight="1" x14ac:dyDescent="0.3">
      <c r="A772" s="142">
        <v>44490</v>
      </c>
      <c r="B772" s="50" t="s">
        <v>827</v>
      </c>
      <c r="C772" s="5">
        <v>966289.62999999896</v>
      </c>
      <c r="D772" s="5">
        <v>15710.370000001043</v>
      </c>
      <c r="E772" s="5">
        <f>+IF(FINANCIACION[[#This Row],[$ CAPITAL]]&gt;=0,FINANCIACION[[#This Row],[$ CAPITAL]]+FINANCIACION[[#This Row],[$ INTERESES]],"")</f>
        <v>982000</v>
      </c>
      <c r="F772" s="5">
        <f>+SUMIFS(FINANCIACION[$ CAPITAL],FINANCIACION[Fecha],"&lt;="&amp;FINANCIACION[[#This Row],[Fecha]],FINANCIACION[PRESTAMO],FINANCIACION[[#This Row],[PRESTAMO]])</f>
        <v>-17508544.630000006</v>
      </c>
      <c r="G772" s="53"/>
      <c r="H772" s="53"/>
      <c r="I772" s="5">
        <f>IF(FINANCIACION[[#This Row],[$ CAPITAL]]&gt;0,FINANCIACION[[#This Row],[$ CAPITAL]])</f>
        <v>966289.62999999896</v>
      </c>
      <c r="J772" s="33">
        <f>IF(FINANCIACION[[#This Row],[$ CAPITAL]]&gt;=0,FINANCIACION[[#This Row],[$ CAPITAL]]+FINANCIACION[[#This Row],[$ INTERESES]],0)</f>
        <v>982000</v>
      </c>
    </row>
    <row r="773" spans="1:10" ht="24" hidden="1" customHeight="1" x14ac:dyDescent="0.3">
      <c r="A773" s="142">
        <v>44490</v>
      </c>
      <c r="B773" s="50" t="s">
        <v>829</v>
      </c>
      <c r="C773" s="5">
        <v>1018692.3000000007</v>
      </c>
      <c r="D773" s="5">
        <v>17307.699999999255</v>
      </c>
      <c r="E773" s="5">
        <f>+IF(FINANCIACION[[#This Row],[$ CAPITAL]]&gt;=0,FINANCIACION[[#This Row],[$ CAPITAL]]+FINANCIACION[[#This Row],[$ INTERESES]],"")</f>
        <v>1036000</v>
      </c>
      <c r="F773" s="5">
        <f>+SUMIFS(FINANCIACION[$ CAPITAL],FINANCIACION[Fecha],"&lt;="&amp;FINANCIACION[[#This Row],[Fecha]],FINANCIACION[PRESTAMO],FINANCIACION[[#This Row],[PRESTAMO]])</f>
        <v>-19242659.020000003</v>
      </c>
      <c r="G773" s="53"/>
      <c r="H773" s="53"/>
      <c r="I773" s="5">
        <f>IF(FINANCIACION[[#This Row],[$ CAPITAL]]&gt;0,FINANCIACION[[#This Row],[$ CAPITAL]])</f>
        <v>1018692.3000000007</v>
      </c>
      <c r="J773" s="33">
        <f>IF(FINANCIACION[[#This Row],[$ CAPITAL]]&gt;=0,FINANCIACION[[#This Row],[$ CAPITAL]]+FINANCIACION[[#This Row],[$ INTERESES]],0)</f>
        <v>1036000</v>
      </c>
    </row>
    <row r="774" spans="1:10" ht="24" hidden="1" customHeight="1" x14ac:dyDescent="0.3">
      <c r="A774" s="142">
        <v>44490</v>
      </c>
      <c r="B774" s="50" t="s">
        <v>825</v>
      </c>
      <c r="C774" s="5">
        <v>2460269.9600000009</v>
      </c>
      <c r="D774" s="5">
        <v>29730.039999999106</v>
      </c>
      <c r="E774" s="5">
        <f>+IF(FINANCIACION[[#This Row],[$ CAPITAL]]&gt;=0,FINANCIACION[[#This Row],[$ CAPITAL]]+FINANCIACION[[#This Row],[$ INTERESES]],"")</f>
        <v>2490000</v>
      </c>
      <c r="F774" s="5">
        <f>+SUMIFS(FINANCIACION[$ CAPITAL],FINANCIACION[Fecha],"&lt;="&amp;FINANCIACION[[#This Row],[Fecha]],FINANCIACION[PRESTAMO],FINANCIACION[[#This Row],[PRESTAMO]])</f>
        <v>-42697257.329999998</v>
      </c>
      <c r="G774" s="53"/>
      <c r="H774" s="53"/>
      <c r="I774" s="5">
        <f>IF(FINANCIACION[[#This Row],[$ CAPITAL]]&gt;0,FINANCIACION[[#This Row],[$ CAPITAL]])</f>
        <v>2460269.9600000009</v>
      </c>
      <c r="J774" s="33">
        <f>IF(FINANCIACION[[#This Row],[$ CAPITAL]]&gt;=0,FINANCIACION[[#This Row],[$ CAPITAL]]+FINANCIACION[[#This Row],[$ INTERESES]],0)</f>
        <v>2490000</v>
      </c>
    </row>
    <row r="775" spans="1:10" ht="24" hidden="1" customHeight="1" x14ac:dyDescent="0.3">
      <c r="A775" s="142">
        <v>44490</v>
      </c>
      <c r="B775" s="50" t="s">
        <v>826</v>
      </c>
      <c r="C775" s="5">
        <v>3617080.799999997</v>
      </c>
      <c r="D775" s="5">
        <v>47919.20000000298</v>
      </c>
      <c r="E775" s="5">
        <f>+IF(FINANCIACION[[#This Row],[$ CAPITAL]]&gt;=0,FINANCIACION[[#This Row],[$ CAPITAL]]+FINANCIACION[[#This Row],[$ INTERESES]],"")</f>
        <v>3665000</v>
      </c>
      <c r="F775" s="5">
        <f>+SUMIFS(FINANCIACION[$ CAPITAL],FINANCIACION[Fecha],"&lt;="&amp;FINANCIACION[[#This Row],[Fecha]],FINANCIACION[PRESTAMO],FINANCIACION[[#This Row],[PRESTAMO]])</f>
        <v>-61771693.030000001</v>
      </c>
      <c r="G775" s="7"/>
      <c r="H775" s="53"/>
      <c r="I775" s="5">
        <f>IF(FINANCIACION[[#This Row],[$ CAPITAL]]&gt;0,FINANCIACION[[#This Row],[$ CAPITAL]])</f>
        <v>3617080.799999997</v>
      </c>
      <c r="J775" s="33">
        <f>IF(FINANCIACION[[#This Row],[$ CAPITAL]]&gt;=0,FINANCIACION[[#This Row],[$ CAPITAL]]+FINANCIACION[[#This Row],[$ INTERESES]],0)</f>
        <v>3665000</v>
      </c>
    </row>
    <row r="776" spans="1:10" ht="24" hidden="1" customHeight="1" x14ac:dyDescent="0.3">
      <c r="A776" s="142">
        <v>44490</v>
      </c>
      <c r="B776" s="50" t="s">
        <v>822</v>
      </c>
      <c r="C776" s="5">
        <v>1455390.5800000019</v>
      </c>
      <c r="D776" s="5">
        <v>20609.419999998063</v>
      </c>
      <c r="E776" s="5">
        <f>+IF(FINANCIACION[[#This Row],[$ CAPITAL]]&gt;=0,FINANCIACION[[#This Row],[$ CAPITAL]]+FINANCIACION[[#This Row],[$ INTERESES]],"")</f>
        <v>1476000</v>
      </c>
      <c r="F776" s="5">
        <f>+SUMIFS(FINANCIACION[$ CAPITAL],FINANCIACION[Fecha],"&lt;="&amp;FINANCIACION[[#This Row],[Fecha]],FINANCIACION[PRESTAMO],FINANCIACION[[#This Row],[PRESTAMO]])</f>
        <v>-22682493.509999987</v>
      </c>
      <c r="G776" s="53"/>
      <c r="H776" s="53"/>
      <c r="I776" s="5">
        <f>IF(FINANCIACION[[#This Row],[$ CAPITAL]]&gt;0,FINANCIACION[[#This Row],[$ CAPITAL]])</f>
        <v>1455390.5800000019</v>
      </c>
      <c r="J776" s="33">
        <f>IF(FINANCIACION[[#This Row],[$ CAPITAL]]&gt;=0,FINANCIACION[[#This Row],[$ CAPITAL]]+FINANCIACION[[#This Row],[$ INTERESES]],0)</f>
        <v>1476000</v>
      </c>
    </row>
    <row r="777" spans="1:10" ht="24" hidden="1" customHeight="1" x14ac:dyDescent="0.3">
      <c r="A777" s="142">
        <v>44491</v>
      </c>
      <c r="B777" s="50" t="s">
        <v>196</v>
      </c>
      <c r="C777" s="5">
        <v>3783300</v>
      </c>
      <c r="D777" s="5"/>
      <c r="E777" s="5">
        <f>+IF(FINANCIACION[[#This Row],[$ CAPITAL]]&gt;=0,FINANCIACION[[#This Row],[$ CAPITAL]]+FINANCIACION[[#This Row],[$ INTERESES]],"")</f>
        <v>3783300</v>
      </c>
      <c r="F777" s="5">
        <f>+SUMIFS(FINANCIACION[$ CAPITAL],FINANCIACION[Fecha],"&lt;="&amp;FINANCIACION[[#This Row],[Fecha]],FINANCIACION[PRESTAMO],FINANCIACION[[#This Row],[PRESTAMO]])</f>
        <v>1875220</v>
      </c>
      <c r="G777" s="53"/>
      <c r="H777" s="53"/>
      <c r="I777" s="5">
        <f>IF(FINANCIACION[[#This Row],[$ CAPITAL]]&gt;0,FINANCIACION[[#This Row],[$ CAPITAL]])</f>
        <v>3783300</v>
      </c>
      <c r="J777" s="33">
        <f>IF(FINANCIACION[[#This Row],[$ CAPITAL]]&gt;=0,FINANCIACION[[#This Row],[$ CAPITAL]]+FINANCIACION[[#This Row],[$ INTERESES]],0)</f>
        <v>3783300</v>
      </c>
    </row>
    <row r="778" spans="1:10" ht="24" hidden="1" customHeight="1" x14ac:dyDescent="0.3">
      <c r="A778" s="142">
        <v>44491</v>
      </c>
      <c r="B778" s="50" t="s">
        <v>196</v>
      </c>
      <c r="C778" s="5">
        <v>3783300</v>
      </c>
      <c r="D778" s="5"/>
      <c r="E778" s="5">
        <f>+IF(FINANCIACION[[#This Row],[$ CAPITAL]]&gt;=0,FINANCIACION[[#This Row],[$ CAPITAL]]+FINANCIACION[[#This Row],[$ INTERESES]],"")</f>
        <v>3783300</v>
      </c>
      <c r="F778" s="5">
        <f>+SUMIFS(FINANCIACION[$ CAPITAL],FINANCIACION[Fecha],"&lt;="&amp;FINANCIACION[[#This Row],[Fecha]],FINANCIACION[PRESTAMO],FINANCIACION[[#This Row],[PRESTAMO]])</f>
        <v>1875220</v>
      </c>
      <c r="G778" s="53"/>
      <c r="H778" s="53"/>
      <c r="I778" s="5">
        <f>IF(FINANCIACION[[#This Row],[$ CAPITAL]]&gt;0,FINANCIACION[[#This Row],[$ CAPITAL]])</f>
        <v>3783300</v>
      </c>
      <c r="J778" s="33">
        <f>IF(FINANCIACION[[#This Row],[$ CAPITAL]]&gt;=0,FINANCIACION[[#This Row],[$ CAPITAL]]+FINANCIACION[[#This Row],[$ INTERESES]],0)</f>
        <v>3783300</v>
      </c>
    </row>
    <row r="779" spans="1:10" ht="24" hidden="1" customHeight="1" x14ac:dyDescent="0.3">
      <c r="A779" s="142">
        <v>44491</v>
      </c>
      <c r="B779" s="50" t="s">
        <v>197</v>
      </c>
      <c r="C779" s="5">
        <v>1000000</v>
      </c>
      <c r="D779" s="5"/>
      <c r="E779" s="5">
        <f>+IF(FINANCIACION[[#This Row],[$ CAPITAL]]&gt;=0,FINANCIACION[[#This Row],[$ CAPITAL]]+FINANCIACION[[#This Row],[$ INTERESES]],"")</f>
        <v>1000000</v>
      </c>
      <c r="F779" s="5">
        <f>+SUMIFS(FINANCIACION[$ CAPITAL],FINANCIACION[Fecha],"&lt;="&amp;FINANCIACION[[#This Row],[Fecha]],FINANCIACION[PRESTAMO],FINANCIACION[[#This Row],[PRESTAMO]])</f>
        <v>-1108939</v>
      </c>
      <c r="G779" s="53"/>
      <c r="H779" s="53"/>
      <c r="I779" s="5">
        <f>IF(FINANCIACION[[#This Row],[$ CAPITAL]]&gt;0,FINANCIACION[[#This Row],[$ CAPITAL]])</f>
        <v>1000000</v>
      </c>
      <c r="J779" s="33">
        <f>IF(FINANCIACION[[#This Row],[$ CAPITAL]]&gt;=0,FINANCIACION[[#This Row],[$ CAPITAL]]+FINANCIACION[[#This Row],[$ INTERESES]],0)</f>
        <v>1000000</v>
      </c>
    </row>
    <row r="780" spans="1:10" ht="24" hidden="1" customHeight="1" x14ac:dyDescent="0.3">
      <c r="A780" s="142">
        <v>44500</v>
      </c>
      <c r="B780" s="50" t="s">
        <v>190</v>
      </c>
      <c r="C780" s="5">
        <v>369052.82999999076</v>
      </c>
      <c r="D780" s="5"/>
      <c r="E780" s="5">
        <f>+IF(FINANCIACION[[#This Row],[$ CAPITAL]]&gt;=0,FINANCIACION[[#This Row],[$ CAPITAL]]+FINANCIACION[[#This Row],[$ INTERESES]],"")</f>
        <v>369052.82999999076</v>
      </c>
      <c r="F780" s="5">
        <f>+SUMIFS(FINANCIACION[$ CAPITAL],FINANCIACION[Fecha],"&lt;="&amp;FINANCIACION[[#This Row],[Fecha]],FINANCIACION[PRESTAMO],FINANCIACION[[#This Row],[PRESTAMO]])</f>
        <v>-65636342.670000009</v>
      </c>
      <c r="G780" s="53" t="s">
        <v>225</v>
      </c>
      <c r="H780" s="53"/>
      <c r="I780" s="5">
        <f>IF(FINANCIACION[[#This Row],[$ CAPITAL]]&gt;0,FINANCIACION[[#This Row],[$ CAPITAL]])</f>
        <v>369052.82999999076</v>
      </c>
      <c r="J780" s="33">
        <f>IF(FINANCIACION[[#This Row],[$ CAPITAL]]&gt;=0,FINANCIACION[[#This Row],[$ CAPITAL]]+FINANCIACION[[#This Row],[$ INTERESES]],0)</f>
        <v>369052.82999999076</v>
      </c>
    </row>
    <row r="781" spans="1:10" ht="24" hidden="1" customHeight="1" x14ac:dyDescent="0.3">
      <c r="A781" s="142">
        <v>44500</v>
      </c>
      <c r="B781" s="50" t="s">
        <v>282</v>
      </c>
      <c r="C781" s="5">
        <v>14983.929999999702</v>
      </c>
      <c r="D781" s="5"/>
      <c r="E781" s="5">
        <f>+IF(FINANCIACION[[#This Row],[$ CAPITAL]]&gt;=0,FINANCIACION[[#This Row],[$ CAPITAL]]+FINANCIACION[[#This Row],[$ INTERESES]],"")</f>
        <v>14983.929999999702</v>
      </c>
      <c r="F781" s="5">
        <f>+SUMIFS(FINANCIACION[$ CAPITAL],FINANCIACION[Fecha],"&lt;="&amp;FINANCIACION[[#This Row],[Fecha]],FINANCIACION[PRESTAMO],FINANCIACION[[#This Row],[PRESTAMO]])</f>
        <v>-57673146.57</v>
      </c>
      <c r="G781" s="53" t="s">
        <v>225</v>
      </c>
      <c r="H781" s="53"/>
      <c r="I781" s="5">
        <f>IF(FINANCIACION[[#This Row],[$ CAPITAL]]&gt;0,FINANCIACION[[#This Row],[$ CAPITAL]])</f>
        <v>14983.929999999702</v>
      </c>
      <c r="J781" s="33">
        <f>IF(FINANCIACION[[#This Row],[$ CAPITAL]]&gt;=0,FINANCIACION[[#This Row],[$ CAPITAL]]+FINANCIACION[[#This Row],[$ INTERESES]],0)</f>
        <v>14983.929999999702</v>
      </c>
    </row>
    <row r="782" spans="1:10" ht="24" hidden="1" customHeight="1" x14ac:dyDescent="0.3">
      <c r="A782" s="142">
        <v>44500</v>
      </c>
      <c r="B782" s="50" t="s">
        <v>372</v>
      </c>
      <c r="C782" s="5">
        <v>5927.0300000011921</v>
      </c>
      <c r="D782" s="5"/>
      <c r="E782" s="5">
        <f>+IF(FINANCIACION[[#This Row],[$ CAPITAL]]&gt;=0,FINANCIACION[[#This Row],[$ CAPITAL]]+FINANCIACION[[#This Row],[$ INTERESES]],"")</f>
        <v>5927.0300000011921</v>
      </c>
      <c r="F782" s="5">
        <f>+SUMIFS(FINANCIACION[$ CAPITAL],FINANCIACION[Fecha],"&lt;="&amp;FINANCIACION[[#This Row],[Fecha]],FINANCIACION[PRESTAMO],FINANCIACION[[#This Row],[PRESTAMO]])</f>
        <v>-22813138.469999999</v>
      </c>
      <c r="G782" s="53" t="s">
        <v>225</v>
      </c>
      <c r="H782" s="53"/>
      <c r="I782" s="5">
        <f>IF(FINANCIACION[[#This Row],[$ CAPITAL]]&gt;0,FINANCIACION[[#This Row],[$ CAPITAL]])</f>
        <v>5927.0300000011921</v>
      </c>
      <c r="J782" s="33">
        <f>IF(FINANCIACION[[#This Row],[$ CAPITAL]]&gt;=0,FINANCIACION[[#This Row],[$ CAPITAL]]+FINANCIACION[[#This Row],[$ INTERESES]],0)</f>
        <v>5927.0300000011921</v>
      </c>
    </row>
    <row r="783" spans="1:10" ht="24" hidden="1" customHeight="1" x14ac:dyDescent="0.3">
      <c r="A783" s="142">
        <v>44500</v>
      </c>
      <c r="B783" s="50" t="s">
        <v>486</v>
      </c>
      <c r="C783" s="5">
        <v>13687.689999997616</v>
      </c>
      <c r="D783" s="5"/>
      <c r="E783" s="5">
        <f>+IF(FINANCIACION[[#This Row],[$ CAPITAL]]&gt;=0,FINANCIACION[[#This Row],[$ CAPITAL]]+FINANCIACION[[#This Row],[$ INTERESES]],"")</f>
        <v>13687.689999997616</v>
      </c>
      <c r="F783" s="5">
        <f>+SUMIFS(FINANCIACION[$ CAPITAL],FINANCIACION[Fecha],"&lt;="&amp;FINANCIACION[[#This Row],[Fecha]],FINANCIACION[PRESTAMO],FINANCIACION[[#This Row],[PRESTAMO]])</f>
        <v>-52683918.810000002</v>
      </c>
      <c r="G783" s="53" t="s">
        <v>225</v>
      </c>
      <c r="H783" s="53"/>
      <c r="I783" s="5">
        <f>IF(FINANCIACION[[#This Row],[$ CAPITAL]]&gt;0,FINANCIACION[[#This Row],[$ CAPITAL]])</f>
        <v>13687.689999997616</v>
      </c>
      <c r="J783" s="33">
        <f>IF(FINANCIACION[[#This Row],[$ CAPITAL]]&gt;=0,FINANCIACION[[#This Row],[$ CAPITAL]]+FINANCIACION[[#This Row],[$ INTERESES]],0)</f>
        <v>13687.689999997616</v>
      </c>
    </row>
    <row r="784" spans="1:10" ht="24" hidden="1" customHeight="1" x14ac:dyDescent="0.3">
      <c r="A784" s="142">
        <v>44500</v>
      </c>
      <c r="B784" s="50" t="s">
        <v>195</v>
      </c>
      <c r="C784" s="5">
        <v>-2886361</v>
      </c>
      <c r="D784" s="5"/>
      <c r="E784" s="5" t="str">
        <f>+IF(FINANCIACION[[#This Row],[$ CAPITAL]]&gt;=0,FINANCIACION[[#This Row],[$ CAPITAL]]+FINANCIACION[[#This Row],[$ INTERESES]],"")</f>
        <v/>
      </c>
      <c r="F784" s="5">
        <f>+SUMIFS(FINANCIACION[$ CAPITAL],FINANCIACION[Fecha],"&lt;="&amp;FINANCIACION[[#This Row],[Fecha]],FINANCIACION[PRESTAMO],FINANCIACION[[#This Row],[PRESTAMO]])</f>
        <v>0</v>
      </c>
      <c r="G784" s="53" t="s">
        <v>225</v>
      </c>
      <c r="H784" s="53"/>
      <c r="I784" s="5" t="b">
        <f>IF(FINANCIACION[[#This Row],[$ CAPITAL]]&gt;0,FINANCIACION[[#This Row],[$ CAPITAL]])</f>
        <v>0</v>
      </c>
      <c r="J784" s="33">
        <f>IF(FINANCIACION[[#This Row],[$ CAPITAL]]&gt;=0,FINANCIACION[[#This Row],[$ CAPITAL]]+FINANCIACION[[#This Row],[$ INTERESES]],0)</f>
        <v>0</v>
      </c>
    </row>
    <row r="785" spans="1:10" ht="24" hidden="1" customHeight="1" x14ac:dyDescent="0.3">
      <c r="A785" s="142">
        <v>44500</v>
      </c>
      <c r="B785" s="50" t="s">
        <v>196</v>
      </c>
      <c r="C785" s="5">
        <v>-1876641</v>
      </c>
      <c r="D785" s="5"/>
      <c r="E785" s="5" t="str">
        <f>+IF(FINANCIACION[[#This Row],[$ CAPITAL]]&gt;=0,FINANCIACION[[#This Row],[$ CAPITAL]]+FINANCIACION[[#This Row],[$ INTERESES]],"")</f>
        <v/>
      </c>
      <c r="F785" s="5">
        <f>+SUMIFS(FINANCIACION[$ CAPITAL],FINANCIACION[Fecha],"&lt;="&amp;FINANCIACION[[#This Row],[Fecha]],FINANCIACION[PRESTAMO],FINANCIACION[[#This Row],[PRESTAMO]])</f>
        <v>-1421</v>
      </c>
      <c r="G785" s="53" t="s">
        <v>225</v>
      </c>
      <c r="H785" s="53"/>
      <c r="I785" s="5" t="b">
        <f>IF(FINANCIACION[[#This Row],[$ CAPITAL]]&gt;0,FINANCIACION[[#This Row],[$ CAPITAL]])</f>
        <v>0</v>
      </c>
      <c r="J785" s="33">
        <f>IF(FINANCIACION[[#This Row],[$ CAPITAL]]&gt;=0,FINANCIACION[[#This Row],[$ CAPITAL]]+FINANCIACION[[#This Row],[$ INTERESES]],0)</f>
        <v>0</v>
      </c>
    </row>
    <row r="786" spans="1:10" ht="24" hidden="1" customHeight="1" x14ac:dyDescent="0.3">
      <c r="A786" s="142">
        <v>44500</v>
      </c>
      <c r="B786" s="50" t="s">
        <v>197</v>
      </c>
      <c r="C786" s="5">
        <v>141799</v>
      </c>
      <c r="D786" s="5"/>
      <c r="E786" s="5">
        <f>+IF(FINANCIACION[[#This Row],[$ CAPITAL]]&gt;=0,FINANCIACION[[#This Row],[$ CAPITAL]]+FINANCIACION[[#This Row],[$ INTERESES]],"")</f>
        <v>141799</v>
      </c>
      <c r="F786" s="5">
        <f>+SUMIFS(FINANCIACION[$ CAPITAL],FINANCIACION[Fecha],"&lt;="&amp;FINANCIACION[[#This Row],[Fecha]],FINANCIACION[PRESTAMO],FINANCIACION[[#This Row],[PRESTAMO]])</f>
        <v>-967140</v>
      </c>
      <c r="G786" s="53" t="s">
        <v>225</v>
      </c>
      <c r="H786" s="53"/>
      <c r="I786" s="5">
        <f>IF(FINANCIACION[[#This Row],[$ CAPITAL]]&gt;0,FINANCIACION[[#This Row],[$ CAPITAL]])</f>
        <v>141799</v>
      </c>
      <c r="J786" s="33">
        <f>IF(FINANCIACION[[#This Row],[$ CAPITAL]]&gt;=0,FINANCIACION[[#This Row],[$ CAPITAL]]+FINANCIACION[[#This Row],[$ INTERESES]],0)</f>
        <v>141799</v>
      </c>
    </row>
    <row r="787" spans="1:10" ht="24" hidden="1" customHeight="1" x14ac:dyDescent="0.3">
      <c r="A787" s="142">
        <v>44502</v>
      </c>
      <c r="B787" s="50" t="s">
        <v>187</v>
      </c>
      <c r="C787" s="5">
        <v>1468400</v>
      </c>
      <c r="D787" s="5">
        <v>418397</v>
      </c>
      <c r="E787" s="5">
        <f>+IF(FINANCIACION[[#This Row],[$ CAPITAL]]&gt;=0,FINANCIACION[[#This Row],[$ CAPITAL]]+FINANCIACION[[#This Row],[$ INTERESES]],"")</f>
        <v>1886797</v>
      </c>
      <c r="F787" s="5">
        <f>+SUMIFS(FINANCIACION[$ CAPITAL],FINANCIACION[Fecha],"&lt;="&amp;FINANCIACION[[#This Row],[Fecha]],FINANCIACION[PRESTAMO],FINANCIACION[[#This Row],[PRESTAMO]])</f>
        <v>-42583600</v>
      </c>
      <c r="G787" s="53"/>
      <c r="H787" s="53"/>
      <c r="I787" s="5">
        <f>IF(FINANCIACION[[#This Row],[$ CAPITAL]]&gt;0,FINANCIACION[[#This Row],[$ CAPITAL]])</f>
        <v>1468400</v>
      </c>
      <c r="J787" s="33">
        <f>IF(FINANCIACION[[#This Row],[$ CAPITAL]]&gt;=0,FINANCIACION[[#This Row],[$ CAPITAL]]+FINANCIACION[[#This Row],[$ INTERESES]],0)</f>
        <v>1886797</v>
      </c>
    </row>
    <row r="788" spans="1:10" ht="24" hidden="1" customHeight="1" x14ac:dyDescent="0.3">
      <c r="A788" s="142">
        <v>44502</v>
      </c>
      <c r="B788" s="50" t="s">
        <v>188</v>
      </c>
      <c r="C788" s="5">
        <v>76791</v>
      </c>
      <c r="D788" s="5"/>
      <c r="E788" s="5">
        <f>+IF(FINANCIACION[[#This Row],[$ CAPITAL]]&gt;=0,FINANCIACION[[#This Row],[$ CAPITAL]]+FINANCIACION[[#This Row],[$ INTERESES]],"")</f>
        <v>76791</v>
      </c>
      <c r="F788" s="5">
        <f>+SUMIFS(FINANCIACION[$ CAPITAL],FINANCIACION[Fecha],"&lt;="&amp;FINANCIACION[[#This Row],[Fecha]],FINANCIACION[PRESTAMO],FINANCIACION[[#This Row],[PRESTAMO]])</f>
        <v>-2226939</v>
      </c>
      <c r="G788" s="53"/>
      <c r="H788" s="53"/>
      <c r="I788" s="5">
        <f>IF(FINANCIACION[[#This Row],[$ CAPITAL]]&gt;0,FINANCIACION[[#This Row],[$ CAPITAL]])</f>
        <v>76791</v>
      </c>
      <c r="J788" s="33">
        <f>IF(FINANCIACION[[#This Row],[$ CAPITAL]]&gt;=0,FINANCIACION[[#This Row],[$ CAPITAL]]+FINANCIACION[[#This Row],[$ INTERESES]],0)</f>
        <v>76791</v>
      </c>
    </row>
    <row r="789" spans="1:10" ht="24" hidden="1" customHeight="1" x14ac:dyDescent="0.3">
      <c r="A789" s="142">
        <v>44502</v>
      </c>
      <c r="B789" s="50" t="s">
        <v>196</v>
      </c>
      <c r="C789" s="5">
        <v>1892220</v>
      </c>
      <c r="D789" s="5"/>
      <c r="E789" s="5">
        <f>+IF(FINANCIACION[[#This Row],[$ CAPITAL]]&gt;=0,FINANCIACION[[#This Row],[$ CAPITAL]]+FINANCIACION[[#This Row],[$ INTERESES]],"")</f>
        <v>1892220</v>
      </c>
      <c r="F789" s="5">
        <f>+SUMIFS(FINANCIACION[$ CAPITAL],FINANCIACION[Fecha],"&lt;="&amp;FINANCIACION[[#This Row],[Fecha]],FINANCIACION[PRESTAMO],FINANCIACION[[#This Row],[PRESTAMO]])</f>
        <v>1890799</v>
      </c>
      <c r="G789" s="53"/>
      <c r="H789" s="53"/>
      <c r="I789" s="5">
        <f>IF(FINANCIACION[[#This Row],[$ CAPITAL]]&gt;0,FINANCIACION[[#This Row],[$ CAPITAL]])</f>
        <v>1892220</v>
      </c>
      <c r="J789" s="33">
        <f>IF(FINANCIACION[[#This Row],[$ CAPITAL]]&gt;=0,FINANCIACION[[#This Row],[$ CAPITAL]]+FINANCIACION[[#This Row],[$ INTERESES]],0)</f>
        <v>1892220</v>
      </c>
    </row>
    <row r="790" spans="1:10" ht="24" hidden="1" customHeight="1" x14ac:dyDescent="0.3">
      <c r="A790" s="142">
        <v>44502</v>
      </c>
      <c r="B790" s="50" t="s">
        <v>197</v>
      </c>
      <c r="C790" s="5">
        <v>967140</v>
      </c>
      <c r="D790" s="5"/>
      <c r="E790" s="5">
        <f>+IF(FINANCIACION[[#This Row],[$ CAPITAL]]&gt;=0,FINANCIACION[[#This Row],[$ CAPITAL]]+FINANCIACION[[#This Row],[$ INTERESES]],"")</f>
        <v>967140</v>
      </c>
      <c r="F790" s="5">
        <f>+SUMIFS(FINANCIACION[$ CAPITAL],FINANCIACION[Fecha],"&lt;="&amp;FINANCIACION[[#This Row],[Fecha]],FINANCIACION[PRESTAMO],FINANCIACION[[#This Row],[PRESTAMO]])</f>
        <v>0</v>
      </c>
      <c r="G790" s="53"/>
      <c r="H790" s="53"/>
      <c r="I790" s="5">
        <f>IF(FINANCIACION[[#This Row],[$ CAPITAL]]&gt;0,FINANCIACION[[#This Row],[$ CAPITAL]])</f>
        <v>967140</v>
      </c>
      <c r="J790" s="33">
        <f>IF(FINANCIACION[[#This Row],[$ CAPITAL]]&gt;=0,FINANCIACION[[#This Row],[$ CAPITAL]]+FINANCIACION[[#This Row],[$ INTERESES]],0)</f>
        <v>967140</v>
      </c>
    </row>
    <row r="791" spans="1:10" ht="24" hidden="1" customHeight="1" x14ac:dyDescent="0.3">
      <c r="A791" s="142">
        <v>44508</v>
      </c>
      <c r="B791" s="50" t="s">
        <v>191</v>
      </c>
      <c r="C791" s="5">
        <v>6326000</v>
      </c>
      <c r="D791" s="5">
        <v>197571.44</v>
      </c>
      <c r="E791" s="5">
        <f>+IF(FINANCIACION[[#This Row],[$ CAPITAL]]&gt;=0,FINANCIACION[[#This Row],[$ CAPITAL]]+FINANCIACION[[#This Row],[$ INTERESES]],"")</f>
        <v>6523571.4400000004</v>
      </c>
      <c r="F791" s="5">
        <f>+SUMIFS(FINANCIACION[$ CAPITAL],FINANCIACION[Fecha],"&lt;="&amp;FINANCIACION[[#This Row],[Fecha]],FINANCIACION[PRESTAMO],FINANCIACION[[#This Row],[PRESTAMO]])</f>
        <v>-22367821.449999999</v>
      </c>
      <c r="G791" s="53"/>
      <c r="H791" s="53"/>
      <c r="I791" s="5">
        <f>IF(FINANCIACION[[#This Row],[$ CAPITAL]]&gt;0,FINANCIACION[[#This Row],[$ CAPITAL]])</f>
        <v>6326000</v>
      </c>
      <c r="J791" s="33">
        <f>IF(FINANCIACION[[#This Row],[$ CAPITAL]]&gt;=0,FINANCIACION[[#This Row],[$ CAPITAL]]+FINANCIACION[[#This Row],[$ INTERESES]],0)</f>
        <v>6523571.4400000004</v>
      </c>
    </row>
    <row r="792" spans="1:10" ht="24" hidden="1" customHeight="1" x14ac:dyDescent="0.3">
      <c r="A792" s="142">
        <v>44510</v>
      </c>
      <c r="B792" s="50" t="s">
        <v>830</v>
      </c>
      <c r="C792" s="5"/>
      <c r="D792" s="5">
        <v>130000</v>
      </c>
      <c r="E792" s="5">
        <f>+IF(FINANCIACION[[#This Row],[$ CAPITAL]]&gt;=0,FINANCIACION[[#This Row],[$ CAPITAL]]+FINANCIACION[[#This Row],[$ INTERESES]],"")</f>
        <v>130000</v>
      </c>
      <c r="F792" s="5">
        <f>+SUMIFS(FINANCIACION[$ CAPITAL],FINANCIACION[Fecha],"&lt;="&amp;FINANCIACION[[#This Row],[Fecha]],FINANCIACION[PRESTAMO],FINANCIACION[[#This Row],[PRESTAMO]])</f>
        <v>-13000000</v>
      </c>
      <c r="G792" s="53"/>
      <c r="H792" s="53"/>
      <c r="I792" s="5" t="b">
        <f>IF(FINANCIACION[[#This Row],[$ CAPITAL]]&gt;0,FINANCIACION[[#This Row],[$ CAPITAL]])</f>
        <v>0</v>
      </c>
      <c r="J792" s="33">
        <f>IF(FINANCIACION[[#This Row],[$ CAPITAL]]&gt;=0,FINANCIACION[[#This Row],[$ CAPITAL]]+FINANCIACION[[#This Row],[$ INTERESES]],0)</f>
        <v>130000</v>
      </c>
    </row>
    <row r="793" spans="1:10" ht="24" hidden="1" customHeight="1" x14ac:dyDescent="0.3">
      <c r="A793" s="142">
        <v>44510</v>
      </c>
      <c r="B793" s="50" t="s">
        <v>834</v>
      </c>
      <c r="C793" s="5"/>
      <c r="D793" s="5">
        <v>400000</v>
      </c>
      <c r="E793" s="5">
        <f>+IF(FINANCIACION[[#This Row],[$ CAPITAL]]&gt;=0,FINANCIACION[[#This Row],[$ CAPITAL]]+FINANCIACION[[#This Row],[$ INTERESES]],"")</f>
        <v>400000</v>
      </c>
      <c r="F793" s="5">
        <f>+SUMIFS(FINANCIACION[$ CAPITAL],FINANCIACION[Fecha],"&lt;="&amp;FINANCIACION[[#This Row],[Fecha]],FINANCIACION[PRESTAMO],FINANCIACION[[#This Row],[PRESTAMO]])</f>
        <v>-40000000</v>
      </c>
      <c r="G793" s="7"/>
      <c r="H793" s="53"/>
      <c r="I793" s="5" t="b">
        <f>IF(FINANCIACION[[#This Row],[$ CAPITAL]]&gt;0,FINANCIACION[[#This Row],[$ CAPITAL]])</f>
        <v>0</v>
      </c>
      <c r="J793" s="33">
        <f>IF(FINANCIACION[[#This Row],[$ CAPITAL]]&gt;=0,FINANCIACION[[#This Row],[$ CAPITAL]]+FINANCIACION[[#This Row],[$ INTERESES]],0)</f>
        <v>400000</v>
      </c>
    </row>
    <row r="794" spans="1:10" ht="24" hidden="1" customHeight="1" x14ac:dyDescent="0.3">
      <c r="A794" s="142">
        <v>44510</v>
      </c>
      <c r="B794" s="50" t="s">
        <v>819</v>
      </c>
      <c r="C794" s="5">
        <v>1945723.4973951909</v>
      </c>
      <c r="D794" s="5">
        <v>731654.50260480714</v>
      </c>
      <c r="E794" s="5">
        <f>+IF(FINANCIACION[[#This Row],[$ CAPITAL]]&gt;=0,FINANCIACION[[#This Row],[$ CAPITAL]]+FINANCIACION[[#This Row],[$ INTERESES]],"")</f>
        <v>2677377.9999999981</v>
      </c>
      <c r="F794" s="5">
        <f>+SUMIFS(FINANCIACION[$ CAPITAL],FINANCIACION[Fecha],"&lt;="&amp;FINANCIACION[[#This Row],[Fecha]],FINANCIACION[PRESTAMO],FINANCIACION[[#This Row],[PRESTAMO]])</f>
        <v>-71219726.763085529</v>
      </c>
      <c r="G794" s="53"/>
      <c r="H794" s="53"/>
      <c r="I794" s="5">
        <f>IF(FINANCIACION[[#This Row],[$ CAPITAL]]&gt;0,FINANCIACION[[#This Row],[$ CAPITAL]])</f>
        <v>1945723.4973951909</v>
      </c>
      <c r="J794" s="33">
        <f>IF(FINANCIACION[[#This Row],[$ CAPITAL]]&gt;=0,FINANCIACION[[#This Row],[$ CAPITAL]]+FINANCIACION[[#This Row],[$ INTERESES]],0)</f>
        <v>2677377.9999999981</v>
      </c>
    </row>
    <row r="795" spans="1:10" ht="24" hidden="1" customHeight="1" x14ac:dyDescent="0.3">
      <c r="A795" s="142">
        <v>44510</v>
      </c>
      <c r="B795" s="50" t="s">
        <v>823</v>
      </c>
      <c r="C795" s="5">
        <v>749637</v>
      </c>
      <c r="D795" s="5">
        <v>550363</v>
      </c>
      <c r="E795" s="5">
        <f>+IF(FINANCIACION[[#This Row],[$ CAPITAL]]&gt;=0,FINANCIACION[[#This Row],[$ CAPITAL]]+FINANCIACION[[#This Row],[$ INTERESES]],"")</f>
        <v>1300000</v>
      </c>
      <c r="F795" s="5">
        <f>+SUMIFS(FINANCIACION[$ CAPITAL],FINANCIACION[Fecha],"&lt;="&amp;FINANCIACION[[#This Row],[Fecha]],FINANCIACION[PRESTAMO],FINANCIACION[[#This Row],[PRESTAMO]])</f>
        <v>-54286659.180677854</v>
      </c>
      <c r="G795" s="53"/>
      <c r="H795" s="53"/>
      <c r="I795" s="5">
        <f>IF(FINANCIACION[[#This Row],[$ CAPITAL]]&gt;0,FINANCIACION[[#This Row],[$ CAPITAL]])</f>
        <v>749637</v>
      </c>
      <c r="J795" s="33">
        <f>IF(FINANCIACION[[#This Row],[$ CAPITAL]]&gt;=0,FINANCIACION[[#This Row],[$ CAPITAL]]+FINANCIACION[[#This Row],[$ INTERESES]],0)</f>
        <v>1300000</v>
      </c>
    </row>
    <row r="796" spans="1:10" ht="24" hidden="1" customHeight="1" x14ac:dyDescent="0.3">
      <c r="A796" s="142">
        <v>44510</v>
      </c>
      <c r="B796" s="50" t="s">
        <v>820</v>
      </c>
      <c r="C796" s="5">
        <v>486404.17832626984</v>
      </c>
      <c r="D796" s="5">
        <v>713595.82167373016</v>
      </c>
      <c r="E796" s="5">
        <f>+IF(FINANCIACION[[#This Row],[$ CAPITAL]]&gt;=0,FINANCIACION[[#This Row],[$ CAPITAL]]+FINANCIACION[[#This Row],[$ INTERESES]],"")</f>
        <v>1200000</v>
      </c>
      <c r="F796" s="5">
        <f>+SUMIFS(FINANCIACION[$ CAPITAL],FINANCIACION[Fecha],"&lt;="&amp;FINANCIACION[[#This Row],[Fecha]],FINANCIACION[PRESTAMO],FINANCIACION[[#This Row],[PRESTAMO]])</f>
        <v>-71043865.849046752</v>
      </c>
      <c r="G796" s="53"/>
      <c r="H796" s="53"/>
      <c r="I796" s="5">
        <f>IF(FINANCIACION[[#This Row],[$ CAPITAL]]&gt;0,FINANCIACION[[#This Row],[$ CAPITAL]])</f>
        <v>486404.17832626984</v>
      </c>
      <c r="J796" s="33">
        <f>IF(FINANCIACION[[#This Row],[$ CAPITAL]]&gt;=0,FINANCIACION[[#This Row],[$ CAPITAL]]+FINANCIACION[[#This Row],[$ INTERESES]],0)</f>
        <v>1200000</v>
      </c>
    </row>
    <row r="797" spans="1:10" ht="24" hidden="1" customHeight="1" x14ac:dyDescent="0.3">
      <c r="A797" s="142">
        <v>44510</v>
      </c>
      <c r="B797" s="50" t="s">
        <v>832</v>
      </c>
      <c r="C797" s="5"/>
      <c r="D797" s="5">
        <v>120000</v>
      </c>
      <c r="E797" s="5">
        <f>+IF(FINANCIACION[[#This Row],[$ CAPITAL]]&gt;=0,FINANCIACION[[#This Row],[$ CAPITAL]]+FINANCIACION[[#This Row],[$ INTERESES]],"")</f>
        <v>120000</v>
      </c>
      <c r="F797" s="5">
        <f>+SUMIFS(FINANCIACION[$ CAPITAL],FINANCIACION[Fecha],"&lt;="&amp;FINANCIACION[[#This Row],[Fecha]],FINANCIACION[PRESTAMO],FINANCIACION[[#This Row],[PRESTAMO]])</f>
        <v>-12000000</v>
      </c>
      <c r="G797" s="53"/>
      <c r="H797" s="53"/>
      <c r="I797" s="5" t="b">
        <f>IF(FINANCIACION[[#This Row],[$ CAPITAL]]&gt;0,FINANCIACION[[#This Row],[$ CAPITAL]])</f>
        <v>0</v>
      </c>
      <c r="J797" s="33">
        <f>IF(FINANCIACION[[#This Row],[$ CAPITAL]]&gt;=0,FINANCIACION[[#This Row],[$ CAPITAL]]+FINANCIACION[[#This Row],[$ INTERESES]],0)</f>
        <v>120000</v>
      </c>
    </row>
    <row r="798" spans="1:10" ht="24" hidden="1" customHeight="1" x14ac:dyDescent="0.3">
      <c r="A798" s="142">
        <v>44510</v>
      </c>
      <c r="B798" s="50" t="s">
        <v>196</v>
      </c>
      <c r="C798" s="52">
        <v>2713802</v>
      </c>
      <c r="D798" s="5"/>
      <c r="E798" s="5">
        <f>+IF(FINANCIACION[[#This Row],[$ CAPITAL]]&gt;=0,FINANCIACION[[#This Row],[$ CAPITAL]]+FINANCIACION[[#This Row],[$ INTERESES]],"")</f>
        <v>2713802</v>
      </c>
      <c r="F798" s="5">
        <f>+SUMIFS(FINANCIACION[$ CAPITAL],FINANCIACION[Fecha],"&lt;="&amp;FINANCIACION[[#This Row],[Fecha]],FINANCIACION[PRESTAMO],FINANCIACION[[#This Row],[PRESTAMO]])</f>
        <v>4604601</v>
      </c>
      <c r="G798" s="53"/>
      <c r="H798" s="53"/>
      <c r="I798" s="5">
        <f>IF(FINANCIACION[[#This Row],[$ CAPITAL]]&gt;0,FINANCIACION[[#This Row],[$ CAPITAL]])</f>
        <v>2713802</v>
      </c>
      <c r="J798" s="33">
        <f>IF(FINANCIACION[[#This Row],[$ CAPITAL]]&gt;=0,FINANCIACION[[#This Row],[$ CAPITAL]]+FINANCIACION[[#This Row],[$ INTERESES]],0)</f>
        <v>2713802</v>
      </c>
    </row>
    <row r="799" spans="1:10" ht="24" hidden="1" customHeight="1" x14ac:dyDescent="0.3">
      <c r="A799" s="142">
        <v>44516</v>
      </c>
      <c r="B799" s="50" t="s">
        <v>194</v>
      </c>
      <c r="C799" s="5"/>
      <c r="D799" s="5">
        <v>241004.17</v>
      </c>
      <c r="E799" s="5">
        <f>+IF(FINANCIACION[[#This Row],[$ CAPITAL]]&gt;=0,FINANCIACION[[#This Row],[$ CAPITAL]]+FINANCIACION[[#This Row],[$ INTERESES]],"")</f>
        <v>241004.17</v>
      </c>
      <c r="F799" s="5">
        <f>+SUMIFS(FINANCIACION[$ CAPITAL],FINANCIACION[Fecha],"&lt;="&amp;FINANCIACION[[#This Row],[Fecha]],FINANCIACION[PRESTAMO],FINANCIACION[[#This Row],[PRESTAMO]])</f>
        <v>-35000000</v>
      </c>
      <c r="G799" s="53"/>
      <c r="H799" s="53"/>
      <c r="I799" s="5" t="b">
        <f>IF(FINANCIACION[[#This Row],[$ CAPITAL]]&gt;0,FINANCIACION[[#This Row],[$ CAPITAL]])</f>
        <v>0</v>
      </c>
      <c r="J799" s="33">
        <f>IF(FINANCIACION[[#This Row],[$ CAPITAL]]&gt;=0,FINANCIACION[[#This Row],[$ CAPITAL]]+FINANCIACION[[#This Row],[$ INTERESES]],0)</f>
        <v>241004.17</v>
      </c>
    </row>
    <row r="800" spans="1:10" ht="24" hidden="1" customHeight="1" x14ac:dyDescent="0.3">
      <c r="A800" s="142">
        <v>44518</v>
      </c>
      <c r="B800" s="50" t="s">
        <v>821</v>
      </c>
      <c r="C800" s="5">
        <v>5143385</v>
      </c>
      <c r="D800" s="5">
        <v>835554</v>
      </c>
      <c r="E800" s="5">
        <f>+IF(FINANCIACION[[#This Row],[$ CAPITAL]]&gt;=0,FINANCIACION[[#This Row],[$ CAPITAL]]+FINANCIACION[[#This Row],[$ INTERESES]],"")</f>
        <v>5978939</v>
      </c>
      <c r="F800" s="5">
        <f>+SUMIFS(FINANCIACION[$ CAPITAL],FINANCIACION[Fecha],"&lt;="&amp;FINANCIACION[[#This Row],[Fecha]],FINANCIACION[PRESTAMO],FINANCIACION[[#This Row],[PRESTAMO]])</f>
        <v>-323115759</v>
      </c>
      <c r="G800" s="53"/>
      <c r="H800" s="53"/>
      <c r="I800" s="5">
        <f>IF(FINANCIACION[[#This Row],[$ CAPITAL]]&gt;0,FINANCIACION[[#This Row],[$ CAPITAL]])</f>
        <v>5143385</v>
      </c>
      <c r="J800" s="33">
        <f>IF(FINANCIACION[[#This Row],[$ CAPITAL]]&gt;=0,FINANCIACION[[#This Row],[$ CAPITAL]]+FINANCIACION[[#This Row],[$ INTERESES]],0)</f>
        <v>5978939</v>
      </c>
    </row>
    <row r="801" spans="1:10" ht="24" hidden="1" customHeight="1" x14ac:dyDescent="0.3">
      <c r="A801" s="142">
        <v>44522</v>
      </c>
      <c r="B801" s="50" t="s">
        <v>788</v>
      </c>
      <c r="C801" s="5">
        <v>-4500000</v>
      </c>
      <c r="D801" s="5"/>
      <c r="E801" s="5" t="str">
        <f>+IF(FINANCIACION[[#This Row],[$ CAPITAL]]&gt;=0,FINANCIACION[[#This Row],[$ CAPITAL]]+FINANCIACION[[#This Row],[$ INTERESES]],"")</f>
        <v/>
      </c>
      <c r="F801" s="5">
        <f>+SUMIFS(FINANCIACION[$ CAPITAL],FINANCIACION[Fecha],"&lt;="&amp;FINANCIACION[[#This Row],[Fecha]],FINANCIACION[PRESTAMO],FINANCIACION[[#This Row],[PRESTAMO]])</f>
        <v>-4500000</v>
      </c>
      <c r="G801" s="53" t="s">
        <v>543</v>
      </c>
      <c r="H801" s="53"/>
      <c r="I801" s="5" t="b">
        <f>IF(FINANCIACION[[#This Row],[$ CAPITAL]]&gt;0,FINANCIACION[[#This Row],[$ CAPITAL]])</f>
        <v>0</v>
      </c>
      <c r="J801" s="33">
        <f>IF(FINANCIACION[[#This Row],[$ CAPITAL]]&gt;=0,FINANCIACION[[#This Row],[$ CAPITAL]]+FINANCIACION[[#This Row],[$ INTERESES]],0)</f>
        <v>0</v>
      </c>
    </row>
    <row r="802" spans="1:10" ht="24" hidden="1" customHeight="1" x14ac:dyDescent="0.3">
      <c r="A802" s="142">
        <v>44523</v>
      </c>
      <c r="B802" s="50" t="s">
        <v>833</v>
      </c>
      <c r="C802" s="5">
        <v>1179959.2800000012</v>
      </c>
      <c r="D802" s="5">
        <v>41040.719999998808</v>
      </c>
      <c r="E802" s="5">
        <f>+IF(FINANCIACION[[#This Row],[$ CAPITAL]]&gt;=0,FINANCIACION[[#This Row],[$ CAPITAL]]+FINANCIACION[[#This Row],[$ INTERESES]],"")</f>
        <v>1221000</v>
      </c>
      <c r="F802" s="5">
        <f>+SUMIFS(FINANCIACION[$ CAPITAL],FINANCIACION[Fecha],"&lt;="&amp;FINANCIACION[[#This Row],[Fecha]],FINANCIACION[PRESTAMO],FINANCIACION[[#This Row],[PRESTAMO]])</f>
        <v>-18880535.100000001</v>
      </c>
      <c r="G802" s="53"/>
      <c r="H802" s="53"/>
      <c r="I802" s="5">
        <f>IF(FINANCIACION[[#This Row],[$ CAPITAL]]&gt;0,FINANCIACION[[#This Row],[$ CAPITAL]])</f>
        <v>1179959.2800000012</v>
      </c>
      <c r="J802" s="33">
        <f>IF(FINANCIACION[[#This Row],[$ CAPITAL]]&gt;=0,FINANCIACION[[#This Row],[$ CAPITAL]]+FINANCIACION[[#This Row],[$ INTERESES]],0)</f>
        <v>1221000</v>
      </c>
    </row>
    <row r="803" spans="1:10" ht="24" hidden="1" customHeight="1" x14ac:dyDescent="0.3">
      <c r="A803" s="142">
        <v>44523</v>
      </c>
      <c r="B803" s="50" t="s">
        <v>827</v>
      </c>
      <c r="C803" s="5">
        <v>943294.1799999997</v>
      </c>
      <c r="D803" s="5">
        <v>37705.820000000298</v>
      </c>
      <c r="E803" s="5">
        <f>+IF(FINANCIACION[[#This Row],[$ CAPITAL]]&gt;=0,FINANCIACION[[#This Row],[$ CAPITAL]]+FINANCIACION[[#This Row],[$ INTERESES]],"")</f>
        <v>981000</v>
      </c>
      <c r="F803" s="5">
        <f>+SUMIFS(FINANCIACION[$ CAPITAL],FINANCIACION[Fecha],"&lt;="&amp;FINANCIACION[[#This Row],[Fecha]],FINANCIACION[PRESTAMO],FINANCIACION[[#This Row],[PRESTAMO]])</f>
        <v>-16565250.450000007</v>
      </c>
      <c r="G803" s="53"/>
      <c r="H803" s="53"/>
      <c r="I803" s="5">
        <f>IF(FINANCIACION[[#This Row],[$ CAPITAL]]&gt;0,FINANCIACION[[#This Row],[$ CAPITAL]])</f>
        <v>943294.1799999997</v>
      </c>
      <c r="J803" s="33">
        <f>IF(FINANCIACION[[#This Row],[$ CAPITAL]]&gt;=0,FINANCIACION[[#This Row],[$ CAPITAL]]+FINANCIACION[[#This Row],[$ INTERESES]],0)</f>
        <v>981000</v>
      </c>
    </row>
    <row r="804" spans="1:10" ht="24" hidden="1" customHeight="1" x14ac:dyDescent="0.3">
      <c r="A804" s="142">
        <v>44523</v>
      </c>
      <c r="B804" s="50" t="s">
        <v>829</v>
      </c>
      <c r="C804" s="5">
        <v>992530.51999999955</v>
      </c>
      <c r="D804" s="5">
        <v>41469.480000000447</v>
      </c>
      <c r="E804" s="5">
        <f>+IF(FINANCIACION[[#This Row],[$ CAPITAL]]&gt;=0,FINANCIACION[[#This Row],[$ CAPITAL]]+FINANCIACION[[#This Row],[$ INTERESES]],"")</f>
        <v>1034000</v>
      </c>
      <c r="F804" s="5">
        <f>+SUMIFS(FINANCIACION[$ CAPITAL],FINANCIACION[Fecha],"&lt;="&amp;FINANCIACION[[#This Row],[Fecha]],FINANCIACION[PRESTAMO],FINANCIACION[[#This Row],[PRESTAMO]])</f>
        <v>-18250128.500000004</v>
      </c>
      <c r="G804" s="53"/>
      <c r="H804" s="53"/>
      <c r="I804" s="5">
        <f>IF(FINANCIACION[[#This Row],[$ CAPITAL]]&gt;0,FINANCIACION[[#This Row],[$ CAPITAL]])</f>
        <v>992530.51999999955</v>
      </c>
      <c r="J804" s="33">
        <f>IF(FINANCIACION[[#This Row],[$ CAPITAL]]&gt;=0,FINANCIACION[[#This Row],[$ CAPITAL]]+FINANCIACION[[#This Row],[$ INTERESES]],0)</f>
        <v>1034000</v>
      </c>
    </row>
    <row r="805" spans="1:10" ht="24" hidden="1" customHeight="1" x14ac:dyDescent="0.3">
      <c r="A805" s="142">
        <v>44523</v>
      </c>
      <c r="B805" s="50" t="s">
        <v>825</v>
      </c>
      <c r="C805" s="5">
        <v>2390422.3299999982</v>
      </c>
      <c r="D805" s="5">
        <v>87577.670000001788</v>
      </c>
      <c r="E805" s="5">
        <f>+IF(FINANCIACION[[#This Row],[$ CAPITAL]]&gt;=0,FINANCIACION[[#This Row],[$ CAPITAL]]+FINANCIACION[[#This Row],[$ INTERESES]],"")</f>
        <v>2478000</v>
      </c>
      <c r="F805" s="5">
        <f>+SUMIFS(FINANCIACION[$ CAPITAL],FINANCIACION[Fecha],"&lt;="&amp;FINANCIACION[[#This Row],[Fecha]],FINANCIACION[PRESTAMO],FINANCIACION[[#This Row],[PRESTAMO]])</f>
        <v>-40306835</v>
      </c>
      <c r="G805" s="53"/>
      <c r="H805" s="53"/>
      <c r="I805" s="5">
        <f>IF(FINANCIACION[[#This Row],[$ CAPITAL]]&gt;0,FINANCIACION[[#This Row],[$ CAPITAL]])</f>
        <v>2390422.3299999982</v>
      </c>
      <c r="J805" s="33">
        <f>IF(FINANCIACION[[#This Row],[$ CAPITAL]]&gt;=0,FINANCIACION[[#This Row],[$ CAPITAL]]+FINANCIACION[[#This Row],[$ INTERESES]],0)</f>
        <v>2478000</v>
      </c>
    </row>
    <row r="806" spans="1:10" ht="24" hidden="1" customHeight="1" x14ac:dyDescent="0.3">
      <c r="A806" s="142">
        <v>44523</v>
      </c>
      <c r="B806" s="50" t="s">
        <v>826</v>
      </c>
      <c r="C806" s="5">
        <v>3505028.4600000009</v>
      </c>
      <c r="D806" s="5">
        <v>140971.53999999911</v>
      </c>
      <c r="E806" s="5">
        <f>+IF(FINANCIACION[[#This Row],[$ CAPITAL]]&gt;=0,FINANCIACION[[#This Row],[$ CAPITAL]]+FINANCIACION[[#This Row],[$ INTERESES]],"")</f>
        <v>3646000</v>
      </c>
      <c r="F806" s="5">
        <f>+SUMIFS(FINANCIACION[$ CAPITAL],FINANCIACION[Fecha],"&lt;="&amp;FINANCIACION[[#This Row],[Fecha]],FINANCIACION[PRESTAMO],FINANCIACION[[#This Row],[PRESTAMO]])</f>
        <v>-58266664.57</v>
      </c>
      <c r="G806" s="53"/>
      <c r="H806" s="53"/>
      <c r="I806" s="5">
        <f>IF(FINANCIACION[[#This Row],[$ CAPITAL]]&gt;0,FINANCIACION[[#This Row],[$ CAPITAL]])</f>
        <v>3505028.4600000009</v>
      </c>
      <c r="J806" s="33">
        <f>IF(FINANCIACION[[#This Row],[$ CAPITAL]]&gt;=0,FINANCIACION[[#This Row],[$ CAPITAL]]+FINANCIACION[[#This Row],[$ INTERESES]],0)</f>
        <v>3646000</v>
      </c>
    </row>
    <row r="807" spans="1:10" ht="24" hidden="1" customHeight="1" x14ac:dyDescent="0.3">
      <c r="A807" s="142">
        <v>44523</v>
      </c>
      <c r="B807" s="50" t="s">
        <v>822</v>
      </c>
      <c r="C807" s="5">
        <v>1423624.1700000018</v>
      </c>
      <c r="D807" s="5">
        <v>49375.829999998212</v>
      </c>
      <c r="E807" s="5">
        <f>+IF(FINANCIACION[[#This Row],[$ CAPITAL]]&gt;=0,FINANCIACION[[#This Row],[$ CAPITAL]]+FINANCIACION[[#This Row],[$ INTERESES]],"")</f>
        <v>1473000</v>
      </c>
      <c r="F807" s="5">
        <f>+SUMIFS(FINANCIACION[$ CAPITAL],FINANCIACION[Fecha],"&lt;="&amp;FINANCIACION[[#This Row],[Fecha]],FINANCIACION[PRESTAMO],FINANCIACION[[#This Row],[PRESTAMO]])</f>
        <v>-21258869.339999985</v>
      </c>
      <c r="G807" s="53"/>
      <c r="H807" s="53"/>
      <c r="I807" s="5">
        <f>IF(FINANCIACION[[#This Row],[$ CAPITAL]]&gt;0,FINANCIACION[[#This Row],[$ CAPITAL]])</f>
        <v>1423624.1700000018</v>
      </c>
      <c r="J807" s="33">
        <f>IF(FINANCIACION[[#This Row],[$ CAPITAL]]&gt;=0,FINANCIACION[[#This Row],[$ CAPITAL]]+FINANCIACION[[#This Row],[$ INTERESES]],0)</f>
        <v>1473000</v>
      </c>
    </row>
    <row r="808" spans="1:10" ht="24" hidden="1" customHeight="1" x14ac:dyDescent="0.3">
      <c r="A808" s="142">
        <v>44525</v>
      </c>
      <c r="B808" s="50" t="s">
        <v>835</v>
      </c>
      <c r="C808" s="5">
        <v>-80206729.879999995</v>
      </c>
      <c r="D808" s="5">
        <v>6148159.1900000004</v>
      </c>
      <c r="E808" s="5" t="str">
        <f>+IF(FINANCIACION[[#This Row],[$ CAPITAL]]&gt;=0,FINANCIACION[[#This Row],[$ CAPITAL]]+FINANCIACION[[#This Row],[$ INTERESES]],"")</f>
        <v/>
      </c>
      <c r="F808" s="5">
        <f>+SUMIFS(FINANCIACION[$ CAPITAL],FINANCIACION[Fecha],"&lt;="&amp;FINANCIACION[[#This Row],[Fecha]],FINANCIACION[PRESTAMO],FINANCIACION[[#This Row],[PRESTAMO]])</f>
        <v>-80206729.879999995</v>
      </c>
      <c r="G808" s="53" t="s">
        <v>546</v>
      </c>
      <c r="H808" s="53"/>
      <c r="I808" s="5" t="b">
        <f>IF(FINANCIACION[[#This Row],[$ CAPITAL]]&gt;0,FINANCIACION[[#This Row],[$ CAPITAL]])</f>
        <v>0</v>
      </c>
      <c r="J808" s="33">
        <f>IF(FINANCIACION[[#This Row],[$ CAPITAL]]&gt;=0,FINANCIACION[[#This Row],[$ CAPITAL]]+FINANCIACION[[#This Row],[$ INTERESES]],0)</f>
        <v>0</v>
      </c>
    </row>
    <row r="809" spans="1:10" ht="24" hidden="1" customHeight="1" x14ac:dyDescent="0.3">
      <c r="A809" s="142">
        <v>44525</v>
      </c>
      <c r="B809" s="50" t="s">
        <v>196</v>
      </c>
      <c r="C809" s="5">
        <v>9244400</v>
      </c>
      <c r="D809" s="5"/>
      <c r="E809" s="5">
        <f>+IF(FINANCIACION[[#This Row],[$ CAPITAL]]&gt;=0,FINANCIACION[[#This Row],[$ CAPITAL]]+FINANCIACION[[#This Row],[$ INTERESES]],"")</f>
        <v>9244400</v>
      </c>
      <c r="F809" s="5">
        <f>+SUMIFS(FINANCIACION[$ CAPITAL],FINANCIACION[Fecha],"&lt;="&amp;FINANCIACION[[#This Row],[Fecha]],FINANCIACION[PRESTAMO],FINANCIACION[[#This Row],[PRESTAMO]])</f>
        <v>13849001</v>
      </c>
      <c r="G809" s="53"/>
      <c r="H809" s="53"/>
      <c r="I809" s="5">
        <f>IF(FINANCIACION[[#This Row],[$ CAPITAL]]&gt;0,FINANCIACION[[#This Row],[$ CAPITAL]])</f>
        <v>9244400</v>
      </c>
      <c r="J809" s="33">
        <f>IF(FINANCIACION[[#This Row],[$ CAPITAL]]&gt;=0,FINANCIACION[[#This Row],[$ CAPITAL]]+FINANCIACION[[#This Row],[$ INTERESES]],0)</f>
        <v>9244400</v>
      </c>
    </row>
    <row r="810" spans="1:10" ht="24" hidden="1" customHeight="1" x14ac:dyDescent="0.3">
      <c r="A810" s="142">
        <v>44530</v>
      </c>
      <c r="B810" s="50" t="s">
        <v>187</v>
      </c>
      <c r="C810" s="5">
        <v>1468400</v>
      </c>
      <c r="D810" s="5">
        <v>419971</v>
      </c>
      <c r="E810" s="5">
        <f>+IF(FINANCIACION[[#This Row],[$ CAPITAL]]&gt;=0,FINANCIACION[[#This Row],[$ CAPITAL]]+FINANCIACION[[#This Row],[$ INTERESES]],"")</f>
        <v>1888371</v>
      </c>
      <c r="F810" s="5">
        <f>+SUMIFS(FINANCIACION[$ CAPITAL],FINANCIACION[Fecha],"&lt;="&amp;FINANCIACION[[#This Row],[Fecha]],FINANCIACION[PRESTAMO],FINANCIACION[[#This Row],[PRESTAMO]])</f>
        <v>-41115200</v>
      </c>
      <c r="G810" s="53"/>
      <c r="H810" s="53"/>
      <c r="I810" s="5">
        <f>IF(FINANCIACION[[#This Row],[$ CAPITAL]]&gt;0,FINANCIACION[[#This Row],[$ CAPITAL]])</f>
        <v>1468400</v>
      </c>
      <c r="J810" s="33">
        <f>IF(FINANCIACION[[#This Row],[$ CAPITAL]]&gt;=0,FINANCIACION[[#This Row],[$ CAPITAL]]+FINANCIACION[[#This Row],[$ INTERESES]],0)</f>
        <v>1888371</v>
      </c>
    </row>
    <row r="811" spans="1:10" ht="24" hidden="1" customHeight="1" x14ac:dyDescent="0.3">
      <c r="A811" s="142">
        <v>44530</v>
      </c>
      <c r="B811" s="50" t="s">
        <v>188</v>
      </c>
      <c r="C811" s="5">
        <v>76791</v>
      </c>
      <c r="D811" s="5"/>
      <c r="E811" s="5">
        <f>+IF(FINANCIACION[[#This Row],[$ CAPITAL]]&gt;=0,FINANCIACION[[#This Row],[$ CAPITAL]]+FINANCIACION[[#This Row],[$ INTERESES]],"")</f>
        <v>76791</v>
      </c>
      <c r="F811" s="5">
        <f>+SUMIFS(FINANCIACION[$ CAPITAL],FINANCIACION[Fecha],"&lt;="&amp;FINANCIACION[[#This Row],[Fecha]],FINANCIACION[PRESTAMO],FINANCIACION[[#This Row],[PRESTAMO]])</f>
        <v>-2150148</v>
      </c>
      <c r="G811" s="53"/>
      <c r="H811" s="53"/>
      <c r="I811" s="5">
        <f>IF(FINANCIACION[[#This Row],[$ CAPITAL]]&gt;0,FINANCIACION[[#This Row],[$ CAPITAL]])</f>
        <v>76791</v>
      </c>
      <c r="J811" s="33">
        <f>IF(FINANCIACION[[#This Row],[$ CAPITAL]]&gt;=0,FINANCIACION[[#This Row],[$ CAPITAL]]+FINANCIACION[[#This Row],[$ INTERESES]],0)</f>
        <v>76791</v>
      </c>
    </row>
    <row r="812" spans="1:10" ht="24" hidden="1" customHeight="1" x14ac:dyDescent="0.3">
      <c r="A812" s="142">
        <v>44530</v>
      </c>
      <c r="B812" s="50" t="s">
        <v>190</v>
      </c>
      <c r="C812" s="5">
        <v>-1637071.6799999997</v>
      </c>
      <c r="D812" s="5"/>
      <c r="E812" s="5" t="str">
        <f>+IF(FINANCIACION[[#This Row],[$ CAPITAL]]&gt;=0,FINANCIACION[[#This Row],[$ CAPITAL]]+FINANCIACION[[#This Row],[$ INTERESES]],"")</f>
        <v/>
      </c>
      <c r="F812" s="5">
        <f>+SUMIFS(FINANCIACION[$ CAPITAL],FINANCIACION[Fecha],"&lt;="&amp;FINANCIACION[[#This Row],[Fecha]],FINANCIACION[PRESTAMO],FINANCIACION[[#This Row],[PRESTAMO]])</f>
        <v>-67273414.350000009</v>
      </c>
      <c r="G812" s="53"/>
      <c r="H812" s="53"/>
      <c r="I812" s="5" t="b">
        <f>IF(FINANCIACION[[#This Row],[$ CAPITAL]]&gt;0,FINANCIACION[[#This Row],[$ CAPITAL]])</f>
        <v>0</v>
      </c>
      <c r="J812" s="33">
        <f>IF(FINANCIACION[[#This Row],[$ CAPITAL]]&gt;=0,FINANCIACION[[#This Row],[$ CAPITAL]]+FINANCIACION[[#This Row],[$ INTERESES]],0)</f>
        <v>0</v>
      </c>
    </row>
    <row r="813" spans="1:10" ht="24" hidden="1" customHeight="1" x14ac:dyDescent="0.3">
      <c r="A813" s="142">
        <v>44530</v>
      </c>
      <c r="B813" s="50" t="s">
        <v>282</v>
      </c>
      <c r="C813" s="5">
        <v>-1438457.2800000012</v>
      </c>
      <c r="D813" s="5"/>
      <c r="E813" s="5" t="str">
        <f>+IF(FINANCIACION[[#This Row],[$ CAPITAL]]&gt;=0,FINANCIACION[[#This Row],[$ CAPITAL]]+FINANCIACION[[#This Row],[$ INTERESES]],"")</f>
        <v/>
      </c>
      <c r="F813" s="5">
        <f>+SUMIFS(FINANCIACION[$ CAPITAL],FINANCIACION[Fecha],"&lt;="&amp;FINANCIACION[[#This Row],[Fecha]],FINANCIACION[PRESTAMO],FINANCIACION[[#This Row],[PRESTAMO]])</f>
        <v>-59111603.850000001</v>
      </c>
      <c r="G813" s="53"/>
      <c r="H813" s="53"/>
      <c r="I813" s="5" t="b">
        <f>IF(FINANCIACION[[#This Row],[$ CAPITAL]]&gt;0,FINANCIACION[[#This Row],[$ CAPITAL]])</f>
        <v>0</v>
      </c>
      <c r="J813" s="33">
        <f>IF(FINANCIACION[[#This Row],[$ CAPITAL]]&gt;=0,FINANCIACION[[#This Row],[$ CAPITAL]]+FINANCIACION[[#This Row],[$ INTERESES]],0)</f>
        <v>0</v>
      </c>
    </row>
    <row r="814" spans="1:10" ht="24" hidden="1" customHeight="1" x14ac:dyDescent="0.3">
      <c r="A814" s="142">
        <v>44530</v>
      </c>
      <c r="B814" s="50" t="s">
        <v>372</v>
      </c>
      <c r="C814" s="5">
        <v>-568994.87999999896</v>
      </c>
      <c r="D814" s="5"/>
      <c r="E814" s="5" t="str">
        <f>+IF(FINANCIACION[[#This Row],[$ CAPITAL]]&gt;=0,FINANCIACION[[#This Row],[$ CAPITAL]]+FINANCIACION[[#This Row],[$ INTERESES]],"")</f>
        <v/>
      </c>
      <c r="F814" s="5">
        <f>+SUMIFS(FINANCIACION[$ CAPITAL],FINANCIACION[Fecha],"&lt;="&amp;FINANCIACION[[#This Row],[Fecha]],FINANCIACION[PRESTAMO],FINANCIACION[[#This Row],[PRESTAMO]])</f>
        <v>-23382133.349999998</v>
      </c>
      <c r="G814" s="53"/>
      <c r="H814" s="53"/>
      <c r="I814" s="5" t="b">
        <f>IF(FINANCIACION[[#This Row],[$ CAPITAL]]&gt;0,FINANCIACION[[#This Row],[$ CAPITAL]])</f>
        <v>0</v>
      </c>
      <c r="J814" s="33">
        <f>IF(FINANCIACION[[#This Row],[$ CAPITAL]]&gt;=0,FINANCIACION[[#This Row],[$ CAPITAL]]+FINANCIACION[[#This Row],[$ INTERESES]],0)</f>
        <v>0</v>
      </c>
    </row>
    <row r="815" spans="1:10" ht="24" hidden="1" customHeight="1" x14ac:dyDescent="0.3">
      <c r="A815" s="142">
        <v>44530</v>
      </c>
      <c r="B815" s="50" t="s">
        <v>486</v>
      </c>
      <c r="C815" s="5">
        <v>-1314018.2400000021</v>
      </c>
      <c r="D815" s="5"/>
      <c r="E815" s="5" t="str">
        <f>+IF(FINANCIACION[[#This Row],[$ CAPITAL]]&gt;=0,FINANCIACION[[#This Row],[$ CAPITAL]]+FINANCIACION[[#This Row],[$ INTERESES]],"")</f>
        <v/>
      </c>
      <c r="F815" s="5">
        <f>+SUMIFS(FINANCIACION[$ CAPITAL],FINANCIACION[Fecha],"&lt;="&amp;FINANCIACION[[#This Row],[Fecha]],FINANCIACION[PRESTAMO],FINANCIACION[[#This Row],[PRESTAMO]])</f>
        <v>-53997937.050000004</v>
      </c>
      <c r="G815" s="53" t="s">
        <v>225</v>
      </c>
      <c r="H815" s="53"/>
      <c r="I815" s="5" t="b">
        <f>IF(FINANCIACION[[#This Row],[$ CAPITAL]]&gt;0,FINANCIACION[[#This Row],[$ CAPITAL]])</f>
        <v>0</v>
      </c>
      <c r="J815" s="33">
        <f>IF(FINANCIACION[[#This Row],[$ CAPITAL]]&gt;=0,FINANCIACION[[#This Row],[$ CAPITAL]]+FINANCIACION[[#This Row],[$ INTERESES]],0)</f>
        <v>0</v>
      </c>
    </row>
    <row r="816" spans="1:10" ht="24" hidden="1" customHeight="1" x14ac:dyDescent="0.3">
      <c r="A816" s="142">
        <v>44530</v>
      </c>
      <c r="B816" s="50" t="s">
        <v>191</v>
      </c>
      <c r="C816" s="5">
        <v>-41304.550000000745</v>
      </c>
      <c r="D816" s="5"/>
      <c r="E816" s="5" t="str">
        <f>+IF(FINANCIACION[[#This Row],[$ CAPITAL]]&gt;=0,FINANCIACION[[#This Row],[$ CAPITAL]]+FINANCIACION[[#This Row],[$ INTERESES]],"")</f>
        <v/>
      </c>
      <c r="F816" s="5">
        <f>+SUMIFS(FINANCIACION[$ CAPITAL],FINANCIACION[Fecha],"&lt;="&amp;FINANCIACION[[#This Row],[Fecha]],FINANCIACION[PRESTAMO],FINANCIACION[[#This Row],[PRESTAMO]])</f>
        <v>-22409126</v>
      </c>
      <c r="G816" s="53" t="s">
        <v>225</v>
      </c>
      <c r="H816" s="53"/>
      <c r="I816" s="5" t="b">
        <f>IF(FINANCIACION[[#This Row],[$ CAPITAL]]&gt;0,FINANCIACION[[#This Row],[$ CAPITAL]])</f>
        <v>0</v>
      </c>
      <c r="J816" s="33">
        <f>IF(FINANCIACION[[#This Row],[$ CAPITAL]]&gt;=0,FINANCIACION[[#This Row],[$ CAPITAL]]+FINANCIACION[[#This Row],[$ INTERESES]],0)</f>
        <v>0</v>
      </c>
    </row>
    <row r="817" spans="1:10" ht="24" hidden="1" customHeight="1" x14ac:dyDescent="0.3">
      <c r="A817" s="142">
        <v>44530</v>
      </c>
      <c r="B817" s="50" t="s">
        <v>195</v>
      </c>
      <c r="C817" s="5">
        <v>568232</v>
      </c>
      <c r="D817" s="5"/>
      <c r="E817" s="5">
        <f>+IF(FINANCIACION[[#This Row],[$ CAPITAL]]&gt;=0,FINANCIACION[[#This Row],[$ CAPITAL]]+FINANCIACION[[#This Row],[$ INTERESES]],"")</f>
        <v>568232</v>
      </c>
      <c r="F817" s="5">
        <f>+SUMIFS(FINANCIACION[$ CAPITAL],FINANCIACION[Fecha],"&lt;="&amp;FINANCIACION[[#This Row],[Fecha]],FINANCIACION[PRESTAMO],FINANCIACION[[#This Row],[PRESTAMO]])</f>
        <v>0</v>
      </c>
      <c r="G817" s="7"/>
      <c r="H817" s="53"/>
      <c r="I817" s="5">
        <f>IF(FINANCIACION[[#This Row],[$ CAPITAL]]&gt;0,FINANCIACION[[#This Row],[$ CAPITAL]])</f>
        <v>568232</v>
      </c>
      <c r="J817" s="33">
        <f>IF(FINANCIACION[[#This Row],[$ CAPITAL]]&gt;=0,FINANCIACION[[#This Row],[$ CAPITAL]]+FINANCIACION[[#This Row],[$ INTERESES]],0)</f>
        <v>568232</v>
      </c>
    </row>
    <row r="818" spans="1:10" ht="24" hidden="1" customHeight="1" x14ac:dyDescent="0.3">
      <c r="A818" s="142">
        <v>44530</v>
      </c>
      <c r="B818" s="50" t="s">
        <v>195</v>
      </c>
      <c r="C818" s="5">
        <v>-568232</v>
      </c>
      <c r="D818" s="5"/>
      <c r="E818" s="5" t="str">
        <f>+IF(FINANCIACION[[#This Row],[$ CAPITAL]]&gt;=0,FINANCIACION[[#This Row],[$ CAPITAL]]+FINANCIACION[[#This Row],[$ INTERESES]],"")</f>
        <v/>
      </c>
      <c r="F818" s="5">
        <f>+SUMIFS(FINANCIACION[$ CAPITAL],FINANCIACION[Fecha],"&lt;="&amp;FINANCIACION[[#This Row],[Fecha]],FINANCIACION[PRESTAMO],FINANCIACION[[#This Row],[PRESTAMO]])</f>
        <v>0</v>
      </c>
      <c r="G818" s="53" t="s">
        <v>225</v>
      </c>
      <c r="H818" s="53"/>
      <c r="I818" s="5" t="b">
        <f>IF(FINANCIACION[[#This Row],[$ CAPITAL]]&gt;0,FINANCIACION[[#This Row],[$ CAPITAL]])</f>
        <v>0</v>
      </c>
      <c r="J818" s="33">
        <f>IF(FINANCIACION[[#This Row],[$ CAPITAL]]&gt;=0,FINANCIACION[[#This Row],[$ CAPITAL]]+FINANCIACION[[#This Row],[$ INTERESES]],0)</f>
        <v>0</v>
      </c>
    </row>
    <row r="819" spans="1:10" ht="24" hidden="1" customHeight="1" x14ac:dyDescent="0.3">
      <c r="A819" s="142">
        <v>44530</v>
      </c>
      <c r="B819" s="50" t="s">
        <v>196</v>
      </c>
      <c r="C819" s="5">
        <v>-42540986</v>
      </c>
      <c r="D819" s="5"/>
      <c r="E819" s="5" t="str">
        <f>+IF(FINANCIACION[[#This Row],[$ CAPITAL]]&gt;=0,FINANCIACION[[#This Row],[$ CAPITAL]]+FINANCIACION[[#This Row],[$ INTERESES]],"")</f>
        <v/>
      </c>
      <c r="F819" s="5">
        <f>+SUMIFS(FINANCIACION[$ CAPITAL],FINANCIACION[Fecha],"&lt;="&amp;FINANCIACION[[#This Row],[Fecha]],FINANCIACION[PRESTAMO],FINANCIACION[[#This Row],[PRESTAMO]])</f>
        <v>-28691985</v>
      </c>
      <c r="G819" s="53" t="s">
        <v>225</v>
      </c>
      <c r="H819" s="53"/>
      <c r="I819" s="5" t="b">
        <f>IF(FINANCIACION[[#This Row],[$ CAPITAL]]&gt;0,FINANCIACION[[#This Row],[$ CAPITAL]])</f>
        <v>0</v>
      </c>
      <c r="J819" s="33">
        <f>IF(FINANCIACION[[#This Row],[$ CAPITAL]]&gt;=0,FINANCIACION[[#This Row],[$ CAPITAL]]+FINANCIACION[[#This Row],[$ INTERESES]],0)</f>
        <v>0</v>
      </c>
    </row>
    <row r="820" spans="1:10" ht="24" hidden="1" customHeight="1" x14ac:dyDescent="0.3">
      <c r="A820" s="142">
        <v>44530</v>
      </c>
      <c r="B820" s="50" t="s">
        <v>197</v>
      </c>
      <c r="C820" s="5">
        <v>-454357</v>
      </c>
      <c r="D820" s="5"/>
      <c r="E820" s="5" t="str">
        <f>+IF(FINANCIACION[[#This Row],[$ CAPITAL]]&gt;=0,FINANCIACION[[#This Row],[$ CAPITAL]]+FINANCIACION[[#This Row],[$ INTERESES]],"")</f>
        <v/>
      </c>
      <c r="F820" s="5">
        <f>+SUMIFS(FINANCIACION[$ CAPITAL],FINANCIACION[Fecha],"&lt;="&amp;FINANCIACION[[#This Row],[Fecha]],FINANCIACION[PRESTAMO],FINANCIACION[[#This Row],[PRESTAMO]])</f>
        <v>-454357</v>
      </c>
      <c r="G820" s="53" t="s">
        <v>225</v>
      </c>
      <c r="H820" s="53"/>
      <c r="I820" s="5" t="b">
        <f>IF(FINANCIACION[[#This Row],[$ CAPITAL]]&gt;0,FINANCIACION[[#This Row],[$ CAPITAL]])</f>
        <v>0</v>
      </c>
      <c r="J820" s="33">
        <f>IF(FINANCIACION[[#This Row],[$ CAPITAL]]&gt;=0,FINANCIACION[[#This Row],[$ CAPITAL]]+FINANCIACION[[#This Row],[$ INTERESES]],0)</f>
        <v>0</v>
      </c>
    </row>
    <row r="821" spans="1:10" ht="24" hidden="1" customHeight="1" x14ac:dyDescent="0.3">
      <c r="A821" s="142">
        <v>44531</v>
      </c>
      <c r="B821" s="50" t="s">
        <v>836</v>
      </c>
      <c r="C821" s="5">
        <v>-30000000</v>
      </c>
      <c r="D821" s="5"/>
      <c r="E821" s="5" t="str">
        <f>+IF(FINANCIACION[[#This Row],[$ CAPITAL]]&gt;=0,FINANCIACION[[#This Row],[$ CAPITAL]]+FINANCIACION[[#This Row],[$ INTERESES]],"")</f>
        <v/>
      </c>
      <c r="F821" s="5">
        <f>+SUMIFS(FINANCIACION[$ CAPITAL],FINANCIACION[Fecha],"&lt;="&amp;FINANCIACION[[#This Row],[Fecha]],FINANCIACION[PRESTAMO],FINANCIACION[[#This Row],[PRESTAMO]])</f>
        <v>-30000000</v>
      </c>
      <c r="G821" s="53"/>
      <c r="H821" s="53"/>
      <c r="I821" s="5" t="b">
        <f>IF(FINANCIACION[[#This Row],[$ CAPITAL]]&gt;0,FINANCIACION[[#This Row],[$ CAPITAL]])</f>
        <v>0</v>
      </c>
      <c r="J821" s="33">
        <f>IF(FINANCIACION[[#This Row],[$ CAPITAL]]&gt;=0,FINANCIACION[[#This Row],[$ CAPITAL]]+FINANCIACION[[#This Row],[$ INTERESES]],0)</f>
        <v>0</v>
      </c>
    </row>
    <row r="822" spans="1:10" ht="24" hidden="1" customHeight="1" x14ac:dyDescent="0.3">
      <c r="A822" s="142">
        <v>44531</v>
      </c>
      <c r="B822" s="50" t="s">
        <v>190</v>
      </c>
      <c r="C822" s="5">
        <v>30376000</v>
      </c>
      <c r="D822" s="5"/>
      <c r="E822" s="5">
        <f>+IF(FINANCIACION[[#This Row],[$ CAPITAL]]&gt;=0,FINANCIACION[[#This Row],[$ CAPITAL]]+FINANCIACION[[#This Row],[$ INTERESES]],"")</f>
        <v>30376000</v>
      </c>
      <c r="F822" s="5">
        <f>+SUMIFS(FINANCIACION[$ CAPITAL],FINANCIACION[Fecha],"&lt;="&amp;FINANCIACION[[#This Row],[Fecha]],FINANCIACION[PRESTAMO],FINANCIACION[[#This Row],[PRESTAMO]])</f>
        <v>-1637071.68</v>
      </c>
      <c r="G822" s="53"/>
      <c r="H822" s="53">
        <v>8000</v>
      </c>
      <c r="I822" s="5">
        <f>IF(FINANCIACION[[#This Row],[$ CAPITAL]]&gt;0,FINANCIACION[[#This Row],[$ CAPITAL]])</f>
        <v>30376000</v>
      </c>
      <c r="J822" s="33">
        <f>IF(FINANCIACION[[#This Row],[$ CAPITAL]]&gt;=0,FINANCIACION[[#This Row],[$ CAPITAL]]+FINANCIACION[[#This Row],[$ INTERESES]],0)</f>
        <v>30376000</v>
      </c>
    </row>
    <row r="823" spans="1:10" ht="24" hidden="1" customHeight="1" x14ac:dyDescent="0.3">
      <c r="A823" s="142">
        <v>44531</v>
      </c>
      <c r="B823" s="50" t="s">
        <v>190</v>
      </c>
      <c r="C823" s="5">
        <v>35817522</v>
      </c>
      <c r="D823" s="5"/>
      <c r="E823" s="5">
        <f>+IF(FINANCIACION[[#This Row],[$ CAPITAL]]&gt;=0,FINANCIACION[[#This Row],[$ CAPITAL]]+FINANCIACION[[#This Row],[$ INTERESES]],"")</f>
        <v>35817522</v>
      </c>
      <c r="F823" s="5">
        <f>+SUMIFS(FINANCIACION[$ CAPITAL],FINANCIACION[Fecha],"&lt;="&amp;FINANCIACION[[#This Row],[Fecha]],FINANCIACION[PRESTAMO],FINANCIACION[[#This Row],[PRESTAMO]])</f>
        <v>-1637071.68</v>
      </c>
      <c r="G823" s="53"/>
      <c r="H823" s="53">
        <v>9052.83</v>
      </c>
      <c r="I823" s="5">
        <f>IF(FINANCIACION[[#This Row],[$ CAPITAL]]&gt;0,FINANCIACION[[#This Row],[$ CAPITAL]])</f>
        <v>35817522</v>
      </c>
      <c r="J823" s="33">
        <f>IF(FINANCIACION[[#This Row],[$ CAPITAL]]&gt;=0,FINANCIACION[[#This Row],[$ CAPITAL]]+FINANCIACION[[#This Row],[$ INTERESES]],0)</f>
        <v>35817522</v>
      </c>
    </row>
    <row r="824" spans="1:10" ht="24" hidden="1" customHeight="1" x14ac:dyDescent="0.3">
      <c r="A824" s="142">
        <v>44531</v>
      </c>
      <c r="B824" s="50" t="s">
        <v>190</v>
      </c>
      <c r="C824" s="52">
        <v>-557179.32999999099</v>
      </c>
      <c r="D824" s="5"/>
      <c r="E824" s="5" t="str">
        <f>+IF(FINANCIACION[[#This Row],[$ CAPITAL]]&gt;=0,FINANCIACION[[#This Row],[$ CAPITAL]]+FINANCIACION[[#This Row],[$ INTERESES]],"")</f>
        <v/>
      </c>
      <c r="F824" s="5">
        <f>+SUMIFS(FINANCIACION[$ CAPITAL],FINANCIACION[Fecha],"&lt;="&amp;FINANCIACION[[#This Row],[Fecha]],FINANCIACION[PRESTAMO],FINANCIACION[[#This Row],[PRESTAMO]])</f>
        <v>-1637071.68</v>
      </c>
      <c r="G824" s="53" t="s">
        <v>225</v>
      </c>
      <c r="H824" s="53"/>
      <c r="I824" s="5" t="b">
        <f>IF(FINANCIACION[[#This Row],[$ CAPITAL]]&gt;0,FINANCIACION[[#This Row],[$ CAPITAL]])</f>
        <v>0</v>
      </c>
      <c r="J824" s="33">
        <f>IF(FINANCIACION[[#This Row],[$ CAPITAL]]&gt;=0,FINANCIACION[[#This Row],[$ CAPITAL]]+FINANCIACION[[#This Row],[$ INTERESES]],0)</f>
        <v>0</v>
      </c>
    </row>
    <row r="825" spans="1:10" ht="24" hidden="1" customHeight="1" x14ac:dyDescent="0.3">
      <c r="A825" s="142">
        <v>44536</v>
      </c>
      <c r="B825" s="50" t="s">
        <v>189</v>
      </c>
      <c r="C825" s="5"/>
      <c r="D825" s="5">
        <v>373314</v>
      </c>
      <c r="E825" s="5">
        <f>+IF(FINANCIACION[[#This Row],[$ CAPITAL]]&gt;=0,FINANCIACION[[#This Row],[$ CAPITAL]]+FINANCIACION[[#This Row],[$ INTERESES]],"")</f>
        <v>373314</v>
      </c>
      <c r="F825" s="5">
        <f>+SUMIFS(FINANCIACION[$ CAPITAL],FINANCIACION[Fecha],"&lt;="&amp;FINANCIACION[[#This Row],[Fecha]],FINANCIACION[PRESTAMO],FINANCIACION[[#This Row],[PRESTAMO]])</f>
        <v>0</v>
      </c>
      <c r="G825" s="53"/>
      <c r="H825" s="53"/>
      <c r="I825" s="5" t="b">
        <f>IF(FINANCIACION[[#This Row],[$ CAPITAL]]&gt;0,FINANCIACION[[#This Row],[$ CAPITAL]])</f>
        <v>0</v>
      </c>
      <c r="J825" s="33">
        <f>IF(FINANCIACION[[#This Row],[$ CAPITAL]]&gt;=0,FINANCIACION[[#This Row],[$ CAPITAL]]+FINANCIACION[[#This Row],[$ INTERESES]],0)</f>
        <v>373314</v>
      </c>
    </row>
    <row r="826" spans="1:10" ht="24" hidden="1" customHeight="1" x14ac:dyDescent="0.3">
      <c r="A826" s="142">
        <v>44536</v>
      </c>
      <c r="B826" s="50" t="s">
        <v>196</v>
      </c>
      <c r="C826" s="5">
        <v>11844990</v>
      </c>
      <c r="D826" s="5"/>
      <c r="E826" s="5">
        <f>+IF(FINANCIACION[[#This Row],[$ CAPITAL]]&gt;=0,FINANCIACION[[#This Row],[$ CAPITAL]]+FINANCIACION[[#This Row],[$ INTERESES]],"")</f>
        <v>11844990</v>
      </c>
      <c r="F826" s="5">
        <f>+SUMIFS(FINANCIACION[$ CAPITAL],FINANCIACION[Fecha],"&lt;="&amp;FINANCIACION[[#This Row],[Fecha]],FINANCIACION[PRESTAMO],FINANCIACION[[#This Row],[PRESTAMO]])</f>
        <v>-16846995</v>
      </c>
      <c r="G826" s="53"/>
      <c r="H826" s="53"/>
      <c r="I826" s="5">
        <f>IF(FINANCIACION[[#This Row],[$ CAPITAL]]&gt;0,FINANCIACION[[#This Row],[$ CAPITAL]])</f>
        <v>11844990</v>
      </c>
      <c r="J826" s="33">
        <f>IF(FINANCIACION[[#This Row],[$ CAPITAL]]&gt;=0,FINANCIACION[[#This Row],[$ CAPITAL]]+FINANCIACION[[#This Row],[$ INTERESES]],0)</f>
        <v>11844990</v>
      </c>
    </row>
    <row r="827" spans="1:10" ht="24" hidden="1" customHeight="1" x14ac:dyDescent="0.3">
      <c r="A827" s="142">
        <v>44536</v>
      </c>
      <c r="B827" s="50" t="s">
        <v>197</v>
      </c>
      <c r="C827" s="5">
        <v>454357</v>
      </c>
      <c r="D827" s="5"/>
      <c r="E827" s="5">
        <f>+IF(FINANCIACION[[#This Row],[$ CAPITAL]]&gt;=0,FINANCIACION[[#This Row],[$ CAPITAL]]+FINANCIACION[[#This Row],[$ INTERESES]],"")</f>
        <v>454357</v>
      </c>
      <c r="F827" s="5">
        <f>+SUMIFS(FINANCIACION[$ CAPITAL],FINANCIACION[Fecha],"&lt;="&amp;FINANCIACION[[#This Row],[Fecha]],FINANCIACION[PRESTAMO],FINANCIACION[[#This Row],[PRESTAMO]])</f>
        <v>0</v>
      </c>
      <c r="G827" s="53"/>
      <c r="H827" s="53"/>
      <c r="I827" s="5">
        <f>IF(FINANCIACION[[#This Row],[$ CAPITAL]]&gt;0,FINANCIACION[[#This Row],[$ CAPITAL]])</f>
        <v>454357</v>
      </c>
      <c r="J827" s="33">
        <f>IF(FINANCIACION[[#This Row],[$ CAPITAL]]&gt;=0,FINANCIACION[[#This Row],[$ CAPITAL]]+FINANCIACION[[#This Row],[$ INTERESES]],0)</f>
        <v>454357</v>
      </c>
    </row>
    <row r="828" spans="1:10" ht="24" hidden="1" customHeight="1" x14ac:dyDescent="0.3">
      <c r="A828" s="142">
        <v>44537</v>
      </c>
      <c r="B828" s="50" t="s">
        <v>191</v>
      </c>
      <c r="C828" s="5">
        <v>6326000</v>
      </c>
      <c r="D828" s="5">
        <v>164148.5700000003</v>
      </c>
      <c r="E828" s="5">
        <f>+IF(FINANCIACION[[#This Row],[$ CAPITAL]]&gt;=0,FINANCIACION[[#This Row],[$ CAPITAL]]+FINANCIACION[[#This Row],[$ INTERESES]],"")</f>
        <v>6490148.5700000003</v>
      </c>
      <c r="F828" s="5">
        <f>+SUMIFS(FINANCIACION[$ CAPITAL],FINANCIACION[Fecha],"&lt;="&amp;FINANCIACION[[#This Row],[Fecha]],FINANCIACION[PRESTAMO],FINANCIACION[[#This Row],[PRESTAMO]])</f>
        <v>-16083126</v>
      </c>
      <c r="G828" s="53"/>
      <c r="H828" s="53"/>
      <c r="I828" s="5">
        <f>IF(FINANCIACION[[#This Row],[$ CAPITAL]]&gt;0,FINANCIACION[[#This Row],[$ CAPITAL]])</f>
        <v>6326000</v>
      </c>
      <c r="J828" s="33">
        <f>IF(FINANCIACION[[#This Row],[$ CAPITAL]]&gt;=0,FINANCIACION[[#This Row],[$ CAPITAL]]+FINANCIACION[[#This Row],[$ INTERESES]],0)</f>
        <v>6490148.5700000003</v>
      </c>
    </row>
    <row r="829" spans="1:10" ht="24" hidden="1" customHeight="1" x14ac:dyDescent="0.3">
      <c r="A829" s="142">
        <v>44539</v>
      </c>
      <c r="B829" s="50" t="s">
        <v>830</v>
      </c>
      <c r="C829" s="5"/>
      <c r="D829" s="5">
        <v>130000</v>
      </c>
      <c r="E829" s="5">
        <f>+IF(FINANCIACION[[#This Row],[$ CAPITAL]]&gt;=0,FINANCIACION[[#This Row],[$ CAPITAL]]+FINANCIACION[[#This Row],[$ INTERESES]],"")</f>
        <v>130000</v>
      </c>
      <c r="F829" s="5">
        <f>+SUMIFS(FINANCIACION[$ CAPITAL],FINANCIACION[Fecha],"&lt;="&amp;FINANCIACION[[#This Row],[Fecha]],FINANCIACION[PRESTAMO],FINANCIACION[[#This Row],[PRESTAMO]])</f>
        <v>-13000000</v>
      </c>
      <c r="G829" s="53"/>
      <c r="H829" s="53"/>
      <c r="I829" s="5" t="b">
        <f>IF(FINANCIACION[[#This Row],[$ CAPITAL]]&gt;0,FINANCIACION[[#This Row],[$ CAPITAL]])</f>
        <v>0</v>
      </c>
      <c r="J829" s="33">
        <f>IF(FINANCIACION[[#This Row],[$ CAPITAL]]&gt;=0,FINANCIACION[[#This Row],[$ CAPITAL]]+FINANCIACION[[#This Row],[$ INTERESES]],0)</f>
        <v>130000</v>
      </c>
    </row>
    <row r="830" spans="1:10" ht="24" hidden="1" customHeight="1" x14ac:dyDescent="0.3">
      <c r="A830" s="142">
        <v>44539</v>
      </c>
      <c r="B830" s="50" t="s">
        <v>834</v>
      </c>
      <c r="C830" s="5"/>
      <c r="D830" s="5">
        <v>400000</v>
      </c>
      <c r="E830" s="5">
        <f>+IF(FINANCIACION[[#This Row],[$ CAPITAL]]&gt;=0,FINANCIACION[[#This Row],[$ CAPITAL]]+FINANCIACION[[#This Row],[$ INTERESES]],"")</f>
        <v>400000</v>
      </c>
      <c r="F830" s="5">
        <f>+SUMIFS(FINANCIACION[$ CAPITAL],FINANCIACION[Fecha],"&lt;="&amp;FINANCIACION[[#This Row],[Fecha]],FINANCIACION[PRESTAMO],FINANCIACION[[#This Row],[PRESTAMO]])</f>
        <v>-40000000</v>
      </c>
      <c r="G830" s="53"/>
      <c r="H830" s="53"/>
      <c r="I830" s="5" t="b">
        <f>IF(FINANCIACION[[#This Row],[$ CAPITAL]]&gt;0,FINANCIACION[[#This Row],[$ CAPITAL]])</f>
        <v>0</v>
      </c>
      <c r="J830" s="33">
        <f>IF(FINANCIACION[[#This Row],[$ CAPITAL]]&gt;=0,FINANCIACION[[#This Row],[$ CAPITAL]]+FINANCIACION[[#This Row],[$ INTERESES]],0)</f>
        <v>400000</v>
      </c>
    </row>
    <row r="831" spans="1:10" ht="24" hidden="1" customHeight="1" x14ac:dyDescent="0.3">
      <c r="A831" s="142">
        <v>44539</v>
      </c>
      <c r="B831" s="50" t="s">
        <v>819</v>
      </c>
      <c r="C831" s="5">
        <v>1965180.7323691447</v>
      </c>
      <c r="D831" s="5">
        <v>712197.26763085532</v>
      </c>
      <c r="E831" s="5">
        <f>+IF(FINANCIACION[[#This Row],[$ CAPITAL]]&gt;=0,FINANCIACION[[#This Row],[$ CAPITAL]]+FINANCIACION[[#This Row],[$ INTERESES]],"")</f>
        <v>2677378</v>
      </c>
      <c r="F831" s="5">
        <f>+SUMIFS(FINANCIACION[$ CAPITAL],FINANCIACION[Fecha],"&lt;="&amp;FINANCIACION[[#This Row],[Fecha]],FINANCIACION[PRESTAMO],FINANCIACION[[#This Row],[PRESTAMO]])</f>
        <v>-69254546.030716389</v>
      </c>
      <c r="G831" s="53"/>
      <c r="H831" s="53"/>
      <c r="I831" s="5">
        <f>IF(FINANCIACION[[#This Row],[$ CAPITAL]]&gt;0,FINANCIACION[[#This Row],[$ CAPITAL]])</f>
        <v>1965180.7323691447</v>
      </c>
      <c r="J831" s="33">
        <f>IF(FINANCIACION[[#This Row],[$ CAPITAL]]&gt;=0,FINANCIACION[[#This Row],[$ CAPITAL]]+FINANCIACION[[#This Row],[$ INTERESES]],0)</f>
        <v>2677378</v>
      </c>
    </row>
    <row r="832" spans="1:10" ht="24" hidden="1" customHeight="1" x14ac:dyDescent="0.3">
      <c r="A832" s="142">
        <v>44539</v>
      </c>
      <c r="B832" s="50" t="s">
        <v>823</v>
      </c>
      <c r="C832" s="5">
        <v>757133.40857515368</v>
      </c>
      <c r="D832" s="5">
        <v>542866.59142484632</v>
      </c>
      <c r="E832" s="5">
        <f>+IF(FINANCIACION[[#This Row],[$ CAPITAL]]&gt;=0,FINANCIACION[[#This Row],[$ CAPITAL]]+FINANCIACION[[#This Row],[$ INTERESES]],"")</f>
        <v>1300000</v>
      </c>
      <c r="F832" s="5">
        <f>+SUMIFS(FINANCIACION[$ CAPITAL],FINANCIACION[Fecha],"&lt;="&amp;FINANCIACION[[#This Row],[Fecha]],FINANCIACION[PRESTAMO],FINANCIACION[[#This Row],[PRESTAMO]])</f>
        <v>-53529525.772102699</v>
      </c>
      <c r="G832" s="53"/>
      <c r="H832" s="53"/>
      <c r="I832" s="5">
        <f>IF(FINANCIACION[[#This Row],[$ CAPITAL]]&gt;0,FINANCIACION[[#This Row],[$ CAPITAL]])</f>
        <v>757133.40857515368</v>
      </c>
      <c r="J832" s="33">
        <f>IF(FINANCIACION[[#This Row],[$ CAPITAL]]&gt;=0,FINANCIACION[[#This Row],[$ CAPITAL]]+FINANCIACION[[#This Row],[$ INTERESES]],0)</f>
        <v>1300000</v>
      </c>
    </row>
    <row r="833" spans="1:10" ht="24" hidden="1" customHeight="1" x14ac:dyDescent="0.3">
      <c r="A833" s="142">
        <v>44539</v>
      </c>
      <c r="B833" s="50" t="s">
        <v>820</v>
      </c>
      <c r="C833" s="5">
        <v>491268.22010953247</v>
      </c>
      <c r="D833" s="5">
        <v>708731.77989046753</v>
      </c>
      <c r="E833" s="5">
        <f>+IF(FINANCIACION[[#This Row],[$ CAPITAL]]&gt;=0,FINANCIACION[[#This Row],[$ CAPITAL]]+FINANCIACION[[#This Row],[$ INTERESES]],"")</f>
        <v>1200000</v>
      </c>
      <c r="F833" s="5">
        <f>+SUMIFS(FINANCIACION[$ CAPITAL],FINANCIACION[Fecha],"&lt;="&amp;FINANCIACION[[#This Row],[Fecha]],FINANCIACION[PRESTAMO],FINANCIACION[[#This Row],[PRESTAMO]])</f>
        <v>-70552597.628937215</v>
      </c>
      <c r="G833" s="53"/>
      <c r="H833" s="53"/>
      <c r="I833" s="5">
        <f>IF(FINANCIACION[[#This Row],[$ CAPITAL]]&gt;0,FINANCIACION[[#This Row],[$ CAPITAL]])</f>
        <v>491268.22010953247</v>
      </c>
      <c r="J833" s="33">
        <f>IF(FINANCIACION[[#This Row],[$ CAPITAL]]&gt;=0,FINANCIACION[[#This Row],[$ CAPITAL]]+FINANCIACION[[#This Row],[$ INTERESES]],0)</f>
        <v>1200000</v>
      </c>
    </row>
    <row r="834" spans="1:10" ht="24" hidden="1" customHeight="1" x14ac:dyDescent="0.3">
      <c r="A834" s="142">
        <v>44539</v>
      </c>
      <c r="B834" s="50" t="s">
        <v>832</v>
      </c>
      <c r="C834" s="5"/>
      <c r="D834" s="5">
        <v>120000</v>
      </c>
      <c r="E834" s="5">
        <f>+IF(FINANCIACION[[#This Row],[$ CAPITAL]]&gt;=0,FINANCIACION[[#This Row],[$ CAPITAL]]+FINANCIACION[[#This Row],[$ INTERESES]],"")</f>
        <v>120000</v>
      </c>
      <c r="F834" s="5">
        <f>+SUMIFS(FINANCIACION[$ CAPITAL],FINANCIACION[Fecha],"&lt;="&amp;FINANCIACION[[#This Row],[Fecha]],FINANCIACION[PRESTAMO],FINANCIACION[[#This Row],[PRESTAMO]])</f>
        <v>-12000000</v>
      </c>
      <c r="G834" s="53"/>
      <c r="H834" s="53"/>
      <c r="I834" s="5" t="b">
        <f>IF(FINANCIACION[[#This Row],[$ CAPITAL]]&gt;0,FINANCIACION[[#This Row],[$ CAPITAL]])</f>
        <v>0</v>
      </c>
      <c r="J834" s="33">
        <f>IF(FINANCIACION[[#This Row],[$ CAPITAL]]&gt;=0,FINANCIACION[[#This Row],[$ CAPITAL]]+FINANCIACION[[#This Row],[$ INTERESES]],0)</f>
        <v>120000</v>
      </c>
    </row>
    <row r="835" spans="1:10" ht="24" hidden="1" customHeight="1" x14ac:dyDescent="0.3">
      <c r="A835" s="142">
        <v>44544</v>
      </c>
      <c r="B835" s="50" t="s">
        <v>833</v>
      </c>
      <c r="C835" s="5">
        <v>1173610.8600000031</v>
      </c>
      <c r="D835" s="5">
        <v>46389.139999996871</v>
      </c>
      <c r="E835" s="5">
        <f>+IF(FINANCIACION[[#This Row],[$ CAPITAL]]&gt;=0,FINANCIACION[[#This Row],[$ CAPITAL]]+FINANCIACION[[#This Row],[$ INTERESES]],"")</f>
        <v>1220000</v>
      </c>
      <c r="F835" s="5">
        <f>+SUMIFS(FINANCIACION[$ CAPITAL],FINANCIACION[Fecha],"&lt;="&amp;FINANCIACION[[#This Row],[Fecha]],FINANCIACION[PRESTAMO],FINANCIACION[[#This Row],[PRESTAMO]])</f>
        <v>-17706924.239999998</v>
      </c>
      <c r="G835" s="53"/>
      <c r="H835" s="53"/>
      <c r="I835" s="5">
        <f>IF(FINANCIACION[[#This Row],[$ CAPITAL]]&gt;0,FINANCIACION[[#This Row],[$ CAPITAL]])</f>
        <v>1173610.8600000031</v>
      </c>
      <c r="J835" s="33">
        <f>IF(FINANCIACION[[#This Row],[$ CAPITAL]]&gt;=0,FINANCIACION[[#This Row],[$ CAPITAL]]+FINANCIACION[[#This Row],[$ INTERESES]],0)</f>
        <v>1220000</v>
      </c>
    </row>
    <row r="836" spans="1:10" ht="24" hidden="1" customHeight="1" x14ac:dyDescent="0.3">
      <c r="A836" s="142">
        <v>44544</v>
      </c>
      <c r="B836" s="50" t="s">
        <v>827</v>
      </c>
      <c r="C836" s="5">
        <v>940063.25999999791</v>
      </c>
      <c r="D836" s="5">
        <v>39936.740000002086</v>
      </c>
      <c r="E836" s="5">
        <f>+IF(FINANCIACION[[#This Row],[$ CAPITAL]]&gt;=0,FINANCIACION[[#This Row],[$ CAPITAL]]+FINANCIACION[[#This Row],[$ INTERESES]],"")</f>
        <v>980000</v>
      </c>
      <c r="F836" s="5">
        <f>+SUMIFS(FINANCIACION[$ CAPITAL],FINANCIACION[Fecha],"&lt;="&amp;FINANCIACION[[#This Row],[Fecha]],FINANCIACION[PRESTAMO],FINANCIACION[[#This Row],[PRESTAMO]])</f>
        <v>-15625187.190000009</v>
      </c>
      <c r="G836" s="53"/>
      <c r="H836" s="53"/>
      <c r="I836" s="5">
        <f>IF(FINANCIACION[[#This Row],[$ CAPITAL]]&gt;0,FINANCIACION[[#This Row],[$ CAPITAL]])</f>
        <v>940063.25999999791</v>
      </c>
      <c r="J836" s="33">
        <f>IF(FINANCIACION[[#This Row],[$ CAPITAL]]&gt;=0,FINANCIACION[[#This Row],[$ CAPITAL]]+FINANCIACION[[#This Row],[$ INTERESES]],0)</f>
        <v>980000</v>
      </c>
    </row>
    <row r="837" spans="1:10" ht="24" hidden="1" customHeight="1" x14ac:dyDescent="0.3">
      <c r="A837" s="142">
        <v>44544</v>
      </c>
      <c r="B837" s="50" t="s">
        <v>835</v>
      </c>
      <c r="C837" s="5">
        <v>345651.39999999106</v>
      </c>
      <c r="D837" s="5">
        <v>172348.60000000894</v>
      </c>
      <c r="E837" s="5">
        <f>+IF(FINANCIACION[[#This Row],[$ CAPITAL]]&gt;=0,FINANCIACION[[#This Row],[$ CAPITAL]]+FINANCIACION[[#This Row],[$ INTERESES]],"")</f>
        <v>518000</v>
      </c>
      <c r="F837" s="5">
        <f>+SUMIFS(FINANCIACION[$ CAPITAL],FINANCIACION[Fecha],"&lt;="&amp;FINANCIACION[[#This Row],[Fecha]],FINANCIACION[PRESTAMO],FINANCIACION[[#This Row],[PRESTAMO]])</f>
        <v>-79861078.480000004</v>
      </c>
      <c r="G837" s="53"/>
      <c r="H837" s="53"/>
      <c r="I837" s="5">
        <f>IF(FINANCIACION[[#This Row],[$ CAPITAL]]&gt;0,FINANCIACION[[#This Row],[$ CAPITAL]])</f>
        <v>345651.39999999106</v>
      </c>
      <c r="J837" s="33">
        <f>IF(FINANCIACION[[#This Row],[$ CAPITAL]]&gt;=0,FINANCIACION[[#This Row],[$ CAPITAL]]+FINANCIACION[[#This Row],[$ INTERESES]],0)</f>
        <v>518000</v>
      </c>
    </row>
    <row r="838" spans="1:10" ht="24" hidden="1" customHeight="1" x14ac:dyDescent="0.3">
      <c r="A838" s="142">
        <v>44544</v>
      </c>
      <c r="B838" s="50" t="s">
        <v>829</v>
      </c>
      <c r="C838" s="5">
        <v>988960.98000000045</v>
      </c>
      <c r="D838" s="5">
        <v>44039.019999999553</v>
      </c>
      <c r="E838" s="5">
        <f>+IF(FINANCIACION[[#This Row],[$ CAPITAL]]&gt;=0,FINANCIACION[[#This Row],[$ CAPITAL]]+FINANCIACION[[#This Row],[$ INTERESES]],"")</f>
        <v>1033000</v>
      </c>
      <c r="F838" s="5">
        <f>+SUMIFS(FINANCIACION[$ CAPITAL],FINANCIACION[Fecha],"&lt;="&amp;FINANCIACION[[#This Row],[Fecha]],FINANCIACION[PRESTAMO],FINANCIACION[[#This Row],[PRESTAMO]])</f>
        <v>-17261167.520000003</v>
      </c>
      <c r="G838" s="53"/>
      <c r="H838" s="53"/>
      <c r="I838" s="5">
        <f>IF(FINANCIACION[[#This Row],[$ CAPITAL]]&gt;0,FINANCIACION[[#This Row],[$ CAPITAL]])</f>
        <v>988960.98000000045</v>
      </c>
      <c r="J838" s="33">
        <f>IF(FINANCIACION[[#This Row],[$ CAPITAL]]&gt;=0,FINANCIACION[[#This Row],[$ CAPITAL]]+FINANCIACION[[#This Row],[$ INTERESES]],0)</f>
        <v>1033000</v>
      </c>
    </row>
    <row r="839" spans="1:10" ht="24" hidden="1" customHeight="1" x14ac:dyDescent="0.3">
      <c r="A839" s="142">
        <v>44544</v>
      </c>
      <c r="B839" s="50" t="s">
        <v>825</v>
      </c>
      <c r="C839" s="5">
        <v>2379867.6799999997</v>
      </c>
      <c r="D839" s="5">
        <v>99132.320000000298</v>
      </c>
      <c r="E839" s="5">
        <f>+IF(FINANCIACION[[#This Row],[$ CAPITAL]]&gt;=0,FINANCIACION[[#This Row],[$ CAPITAL]]+FINANCIACION[[#This Row],[$ INTERESES]],"")</f>
        <v>2479000</v>
      </c>
      <c r="F839" s="5">
        <f>+SUMIFS(FINANCIACION[$ CAPITAL],FINANCIACION[Fecha],"&lt;="&amp;FINANCIACION[[#This Row],[Fecha]],FINANCIACION[PRESTAMO],FINANCIACION[[#This Row],[PRESTAMO]])</f>
        <v>-37926967.32</v>
      </c>
      <c r="G839" s="53"/>
      <c r="H839" s="53"/>
      <c r="I839" s="5">
        <f>IF(FINANCIACION[[#This Row],[$ CAPITAL]]&gt;0,FINANCIACION[[#This Row],[$ CAPITAL]])</f>
        <v>2379867.6799999997</v>
      </c>
      <c r="J839" s="33">
        <f>IF(FINANCIACION[[#This Row],[$ CAPITAL]]&gt;=0,FINANCIACION[[#This Row],[$ CAPITAL]]+FINANCIACION[[#This Row],[$ INTERESES]],0)</f>
        <v>2479000</v>
      </c>
    </row>
    <row r="840" spans="1:10" ht="24" hidden="1" customHeight="1" x14ac:dyDescent="0.3">
      <c r="A840" s="142">
        <v>44544</v>
      </c>
      <c r="B840" s="50" t="s">
        <v>826</v>
      </c>
      <c r="C840" s="5">
        <v>3485285.1499999985</v>
      </c>
      <c r="D840" s="5">
        <v>158714.85000000149</v>
      </c>
      <c r="E840" s="5">
        <f>+IF(FINANCIACION[[#This Row],[$ CAPITAL]]&gt;=0,FINANCIACION[[#This Row],[$ CAPITAL]]+FINANCIACION[[#This Row],[$ INTERESES]],"")</f>
        <v>3644000</v>
      </c>
      <c r="F840" s="5">
        <f>+SUMIFS(FINANCIACION[$ CAPITAL],FINANCIACION[Fecha],"&lt;="&amp;FINANCIACION[[#This Row],[Fecha]],FINANCIACION[PRESTAMO],FINANCIACION[[#This Row],[PRESTAMO]])</f>
        <v>-54781379.420000002</v>
      </c>
      <c r="G840" s="53"/>
      <c r="H840" s="53"/>
      <c r="I840" s="5">
        <f>IF(FINANCIACION[[#This Row],[$ CAPITAL]]&gt;0,FINANCIACION[[#This Row],[$ CAPITAL]])</f>
        <v>3485285.1499999985</v>
      </c>
      <c r="J840" s="33">
        <f>IF(FINANCIACION[[#This Row],[$ CAPITAL]]&gt;=0,FINANCIACION[[#This Row],[$ CAPITAL]]+FINANCIACION[[#This Row],[$ INTERESES]],0)</f>
        <v>3644000</v>
      </c>
    </row>
    <row r="841" spans="1:10" ht="24" hidden="1" customHeight="1" x14ac:dyDescent="0.3">
      <c r="A841" s="142">
        <v>44544</v>
      </c>
      <c r="B841" s="50" t="s">
        <v>821</v>
      </c>
      <c r="C841" s="5">
        <v>4796627</v>
      </c>
      <c r="D841" s="5">
        <v>1182312</v>
      </c>
      <c r="E841" s="5">
        <f>+IF(FINANCIACION[[#This Row],[$ CAPITAL]]&gt;=0,FINANCIACION[[#This Row],[$ CAPITAL]]+FINANCIACION[[#This Row],[$ INTERESES]],"")</f>
        <v>5978939</v>
      </c>
      <c r="F841" s="5">
        <f>+SUMIFS(FINANCIACION[$ CAPITAL],FINANCIACION[Fecha],"&lt;="&amp;FINANCIACION[[#This Row],[Fecha]],FINANCIACION[PRESTAMO],FINANCIACION[[#This Row],[PRESTAMO]])</f>
        <v>-318319132</v>
      </c>
      <c r="G841" s="53"/>
      <c r="H841" s="53"/>
      <c r="I841" s="5">
        <f>IF(FINANCIACION[[#This Row],[$ CAPITAL]]&gt;0,FINANCIACION[[#This Row],[$ CAPITAL]])</f>
        <v>4796627</v>
      </c>
      <c r="J841" s="33">
        <f>IF(FINANCIACION[[#This Row],[$ CAPITAL]]&gt;=0,FINANCIACION[[#This Row],[$ CAPITAL]]+FINANCIACION[[#This Row],[$ INTERESES]],0)</f>
        <v>5978939</v>
      </c>
    </row>
    <row r="842" spans="1:10" ht="24" hidden="1" customHeight="1" x14ac:dyDescent="0.3">
      <c r="A842" s="142">
        <v>44544</v>
      </c>
      <c r="B842" s="50" t="s">
        <v>822</v>
      </c>
      <c r="C842" s="5">
        <v>1419187.6499999985</v>
      </c>
      <c r="D842" s="5">
        <v>51812.35000000149</v>
      </c>
      <c r="E842" s="5">
        <f>+IF(FINANCIACION[[#This Row],[$ CAPITAL]]&gt;=0,FINANCIACION[[#This Row],[$ CAPITAL]]+FINANCIACION[[#This Row],[$ INTERESES]],"")</f>
        <v>1471000</v>
      </c>
      <c r="F842" s="5">
        <f>+SUMIFS(FINANCIACION[$ CAPITAL],FINANCIACION[Fecha],"&lt;="&amp;FINANCIACION[[#This Row],[Fecha]],FINANCIACION[PRESTAMO],FINANCIACION[[#This Row],[PRESTAMO]])</f>
        <v>-19839681.689999986</v>
      </c>
      <c r="G842" s="53"/>
      <c r="H842" s="53"/>
      <c r="I842" s="5">
        <f>IF(FINANCIACION[[#This Row],[$ CAPITAL]]&gt;0,FINANCIACION[[#This Row],[$ CAPITAL]])</f>
        <v>1419187.6499999985</v>
      </c>
      <c r="J842" s="33">
        <f>IF(FINANCIACION[[#This Row],[$ CAPITAL]]&gt;=0,FINANCIACION[[#This Row],[$ CAPITAL]]+FINANCIACION[[#This Row],[$ INTERESES]],0)</f>
        <v>1471000</v>
      </c>
    </row>
    <row r="843" spans="1:10" ht="24" hidden="1" customHeight="1" x14ac:dyDescent="0.3">
      <c r="A843" s="142">
        <v>44544</v>
      </c>
      <c r="B843" s="50" t="s">
        <v>194</v>
      </c>
      <c r="C843" s="5">
        <v>1944444</v>
      </c>
      <c r="D843" s="5">
        <v>240038</v>
      </c>
      <c r="E843" s="5">
        <f>+IF(FINANCIACION[[#This Row],[$ CAPITAL]]&gt;=0,FINANCIACION[[#This Row],[$ CAPITAL]]+FINANCIACION[[#This Row],[$ INTERESES]],"")</f>
        <v>2184482</v>
      </c>
      <c r="F843" s="5">
        <f>+SUMIFS(FINANCIACION[$ CAPITAL],FINANCIACION[Fecha],"&lt;="&amp;FINANCIACION[[#This Row],[Fecha]],FINANCIACION[PRESTAMO],FINANCIACION[[#This Row],[PRESTAMO]])</f>
        <v>-33055556</v>
      </c>
      <c r="G843" s="53"/>
      <c r="H843" s="53"/>
      <c r="I843" s="5">
        <f>IF(FINANCIACION[[#This Row],[$ CAPITAL]]&gt;0,FINANCIACION[[#This Row],[$ CAPITAL]])</f>
        <v>1944444</v>
      </c>
      <c r="J843" s="33">
        <f>IF(FINANCIACION[[#This Row],[$ CAPITAL]]&gt;=0,FINANCIACION[[#This Row],[$ CAPITAL]]+FINANCIACION[[#This Row],[$ INTERESES]],0)</f>
        <v>2184482</v>
      </c>
    </row>
    <row r="844" spans="1:10" ht="24" hidden="1" customHeight="1" x14ac:dyDescent="0.3">
      <c r="A844" s="142">
        <v>44550</v>
      </c>
      <c r="B844" s="50" t="s">
        <v>195</v>
      </c>
      <c r="C844" s="5">
        <v>2882226</v>
      </c>
      <c r="D844" s="5"/>
      <c r="E844" s="5">
        <f>+IF(FINANCIACION[[#This Row],[$ CAPITAL]]&gt;=0,FINANCIACION[[#This Row],[$ CAPITAL]]+FINANCIACION[[#This Row],[$ INTERESES]],"")</f>
        <v>2882226</v>
      </c>
      <c r="F844" s="5">
        <f>+SUMIFS(FINANCIACION[$ CAPITAL],FINANCIACION[Fecha],"&lt;="&amp;FINANCIACION[[#This Row],[Fecha]],FINANCIACION[PRESTAMO],FINANCIACION[[#This Row],[PRESTAMO]])</f>
        <v>2882226</v>
      </c>
      <c r="G844" s="53"/>
      <c r="H844" s="53"/>
      <c r="I844" s="5">
        <f>IF(FINANCIACION[[#This Row],[$ CAPITAL]]&gt;0,FINANCIACION[[#This Row],[$ CAPITAL]])</f>
        <v>2882226</v>
      </c>
      <c r="J844" s="33">
        <f>IF(FINANCIACION[[#This Row],[$ CAPITAL]]&gt;=0,FINANCIACION[[#This Row],[$ CAPITAL]]+FINANCIACION[[#This Row],[$ INTERESES]],0)</f>
        <v>2882226</v>
      </c>
    </row>
    <row r="845" spans="1:10" ht="24" hidden="1" customHeight="1" x14ac:dyDescent="0.3">
      <c r="A845" s="142">
        <v>44554</v>
      </c>
      <c r="B845" s="50" t="s">
        <v>824</v>
      </c>
      <c r="C845" s="5"/>
      <c r="D845" s="5">
        <v>9000000</v>
      </c>
      <c r="E845" s="5">
        <f>+IF(FINANCIACION[[#This Row],[$ CAPITAL]]&gt;=0,FINANCIACION[[#This Row],[$ CAPITAL]]+FINANCIACION[[#This Row],[$ INTERESES]],"")</f>
        <v>9000000</v>
      </c>
      <c r="F845" s="5">
        <f>+SUMIFS(FINANCIACION[$ CAPITAL],FINANCIACION[Fecha],"&lt;="&amp;FINANCIACION[[#This Row],[Fecha]],FINANCIACION[PRESTAMO],FINANCIACION[[#This Row],[PRESTAMO]])</f>
        <v>-75000000</v>
      </c>
      <c r="G845" s="53"/>
      <c r="H845" s="53"/>
      <c r="I845" s="5" t="b">
        <f>IF(FINANCIACION[[#This Row],[$ CAPITAL]]&gt;0,FINANCIACION[[#This Row],[$ CAPITAL]])</f>
        <v>0</v>
      </c>
      <c r="J845" s="33">
        <f>IF(FINANCIACION[[#This Row],[$ CAPITAL]]&gt;=0,FINANCIACION[[#This Row],[$ CAPITAL]]+FINANCIACION[[#This Row],[$ INTERESES]],0)</f>
        <v>9000000</v>
      </c>
    </row>
    <row r="846" spans="1:10" ht="24" hidden="1" customHeight="1" x14ac:dyDescent="0.3">
      <c r="A846" s="142">
        <v>44554</v>
      </c>
      <c r="B846" s="50" t="s">
        <v>196</v>
      </c>
      <c r="C846" s="5">
        <v>3997090</v>
      </c>
      <c r="D846" s="5"/>
      <c r="E846" s="5">
        <f>+IF(FINANCIACION[[#This Row],[$ CAPITAL]]&gt;=0,FINANCIACION[[#This Row],[$ CAPITAL]]+FINANCIACION[[#This Row],[$ INTERESES]],"")</f>
        <v>3997090</v>
      </c>
      <c r="F846" s="5">
        <f>+SUMIFS(FINANCIACION[$ CAPITAL],FINANCIACION[Fecha],"&lt;="&amp;FINANCIACION[[#This Row],[Fecha]],FINANCIACION[PRESTAMO],FINANCIACION[[#This Row],[PRESTAMO]])</f>
        <v>-12849905</v>
      </c>
      <c r="G846" s="53"/>
      <c r="H846" s="53"/>
      <c r="I846" s="5">
        <f>IF(FINANCIACION[[#This Row],[$ CAPITAL]]&gt;0,FINANCIACION[[#This Row],[$ CAPITAL]])</f>
        <v>3997090</v>
      </c>
      <c r="J846" s="33">
        <f>IF(FINANCIACION[[#This Row],[$ CAPITAL]]&gt;=0,FINANCIACION[[#This Row],[$ CAPITAL]]+FINANCIACION[[#This Row],[$ INTERESES]],0)</f>
        <v>3997090</v>
      </c>
    </row>
    <row r="847" spans="1:10" ht="24" hidden="1" customHeight="1" x14ac:dyDescent="0.3">
      <c r="A847" s="142">
        <v>44557</v>
      </c>
      <c r="B847" s="50" t="s">
        <v>196</v>
      </c>
      <c r="C847" s="5">
        <v>3994150</v>
      </c>
      <c r="D847" s="5"/>
      <c r="E847" s="5">
        <f>+IF(FINANCIACION[[#This Row],[$ CAPITAL]]&gt;=0,FINANCIACION[[#This Row],[$ CAPITAL]]+FINANCIACION[[#This Row],[$ INTERESES]],"")</f>
        <v>3994150</v>
      </c>
      <c r="F847" s="5">
        <f>+SUMIFS(FINANCIACION[$ CAPITAL],FINANCIACION[Fecha],"&lt;="&amp;FINANCIACION[[#This Row],[Fecha]],FINANCIACION[PRESTAMO],FINANCIACION[[#This Row],[PRESTAMO]])</f>
        <v>-8855755</v>
      </c>
      <c r="G847" s="7"/>
      <c r="H847" s="53"/>
      <c r="I847" s="5">
        <f>IF(FINANCIACION[[#This Row],[$ CAPITAL]]&gt;0,FINANCIACION[[#This Row],[$ CAPITAL]])</f>
        <v>3994150</v>
      </c>
      <c r="J847" s="33">
        <f>IF(FINANCIACION[[#This Row],[$ CAPITAL]]&gt;=0,FINANCIACION[[#This Row],[$ CAPITAL]]+FINANCIACION[[#This Row],[$ INTERESES]],0)</f>
        <v>3994150</v>
      </c>
    </row>
    <row r="848" spans="1:10" ht="24" hidden="1" customHeight="1" x14ac:dyDescent="0.3">
      <c r="A848" s="142">
        <v>44560</v>
      </c>
      <c r="B848" s="50" t="s">
        <v>189</v>
      </c>
      <c r="C848" s="5"/>
      <c r="D848" s="5">
        <v>312197</v>
      </c>
      <c r="E848" s="5">
        <f>+IF(FINANCIACION[[#This Row],[$ CAPITAL]]&gt;=0,FINANCIACION[[#This Row],[$ CAPITAL]]+FINANCIACION[[#This Row],[$ INTERESES]],"")</f>
        <v>312197</v>
      </c>
      <c r="F848" s="5">
        <f>+SUMIFS(FINANCIACION[$ CAPITAL],FINANCIACION[Fecha],"&lt;="&amp;FINANCIACION[[#This Row],[Fecha]],FINANCIACION[PRESTAMO],FINANCIACION[[#This Row],[PRESTAMO]])</f>
        <v>0</v>
      </c>
      <c r="G848" s="53"/>
      <c r="H848" s="53"/>
      <c r="I848" s="5" t="b">
        <f>IF(FINANCIACION[[#This Row],[$ CAPITAL]]&gt;0,FINANCIACION[[#This Row],[$ CAPITAL]])</f>
        <v>0</v>
      </c>
      <c r="J848" s="33">
        <f>IF(FINANCIACION[[#This Row],[$ CAPITAL]]&gt;=0,FINANCIACION[[#This Row],[$ CAPITAL]]+FINANCIACION[[#This Row],[$ INTERESES]],0)</f>
        <v>312197</v>
      </c>
    </row>
    <row r="849" spans="1:10" ht="24" hidden="1" customHeight="1" x14ac:dyDescent="0.3">
      <c r="A849" s="142">
        <v>44560</v>
      </c>
      <c r="B849" s="50" t="s">
        <v>189</v>
      </c>
      <c r="C849" s="5"/>
      <c r="D849" s="5">
        <v>138816</v>
      </c>
      <c r="E849" s="5">
        <f>+IF(FINANCIACION[[#This Row],[$ CAPITAL]]&gt;=0,FINANCIACION[[#This Row],[$ CAPITAL]]+FINANCIACION[[#This Row],[$ INTERESES]],"")</f>
        <v>138816</v>
      </c>
      <c r="F849" s="5">
        <f>+SUMIFS(FINANCIACION[$ CAPITAL],FINANCIACION[Fecha],"&lt;="&amp;FINANCIACION[[#This Row],[Fecha]],FINANCIACION[PRESTAMO],FINANCIACION[[#This Row],[PRESTAMO]])</f>
        <v>0</v>
      </c>
      <c r="G849" s="53"/>
      <c r="H849" s="53"/>
      <c r="I849" s="5" t="b">
        <f>IF(FINANCIACION[[#This Row],[$ CAPITAL]]&gt;0,FINANCIACION[[#This Row],[$ CAPITAL]])</f>
        <v>0</v>
      </c>
      <c r="J849" s="33">
        <f>IF(FINANCIACION[[#This Row],[$ CAPITAL]]&gt;=0,FINANCIACION[[#This Row],[$ CAPITAL]]+FINANCIACION[[#This Row],[$ INTERESES]],0)</f>
        <v>138816</v>
      </c>
    </row>
    <row r="850" spans="1:10" ht="24" hidden="1" customHeight="1" x14ac:dyDescent="0.3">
      <c r="A850" s="142">
        <v>44560</v>
      </c>
      <c r="B850" s="50" t="s">
        <v>196</v>
      </c>
      <c r="C850" s="5">
        <v>4023680</v>
      </c>
      <c r="D850" s="5"/>
      <c r="E850" s="5">
        <f>+IF(FINANCIACION[[#This Row],[$ CAPITAL]]&gt;=0,FINANCIACION[[#This Row],[$ CAPITAL]]+FINANCIACION[[#This Row],[$ INTERESES]],"")</f>
        <v>4023680</v>
      </c>
      <c r="F850" s="5">
        <f>+SUMIFS(FINANCIACION[$ CAPITAL],FINANCIACION[Fecha],"&lt;="&amp;FINANCIACION[[#This Row],[Fecha]],FINANCIACION[PRESTAMO],FINANCIACION[[#This Row],[PRESTAMO]])</f>
        <v>-4832075</v>
      </c>
      <c r="G850" s="53"/>
      <c r="H850" s="53"/>
      <c r="I850" s="5">
        <f>IF(FINANCIACION[[#This Row],[$ CAPITAL]]&gt;0,FINANCIACION[[#This Row],[$ CAPITAL]])</f>
        <v>4023680</v>
      </c>
      <c r="J850" s="33">
        <f>IF(FINANCIACION[[#This Row],[$ CAPITAL]]&gt;=0,FINANCIACION[[#This Row],[$ CAPITAL]]+FINANCIACION[[#This Row],[$ INTERESES]],0)</f>
        <v>4023680</v>
      </c>
    </row>
    <row r="851" spans="1:10" ht="24" hidden="1" customHeight="1" x14ac:dyDescent="0.3">
      <c r="A851" s="142">
        <v>44560</v>
      </c>
      <c r="B851" s="50" t="s">
        <v>197</v>
      </c>
      <c r="C851" s="5">
        <v>1000000</v>
      </c>
      <c r="D851" s="5"/>
      <c r="E851" s="5">
        <f>+IF(FINANCIACION[[#This Row],[$ CAPITAL]]&gt;=0,FINANCIACION[[#This Row],[$ CAPITAL]]+FINANCIACION[[#This Row],[$ INTERESES]],"")</f>
        <v>1000000</v>
      </c>
      <c r="F851" s="5">
        <f>+SUMIFS(FINANCIACION[$ CAPITAL],FINANCIACION[Fecha],"&lt;="&amp;FINANCIACION[[#This Row],[Fecha]],FINANCIACION[PRESTAMO],FINANCIACION[[#This Row],[PRESTAMO]])</f>
        <v>1000000</v>
      </c>
      <c r="G851" s="53"/>
      <c r="H851" s="53"/>
      <c r="I851" s="5">
        <f>IF(FINANCIACION[[#This Row],[$ CAPITAL]]&gt;0,FINANCIACION[[#This Row],[$ CAPITAL]])</f>
        <v>1000000</v>
      </c>
      <c r="J851" s="33">
        <f>IF(FINANCIACION[[#This Row],[$ CAPITAL]]&gt;=0,FINANCIACION[[#This Row],[$ CAPITAL]]+FINANCIACION[[#This Row],[$ INTERESES]],0)</f>
        <v>1000000</v>
      </c>
    </row>
    <row r="852" spans="1:10" ht="24" hidden="1" customHeight="1" x14ac:dyDescent="0.3">
      <c r="A852" s="142">
        <v>44561</v>
      </c>
      <c r="B852" s="50" t="s">
        <v>190</v>
      </c>
      <c r="C852" s="52">
        <v>1637071.68</v>
      </c>
      <c r="D852" s="5"/>
      <c r="E852" s="5">
        <f>+IF(FINANCIACION[[#This Row],[$ CAPITAL]]&gt;=0,FINANCIACION[[#This Row],[$ CAPITAL]]+FINANCIACION[[#This Row],[$ INTERESES]],"")</f>
        <v>1637071.68</v>
      </c>
      <c r="F852" s="5">
        <f>+SUMIFS(FINANCIACION[$ CAPITAL],FINANCIACION[Fecha],"&lt;="&amp;FINANCIACION[[#This Row],[Fecha]],FINANCIACION[PRESTAMO],FINANCIACION[[#This Row],[PRESTAMO]])</f>
        <v>0</v>
      </c>
      <c r="G852" s="53" t="s">
        <v>225</v>
      </c>
      <c r="H852" s="53"/>
      <c r="I852" s="5">
        <f>IF(FINANCIACION[[#This Row],[$ CAPITAL]]&gt;0,FINANCIACION[[#This Row],[$ CAPITAL]])</f>
        <v>1637071.68</v>
      </c>
      <c r="J852" s="33">
        <f>IF(FINANCIACION[[#This Row],[$ CAPITAL]]&gt;=0,FINANCIACION[[#This Row],[$ CAPITAL]]+FINANCIACION[[#This Row],[$ INTERESES]],0)</f>
        <v>1637071.68</v>
      </c>
    </row>
    <row r="853" spans="1:10" ht="24" hidden="1" customHeight="1" x14ac:dyDescent="0.3">
      <c r="A853" s="142">
        <v>44561</v>
      </c>
      <c r="B853" s="50" t="s">
        <v>282</v>
      </c>
      <c r="C853" s="5">
        <v>-2322509.1499999985</v>
      </c>
      <c r="D853" s="5"/>
      <c r="E853" s="5" t="str">
        <f>+IF(FINANCIACION[[#This Row],[$ CAPITAL]]&gt;=0,FINANCIACION[[#This Row],[$ CAPITAL]]+FINANCIACION[[#This Row],[$ INTERESES]],"")</f>
        <v/>
      </c>
      <c r="F853" s="5">
        <f>+SUMIFS(FINANCIACION[$ CAPITAL],FINANCIACION[Fecha],"&lt;="&amp;FINANCIACION[[#This Row],[Fecha]],FINANCIACION[PRESTAMO],FINANCIACION[[#This Row],[PRESTAMO]])</f>
        <v>-61434113</v>
      </c>
      <c r="G853" s="53"/>
      <c r="H853" s="53"/>
      <c r="I853" s="5" t="b">
        <f>IF(FINANCIACION[[#This Row],[$ CAPITAL]]&gt;0,FINANCIACION[[#This Row],[$ CAPITAL]])</f>
        <v>0</v>
      </c>
      <c r="J853" s="33">
        <f>IF(FINANCIACION[[#This Row],[$ CAPITAL]]&gt;=0,FINANCIACION[[#This Row],[$ CAPITAL]]+FINANCIACION[[#This Row],[$ INTERESES]],0)</f>
        <v>0</v>
      </c>
    </row>
    <row r="854" spans="1:10" ht="24" hidden="1" customHeight="1" x14ac:dyDescent="0.3">
      <c r="A854" s="142">
        <v>44561</v>
      </c>
      <c r="B854" s="50" t="s">
        <v>372</v>
      </c>
      <c r="C854" s="5">
        <v>-918689.65000000224</v>
      </c>
      <c r="D854" s="5"/>
      <c r="E854" s="5" t="str">
        <f>+IF(FINANCIACION[[#This Row],[$ CAPITAL]]&gt;=0,FINANCIACION[[#This Row],[$ CAPITAL]]+FINANCIACION[[#This Row],[$ INTERESES]],"")</f>
        <v/>
      </c>
      <c r="F854" s="5">
        <f>+SUMIFS(FINANCIACION[$ CAPITAL],FINANCIACION[Fecha],"&lt;="&amp;FINANCIACION[[#This Row],[Fecha]],FINANCIACION[PRESTAMO],FINANCIACION[[#This Row],[PRESTAMO]])</f>
        <v>-24300823</v>
      </c>
      <c r="G854" s="53"/>
      <c r="H854" s="53"/>
      <c r="I854" s="5" t="b">
        <f>IF(FINANCIACION[[#This Row],[$ CAPITAL]]&gt;0,FINANCIACION[[#This Row],[$ CAPITAL]])</f>
        <v>0</v>
      </c>
      <c r="J854" s="33">
        <f>IF(FINANCIACION[[#This Row],[$ CAPITAL]]&gt;=0,FINANCIACION[[#This Row],[$ CAPITAL]]+FINANCIACION[[#This Row],[$ INTERESES]],0)</f>
        <v>0</v>
      </c>
    </row>
    <row r="855" spans="1:10" ht="24" hidden="1" customHeight="1" x14ac:dyDescent="0.3">
      <c r="A855" s="142">
        <v>44561</v>
      </c>
      <c r="B855" s="50" t="s">
        <v>486</v>
      </c>
      <c r="C855" s="5">
        <v>-2121591.9499999955</v>
      </c>
      <c r="D855" s="5"/>
      <c r="E855" s="5" t="str">
        <f>+IF(FINANCIACION[[#This Row],[$ CAPITAL]]&gt;=0,FINANCIACION[[#This Row],[$ CAPITAL]]+FINANCIACION[[#This Row],[$ INTERESES]],"")</f>
        <v/>
      </c>
      <c r="F855" s="5">
        <f>+SUMIFS(FINANCIACION[$ CAPITAL],FINANCIACION[Fecha],"&lt;="&amp;FINANCIACION[[#This Row],[Fecha]],FINANCIACION[PRESTAMO],FINANCIACION[[#This Row],[PRESTAMO]])</f>
        <v>-56119529</v>
      </c>
      <c r="G855" s="53" t="s">
        <v>225</v>
      </c>
      <c r="H855" s="53"/>
      <c r="I855" s="5" t="b">
        <f>IF(FINANCIACION[[#This Row],[$ CAPITAL]]&gt;0,FINANCIACION[[#This Row],[$ CAPITAL]])</f>
        <v>0</v>
      </c>
      <c r="J855" s="33">
        <f>IF(FINANCIACION[[#This Row],[$ CAPITAL]]&gt;=0,FINANCIACION[[#This Row],[$ CAPITAL]]+FINANCIACION[[#This Row],[$ INTERESES]],0)</f>
        <v>0</v>
      </c>
    </row>
    <row r="856" spans="1:10" ht="24" hidden="1" customHeight="1" x14ac:dyDescent="0.3">
      <c r="A856" s="142">
        <v>44561</v>
      </c>
      <c r="B856" s="50" t="s">
        <v>833</v>
      </c>
      <c r="C856" s="5">
        <v>-909657.26000000164</v>
      </c>
      <c r="D856" s="5"/>
      <c r="E856" s="5" t="str">
        <f>+IF(FINANCIACION[[#This Row],[$ CAPITAL]]&gt;=0,FINANCIACION[[#This Row],[$ CAPITAL]]+FINANCIACION[[#This Row],[$ INTERESES]],"")</f>
        <v/>
      </c>
      <c r="F856" s="5">
        <f>+SUMIFS(FINANCIACION[$ CAPITAL],FINANCIACION[Fecha],"&lt;="&amp;FINANCIACION[[#This Row],[Fecha]],FINANCIACION[PRESTAMO],FINANCIACION[[#This Row],[PRESTAMO]])</f>
        <v>-18770653.620000001</v>
      </c>
      <c r="G856" s="53" t="s">
        <v>879</v>
      </c>
      <c r="H856" s="53"/>
      <c r="I856" s="5" t="b">
        <f>+IF(FINANCIACION[[#This Row],[$ CAPITAL]]&gt;0,FINANCIACION[[#This Row],[$ CAPITAL]])</f>
        <v>0</v>
      </c>
      <c r="J856" s="33">
        <f>+IF(FINANCIACION[[#This Row],[$ CAPITAL]]&gt;=0,FINANCIACION[[#This Row],[$ CAPITAL]]+FINANCIACION[[#This Row],[$ INTERESES]],0)</f>
        <v>0</v>
      </c>
    </row>
    <row r="857" spans="1:10" ht="24" hidden="1" customHeight="1" x14ac:dyDescent="0.3">
      <c r="A857" s="142">
        <v>44561</v>
      </c>
      <c r="B857" s="50" t="s">
        <v>833</v>
      </c>
      <c r="C857" s="5">
        <v>-154072.12000000104</v>
      </c>
      <c r="D857" s="5"/>
      <c r="E857" s="5" t="str">
        <f>+IF(FINANCIACION[[#This Row],[$ CAPITAL]]&gt;=0,FINANCIACION[[#This Row],[$ CAPITAL]]+FINANCIACION[[#This Row],[$ INTERESES]],"")</f>
        <v/>
      </c>
      <c r="F857" s="5">
        <f>+SUMIFS(FINANCIACION[$ CAPITAL],FINANCIACION[Fecha],"&lt;="&amp;FINANCIACION[[#This Row],[Fecha]],FINANCIACION[PRESTAMO],FINANCIACION[[#This Row],[PRESTAMO]])</f>
        <v>-18770653.620000001</v>
      </c>
      <c r="G857" s="53" t="s">
        <v>1053</v>
      </c>
      <c r="H857" s="53"/>
      <c r="I857" s="5" t="b">
        <f>+IF(FINANCIACION[[#This Row],[$ CAPITAL]]&gt;0,FINANCIACION[[#This Row],[$ CAPITAL]])</f>
        <v>0</v>
      </c>
      <c r="J857" s="33">
        <f>+IF(FINANCIACION[[#This Row],[$ CAPITAL]]&gt;=0,FINANCIACION[[#This Row],[$ CAPITAL]]+FINANCIACION[[#This Row],[$ INTERESES]],0)</f>
        <v>0</v>
      </c>
    </row>
    <row r="858" spans="1:10" ht="24" hidden="1" customHeight="1" x14ac:dyDescent="0.3">
      <c r="A858" s="142">
        <v>44561</v>
      </c>
      <c r="B858" s="50" t="s">
        <v>878</v>
      </c>
      <c r="C858" s="5">
        <v>-673307.35000000149</v>
      </c>
      <c r="D858" s="5"/>
      <c r="E858" s="5" t="str">
        <f>+IF(FINANCIACION[[#This Row],[$ CAPITAL]]&gt;=0,FINANCIACION[[#This Row],[$ CAPITAL]]+FINANCIACION[[#This Row],[$ INTERESES]],"")</f>
        <v/>
      </c>
      <c r="F858" s="5">
        <f>+SUMIFS(FINANCIACION[$ CAPITAL],FINANCIACION[Fecha],"&lt;="&amp;FINANCIACION[[#This Row],[Fecha]],FINANCIACION[PRESTAMO],FINANCIACION[[#This Row],[PRESTAMO]])</f>
        <v>-1469243.3599999994</v>
      </c>
      <c r="G858" s="53" t="s">
        <v>879</v>
      </c>
      <c r="H858" s="53"/>
      <c r="I858" s="5" t="b">
        <f>+IF(FINANCIACION[[#This Row],[$ CAPITAL]]&gt;0,FINANCIACION[[#This Row],[$ CAPITAL]])</f>
        <v>0</v>
      </c>
      <c r="J858" s="33">
        <f>+IF(FINANCIACION[[#This Row],[$ CAPITAL]]&gt;=0,FINANCIACION[[#This Row],[$ CAPITAL]]+FINANCIACION[[#This Row],[$ INTERESES]],0)</f>
        <v>0</v>
      </c>
    </row>
    <row r="859" spans="1:10" ht="24" hidden="1" customHeight="1" x14ac:dyDescent="0.3">
      <c r="A859" s="142">
        <v>44561</v>
      </c>
      <c r="B859" s="50" t="s">
        <v>878</v>
      </c>
      <c r="C859" s="5">
        <v>-795936.00999999791</v>
      </c>
      <c r="D859" s="5"/>
      <c r="E859" s="5" t="str">
        <f>+IF(FINANCIACION[[#This Row],[$ CAPITAL]]&gt;=0,FINANCIACION[[#This Row],[$ CAPITAL]]+FINANCIACION[[#This Row],[$ INTERESES]],"")</f>
        <v/>
      </c>
      <c r="F859" s="5">
        <f>+SUMIFS(FINANCIACION[$ CAPITAL],FINANCIACION[Fecha],"&lt;="&amp;FINANCIACION[[#This Row],[Fecha]],FINANCIACION[PRESTAMO],FINANCIACION[[#This Row],[PRESTAMO]])</f>
        <v>-1469243.3599999994</v>
      </c>
      <c r="G859" s="53" t="s">
        <v>1053</v>
      </c>
      <c r="H859" s="53"/>
      <c r="I859" s="5" t="b">
        <f>+IF(FINANCIACION[[#This Row],[$ CAPITAL]]&gt;0,FINANCIACION[[#This Row],[$ CAPITAL]])</f>
        <v>0</v>
      </c>
      <c r="J859" s="33">
        <f>+IF(FINANCIACION[[#This Row],[$ CAPITAL]]&gt;=0,FINANCIACION[[#This Row],[$ CAPITAL]]+FINANCIACION[[#This Row],[$ INTERESES]],0)</f>
        <v>0</v>
      </c>
    </row>
    <row r="860" spans="1:10" ht="24" hidden="1" customHeight="1" x14ac:dyDescent="0.3">
      <c r="A860" s="142">
        <v>44561</v>
      </c>
      <c r="B860" s="50" t="s">
        <v>827</v>
      </c>
      <c r="C860" s="5">
        <v>-802312.08999998868</v>
      </c>
      <c r="D860" s="5"/>
      <c r="E860" s="5" t="str">
        <f>+IF(FINANCIACION[[#This Row],[$ CAPITAL]]&gt;=0,FINANCIACION[[#This Row],[$ CAPITAL]]+FINANCIACION[[#This Row],[$ INTERESES]],"")</f>
        <v/>
      </c>
      <c r="F860" s="5">
        <f>+SUMIFS(FINANCIACION[$ CAPITAL],FINANCIACION[Fecha],"&lt;="&amp;FINANCIACION[[#This Row],[Fecha]],FINANCIACION[PRESTAMO],FINANCIACION[[#This Row],[PRESTAMO]])</f>
        <v>-16602203.279999996</v>
      </c>
      <c r="G860" s="53" t="s">
        <v>879</v>
      </c>
      <c r="H860" s="53"/>
      <c r="I860" s="5" t="b">
        <f>+IF(FINANCIACION[[#This Row],[$ CAPITAL]]&gt;0,FINANCIACION[[#This Row],[$ CAPITAL]])</f>
        <v>0</v>
      </c>
      <c r="J860" s="33">
        <f>+IF(FINANCIACION[[#This Row],[$ CAPITAL]]&gt;=0,FINANCIACION[[#This Row],[$ CAPITAL]]+FINANCIACION[[#This Row],[$ INTERESES]],0)</f>
        <v>0</v>
      </c>
    </row>
    <row r="861" spans="1:10" ht="24" hidden="1" customHeight="1" x14ac:dyDescent="0.3">
      <c r="A861" s="142">
        <v>44561</v>
      </c>
      <c r="B861" s="50" t="s">
        <v>827</v>
      </c>
      <c r="C861" s="5">
        <v>-174703.99999999814</v>
      </c>
      <c r="D861" s="5"/>
      <c r="E861" s="5" t="str">
        <f>+IF(FINANCIACION[[#This Row],[$ CAPITAL]]&gt;=0,FINANCIACION[[#This Row],[$ CAPITAL]]+FINANCIACION[[#This Row],[$ INTERESES]],"")</f>
        <v/>
      </c>
      <c r="F861" s="5">
        <f>+SUMIFS(FINANCIACION[$ CAPITAL],FINANCIACION[Fecha],"&lt;="&amp;FINANCIACION[[#This Row],[Fecha]],FINANCIACION[PRESTAMO],FINANCIACION[[#This Row],[PRESTAMO]])</f>
        <v>-16602203.279999996</v>
      </c>
      <c r="G861" s="53" t="s">
        <v>1053</v>
      </c>
      <c r="H861" s="53"/>
      <c r="I861" s="5" t="b">
        <f>+IF(FINANCIACION[[#This Row],[$ CAPITAL]]&gt;0,FINANCIACION[[#This Row],[$ CAPITAL]])</f>
        <v>0</v>
      </c>
      <c r="J861" s="33">
        <f>+IF(FINANCIACION[[#This Row],[$ CAPITAL]]&gt;=0,FINANCIACION[[#This Row],[$ CAPITAL]]+FINANCIACION[[#This Row],[$ INTERESES]],0)</f>
        <v>0</v>
      </c>
    </row>
    <row r="862" spans="1:10" ht="24" hidden="1" customHeight="1" x14ac:dyDescent="0.3">
      <c r="A862" s="142">
        <v>44561</v>
      </c>
      <c r="B862" s="50" t="s">
        <v>835</v>
      </c>
      <c r="C862" s="5">
        <v>-1661234.7599999905</v>
      </c>
      <c r="D862" s="5"/>
      <c r="E862" s="5" t="str">
        <f>+IF(FINANCIACION[[#This Row],[$ CAPITAL]]&gt;=0,FINANCIACION[[#This Row],[$ CAPITAL]]+FINANCIACION[[#This Row],[$ INTERESES]],"")</f>
        <v/>
      </c>
      <c r="F862" s="5">
        <f>+SUMIFS(FINANCIACION[$ CAPITAL],FINANCIACION[Fecha],"&lt;="&amp;FINANCIACION[[#This Row],[Fecha]],FINANCIACION[PRESTAMO],FINANCIACION[[#This Row],[PRESTAMO]])</f>
        <v>-82321407.039999992</v>
      </c>
      <c r="G862" s="53" t="s">
        <v>879</v>
      </c>
      <c r="H862" s="53"/>
      <c r="I862" s="5" t="b">
        <f>+IF(FINANCIACION[[#This Row],[$ CAPITAL]]&gt;0,FINANCIACION[[#This Row],[$ CAPITAL]])</f>
        <v>0</v>
      </c>
      <c r="J862" s="33">
        <f>+IF(FINANCIACION[[#This Row],[$ CAPITAL]]&gt;=0,FINANCIACION[[#This Row],[$ CAPITAL]]+FINANCIACION[[#This Row],[$ INTERESES]],0)</f>
        <v>0</v>
      </c>
    </row>
    <row r="863" spans="1:10" ht="24" hidden="1" customHeight="1" x14ac:dyDescent="0.3">
      <c r="A863" s="142">
        <v>44561</v>
      </c>
      <c r="B863" s="50" t="s">
        <v>835</v>
      </c>
      <c r="C863" s="5">
        <v>-799093.79999999702</v>
      </c>
      <c r="D863" s="5"/>
      <c r="E863" s="5" t="str">
        <f>+IF(FINANCIACION[[#This Row],[$ CAPITAL]]&gt;=0,FINANCIACION[[#This Row],[$ CAPITAL]]+FINANCIACION[[#This Row],[$ INTERESES]],"")</f>
        <v/>
      </c>
      <c r="F863" s="5">
        <f>+SUMIFS(FINANCIACION[$ CAPITAL],FINANCIACION[Fecha],"&lt;="&amp;FINANCIACION[[#This Row],[Fecha]],FINANCIACION[PRESTAMO],FINANCIACION[[#This Row],[PRESTAMO]])</f>
        <v>-82321407.039999992</v>
      </c>
      <c r="G863" s="53" t="s">
        <v>1053</v>
      </c>
      <c r="H863" s="53"/>
      <c r="I863" s="5" t="b">
        <f>+IF(FINANCIACION[[#This Row],[$ CAPITAL]]&gt;0,FINANCIACION[[#This Row],[$ CAPITAL]])</f>
        <v>0</v>
      </c>
      <c r="J863" s="33">
        <f>+IF(FINANCIACION[[#This Row],[$ CAPITAL]]&gt;=0,FINANCIACION[[#This Row],[$ CAPITAL]]+FINANCIACION[[#This Row],[$ INTERESES]],0)</f>
        <v>0</v>
      </c>
    </row>
    <row r="864" spans="1:10" ht="24" hidden="1" customHeight="1" x14ac:dyDescent="0.3">
      <c r="A864" s="142">
        <v>44561</v>
      </c>
      <c r="B864" s="50" t="s">
        <v>829</v>
      </c>
      <c r="C864" s="5">
        <v>-891891.60999999382</v>
      </c>
      <c r="D864" s="5"/>
      <c r="E864" s="5" t="str">
        <f>+IF(FINANCIACION[[#This Row],[$ CAPITAL]]&gt;=0,FINANCIACION[[#This Row],[$ CAPITAL]]+FINANCIACION[[#This Row],[$ INTERESES]],"")</f>
        <v/>
      </c>
      <c r="F864" s="5">
        <f>+SUMIFS(FINANCIACION[$ CAPITAL],FINANCIACION[Fecha],"&lt;="&amp;FINANCIACION[[#This Row],[Fecha]],FINANCIACION[PRESTAMO],FINANCIACION[[#This Row],[PRESTAMO]])</f>
        <v>-18331709.669999994</v>
      </c>
      <c r="G864" s="53" t="s">
        <v>879</v>
      </c>
      <c r="H864" s="53"/>
      <c r="I864" s="5" t="b">
        <f>+IF(FINANCIACION[[#This Row],[$ CAPITAL]]&gt;0,FINANCIACION[[#This Row],[$ CAPITAL]])</f>
        <v>0</v>
      </c>
      <c r="J864" s="33">
        <f>+IF(FINANCIACION[[#This Row],[$ CAPITAL]]&gt;=0,FINANCIACION[[#This Row],[$ CAPITAL]]+FINANCIACION[[#This Row],[$ INTERESES]],0)</f>
        <v>0</v>
      </c>
    </row>
    <row r="865" spans="1:10" ht="24" hidden="1" customHeight="1" x14ac:dyDescent="0.3">
      <c r="A865" s="142">
        <v>44561</v>
      </c>
      <c r="B865" s="50" t="s">
        <v>829</v>
      </c>
      <c r="C865" s="5">
        <v>-178650.54000000097</v>
      </c>
      <c r="D865" s="5"/>
      <c r="E865" s="5" t="str">
        <f>+IF(FINANCIACION[[#This Row],[$ CAPITAL]]&gt;=0,FINANCIACION[[#This Row],[$ CAPITAL]]+FINANCIACION[[#This Row],[$ INTERESES]],"")</f>
        <v/>
      </c>
      <c r="F865" s="5">
        <f>+SUMIFS(FINANCIACION[$ CAPITAL],FINANCIACION[Fecha],"&lt;="&amp;FINANCIACION[[#This Row],[Fecha]],FINANCIACION[PRESTAMO],FINANCIACION[[#This Row],[PRESTAMO]])</f>
        <v>-18331709.669999994</v>
      </c>
      <c r="G865" s="53" t="s">
        <v>1053</v>
      </c>
      <c r="H865" s="53"/>
      <c r="I865" s="5" t="b">
        <f>+IF(FINANCIACION[[#This Row],[$ CAPITAL]]&gt;0,FINANCIACION[[#This Row],[$ CAPITAL]])</f>
        <v>0</v>
      </c>
      <c r="J865" s="33">
        <f>+IF(FINANCIACION[[#This Row],[$ CAPITAL]]&gt;=0,FINANCIACION[[#This Row],[$ CAPITAL]]+FINANCIACION[[#This Row],[$ INTERESES]],0)</f>
        <v>0</v>
      </c>
    </row>
    <row r="866" spans="1:10" ht="24" hidden="1" customHeight="1" x14ac:dyDescent="0.3">
      <c r="A866" s="142">
        <v>44561</v>
      </c>
      <c r="B866" s="50" t="s">
        <v>825</v>
      </c>
      <c r="C866" s="5">
        <v>-1956200.2800000049</v>
      </c>
      <c r="D866" s="5"/>
      <c r="E866" s="5" t="str">
        <f>+IF(FINANCIACION[[#This Row],[$ CAPITAL]]&gt;=0,FINANCIACION[[#This Row],[$ CAPITAL]]+FINANCIACION[[#This Row],[$ INTERESES]],"")</f>
        <v/>
      </c>
      <c r="F866" s="5">
        <f>+SUMIFS(FINANCIACION[$ CAPITAL],FINANCIACION[Fecha],"&lt;="&amp;FINANCIACION[[#This Row],[Fecha]],FINANCIACION[PRESTAMO],FINANCIACION[[#This Row],[PRESTAMO]])</f>
        <v>-40198762.970000006</v>
      </c>
      <c r="G866" s="53" t="s">
        <v>879</v>
      </c>
      <c r="H866" s="53"/>
      <c r="I866" s="5" t="b">
        <f>+IF(FINANCIACION[[#This Row],[$ CAPITAL]]&gt;0,FINANCIACION[[#This Row],[$ CAPITAL]])</f>
        <v>0</v>
      </c>
      <c r="J866" s="33">
        <f>+IF(FINANCIACION[[#This Row],[$ CAPITAL]]&gt;=0,FINANCIACION[[#This Row],[$ CAPITAL]]+FINANCIACION[[#This Row],[$ INTERESES]],0)</f>
        <v>0</v>
      </c>
    </row>
    <row r="867" spans="1:10" ht="24" hidden="1" customHeight="1" x14ac:dyDescent="0.3">
      <c r="A867" s="142">
        <v>44561</v>
      </c>
      <c r="B867" s="50" t="s">
        <v>825</v>
      </c>
      <c r="C867" s="5">
        <v>-315595.36999999732</v>
      </c>
      <c r="D867" s="5"/>
      <c r="E867" s="5" t="str">
        <f>+IF(FINANCIACION[[#This Row],[$ CAPITAL]]&gt;=0,FINANCIACION[[#This Row],[$ CAPITAL]]+FINANCIACION[[#This Row],[$ INTERESES]],"")</f>
        <v/>
      </c>
      <c r="F867" s="5">
        <f>+SUMIFS(FINANCIACION[$ CAPITAL],FINANCIACION[Fecha],"&lt;="&amp;FINANCIACION[[#This Row],[Fecha]],FINANCIACION[PRESTAMO],FINANCIACION[[#This Row],[PRESTAMO]])</f>
        <v>-40198762.970000006</v>
      </c>
      <c r="G867" s="53" t="s">
        <v>1053</v>
      </c>
      <c r="H867" s="53"/>
      <c r="I867" s="5" t="b">
        <f>+IF(FINANCIACION[[#This Row],[$ CAPITAL]]&gt;0,FINANCIACION[[#This Row],[$ CAPITAL]])</f>
        <v>0</v>
      </c>
      <c r="J867" s="33">
        <f>+IF(FINANCIACION[[#This Row],[$ CAPITAL]]&gt;=0,FINANCIACION[[#This Row],[$ CAPITAL]]+FINANCIACION[[#This Row],[$ INTERESES]],0)</f>
        <v>0</v>
      </c>
    </row>
    <row r="868" spans="1:10" ht="24" hidden="1" customHeight="1" x14ac:dyDescent="0.3">
      <c r="A868" s="142">
        <v>44561</v>
      </c>
      <c r="B868" s="50" t="s">
        <v>826</v>
      </c>
      <c r="C868" s="5">
        <v>-3127661</v>
      </c>
      <c r="D868" s="5"/>
      <c r="E868" s="5" t="str">
        <f>+IF(FINANCIACION[[#This Row],[$ CAPITAL]]&gt;=0,FINANCIACION[[#This Row],[$ CAPITAL]]+FINANCIACION[[#This Row],[$ INTERESES]],"")</f>
        <v/>
      </c>
      <c r="F868" s="5">
        <f>+SUMIFS(FINANCIACION[$ CAPITAL],FINANCIACION[Fecha],"&lt;="&amp;FINANCIACION[[#This Row],[Fecha]],FINANCIACION[PRESTAMO],FINANCIACION[[#This Row],[PRESTAMO]])</f>
        <v>-58401842.530000001</v>
      </c>
      <c r="G868" s="53" t="s">
        <v>879</v>
      </c>
      <c r="H868" s="53"/>
      <c r="I868" s="5" t="b">
        <f>+IF(FINANCIACION[[#This Row],[$ CAPITAL]]&gt;0,FINANCIACION[[#This Row],[$ CAPITAL]])</f>
        <v>0</v>
      </c>
      <c r="J868" s="33">
        <f>+IF(FINANCIACION[[#This Row],[$ CAPITAL]]&gt;=0,FINANCIACION[[#This Row],[$ CAPITAL]]+FINANCIACION[[#This Row],[$ INTERESES]],0)</f>
        <v>0</v>
      </c>
    </row>
    <row r="869" spans="1:10" ht="24" hidden="1" customHeight="1" x14ac:dyDescent="0.3">
      <c r="A869" s="142">
        <v>44561</v>
      </c>
      <c r="B869" s="50" t="s">
        <v>826</v>
      </c>
      <c r="C869" s="5">
        <v>-492802.1099999994</v>
      </c>
      <c r="D869" s="5"/>
      <c r="E869" s="5" t="str">
        <f>+IF(FINANCIACION[[#This Row],[$ CAPITAL]]&gt;=0,FINANCIACION[[#This Row],[$ CAPITAL]]+FINANCIACION[[#This Row],[$ INTERESES]],"")</f>
        <v/>
      </c>
      <c r="F869" s="5">
        <f>+SUMIFS(FINANCIACION[$ CAPITAL],FINANCIACION[Fecha],"&lt;="&amp;FINANCIACION[[#This Row],[Fecha]],FINANCIACION[PRESTAMO],FINANCIACION[[#This Row],[PRESTAMO]])</f>
        <v>-58401842.530000001</v>
      </c>
      <c r="G869" s="53" t="s">
        <v>1053</v>
      </c>
      <c r="H869" s="53"/>
      <c r="I869" s="5" t="b">
        <f>+IF(FINANCIACION[[#This Row],[$ CAPITAL]]&gt;0,FINANCIACION[[#This Row],[$ CAPITAL]])</f>
        <v>0</v>
      </c>
      <c r="J869" s="33">
        <f>+IF(FINANCIACION[[#This Row],[$ CAPITAL]]&gt;=0,FINANCIACION[[#This Row],[$ CAPITAL]]+FINANCIACION[[#This Row],[$ INTERESES]],0)</f>
        <v>0</v>
      </c>
    </row>
    <row r="870" spans="1:10" ht="24" hidden="1" customHeight="1" x14ac:dyDescent="0.3">
      <c r="A870" s="142">
        <v>44561</v>
      </c>
      <c r="B870" s="50" t="s">
        <v>821</v>
      </c>
      <c r="C870" s="5">
        <v>-18803895</v>
      </c>
      <c r="D870" s="5"/>
      <c r="E870" s="5" t="str">
        <f>+IF(FINANCIACION[[#This Row],[$ CAPITAL]]&gt;=0,FINANCIACION[[#This Row],[$ CAPITAL]]+FINANCIACION[[#This Row],[$ INTERESES]],"")</f>
        <v/>
      </c>
      <c r="F870" s="5">
        <f>+SUMIFS(FINANCIACION[$ CAPITAL],FINANCIACION[Fecha],"&lt;="&amp;FINANCIACION[[#This Row],[Fecha]],FINANCIACION[PRESTAMO],FINANCIACION[[#This Row],[PRESTAMO]])</f>
        <v>-388924522</v>
      </c>
      <c r="G870" s="53" t="s">
        <v>225</v>
      </c>
      <c r="H870" s="53"/>
      <c r="I870" s="5" t="b">
        <f>IF(FINANCIACION[[#This Row],[$ CAPITAL]]&gt;0,FINANCIACION[[#This Row],[$ CAPITAL]])</f>
        <v>0</v>
      </c>
      <c r="J870" s="33">
        <f>IF(FINANCIACION[[#This Row],[$ CAPITAL]]&gt;=0,FINANCIACION[[#This Row],[$ CAPITAL]]+FINANCIACION[[#This Row],[$ INTERESES]],0)</f>
        <v>0</v>
      </c>
    </row>
    <row r="871" spans="1:10" ht="24" hidden="1" customHeight="1" x14ac:dyDescent="0.3">
      <c r="A871" s="142">
        <v>44561</v>
      </c>
      <c r="B871" s="50" t="s">
        <v>821</v>
      </c>
      <c r="C871" s="5">
        <v>-51801495</v>
      </c>
      <c r="D871" s="5"/>
      <c r="E871" s="5" t="str">
        <f>+IF(FINANCIACION[[#This Row],[$ CAPITAL]]&gt;=0,FINANCIACION[[#This Row],[$ CAPITAL]]+FINANCIACION[[#This Row],[$ INTERESES]],"")</f>
        <v/>
      </c>
      <c r="F871" s="5">
        <f>+SUMIFS(FINANCIACION[$ CAPITAL],FINANCIACION[Fecha],"&lt;="&amp;FINANCIACION[[#This Row],[Fecha]],FINANCIACION[PRESTAMO],FINANCIACION[[#This Row],[PRESTAMO]])</f>
        <v>-388924522</v>
      </c>
      <c r="G871" s="53" t="s">
        <v>1120</v>
      </c>
      <c r="H871" s="53"/>
      <c r="I871" s="5" t="b">
        <f>+IF(FINANCIACION[[#This Row],[$ CAPITAL]]&gt;0,FINANCIACION[[#This Row],[$ CAPITAL]])</f>
        <v>0</v>
      </c>
      <c r="J871" s="33">
        <f>+IF(FINANCIACION[[#This Row],[$ CAPITAL]]&gt;=0,FINANCIACION[[#This Row],[$ CAPITAL]]+FINANCIACION[[#This Row],[$ INTERESES]],0)</f>
        <v>0</v>
      </c>
    </row>
    <row r="872" spans="1:10" ht="24" hidden="1" customHeight="1" x14ac:dyDescent="0.3">
      <c r="A872" s="142">
        <v>44561</v>
      </c>
      <c r="B872" s="50" t="s">
        <v>822</v>
      </c>
      <c r="C872" s="5">
        <v>-1321388.3700000159</v>
      </c>
      <c r="D872" s="5"/>
      <c r="E872" s="5" t="str">
        <f>+IF(FINANCIACION[[#This Row],[$ CAPITAL]]&gt;=0,FINANCIACION[[#This Row],[$ CAPITAL]]+FINANCIACION[[#This Row],[$ INTERESES]],"")</f>
        <v/>
      </c>
      <c r="F872" s="5">
        <f>+SUMIFS(FINANCIACION[$ CAPITAL],FINANCIACION[Fecha],"&lt;="&amp;FINANCIACION[[#This Row],[Fecha]],FINANCIACION[PRESTAMO],FINANCIACION[[#This Row],[PRESTAMO]])</f>
        <v>-21373447.600000005</v>
      </c>
      <c r="G872" s="53" t="s">
        <v>879</v>
      </c>
      <c r="H872" s="53"/>
      <c r="I872" s="5" t="b">
        <f>+IF(FINANCIACION[[#This Row],[$ CAPITAL]]&gt;0,FINANCIACION[[#This Row],[$ CAPITAL]])</f>
        <v>0</v>
      </c>
      <c r="J872" s="33">
        <f>+IF(FINANCIACION[[#This Row],[$ CAPITAL]]&gt;=0,FINANCIACION[[#This Row],[$ CAPITAL]]+FINANCIACION[[#This Row],[$ INTERESES]],0)</f>
        <v>0</v>
      </c>
    </row>
    <row r="873" spans="1:10" ht="24" hidden="1" customHeight="1" x14ac:dyDescent="0.3">
      <c r="A873" s="142">
        <v>44561</v>
      </c>
      <c r="B873" s="50" t="s">
        <v>822</v>
      </c>
      <c r="C873" s="5">
        <v>-212377.54000000283</v>
      </c>
      <c r="D873" s="5"/>
      <c r="E873" s="5" t="str">
        <f>+IF(FINANCIACION[[#This Row],[$ CAPITAL]]&gt;=0,FINANCIACION[[#This Row],[$ CAPITAL]]+FINANCIACION[[#This Row],[$ INTERESES]],"")</f>
        <v/>
      </c>
      <c r="F873" s="5">
        <f>+SUMIFS(FINANCIACION[$ CAPITAL],FINANCIACION[Fecha],"&lt;="&amp;FINANCIACION[[#This Row],[Fecha]],FINANCIACION[PRESTAMO],FINANCIACION[[#This Row],[PRESTAMO]])</f>
        <v>-21373447.600000005</v>
      </c>
      <c r="G873" s="53" t="s">
        <v>1053</v>
      </c>
      <c r="H873" s="53"/>
      <c r="I873" s="5" t="b">
        <f>+IF(FINANCIACION[[#This Row],[$ CAPITAL]]&gt;0,FINANCIACION[[#This Row],[$ CAPITAL]])</f>
        <v>0</v>
      </c>
      <c r="J873" s="33">
        <f>+IF(FINANCIACION[[#This Row],[$ CAPITAL]]&gt;=0,FINANCIACION[[#This Row],[$ CAPITAL]]+FINANCIACION[[#This Row],[$ INTERESES]],0)</f>
        <v>0</v>
      </c>
    </row>
    <row r="874" spans="1:10" ht="24" hidden="1" customHeight="1" x14ac:dyDescent="0.3">
      <c r="A874" s="142">
        <v>44561</v>
      </c>
      <c r="B874" s="50" t="s">
        <v>195</v>
      </c>
      <c r="C874" s="5">
        <v>-3484626</v>
      </c>
      <c r="D874" s="5"/>
      <c r="E874" s="5" t="str">
        <f>+IF(FINANCIACION[[#This Row],[$ CAPITAL]]&gt;=0,FINANCIACION[[#This Row],[$ CAPITAL]]+FINANCIACION[[#This Row],[$ INTERESES]],"")</f>
        <v/>
      </c>
      <c r="F874" s="5">
        <f>+SUMIFS(FINANCIACION[$ CAPITAL],FINANCIACION[Fecha],"&lt;="&amp;FINANCIACION[[#This Row],[Fecha]],FINANCIACION[PRESTAMO],FINANCIACION[[#This Row],[PRESTAMO]])</f>
        <v>-602400</v>
      </c>
      <c r="G874" s="53"/>
      <c r="H874" s="53"/>
      <c r="I874" s="5" t="b">
        <f>IF(FINANCIACION[[#This Row],[$ CAPITAL]]&gt;0,FINANCIACION[[#This Row],[$ CAPITAL]])</f>
        <v>0</v>
      </c>
      <c r="J874" s="33">
        <f>IF(FINANCIACION[[#This Row],[$ CAPITAL]]&gt;=0,FINANCIACION[[#This Row],[$ CAPITAL]]+FINANCIACION[[#This Row],[$ INTERESES]],0)</f>
        <v>0</v>
      </c>
    </row>
    <row r="875" spans="1:10" ht="24" hidden="1" customHeight="1" x14ac:dyDescent="0.3">
      <c r="A875" s="142">
        <v>44561</v>
      </c>
      <c r="B875" s="50" t="s">
        <v>196</v>
      </c>
      <c r="C875" s="5">
        <v>-15729425</v>
      </c>
      <c r="D875" s="5"/>
      <c r="E875" s="5" t="str">
        <f>+IF(FINANCIACION[[#This Row],[$ CAPITAL]]&gt;=0,FINANCIACION[[#This Row],[$ CAPITAL]]+FINANCIACION[[#This Row],[$ INTERESES]],"")</f>
        <v/>
      </c>
      <c r="F875" s="5">
        <f>+SUMIFS(FINANCIACION[$ CAPITAL],FINANCIACION[Fecha],"&lt;="&amp;FINANCIACION[[#This Row],[Fecha]],FINANCIACION[PRESTAMO],FINANCIACION[[#This Row],[PRESTAMO]])</f>
        <v>-20561500</v>
      </c>
      <c r="G875" s="53"/>
      <c r="H875" s="53"/>
      <c r="I875" s="5" t="b">
        <f>IF(FINANCIACION[[#This Row],[$ CAPITAL]]&gt;0,FINANCIACION[[#This Row],[$ CAPITAL]])</f>
        <v>0</v>
      </c>
      <c r="J875" s="33">
        <f>IF(FINANCIACION[[#This Row],[$ CAPITAL]]&gt;=0,FINANCIACION[[#This Row],[$ CAPITAL]]+FINANCIACION[[#This Row],[$ INTERESES]],0)</f>
        <v>0</v>
      </c>
    </row>
    <row r="876" spans="1:10" ht="24" hidden="1" customHeight="1" x14ac:dyDescent="0.3">
      <c r="A876" s="142">
        <v>44561</v>
      </c>
      <c r="B876" s="50" t="s">
        <v>197</v>
      </c>
      <c r="C876" s="5">
        <v>-1357536</v>
      </c>
      <c r="D876" s="5"/>
      <c r="E876" s="5" t="str">
        <f>+IF(FINANCIACION[[#This Row],[$ CAPITAL]]&gt;=0,FINANCIACION[[#This Row],[$ CAPITAL]]+FINANCIACION[[#This Row],[$ INTERESES]],"")</f>
        <v/>
      </c>
      <c r="F876" s="5">
        <f>+SUMIFS(FINANCIACION[$ CAPITAL],FINANCIACION[Fecha],"&lt;="&amp;FINANCIACION[[#This Row],[Fecha]],FINANCIACION[PRESTAMO],FINANCIACION[[#This Row],[PRESTAMO]])</f>
        <v>-357536</v>
      </c>
      <c r="G876" s="53"/>
      <c r="H876" s="53"/>
      <c r="I876" s="5" t="b">
        <f>IF(FINANCIACION[[#This Row],[$ CAPITAL]]&gt;0,FINANCIACION[[#This Row],[$ CAPITAL]])</f>
        <v>0</v>
      </c>
      <c r="J876" s="33">
        <f>IF(FINANCIACION[[#This Row],[$ CAPITAL]]&gt;=0,FINANCIACION[[#This Row],[$ CAPITAL]]+FINANCIACION[[#This Row],[$ INTERESES]],0)</f>
        <v>0</v>
      </c>
    </row>
    <row r="877" spans="1:10" ht="24" hidden="1" customHeight="1" x14ac:dyDescent="0.3">
      <c r="A877" s="142">
        <v>44564</v>
      </c>
      <c r="B877" s="50" t="s">
        <v>187</v>
      </c>
      <c r="C877" s="5">
        <v>1468400</v>
      </c>
      <c r="D877" s="5">
        <v>417344</v>
      </c>
      <c r="E877" s="5">
        <f>+IF(FINANCIACION[[#This Row],[$ CAPITAL]]&gt;=0,FINANCIACION[[#This Row],[$ CAPITAL]]+FINANCIACION[[#This Row],[$ INTERESES]],"")</f>
        <v>1885744</v>
      </c>
      <c r="F877" s="5">
        <f>+SUMIFS(FINANCIACION[$ CAPITAL],FINANCIACION[Fecha],"&lt;="&amp;FINANCIACION[[#This Row],[Fecha]],FINANCIACION[PRESTAMO],FINANCIACION[[#This Row],[PRESTAMO]])</f>
        <v>-39646800</v>
      </c>
      <c r="G877" s="53"/>
      <c r="H877" s="53"/>
      <c r="I877" s="5">
        <f>IF(FINANCIACION[[#This Row],[$ CAPITAL]]&gt;0,FINANCIACION[[#This Row],[$ CAPITAL]])</f>
        <v>1468400</v>
      </c>
      <c r="J877" s="33">
        <f>IF(FINANCIACION[[#This Row],[$ CAPITAL]]&gt;=0,FINANCIACION[[#This Row],[$ CAPITAL]]+FINANCIACION[[#This Row],[$ INTERESES]],0)</f>
        <v>1885744</v>
      </c>
    </row>
    <row r="878" spans="1:10" ht="24" hidden="1" customHeight="1" x14ac:dyDescent="0.3">
      <c r="A878" s="142">
        <v>44564</v>
      </c>
      <c r="B878" s="50" t="s">
        <v>188</v>
      </c>
      <c r="C878" s="5">
        <v>76791</v>
      </c>
      <c r="D878" s="5"/>
      <c r="E878" s="5">
        <f>+IF(FINANCIACION[[#This Row],[$ CAPITAL]]&gt;=0,FINANCIACION[[#This Row],[$ CAPITAL]]+FINANCIACION[[#This Row],[$ INTERESES]],"")</f>
        <v>76791</v>
      </c>
      <c r="F878" s="5">
        <f>+SUMIFS(FINANCIACION[$ CAPITAL],FINANCIACION[Fecha],"&lt;="&amp;FINANCIACION[[#This Row],[Fecha]],FINANCIACION[PRESTAMO],FINANCIACION[[#This Row],[PRESTAMO]])</f>
        <v>-2073357</v>
      </c>
      <c r="G878" s="53"/>
      <c r="H878" s="53"/>
      <c r="I878" s="5">
        <f>IF(FINANCIACION[[#This Row],[$ CAPITAL]]&gt;0,FINANCIACION[[#This Row],[$ CAPITAL]])</f>
        <v>76791</v>
      </c>
      <c r="J878" s="33">
        <f>IF(FINANCIACION[[#This Row],[$ CAPITAL]]&gt;=0,FINANCIACION[[#This Row],[$ CAPITAL]]+FINANCIACION[[#This Row],[$ INTERESES]],0)</f>
        <v>76791</v>
      </c>
    </row>
    <row r="879" spans="1:10" ht="24" hidden="1" customHeight="1" x14ac:dyDescent="0.3">
      <c r="A879" s="142">
        <v>44565</v>
      </c>
      <c r="B879" s="50" t="s">
        <v>836</v>
      </c>
      <c r="C879" s="5">
        <v>30000000</v>
      </c>
      <c r="D879" s="5">
        <v>465000</v>
      </c>
      <c r="E879" s="5">
        <f>+IF(FINANCIACION[[#This Row],[$ CAPITAL]]&gt;=0,FINANCIACION[[#This Row],[$ CAPITAL]]+FINANCIACION[[#This Row],[$ INTERESES]],"")</f>
        <v>30465000</v>
      </c>
      <c r="F879" s="5">
        <f>+SUMIFS(FINANCIACION[$ CAPITAL],FINANCIACION[Fecha],"&lt;="&amp;FINANCIACION[[#This Row],[Fecha]],FINANCIACION[PRESTAMO],FINANCIACION[[#This Row],[PRESTAMO]])</f>
        <v>0</v>
      </c>
      <c r="G879" s="53"/>
      <c r="H879" s="53"/>
      <c r="I879" s="5">
        <f>IF(FINANCIACION[[#This Row],[$ CAPITAL]]&gt;0,FINANCIACION[[#This Row],[$ CAPITAL]])</f>
        <v>30000000</v>
      </c>
      <c r="J879" s="33">
        <f>IF(FINANCIACION[[#This Row],[$ CAPITAL]]&gt;=0,FINANCIACION[[#This Row],[$ CAPITAL]]+FINANCIACION[[#This Row],[$ INTERESES]],0)</f>
        <v>30465000</v>
      </c>
    </row>
    <row r="880" spans="1:10" ht="24" hidden="1" customHeight="1" x14ac:dyDescent="0.3">
      <c r="A880" s="142">
        <v>44565</v>
      </c>
      <c r="B880" s="50" t="s">
        <v>191</v>
      </c>
      <c r="C880" s="5">
        <v>6326000</v>
      </c>
      <c r="D880" s="5">
        <v>1249384.54</v>
      </c>
      <c r="E880" s="5">
        <f>+IF(FINANCIACION[[#This Row],[$ CAPITAL]]&gt;=0,FINANCIACION[[#This Row],[$ CAPITAL]]+FINANCIACION[[#This Row],[$ INTERESES]],"")</f>
        <v>7575384.54</v>
      </c>
      <c r="F880" s="5">
        <f>+SUMIFS(FINANCIACION[$ CAPITAL],FINANCIACION[Fecha],"&lt;="&amp;FINANCIACION[[#This Row],[Fecha]],FINANCIACION[PRESTAMO],FINANCIACION[[#This Row],[PRESTAMO]])</f>
        <v>-9757126</v>
      </c>
      <c r="G880" s="53"/>
      <c r="H880" s="53"/>
      <c r="I880" s="5">
        <f>IF(FINANCIACION[[#This Row],[$ CAPITAL]]&gt;0,FINANCIACION[[#This Row],[$ CAPITAL]])</f>
        <v>6326000</v>
      </c>
      <c r="J880" s="33">
        <f>IF(FINANCIACION[[#This Row],[$ CAPITAL]]&gt;=0,FINANCIACION[[#This Row],[$ CAPITAL]]+FINANCIACION[[#This Row],[$ INTERESES]],0)</f>
        <v>7575384.54</v>
      </c>
    </row>
    <row r="881" spans="1:10" ht="24" hidden="1" customHeight="1" x14ac:dyDescent="0.3">
      <c r="A881" s="142">
        <v>44566</v>
      </c>
      <c r="B881" s="50" t="s">
        <v>197</v>
      </c>
      <c r="C881" s="5">
        <v>357536</v>
      </c>
      <c r="D881" s="5"/>
      <c r="E881" s="5">
        <f>+IF(FINANCIACION[[#This Row],[$ CAPITAL]]&gt;=0,FINANCIACION[[#This Row],[$ CAPITAL]]+FINANCIACION[[#This Row],[$ INTERESES]],"")</f>
        <v>357536</v>
      </c>
      <c r="F881" s="5">
        <f>+SUMIFS(FINANCIACION[$ CAPITAL],FINANCIACION[Fecha],"&lt;="&amp;FINANCIACION[[#This Row],[Fecha]],FINANCIACION[PRESTAMO],FINANCIACION[[#This Row],[PRESTAMO]])</f>
        <v>0</v>
      </c>
      <c r="G881" s="53"/>
      <c r="H881" s="53"/>
      <c r="I881" s="5">
        <f>IF(FINANCIACION[[#This Row],[$ CAPITAL]]&gt;0,FINANCIACION[[#This Row],[$ CAPITAL]])</f>
        <v>357536</v>
      </c>
      <c r="J881" s="33">
        <f>IF(FINANCIACION[[#This Row],[$ CAPITAL]]&gt;=0,FINANCIACION[[#This Row],[$ CAPITAL]]+FINANCIACION[[#This Row],[$ INTERESES]],0)</f>
        <v>357536</v>
      </c>
    </row>
    <row r="882" spans="1:10" ht="24" hidden="1" customHeight="1" x14ac:dyDescent="0.3">
      <c r="A882" s="142">
        <v>44567</v>
      </c>
      <c r="B882" s="50" t="s">
        <v>189</v>
      </c>
      <c r="C882" s="5"/>
      <c r="D882" s="5">
        <v>395585</v>
      </c>
      <c r="E882" s="5">
        <f>+IF(FINANCIACION[[#This Row],[$ CAPITAL]]&gt;=0,FINANCIACION[[#This Row],[$ CAPITAL]]+FINANCIACION[[#This Row],[$ INTERESES]],"")</f>
        <v>395585</v>
      </c>
      <c r="F882" s="5">
        <f>+SUMIFS(FINANCIACION[$ CAPITAL],FINANCIACION[Fecha],"&lt;="&amp;FINANCIACION[[#This Row],[Fecha]],FINANCIACION[PRESTAMO],FINANCIACION[[#This Row],[PRESTAMO]])</f>
        <v>0</v>
      </c>
      <c r="G882" s="53"/>
      <c r="H882" s="53"/>
      <c r="I882" s="5" t="b">
        <f>IF(FINANCIACION[[#This Row],[$ CAPITAL]]&gt;0,FINANCIACION[[#This Row],[$ CAPITAL]])</f>
        <v>0</v>
      </c>
      <c r="J882" s="33">
        <f>IF(FINANCIACION[[#This Row],[$ CAPITAL]]&gt;=0,FINANCIACION[[#This Row],[$ CAPITAL]]+FINANCIACION[[#This Row],[$ INTERESES]],0)</f>
        <v>395585</v>
      </c>
    </row>
    <row r="883" spans="1:10" ht="24" hidden="1" customHeight="1" x14ac:dyDescent="0.3">
      <c r="A883" s="142">
        <v>44572</v>
      </c>
      <c r="B883" s="50" t="s">
        <v>830</v>
      </c>
      <c r="C883" s="5"/>
      <c r="D883" s="5">
        <v>130000</v>
      </c>
      <c r="E883" s="5">
        <f>+IF(FINANCIACION[[#This Row],[$ CAPITAL]]&gt;=0,FINANCIACION[[#This Row],[$ CAPITAL]]+FINANCIACION[[#This Row],[$ INTERESES]],"")</f>
        <v>130000</v>
      </c>
      <c r="F883" s="5">
        <f>+SUMIFS(FINANCIACION[$ CAPITAL],FINANCIACION[Fecha],"&lt;="&amp;FINANCIACION[[#This Row],[Fecha]],FINANCIACION[PRESTAMO],FINANCIACION[[#This Row],[PRESTAMO]])</f>
        <v>-13000000</v>
      </c>
      <c r="G883" s="53"/>
      <c r="H883" s="53"/>
      <c r="I883" s="5" t="b">
        <f>IF(FINANCIACION[[#This Row],[$ CAPITAL]]&gt;0,FINANCIACION[[#This Row],[$ CAPITAL]])</f>
        <v>0</v>
      </c>
      <c r="J883" s="33">
        <f>IF(FINANCIACION[[#This Row],[$ CAPITAL]]&gt;=0,FINANCIACION[[#This Row],[$ CAPITAL]]+FINANCIACION[[#This Row],[$ INTERESES]],0)</f>
        <v>130000</v>
      </c>
    </row>
    <row r="884" spans="1:10" ht="24" hidden="1" customHeight="1" x14ac:dyDescent="0.3">
      <c r="A884" s="142">
        <v>44572</v>
      </c>
      <c r="B884" s="50" t="s">
        <v>834</v>
      </c>
      <c r="C884" s="5"/>
      <c r="D884" s="5">
        <v>400000</v>
      </c>
      <c r="E884" s="5">
        <f>+IF(FINANCIACION[[#This Row],[$ CAPITAL]]&gt;=0,FINANCIACION[[#This Row],[$ CAPITAL]]+FINANCIACION[[#This Row],[$ INTERESES]],"")</f>
        <v>400000</v>
      </c>
      <c r="F884" s="5">
        <f>+SUMIFS(FINANCIACION[$ CAPITAL],FINANCIACION[Fecha],"&lt;="&amp;FINANCIACION[[#This Row],[Fecha]],FINANCIACION[PRESTAMO],FINANCIACION[[#This Row],[PRESTAMO]])</f>
        <v>-40000000</v>
      </c>
      <c r="G884" s="53"/>
      <c r="H884" s="53"/>
      <c r="I884" s="5" t="b">
        <f>IF(FINANCIACION[[#This Row],[$ CAPITAL]]&gt;0,FINANCIACION[[#This Row],[$ CAPITAL]])</f>
        <v>0</v>
      </c>
      <c r="J884" s="33">
        <f>IF(FINANCIACION[[#This Row],[$ CAPITAL]]&gt;=0,FINANCIACION[[#This Row],[$ CAPITAL]]+FINANCIACION[[#This Row],[$ INTERESES]],0)</f>
        <v>400000</v>
      </c>
    </row>
    <row r="885" spans="1:10" ht="24" hidden="1" customHeight="1" x14ac:dyDescent="0.3">
      <c r="A885" s="142">
        <v>44572</v>
      </c>
      <c r="B885" s="50" t="s">
        <v>819</v>
      </c>
      <c r="C885" s="5">
        <v>1984832.5396928361</v>
      </c>
      <c r="D885" s="5">
        <v>692545.46030716388</v>
      </c>
      <c r="E885" s="5">
        <f>+IF(FINANCIACION[[#This Row],[$ CAPITAL]]&gt;=0,FINANCIACION[[#This Row],[$ CAPITAL]]+FINANCIACION[[#This Row],[$ INTERESES]],"")</f>
        <v>2677378</v>
      </c>
      <c r="F885" s="5">
        <f>+SUMIFS(FINANCIACION[$ CAPITAL],FINANCIACION[Fecha],"&lt;="&amp;FINANCIACION[[#This Row],[Fecha]],FINANCIACION[PRESTAMO],FINANCIACION[[#This Row],[PRESTAMO]])</f>
        <v>-67269713.491023555</v>
      </c>
      <c r="G885" s="53"/>
      <c r="H885" s="53"/>
      <c r="I885" s="5">
        <f>IF(FINANCIACION[[#This Row],[$ CAPITAL]]&gt;0,FINANCIACION[[#This Row],[$ CAPITAL]])</f>
        <v>1984832.5396928361</v>
      </c>
      <c r="J885" s="33">
        <f>IF(FINANCIACION[[#This Row],[$ CAPITAL]]&gt;=0,FINANCIACION[[#This Row],[$ CAPITAL]]+FINANCIACION[[#This Row],[$ INTERESES]],0)</f>
        <v>2677378</v>
      </c>
    </row>
    <row r="886" spans="1:10" ht="24" hidden="1" customHeight="1" x14ac:dyDescent="0.3">
      <c r="A886" s="142">
        <v>44572</v>
      </c>
      <c r="B886" s="50" t="s">
        <v>823</v>
      </c>
      <c r="C886" s="5">
        <v>764704.74227897299</v>
      </c>
      <c r="D886" s="5">
        <v>535295.25772102701</v>
      </c>
      <c r="E886" s="5">
        <f>+IF(FINANCIACION[[#This Row],[$ CAPITAL]]&gt;=0,FINANCIACION[[#This Row],[$ CAPITAL]]+FINANCIACION[[#This Row],[$ INTERESES]],"")</f>
        <v>1300000</v>
      </c>
      <c r="F886" s="5">
        <f>+SUMIFS(FINANCIACION[$ CAPITAL],FINANCIACION[Fecha],"&lt;="&amp;FINANCIACION[[#This Row],[Fecha]],FINANCIACION[PRESTAMO],FINANCIACION[[#This Row],[PRESTAMO]])</f>
        <v>-52764821.029823728</v>
      </c>
      <c r="G886" s="53"/>
      <c r="H886" s="53"/>
      <c r="I886" s="5">
        <f>IF(FINANCIACION[[#This Row],[$ CAPITAL]]&gt;0,FINANCIACION[[#This Row],[$ CAPITAL]])</f>
        <v>764704.74227897299</v>
      </c>
      <c r="J886" s="33">
        <f>IF(FINANCIACION[[#This Row],[$ CAPITAL]]&gt;=0,FINANCIACION[[#This Row],[$ CAPITAL]]+FINANCIACION[[#This Row],[$ INTERESES]],0)</f>
        <v>1300000</v>
      </c>
    </row>
    <row r="887" spans="1:10" ht="24" hidden="1" customHeight="1" x14ac:dyDescent="0.3">
      <c r="A887" s="142">
        <v>44572</v>
      </c>
      <c r="B887" s="50" t="s">
        <v>820</v>
      </c>
      <c r="C887" s="5">
        <v>496180.90231062786</v>
      </c>
      <c r="D887" s="5">
        <v>703819.09768937214</v>
      </c>
      <c r="E887" s="5">
        <f>+IF(FINANCIACION[[#This Row],[$ CAPITAL]]&gt;=0,FINANCIACION[[#This Row],[$ CAPITAL]]+FINANCIACION[[#This Row],[$ INTERESES]],"")</f>
        <v>1200000</v>
      </c>
      <c r="F887" s="5">
        <f>+SUMIFS(FINANCIACION[$ CAPITAL],FINANCIACION[Fecha],"&lt;="&amp;FINANCIACION[[#This Row],[Fecha]],FINANCIACION[PRESTAMO],FINANCIACION[[#This Row],[PRESTAMO]])</f>
        <v>-70056416.72662659</v>
      </c>
      <c r="G887" s="53"/>
      <c r="H887" s="53"/>
      <c r="I887" s="5">
        <f>IF(FINANCIACION[[#This Row],[$ CAPITAL]]&gt;0,FINANCIACION[[#This Row],[$ CAPITAL]])</f>
        <v>496180.90231062786</v>
      </c>
      <c r="J887" s="33">
        <f>IF(FINANCIACION[[#This Row],[$ CAPITAL]]&gt;=0,FINANCIACION[[#This Row],[$ CAPITAL]]+FINANCIACION[[#This Row],[$ INTERESES]],0)</f>
        <v>1200000</v>
      </c>
    </row>
    <row r="888" spans="1:10" ht="24" hidden="1" customHeight="1" x14ac:dyDescent="0.3">
      <c r="A888" s="142">
        <v>44572</v>
      </c>
      <c r="B888" s="50" t="s">
        <v>832</v>
      </c>
      <c r="C888" s="5"/>
      <c r="D888" s="5">
        <v>120000</v>
      </c>
      <c r="E888" s="5">
        <f>+IF(FINANCIACION[[#This Row],[$ CAPITAL]]&gt;=0,FINANCIACION[[#This Row],[$ CAPITAL]]+FINANCIACION[[#This Row],[$ INTERESES]],"")</f>
        <v>120000</v>
      </c>
      <c r="F888" s="5">
        <f>+SUMIFS(FINANCIACION[$ CAPITAL],FINANCIACION[Fecha],"&lt;="&amp;FINANCIACION[[#This Row],[Fecha]],FINANCIACION[PRESTAMO],FINANCIACION[[#This Row],[PRESTAMO]])</f>
        <v>-12000000</v>
      </c>
      <c r="G888" s="53"/>
      <c r="H888" s="53"/>
      <c r="I888" s="5" t="b">
        <f>IF(FINANCIACION[[#This Row],[$ CAPITAL]]&gt;0,FINANCIACION[[#This Row],[$ CAPITAL]])</f>
        <v>0</v>
      </c>
      <c r="J888" s="33">
        <f>IF(FINANCIACION[[#This Row],[$ CAPITAL]]&gt;=0,FINANCIACION[[#This Row],[$ CAPITAL]]+FINANCIACION[[#This Row],[$ INTERESES]],0)</f>
        <v>120000</v>
      </c>
    </row>
    <row r="889" spans="1:10" ht="24" hidden="1" customHeight="1" x14ac:dyDescent="0.3">
      <c r="A889" s="142">
        <v>44575</v>
      </c>
      <c r="B889" s="50" t="s">
        <v>194</v>
      </c>
      <c r="C889" s="5">
        <v>1944444</v>
      </c>
      <c r="D889" s="5">
        <v>246818.5</v>
      </c>
      <c r="E889" s="5">
        <f>+IF(FINANCIACION[[#This Row],[$ CAPITAL]]&gt;=0,FINANCIACION[[#This Row],[$ CAPITAL]]+FINANCIACION[[#This Row],[$ INTERESES]],"")</f>
        <v>2191262.5</v>
      </c>
      <c r="F889" s="5">
        <f>+SUMIFS(FINANCIACION[$ CAPITAL],FINANCIACION[Fecha],"&lt;="&amp;FINANCIACION[[#This Row],[Fecha]],FINANCIACION[PRESTAMO],FINANCIACION[[#This Row],[PRESTAMO]])</f>
        <v>-31111112</v>
      </c>
      <c r="G889" s="53"/>
      <c r="H889" s="53"/>
      <c r="I889" s="5">
        <f>IF(FINANCIACION[[#This Row],[$ CAPITAL]]&gt;0,FINANCIACION[[#This Row],[$ CAPITAL]])</f>
        <v>1944444</v>
      </c>
      <c r="J889" s="33">
        <f>IF(FINANCIACION[[#This Row],[$ CAPITAL]]&gt;=0,FINANCIACION[[#This Row],[$ CAPITAL]]+FINANCIACION[[#This Row],[$ INTERESES]],0)</f>
        <v>2191262.5</v>
      </c>
    </row>
    <row r="890" spans="1:10" ht="24" hidden="1" customHeight="1" x14ac:dyDescent="0.3">
      <c r="A890" s="142">
        <v>44578</v>
      </c>
      <c r="B890" s="50" t="s">
        <v>611</v>
      </c>
      <c r="C890" s="5">
        <v>-57896217.960000001</v>
      </c>
      <c r="D890" s="5"/>
      <c r="E890" s="5" t="str">
        <f>+IF(FINANCIACION[[#This Row],[$ CAPITAL]]&gt;=0,FINANCIACION[[#This Row],[$ CAPITAL]]+FINANCIACION[[#This Row],[$ INTERESES]],"")</f>
        <v/>
      </c>
      <c r="F890" s="5">
        <f>+SUMIFS(FINANCIACION[$ CAPITAL],FINANCIACION[Fecha],"&lt;="&amp;FINANCIACION[[#This Row],[Fecha]],FINANCIACION[PRESTAMO],FINANCIACION[[#This Row],[PRESTAMO]])</f>
        <v>-57896217.960000001</v>
      </c>
      <c r="G890" s="53" t="s">
        <v>1663</v>
      </c>
      <c r="H890" s="53"/>
      <c r="I890" s="5" t="b">
        <f>IF(FINANCIACION[[#This Row],[$ CAPITAL]]&gt;0,FINANCIACION[[#This Row],[$ CAPITAL]])</f>
        <v>0</v>
      </c>
      <c r="J890" s="33">
        <f>IF(FINANCIACION[[#This Row],[$ CAPITAL]]&gt;=0,FINANCIACION[[#This Row],[$ CAPITAL]]+FINANCIACION[[#This Row],[$ INTERESES]],0)</f>
        <v>0</v>
      </c>
    </row>
    <row r="891" spans="1:10" ht="24" hidden="1" customHeight="1" x14ac:dyDescent="0.3">
      <c r="A891" s="142">
        <v>44579</v>
      </c>
      <c r="B891" s="50" t="s">
        <v>833</v>
      </c>
      <c r="C891" s="5">
        <v>1080029.21</v>
      </c>
      <c r="D891" s="5">
        <v>136970.79</v>
      </c>
      <c r="E891" s="5">
        <f>+IF(FINANCIACION[[#This Row],[$ CAPITAL]]&gt;=0,FINANCIACION[[#This Row],[$ CAPITAL]]+FINANCIACION[[#This Row],[$ INTERESES]],"")</f>
        <v>1217000</v>
      </c>
      <c r="F891" s="5">
        <f>+SUMIFS(FINANCIACION[$ CAPITAL],FINANCIACION[Fecha],"&lt;="&amp;FINANCIACION[[#This Row],[Fecha]],FINANCIACION[PRESTAMO],FINANCIACION[[#This Row],[PRESTAMO]])</f>
        <v>-17690624.41</v>
      </c>
      <c r="G891" s="53"/>
      <c r="H891" s="53"/>
      <c r="I891" s="5">
        <f>IF(FINANCIACION[[#This Row],[$ CAPITAL]]&gt;0,FINANCIACION[[#This Row],[$ CAPITAL]])</f>
        <v>1080029.21</v>
      </c>
      <c r="J891" s="33">
        <f>IF(FINANCIACION[[#This Row],[$ CAPITAL]]&gt;=0,FINANCIACION[[#This Row],[$ CAPITAL]]+FINANCIACION[[#This Row],[$ INTERESES]],0)</f>
        <v>1217000</v>
      </c>
    </row>
    <row r="892" spans="1:10" ht="24" hidden="1" customHeight="1" x14ac:dyDescent="0.3">
      <c r="A892" s="142">
        <v>44579</v>
      </c>
      <c r="B892" s="50" t="s">
        <v>827</v>
      </c>
      <c r="C892" s="5">
        <v>857747.04</v>
      </c>
      <c r="D892" s="5">
        <v>121252.96</v>
      </c>
      <c r="E892" s="5">
        <f>+IF(FINANCIACION[[#This Row],[$ CAPITAL]]&gt;=0,FINANCIACION[[#This Row],[$ CAPITAL]]+FINANCIACION[[#This Row],[$ INTERESES]],"")</f>
        <v>979000</v>
      </c>
      <c r="F892" s="5">
        <f>+SUMIFS(FINANCIACION[$ CAPITAL],FINANCIACION[Fecha],"&lt;="&amp;FINANCIACION[[#This Row],[Fecha]],FINANCIACION[PRESTAMO],FINANCIACION[[#This Row],[PRESTAMO]])</f>
        <v>-15744456.239999995</v>
      </c>
      <c r="G892" s="53"/>
      <c r="H892" s="53"/>
      <c r="I892" s="5">
        <f>IF(FINANCIACION[[#This Row],[$ CAPITAL]]&gt;0,FINANCIACION[[#This Row],[$ CAPITAL]])</f>
        <v>857747.04</v>
      </c>
      <c r="J892" s="33">
        <f>IF(FINANCIACION[[#This Row],[$ CAPITAL]]&gt;=0,FINANCIACION[[#This Row],[$ CAPITAL]]+FINANCIACION[[#This Row],[$ INTERESES]],0)</f>
        <v>979000</v>
      </c>
    </row>
    <row r="893" spans="1:10" ht="24" hidden="1" customHeight="1" x14ac:dyDescent="0.3">
      <c r="A893" s="142">
        <v>44579</v>
      </c>
      <c r="B893" s="50" t="s">
        <v>835</v>
      </c>
      <c r="C893" s="5">
        <v>831.03</v>
      </c>
      <c r="D893" s="5">
        <v>541168.97</v>
      </c>
      <c r="E893" s="5">
        <f>+IF(FINANCIACION[[#This Row],[$ CAPITAL]]&gt;=0,FINANCIACION[[#This Row],[$ CAPITAL]]+FINANCIACION[[#This Row],[$ INTERESES]],"")</f>
        <v>542000</v>
      </c>
      <c r="F893" s="5">
        <f>+SUMIFS(FINANCIACION[$ CAPITAL],FINANCIACION[Fecha],"&lt;="&amp;FINANCIACION[[#This Row],[Fecha]],FINANCIACION[PRESTAMO],FINANCIACION[[#This Row],[PRESTAMO]])</f>
        <v>-82320576.00999999</v>
      </c>
      <c r="G893" s="53"/>
      <c r="H893" s="53"/>
      <c r="I893" s="5">
        <f>+IF(FINANCIACION[[#This Row],[$ CAPITAL]]&gt;0,FINANCIACION[[#This Row],[$ CAPITAL]])</f>
        <v>831.03</v>
      </c>
      <c r="J893" s="33">
        <f>+IF(FINANCIACION[[#This Row],[$ CAPITAL]]&gt;=0,FINANCIACION[[#This Row],[$ CAPITAL]]+FINANCIACION[[#This Row],[$ INTERESES]],0)</f>
        <v>542000</v>
      </c>
    </row>
    <row r="894" spans="1:10" ht="24" hidden="1" customHeight="1" x14ac:dyDescent="0.3">
      <c r="A894" s="142">
        <v>44579</v>
      </c>
      <c r="B894" s="50" t="s">
        <v>829</v>
      </c>
      <c r="C894" s="5">
        <v>898290.36</v>
      </c>
      <c r="D894" s="5">
        <v>134709.64000000001</v>
      </c>
      <c r="E894" s="5">
        <f>+IF(FINANCIACION[[#This Row],[$ CAPITAL]]&gt;=0,FINANCIACION[[#This Row],[$ CAPITAL]]+FINANCIACION[[#This Row],[$ INTERESES]],"")</f>
        <v>1033000</v>
      </c>
      <c r="F894" s="5">
        <f>+SUMIFS(FINANCIACION[$ CAPITAL],FINANCIACION[Fecha],"&lt;="&amp;FINANCIACION[[#This Row],[Fecha]],FINANCIACION[PRESTAMO],FINANCIACION[[#This Row],[PRESTAMO]])</f>
        <v>-17433419.309999995</v>
      </c>
      <c r="G894" s="53"/>
      <c r="H894" s="53"/>
      <c r="I894" s="5">
        <f>IF(FINANCIACION[[#This Row],[$ CAPITAL]]&gt;0,FINANCIACION[[#This Row],[$ CAPITAL]])</f>
        <v>898290.36</v>
      </c>
      <c r="J894" s="33">
        <f>IF(FINANCIACION[[#This Row],[$ CAPITAL]]&gt;=0,FINANCIACION[[#This Row],[$ CAPITAL]]+FINANCIACION[[#This Row],[$ INTERESES]],0)</f>
        <v>1033000</v>
      </c>
    </row>
    <row r="895" spans="1:10" ht="24" hidden="1" customHeight="1" x14ac:dyDescent="0.3">
      <c r="A895" s="142">
        <v>44579</v>
      </c>
      <c r="B895" s="50" t="s">
        <v>825</v>
      </c>
      <c r="C895" s="5">
        <v>2180296.02</v>
      </c>
      <c r="D895" s="5">
        <v>294703.98</v>
      </c>
      <c r="E895" s="5">
        <f>+IF(FINANCIACION[[#This Row],[$ CAPITAL]]&gt;=0,FINANCIACION[[#This Row],[$ CAPITAL]]+FINANCIACION[[#This Row],[$ INTERESES]],"")</f>
        <v>2475000</v>
      </c>
      <c r="F895" s="5">
        <f>+SUMIFS(FINANCIACION[$ CAPITAL],FINANCIACION[Fecha],"&lt;="&amp;FINANCIACION[[#This Row],[Fecha]],FINANCIACION[PRESTAMO],FINANCIACION[[#This Row],[PRESTAMO]])</f>
        <v>-38018466.950000003</v>
      </c>
      <c r="G895" s="53"/>
      <c r="H895" s="53"/>
      <c r="I895" s="5">
        <f>IF(FINANCIACION[[#This Row],[$ CAPITAL]]&gt;0,FINANCIACION[[#This Row],[$ CAPITAL]])</f>
        <v>2180296.02</v>
      </c>
      <c r="J895" s="33">
        <f>IF(FINANCIACION[[#This Row],[$ CAPITAL]]&gt;=0,FINANCIACION[[#This Row],[$ CAPITAL]]+FINANCIACION[[#This Row],[$ INTERESES]],0)</f>
        <v>2475000</v>
      </c>
    </row>
    <row r="896" spans="1:10" ht="24" hidden="1" customHeight="1" x14ac:dyDescent="0.3">
      <c r="A896" s="142">
        <v>44579</v>
      </c>
      <c r="B896" s="50" t="s">
        <v>826</v>
      </c>
      <c r="C896" s="5">
        <v>3165100.09</v>
      </c>
      <c r="D896" s="5">
        <v>469899.91</v>
      </c>
      <c r="E896" s="5">
        <f>+IF(FINANCIACION[[#This Row],[$ CAPITAL]]&gt;=0,FINANCIACION[[#This Row],[$ CAPITAL]]+FINANCIACION[[#This Row],[$ INTERESES]],"")</f>
        <v>3635000</v>
      </c>
      <c r="F896" s="5">
        <f>+SUMIFS(FINANCIACION[$ CAPITAL],FINANCIACION[Fecha],"&lt;="&amp;FINANCIACION[[#This Row],[Fecha]],FINANCIACION[PRESTAMO],FINANCIACION[[#This Row],[PRESTAMO]])</f>
        <v>-55236742.439999998</v>
      </c>
      <c r="G896" s="53"/>
      <c r="H896" s="53"/>
      <c r="I896" s="5">
        <f>IF(FINANCIACION[[#This Row],[$ CAPITAL]]&gt;0,FINANCIACION[[#This Row],[$ CAPITAL]])</f>
        <v>3165100.09</v>
      </c>
      <c r="J896" s="33">
        <f>IF(FINANCIACION[[#This Row],[$ CAPITAL]]&gt;=0,FINANCIACION[[#This Row],[$ CAPITAL]]+FINANCIACION[[#This Row],[$ INTERESES]],0)</f>
        <v>3635000</v>
      </c>
    </row>
    <row r="897" spans="1:10" ht="24" hidden="1" customHeight="1" x14ac:dyDescent="0.3">
      <c r="A897" s="142">
        <v>44579</v>
      </c>
      <c r="B897" s="50" t="s">
        <v>821</v>
      </c>
      <c r="C897" s="5">
        <v>506866</v>
      </c>
      <c r="D897" s="5">
        <v>5475236</v>
      </c>
      <c r="E897" s="5">
        <f>+IF(FINANCIACION[[#This Row],[$ CAPITAL]]&gt;=0,FINANCIACION[[#This Row],[$ CAPITAL]]+FINANCIACION[[#This Row],[$ INTERESES]],"")</f>
        <v>5982102</v>
      </c>
      <c r="F897" s="5">
        <f>+SUMIFS(FINANCIACION[$ CAPITAL],FINANCIACION[Fecha],"&lt;="&amp;FINANCIACION[[#This Row],[Fecha]],FINANCIACION[PRESTAMO],FINANCIACION[[#This Row],[PRESTAMO]])</f>
        <v>-388417656</v>
      </c>
      <c r="G897" s="53"/>
      <c r="H897" s="53"/>
      <c r="I897" s="5">
        <f>IF(FINANCIACION[[#This Row],[$ CAPITAL]]&gt;0,FINANCIACION[[#This Row],[$ CAPITAL]])</f>
        <v>506866</v>
      </c>
      <c r="J897" s="33">
        <f>IF(FINANCIACION[[#This Row],[$ CAPITAL]]&gt;=0,FINANCIACION[[#This Row],[$ CAPITAL]]+FINANCIACION[[#This Row],[$ INTERESES]],0)</f>
        <v>5982102</v>
      </c>
    </row>
    <row r="898" spans="1:10" ht="24" hidden="1" customHeight="1" x14ac:dyDescent="0.3">
      <c r="A898" s="142">
        <v>44579</v>
      </c>
      <c r="B898" s="50" t="s">
        <v>822</v>
      </c>
      <c r="C898" s="5">
        <v>1312621.1000000001</v>
      </c>
      <c r="D898" s="5">
        <v>155378.9</v>
      </c>
      <c r="E898" s="5">
        <f>+IF(FINANCIACION[[#This Row],[$ CAPITAL]]&gt;=0,FINANCIACION[[#This Row],[$ CAPITAL]]+FINANCIACION[[#This Row],[$ INTERESES]],"")</f>
        <v>1468000</v>
      </c>
      <c r="F898" s="5">
        <f>+SUMIFS(FINANCIACION[$ CAPITAL],FINANCIACION[Fecha],"&lt;="&amp;FINANCIACION[[#This Row],[Fecha]],FINANCIACION[PRESTAMO],FINANCIACION[[#This Row],[PRESTAMO]])</f>
        <v>-20060826.500000004</v>
      </c>
      <c r="G898" s="53"/>
      <c r="H898" s="53"/>
      <c r="I898" s="5">
        <f>IF(FINANCIACION[[#This Row],[$ CAPITAL]]&gt;0,FINANCIACION[[#This Row],[$ CAPITAL]])</f>
        <v>1312621.1000000001</v>
      </c>
      <c r="J898" s="33">
        <f>IF(FINANCIACION[[#This Row],[$ CAPITAL]]&gt;=0,FINANCIACION[[#This Row],[$ CAPITAL]]+FINANCIACION[[#This Row],[$ INTERESES]],0)</f>
        <v>1468000</v>
      </c>
    </row>
    <row r="899" spans="1:10" ht="24" hidden="1" customHeight="1" x14ac:dyDescent="0.3">
      <c r="A899" s="142">
        <v>44580</v>
      </c>
      <c r="B899" s="50" t="s">
        <v>788</v>
      </c>
      <c r="C899" s="5">
        <v>4500000</v>
      </c>
      <c r="D899" s="5">
        <v>90000</v>
      </c>
      <c r="E899" s="5">
        <f>+IF(FINANCIACION[[#This Row],[$ CAPITAL]]&gt;=0,FINANCIACION[[#This Row],[$ CAPITAL]]+FINANCIACION[[#This Row],[$ INTERESES]],"")</f>
        <v>4590000</v>
      </c>
      <c r="F899" s="5">
        <f>+SUMIFS(FINANCIACION[$ CAPITAL],FINANCIACION[Fecha],"&lt;="&amp;FINANCIACION[[#This Row],[Fecha]],FINANCIACION[PRESTAMO],FINANCIACION[[#This Row],[PRESTAMO]])</f>
        <v>0</v>
      </c>
      <c r="G899" s="53"/>
      <c r="H899" s="53"/>
      <c r="I899" s="5">
        <f>+IF(FINANCIACION[[#This Row],[$ CAPITAL]]&gt;0,FINANCIACION[[#This Row],[$ CAPITAL]])</f>
        <v>4500000</v>
      </c>
      <c r="J899" s="33">
        <f>+IF(FINANCIACION[[#This Row],[$ CAPITAL]]&gt;=0,FINANCIACION[[#This Row],[$ CAPITAL]]+FINANCIACION[[#This Row],[$ INTERESES]],0)</f>
        <v>4590000</v>
      </c>
    </row>
    <row r="900" spans="1:10" ht="24" hidden="1" customHeight="1" x14ac:dyDescent="0.3">
      <c r="A900" s="142">
        <v>44581</v>
      </c>
      <c r="B900" s="50" t="s">
        <v>195</v>
      </c>
      <c r="C900" s="5">
        <v>628891</v>
      </c>
      <c r="D900" s="5"/>
      <c r="E900" s="5">
        <f>+IF(FINANCIACION[[#This Row],[$ CAPITAL]]&gt;=0,FINANCIACION[[#This Row],[$ CAPITAL]]+FINANCIACION[[#This Row],[$ INTERESES]],"")</f>
        <v>628891</v>
      </c>
      <c r="F900" s="5">
        <f>+SUMIFS(FINANCIACION[$ CAPITAL],FINANCIACION[Fecha],"&lt;="&amp;FINANCIACION[[#This Row],[Fecha]],FINANCIACION[PRESTAMO],FINANCIACION[[#This Row],[PRESTAMO]])</f>
        <v>26491</v>
      </c>
      <c r="G900" s="53"/>
      <c r="H900" s="53"/>
      <c r="I900" s="5">
        <f>+IF(FINANCIACION[[#This Row],[$ CAPITAL]]&gt;0,FINANCIACION[[#This Row],[$ CAPITAL]])</f>
        <v>628891</v>
      </c>
      <c r="J900" s="33">
        <f>+IF(FINANCIACION[[#This Row],[$ CAPITAL]]&gt;=0,FINANCIACION[[#This Row],[$ CAPITAL]]+FINANCIACION[[#This Row],[$ INTERESES]],0)</f>
        <v>628891</v>
      </c>
    </row>
    <row r="901" spans="1:10" ht="24" hidden="1" customHeight="1" x14ac:dyDescent="0.3">
      <c r="A901" s="142">
        <v>44581</v>
      </c>
      <c r="B901" s="50" t="s">
        <v>196</v>
      </c>
      <c r="C901" s="5">
        <v>2001975</v>
      </c>
      <c r="D901" s="5"/>
      <c r="E901" s="5">
        <f>+IF(FINANCIACION[[#This Row],[$ CAPITAL]]&gt;=0,FINANCIACION[[#This Row],[$ CAPITAL]]+FINANCIACION[[#This Row],[$ INTERESES]],"")</f>
        <v>2001975</v>
      </c>
      <c r="F901" s="5">
        <f>+SUMIFS(FINANCIACION[$ CAPITAL],FINANCIACION[Fecha],"&lt;="&amp;FINANCIACION[[#This Row],[Fecha]],FINANCIACION[PRESTAMO],FINANCIACION[[#This Row],[PRESTAMO]])</f>
        <v>-18559525</v>
      </c>
      <c r="G901" s="53"/>
      <c r="H901" s="53"/>
      <c r="I901" s="5">
        <f>+IF(FINANCIACION[[#This Row],[$ CAPITAL]]&gt;0,FINANCIACION[[#This Row],[$ CAPITAL]])</f>
        <v>2001975</v>
      </c>
      <c r="J901" s="33">
        <f>+IF(FINANCIACION[[#This Row],[$ CAPITAL]]&gt;=0,FINANCIACION[[#This Row],[$ CAPITAL]]+FINANCIACION[[#This Row],[$ INTERESES]],0)</f>
        <v>2001975</v>
      </c>
    </row>
    <row r="902" spans="1:10" ht="24" hidden="1" customHeight="1" x14ac:dyDescent="0.3">
      <c r="A902" s="142">
        <v>44592</v>
      </c>
      <c r="B902" s="50" t="s">
        <v>837</v>
      </c>
      <c r="C902" s="5">
        <v>-23305032.5</v>
      </c>
      <c r="D902" s="5"/>
      <c r="E902" s="5" t="str">
        <f>+IF(FINANCIACION[[#This Row],[$ CAPITAL]]&gt;=0,FINANCIACION[[#This Row],[$ CAPITAL]]+FINANCIACION[[#This Row],[$ INTERESES]],"")</f>
        <v/>
      </c>
      <c r="F902" s="5">
        <f>+SUMIFS(FINANCIACION[$ CAPITAL],FINANCIACION[Fecha],"&lt;="&amp;FINANCIACION[[#This Row],[Fecha]],FINANCIACION[PRESTAMO],FINANCIACION[[#This Row],[PRESTAMO]])</f>
        <v>-23305032.5</v>
      </c>
      <c r="G902" s="53" t="s">
        <v>838</v>
      </c>
      <c r="H902" s="53"/>
      <c r="I902" s="5" t="b">
        <f>+IF(FINANCIACION[[#This Row],[$ CAPITAL]]&gt;0,FINANCIACION[[#This Row],[$ CAPITAL]])</f>
        <v>0</v>
      </c>
      <c r="J902" s="33">
        <f>+IF(FINANCIACION[[#This Row],[$ CAPITAL]]&gt;=0,FINANCIACION[[#This Row],[$ CAPITAL]]+FINANCIACION[[#This Row],[$ INTERESES]],0)</f>
        <v>0</v>
      </c>
    </row>
    <row r="903" spans="1:10" ht="24" hidden="1" customHeight="1" x14ac:dyDescent="0.3">
      <c r="A903" s="142">
        <v>44592</v>
      </c>
      <c r="B903" s="50" t="s">
        <v>187</v>
      </c>
      <c r="C903" s="5">
        <v>1468400</v>
      </c>
      <c r="D903" s="5">
        <v>417717</v>
      </c>
      <c r="E903" s="5">
        <f>+IF(FINANCIACION[[#This Row],[$ CAPITAL]]&gt;=0,FINANCIACION[[#This Row],[$ CAPITAL]]+FINANCIACION[[#This Row],[$ INTERESES]],"")</f>
        <v>1886117</v>
      </c>
      <c r="F903" s="5">
        <f>+SUMIFS(FINANCIACION[$ CAPITAL],FINANCIACION[Fecha],"&lt;="&amp;FINANCIACION[[#This Row],[Fecha]],FINANCIACION[PRESTAMO],FINANCIACION[[#This Row],[PRESTAMO]])</f>
        <v>-38178400</v>
      </c>
      <c r="G903" s="53"/>
      <c r="H903" s="53">
        <v>-14434.36</v>
      </c>
      <c r="I903" s="5">
        <f>+IF(FINANCIACION[[#This Row],[$ CAPITAL]]&gt;0,FINANCIACION[[#This Row],[$ CAPITAL]])</f>
        <v>1468400</v>
      </c>
      <c r="J903" s="33">
        <f>+IF(FINANCIACION[[#This Row],[$ CAPITAL]]&gt;=0,FINANCIACION[[#This Row],[$ CAPITAL]]+FINANCIACION[[#This Row],[$ INTERESES]],0)</f>
        <v>1886117</v>
      </c>
    </row>
    <row r="904" spans="1:10" ht="24" hidden="1" customHeight="1" x14ac:dyDescent="0.3">
      <c r="A904" s="142">
        <v>44592</v>
      </c>
      <c r="B904" s="50" t="s">
        <v>188</v>
      </c>
      <c r="C904" s="5">
        <v>76791</v>
      </c>
      <c r="D904" s="5"/>
      <c r="E904" s="5">
        <f>+IF(FINANCIACION[[#This Row],[$ CAPITAL]]&gt;=0,FINANCIACION[[#This Row],[$ CAPITAL]]+FINANCIACION[[#This Row],[$ INTERESES]],"")</f>
        <v>76791</v>
      </c>
      <c r="F904" s="5">
        <f>+SUMIFS(FINANCIACION[$ CAPITAL],FINANCIACION[Fecha],"&lt;="&amp;FINANCIACION[[#This Row],[Fecha]],FINANCIACION[PRESTAMO],FINANCIACION[[#This Row],[PRESTAMO]])</f>
        <v>-1996566</v>
      </c>
      <c r="G904" s="53"/>
      <c r="H904" s="53"/>
      <c r="I904" s="5">
        <f>+IF(FINANCIACION[[#This Row],[$ CAPITAL]]&gt;0,FINANCIACION[[#This Row],[$ CAPITAL]])</f>
        <v>76791</v>
      </c>
      <c r="J904" s="33">
        <f>+IF(FINANCIACION[[#This Row],[$ CAPITAL]]&gt;=0,FINANCIACION[[#This Row],[$ CAPITAL]]+FINANCIACION[[#This Row],[$ INTERESES]],0)</f>
        <v>76791</v>
      </c>
    </row>
    <row r="905" spans="1:10" ht="24" hidden="1" customHeight="1" x14ac:dyDescent="0.3">
      <c r="A905" s="142">
        <v>44592</v>
      </c>
      <c r="B905" s="50" t="s">
        <v>189</v>
      </c>
      <c r="C905" s="5"/>
      <c r="D905" s="5">
        <v>142099</v>
      </c>
      <c r="E905" s="5">
        <f>+IF(FINANCIACION[[#This Row],[$ CAPITAL]]&gt;=0,FINANCIACION[[#This Row],[$ CAPITAL]]+FINANCIACION[[#This Row],[$ INTERESES]],"")</f>
        <v>142099</v>
      </c>
      <c r="F905" s="5">
        <f>+SUMIFS(FINANCIACION[$ CAPITAL],FINANCIACION[Fecha],"&lt;="&amp;FINANCIACION[[#This Row],[Fecha]],FINANCIACION[PRESTAMO],FINANCIACION[[#This Row],[PRESTAMO]])</f>
        <v>0</v>
      </c>
      <c r="G905" s="53"/>
      <c r="H905" s="53"/>
      <c r="I905" s="5" t="b">
        <f>+IF(FINANCIACION[[#This Row],[$ CAPITAL]]&gt;0,FINANCIACION[[#This Row],[$ CAPITAL]])</f>
        <v>0</v>
      </c>
      <c r="J905" s="33">
        <f>+IF(FINANCIACION[[#This Row],[$ CAPITAL]]&gt;=0,FINANCIACION[[#This Row],[$ CAPITAL]]+FINANCIACION[[#This Row],[$ INTERESES]],0)</f>
        <v>142099</v>
      </c>
    </row>
    <row r="906" spans="1:10" ht="24" hidden="1" customHeight="1" x14ac:dyDescent="0.3">
      <c r="A906" s="142">
        <v>44592</v>
      </c>
      <c r="B906" s="50" t="s">
        <v>282</v>
      </c>
      <c r="C906" s="5">
        <v>1498393</v>
      </c>
      <c r="D906" s="5"/>
      <c r="E906" s="5">
        <f>+IF(FINANCIACION[[#This Row],[$ CAPITAL]]&gt;=0,FINANCIACION[[#This Row],[$ CAPITAL]]+FINANCIACION[[#This Row],[$ INTERESES]],"")</f>
        <v>1498393</v>
      </c>
      <c r="F906" s="5">
        <f>+SUMIFS(FINANCIACION[$ CAPITAL],FINANCIACION[Fecha],"&lt;="&amp;FINANCIACION[[#This Row],[Fecha]],FINANCIACION[PRESTAMO],FINANCIACION[[#This Row],[PRESTAMO]])</f>
        <v>-59935720</v>
      </c>
      <c r="G906" s="53"/>
      <c r="H906" s="53"/>
      <c r="I906" s="5">
        <f>+IF(FINANCIACION[[#This Row],[$ CAPITAL]]&gt;0,FINANCIACION[[#This Row],[$ CAPITAL]])</f>
        <v>1498393</v>
      </c>
      <c r="J906" s="33">
        <f>+IF(FINANCIACION[[#This Row],[$ CAPITAL]]&gt;=0,FINANCIACION[[#This Row],[$ CAPITAL]]+FINANCIACION[[#This Row],[$ INTERESES]],0)</f>
        <v>1498393</v>
      </c>
    </row>
    <row r="907" spans="1:10" ht="24" hidden="1" customHeight="1" x14ac:dyDescent="0.3">
      <c r="A907" s="142">
        <v>44592</v>
      </c>
      <c r="B907" s="50" t="s">
        <v>372</v>
      </c>
      <c r="C907" s="5">
        <v>592703</v>
      </c>
      <c r="D907" s="5"/>
      <c r="E907" s="5">
        <f>+IF(FINANCIACION[[#This Row],[$ CAPITAL]]&gt;=0,FINANCIACION[[#This Row],[$ CAPITAL]]+FINANCIACION[[#This Row],[$ INTERESES]],"")</f>
        <v>592703</v>
      </c>
      <c r="F907" s="5">
        <f>+SUMIFS(FINANCIACION[$ CAPITAL],FINANCIACION[Fecha],"&lt;="&amp;FINANCIACION[[#This Row],[Fecha]],FINANCIACION[PRESTAMO],FINANCIACION[[#This Row],[PRESTAMO]])</f>
        <v>-23708120</v>
      </c>
      <c r="G907" s="53"/>
      <c r="H907" s="53"/>
      <c r="I907" s="5">
        <f>+IF(FINANCIACION[[#This Row],[$ CAPITAL]]&gt;0,FINANCIACION[[#This Row],[$ CAPITAL]])</f>
        <v>592703</v>
      </c>
      <c r="J907" s="33">
        <f>+IF(FINANCIACION[[#This Row],[$ CAPITAL]]&gt;=0,FINANCIACION[[#This Row],[$ CAPITAL]]+FINANCIACION[[#This Row],[$ INTERESES]],0)</f>
        <v>592703</v>
      </c>
    </row>
    <row r="908" spans="1:10" ht="24" hidden="1" customHeight="1" x14ac:dyDescent="0.3">
      <c r="A908" s="142">
        <v>44592</v>
      </c>
      <c r="B908" s="50" t="s">
        <v>486</v>
      </c>
      <c r="C908" s="5">
        <v>1368769</v>
      </c>
      <c r="D908" s="5"/>
      <c r="E908" s="5">
        <f>+IF(FINANCIACION[[#This Row],[$ CAPITAL]]&gt;=0,FINANCIACION[[#This Row],[$ CAPITAL]]+FINANCIACION[[#This Row],[$ INTERESES]],"")</f>
        <v>1368769</v>
      </c>
      <c r="F908" s="5">
        <f>+SUMIFS(FINANCIACION[$ CAPITAL],FINANCIACION[Fecha],"&lt;="&amp;FINANCIACION[[#This Row],[Fecha]],FINANCIACION[PRESTAMO],FINANCIACION[[#This Row],[PRESTAMO]])</f>
        <v>-54750760</v>
      </c>
      <c r="G908" s="53" t="s">
        <v>225</v>
      </c>
      <c r="H908" s="53"/>
      <c r="I908" s="5">
        <f>+IF(FINANCIACION[[#This Row],[$ CAPITAL]]&gt;0,FINANCIACION[[#This Row],[$ CAPITAL]])</f>
        <v>1368769</v>
      </c>
      <c r="J908" s="33">
        <f>+IF(FINANCIACION[[#This Row],[$ CAPITAL]]&gt;=0,FINANCIACION[[#This Row],[$ CAPITAL]]+FINANCIACION[[#This Row],[$ INTERESES]],0)</f>
        <v>1368769</v>
      </c>
    </row>
    <row r="909" spans="1:10" ht="24" hidden="1" customHeight="1" x14ac:dyDescent="0.3">
      <c r="A909" s="142">
        <v>44592</v>
      </c>
      <c r="B909" s="50" t="s">
        <v>611</v>
      </c>
      <c r="C909" s="5">
        <v>158777.96000000089</v>
      </c>
      <c r="D909" s="5"/>
      <c r="E909" s="5">
        <f>+IF(FINANCIACION[[#This Row],[$ CAPITAL]]&gt;=0,FINANCIACION[[#This Row],[$ CAPITAL]]+FINANCIACION[[#This Row],[$ INTERESES]],"")</f>
        <v>158777.96000000089</v>
      </c>
      <c r="F909" s="5">
        <f>+SUMIFS(FINANCIACION[$ CAPITAL],FINANCIACION[Fecha],"&lt;="&amp;FINANCIACION[[#This Row],[Fecha]],FINANCIACION[PRESTAMO],FINANCIACION[[#This Row],[PRESTAMO]])</f>
        <v>-57737440</v>
      </c>
      <c r="G909" s="53" t="s">
        <v>225</v>
      </c>
      <c r="H909" s="53"/>
      <c r="I909" s="5">
        <f>+IF(FINANCIACION[[#This Row],[$ CAPITAL]]&gt;0,FINANCIACION[[#This Row],[$ CAPITAL]])</f>
        <v>158777.96000000089</v>
      </c>
      <c r="J909" s="33">
        <f>+IF(FINANCIACION[[#This Row],[$ CAPITAL]]&gt;=0,FINANCIACION[[#This Row],[$ CAPITAL]]+FINANCIACION[[#This Row],[$ INTERESES]],0)</f>
        <v>158777.96000000089</v>
      </c>
    </row>
    <row r="910" spans="1:10" ht="24" hidden="1" customHeight="1" x14ac:dyDescent="0.3">
      <c r="A910" s="142">
        <v>44592</v>
      </c>
      <c r="B910" s="50" t="s">
        <v>195</v>
      </c>
      <c r="C910" s="5">
        <v>-2574004</v>
      </c>
      <c r="D910" s="5"/>
      <c r="E910" s="5" t="str">
        <f>+IF(FINANCIACION[[#This Row],[$ CAPITAL]]&gt;=0,FINANCIACION[[#This Row],[$ CAPITAL]]+FINANCIACION[[#This Row],[$ INTERESES]],"")</f>
        <v/>
      </c>
      <c r="F910" s="5">
        <f>+SUMIFS(FINANCIACION[$ CAPITAL],FINANCIACION[Fecha],"&lt;="&amp;FINANCIACION[[#This Row],[Fecha]],FINANCIACION[PRESTAMO],FINANCIACION[[#This Row],[PRESTAMO]])</f>
        <v>-2547513</v>
      </c>
      <c r="G910" s="53"/>
      <c r="H910" s="53"/>
      <c r="I910" s="5" t="b">
        <f>+IF(FINANCIACION[[#This Row],[$ CAPITAL]]&gt;0,FINANCIACION[[#This Row],[$ CAPITAL]])</f>
        <v>0</v>
      </c>
      <c r="J910" s="33">
        <f>+IF(FINANCIACION[[#This Row],[$ CAPITAL]]&gt;=0,FINANCIACION[[#This Row],[$ CAPITAL]]+FINANCIACION[[#This Row],[$ INTERESES]],0)</f>
        <v>0</v>
      </c>
    </row>
    <row r="911" spans="1:10" ht="24" hidden="1" customHeight="1" x14ac:dyDescent="0.3">
      <c r="A911" s="142">
        <v>44592</v>
      </c>
      <c r="B911" s="50" t="s">
        <v>196</v>
      </c>
      <c r="C911" s="5">
        <v>-11936475</v>
      </c>
      <c r="D911" s="5"/>
      <c r="E911" s="5" t="str">
        <f>+IF(FINANCIACION[[#This Row],[$ CAPITAL]]&gt;=0,FINANCIACION[[#This Row],[$ CAPITAL]]+FINANCIACION[[#This Row],[$ INTERESES]],"")</f>
        <v/>
      </c>
      <c r="F911" s="5">
        <f>+SUMIFS(FINANCIACION[$ CAPITAL],FINANCIACION[Fecha],"&lt;="&amp;FINANCIACION[[#This Row],[Fecha]],FINANCIACION[PRESTAMO],FINANCIACION[[#This Row],[PRESTAMO]])</f>
        <v>-30496000</v>
      </c>
      <c r="G911" s="53"/>
      <c r="H911" s="53"/>
      <c r="I911" s="5" t="b">
        <f>+IF(FINANCIACION[[#This Row],[$ CAPITAL]]&gt;0,FINANCIACION[[#This Row],[$ CAPITAL]])</f>
        <v>0</v>
      </c>
      <c r="J911" s="33">
        <f>+IF(FINANCIACION[[#This Row],[$ CAPITAL]]&gt;=0,FINANCIACION[[#This Row],[$ CAPITAL]]+FINANCIACION[[#This Row],[$ INTERESES]],0)</f>
        <v>0</v>
      </c>
    </row>
    <row r="912" spans="1:10" ht="24" hidden="1" customHeight="1" x14ac:dyDescent="0.3">
      <c r="A912" s="142">
        <v>44592</v>
      </c>
      <c r="B912" s="50" t="s">
        <v>197</v>
      </c>
      <c r="C912" s="5">
        <v>-404277</v>
      </c>
      <c r="D912" s="5"/>
      <c r="E912" s="5" t="str">
        <f>+IF(FINANCIACION[[#This Row],[$ CAPITAL]]&gt;=0,FINANCIACION[[#This Row],[$ CAPITAL]]+FINANCIACION[[#This Row],[$ INTERESES]],"")</f>
        <v/>
      </c>
      <c r="F912" s="5">
        <f>+SUMIFS(FINANCIACION[$ CAPITAL],FINANCIACION[Fecha],"&lt;="&amp;FINANCIACION[[#This Row],[Fecha]],FINANCIACION[PRESTAMO],FINANCIACION[[#This Row],[PRESTAMO]])</f>
        <v>-404277</v>
      </c>
      <c r="G912" s="53"/>
      <c r="H912" s="53"/>
      <c r="I912" s="5" t="b">
        <f>+IF(FINANCIACION[[#This Row],[$ CAPITAL]]&gt;0,FINANCIACION[[#This Row],[$ CAPITAL]])</f>
        <v>0</v>
      </c>
      <c r="J912" s="33">
        <f>+IF(FINANCIACION[[#This Row],[$ CAPITAL]]&gt;=0,FINANCIACION[[#This Row],[$ CAPITAL]]+FINANCIACION[[#This Row],[$ INTERESES]],0)</f>
        <v>0</v>
      </c>
    </row>
    <row r="913" spans="1:10" ht="24" hidden="1" customHeight="1" x14ac:dyDescent="0.3">
      <c r="A913" s="142">
        <v>44595</v>
      </c>
      <c r="B913" s="50" t="s">
        <v>191</v>
      </c>
      <c r="C913" s="5">
        <v>6326000</v>
      </c>
      <c r="D913" s="5">
        <v>1202180.5199999996</v>
      </c>
      <c r="E913" s="5">
        <f>+IF(FINANCIACION[[#This Row],[$ CAPITAL]]&gt;=0,FINANCIACION[[#This Row],[$ CAPITAL]]+FINANCIACION[[#This Row],[$ INTERESES]],"")</f>
        <v>7528180.5199999996</v>
      </c>
      <c r="F913" s="5">
        <f>+SUMIFS(FINANCIACION[$ CAPITAL],FINANCIACION[Fecha],"&lt;="&amp;FINANCIACION[[#This Row],[Fecha]],FINANCIACION[PRESTAMO],FINANCIACION[[#This Row],[PRESTAMO]])</f>
        <v>-3431126</v>
      </c>
      <c r="G913" s="53"/>
      <c r="H913" s="53"/>
      <c r="I913" s="5">
        <f>+IF(FINANCIACION[[#This Row],[$ CAPITAL]]&gt;0,FINANCIACION[[#This Row],[$ CAPITAL]])</f>
        <v>6326000</v>
      </c>
      <c r="J913" s="33">
        <f>+IF(FINANCIACION[[#This Row],[$ CAPITAL]]&gt;=0,FINANCIACION[[#This Row],[$ CAPITAL]]+FINANCIACION[[#This Row],[$ INTERESES]],0)</f>
        <v>7528180.5199999996</v>
      </c>
    </row>
    <row r="914" spans="1:10" ht="24" hidden="1" customHeight="1" x14ac:dyDescent="0.3">
      <c r="A914" s="142">
        <v>44596</v>
      </c>
      <c r="B914" s="50" t="s">
        <v>839</v>
      </c>
      <c r="C914" s="5">
        <v>-20855747.98</v>
      </c>
      <c r="D914" s="5"/>
      <c r="E914" s="5" t="str">
        <f>+IF(FINANCIACION[[#This Row],[$ CAPITAL]]&gt;=0,FINANCIACION[[#This Row],[$ CAPITAL]]+FINANCIACION[[#This Row],[$ INTERESES]],"")</f>
        <v/>
      </c>
      <c r="F914" s="5">
        <f>+SUMIFS(FINANCIACION[$ CAPITAL],FINANCIACION[Fecha],"&lt;="&amp;FINANCIACION[[#This Row],[Fecha]],FINANCIACION[PRESTAMO],FINANCIACION[[#This Row],[PRESTAMO]])</f>
        <v>-20855747.98</v>
      </c>
      <c r="G914" s="53"/>
      <c r="H914" s="53"/>
      <c r="I914" s="5" t="b">
        <f>+IF(FINANCIACION[[#This Row],[$ CAPITAL]]&gt;0,FINANCIACION[[#This Row],[$ CAPITAL]])</f>
        <v>0</v>
      </c>
      <c r="J914" s="33">
        <f>+IF(FINANCIACION[[#This Row],[$ CAPITAL]]&gt;=0,FINANCIACION[[#This Row],[$ CAPITAL]]+FINANCIACION[[#This Row],[$ INTERESES]],0)</f>
        <v>0</v>
      </c>
    </row>
    <row r="915" spans="1:10" ht="24" hidden="1" customHeight="1" x14ac:dyDescent="0.3">
      <c r="A915" s="142">
        <v>44599</v>
      </c>
      <c r="B915" s="50" t="s">
        <v>189</v>
      </c>
      <c r="C915" s="5"/>
      <c r="D915" s="5">
        <v>387748</v>
      </c>
      <c r="E915" s="5">
        <f>+IF(FINANCIACION[[#This Row],[$ CAPITAL]]&gt;=0,FINANCIACION[[#This Row],[$ CAPITAL]]+FINANCIACION[[#This Row],[$ INTERESES]],"")</f>
        <v>387748</v>
      </c>
      <c r="F915" s="5">
        <f>+SUMIFS(FINANCIACION[$ CAPITAL],FINANCIACION[Fecha],"&lt;="&amp;FINANCIACION[[#This Row],[Fecha]],FINANCIACION[PRESTAMO],FINANCIACION[[#This Row],[PRESTAMO]])</f>
        <v>0</v>
      </c>
      <c r="G915" s="53"/>
      <c r="H915" s="53"/>
      <c r="I915" s="5" t="b">
        <f>+IF(FINANCIACION[[#This Row],[$ CAPITAL]]&gt;0,FINANCIACION[[#This Row],[$ CAPITAL]])</f>
        <v>0</v>
      </c>
      <c r="J915" s="33">
        <f>+IF(FINANCIACION[[#This Row],[$ CAPITAL]]&gt;=0,FINANCIACION[[#This Row],[$ CAPITAL]]+FINANCIACION[[#This Row],[$ INTERESES]],0)</f>
        <v>387748</v>
      </c>
    </row>
    <row r="916" spans="1:10" ht="24" hidden="1" customHeight="1" x14ac:dyDescent="0.3">
      <c r="A916" s="142">
        <v>44600</v>
      </c>
      <c r="B916" s="50" t="s">
        <v>197</v>
      </c>
      <c r="C916" s="5">
        <v>404277</v>
      </c>
      <c r="D916" s="5"/>
      <c r="E916" s="5">
        <f>+IF(FINANCIACION[[#This Row],[$ CAPITAL]]&gt;=0,FINANCIACION[[#This Row],[$ CAPITAL]]+FINANCIACION[[#This Row],[$ INTERESES]],"")</f>
        <v>404277</v>
      </c>
      <c r="F916" s="5">
        <f>+SUMIFS(FINANCIACION[$ CAPITAL],FINANCIACION[Fecha],"&lt;="&amp;FINANCIACION[[#This Row],[Fecha]],FINANCIACION[PRESTAMO],FINANCIACION[[#This Row],[PRESTAMO]])</f>
        <v>0</v>
      </c>
      <c r="G916" s="53"/>
      <c r="H916" s="53"/>
      <c r="I916" s="5">
        <f>+IF(FINANCIACION[[#This Row],[$ CAPITAL]]&gt;0,FINANCIACION[[#This Row],[$ CAPITAL]])</f>
        <v>404277</v>
      </c>
      <c r="J916" s="33">
        <f>+IF(FINANCIACION[[#This Row],[$ CAPITAL]]&gt;=0,FINANCIACION[[#This Row],[$ CAPITAL]]+FINANCIACION[[#This Row],[$ INTERESES]],0)</f>
        <v>404277</v>
      </c>
    </row>
    <row r="917" spans="1:10" ht="24" hidden="1" customHeight="1" x14ac:dyDescent="0.3">
      <c r="A917" s="142">
        <v>44602</v>
      </c>
      <c r="B917" s="50" t="s">
        <v>830</v>
      </c>
      <c r="C917" s="5"/>
      <c r="D917" s="5">
        <v>130000</v>
      </c>
      <c r="E917" s="5">
        <f>+IF(FINANCIACION[[#This Row],[$ CAPITAL]]&gt;=0,FINANCIACION[[#This Row],[$ CAPITAL]]+FINANCIACION[[#This Row],[$ INTERESES]],"")</f>
        <v>130000</v>
      </c>
      <c r="F917" s="5">
        <f>+SUMIFS(FINANCIACION[$ CAPITAL],FINANCIACION[Fecha],"&lt;="&amp;FINANCIACION[[#This Row],[Fecha]],FINANCIACION[PRESTAMO],FINANCIACION[[#This Row],[PRESTAMO]])</f>
        <v>-13000000</v>
      </c>
      <c r="G917" s="53"/>
      <c r="H917" s="53"/>
      <c r="I917" s="5" t="b">
        <f>+IF(FINANCIACION[[#This Row],[$ CAPITAL]]&gt;0,FINANCIACION[[#This Row],[$ CAPITAL]])</f>
        <v>0</v>
      </c>
      <c r="J917" s="33">
        <f>+IF(FINANCIACION[[#This Row],[$ CAPITAL]]&gt;=0,FINANCIACION[[#This Row],[$ CAPITAL]]+FINANCIACION[[#This Row],[$ INTERESES]],0)</f>
        <v>130000</v>
      </c>
    </row>
    <row r="918" spans="1:10" ht="24" hidden="1" customHeight="1" x14ac:dyDescent="0.3">
      <c r="A918" s="142">
        <v>44602</v>
      </c>
      <c r="B918" s="50" t="s">
        <v>834</v>
      </c>
      <c r="C918" s="5"/>
      <c r="D918" s="5">
        <v>400000</v>
      </c>
      <c r="E918" s="5">
        <f>+IF(FINANCIACION[[#This Row],[$ CAPITAL]]&gt;=0,FINANCIACION[[#This Row],[$ CAPITAL]]+FINANCIACION[[#This Row],[$ INTERESES]],"")</f>
        <v>400000</v>
      </c>
      <c r="F918" s="5">
        <f>+SUMIFS(FINANCIACION[$ CAPITAL],FINANCIACION[Fecha],"&lt;="&amp;FINANCIACION[[#This Row],[Fecha]],FINANCIACION[PRESTAMO],FINANCIACION[[#This Row],[PRESTAMO]])</f>
        <v>-40000000</v>
      </c>
      <c r="G918" s="53"/>
      <c r="H918" s="53"/>
      <c r="I918" s="5" t="b">
        <f>+IF(FINANCIACION[[#This Row],[$ CAPITAL]]&gt;0,FINANCIACION[[#This Row],[$ CAPITAL]])</f>
        <v>0</v>
      </c>
      <c r="J918" s="33">
        <f>+IF(FINANCIACION[[#This Row],[$ CAPITAL]]&gt;=0,FINANCIACION[[#This Row],[$ CAPITAL]]+FINANCIACION[[#This Row],[$ INTERESES]],0)</f>
        <v>400000</v>
      </c>
    </row>
    <row r="919" spans="1:10" ht="24" hidden="1" customHeight="1" x14ac:dyDescent="0.3">
      <c r="A919" s="142">
        <v>44602</v>
      </c>
      <c r="B919" s="50" t="s">
        <v>819</v>
      </c>
      <c r="C919" s="5">
        <v>2004680.8650897644</v>
      </c>
      <c r="D919" s="5">
        <v>672697.13491023553</v>
      </c>
      <c r="E919" s="5">
        <f>+IF(FINANCIACION[[#This Row],[$ CAPITAL]]&gt;=0,FINANCIACION[[#This Row],[$ CAPITAL]]+FINANCIACION[[#This Row],[$ INTERESES]],"")</f>
        <v>2677378</v>
      </c>
      <c r="F919" s="5">
        <f>+SUMIFS(FINANCIACION[$ CAPITAL],FINANCIACION[Fecha],"&lt;="&amp;FINANCIACION[[#This Row],[Fecha]],FINANCIACION[PRESTAMO],FINANCIACION[[#This Row],[PRESTAMO]])</f>
        <v>-65265032.625933789</v>
      </c>
      <c r="G919" s="53"/>
      <c r="H919" s="53"/>
      <c r="I919" s="5">
        <f>+IF(FINANCIACION[[#This Row],[$ CAPITAL]]&gt;0,FINANCIACION[[#This Row],[$ CAPITAL]])</f>
        <v>2004680.8650897644</v>
      </c>
      <c r="J919" s="33">
        <f>+IF(FINANCIACION[[#This Row],[$ CAPITAL]]&gt;=0,FINANCIACION[[#This Row],[$ CAPITAL]]+FINANCIACION[[#This Row],[$ INTERESES]],0)</f>
        <v>2677378</v>
      </c>
    </row>
    <row r="920" spans="1:10" ht="24" hidden="1" customHeight="1" x14ac:dyDescent="0.3">
      <c r="A920" s="142">
        <v>44602</v>
      </c>
      <c r="B920" s="50" t="s">
        <v>823</v>
      </c>
      <c r="C920" s="5">
        <v>772351.78970176273</v>
      </c>
      <c r="D920" s="5">
        <v>527648.21029823727</v>
      </c>
      <c r="E920" s="5">
        <f>+IF(FINANCIACION[[#This Row],[$ CAPITAL]]&gt;=0,FINANCIACION[[#This Row],[$ CAPITAL]]+FINANCIACION[[#This Row],[$ INTERESES]],"")</f>
        <v>1300000</v>
      </c>
      <c r="F920" s="5">
        <f>+SUMIFS(FINANCIACION[$ CAPITAL],FINANCIACION[Fecha],"&lt;="&amp;FINANCIACION[[#This Row],[Fecha]],FINANCIACION[PRESTAMO],FINANCIACION[[#This Row],[PRESTAMO]])</f>
        <v>-51992469.240121968</v>
      </c>
      <c r="G920" s="53"/>
      <c r="H920" s="53"/>
      <c r="I920" s="5">
        <f>+IF(FINANCIACION[[#This Row],[$ CAPITAL]]&gt;0,FINANCIACION[[#This Row],[$ CAPITAL]])</f>
        <v>772351.78970176273</v>
      </c>
      <c r="J920" s="33">
        <f>+IF(FINANCIACION[[#This Row],[$ CAPITAL]]&gt;=0,FINANCIACION[[#This Row],[$ CAPITAL]]+FINANCIACION[[#This Row],[$ INTERESES]],0)</f>
        <v>1300000</v>
      </c>
    </row>
    <row r="921" spans="1:10" ht="24" hidden="1" customHeight="1" x14ac:dyDescent="0.3">
      <c r="A921" s="142">
        <v>44602</v>
      </c>
      <c r="B921" s="50" t="s">
        <v>820</v>
      </c>
      <c r="C921" s="5">
        <v>501142.7113337341</v>
      </c>
      <c r="D921" s="5">
        <v>698857.2886662659</v>
      </c>
      <c r="E921" s="5">
        <f>+IF(FINANCIACION[[#This Row],[$ CAPITAL]]&gt;=0,FINANCIACION[[#This Row],[$ CAPITAL]]+FINANCIACION[[#This Row],[$ INTERESES]],"")</f>
        <v>1200000</v>
      </c>
      <c r="F921" s="5">
        <f>+SUMIFS(FINANCIACION[$ CAPITAL],FINANCIACION[Fecha],"&lt;="&amp;FINANCIACION[[#This Row],[Fecha]],FINANCIACION[PRESTAMO],FINANCIACION[[#This Row],[PRESTAMO]])</f>
        <v>-69555274.015292853</v>
      </c>
      <c r="G921" s="53"/>
      <c r="H921" s="53"/>
      <c r="I921" s="5">
        <f>+IF(FINANCIACION[[#This Row],[$ CAPITAL]]&gt;0,FINANCIACION[[#This Row],[$ CAPITAL]])</f>
        <v>501142.7113337341</v>
      </c>
      <c r="J921" s="33">
        <f>+IF(FINANCIACION[[#This Row],[$ CAPITAL]]&gt;=0,FINANCIACION[[#This Row],[$ CAPITAL]]+FINANCIACION[[#This Row],[$ INTERESES]],0)</f>
        <v>1200000</v>
      </c>
    </row>
    <row r="922" spans="1:10" ht="24" hidden="1" customHeight="1" x14ac:dyDescent="0.3">
      <c r="A922" s="142">
        <v>44602</v>
      </c>
      <c r="B922" s="50" t="s">
        <v>832</v>
      </c>
      <c r="C922" s="5"/>
      <c r="D922" s="5">
        <v>120000</v>
      </c>
      <c r="E922" s="5">
        <f>+IF(FINANCIACION[[#This Row],[$ CAPITAL]]&gt;=0,FINANCIACION[[#This Row],[$ CAPITAL]]+FINANCIACION[[#This Row],[$ INTERESES]],"")</f>
        <v>120000</v>
      </c>
      <c r="F922" s="5">
        <f>+SUMIFS(FINANCIACION[$ CAPITAL],FINANCIACION[Fecha],"&lt;="&amp;FINANCIACION[[#This Row],[Fecha]],FINANCIACION[PRESTAMO],FINANCIACION[[#This Row],[PRESTAMO]])</f>
        <v>-12000000</v>
      </c>
      <c r="G922" s="53"/>
      <c r="H922" s="53"/>
      <c r="I922" s="5" t="b">
        <f>+IF(FINANCIACION[[#This Row],[$ CAPITAL]]&gt;0,FINANCIACION[[#This Row],[$ CAPITAL]])</f>
        <v>0</v>
      </c>
      <c r="J922" s="33">
        <f>+IF(FINANCIACION[[#This Row],[$ CAPITAL]]&gt;=0,FINANCIACION[[#This Row],[$ CAPITAL]]+FINANCIACION[[#This Row],[$ INTERESES]],0)</f>
        <v>120000</v>
      </c>
    </row>
    <row r="923" spans="1:10" ht="24" hidden="1" customHeight="1" x14ac:dyDescent="0.3">
      <c r="A923" s="142">
        <v>44606</v>
      </c>
      <c r="B923" s="50" t="s">
        <v>194</v>
      </c>
      <c r="C923" s="5">
        <v>1944444</v>
      </c>
      <c r="D923" s="5">
        <v>243179.9</v>
      </c>
      <c r="E923" s="5">
        <f>+IF(FINANCIACION[[#This Row],[$ CAPITAL]]&gt;=0,FINANCIACION[[#This Row],[$ CAPITAL]]+FINANCIACION[[#This Row],[$ INTERESES]],"")</f>
        <v>2187623.9</v>
      </c>
      <c r="F923" s="5">
        <f>+SUMIFS(FINANCIACION[$ CAPITAL],FINANCIACION[Fecha],"&lt;="&amp;FINANCIACION[[#This Row],[Fecha]],FINANCIACION[PRESTAMO],FINANCIACION[[#This Row],[PRESTAMO]])</f>
        <v>-29166668</v>
      </c>
      <c r="G923" s="53"/>
      <c r="H923" s="53"/>
      <c r="I923" s="5">
        <f>+IF(FINANCIACION[[#This Row],[$ CAPITAL]]&gt;0,FINANCIACION[[#This Row],[$ CAPITAL]])</f>
        <v>1944444</v>
      </c>
      <c r="J923" s="33">
        <f>+IF(FINANCIACION[[#This Row],[$ CAPITAL]]&gt;=0,FINANCIACION[[#This Row],[$ CAPITAL]]+FINANCIACION[[#This Row],[$ INTERESES]],0)</f>
        <v>2187623.9</v>
      </c>
    </row>
    <row r="924" spans="1:10" ht="24" hidden="1" customHeight="1" x14ac:dyDescent="0.3">
      <c r="A924" s="142">
        <v>44606</v>
      </c>
      <c r="B924" s="50" t="s">
        <v>195</v>
      </c>
      <c r="C924" s="5">
        <v>1500000</v>
      </c>
      <c r="D924" s="5"/>
      <c r="E924" s="5">
        <f>+IF(FINANCIACION[[#This Row],[$ CAPITAL]]&gt;=0,FINANCIACION[[#This Row],[$ CAPITAL]]+FINANCIACION[[#This Row],[$ INTERESES]],"")</f>
        <v>1500000</v>
      </c>
      <c r="F924" s="5">
        <f>+SUMIFS(FINANCIACION[$ CAPITAL],FINANCIACION[Fecha],"&lt;="&amp;FINANCIACION[[#This Row],[Fecha]],FINANCIACION[PRESTAMO],FINANCIACION[[#This Row],[PRESTAMO]])</f>
        <v>-1047513</v>
      </c>
      <c r="G924" s="53"/>
      <c r="H924" s="53"/>
      <c r="I924" s="5">
        <f>+IF(FINANCIACION[[#This Row],[$ CAPITAL]]&gt;0,FINANCIACION[[#This Row],[$ CAPITAL]])</f>
        <v>1500000</v>
      </c>
      <c r="J924" s="33">
        <f>+IF(FINANCIACION[[#This Row],[$ CAPITAL]]&gt;=0,FINANCIACION[[#This Row],[$ CAPITAL]]+FINANCIACION[[#This Row],[$ INTERESES]],0)</f>
        <v>1500000</v>
      </c>
    </row>
    <row r="925" spans="1:10" ht="24" hidden="1" customHeight="1" x14ac:dyDescent="0.3">
      <c r="A925" s="142">
        <v>44607</v>
      </c>
      <c r="B925" s="50" t="s">
        <v>837</v>
      </c>
      <c r="C925" s="5">
        <v>-640000</v>
      </c>
      <c r="D925" s="5"/>
      <c r="E925" s="5" t="str">
        <f>+IF(FINANCIACION[[#This Row],[$ CAPITAL]]&gt;=0,FINANCIACION[[#This Row],[$ CAPITAL]]+FINANCIACION[[#This Row],[$ INTERESES]],"")</f>
        <v/>
      </c>
      <c r="F925" s="5">
        <f>+SUMIFS(FINANCIACION[$ CAPITAL],FINANCIACION[Fecha],"&lt;="&amp;FINANCIACION[[#This Row],[Fecha]],FINANCIACION[PRESTAMO],FINANCIACION[[#This Row],[PRESTAMO]])</f>
        <v>-23945032.5</v>
      </c>
      <c r="G925" s="53" t="s">
        <v>840</v>
      </c>
      <c r="H925" s="53"/>
      <c r="I925" s="5" t="b">
        <f>+IF(FINANCIACION[[#This Row],[$ CAPITAL]]&gt;0,FINANCIACION[[#This Row],[$ CAPITAL]])</f>
        <v>0</v>
      </c>
      <c r="J925" s="33">
        <f>+IF(FINANCIACION[[#This Row],[$ CAPITAL]]&gt;=0,FINANCIACION[[#This Row],[$ CAPITAL]]+FINANCIACION[[#This Row],[$ INTERESES]],0)</f>
        <v>0</v>
      </c>
    </row>
    <row r="926" spans="1:10" ht="24" hidden="1" customHeight="1" x14ac:dyDescent="0.3">
      <c r="A926" s="142">
        <v>44608</v>
      </c>
      <c r="B926" s="50" t="s">
        <v>195</v>
      </c>
      <c r="C926" s="5">
        <v>100000</v>
      </c>
      <c r="D926" s="5"/>
      <c r="E926" s="5">
        <f>+IF(FINANCIACION[[#This Row],[$ CAPITAL]]&gt;=0,FINANCIACION[[#This Row],[$ CAPITAL]]+FINANCIACION[[#This Row],[$ INTERESES]],"")</f>
        <v>100000</v>
      </c>
      <c r="F926" s="5">
        <f>+SUMIFS(FINANCIACION[$ CAPITAL],FINANCIACION[Fecha],"&lt;="&amp;FINANCIACION[[#This Row],[Fecha]],FINANCIACION[PRESTAMO],FINANCIACION[[#This Row],[PRESTAMO]])</f>
        <v>-947513</v>
      </c>
      <c r="G926" s="53"/>
      <c r="H926" s="53"/>
      <c r="I926" s="5">
        <f>+IF(FINANCIACION[[#This Row],[$ CAPITAL]]&gt;0,FINANCIACION[[#This Row],[$ CAPITAL]])</f>
        <v>100000</v>
      </c>
      <c r="J926" s="33">
        <f>+IF(FINANCIACION[[#This Row],[$ CAPITAL]]&gt;=0,FINANCIACION[[#This Row],[$ CAPITAL]]+FINANCIACION[[#This Row],[$ INTERESES]],0)</f>
        <v>100000</v>
      </c>
    </row>
    <row r="927" spans="1:10" ht="24" hidden="1" customHeight="1" x14ac:dyDescent="0.3">
      <c r="A927" s="142">
        <v>44609</v>
      </c>
      <c r="B927" s="50" t="s">
        <v>189</v>
      </c>
      <c r="C927" s="5"/>
      <c r="D927" s="5">
        <v>293434</v>
      </c>
      <c r="E927" s="5">
        <f>+IF(FINANCIACION[[#This Row],[$ CAPITAL]]&gt;=0,FINANCIACION[[#This Row],[$ CAPITAL]]+FINANCIACION[[#This Row],[$ INTERESES]],"")</f>
        <v>293434</v>
      </c>
      <c r="F927" s="5">
        <f>+SUMIFS(FINANCIACION[$ CAPITAL],FINANCIACION[Fecha],"&lt;="&amp;FINANCIACION[[#This Row],[Fecha]],FINANCIACION[PRESTAMO],FINANCIACION[[#This Row],[PRESTAMO]])</f>
        <v>0</v>
      </c>
      <c r="G927" s="53"/>
      <c r="H927" s="53"/>
      <c r="I927" s="5" t="b">
        <f>+IF(FINANCIACION[[#This Row],[$ CAPITAL]]&gt;0,FINANCIACION[[#This Row],[$ CAPITAL]])</f>
        <v>0</v>
      </c>
      <c r="J927" s="33">
        <f>+IF(FINANCIACION[[#This Row],[$ CAPITAL]]&gt;=0,FINANCIACION[[#This Row],[$ CAPITAL]]+FINANCIACION[[#This Row],[$ INTERESES]],0)</f>
        <v>293434</v>
      </c>
    </row>
    <row r="928" spans="1:10" ht="24" hidden="1" customHeight="1" x14ac:dyDescent="0.3">
      <c r="A928" s="142">
        <v>44610</v>
      </c>
      <c r="B928" s="50" t="s">
        <v>833</v>
      </c>
      <c r="C928" s="5">
        <v>1196742.2400000002</v>
      </c>
      <c r="D928" s="5">
        <v>16257.759999999776</v>
      </c>
      <c r="E928" s="5">
        <f>+IF(FINANCIACION[[#This Row],[$ CAPITAL]]&gt;=0,FINANCIACION[[#This Row],[$ CAPITAL]]+FINANCIACION[[#This Row],[$ INTERESES]],"")</f>
        <v>1213000</v>
      </c>
      <c r="F928" s="5">
        <f>+SUMIFS(FINANCIACION[$ CAPITAL],FINANCIACION[Fecha],"&lt;="&amp;FINANCIACION[[#This Row],[Fecha]],FINANCIACION[PRESTAMO],FINANCIACION[[#This Row],[PRESTAMO]])</f>
        <v>-16493882.17</v>
      </c>
      <c r="G928" s="53"/>
      <c r="H928" s="53"/>
      <c r="I928" s="5">
        <f>+IF(FINANCIACION[[#This Row],[$ CAPITAL]]&gt;0,FINANCIACION[[#This Row],[$ CAPITAL]])</f>
        <v>1196742.2400000002</v>
      </c>
      <c r="J928" s="33">
        <f>+IF(FINANCIACION[[#This Row],[$ CAPITAL]]&gt;=0,FINANCIACION[[#This Row],[$ CAPITAL]]+FINANCIACION[[#This Row],[$ INTERESES]],0)</f>
        <v>1213000</v>
      </c>
    </row>
    <row r="929" spans="1:10" ht="24" hidden="1" customHeight="1" x14ac:dyDescent="0.3">
      <c r="A929" s="142">
        <v>44610</v>
      </c>
      <c r="B929" s="50" t="s">
        <v>827</v>
      </c>
      <c r="C929" s="5">
        <v>959607.48000000045</v>
      </c>
      <c r="D929" s="5">
        <v>16392.519999999553</v>
      </c>
      <c r="E929" s="5">
        <f>+IF(FINANCIACION[[#This Row],[$ CAPITAL]]&gt;=0,FINANCIACION[[#This Row],[$ CAPITAL]]+FINANCIACION[[#This Row],[$ INTERESES]],"")</f>
        <v>976000</v>
      </c>
      <c r="F929" s="5">
        <f>+SUMIFS(FINANCIACION[$ CAPITAL],FINANCIACION[Fecha],"&lt;="&amp;FINANCIACION[[#This Row],[Fecha]],FINANCIACION[PRESTAMO],FINANCIACION[[#This Row],[PRESTAMO]])</f>
        <v>-14784848.759999994</v>
      </c>
      <c r="G929" s="53"/>
      <c r="H929" s="53"/>
      <c r="I929" s="5">
        <f>+IF(FINANCIACION[[#This Row],[$ CAPITAL]]&gt;0,FINANCIACION[[#This Row],[$ CAPITAL]])</f>
        <v>959607.48000000045</v>
      </c>
      <c r="J929" s="33">
        <f>+IF(FINANCIACION[[#This Row],[$ CAPITAL]]&gt;=0,FINANCIACION[[#This Row],[$ CAPITAL]]+FINANCIACION[[#This Row],[$ INTERESES]],0)</f>
        <v>976000</v>
      </c>
    </row>
    <row r="930" spans="1:10" ht="24" hidden="1" customHeight="1" x14ac:dyDescent="0.3">
      <c r="A930" s="142">
        <v>44610</v>
      </c>
      <c r="B930" s="50" t="s">
        <v>835</v>
      </c>
      <c r="C930" s="5">
        <v>489945.29999999702</v>
      </c>
      <c r="D930" s="5">
        <v>72054.70000000298</v>
      </c>
      <c r="E930" s="5">
        <f>+IF(FINANCIACION[[#This Row],[$ CAPITAL]]&gt;=0,FINANCIACION[[#This Row],[$ CAPITAL]]+FINANCIACION[[#This Row],[$ INTERESES]],"")</f>
        <v>562000</v>
      </c>
      <c r="F930" s="5">
        <f>+SUMIFS(FINANCIACION[$ CAPITAL],FINANCIACION[Fecha],"&lt;="&amp;FINANCIACION[[#This Row],[Fecha]],FINANCIACION[PRESTAMO],FINANCIACION[[#This Row],[PRESTAMO]])</f>
        <v>-81830630.709999993</v>
      </c>
      <c r="G930" s="53"/>
      <c r="H930" s="53"/>
      <c r="I930" s="5">
        <f>+IF(FINANCIACION[[#This Row],[$ CAPITAL]]&gt;0,FINANCIACION[[#This Row],[$ CAPITAL]])</f>
        <v>489945.29999999702</v>
      </c>
      <c r="J930" s="33">
        <f>+IF(FINANCIACION[[#This Row],[$ CAPITAL]]&gt;=0,FINANCIACION[[#This Row],[$ CAPITAL]]+FINANCIACION[[#This Row],[$ INTERESES]],0)</f>
        <v>562000</v>
      </c>
    </row>
    <row r="931" spans="1:10" ht="24" hidden="1" customHeight="1" x14ac:dyDescent="0.3">
      <c r="A931" s="142">
        <v>44610</v>
      </c>
      <c r="B931" s="50" t="s">
        <v>829</v>
      </c>
      <c r="C931" s="5">
        <v>1011776.2199999988</v>
      </c>
      <c r="D931" s="5">
        <v>18223.780000001192</v>
      </c>
      <c r="E931" s="5">
        <f>+IF(FINANCIACION[[#This Row],[$ CAPITAL]]&gt;=0,FINANCIACION[[#This Row],[$ CAPITAL]]+FINANCIACION[[#This Row],[$ INTERESES]],"")</f>
        <v>1030000</v>
      </c>
      <c r="F931" s="5">
        <f>+SUMIFS(FINANCIACION[$ CAPITAL],FINANCIACION[Fecha],"&lt;="&amp;FINANCIACION[[#This Row],[Fecha]],FINANCIACION[PRESTAMO],FINANCIACION[[#This Row],[PRESTAMO]])</f>
        <v>-16421643.089999996</v>
      </c>
      <c r="G931" s="53"/>
      <c r="H931" s="53"/>
      <c r="I931" s="5">
        <f>+IF(FINANCIACION[[#This Row],[$ CAPITAL]]&gt;0,FINANCIACION[[#This Row],[$ CAPITAL]])</f>
        <v>1011776.2199999988</v>
      </c>
      <c r="J931" s="33">
        <f>+IF(FINANCIACION[[#This Row],[$ CAPITAL]]&gt;=0,FINANCIACION[[#This Row],[$ CAPITAL]]+FINANCIACION[[#This Row],[$ INTERESES]],0)</f>
        <v>1030000</v>
      </c>
    </row>
    <row r="932" spans="1:10" ht="24" hidden="1" customHeight="1" x14ac:dyDescent="0.3">
      <c r="A932" s="142">
        <v>44610</v>
      </c>
      <c r="B932" s="50" t="s">
        <v>825</v>
      </c>
      <c r="C932" s="5">
        <v>2431910.3800000027</v>
      </c>
      <c r="D932" s="5">
        <v>35089.619999997318</v>
      </c>
      <c r="E932" s="5">
        <f>+IF(FINANCIACION[[#This Row],[$ CAPITAL]]&gt;=0,FINANCIACION[[#This Row],[$ CAPITAL]]+FINANCIACION[[#This Row],[$ INTERESES]],"")</f>
        <v>2467000</v>
      </c>
      <c r="F932" s="5">
        <f>+SUMIFS(FINANCIACION[$ CAPITAL],FINANCIACION[Fecha],"&lt;="&amp;FINANCIACION[[#This Row],[Fecha]],FINANCIACION[PRESTAMO],FINANCIACION[[#This Row],[PRESTAMO]])</f>
        <v>-35586556.57</v>
      </c>
      <c r="G932" s="53"/>
      <c r="H932" s="53"/>
      <c r="I932" s="5">
        <f>+IF(FINANCIACION[[#This Row],[$ CAPITAL]]&gt;0,FINANCIACION[[#This Row],[$ CAPITAL]])</f>
        <v>2431910.3800000027</v>
      </c>
      <c r="J932" s="33">
        <f>+IF(FINANCIACION[[#This Row],[$ CAPITAL]]&gt;=0,FINANCIACION[[#This Row],[$ CAPITAL]]+FINANCIACION[[#This Row],[$ INTERESES]],0)</f>
        <v>2467000</v>
      </c>
    </row>
    <row r="933" spans="1:10" ht="24" hidden="1" customHeight="1" x14ac:dyDescent="0.3">
      <c r="A933" s="142">
        <v>44610</v>
      </c>
      <c r="B933" s="50" t="s">
        <v>826</v>
      </c>
      <c r="C933" s="5">
        <v>3565246.3100000024</v>
      </c>
      <c r="D933" s="5">
        <v>55753.689999997616</v>
      </c>
      <c r="E933" s="5">
        <f>+IF(FINANCIACION[[#This Row],[$ CAPITAL]]&gt;=0,FINANCIACION[[#This Row],[$ CAPITAL]]+FINANCIACION[[#This Row],[$ INTERESES]],"")</f>
        <v>3621000</v>
      </c>
      <c r="F933" s="5">
        <f>+SUMIFS(FINANCIACION[$ CAPITAL],FINANCIACION[Fecha],"&lt;="&amp;FINANCIACION[[#This Row],[Fecha]],FINANCIACION[PRESTAMO],FINANCIACION[[#This Row],[PRESTAMO]])</f>
        <v>-51671496.129999995</v>
      </c>
      <c r="G933" s="53"/>
      <c r="H933" s="53"/>
      <c r="I933" s="5">
        <f>+IF(FINANCIACION[[#This Row],[$ CAPITAL]]&gt;0,FINANCIACION[[#This Row],[$ CAPITAL]])</f>
        <v>3565246.3100000024</v>
      </c>
      <c r="J933" s="33">
        <f>+IF(FINANCIACION[[#This Row],[$ CAPITAL]]&gt;=0,FINANCIACION[[#This Row],[$ CAPITAL]]+FINANCIACION[[#This Row],[$ INTERESES]],0)</f>
        <v>3621000</v>
      </c>
    </row>
    <row r="934" spans="1:10" ht="24" hidden="1" customHeight="1" x14ac:dyDescent="0.3">
      <c r="A934" s="142">
        <v>44610</v>
      </c>
      <c r="B934" s="50" t="s">
        <v>821</v>
      </c>
      <c r="C934" s="5">
        <v>5809351</v>
      </c>
      <c r="D934" s="5">
        <v>379619</v>
      </c>
      <c r="E934" s="5">
        <f>+IF(FINANCIACION[[#This Row],[$ CAPITAL]]&gt;=0,FINANCIACION[[#This Row],[$ CAPITAL]]+FINANCIACION[[#This Row],[$ INTERESES]],"")</f>
        <v>6188970</v>
      </c>
      <c r="F934" s="5">
        <f>+SUMIFS(FINANCIACION[$ CAPITAL],FINANCIACION[Fecha],"&lt;="&amp;FINANCIACION[[#This Row],[Fecha]],FINANCIACION[PRESTAMO],FINANCIACION[[#This Row],[PRESTAMO]])</f>
        <v>-382608305</v>
      </c>
      <c r="G934" s="53"/>
      <c r="H934" s="53"/>
      <c r="I934" s="5">
        <f>+IF(FINANCIACION[[#This Row],[$ CAPITAL]]&gt;0,FINANCIACION[[#This Row],[$ CAPITAL]])</f>
        <v>5809351</v>
      </c>
      <c r="J934" s="33">
        <f>+IF(FINANCIACION[[#This Row],[$ CAPITAL]]&gt;=0,FINANCIACION[[#This Row],[$ CAPITAL]]+FINANCIACION[[#This Row],[$ INTERESES]],0)</f>
        <v>6188970</v>
      </c>
    </row>
    <row r="935" spans="1:10" ht="24" hidden="1" customHeight="1" x14ac:dyDescent="0.3">
      <c r="A935" s="142">
        <v>44610</v>
      </c>
      <c r="B935" s="50" t="s">
        <v>822</v>
      </c>
      <c r="C935" s="5">
        <v>1442346.3600000031</v>
      </c>
      <c r="D935" s="5">
        <v>20653.639999996871</v>
      </c>
      <c r="E935" s="5">
        <f>+IF(FINANCIACION[[#This Row],[$ CAPITAL]]&gt;=0,FINANCIACION[[#This Row],[$ CAPITAL]]+FINANCIACION[[#This Row],[$ INTERESES]],"")</f>
        <v>1463000</v>
      </c>
      <c r="F935" s="5">
        <f>+SUMIFS(FINANCIACION[$ CAPITAL],FINANCIACION[Fecha],"&lt;="&amp;FINANCIACION[[#This Row],[Fecha]],FINANCIACION[PRESTAMO],FINANCIACION[[#This Row],[PRESTAMO]])</f>
        <v>-18618480.140000001</v>
      </c>
      <c r="G935" s="53"/>
      <c r="H935" s="53"/>
      <c r="I935" s="5">
        <f>+IF(FINANCIACION[[#This Row],[$ CAPITAL]]&gt;0,FINANCIACION[[#This Row],[$ CAPITAL]])</f>
        <v>1442346.3600000031</v>
      </c>
      <c r="J935" s="33">
        <f>+IF(FINANCIACION[[#This Row],[$ CAPITAL]]&gt;=0,FINANCIACION[[#This Row],[$ CAPITAL]]+FINANCIACION[[#This Row],[$ INTERESES]],0)</f>
        <v>1463000</v>
      </c>
    </row>
    <row r="936" spans="1:10" ht="24" hidden="1" customHeight="1" x14ac:dyDescent="0.3">
      <c r="A936" s="142">
        <v>44620</v>
      </c>
      <c r="B936" s="50" t="s">
        <v>837</v>
      </c>
      <c r="C936" s="5">
        <v>-1100000</v>
      </c>
      <c r="D936" s="5"/>
      <c r="E936" s="5" t="str">
        <f>+IF(FINANCIACION[[#This Row],[$ CAPITAL]]&gt;=0,FINANCIACION[[#This Row],[$ CAPITAL]]+FINANCIACION[[#This Row],[$ INTERESES]],"")</f>
        <v/>
      </c>
      <c r="F936" s="5">
        <f>+SUMIFS(FINANCIACION[$ CAPITAL],FINANCIACION[Fecha],"&lt;="&amp;FINANCIACION[[#This Row],[Fecha]],FINANCIACION[PRESTAMO],FINANCIACION[[#This Row],[PRESTAMO]])</f>
        <v>-33517032.5</v>
      </c>
      <c r="G936" s="53" t="s">
        <v>841</v>
      </c>
      <c r="H936" s="53"/>
      <c r="I936" s="5" t="b">
        <f>+IF(FINANCIACION[[#This Row],[$ CAPITAL]]&gt;0,FINANCIACION[[#This Row],[$ CAPITAL]])</f>
        <v>0</v>
      </c>
      <c r="J936" s="33">
        <f>+IF(FINANCIACION[[#This Row],[$ CAPITAL]]&gt;=0,FINANCIACION[[#This Row],[$ CAPITAL]]+FINANCIACION[[#This Row],[$ INTERESES]],0)</f>
        <v>0</v>
      </c>
    </row>
    <row r="937" spans="1:10" ht="24" hidden="1" customHeight="1" x14ac:dyDescent="0.3">
      <c r="A937" s="142">
        <v>44620</v>
      </c>
      <c r="B937" s="50" t="s">
        <v>837</v>
      </c>
      <c r="C937" s="5">
        <v>-1412000</v>
      </c>
      <c r="D937" s="5"/>
      <c r="E937" s="5" t="str">
        <f>+IF(FINANCIACION[[#This Row],[$ CAPITAL]]&gt;=0,FINANCIACION[[#This Row],[$ CAPITAL]]+FINANCIACION[[#This Row],[$ INTERESES]],"")</f>
        <v/>
      </c>
      <c r="F937" s="5">
        <f>+SUMIFS(FINANCIACION[$ CAPITAL],FINANCIACION[Fecha],"&lt;="&amp;FINANCIACION[[#This Row],[Fecha]],FINANCIACION[PRESTAMO],FINANCIACION[[#This Row],[PRESTAMO]])</f>
        <v>-33517032.5</v>
      </c>
      <c r="G937" s="53" t="s">
        <v>842</v>
      </c>
      <c r="H937" s="53"/>
      <c r="I937" s="5" t="b">
        <f>+IF(FINANCIACION[[#This Row],[$ CAPITAL]]&gt;0,FINANCIACION[[#This Row],[$ CAPITAL]])</f>
        <v>0</v>
      </c>
      <c r="J937" s="33">
        <f>+IF(FINANCIACION[[#This Row],[$ CAPITAL]]&gt;=0,FINANCIACION[[#This Row],[$ CAPITAL]]+FINANCIACION[[#This Row],[$ INTERESES]],0)</f>
        <v>0</v>
      </c>
    </row>
    <row r="938" spans="1:10" ht="24" hidden="1" customHeight="1" x14ac:dyDescent="0.3">
      <c r="A938" s="142">
        <v>44620</v>
      </c>
      <c r="B938" s="50" t="s">
        <v>837</v>
      </c>
      <c r="C938" s="5">
        <v>-7060000</v>
      </c>
      <c r="D938" s="5"/>
      <c r="E938" s="5" t="str">
        <f>+IF(FINANCIACION[[#This Row],[$ CAPITAL]]&gt;=0,FINANCIACION[[#This Row],[$ CAPITAL]]+FINANCIACION[[#This Row],[$ INTERESES]],"")</f>
        <v/>
      </c>
      <c r="F938" s="5">
        <f>+SUMIFS(FINANCIACION[$ CAPITAL],FINANCIACION[Fecha],"&lt;="&amp;FINANCIACION[[#This Row],[Fecha]],FINANCIACION[PRESTAMO],FINANCIACION[[#This Row],[PRESTAMO]])</f>
        <v>-33517032.5</v>
      </c>
      <c r="G938" s="53" t="s">
        <v>843</v>
      </c>
      <c r="H938" s="53"/>
      <c r="I938" s="5" t="b">
        <f>+IF(FINANCIACION[[#This Row],[$ CAPITAL]]&gt;0,FINANCIACION[[#This Row],[$ CAPITAL]])</f>
        <v>0</v>
      </c>
      <c r="J938" s="33">
        <f>+IF(FINANCIACION[[#This Row],[$ CAPITAL]]&gt;=0,FINANCIACION[[#This Row],[$ CAPITAL]]+FINANCIACION[[#This Row],[$ INTERESES]],0)</f>
        <v>0</v>
      </c>
    </row>
    <row r="939" spans="1:10" ht="24" hidden="1" customHeight="1" x14ac:dyDescent="0.3">
      <c r="A939" s="142">
        <v>44620</v>
      </c>
      <c r="B939" s="50" t="s">
        <v>187</v>
      </c>
      <c r="C939" s="5">
        <v>1468400</v>
      </c>
      <c r="D939" s="5">
        <v>372910</v>
      </c>
      <c r="E939" s="5">
        <f>+IF(FINANCIACION[[#This Row],[$ CAPITAL]]&gt;=0,FINANCIACION[[#This Row],[$ CAPITAL]]+FINANCIACION[[#This Row],[$ INTERESES]],"")</f>
        <v>1841310</v>
      </c>
      <c r="F939" s="5">
        <f>+SUMIFS(FINANCIACION[$ CAPITAL],FINANCIACION[Fecha],"&lt;="&amp;FINANCIACION[[#This Row],[Fecha]],FINANCIACION[PRESTAMO],FINANCIACION[[#This Row],[PRESTAMO]])</f>
        <v>-36710000</v>
      </c>
      <c r="G939" s="53"/>
      <c r="H939" s="53"/>
      <c r="I939" s="5">
        <f>+IF(FINANCIACION[[#This Row],[$ CAPITAL]]&gt;0,FINANCIACION[[#This Row],[$ CAPITAL]])</f>
        <v>1468400</v>
      </c>
      <c r="J939" s="33">
        <f>+IF(FINANCIACION[[#This Row],[$ CAPITAL]]&gt;=0,FINANCIACION[[#This Row],[$ CAPITAL]]+FINANCIACION[[#This Row],[$ INTERESES]],0)</f>
        <v>1841310</v>
      </c>
    </row>
    <row r="940" spans="1:10" ht="24" hidden="1" customHeight="1" x14ac:dyDescent="0.3">
      <c r="A940" s="142">
        <v>44620</v>
      </c>
      <c r="B940" s="50" t="s">
        <v>188</v>
      </c>
      <c r="C940" s="5">
        <v>76791</v>
      </c>
      <c r="D940" s="5"/>
      <c r="E940" s="5">
        <f>+IF(FINANCIACION[[#This Row],[$ CAPITAL]]&gt;=0,FINANCIACION[[#This Row],[$ CAPITAL]]+FINANCIACION[[#This Row],[$ INTERESES]],"")</f>
        <v>76791</v>
      </c>
      <c r="F940" s="5">
        <f>+SUMIFS(FINANCIACION[$ CAPITAL],FINANCIACION[Fecha],"&lt;="&amp;FINANCIACION[[#This Row],[Fecha]],FINANCIACION[PRESTAMO],FINANCIACION[[#This Row],[PRESTAMO]])</f>
        <v>-1919775</v>
      </c>
      <c r="G940" s="53"/>
      <c r="H940" s="53"/>
      <c r="I940" s="5">
        <f>+IF(FINANCIACION[[#This Row],[$ CAPITAL]]&gt;0,FINANCIACION[[#This Row],[$ CAPITAL]])</f>
        <v>76791</v>
      </c>
      <c r="J940" s="33">
        <f>+IF(FINANCIACION[[#This Row],[$ CAPITAL]]&gt;=0,FINANCIACION[[#This Row],[$ CAPITAL]]+FINANCIACION[[#This Row],[$ INTERESES]],0)</f>
        <v>76791</v>
      </c>
    </row>
    <row r="941" spans="1:10" ht="24" hidden="1" customHeight="1" x14ac:dyDescent="0.3">
      <c r="A941" s="142">
        <v>44620</v>
      </c>
      <c r="B941" s="50" t="s">
        <v>839</v>
      </c>
      <c r="C941" s="5">
        <v>-83758.019999999553</v>
      </c>
      <c r="D941" s="5"/>
      <c r="E941" s="5" t="str">
        <f>+IF(FINANCIACION[[#This Row],[$ CAPITAL]]&gt;=0,FINANCIACION[[#This Row],[$ CAPITAL]]+FINANCIACION[[#This Row],[$ INTERESES]],"")</f>
        <v/>
      </c>
      <c r="F941" s="5">
        <f>+SUMIFS(FINANCIACION[$ CAPITAL],FINANCIACION[Fecha],"&lt;="&amp;FINANCIACION[[#This Row],[Fecha]],FINANCIACION[PRESTAMO],FINANCIACION[[#This Row],[PRESTAMO]])</f>
        <v>-20939506</v>
      </c>
      <c r="G941" s="53" t="s">
        <v>225</v>
      </c>
      <c r="H941" s="53"/>
      <c r="I941" s="5" t="b">
        <f>+IF(FINANCIACION[[#This Row],[$ CAPITAL]]&gt;0,FINANCIACION[[#This Row],[$ CAPITAL]])</f>
        <v>0</v>
      </c>
      <c r="J941" s="33">
        <f>+IF(FINANCIACION[[#This Row],[$ CAPITAL]]&gt;=0,FINANCIACION[[#This Row],[$ CAPITAL]]+FINANCIACION[[#This Row],[$ INTERESES]],0)</f>
        <v>0</v>
      </c>
    </row>
    <row r="942" spans="1:10" ht="24" hidden="1" customHeight="1" x14ac:dyDescent="0.3">
      <c r="A942" s="142">
        <v>44620</v>
      </c>
      <c r="B942" s="50" t="s">
        <v>189</v>
      </c>
      <c r="C942" s="5"/>
      <c r="D942" s="5">
        <v>293845</v>
      </c>
      <c r="E942" s="5">
        <f>+IF(FINANCIACION[[#This Row],[$ CAPITAL]]&gt;=0,FINANCIACION[[#This Row],[$ CAPITAL]]+FINANCIACION[[#This Row],[$ INTERESES]],"")</f>
        <v>293845</v>
      </c>
      <c r="F942" s="5">
        <f>+SUMIFS(FINANCIACION[$ CAPITAL],FINANCIACION[Fecha],"&lt;="&amp;FINANCIACION[[#This Row],[Fecha]],FINANCIACION[PRESTAMO],FINANCIACION[[#This Row],[PRESTAMO]])</f>
        <v>0</v>
      </c>
      <c r="G942" s="53"/>
      <c r="H942" s="53"/>
      <c r="I942" s="5" t="b">
        <f>+IF(FINANCIACION[[#This Row],[$ CAPITAL]]&gt;0,FINANCIACION[[#This Row],[$ CAPITAL]])</f>
        <v>0</v>
      </c>
      <c r="J942" s="33">
        <f>+IF(FINANCIACION[[#This Row],[$ CAPITAL]]&gt;=0,FINANCIACION[[#This Row],[$ CAPITAL]]+FINANCIACION[[#This Row],[$ INTERESES]],0)</f>
        <v>293845</v>
      </c>
    </row>
    <row r="943" spans="1:10" ht="24" hidden="1" customHeight="1" x14ac:dyDescent="0.3">
      <c r="A943" s="142">
        <v>44620</v>
      </c>
      <c r="B943" s="50" t="s">
        <v>189</v>
      </c>
      <c r="C943" s="5"/>
      <c r="D943" s="5">
        <v>130615</v>
      </c>
      <c r="E943" s="5">
        <f>+IF(FINANCIACION[[#This Row],[$ CAPITAL]]&gt;=0,FINANCIACION[[#This Row],[$ CAPITAL]]+FINANCIACION[[#This Row],[$ INTERESES]],"")</f>
        <v>130615</v>
      </c>
      <c r="F943" s="5">
        <f>+SUMIFS(FINANCIACION[$ CAPITAL],FINANCIACION[Fecha],"&lt;="&amp;FINANCIACION[[#This Row],[Fecha]],FINANCIACION[PRESTAMO],FINANCIACION[[#This Row],[PRESTAMO]])</f>
        <v>0</v>
      </c>
      <c r="G943" s="53"/>
      <c r="H943" s="53"/>
      <c r="I943" s="5" t="b">
        <f>+IF(FINANCIACION[[#This Row],[$ CAPITAL]]&gt;0,FINANCIACION[[#This Row],[$ CAPITAL]])</f>
        <v>0</v>
      </c>
      <c r="J943" s="33">
        <f>+IF(FINANCIACION[[#This Row],[$ CAPITAL]]&gt;=0,FINANCIACION[[#This Row],[$ CAPITAL]]+FINANCIACION[[#This Row],[$ INTERESES]],0)</f>
        <v>130615</v>
      </c>
    </row>
    <row r="944" spans="1:10" ht="24" hidden="1" customHeight="1" x14ac:dyDescent="0.3">
      <c r="A944" s="142">
        <v>44620</v>
      </c>
      <c r="B944" s="50" t="s">
        <v>282</v>
      </c>
      <c r="C944" s="5">
        <v>1498393</v>
      </c>
      <c r="D944" s="5"/>
      <c r="E944" s="5">
        <f>+IF(FINANCIACION[[#This Row],[$ CAPITAL]]&gt;=0,FINANCIACION[[#This Row],[$ CAPITAL]]+FINANCIACION[[#This Row],[$ INTERESES]],"")</f>
        <v>1498393</v>
      </c>
      <c r="F944" s="5">
        <f>+SUMIFS(FINANCIACION[$ CAPITAL],FINANCIACION[Fecha],"&lt;="&amp;FINANCIACION[[#This Row],[Fecha]],FINANCIACION[PRESTAMO],FINANCIACION[[#This Row],[PRESTAMO]])</f>
        <v>-58437327</v>
      </c>
      <c r="G944" s="53" t="s">
        <v>225</v>
      </c>
      <c r="H944" s="53"/>
      <c r="I944" s="5">
        <f>+IF(FINANCIACION[[#This Row],[$ CAPITAL]]&gt;0,FINANCIACION[[#This Row],[$ CAPITAL]])</f>
        <v>1498393</v>
      </c>
      <c r="J944" s="33">
        <f>+IF(FINANCIACION[[#This Row],[$ CAPITAL]]&gt;=0,FINANCIACION[[#This Row],[$ CAPITAL]]+FINANCIACION[[#This Row],[$ INTERESES]],0)</f>
        <v>1498393</v>
      </c>
    </row>
    <row r="945" spans="1:10" ht="24" hidden="1" customHeight="1" x14ac:dyDescent="0.3">
      <c r="A945" s="142">
        <v>44620</v>
      </c>
      <c r="B945" s="50" t="s">
        <v>372</v>
      </c>
      <c r="C945" s="5">
        <v>592703</v>
      </c>
      <c r="D945" s="5"/>
      <c r="E945" s="5">
        <f>+IF(FINANCIACION[[#This Row],[$ CAPITAL]]&gt;=0,FINANCIACION[[#This Row],[$ CAPITAL]]+FINANCIACION[[#This Row],[$ INTERESES]],"")</f>
        <v>592703</v>
      </c>
      <c r="F945" s="5">
        <f>+SUMIFS(FINANCIACION[$ CAPITAL],FINANCIACION[Fecha],"&lt;="&amp;FINANCIACION[[#This Row],[Fecha]],FINANCIACION[PRESTAMO],FINANCIACION[[#This Row],[PRESTAMO]])</f>
        <v>-23115417</v>
      </c>
      <c r="G945" s="53" t="s">
        <v>225</v>
      </c>
      <c r="H945" s="53"/>
      <c r="I945" s="5">
        <f>+IF(FINANCIACION[[#This Row],[$ CAPITAL]]&gt;0,FINANCIACION[[#This Row],[$ CAPITAL]])</f>
        <v>592703</v>
      </c>
      <c r="J945" s="33">
        <f>+IF(FINANCIACION[[#This Row],[$ CAPITAL]]&gt;=0,FINANCIACION[[#This Row],[$ CAPITAL]]+FINANCIACION[[#This Row],[$ INTERESES]],0)</f>
        <v>592703</v>
      </c>
    </row>
    <row r="946" spans="1:10" ht="24" hidden="1" customHeight="1" x14ac:dyDescent="0.3">
      <c r="A946" s="142">
        <v>44620</v>
      </c>
      <c r="B946" s="50" t="s">
        <v>486</v>
      </c>
      <c r="C946" s="5">
        <v>1368769</v>
      </c>
      <c r="D946" s="5"/>
      <c r="E946" s="5">
        <f>+IF(FINANCIACION[[#This Row],[$ CAPITAL]]&gt;=0,FINANCIACION[[#This Row],[$ CAPITAL]]+FINANCIACION[[#This Row],[$ INTERESES]],"")</f>
        <v>1368769</v>
      </c>
      <c r="F946" s="5">
        <f>+SUMIFS(FINANCIACION[$ CAPITAL],FINANCIACION[Fecha],"&lt;="&amp;FINANCIACION[[#This Row],[Fecha]],FINANCIACION[PRESTAMO],FINANCIACION[[#This Row],[PRESTAMO]])</f>
        <v>-53381991</v>
      </c>
      <c r="G946" s="53" t="s">
        <v>225</v>
      </c>
      <c r="H946" s="53"/>
      <c r="I946" s="5">
        <f>+IF(FINANCIACION[[#This Row],[$ CAPITAL]]&gt;0,FINANCIACION[[#This Row],[$ CAPITAL]])</f>
        <v>1368769</v>
      </c>
      <c r="J946" s="33">
        <f>+IF(FINANCIACION[[#This Row],[$ CAPITAL]]&gt;=0,FINANCIACION[[#This Row],[$ CAPITAL]]+FINANCIACION[[#This Row],[$ INTERESES]],0)</f>
        <v>1368769</v>
      </c>
    </row>
    <row r="947" spans="1:10" ht="24" hidden="1" customHeight="1" x14ac:dyDescent="0.3">
      <c r="A947" s="142">
        <v>44620</v>
      </c>
      <c r="B947" s="50" t="s">
        <v>611</v>
      </c>
      <c r="C947" s="5">
        <v>1443436</v>
      </c>
      <c r="D947" s="5"/>
      <c r="E947" s="5">
        <f>+IF(FINANCIACION[[#This Row],[$ CAPITAL]]&gt;=0,FINANCIACION[[#This Row],[$ CAPITAL]]+FINANCIACION[[#This Row],[$ INTERESES]],"")</f>
        <v>1443436</v>
      </c>
      <c r="F947" s="5">
        <f>+SUMIFS(FINANCIACION[$ CAPITAL],FINANCIACION[Fecha],"&lt;="&amp;FINANCIACION[[#This Row],[Fecha]],FINANCIACION[PRESTAMO],FINANCIACION[[#This Row],[PRESTAMO]])</f>
        <v>-56294004</v>
      </c>
      <c r="G947" s="53" t="s">
        <v>225</v>
      </c>
      <c r="H947" s="53"/>
      <c r="I947" s="5">
        <f>+IF(FINANCIACION[[#This Row],[$ CAPITAL]]&gt;0,FINANCIACION[[#This Row],[$ CAPITAL]])</f>
        <v>1443436</v>
      </c>
      <c r="J947" s="33">
        <f>+IF(FINANCIACION[[#This Row],[$ CAPITAL]]&gt;=0,FINANCIACION[[#This Row],[$ CAPITAL]]+FINANCIACION[[#This Row],[$ INTERESES]],0)</f>
        <v>1443436</v>
      </c>
    </row>
    <row r="948" spans="1:10" ht="24" hidden="1" customHeight="1" x14ac:dyDescent="0.3">
      <c r="A948" s="142">
        <v>44620</v>
      </c>
      <c r="B948" s="50" t="s">
        <v>195</v>
      </c>
      <c r="C948" s="5">
        <v>-3279583</v>
      </c>
      <c r="D948" s="5"/>
      <c r="E948" s="5" t="str">
        <f>+IF(FINANCIACION[[#This Row],[$ CAPITAL]]&gt;=0,FINANCIACION[[#This Row],[$ CAPITAL]]+FINANCIACION[[#This Row],[$ INTERESES]],"")</f>
        <v/>
      </c>
      <c r="F948" s="5">
        <f>+SUMIFS(FINANCIACION[$ CAPITAL],FINANCIACION[Fecha],"&lt;="&amp;FINANCIACION[[#This Row],[Fecha]],FINANCIACION[PRESTAMO],FINANCIACION[[#This Row],[PRESTAMO]])</f>
        <v>-4227096</v>
      </c>
      <c r="G948" s="53" t="s">
        <v>225</v>
      </c>
      <c r="H948" s="53"/>
      <c r="I948" s="5" t="b">
        <f>+IF(FINANCIACION[[#This Row],[$ CAPITAL]]&gt;0,FINANCIACION[[#This Row],[$ CAPITAL]])</f>
        <v>0</v>
      </c>
      <c r="J948" s="33">
        <f>+IF(FINANCIACION[[#This Row],[$ CAPITAL]]&gt;=0,FINANCIACION[[#This Row],[$ CAPITAL]]+FINANCIACION[[#This Row],[$ INTERESES]],0)</f>
        <v>0</v>
      </c>
    </row>
    <row r="949" spans="1:10" ht="24" hidden="1" customHeight="1" x14ac:dyDescent="0.3">
      <c r="A949" s="142">
        <v>44620</v>
      </c>
      <c r="B949" s="50" t="s">
        <v>196</v>
      </c>
      <c r="C949" s="5">
        <v>-1113500</v>
      </c>
      <c r="D949" s="5"/>
      <c r="E949" s="5" t="str">
        <f>+IF(FINANCIACION[[#This Row],[$ CAPITAL]]&gt;=0,FINANCIACION[[#This Row],[$ CAPITAL]]+FINANCIACION[[#This Row],[$ INTERESES]],"")</f>
        <v/>
      </c>
      <c r="F949" s="5">
        <f>+SUMIFS(FINANCIACION[$ CAPITAL],FINANCIACION[Fecha],"&lt;="&amp;FINANCIACION[[#This Row],[Fecha]],FINANCIACION[PRESTAMO],FINANCIACION[[#This Row],[PRESTAMO]])</f>
        <v>-31609500</v>
      </c>
      <c r="G949" s="53" t="s">
        <v>225</v>
      </c>
      <c r="H949" s="53"/>
      <c r="I949" s="5" t="b">
        <f>+IF(FINANCIACION[[#This Row],[$ CAPITAL]]&gt;0,FINANCIACION[[#This Row],[$ CAPITAL]])</f>
        <v>0</v>
      </c>
      <c r="J949" s="33">
        <f>+IF(FINANCIACION[[#This Row],[$ CAPITAL]]&gt;=0,FINANCIACION[[#This Row],[$ CAPITAL]]+FINANCIACION[[#This Row],[$ INTERESES]],0)</f>
        <v>0</v>
      </c>
    </row>
    <row r="950" spans="1:10" ht="24" hidden="1" customHeight="1" x14ac:dyDescent="0.3">
      <c r="A950" s="142">
        <v>44620</v>
      </c>
      <c r="B950" s="50" t="s">
        <v>197</v>
      </c>
      <c r="C950" s="5">
        <v>-770850</v>
      </c>
      <c r="D950" s="5"/>
      <c r="E950" s="5" t="str">
        <f>+IF(FINANCIACION[[#This Row],[$ CAPITAL]]&gt;=0,FINANCIACION[[#This Row],[$ CAPITAL]]+FINANCIACION[[#This Row],[$ INTERESES]],"")</f>
        <v/>
      </c>
      <c r="F950" s="5">
        <f>+SUMIFS(FINANCIACION[$ CAPITAL],FINANCIACION[Fecha],"&lt;="&amp;FINANCIACION[[#This Row],[Fecha]],FINANCIACION[PRESTAMO],FINANCIACION[[#This Row],[PRESTAMO]])</f>
        <v>-770850</v>
      </c>
      <c r="G950" s="53" t="s">
        <v>225</v>
      </c>
      <c r="H950" s="53"/>
      <c r="I950" s="5" t="b">
        <f>+IF(FINANCIACION[[#This Row],[$ CAPITAL]]&gt;0,FINANCIACION[[#This Row],[$ CAPITAL]])</f>
        <v>0</v>
      </c>
      <c r="J950" s="33">
        <f>+IF(FINANCIACION[[#This Row],[$ CAPITAL]]&gt;=0,FINANCIACION[[#This Row],[$ CAPITAL]]+FINANCIACION[[#This Row],[$ INTERESES]],0)</f>
        <v>0</v>
      </c>
    </row>
    <row r="951" spans="1:10" ht="24" hidden="1" customHeight="1" x14ac:dyDescent="0.3">
      <c r="A951" s="142">
        <v>44623</v>
      </c>
      <c r="B951" s="50" t="s">
        <v>836</v>
      </c>
      <c r="C951" s="5">
        <v>-30120000</v>
      </c>
      <c r="D951" s="5"/>
      <c r="E951" s="5" t="str">
        <f>+IF(FINANCIACION[[#This Row],[$ CAPITAL]]&gt;=0,FINANCIACION[[#This Row],[$ CAPITAL]]+FINANCIACION[[#This Row],[$ INTERESES]],"")</f>
        <v/>
      </c>
      <c r="F951" s="5">
        <f>+SUMIFS(FINANCIACION[$ CAPITAL],FINANCIACION[Fecha],"&lt;="&amp;FINANCIACION[[#This Row],[Fecha]],FINANCIACION[PRESTAMO],FINANCIACION[[#This Row],[PRESTAMO]])</f>
        <v>-30120000</v>
      </c>
      <c r="G951" s="53" t="s">
        <v>844</v>
      </c>
      <c r="H951" s="53"/>
      <c r="I951" s="5" t="b">
        <f>+IF(FINANCIACION[[#This Row],[$ CAPITAL]]&gt;0,FINANCIACION[[#This Row],[$ CAPITAL]])</f>
        <v>0</v>
      </c>
      <c r="J951" s="33">
        <f>+IF(FINANCIACION[[#This Row],[$ CAPITAL]]&gt;=0,FINANCIACION[[#This Row],[$ CAPITAL]]+FINANCIACION[[#This Row],[$ INTERESES]],0)</f>
        <v>0</v>
      </c>
    </row>
    <row r="952" spans="1:10" ht="24" hidden="1" customHeight="1" x14ac:dyDescent="0.3">
      <c r="A952" s="142">
        <v>44624</v>
      </c>
      <c r="B952" s="50" t="s">
        <v>839</v>
      </c>
      <c r="C952" s="5">
        <v>1744958</v>
      </c>
      <c r="D952" s="5">
        <v>206988</v>
      </c>
      <c r="E952" s="5">
        <f>+IF(FINANCIACION[[#This Row],[$ CAPITAL]]&gt;=0,FINANCIACION[[#This Row],[$ CAPITAL]]+FINANCIACION[[#This Row],[$ INTERESES]],"")</f>
        <v>1951946</v>
      </c>
      <c r="F952" s="5">
        <f>+SUMIFS(FINANCIACION[$ CAPITAL],FINANCIACION[Fecha],"&lt;="&amp;FINANCIACION[[#This Row],[Fecha]],FINANCIACION[PRESTAMO],FINANCIACION[[#This Row],[PRESTAMO]])</f>
        <v>-19194548</v>
      </c>
      <c r="G952" s="53"/>
      <c r="H952" s="53"/>
      <c r="I952" s="5">
        <f>+IF(FINANCIACION[[#This Row],[$ CAPITAL]]&gt;0,FINANCIACION[[#This Row],[$ CAPITAL]])</f>
        <v>1744958</v>
      </c>
      <c r="J952" s="33">
        <f>+IF(FINANCIACION[[#This Row],[$ CAPITAL]]&gt;=0,FINANCIACION[[#This Row],[$ CAPITAL]]+FINANCIACION[[#This Row],[$ INTERESES]],0)</f>
        <v>1951946</v>
      </c>
    </row>
    <row r="953" spans="1:10" ht="24" hidden="1" customHeight="1" x14ac:dyDescent="0.3">
      <c r="A953" s="142">
        <v>44624</v>
      </c>
      <c r="B953" s="50" t="s">
        <v>191</v>
      </c>
      <c r="C953" s="5">
        <v>3431126</v>
      </c>
      <c r="D953" s="5">
        <v>1152007.4500000002</v>
      </c>
      <c r="E953" s="5">
        <f>+IF(FINANCIACION[[#This Row],[$ CAPITAL]]&gt;=0,FINANCIACION[[#This Row],[$ CAPITAL]]+FINANCIACION[[#This Row],[$ INTERESES]],"")</f>
        <v>4583133.45</v>
      </c>
      <c r="F953" s="5">
        <f>+SUMIFS(FINANCIACION[$ CAPITAL],FINANCIACION[Fecha],"&lt;="&amp;FINANCIACION[[#This Row],[Fecha]],FINANCIACION[PRESTAMO],FINANCIACION[[#This Row],[PRESTAMO]])</f>
        <v>0</v>
      </c>
      <c r="G953" s="53"/>
      <c r="H953" s="53"/>
      <c r="I953" s="5">
        <f>+IF(FINANCIACION[[#This Row],[$ CAPITAL]]&gt;0,FINANCIACION[[#This Row],[$ CAPITAL]])</f>
        <v>3431126</v>
      </c>
      <c r="J953" s="33">
        <f>+IF(FINANCIACION[[#This Row],[$ CAPITAL]]&gt;=0,FINANCIACION[[#This Row],[$ CAPITAL]]+FINANCIACION[[#This Row],[$ INTERESES]],0)</f>
        <v>4583133.45</v>
      </c>
    </row>
    <row r="954" spans="1:10" ht="24" hidden="1" customHeight="1" x14ac:dyDescent="0.3">
      <c r="A954" s="142">
        <v>44627</v>
      </c>
      <c r="B954" s="50" t="s">
        <v>189</v>
      </c>
      <c r="C954" s="5"/>
      <c r="D954" s="5">
        <v>336802</v>
      </c>
      <c r="E954" s="5">
        <f>+IF(FINANCIACION[[#This Row],[$ CAPITAL]]&gt;=0,FINANCIACION[[#This Row],[$ CAPITAL]]+FINANCIACION[[#This Row],[$ INTERESES]],"")</f>
        <v>336802</v>
      </c>
      <c r="F954" s="5">
        <f>+SUMIFS(FINANCIACION[$ CAPITAL],FINANCIACION[Fecha],"&lt;="&amp;FINANCIACION[[#This Row],[Fecha]],FINANCIACION[PRESTAMO],FINANCIACION[[#This Row],[PRESTAMO]])</f>
        <v>0</v>
      </c>
      <c r="G954" s="53"/>
      <c r="H954" s="53"/>
      <c r="I954" s="5" t="b">
        <f>+IF(FINANCIACION[[#This Row],[$ CAPITAL]]&gt;0,FINANCIACION[[#This Row],[$ CAPITAL]])</f>
        <v>0</v>
      </c>
      <c r="J954" s="33">
        <f>+IF(FINANCIACION[[#This Row],[$ CAPITAL]]&gt;=0,FINANCIACION[[#This Row],[$ CAPITAL]]+FINANCIACION[[#This Row],[$ INTERESES]],0)</f>
        <v>336802</v>
      </c>
    </row>
    <row r="955" spans="1:10" ht="24" hidden="1" customHeight="1" x14ac:dyDescent="0.3">
      <c r="A955" s="142">
        <v>44629</v>
      </c>
      <c r="B955" s="50" t="s">
        <v>830</v>
      </c>
      <c r="C955" s="5"/>
      <c r="D955" s="5">
        <v>130000</v>
      </c>
      <c r="E955" s="5">
        <f>+IF(FINANCIACION[[#This Row],[$ CAPITAL]]&gt;=0,FINANCIACION[[#This Row],[$ CAPITAL]]+FINANCIACION[[#This Row],[$ INTERESES]],"")</f>
        <v>130000</v>
      </c>
      <c r="F955" s="5">
        <f>+SUMIFS(FINANCIACION[$ CAPITAL],FINANCIACION[Fecha],"&lt;="&amp;FINANCIACION[[#This Row],[Fecha]],FINANCIACION[PRESTAMO],FINANCIACION[[#This Row],[PRESTAMO]])</f>
        <v>-13000000</v>
      </c>
      <c r="G955" s="53"/>
      <c r="H955" s="53"/>
      <c r="I955" s="5" t="b">
        <f>+IF(FINANCIACION[[#This Row],[$ CAPITAL]]&gt;0,FINANCIACION[[#This Row],[$ CAPITAL]])</f>
        <v>0</v>
      </c>
      <c r="J955" s="33">
        <f>+IF(FINANCIACION[[#This Row],[$ CAPITAL]]&gt;=0,FINANCIACION[[#This Row],[$ CAPITAL]]+FINANCIACION[[#This Row],[$ INTERESES]],0)</f>
        <v>130000</v>
      </c>
    </row>
    <row r="956" spans="1:10" ht="24" hidden="1" customHeight="1" x14ac:dyDescent="0.3">
      <c r="A956" s="142">
        <v>44629</v>
      </c>
      <c r="B956" s="50" t="s">
        <v>834</v>
      </c>
      <c r="C956" s="5"/>
      <c r="D956" s="5">
        <v>400000</v>
      </c>
      <c r="E956" s="5">
        <f>+IF(FINANCIACION[[#This Row],[$ CAPITAL]]&gt;=0,FINANCIACION[[#This Row],[$ CAPITAL]]+FINANCIACION[[#This Row],[$ INTERESES]],"")</f>
        <v>400000</v>
      </c>
      <c r="F956" s="5">
        <f>+SUMIFS(FINANCIACION[$ CAPITAL],FINANCIACION[Fecha],"&lt;="&amp;FINANCIACION[[#This Row],[Fecha]],FINANCIACION[PRESTAMO],FINANCIACION[[#This Row],[PRESTAMO]])</f>
        <v>-40000000</v>
      </c>
      <c r="G956" s="53"/>
      <c r="H956" s="53"/>
      <c r="I956" s="5" t="b">
        <f>+IF(FINANCIACION[[#This Row],[$ CAPITAL]]&gt;0,FINANCIACION[[#This Row],[$ CAPITAL]])</f>
        <v>0</v>
      </c>
      <c r="J956" s="33">
        <f>+IF(FINANCIACION[[#This Row],[$ CAPITAL]]&gt;=0,FINANCIACION[[#This Row],[$ CAPITAL]]+FINANCIACION[[#This Row],[$ INTERESES]],0)</f>
        <v>400000</v>
      </c>
    </row>
    <row r="957" spans="1:10" ht="24" hidden="1" customHeight="1" x14ac:dyDescent="0.3">
      <c r="A957" s="142">
        <v>44629</v>
      </c>
      <c r="B957" s="50" t="s">
        <v>823</v>
      </c>
      <c r="C957" s="5">
        <v>780075.30759878037</v>
      </c>
      <c r="D957" s="5">
        <v>519924.69240121968</v>
      </c>
      <c r="E957" s="5">
        <f>+IF(FINANCIACION[[#This Row],[$ CAPITAL]]&gt;=0,FINANCIACION[[#This Row],[$ CAPITAL]]+FINANCIACION[[#This Row],[$ INTERESES]],"")</f>
        <v>1300000</v>
      </c>
      <c r="F957" s="5">
        <f>+SUMIFS(FINANCIACION[$ CAPITAL],FINANCIACION[Fecha],"&lt;="&amp;FINANCIACION[[#This Row],[Fecha]],FINANCIACION[PRESTAMO],FINANCIACION[[#This Row],[PRESTAMO]])</f>
        <v>-51212393.932523191</v>
      </c>
      <c r="G957" s="53"/>
      <c r="H957" s="53"/>
      <c r="I957" s="5">
        <f>+IF(FINANCIACION[[#This Row],[$ CAPITAL]]&gt;0,FINANCIACION[[#This Row],[$ CAPITAL]])</f>
        <v>780075.30759878037</v>
      </c>
      <c r="J957" s="33">
        <f>+IF(FINANCIACION[[#This Row],[$ CAPITAL]]&gt;=0,FINANCIACION[[#This Row],[$ CAPITAL]]+FINANCIACION[[#This Row],[$ INTERESES]],0)</f>
        <v>1300000</v>
      </c>
    </row>
    <row r="958" spans="1:10" ht="24" hidden="1" customHeight="1" x14ac:dyDescent="0.3">
      <c r="A958" s="142">
        <v>44629</v>
      </c>
      <c r="B958" s="50" t="s">
        <v>820</v>
      </c>
      <c r="C958" s="5">
        <v>506154.13844707143</v>
      </c>
      <c r="D958" s="5">
        <v>693845.86155292857</v>
      </c>
      <c r="E958" s="5">
        <f>+IF(FINANCIACION[[#This Row],[$ CAPITAL]]&gt;=0,FINANCIACION[[#This Row],[$ CAPITAL]]+FINANCIACION[[#This Row],[$ INTERESES]],"")</f>
        <v>1200000</v>
      </c>
      <c r="F958" s="5">
        <f>+SUMIFS(FINANCIACION[$ CAPITAL],FINANCIACION[Fecha],"&lt;="&amp;FINANCIACION[[#This Row],[Fecha]],FINANCIACION[PRESTAMO],FINANCIACION[[#This Row],[PRESTAMO]])</f>
        <v>-69049119.876845777</v>
      </c>
      <c r="G958" s="53"/>
      <c r="H958" s="53"/>
      <c r="I958" s="5">
        <f>+IF(FINANCIACION[[#This Row],[$ CAPITAL]]&gt;0,FINANCIACION[[#This Row],[$ CAPITAL]])</f>
        <v>506154.13844707143</v>
      </c>
      <c r="J958" s="33">
        <f>+IF(FINANCIACION[[#This Row],[$ CAPITAL]]&gt;=0,FINANCIACION[[#This Row],[$ CAPITAL]]+FINANCIACION[[#This Row],[$ INTERESES]],0)</f>
        <v>1200000</v>
      </c>
    </row>
    <row r="959" spans="1:10" ht="24" hidden="1" customHeight="1" x14ac:dyDescent="0.3">
      <c r="A959" s="142">
        <v>44629</v>
      </c>
      <c r="B959" s="50" t="s">
        <v>832</v>
      </c>
      <c r="C959" s="5"/>
      <c r="D959" s="5">
        <v>120000</v>
      </c>
      <c r="E959" s="5">
        <f>+IF(FINANCIACION[[#This Row],[$ CAPITAL]]&gt;=0,FINANCIACION[[#This Row],[$ CAPITAL]]+FINANCIACION[[#This Row],[$ INTERESES]],"")</f>
        <v>120000</v>
      </c>
      <c r="F959" s="5">
        <f>+SUMIFS(FINANCIACION[$ CAPITAL],FINANCIACION[Fecha],"&lt;="&amp;FINANCIACION[[#This Row],[Fecha]],FINANCIACION[PRESTAMO],FINANCIACION[[#This Row],[PRESTAMO]])</f>
        <v>-12000000</v>
      </c>
      <c r="G959" s="53"/>
      <c r="H959" s="53"/>
      <c r="I959" s="5" t="b">
        <f>+IF(FINANCIACION[[#This Row],[$ CAPITAL]]&gt;0,FINANCIACION[[#This Row],[$ CAPITAL]])</f>
        <v>0</v>
      </c>
      <c r="J959" s="33">
        <f>+IF(FINANCIACION[[#This Row],[$ CAPITAL]]&gt;=0,FINANCIACION[[#This Row],[$ CAPITAL]]+FINANCIACION[[#This Row],[$ INTERESES]],0)</f>
        <v>120000</v>
      </c>
    </row>
    <row r="960" spans="1:10" ht="24" hidden="1" customHeight="1" x14ac:dyDescent="0.3">
      <c r="A960" s="142">
        <v>44630</v>
      </c>
      <c r="B960" s="50" t="s">
        <v>819</v>
      </c>
      <c r="C960" s="5">
        <v>2024727.6737406622</v>
      </c>
      <c r="D960" s="5">
        <v>652650.32625933795</v>
      </c>
      <c r="E960" s="5">
        <f>+IF(FINANCIACION[[#This Row],[$ CAPITAL]]&gt;=0,FINANCIACION[[#This Row],[$ CAPITAL]]+FINANCIACION[[#This Row],[$ INTERESES]],"")</f>
        <v>2677378</v>
      </c>
      <c r="F960" s="5">
        <f>+SUMIFS(FINANCIACION[$ CAPITAL],FINANCIACION[Fecha],"&lt;="&amp;FINANCIACION[[#This Row],[Fecha]],FINANCIACION[PRESTAMO],FINANCIACION[[#This Row],[PRESTAMO]])</f>
        <v>-63240304.952193126</v>
      </c>
      <c r="G960" s="53"/>
      <c r="H960" s="53"/>
      <c r="I960" s="5">
        <f>+IF(FINANCIACION[[#This Row],[$ CAPITAL]]&gt;0,FINANCIACION[[#This Row],[$ CAPITAL]])</f>
        <v>2024727.6737406622</v>
      </c>
      <c r="J960" s="33">
        <f>+IF(FINANCIACION[[#This Row],[$ CAPITAL]]&gt;=0,FINANCIACION[[#This Row],[$ CAPITAL]]+FINANCIACION[[#This Row],[$ INTERESES]],0)</f>
        <v>2677378</v>
      </c>
    </row>
    <row r="961" spans="1:10" ht="24" hidden="1" customHeight="1" x14ac:dyDescent="0.3">
      <c r="A961" s="142">
        <v>44634</v>
      </c>
      <c r="B961" s="50" t="s">
        <v>194</v>
      </c>
      <c r="C961" s="5">
        <v>1944444</v>
      </c>
      <c r="D961" s="5">
        <v>244294.07</v>
      </c>
      <c r="E961" s="5">
        <f>+IF(FINANCIACION[[#This Row],[$ CAPITAL]]&gt;=0,FINANCIACION[[#This Row],[$ CAPITAL]]+FINANCIACION[[#This Row],[$ INTERESES]],"")</f>
        <v>2188738.0699999998</v>
      </c>
      <c r="F961" s="5">
        <f>+SUMIFS(FINANCIACION[$ CAPITAL],FINANCIACION[Fecha],"&lt;="&amp;FINANCIACION[[#This Row],[Fecha]],FINANCIACION[PRESTAMO],FINANCIACION[[#This Row],[PRESTAMO]])</f>
        <v>-27222224</v>
      </c>
      <c r="G961" s="53"/>
      <c r="H961" s="53"/>
      <c r="I961" s="5">
        <f>+IF(FINANCIACION[[#This Row],[$ CAPITAL]]&gt;0,FINANCIACION[[#This Row],[$ CAPITAL]])</f>
        <v>1944444</v>
      </c>
      <c r="J961" s="33">
        <f>+IF(FINANCIACION[[#This Row],[$ CAPITAL]]&gt;=0,FINANCIACION[[#This Row],[$ CAPITAL]]+FINANCIACION[[#This Row],[$ INTERESES]],0)</f>
        <v>2188738.0699999998</v>
      </c>
    </row>
    <row r="962" spans="1:10" ht="24" hidden="1" customHeight="1" x14ac:dyDescent="0.3">
      <c r="A962" s="142">
        <v>44637</v>
      </c>
      <c r="B962" s="50" t="s">
        <v>189</v>
      </c>
      <c r="C962" s="5"/>
      <c r="D962" s="5">
        <v>259156</v>
      </c>
      <c r="E962" s="5">
        <f>+IF(FINANCIACION[[#This Row],[$ CAPITAL]]&gt;=0,FINANCIACION[[#This Row],[$ CAPITAL]]+FINANCIACION[[#This Row],[$ INTERESES]],"")</f>
        <v>259156</v>
      </c>
      <c r="F962" s="5">
        <f>+SUMIFS(FINANCIACION[$ CAPITAL],FINANCIACION[Fecha],"&lt;="&amp;FINANCIACION[[#This Row],[Fecha]],FINANCIACION[PRESTAMO],FINANCIACION[[#This Row],[PRESTAMO]])</f>
        <v>0</v>
      </c>
      <c r="G962" s="53"/>
      <c r="H962" s="53"/>
      <c r="I962" s="5" t="b">
        <f>+IF(FINANCIACION[[#This Row],[$ CAPITAL]]&gt;0,FINANCIACION[[#This Row],[$ CAPITAL]])</f>
        <v>0</v>
      </c>
      <c r="J962" s="33">
        <f>+IF(FINANCIACION[[#This Row],[$ CAPITAL]]&gt;=0,FINANCIACION[[#This Row],[$ CAPITAL]]+FINANCIACION[[#This Row],[$ INTERESES]],0)</f>
        <v>259156</v>
      </c>
    </row>
    <row r="963" spans="1:10" ht="24" hidden="1" customHeight="1" x14ac:dyDescent="0.3">
      <c r="A963" s="142">
        <v>44638</v>
      </c>
      <c r="B963" s="50" t="s">
        <v>833</v>
      </c>
      <c r="C963" s="5">
        <v>1195055.379999999</v>
      </c>
      <c r="D963" s="5">
        <v>17944.620000001043</v>
      </c>
      <c r="E963" s="5">
        <f>+IF(FINANCIACION[[#This Row],[$ CAPITAL]]&gt;=0,FINANCIACION[[#This Row],[$ CAPITAL]]+FINANCIACION[[#This Row],[$ INTERESES]],"")</f>
        <v>1213000</v>
      </c>
      <c r="F963" s="5">
        <f>+SUMIFS(FINANCIACION[$ CAPITAL],FINANCIACION[Fecha],"&lt;="&amp;FINANCIACION[[#This Row],[Fecha]],FINANCIACION[PRESTAMO],FINANCIACION[[#This Row],[PRESTAMO]])</f>
        <v>-15298826.790000001</v>
      </c>
      <c r="G963" s="53"/>
      <c r="H963" s="53"/>
      <c r="I963" s="5">
        <f>+IF(FINANCIACION[[#This Row],[$ CAPITAL]]&gt;0,FINANCIACION[[#This Row],[$ CAPITAL]])</f>
        <v>1195055.379999999</v>
      </c>
      <c r="J963" s="33">
        <f>+IF(FINANCIACION[[#This Row],[$ CAPITAL]]&gt;=0,FINANCIACION[[#This Row],[$ CAPITAL]]+FINANCIACION[[#This Row],[$ INTERESES]],0)</f>
        <v>1213000</v>
      </c>
    </row>
    <row r="964" spans="1:10" ht="24" hidden="1" customHeight="1" x14ac:dyDescent="0.3">
      <c r="A964" s="142">
        <v>44638</v>
      </c>
      <c r="B964" s="50" t="s">
        <v>827</v>
      </c>
      <c r="C964" s="5">
        <v>963947.72999999858</v>
      </c>
      <c r="D964" s="5">
        <v>15052.270000001416</v>
      </c>
      <c r="E964" s="5">
        <f>+IF(FINANCIACION[[#This Row],[$ CAPITAL]]&gt;=0,FINANCIACION[[#This Row],[$ CAPITAL]]+FINANCIACION[[#This Row],[$ INTERESES]],"")</f>
        <v>979000</v>
      </c>
      <c r="F964" s="5">
        <f>+SUMIFS(FINANCIACION[$ CAPITAL],FINANCIACION[Fecha],"&lt;="&amp;FINANCIACION[[#This Row],[Fecha]],FINANCIACION[PRESTAMO],FINANCIACION[[#This Row],[PRESTAMO]])</f>
        <v>-13820901.029999996</v>
      </c>
      <c r="G964" s="53"/>
      <c r="H964" s="53"/>
      <c r="I964" s="5">
        <f>+IF(FINANCIACION[[#This Row],[$ CAPITAL]]&gt;0,FINANCIACION[[#This Row],[$ CAPITAL]])</f>
        <v>963947.72999999858</v>
      </c>
      <c r="J964" s="33">
        <f>+IF(FINANCIACION[[#This Row],[$ CAPITAL]]&gt;=0,FINANCIACION[[#This Row],[$ CAPITAL]]+FINANCIACION[[#This Row],[$ INTERESES]],0)</f>
        <v>979000</v>
      </c>
    </row>
    <row r="965" spans="1:10" ht="24" hidden="1" customHeight="1" x14ac:dyDescent="0.3">
      <c r="A965" s="142">
        <v>44638</v>
      </c>
      <c r="B965" s="50" t="s">
        <v>835</v>
      </c>
      <c r="C965" s="5">
        <v>519036.93999999762</v>
      </c>
      <c r="D965" s="5">
        <v>85963.060000002384</v>
      </c>
      <c r="E965" s="5">
        <f>+IF(FINANCIACION[[#This Row],[$ CAPITAL]]&gt;=0,FINANCIACION[[#This Row],[$ CAPITAL]]+FINANCIACION[[#This Row],[$ INTERESES]],"")</f>
        <v>605000</v>
      </c>
      <c r="F965" s="5">
        <f>+SUMIFS(FINANCIACION[$ CAPITAL],FINANCIACION[Fecha],"&lt;="&amp;FINANCIACION[[#This Row],[Fecha]],FINANCIACION[PRESTAMO],FINANCIACION[[#This Row],[PRESTAMO]])</f>
        <v>-81311593.769999996</v>
      </c>
      <c r="G965" s="53"/>
      <c r="H965" s="53"/>
      <c r="I965" s="5">
        <f>+IF(FINANCIACION[[#This Row],[$ CAPITAL]]&gt;0,FINANCIACION[[#This Row],[$ CAPITAL]])</f>
        <v>519036.93999999762</v>
      </c>
      <c r="J965" s="33">
        <f>+IF(FINANCIACION[[#This Row],[$ CAPITAL]]&gt;=0,FINANCIACION[[#This Row],[$ CAPITAL]]+FINANCIACION[[#This Row],[$ INTERESES]],0)</f>
        <v>605000</v>
      </c>
    </row>
    <row r="966" spans="1:10" ht="24" hidden="1" customHeight="1" x14ac:dyDescent="0.3">
      <c r="A966" s="142">
        <v>44638</v>
      </c>
      <c r="B966" s="50" t="s">
        <v>829</v>
      </c>
      <c r="C966" s="5">
        <v>1016204.9299999997</v>
      </c>
      <c r="D966" s="5">
        <v>16795.070000000298</v>
      </c>
      <c r="E966" s="5">
        <f>+IF(FINANCIACION[[#This Row],[$ CAPITAL]]&gt;=0,FINANCIACION[[#This Row],[$ CAPITAL]]+FINANCIACION[[#This Row],[$ INTERESES]],"")</f>
        <v>1033000</v>
      </c>
      <c r="F966" s="5">
        <f>+SUMIFS(FINANCIACION[$ CAPITAL],FINANCIACION[Fecha],"&lt;="&amp;FINANCIACION[[#This Row],[Fecha]],FINANCIACION[PRESTAMO],FINANCIACION[[#This Row],[PRESTAMO]])</f>
        <v>-15405438.159999996</v>
      </c>
      <c r="G966" s="53"/>
      <c r="H966" s="53"/>
      <c r="I966" s="5">
        <f>+IF(FINANCIACION[[#This Row],[$ CAPITAL]]&gt;0,FINANCIACION[[#This Row],[$ CAPITAL]])</f>
        <v>1016204.9299999997</v>
      </c>
      <c r="J966" s="33">
        <f>+IF(FINANCIACION[[#This Row],[$ CAPITAL]]&gt;=0,FINANCIACION[[#This Row],[$ CAPITAL]]+FINANCIACION[[#This Row],[$ INTERESES]],0)</f>
        <v>1033000</v>
      </c>
    </row>
    <row r="967" spans="1:10" ht="24" hidden="1" customHeight="1" x14ac:dyDescent="0.3">
      <c r="A967" s="142">
        <v>44638</v>
      </c>
      <c r="B967" s="50" t="s">
        <v>825</v>
      </c>
      <c r="C967" s="5">
        <v>2430087.4699999988</v>
      </c>
      <c r="D967" s="5">
        <v>38912.530000001192</v>
      </c>
      <c r="E967" s="5">
        <f>+IF(FINANCIACION[[#This Row],[$ CAPITAL]]&gt;=0,FINANCIACION[[#This Row],[$ CAPITAL]]+FINANCIACION[[#This Row],[$ INTERESES]],"")</f>
        <v>2469000</v>
      </c>
      <c r="F967" s="5">
        <f>+SUMIFS(FINANCIACION[$ CAPITAL],FINANCIACION[Fecha],"&lt;="&amp;FINANCIACION[[#This Row],[Fecha]],FINANCIACION[PRESTAMO],FINANCIACION[[#This Row],[PRESTAMO]])</f>
        <v>-33156469.100000001</v>
      </c>
      <c r="G967" s="53"/>
      <c r="H967" s="53"/>
      <c r="I967" s="5">
        <f>+IF(FINANCIACION[[#This Row],[$ CAPITAL]]&gt;0,FINANCIACION[[#This Row],[$ CAPITAL]])</f>
        <v>2430087.4699999988</v>
      </c>
      <c r="J967" s="33">
        <f>+IF(FINANCIACION[[#This Row],[$ CAPITAL]]&gt;=0,FINANCIACION[[#This Row],[$ CAPITAL]]+FINANCIACION[[#This Row],[$ INTERESES]],0)</f>
        <v>2469000</v>
      </c>
    </row>
    <row r="968" spans="1:10" ht="24" hidden="1" customHeight="1" x14ac:dyDescent="0.3">
      <c r="A968" s="142">
        <v>44638</v>
      </c>
      <c r="B968" s="50" t="s">
        <v>826</v>
      </c>
      <c r="C968" s="5">
        <v>3559559.6099999994</v>
      </c>
      <c r="D968" s="5">
        <v>61440.390000000596</v>
      </c>
      <c r="E968" s="5">
        <f>+IF(FINANCIACION[[#This Row],[$ CAPITAL]]&gt;=0,FINANCIACION[[#This Row],[$ CAPITAL]]+FINANCIACION[[#This Row],[$ INTERESES]],"")</f>
        <v>3621000</v>
      </c>
      <c r="F968" s="5">
        <f>+SUMIFS(FINANCIACION[$ CAPITAL],FINANCIACION[Fecha],"&lt;="&amp;FINANCIACION[[#This Row],[Fecha]],FINANCIACION[PRESTAMO],FINANCIACION[[#This Row],[PRESTAMO]])</f>
        <v>-48111936.519999996</v>
      </c>
      <c r="G968" s="53"/>
      <c r="H968" s="53"/>
      <c r="I968" s="5">
        <f>+IF(FINANCIACION[[#This Row],[$ CAPITAL]]&gt;0,FINANCIACION[[#This Row],[$ CAPITAL]])</f>
        <v>3559559.6099999994</v>
      </c>
      <c r="J968" s="33">
        <f>+IF(FINANCIACION[[#This Row],[$ CAPITAL]]&gt;=0,FINANCIACION[[#This Row],[$ CAPITAL]]+FINANCIACION[[#This Row],[$ INTERESES]],0)</f>
        <v>3621000</v>
      </c>
    </row>
    <row r="969" spans="1:10" ht="24" hidden="1" customHeight="1" x14ac:dyDescent="0.3">
      <c r="A969" s="142">
        <v>44638</v>
      </c>
      <c r="B969" s="50" t="s">
        <v>821</v>
      </c>
      <c r="C969" s="5">
        <v>5497957</v>
      </c>
      <c r="D969" s="5">
        <v>252367</v>
      </c>
      <c r="E969" s="5">
        <f>+IF(FINANCIACION[[#This Row],[$ CAPITAL]]&gt;=0,FINANCIACION[[#This Row],[$ CAPITAL]]+FINANCIACION[[#This Row],[$ INTERESES]],"")</f>
        <v>5750324</v>
      </c>
      <c r="F969" s="5">
        <f>+SUMIFS(FINANCIACION[$ CAPITAL],FINANCIACION[Fecha],"&lt;="&amp;FINANCIACION[[#This Row],[Fecha]],FINANCIACION[PRESTAMO],FINANCIACION[[#This Row],[PRESTAMO]])</f>
        <v>-377110348</v>
      </c>
      <c r="G969" s="53"/>
      <c r="H969" s="53"/>
      <c r="I969" s="5">
        <f>+IF(FINANCIACION[[#This Row],[$ CAPITAL]]&gt;0,FINANCIACION[[#This Row],[$ CAPITAL]])</f>
        <v>5497957</v>
      </c>
      <c r="J969" s="33">
        <f>+IF(FINANCIACION[[#This Row],[$ CAPITAL]]&gt;=0,FINANCIACION[[#This Row],[$ CAPITAL]]+FINANCIACION[[#This Row],[$ INTERESES]],0)</f>
        <v>5750324</v>
      </c>
    </row>
    <row r="970" spans="1:10" ht="24" hidden="1" customHeight="1" x14ac:dyDescent="0.3">
      <c r="A970" s="142">
        <v>44638</v>
      </c>
      <c r="B970" s="50" t="s">
        <v>822</v>
      </c>
      <c r="C970" s="5">
        <v>1445291.5799999982</v>
      </c>
      <c r="D970" s="5">
        <v>18708.420000001788</v>
      </c>
      <c r="E970" s="5">
        <f>+IF(FINANCIACION[[#This Row],[$ CAPITAL]]&gt;=0,FINANCIACION[[#This Row],[$ CAPITAL]]+FINANCIACION[[#This Row],[$ INTERESES]],"")</f>
        <v>1464000</v>
      </c>
      <c r="F970" s="5">
        <f>+SUMIFS(FINANCIACION[$ CAPITAL],FINANCIACION[Fecha],"&lt;="&amp;FINANCIACION[[#This Row],[Fecha]],FINANCIACION[PRESTAMO],FINANCIACION[[#This Row],[PRESTAMO]])</f>
        <v>-17173188.560000002</v>
      </c>
      <c r="G970" s="53"/>
      <c r="H970" s="53"/>
      <c r="I970" s="5">
        <f>+IF(FINANCIACION[[#This Row],[$ CAPITAL]]&gt;0,FINANCIACION[[#This Row],[$ CAPITAL]])</f>
        <v>1445291.5799999982</v>
      </c>
      <c r="J970" s="33">
        <f>+IF(FINANCIACION[[#This Row],[$ CAPITAL]]&gt;=0,FINANCIACION[[#This Row],[$ CAPITAL]]+FINANCIACION[[#This Row],[$ INTERESES]],0)</f>
        <v>1464000</v>
      </c>
    </row>
    <row r="971" spans="1:10" ht="24" hidden="1" customHeight="1" x14ac:dyDescent="0.3">
      <c r="A971" s="142">
        <v>44643</v>
      </c>
      <c r="B971" s="50" t="s">
        <v>837</v>
      </c>
      <c r="C971" s="5">
        <v>-1778500</v>
      </c>
      <c r="D971" s="5"/>
      <c r="E971" s="5" t="str">
        <f>+IF(FINANCIACION[[#This Row],[$ CAPITAL]]&gt;=0,FINANCIACION[[#This Row],[$ CAPITAL]]+FINANCIACION[[#This Row],[$ INTERESES]],"")</f>
        <v/>
      </c>
      <c r="F971" s="5">
        <f>+SUMIFS(FINANCIACION[$ CAPITAL],FINANCIACION[Fecha],"&lt;="&amp;FINANCIACION[[#This Row],[Fecha]],FINANCIACION[PRESTAMO],FINANCIACION[[#This Row],[PRESTAMO]])</f>
        <v>-35295532.5</v>
      </c>
      <c r="G971" s="53"/>
      <c r="H971" s="53"/>
      <c r="I971" s="5" t="b">
        <f>+IF(FINANCIACION[[#This Row],[$ CAPITAL]]&gt;0,FINANCIACION[[#This Row],[$ CAPITAL]])</f>
        <v>0</v>
      </c>
      <c r="J971" s="33">
        <f>+IF(FINANCIACION[[#This Row],[$ CAPITAL]]&gt;=0,FINANCIACION[[#This Row],[$ CAPITAL]]+FINANCIACION[[#This Row],[$ INTERESES]],0)</f>
        <v>0</v>
      </c>
    </row>
    <row r="972" spans="1:10" ht="24" hidden="1" customHeight="1" x14ac:dyDescent="0.3">
      <c r="A972" s="142">
        <v>44643</v>
      </c>
      <c r="B972" s="50" t="s">
        <v>189</v>
      </c>
      <c r="C972" s="5"/>
      <c r="D972" s="5">
        <v>228952</v>
      </c>
      <c r="E972" s="5">
        <f>+IF(FINANCIACION[[#This Row],[$ CAPITAL]]&gt;=0,FINANCIACION[[#This Row],[$ CAPITAL]]+FINANCIACION[[#This Row],[$ INTERESES]],"")</f>
        <v>228952</v>
      </c>
      <c r="F972" s="5">
        <f>+SUMIFS(FINANCIACION[$ CAPITAL],FINANCIACION[Fecha],"&lt;="&amp;FINANCIACION[[#This Row],[Fecha]],FINANCIACION[PRESTAMO],FINANCIACION[[#This Row],[PRESTAMO]])</f>
        <v>0</v>
      </c>
      <c r="G972" s="53"/>
      <c r="H972" s="53"/>
      <c r="I972" s="5" t="b">
        <f>+IF(FINANCIACION[[#This Row],[$ CAPITAL]]&gt;0,FINANCIACION[[#This Row],[$ CAPITAL]])</f>
        <v>0</v>
      </c>
      <c r="J972" s="33">
        <f>+IF(FINANCIACION[[#This Row],[$ CAPITAL]]&gt;=0,FINANCIACION[[#This Row],[$ CAPITAL]]+FINANCIACION[[#This Row],[$ INTERESES]],0)</f>
        <v>228952</v>
      </c>
    </row>
    <row r="973" spans="1:10" ht="24" hidden="1" customHeight="1" x14ac:dyDescent="0.3">
      <c r="A973" s="142">
        <v>44643</v>
      </c>
      <c r="B973" s="50" t="s">
        <v>282</v>
      </c>
      <c r="C973" s="5">
        <v>-1346606</v>
      </c>
      <c r="D973" s="5"/>
      <c r="E973" s="5" t="str">
        <f>+IF(FINANCIACION[[#This Row],[$ CAPITAL]]&gt;=0,FINANCIACION[[#This Row],[$ CAPITAL]]+FINANCIACION[[#This Row],[$ INTERESES]],"")</f>
        <v/>
      </c>
      <c r="F973" s="5">
        <f>+SUMIFS(FINANCIACION[$ CAPITAL],FINANCIACION[Fecha],"&lt;="&amp;FINANCIACION[[#This Row],[Fecha]],FINANCIACION[PRESTAMO],FINANCIACION[[#This Row],[PRESTAMO]])</f>
        <v>0</v>
      </c>
      <c r="G973" s="53" t="s">
        <v>225</v>
      </c>
      <c r="H973" s="53"/>
      <c r="I973" s="5" t="b">
        <f>+IF(FINANCIACION[[#This Row],[$ CAPITAL]]&gt;0,FINANCIACION[[#This Row],[$ CAPITAL]])</f>
        <v>0</v>
      </c>
      <c r="J973" s="33">
        <f>+IF(FINANCIACION[[#This Row],[$ CAPITAL]]&gt;=0,FINANCIACION[[#This Row],[$ CAPITAL]]+FINANCIACION[[#This Row],[$ INTERESES]],0)</f>
        <v>0</v>
      </c>
    </row>
    <row r="974" spans="1:10" ht="24" hidden="1" customHeight="1" x14ac:dyDescent="0.3">
      <c r="A974" s="142">
        <v>44643</v>
      </c>
      <c r="B974" s="50" t="s">
        <v>282</v>
      </c>
      <c r="C974" s="5">
        <v>59783933</v>
      </c>
      <c r="D974" s="5"/>
      <c r="E974" s="5">
        <f>+IF(FINANCIACION[[#This Row],[$ CAPITAL]]&gt;=0,FINANCIACION[[#This Row],[$ CAPITAL]]+FINANCIACION[[#This Row],[$ INTERESES]],"")</f>
        <v>59783933</v>
      </c>
      <c r="F974" s="5">
        <f>+SUMIFS(FINANCIACION[$ CAPITAL],FINANCIACION[Fecha],"&lt;="&amp;FINANCIACION[[#This Row],[Fecha]],FINANCIACION[PRESTAMO],FINANCIACION[[#This Row],[PRESTAMO]])</f>
        <v>0</v>
      </c>
      <c r="G974" s="53"/>
      <c r="H974" s="53"/>
      <c r="I974" s="5">
        <f>+IF(FINANCIACION[[#This Row],[$ CAPITAL]]&gt;0,FINANCIACION[[#This Row],[$ CAPITAL]])</f>
        <v>59783933</v>
      </c>
      <c r="J974" s="33">
        <f>+IF(FINANCIACION[[#This Row],[$ CAPITAL]]&gt;=0,FINANCIACION[[#This Row],[$ CAPITAL]]+FINANCIACION[[#This Row],[$ INTERESES]],0)</f>
        <v>59783933</v>
      </c>
    </row>
    <row r="975" spans="1:10" ht="24" hidden="1" customHeight="1" x14ac:dyDescent="0.3">
      <c r="A975" s="142">
        <v>44643</v>
      </c>
      <c r="B975" s="50" t="s">
        <v>878</v>
      </c>
      <c r="C975" s="5">
        <v>-60000000</v>
      </c>
      <c r="D975" s="5">
        <v>2043040</v>
      </c>
      <c r="E975" s="5" t="str">
        <f>+IF(FINANCIACION[[#This Row],[$ CAPITAL]]&gt;=0,FINANCIACION[[#This Row],[$ CAPITAL]]+FINANCIACION[[#This Row],[$ INTERESES]],"")</f>
        <v/>
      </c>
      <c r="F975" s="5">
        <f>+SUMIFS(FINANCIACION[$ CAPITAL],FINANCIACION[Fecha],"&lt;="&amp;FINANCIACION[[#This Row],[Fecha]],FINANCIACION[PRESTAMO],FINANCIACION[[#This Row],[PRESTAMO]])</f>
        <v>-61469243.359999999</v>
      </c>
      <c r="G975" s="53"/>
      <c r="H975" s="53"/>
      <c r="I975" s="5" t="b">
        <f>+IF(FINANCIACION[[#This Row],[$ CAPITAL]]&gt;0,FINANCIACION[[#This Row],[$ CAPITAL]])</f>
        <v>0</v>
      </c>
      <c r="J975" s="33">
        <f>+IF(FINANCIACION[[#This Row],[$ CAPITAL]]&gt;=0,FINANCIACION[[#This Row],[$ CAPITAL]]+FINANCIACION[[#This Row],[$ INTERESES]],0)</f>
        <v>0</v>
      </c>
    </row>
    <row r="976" spans="1:10" ht="24" hidden="1" customHeight="1" x14ac:dyDescent="0.3">
      <c r="A976" s="142">
        <v>44645</v>
      </c>
      <c r="B976" s="50" t="s">
        <v>837</v>
      </c>
      <c r="C976" s="5">
        <v>-2400000</v>
      </c>
      <c r="D976" s="5"/>
      <c r="E976" s="5" t="str">
        <f>+IF(FINANCIACION[[#This Row],[$ CAPITAL]]&gt;=0,FINANCIACION[[#This Row],[$ CAPITAL]]+FINANCIACION[[#This Row],[$ INTERESES]],"")</f>
        <v/>
      </c>
      <c r="F976" s="5">
        <f>+SUMIFS(FINANCIACION[$ CAPITAL],FINANCIACION[Fecha],"&lt;="&amp;FINANCIACION[[#This Row],[Fecha]],FINANCIACION[PRESTAMO],FINANCIACION[[#This Row],[PRESTAMO]])</f>
        <v>-37695532.5</v>
      </c>
      <c r="G976" s="53" t="s">
        <v>655</v>
      </c>
      <c r="H976" s="53"/>
      <c r="I976" s="5" t="b">
        <f>+IF(FINANCIACION[[#This Row],[$ CAPITAL]]&gt;0,FINANCIACION[[#This Row],[$ CAPITAL]])</f>
        <v>0</v>
      </c>
      <c r="J976" s="33">
        <f>+IF(FINANCIACION[[#This Row],[$ CAPITAL]]&gt;=0,FINANCIACION[[#This Row],[$ CAPITAL]]+FINANCIACION[[#This Row],[$ INTERESES]],0)</f>
        <v>0</v>
      </c>
    </row>
    <row r="977" spans="1:10" ht="24" hidden="1" customHeight="1" x14ac:dyDescent="0.3">
      <c r="A977" s="142">
        <v>44650</v>
      </c>
      <c r="B977" s="50" t="s">
        <v>189</v>
      </c>
      <c r="C977" s="5"/>
      <c r="D977" s="5">
        <v>132448</v>
      </c>
      <c r="E977" s="5">
        <f>+IF(FINANCIACION[[#This Row],[$ CAPITAL]]&gt;=0,FINANCIACION[[#This Row],[$ CAPITAL]]+FINANCIACION[[#This Row],[$ INTERESES]],"")</f>
        <v>132448</v>
      </c>
      <c r="F977" s="5">
        <f>+SUMIFS(FINANCIACION[$ CAPITAL],FINANCIACION[Fecha],"&lt;="&amp;FINANCIACION[[#This Row],[Fecha]],FINANCIACION[PRESTAMO],FINANCIACION[[#This Row],[PRESTAMO]])</f>
        <v>0</v>
      </c>
      <c r="G977" s="53"/>
      <c r="H977" s="53"/>
      <c r="I977" s="5" t="b">
        <f>+IF(FINANCIACION[[#This Row],[$ CAPITAL]]&gt;0,FINANCIACION[[#This Row],[$ CAPITAL]])</f>
        <v>0</v>
      </c>
      <c r="J977" s="33">
        <f>+IF(FINANCIACION[[#This Row],[$ CAPITAL]]&gt;=0,FINANCIACION[[#This Row],[$ CAPITAL]]+FINANCIACION[[#This Row],[$ INTERESES]],0)</f>
        <v>132448</v>
      </c>
    </row>
    <row r="978" spans="1:10" ht="24" hidden="1" customHeight="1" x14ac:dyDescent="0.3">
      <c r="A978" s="142">
        <v>44651</v>
      </c>
      <c r="B978" s="50" t="s">
        <v>837</v>
      </c>
      <c r="C978" s="5">
        <v>34517000</v>
      </c>
      <c r="D978" s="5"/>
      <c r="E978" s="5">
        <f>+IF(FINANCIACION[[#This Row],[$ CAPITAL]]&gt;=0,FINANCIACION[[#This Row],[$ CAPITAL]]+FINANCIACION[[#This Row],[$ INTERESES]],"")</f>
        <v>34517000</v>
      </c>
      <c r="F978" s="5">
        <f>+SUMIFS(FINANCIACION[$ CAPITAL],FINANCIACION[Fecha],"&lt;="&amp;FINANCIACION[[#This Row],[Fecha]],FINANCIACION[PRESTAMO],FINANCIACION[[#This Row],[PRESTAMO]])</f>
        <v>-3178532.5</v>
      </c>
      <c r="G978" s="53"/>
      <c r="H978" s="53"/>
      <c r="I978" s="5">
        <f>+IF(FINANCIACION[[#This Row],[$ CAPITAL]]&gt;0,FINANCIACION[[#This Row],[$ CAPITAL]])</f>
        <v>34517000</v>
      </c>
      <c r="J978" s="33">
        <f>+IF(FINANCIACION[[#This Row],[$ CAPITAL]]&gt;=0,FINANCIACION[[#This Row],[$ CAPITAL]]+FINANCIACION[[#This Row],[$ INTERESES]],0)</f>
        <v>34517000</v>
      </c>
    </row>
    <row r="979" spans="1:10" ht="24" hidden="1" customHeight="1" x14ac:dyDescent="0.3">
      <c r="A979" s="142">
        <v>44651</v>
      </c>
      <c r="B979" s="50" t="s">
        <v>187</v>
      </c>
      <c r="C979" s="5">
        <v>1468400</v>
      </c>
      <c r="D979" s="5">
        <v>424048</v>
      </c>
      <c r="E979" s="5">
        <f>+IF(FINANCIACION[[#This Row],[$ CAPITAL]]&gt;=0,FINANCIACION[[#This Row],[$ CAPITAL]]+FINANCIACION[[#This Row],[$ INTERESES]],"")</f>
        <v>1892448</v>
      </c>
      <c r="F979" s="5">
        <f>+SUMIFS(FINANCIACION[$ CAPITAL],FINANCIACION[Fecha],"&lt;="&amp;FINANCIACION[[#This Row],[Fecha]],FINANCIACION[PRESTAMO],FINANCIACION[[#This Row],[PRESTAMO]])</f>
        <v>-35241600</v>
      </c>
      <c r="G979" s="53"/>
      <c r="H979" s="53"/>
      <c r="I979" s="5">
        <f>+IF(FINANCIACION[[#This Row],[$ CAPITAL]]&gt;0,FINANCIACION[[#This Row],[$ CAPITAL]])</f>
        <v>1468400</v>
      </c>
      <c r="J979" s="33">
        <f>+IF(FINANCIACION[[#This Row],[$ CAPITAL]]&gt;=0,FINANCIACION[[#This Row],[$ CAPITAL]]+FINANCIACION[[#This Row],[$ INTERESES]],0)</f>
        <v>1892448</v>
      </c>
    </row>
    <row r="980" spans="1:10" ht="24" hidden="1" customHeight="1" x14ac:dyDescent="0.3">
      <c r="A980" s="142">
        <v>44651</v>
      </c>
      <c r="B980" s="50" t="s">
        <v>188</v>
      </c>
      <c r="C980" s="5">
        <v>76791</v>
      </c>
      <c r="D980" s="5">
        <v>0</v>
      </c>
      <c r="E980" s="5">
        <f>+IF(FINANCIACION[[#This Row],[$ CAPITAL]]&gt;=0,FINANCIACION[[#This Row],[$ CAPITAL]]+FINANCIACION[[#This Row],[$ INTERESES]],"")</f>
        <v>76791</v>
      </c>
      <c r="F980" s="5">
        <f>+SUMIFS(FINANCIACION[$ CAPITAL],FINANCIACION[Fecha],"&lt;="&amp;FINANCIACION[[#This Row],[Fecha]],FINANCIACION[PRESTAMO],FINANCIACION[[#This Row],[PRESTAMO]])</f>
        <v>-1842984</v>
      </c>
      <c r="G980" s="53"/>
      <c r="H980" s="53"/>
      <c r="I980" s="5">
        <f>+IF(FINANCIACION[[#This Row],[$ CAPITAL]]&gt;0,FINANCIACION[[#This Row],[$ CAPITAL]])</f>
        <v>76791</v>
      </c>
      <c r="J980" s="33">
        <f>+IF(FINANCIACION[[#This Row],[$ CAPITAL]]&gt;=0,FINANCIACION[[#This Row],[$ CAPITAL]]+FINANCIACION[[#This Row],[$ INTERESES]],0)</f>
        <v>76791</v>
      </c>
    </row>
    <row r="981" spans="1:10" ht="24" hidden="1" customHeight="1" x14ac:dyDescent="0.3">
      <c r="A981" s="142">
        <v>44651</v>
      </c>
      <c r="B981" s="50" t="s">
        <v>372</v>
      </c>
      <c r="C981" s="5">
        <v>592703</v>
      </c>
      <c r="D981" s="5"/>
      <c r="E981" s="5">
        <f>+IF(FINANCIACION[[#This Row],[$ CAPITAL]]&gt;=0,FINANCIACION[[#This Row],[$ CAPITAL]]+FINANCIACION[[#This Row],[$ INTERESES]],"")</f>
        <v>592703</v>
      </c>
      <c r="F981" s="5">
        <f>+SUMIFS(FINANCIACION[$ CAPITAL],FINANCIACION[Fecha],"&lt;="&amp;FINANCIACION[[#This Row],[Fecha]],FINANCIACION[PRESTAMO],FINANCIACION[[#This Row],[PRESTAMO]])</f>
        <v>-22522714</v>
      </c>
      <c r="G981" s="53"/>
      <c r="H981" s="53"/>
      <c r="I981" s="5">
        <f>+IF(FINANCIACION[[#This Row],[$ CAPITAL]]&gt;0,FINANCIACION[[#This Row],[$ CAPITAL]])</f>
        <v>592703</v>
      </c>
      <c r="J981" s="33">
        <f>+IF(FINANCIACION[[#This Row],[$ CAPITAL]]&gt;=0,FINANCIACION[[#This Row],[$ CAPITAL]]+FINANCIACION[[#This Row],[$ INTERESES]],0)</f>
        <v>592703</v>
      </c>
    </row>
    <row r="982" spans="1:10" ht="24" hidden="1" customHeight="1" x14ac:dyDescent="0.3">
      <c r="A982" s="142">
        <v>44651</v>
      </c>
      <c r="B982" s="50" t="s">
        <v>486</v>
      </c>
      <c r="C982" s="5">
        <v>1368769</v>
      </c>
      <c r="D982" s="5"/>
      <c r="E982" s="5">
        <f>+IF(FINANCIACION[[#This Row],[$ CAPITAL]]&gt;=0,FINANCIACION[[#This Row],[$ CAPITAL]]+FINANCIACION[[#This Row],[$ INTERESES]],"")</f>
        <v>1368769</v>
      </c>
      <c r="F982" s="5">
        <f>+SUMIFS(FINANCIACION[$ CAPITAL],FINANCIACION[Fecha],"&lt;="&amp;FINANCIACION[[#This Row],[Fecha]],FINANCIACION[PRESTAMO],FINANCIACION[[#This Row],[PRESTAMO]])</f>
        <v>-52013222</v>
      </c>
      <c r="G982" s="53" t="s">
        <v>225</v>
      </c>
      <c r="H982" s="53"/>
      <c r="I982" s="5">
        <f>+IF(FINANCIACION[[#This Row],[$ CAPITAL]]&gt;0,FINANCIACION[[#This Row],[$ CAPITAL]])</f>
        <v>1368769</v>
      </c>
      <c r="J982" s="33">
        <f>+IF(FINANCIACION[[#This Row],[$ CAPITAL]]&gt;=0,FINANCIACION[[#This Row],[$ CAPITAL]]+FINANCIACION[[#This Row],[$ INTERESES]],0)</f>
        <v>1368769</v>
      </c>
    </row>
    <row r="983" spans="1:10" ht="24" hidden="1" customHeight="1" x14ac:dyDescent="0.3">
      <c r="A983" s="142">
        <v>44651</v>
      </c>
      <c r="B983" s="50" t="s">
        <v>611</v>
      </c>
      <c r="C983" s="5">
        <v>1443436</v>
      </c>
      <c r="D983" s="5"/>
      <c r="E983" s="5">
        <f>+IF(FINANCIACION[[#This Row],[$ CAPITAL]]&gt;=0,FINANCIACION[[#This Row],[$ CAPITAL]]+FINANCIACION[[#This Row],[$ INTERESES]],"")</f>
        <v>1443436</v>
      </c>
      <c r="F983" s="5">
        <f>+SUMIFS(FINANCIACION[$ CAPITAL],FINANCIACION[Fecha],"&lt;="&amp;FINANCIACION[[#This Row],[Fecha]],FINANCIACION[PRESTAMO],FINANCIACION[[#This Row],[PRESTAMO]])</f>
        <v>-54850568</v>
      </c>
      <c r="G983" s="53" t="s">
        <v>225</v>
      </c>
      <c r="H983" s="53"/>
      <c r="I983" s="5">
        <f>+IF(FINANCIACION[[#This Row],[$ CAPITAL]]&gt;0,FINANCIACION[[#This Row],[$ CAPITAL]])</f>
        <v>1443436</v>
      </c>
      <c r="J983" s="33">
        <f>+IF(FINANCIACION[[#This Row],[$ CAPITAL]]&gt;=0,FINANCIACION[[#This Row],[$ CAPITAL]]+FINANCIACION[[#This Row],[$ INTERESES]],0)</f>
        <v>1443436</v>
      </c>
    </row>
    <row r="984" spans="1:10" ht="24" hidden="1" customHeight="1" x14ac:dyDescent="0.3">
      <c r="A984" s="142">
        <v>44651</v>
      </c>
      <c r="B984" s="50" t="s">
        <v>195</v>
      </c>
      <c r="C984" s="5">
        <v>2916391</v>
      </c>
      <c r="D984" s="5"/>
      <c r="E984" s="5">
        <f>+IF(FINANCIACION[[#This Row],[$ CAPITAL]]&gt;=0,FINANCIACION[[#This Row],[$ CAPITAL]]+FINANCIACION[[#This Row],[$ INTERESES]],"")</f>
        <v>2916391</v>
      </c>
      <c r="F984" s="5">
        <f>+SUMIFS(FINANCIACION[$ CAPITAL],FINANCIACION[Fecha],"&lt;="&amp;FINANCIACION[[#This Row],[Fecha]],FINANCIACION[PRESTAMO],FINANCIACION[[#This Row],[PRESTAMO]])</f>
        <v>-1310705</v>
      </c>
      <c r="G984" s="53"/>
      <c r="H984" s="53"/>
      <c r="I984" s="5">
        <f>+IF(FINANCIACION[[#This Row],[$ CAPITAL]]&gt;0,FINANCIACION[[#This Row],[$ CAPITAL]])</f>
        <v>2916391</v>
      </c>
      <c r="J984" s="33">
        <f>+IF(FINANCIACION[[#This Row],[$ CAPITAL]]&gt;=0,FINANCIACION[[#This Row],[$ CAPITAL]]+FINANCIACION[[#This Row],[$ INTERESES]],0)</f>
        <v>2916391</v>
      </c>
    </row>
    <row r="985" spans="1:10" ht="24" hidden="1" customHeight="1" x14ac:dyDescent="0.3">
      <c r="A985" s="142">
        <v>44651</v>
      </c>
      <c r="B985" s="50" t="s">
        <v>196</v>
      </c>
      <c r="C985" s="5">
        <v>251900</v>
      </c>
      <c r="D985" s="5"/>
      <c r="E985" s="5">
        <f>+IF(FINANCIACION[[#This Row],[$ CAPITAL]]&gt;=0,FINANCIACION[[#This Row],[$ CAPITAL]]+FINANCIACION[[#This Row],[$ INTERESES]],"")</f>
        <v>251900</v>
      </c>
      <c r="F985" s="5">
        <f>+SUMIFS(FINANCIACION[$ CAPITAL],FINANCIACION[Fecha],"&lt;="&amp;FINANCIACION[[#This Row],[Fecha]],FINANCIACION[PRESTAMO],FINANCIACION[[#This Row],[PRESTAMO]])</f>
        <v>-31357600</v>
      </c>
      <c r="G985" s="53"/>
      <c r="H985" s="53"/>
      <c r="I985" s="5">
        <f>+IF(FINANCIACION[[#This Row],[$ CAPITAL]]&gt;0,FINANCIACION[[#This Row],[$ CAPITAL]])</f>
        <v>251900</v>
      </c>
      <c r="J985" s="33">
        <f>+IF(FINANCIACION[[#This Row],[$ CAPITAL]]&gt;=0,FINANCIACION[[#This Row],[$ CAPITAL]]+FINANCIACION[[#This Row],[$ INTERESES]],0)</f>
        <v>251900</v>
      </c>
    </row>
    <row r="986" spans="1:10" ht="24" hidden="1" customHeight="1" x14ac:dyDescent="0.3">
      <c r="A986" s="142">
        <v>44651</v>
      </c>
      <c r="B986" s="50" t="s">
        <v>197</v>
      </c>
      <c r="C986" s="5">
        <v>-10272336</v>
      </c>
      <c r="D986" s="5"/>
      <c r="E986" s="5" t="str">
        <f>+IF(FINANCIACION[[#This Row],[$ CAPITAL]]&gt;=0,FINANCIACION[[#This Row],[$ CAPITAL]]+FINANCIACION[[#This Row],[$ INTERESES]],"")</f>
        <v/>
      </c>
      <c r="F986" s="5">
        <f>+SUMIFS(FINANCIACION[$ CAPITAL],FINANCIACION[Fecha],"&lt;="&amp;FINANCIACION[[#This Row],[Fecha]],FINANCIACION[PRESTAMO],FINANCIACION[[#This Row],[PRESTAMO]])</f>
        <v>-11043186</v>
      </c>
      <c r="G986" s="53"/>
      <c r="H986" s="53"/>
      <c r="I986" s="5" t="b">
        <f>+IF(FINANCIACION[[#This Row],[$ CAPITAL]]&gt;0,FINANCIACION[[#This Row],[$ CAPITAL]])</f>
        <v>0</v>
      </c>
      <c r="J986" s="33">
        <f>+IF(FINANCIACION[[#This Row],[$ CAPITAL]]&gt;=0,FINANCIACION[[#This Row],[$ CAPITAL]]+FINANCIACION[[#This Row],[$ INTERESES]],0)</f>
        <v>0</v>
      </c>
    </row>
    <row r="987" spans="1:10" ht="24" hidden="1" customHeight="1" x14ac:dyDescent="0.3">
      <c r="A987" s="142">
        <v>44655</v>
      </c>
      <c r="B987" s="50" t="s">
        <v>839</v>
      </c>
      <c r="C987" s="5">
        <v>1744958</v>
      </c>
      <c r="D987" s="5">
        <v>206988</v>
      </c>
      <c r="E987" s="5">
        <f>+IF(FINANCIACION[[#This Row],[$ CAPITAL]]&gt;=0,FINANCIACION[[#This Row],[$ CAPITAL]]+FINANCIACION[[#This Row],[$ INTERESES]],"")</f>
        <v>1951946</v>
      </c>
      <c r="F987" s="5">
        <f>+SUMIFS(FINANCIACION[$ CAPITAL],FINANCIACION[Fecha],"&lt;="&amp;FINANCIACION[[#This Row],[Fecha]],FINANCIACION[PRESTAMO],FINANCIACION[[#This Row],[PRESTAMO]])</f>
        <v>-17449590</v>
      </c>
      <c r="G987" s="53"/>
      <c r="H987" s="53"/>
      <c r="I987" s="5">
        <f>+IF(FINANCIACION[[#This Row],[$ CAPITAL]]&gt;0,FINANCIACION[[#This Row],[$ CAPITAL]])</f>
        <v>1744958</v>
      </c>
      <c r="J987" s="33">
        <f>+IF(FINANCIACION[[#This Row],[$ CAPITAL]]&gt;=0,FINANCIACION[[#This Row],[$ CAPITAL]]+FINANCIACION[[#This Row],[$ INTERESES]],0)</f>
        <v>1951946</v>
      </c>
    </row>
    <row r="988" spans="1:10" ht="24" hidden="1" customHeight="1" x14ac:dyDescent="0.3">
      <c r="A988" s="142">
        <v>44657</v>
      </c>
      <c r="B988" s="50" t="s">
        <v>189</v>
      </c>
      <c r="C988" s="5"/>
      <c r="D988" s="5">
        <v>372565</v>
      </c>
      <c r="E988" s="5">
        <f>+IF(FINANCIACION[[#This Row],[$ CAPITAL]]&gt;=0,FINANCIACION[[#This Row],[$ CAPITAL]]+FINANCIACION[[#This Row],[$ INTERESES]],"")</f>
        <v>372565</v>
      </c>
      <c r="F988" s="5">
        <f>+SUMIFS(FINANCIACION[$ CAPITAL],FINANCIACION[Fecha],"&lt;="&amp;FINANCIACION[[#This Row],[Fecha]],FINANCIACION[PRESTAMO],FINANCIACION[[#This Row],[PRESTAMO]])</f>
        <v>0</v>
      </c>
      <c r="G988" s="53"/>
      <c r="H988" s="53"/>
      <c r="I988" s="5" t="b">
        <f>+IF(FINANCIACION[[#This Row],[$ CAPITAL]]&gt;0,FINANCIACION[[#This Row],[$ CAPITAL]])</f>
        <v>0</v>
      </c>
      <c r="J988" s="33">
        <f>+IF(FINANCIACION[[#This Row],[$ CAPITAL]]&gt;=0,FINANCIACION[[#This Row],[$ CAPITAL]]+FINANCIACION[[#This Row],[$ INTERESES]],0)</f>
        <v>372565</v>
      </c>
    </row>
    <row r="989" spans="1:10" ht="24" hidden="1" customHeight="1" x14ac:dyDescent="0.3">
      <c r="A989" s="142">
        <v>44659</v>
      </c>
      <c r="B989" s="50" t="s">
        <v>837</v>
      </c>
      <c r="C989" s="5">
        <v>778532.5</v>
      </c>
      <c r="D989" s="5"/>
      <c r="E989" s="5">
        <f>+IF(FINANCIACION[[#This Row],[$ CAPITAL]]&gt;=0,FINANCIACION[[#This Row],[$ CAPITAL]]+FINANCIACION[[#This Row],[$ INTERESES]],"")</f>
        <v>778532.5</v>
      </c>
      <c r="F989" s="5">
        <f>+SUMIFS(FINANCIACION[$ CAPITAL],FINANCIACION[Fecha],"&lt;="&amp;FINANCIACION[[#This Row],[Fecha]],FINANCIACION[PRESTAMO],FINANCIACION[[#This Row],[PRESTAMO]])</f>
        <v>-2400000</v>
      </c>
      <c r="G989" s="53"/>
      <c r="H989" s="53"/>
      <c r="I989" s="5">
        <f>+IF(FINANCIACION[[#This Row],[$ CAPITAL]]&gt;0,FINANCIACION[[#This Row],[$ CAPITAL]])</f>
        <v>778532.5</v>
      </c>
      <c r="J989" s="33">
        <f>+IF(FINANCIACION[[#This Row],[$ CAPITAL]]&gt;=0,FINANCIACION[[#This Row],[$ CAPITAL]]+FINANCIACION[[#This Row],[$ INTERESES]],0)</f>
        <v>778532.5</v>
      </c>
    </row>
    <row r="990" spans="1:10" ht="24" hidden="1" customHeight="1" x14ac:dyDescent="0.3">
      <c r="A990" s="142">
        <v>44662</v>
      </c>
      <c r="B990" s="50" t="s">
        <v>830</v>
      </c>
      <c r="C990" s="5"/>
      <c r="D990" s="5">
        <v>130000</v>
      </c>
      <c r="E990" s="5">
        <f>+IF(FINANCIACION[[#This Row],[$ CAPITAL]]&gt;=0,FINANCIACION[[#This Row],[$ CAPITAL]]+FINANCIACION[[#This Row],[$ INTERESES]],"")</f>
        <v>130000</v>
      </c>
      <c r="F990" s="5">
        <f>+SUMIFS(FINANCIACION[$ CAPITAL],FINANCIACION[Fecha],"&lt;="&amp;FINANCIACION[[#This Row],[Fecha]],FINANCIACION[PRESTAMO],FINANCIACION[[#This Row],[PRESTAMO]])</f>
        <v>-13000000</v>
      </c>
      <c r="G990" s="53"/>
      <c r="H990" s="53"/>
      <c r="I990" s="5" t="b">
        <f>+IF(FINANCIACION[[#This Row],[$ CAPITAL]]&gt;0,FINANCIACION[[#This Row],[$ CAPITAL]])</f>
        <v>0</v>
      </c>
      <c r="J990" s="33">
        <f>+IF(FINANCIACION[[#This Row],[$ CAPITAL]]&gt;=0,FINANCIACION[[#This Row],[$ CAPITAL]]+FINANCIACION[[#This Row],[$ INTERESES]],0)</f>
        <v>130000</v>
      </c>
    </row>
    <row r="991" spans="1:10" ht="24" hidden="1" customHeight="1" x14ac:dyDescent="0.3">
      <c r="A991" s="142">
        <v>44663</v>
      </c>
      <c r="B991" s="50" t="s">
        <v>834</v>
      </c>
      <c r="C991" s="5"/>
      <c r="D991" s="5">
        <v>400000</v>
      </c>
      <c r="E991" s="5">
        <f>+IF(FINANCIACION[[#This Row],[$ CAPITAL]]&gt;=0,FINANCIACION[[#This Row],[$ CAPITAL]]+FINANCIACION[[#This Row],[$ INTERESES]],"")</f>
        <v>400000</v>
      </c>
      <c r="F991" s="5">
        <f>+SUMIFS(FINANCIACION[$ CAPITAL],FINANCIACION[Fecha],"&lt;="&amp;FINANCIACION[[#This Row],[Fecha]],FINANCIACION[PRESTAMO],FINANCIACION[[#This Row],[PRESTAMO]])</f>
        <v>-40000000</v>
      </c>
      <c r="G991" s="53"/>
      <c r="H991" s="53"/>
      <c r="I991" s="5" t="b">
        <f>+IF(FINANCIACION[[#This Row],[$ CAPITAL]]&gt;0,FINANCIACION[[#This Row],[$ CAPITAL]])</f>
        <v>0</v>
      </c>
      <c r="J991" s="33">
        <f>+IF(FINANCIACION[[#This Row],[$ CAPITAL]]&gt;=0,FINANCIACION[[#This Row],[$ CAPITAL]]+FINANCIACION[[#This Row],[$ INTERESES]],0)</f>
        <v>400000</v>
      </c>
    </row>
    <row r="992" spans="1:10" ht="24" hidden="1" customHeight="1" x14ac:dyDescent="0.3">
      <c r="A992" s="142">
        <v>44664</v>
      </c>
      <c r="B992" s="50" t="s">
        <v>819</v>
      </c>
      <c r="C992" s="5">
        <v>2044974.9504780686</v>
      </c>
      <c r="D992" s="5">
        <v>632403.04952193133</v>
      </c>
      <c r="E992" s="5">
        <f>+IF(FINANCIACION[[#This Row],[$ CAPITAL]]&gt;=0,FINANCIACION[[#This Row],[$ CAPITAL]]+FINANCIACION[[#This Row],[$ INTERESES]],"")</f>
        <v>2677378</v>
      </c>
      <c r="F992" s="5">
        <f>+SUMIFS(FINANCIACION[$ CAPITAL],FINANCIACION[Fecha],"&lt;="&amp;FINANCIACION[[#This Row],[Fecha]],FINANCIACION[PRESTAMO],FINANCIACION[[#This Row],[PRESTAMO]])</f>
        <v>-61195330.001715057</v>
      </c>
      <c r="G992" s="53"/>
      <c r="H992" s="53"/>
      <c r="I992" s="5">
        <f>+IF(FINANCIACION[[#This Row],[$ CAPITAL]]&gt;0,FINANCIACION[[#This Row],[$ CAPITAL]])</f>
        <v>2044974.9504780686</v>
      </c>
      <c r="J992" s="33">
        <f>+IF(FINANCIACION[[#This Row],[$ CAPITAL]]&gt;=0,FINANCIACION[[#This Row],[$ CAPITAL]]+FINANCIACION[[#This Row],[$ INTERESES]],0)</f>
        <v>2677378</v>
      </c>
    </row>
    <row r="993" spans="1:10" ht="24" hidden="1" customHeight="1" x14ac:dyDescent="0.3">
      <c r="A993" s="142">
        <v>44665</v>
      </c>
      <c r="B993" s="50" t="s">
        <v>823</v>
      </c>
      <c r="C993" s="5">
        <v>787876.06067476806</v>
      </c>
      <c r="D993" s="5">
        <v>512123.93932523194</v>
      </c>
      <c r="E993" s="5">
        <f>+IF(FINANCIACION[[#This Row],[$ CAPITAL]]&gt;=0,FINANCIACION[[#This Row],[$ CAPITAL]]+FINANCIACION[[#This Row],[$ INTERESES]],"")</f>
        <v>1300000</v>
      </c>
      <c r="F993" s="5">
        <f>+SUMIFS(FINANCIACION[$ CAPITAL],FINANCIACION[Fecha],"&lt;="&amp;FINANCIACION[[#This Row],[Fecha]],FINANCIACION[PRESTAMO],FINANCIACION[[#This Row],[PRESTAMO]])</f>
        <v>-50424517.871848419</v>
      </c>
      <c r="G993" s="53"/>
      <c r="H993" s="53"/>
      <c r="I993" s="5">
        <f>+IF(FINANCIACION[[#This Row],[$ CAPITAL]]&gt;0,FINANCIACION[[#This Row],[$ CAPITAL]])</f>
        <v>787876.06067476806</v>
      </c>
      <c r="J993" s="33">
        <f>+IF(FINANCIACION[[#This Row],[$ CAPITAL]]&gt;=0,FINANCIACION[[#This Row],[$ CAPITAL]]+FINANCIACION[[#This Row],[$ INTERESES]],0)</f>
        <v>1300000</v>
      </c>
    </row>
    <row r="994" spans="1:10" ht="24" hidden="1" customHeight="1" x14ac:dyDescent="0.3">
      <c r="A994" s="142">
        <v>44665</v>
      </c>
      <c r="B994" s="50" t="s">
        <v>194</v>
      </c>
      <c r="C994" s="5">
        <v>1944444</v>
      </c>
      <c r="D994" s="5">
        <f>2197822.73-FINANCIACION[[#This Row],[$ CAPITAL]]</f>
        <v>253378.72999999998</v>
      </c>
      <c r="E994" s="5">
        <f>+IF(FINANCIACION[[#This Row],[$ CAPITAL]]&gt;=0,FINANCIACION[[#This Row],[$ CAPITAL]]+FINANCIACION[[#This Row],[$ INTERESES]],"")</f>
        <v>2197822.73</v>
      </c>
      <c r="F994" s="5">
        <f>+SUMIFS(FINANCIACION[$ CAPITAL],FINANCIACION[Fecha],"&lt;="&amp;FINANCIACION[[#This Row],[Fecha]],FINANCIACION[PRESTAMO],FINANCIACION[[#This Row],[PRESTAMO]])</f>
        <v>-25277780</v>
      </c>
      <c r="G994" s="53"/>
      <c r="H994" s="53"/>
      <c r="I994" s="5">
        <f>+IF(FINANCIACION[[#This Row],[$ CAPITAL]]&gt;0,FINANCIACION[[#This Row],[$ CAPITAL]])</f>
        <v>1944444</v>
      </c>
      <c r="J994" s="33">
        <f>+IF(FINANCIACION[[#This Row],[$ CAPITAL]]&gt;=0,FINANCIACION[[#This Row],[$ CAPITAL]]+FINANCIACION[[#This Row],[$ INTERESES]],0)</f>
        <v>2197822.73</v>
      </c>
    </row>
    <row r="995" spans="1:10" ht="24" hidden="1" customHeight="1" x14ac:dyDescent="0.3">
      <c r="A995" s="142">
        <v>44666</v>
      </c>
      <c r="B995" s="50" t="s">
        <v>820</v>
      </c>
      <c r="C995" s="5">
        <v>511215.67983154219</v>
      </c>
      <c r="D995" s="5">
        <v>688784.32016845781</v>
      </c>
      <c r="E995" s="5">
        <f>+IF(FINANCIACION[[#This Row],[$ CAPITAL]]&gt;=0,FINANCIACION[[#This Row],[$ CAPITAL]]+FINANCIACION[[#This Row],[$ INTERESES]],"")</f>
        <v>1200000</v>
      </c>
      <c r="F995" s="5">
        <f>+SUMIFS(FINANCIACION[$ CAPITAL],FINANCIACION[Fecha],"&lt;="&amp;FINANCIACION[[#This Row],[Fecha]],FINANCIACION[PRESTAMO],FINANCIACION[[#This Row],[PRESTAMO]])</f>
        <v>-68537904.197014228</v>
      </c>
      <c r="G995" s="53"/>
      <c r="H995" s="53"/>
      <c r="I995" s="5">
        <f>+IF(FINANCIACION[[#This Row],[$ CAPITAL]]&gt;0,FINANCIACION[[#This Row],[$ CAPITAL]])</f>
        <v>511215.67983154219</v>
      </c>
      <c r="J995" s="33">
        <f>+IF(FINANCIACION[[#This Row],[$ CAPITAL]]&gt;=0,FINANCIACION[[#This Row],[$ CAPITAL]]+FINANCIACION[[#This Row],[$ INTERESES]],0)</f>
        <v>1200000</v>
      </c>
    </row>
    <row r="996" spans="1:10" ht="24" hidden="1" customHeight="1" x14ac:dyDescent="0.3">
      <c r="A996" s="142">
        <v>44667</v>
      </c>
      <c r="B996" s="50" t="s">
        <v>836</v>
      </c>
      <c r="C996" s="5"/>
      <c r="D996" s="5">
        <v>300000</v>
      </c>
      <c r="E996" s="5">
        <f>+IF(FINANCIACION[[#This Row],[$ CAPITAL]]&gt;=0,FINANCIACION[[#This Row],[$ CAPITAL]]+FINANCIACION[[#This Row],[$ INTERESES]],"")</f>
        <v>300000</v>
      </c>
      <c r="F996" s="5">
        <f>+SUMIFS(FINANCIACION[$ CAPITAL],FINANCIACION[Fecha],"&lt;="&amp;FINANCIACION[[#This Row],[Fecha]],FINANCIACION[PRESTAMO],FINANCIACION[[#This Row],[PRESTAMO]])</f>
        <v>-30120000</v>
      </c>
      <c r="G996" s="53"/>
      <c r="H996" s="53"/>
      <c r="I996" s="5" t="b">
        <f>+IF(FINANCIACION[[#This Row],[$ CAPITAL]]&gt;0,FINANCIACION[[#This Row],[$ CAPITAL]])</f>
        <v>0</v>
      </c>
      <c r="J996" s="33">
        <f>+IF(FINANCIACION[[#This Row],[$ CAPITAL]]&gt;=0,FINANCIACION[[#This Row],[$ CAPITAL]]+FINANCIACION[[#This Row],[$ INTERESES]],0)</f>
        <v>300000</v>
      </c>
    </row>
    <row r="997" spans="1:10" ht="24" hidden="1" customHeight="1" x14ac:dyDescent="0.3">
      <c r="A997" s="142">
        <v>44668</v>
      </c>
      <c r="B997" s="50" t="s">
        <v>832</v>
      </c>
      <c r="C997" s="5"/>
      <c r="D997" s="5">
        <v>120000</v>
      </c>
      <c r="E997" s="5">
        <f>+IF(FINANCIACION[[#This Row],[$ CAPITAL]]&gt;=0,FINANCIACION[[#This Row],[$ CAPITAL]]+FINANCIACION[[#This Row],[$ INTERESES]],"")</f>
        <v>120000</v>
      </c>
      <c r="F997" s="5">
        <f>+SUMIFS(FINANCIACION[$ CAPITAL],FINANCIACION[Fecha],"&lt;="&amp;FINANCIACION[[#This Row],[Fecha]],FINANCIACION[PRESTAMO],FINANCIACION[[#This Row],[PRESTAMO]])</f>
        <v>-12000000</v>
      </c>
      <c r="G997" s="53"/>
      <c r="H997" s="53"/>
      <c r="I997" s="5" t="b">
        <f>+IF(FINANCIACION[[#This Row],[$ CAPITAL]]&gt;0,FINANCIACION[[#This Row],[$ CAPITAL]])</f>
        <v>0</v>
      </c>
      <c r="J997" s="33">
        <f>+IF(FINANCIACION[[#This Row],[$ CAPITAL]]&gt;=0,FINANCIACION[[#This Row],[$ CAPITAL]]+FINANCIACION[[#This Row],[$ INTERESES]],0)</f>
        <v>120000</v>
      </c>
    </row>
    <row r="998" spans="1:10" ht="24" hidden="1" customHeight="1" x14ac:dyDescent="0.3">
      <c r="A998" s="142">
        <v>44669</v>
      </c>
      <c r="B998" s="50" t="s">
        <v>189</v>
      </c>
      <c r="C998" s="5"/>
      <c r="D998" s="5">
        <v>289380</v>
      </c>
      <c r="E998" s="5">
        <f>+IF(FINANCIACION[[#This Row],[$ CAPITAL]]&gt;=0,FINANCIACION[[#This Row],[$ CAPITAL]]+FINANCIACION[[#This Row],[$ INTERESES]],"")</f>
        <v>289380</v>
      </c>
      <c r="F998" s="5">
        <f>+SUMIFS(FINANCIACION[$ CAPITAL],FINANCIACION[Fecha],"&lt;="&amp;FINANCIACION[[#This Row],[Fecha]],FINANCIACION[PRESTAMO],FINANCIACION[[#This Row],[PRESTAMO]])</f>
        <v>0</v>
      </c>
      <c r="G998" s="53"/>
      <c r="H998" s="53"/>
      <c r="I998" s="5" t="b">
        <f>+IF(FINANCIACION[[#This Row],[$ CAPITAL]]&gt;0,FINANCIACION[[#This Row],[$ CAPITAL]])</f>
        <v>0</v>
      </c>
      <c r="J998" s="33">
        <f>+IF(FINANCIACION[[#This Row],[$ CAPITAL]]&gt;=0,FINANCIACION[[#This Row],[$ CAPITAL]]+FINANCIACION[[#This Row],[$ INTERESES]],0)</f>
        <v>289380</v>
      </c>
    </row>
    <row r="999" spans="1:10" ht="24" hidden="1" customHeight="1" x14ac:dyDescent="0.3">
      <c r="A999" s="142">
        <v>44670</v>
      </c>
      <c r="B999" s="50" t="s">
        <v>833</v>
      </c>
      <c r="C999" s="5">
        <v>1207405.8900000006</v>
      </c>
      <c r="D999" s="5">
        <v>8594.109999999404</v>
      </c>
      <c r="E999" s="5">
        <f>+IF(FINANCIACION[[#This Row],[$ CAPITAL]]&gt;=0,FINANCIACION[[#This Row],[$ CAPITAL]]+FINANCIACION[[#This Row],[$ INTERESES]],"")</f>
        <v>1216000</v>
      </c>
      <c r="F999" s="5">
        <f>+SUMIFS(FINANCIACION[$ CAPITAL],FINANCIACION[Fecha],"&lt;="&amp;FINANCIACION[[#This Row],[Fecha]],FINANCIACION[PRESTAMO],FINANCIACION[[#This Row],[PRESTAMO]])</f>
        <v>-14091420.9</v>
      </c>
      <c r="G999" s="53"/>
      <c r="H999" s="53"/>
      <c r="I999" s="5">
        <f>+IF(FINANCIACION[[#This Row],[$ CAPITAL]]&gt;0,FINANCIACION[[#This Row],[$ CAPITAL]])</f>
        <v>1207405.8900000006</v>
      </c>
      <c r="J999" s="33">
        <f>+IF(FINANCIACION[[#This Row],[$ CAPITAL]]&gt;=0,FINANCIACION[[#This Row],[$ CAPITAL]]+FINANCIACION[[#This Row],[$ INTERESES]],0)</f>
        <v>1216000</v>
      </c>
    </row>
    <row r="1000" spans="1:10" ht="24" hidden="1" customHeight="1" x14ac:dyDescent="0.3">
      <c r="A1000" s="142">
        <v>44670</v>
      </c>
      <c r="B1000" s="50" t="s">
        <v>878</v>
      </c>
      <c r="C1000" s="5">
        <v>2391834.9400000051</v>
      </c>
      <c r="D1000" s="5">
        <v>49165.059999994934</v>
      </c>
      <c r="E1000" s="5">
        <f>+IF(FINANCIACION[[#This Row],[$ CAPITAL]]&gt;=0,FINANCIACION[[#This Row],[$ CAPITAL]]+FINANCIACION[[#This Row],[$ INTERESES]],"")</f>
        <v>2441000</v>
      </c>
      <c r="F1000" s="5">
        <f>+SUMIFS(FINANCIACION[$ CAPITAL],FINANCIACION[Fecha],"&lt;="&amp;FINANCIACION[[#This Row],[Fecha]],FINANCIACION[PRESTAMO],FINANCIACION[[#This Row],[PRESTAMO]])</f>
        <v>-59077408.419999994</v>
      </c>
      <c r="G1000" s="53"/>
      <c r="H1000" s="53"/>
      <c r="I1000" s="5">
        <f>+IF(FINANCIACION[[#This Row],[$ CAPITAL]]&gt;0,FINANCIACION[[#This Row],[$ CAPITAL]])</f>
        <v>2391834.9400000051</v>
      </c>
      <c r="J1000" s="33">
        <f>+IF(FINANCIACION[[#This Row],[$ CAPITAL]]&gt;=0,FINANCIACION[[#This Row],[$ CAPITAL]]+FINANCIACION[[#This Row],[$ INTERESES]],0)</f>
        <v>2441000</v>
      </c>
    </row>
    <row r="1001" spans="1:10" ht="24" hidden="1" customHeight="1" x14ac:dyDescent="0.3">
      <c r="A1001" s="142">
        <v>44670</v>
      </c>
      <c r="B1001" s="50" t="s">
        <v>827</v>
      </c>
      <c r="C1001" s="5">
        <v>971857.97999999858</v>
      </c>
      <c r="D1001" s="5">
        <v>8142.0200000014156</v>
      </c>
      <c r="E1001" s="5">
        <f>+IF(FINANCIACION[[#This Row],[$ CAPITAL]]&gt;=0,FINANCIACION[[#This Row],[$ CAPITAL]]+FINANCIACION[[#This Row],[$ INTERESES]],"")</f>
        <v>980000</v>
      </c>
      <c r="F1001" s="5">
        <f>+SUMIFS(FINANCIACION[$ CAPITAL],FINANCIACION[Fecha],"&lt;="&amp;FINANCIACION[[#This Row],[Fecha]],FINANCIACION[PRESTAMO],FINANCIACION[[#This Row],[PRESTAMO]])</f>
        <v>-12849043.049999997</v>
      </c>
      <c r="G1001" s="53"/>
      <c r="H1001" s="53"/>
      <c r="I1001" s="5">
        <f>+IF(FINANCIACION[[#This Row],[$ CAPITAL]]&gt;0,FINANCIACION[[#This Row],[$ CAPITAL]])</f>
        <v>971857.97999999858</v>
      </c>
      <c r="J1001" s="33">
        <f>+IF(FINANCIACION[[#This Row],[$ CAPITAL]]&gt;=0,FINANCIACION[[#This Row],[$ CAPITAL]]+FINANCIACION[[#This Row],[$ INTERESES]],0)</f>
        <v>980000</v>
      </c>
    </row>
    <row r="1002" spans="1:10" ht="24" hidden="1" customHeight="1" x14ac:dyDescent="0.3">
      <c r="A1002" s="142">
        <v>44670</v>
      </c>
      <c r="B1002" s="50" t="s">
        <v>835</v>
      </c>
      <c r="C1002" s="5">
        <v>626870.95999999344</v>
      </c>
      <c r="D1002" s="5">
        <v>43129.040000006557</v>
      </c>
      <c r="E1002" s="5">
        <f>+IF(FINANCIACION[[#This Row],[$ CAPITAL]]&gt;=0,FINANCIACION[[#This Row],[$ CAPITAL]]+FINANCIACION[[#This Row],[$ INTERESES]],"")</f>
        <v>670000</v>
      </c>
      <c r="F1002" s="5">
        <f>+SUMIFS(FINANCIACION[$ CAPITAL],FINANCIACION[Fecha],"&lt;="&amp;FINANCIACION[[#This Row],[Fecha]],FINANCIACION[PRESTAMO],FINANCIACION[[#This Row],[PRESTAMO]])</f>
        <v>-80684722.810000002</v>
      </c>
      <c r="G1002" s="53"/>
      <c r="H1002" s="53"/>
      <c r="I1002" s="5">
        <f>+IF(FINANCIACION[[#This Row],[$ CAPITAL]]&gt;0,FINANCIACION[[#This Row],[$ CAPITAL]])</f>
        <v>626870.95999999344</v>
      </c>
      <c r="J1002" s="33">
        <f>+IF(FINANCIACION[[#This Row],[$ CAPITAL]]&gt;=0,FINANCIACION[[#This Row],[$ CAPITAL]]+FINANCIACION[[#This Row],[$ INTERESES]],0)</f>
        <v>670000</v>
      </c>
    </row>
    <row r="1003" spans="1:10" ht="24" hidden="1" customHeight="1" x14ac:dyDescent="0.3">
      <c r="A1003" s="142">
        <v>44670</v>
      </c>
      <c r="B1003" s="50" t="s">
        <v>829</v>
      </c>
      <c r="C1003" s="5">
        <v>1024991.6599999983</v>
      </c>
      <c r="D1003" s="5">
        <v>9008.3400000017136</v>
      </c>
      <c r="E1003" s="5">
        <f>+IF(FINANCIACION[[#This Row],[$ CAPITAL]]&gt;=0,FINANCIACION[[#This Row],[$ CAPITAL]]+FINANCIACION[[#This Row],[$ INTERESES]],"")</f>
        <v>1034000</v>
      </c>
      <c r="F1003" s="5">
        <f>+SUMIFS(FINANCIACION[$ CAPITAL],FINANCIACION[Fecha],"&lt;="&amp;FINANCIACION[[#This Row],[Fecha]],FINANCIACION[PRESTAMO],FINANCIACION[[#This Row],[PRESTAMO]])</f>
        <v>-14380446.499999998</v>
      </c>
      <c r="G1003" s="53"/>
      <c r="H1003" s="53"/>
      <c r="I1003" s="5">
        <f>+IF(FINANCIACION[[#This Row],[$ CAPITAL]]&gt;0,FINANCIACION[[#This Row],[$ CAPITAL]])</f>
        <v>1024991.6599999983</v>
      </c>
      <c r="J1003" s="33">
        <f>+IF(FINANCIACION[[#This Row],[$ CAPITAL]]&gt;=0,FINANCIACION[[#This Row],[$ CAPITAL]]+FINANCIACION[[#This Row],[$ INTERESES]],0)</f>
        <v>1034000</v>
      </c>
    </row>
    <row r="1004" spans="1:10" ht="24" hidden="1" customHeight="1" x14ac:dyDescent="0.3">
      <c r="A1004" s="142">
        <v>44670</v>
      </c>
      <c r="B1004" s="50" t="s">
        <v>825</v>
      </c>
      <c r="C1004" s="5">
        <v>2458316.7300000004</v>
      </c>
      <c r="D1004" s="5">
        <v>18683.269999999553</v>
      </c>
      <c r="E1004" s="5">
        <f>+IF(FINANCIACION[[#This Row],[$ CAPITAL]]&gt;=0,FINANCIACION[[#This Row],[$ CAPITAL]]+FINANCIACION[[#This Row],[$ INTERESES]],"")</f>
        <v>2477000</v>
      </c>
      <c r="F1004" s="5">
        <f>+SUMIFS(FINANCIACION[$ CAPITAL],FINANCIACION[Fecha],"&lt;="&amp;FINANCIACION[[#This Row],[Fecha]],FINANCIACION[PRESTAMO],FINANCIACION[[#This Row],[PRESTAMO]])</f>
        <v>-30698152.370000001</v>
      </c>
      <c r="G1004" s="53"/>
      <c r="H1004" s="53"/>
      <c r="I1004" s="5">
        <f>+IF(FINANCIACION[[#This Row],[$ CAPITAL]]&gt;0,FINANCIACION[[#This Row],[$ CAPITAL]])</f>
        <v>2458316.7300000004</v>
      </c>
      <c r="J1004" s="33">
        <f>+IF(FINANCIACION[[#This Row],[$ CAPITAL]]&gt;=0,FINANCIACION[[#This Row],[$ CAPITAL]]+FINANCIACION[[#This Row],[$ INTERESES]],0)</f>
        <v>2477000</v>
      </c>
    </row>
    <row r="1005" spans="1:10" ht="24" hidden="1" customHeight="1" x14ac:dyDescent="0.3">
      <c r="A1005" s="142">
        <v>44670</v>
      </c>
      <c r="B1005" s="50" t="s">
        <v>826</v>
      </c>
      <c r="C1005" s="5">
        <v>3600722.8999999985</v>
      </c>
      <c r="D1005" s="5">
        <v>29277.10000000149</v>
      </c>
      <c r="E1005" s="5">
        <f>+IF(FINANCIACION[[#This Row],[$ CAPITAL]]&gt;=0,FINANCIACION[[#This Row],[$ CAPITAL]]+FINANCIACION[[#This Row],[$ INTERESES]],"")</f>
        <v>3630000</v>
      </c>
      <c r="F1005" s="5">
        <f>+SUMIFS(FINANCIACION[$ CAPITAL],FINANCIACION[Fecha],"&lt;="&amp;FINANCIACION[[#This Row],[Fecha]],FINANCIACION[PRESTAMO],FINANCIACION[[#This Row],[PRESTAMO]])</f>
        <v>-44511213.619999997</v>
      </c>
      <c r="G1005" s="53"/>
      <c r="H1005" s="53"/>
      <c r="I1005" s="5">
        <f>+IF(FINANCIACION[[#This Row],[$ CAPITAL]]&gt;0,FINANCIACION[[#This Row],[$ CAPITAL]])</f>
        <v>3600722.8999999985</v>
      </c>
      <c r="J1005" s="33">
        <f>+IF(FINANCIACION[[#This Row],[$ CAPITAL]]&gt;=0,FINANCIACION[[#This Row],[$ CAPITAL]]+FINANCIACION[[#This Row],[$ INTERESES]],0)</f>
        <v>3630000</v>
      </c>
    </row>
    <row r="1006" spans="1:10" ht="24" hidden="1" customHeight="1" x14ac:dyDescent="0.3">
      <c r="A1006" s="142">
        <v>44670</v>
      </c>
      <c r="B1006" s="50" t="s">
        <v>821</v>
      </c>
      <c r="C1006" s="5">
        <v>4839732</v>
      </c>
      <c r="D1006" s="5">
        <v>910592</v>
      </c>
      <c r="E1006" s="5">
        <f>+IF(FINANCIACION[[#This Row],[$ CAPITAL]]&gt;=0,FINANCIACION[[#This Row],[$ CAPITAL]]+FINANCIACION[[#This Row],[$ INTERESES]],"")</f>
        <v>5750324</v>
      </c>
      <c r="F1006" s="5">
        <f>+SUMIFS(FINANCIACION[$ CAPITAL],FINANCIACION[Fecha],"&lt;="&amp;FINANCIACION[[#This Row],[Fecha]],FINANCIACION[PRESTAMO],FINANCIACION[[#This Row],[PRESTAMO]])</f>
        <v>-372270616</v>
      </c>
      <c r="G1006" s="53"/>
      <c r="H1006" s="53"/>
      <c r="I1006" s="5">
        <f>+IF(FINANCIACION[[#This Row],[$ CAPITAL]]&gt;0,FINANCIACION[[#This Row],[$ CAPITAL]])</f>
        <v>4839732</v>
      </c>
      <c r="J1006" s="33">
        <f>+IF(FINANCIACION[[#This Row],[$ CAPITAL]]&gt;=0,FINANCIACION[[#This Row],[$ CAPITAL]]+FINANCIACION[[#This Row],[$ INTERESES]],0)</f>
        <v>5750324</v>
      </c>
    </row>
    <row r="1007" spans="1:10" ht="24" hidden="1" customHeight="1" x14ac:dyDescent="0.3">
      <c r="A1007" s="142">
        <v>44670</v>
      </c>
      <c r="B1007" s="50" t="s">
        <v>822</v>
      </c>
      <c r="C1007" s="5">
        <v>1453956.4000000004</v>
      </c>
      <c r="D1007" s="5">
        <v>10043.599999999627</v>
      </c>
      <c r="E1007" s="5">
        <f>+IF(FINANCIACION[[#This Row],[$ CAPITAL]]&gt;=0,FINANCIACION[[#This Row],[$ CAPITAL]]+FINANCIACION[[#This Row],[$ INTERESES]],"")</f>
        <v>1464000</v>
      </c>
      <c r="F1007" s="5">
        <f>+SUMIFS(FINANCIACION[$ CAPITAL],FINANCIACION[Fecha],"&lt;="&amp;FINANCIACION[[#This Row],[Fecha]],FINANCIACION[PRESTAMO],FINANCIACION[[#This Row],[PRESTAMO]])</f>
        <v>-15719232.160000002</v>
      </c>
      <c r="G1007" s="53"/>
      <c r="H1007" s="53"/>
      <c r="I1007" s="5">
        <f>+IF(FINANCIACION[[#This Row],[$ CAPITAL]]&gt;0,FINANCIACION[[#This Row],[$ CAPITAL]])</f>
        <v>1453956.4000000004</v>
      </c>
      <c r="J1007" s="33">
        <f>+IF(FINANCIACION[[#This Row],[$ CAPITAL]]&gt;=0,FINANCIACION[[#This Row],[$ CAPITAL]]+FINANCIACION[[#This Row],[$ INTERESES]],0)</f>
        <v>1464000</v>
      </c>
    </row>
    <row r="1008" spans="1:10" ht="24" hidden="1" customHeight="1" x14ac:dyDescent="0.3">
      <c r="A1008" s="142">
        <v>44671</v>
      </c>
      <c r="B1008" s="50" t="s">
        <v>837</v>
      </c>
      <c r="C1008" s="5">
        <v>2400000</v>
      </c>
      <c r="D1008" s="5"/>
      <c r="E1008" s="5">
        <f>+IF(FINANCIACION[[#This Row],[$ CAPITAL]]&gt;=0,FINANCIACION[[#This Row],[$ CAPITAL]]+FINANCIACION[[#This Row],[$ INTERESES]],"")</f>
        <v>2400000</v>
      </c>
      <c r="F1008" s="5">
        <f>+SUMIFS(FINANCIACION[$ CAPITAL],FINANCIACION[Fecha],"&lt;="&amp;FINANCIACION[[#This Row],[Fecha]],FINANCIACION[PRESTAMO],FINANCIACION[[#This Row],[PRESTAMO]])</f>
        <v>0</v>
      </c>
      <c r="G1008" s="53" t="s">
        <v>880</v>
      </c>
      <c r="H1008" s="53"/>
      <c r="I1008" s="5">
        <f>+IF(FINANCIACION[[#This Row],[$ CAPITAL]]&gt;0,FINANCIACION[[#This Row],[$ CAPITAL]])</f>
        <v>2400000</v>
      </c>
      <c r="J1008" s="33">
        <f>+IF(FINANCIACION[[#This Row],[$ CAPITAL]]&gt;=0,FINANCIACION[[#This Row],[$ CAPITAL]]+FINANCIACION[[#This Row],[$ INTERESES]],0)</f>
        <v>2400000</v>
      </c>
    </row>
    <row r="1009" spans="1:10" ht="24" hidden="1" customHeight="1" x14ac:dyDescent="0.3">
      <c r="A1009" s="142">
        <v>44681</v>
      </c>
      <c r="B1009" s="50" t="s">
        <v>372</v>
      </c>
      <c r="C1009" s="5">
        <v>-1185406</v>
      </c>
      <c r="D1009" s="5"/>
      <c r="E1009" s="5" t="str">
        <f>+IF(FINANCIACION[[#This Row],[$ CAPITAL]]&gt;=0,FINANCIACION[[#This Row],[$ CAPITAL]]+FINANCIACION[[#This Row],[$ INTERESES]],"")</f>
        <v/>
      </c>
      <c r="F1009" s="5">
        <f>+SUMIFS(FINANCIACION[$ CAPITAL],FINANCIACION[Fecha],"&lt;="&amp;FINANCIACION[[#This Row],[Fecha]],FINANCIACION[PRESTAMO],FINANCIACION[[#This Row],[PRESTAMO]])</f>
        <v>-23708120</v>
      </c>
      <c r="G1009" s="53" t="s">
        <v>225</v>
      </c>
      <c r="H1009" s="53"/>
      <c r="I1009" s="5" t="b">
        <f>+IF(FINANCIACION[[#This Row],[$ CAPITAL]]&gt;0,FINANCIACION[[#This Row],[$ CAPITAL]])</f>
        <v>0</v>
      </c>
      <c r="J1009" s="33">
        <f>+IF(FINANCIACION[[#This Row],[$ CAPITAL]]&gt;=0,FINANCIACION[[#This Row],[$ CAPITAL]]+FINANCIACION[[#This Row],[$ INTERESES]],0)</f>
        <v>0</v>
      </c>
    </row>
    <row r="1010" spans="1:10" ht="24" hidden="1" customHeight="1" x14ac:dyDescent="0.3">
      <c r="A1010" s="142">
        <v>44681</v>
      </c>
      <c r="B1010" s="50" t="s">
        <v>486</v>
      </c>
      <c r="C1010" s="5">
        <v>-2737538</v>
      </c>
      <c r="D1010" s="5"/>
      <c r="E1010" s="5" t="str">
        <f>+IF(FINANCIACION[[#This Row],[$ CAPITAL]]&gt;=0,FINANCIACION[[#This Row],[$ CAPITAL]]+FINANCIACION[[#This Row],[$ INTERESES]],"")</f>
        <v/>
      </c>
      <c r="F1010" s="5">
        <f>+SUMIFS(FINANCIACION[$ CAPITAL],FINANCIACION[Fecha],"&lt;="&amp;FINANCIACION[[#This Row],[Fecha]],FINANCIACION[PRESTAMO],FINANCIACION[[#This Row],[PRESTAMO]])</f>
        <v>-54750760</v>
      </c>
      <c r="G1010" s="53" t="s">
        <v>225</v>
      </c>
      <c r="H1010" s="53"/>
      <c r="I1010" s="5" t="b">
        <f>+IF(FINANCIACION[[#This Row],[$ CAPITAL]]&gt;0,FINANCIACION[[#This Row],[$ CAPITAL]])</f>
        <v>0</v>
      </c>
      <c r="J1010" s="33">
        <f>+IF(FINANCIACION[[#This Row],[$ CAPITAL]]&gt;=0,FINANCIACION[[#This Row],[$ CAPITAL]]+FINANCIACION[[#This Row],[$ INTERESES]],0)</f>
        <v>0</v>
      </c>
    </row>
    <row r="1011" spans="1:10" ht="24" hidden="1" customHeight="1" x14ac:dyDescent="0.3">
      <c r="A1011" s="142">
        <v>44681</v>
      </c>
      <c r="B1011" s="50" t="s">
        <v>611</v>
      </c>
      <c r="C1011" s="5">
        <v>-2886872</v>
      </c>
      <c r="D1011" s="5"/>
      <c r="E1011" s="5" t="str">
        <f>+IF(FINANCIACION[[#This Row],[$ CAPITAL]]&gt;=0,FINANCIACION[[#This Row],[$ CAPITAL]]+FINANCIACION[[#This Row],[$ INTERESES]],"")</f>
        <v/>
      </c>
      <c r="F1011" s="5">
        <f>+SUMIFS(FINANCIACION[$ CAPITAL],FINANCIACION[Fecha],"&lt;="&amp;FINANCIACION[[#This Row],[Fecha]],FINANCIACION[PRESTAMO],FINANCIACION[[#This Row],[PRESTAMO]])</f>
        <v>-57737440</v>
      </c>
      <c r="G1011" s="53" t="s">
        <v>225</v>
      </c>
      <c r="H1011" s="53"/>
      <c r="I1011" s="5" t="b">
        <f>+IF(FINANCIACION[[#This Row],[$ CAPITAL]]&gt;0,FINANCIACION[[#This Row],[$ CAPITAL]])</f>
        <v>0</v>
      </c>
      <c r="J1011" s="33">
        <f>+IF(FINANCIACION[[#This Row],[$ CAPITAL]]&gt;=0,FINANCIACION[[#This Row],[$ CAPITAL]]+FINANCIACION[[#This Row],[$ INTERESES]],0)</f>
        <v>0</v>
      </c>
    </row>
    <row r="1012" spans="1:10" ht="24" hidden="1" customHeight="1" x14ac:dyDescent="0.3">
      <c r="A1012" s="142">
        <v>44681</v>
      </c>
      <c r="B1012" s="50" t="s">
        <v>195</v>
      </c>
      <c r="C1012" s="5">
        <v>-469204</v>
      </c>
      <c r="D1012" s="5"/>
      <c r="E1012" s="5" t="str">
        <f>+IF(FINANCIACION[[#This Row],[$ CAPITAL]]&gt;=0,FINANCIACION[[#This Row],[$ CAPITAL]]+FINANCIACION[[#This Row],[$ INTERESES]],"")</f>
        <v/>
      </c>
      <c r="F1012" s="5">
        <f>+SUMIFS(FINANCIACION[$ CAPITAL],FINANCIACION[Fecha],"&lt;="&amp;FINANCIACION[[#This Row],[Fecha]],FINANCIACION[PRESTAMO],FINANCIACION[[#This Row],[PRESTAMO]])</f>
        <v>-1779909</v>
      </c>
      <c r="G1012" s="53" t="s">
        <v>225</v>
      </c>
      <c r="H1012" s="53"/>
      <c r="I1012" s="5" t="b">
        <f>+IF(FINANCIACION[[#This Row],[$ CAPITAL]]&gt;0,FINANCIACION[[#This Row],[$ CAPITAL]])</f>
        <v>0</v>
      </c>
      <c r="J1012" s="33">
        <f>+IF(FINANCIACION[[#This Row],[$ CAPITAL]]&gt;=0,FINANCIACION[[#This Row],[$ CAPITAL]]+FINANCIACION[[#This Row],[$ INTERESES]],0)</f>
        <v>0</v>
      </c>
    </row>
    <row r="1013" spans="1:10" ht="24" hidden="1" customHeight="1" x14ac:dyDescent="0.3">
      <c r="A1013" s="142">
        <v>44681</v>
      </c>
      <c r="B1013" s="50" t="s">
        <v>196</v>
      </c>
      <c r="C1013" s="5">
        <v>-1502400</v>
      </c>
      <c r="D1013" s="5"/>
      <c r="E1013" s="5" t="str">
        <f>+IF(FINANCIACION[[#This Row],[$ CAPITAL]]&gt;=0,FINANCIACION[[#This Row],[$ CAPITAL]]+FINANCIACION[[#This Row],[$ INTERESES]],"")</f>
        <v/>
      </c>
      <c r="F1013" s="5">
        <f>+SUMIFS(FINANCIACION[$ CAPITAL],FINANCIACION[Fecha],"&lt;="&amp;FINANCIACION[[#This Row],[Fecha]],FINANCIACION[PRESTAMO],FINANCIACION[[#This Row],[PRESTAMO]])</f>
        <v>-32860000</v>
      </c>
      <c r="G1013" s="53" t="s">
        <v>225</v>
      </c>
      <c r="H1013" s="53"/>
      <c r="I1013" s="5" t="b">
        <f>+IF(FINANCIACION[[#This Row],[$ CAPITAL]]&gt;0,FINANCIACION[[#This Row],[$ CAPITAL]])</f>
        <v>0</v>
      </c>
      <c r="J1013" s="33">
        <f>+IF(FINANCIACION[[#This Row],[$ CAPITAL]]&gt;=0,FINANCIACION[[#This Row],[$ CAPITAL]]+FINANCIACION[[#This Row],[$ INTERESES]],0)</f>
        <v>0</v>
      </c>
    </row>
    <row r="1014" spans="1:10" ht="24" hidden="1" customHeight="1" x14ac:dyDescent="0.3">
      <c r="A1014" s="142">
        <v>44681</v>
      </c>
      <c r="B1014" s="50" t="s">
        <v>197</v>
      </c>
      <c r="C1014" s="5">
        <v>947580</v>
      </c>
      <c r="D1014" s="5"/>
      <c r="E1014" s="5">
        <f>+IF(FINANCIACION[[#This Row],[$ CAPITAL]]&gt;=0,FINANCIACION[[#This Row],[$ CAPITAL]]+FINANCIACION[[#This Row],[$ INTERESES]],"")</f>
        <v>947580</v>
      </c>
      <c r="F1014" s="5">
        <f>+SUMIFS(FINANCIACION[$ CAPITAL],FINANCIACION[Fecha],"&lt;="&amp;FINANCIACION[[#This Row],[Fecha]],FINANCIACION[PRESTAMO],FINANCIACION[[#This Row],[PRESTAMO]])</f>
        <v>-10095606</v>
      </c>
      <c r="G1014" s="53" t="s">
        <v>225</v>
      </c>
      <c r="H1014" s="53"/>
      <c r="I1014" s="5">
        <f>+IF(FINANCIACION[[#This Row],[$ CAPITAL]]&gt;0,FINANCIACION[[#This Row],[$ CAPITAL]])</f>
        <v>947580</v>
      </c>
      <c r="J1014" s="33">
        <f>+IF(FINANCIACION[[#This Row],[$ CAPITAL]]&gt;=0,FINANCIACION[[#This Row],[$ CAPITAL]]+FINANCIACION[[#This Row],[$ INTERESES]],0)</f>
        <v>947580</v>
      </c>
    </row>
    <row r="1015" spans="1:10" ht="24" hidden="1" customHeight="1" x14ac:dyDescent="0.3">
      <c r="A1015" s="142">
        <v>44682</v>
      </c>
      <c r="B1015" s="50" t="s">
        <v>1131</v>
      </c>
      <c r="C1015" s="5">
        <v>-5447976</v>
      </c>
      <c r="D1015" s="5"/>
      <c r="E1015" s="5" t="str">
        <f>+IF(FINANCIACION[[#This Row],[$ CAPITAL]]&gt;=0,FINANCIACION[[#This Row],[$ CAPITAL]]+FINANCIACION[[#This Row],[$ INTERESES]],"")</f>
        <v/>
      </c>
      <c r="F1015" s="5">
        <f>+SUMIFS(FINANCIACION[$ CAPITAL],FINANCIACION[Fecha],"&lt;="&amp;FINANCIACION[[#This Row],[Fecha]],FINANCIACION[PRESTAMO],FINANCIACION[[#This Row],[PRESTAMO]])</f>
        <v>-5447976</v>
      </c>
      <c r="G1015" s="53" t="s">
        <v>978</v>
      </c>
      <c r="H1015" s="53"/>
      <c r="I1015" s="5" t="b">
        <f>+IF(FINANCIACION[[#This Row],[$ CAPITAL]]&gt;0,FINANCIACION[[#This Row],[$ CAPITAL]])</f>
        <v>0</v>
      </c>
      <c r="J1015" s="33">
        <f>+IF(FINANCIACION[[#This Row],[$ CAPITAL]]&gt;=0,FINANCIACION[[#This Row],[$ CAPITAL]]+FINANCIACION[[#This Row],[$ INTERESES]],0)</f>
        <v>0</v>
      </c>
    </row>
    <row r="1016" spans="1:10" ht="24" hidden="1" customHeight="1" x14ac:dyDescent="0.3">
      <c r="A1016" s="142">
        <v>44683</v>
      </c>
      <c r="B1016" s="50" t="s">
        <v>187</v>
      </c>
      <c r="C1016" s="5">
        <v>1468400</v>
      </c>
      <c r="D1016" s="5">
        <f>1884180-FINANCIACION[[#This Row],[$ CAPITAL]]</f>
        <v>415780</v>
      </c>
      <c r="E1016" s="5">
        <f>+IF(FINANCIACION[[#This Row],[$ CAPITAL]]&gt;=0,FINANCIACION[[#This Row],[$ CAPITAL]]+FINANCIACION[[#This Row],[$ INTERESES]],"")</f>
        <v>1884180</v>
      </c>
      <c r="F1016" s="5">
        <f>+SUMIFS(FINANCIACION[$ CAPITAL],FINANCIACION[Fecha],"&lt;="&amp;FINANCIACION[[#This Row],[Fecha]],FINANCIACION[PRESTAMO],FINANCIACION[[#This Row],[PRESTAMO]])</f>
        <v>-33773200</v>
      </c>
      <c r="G1016" s="53"/>
      <c r="H1016" s="53"/>
      <c r="I1016" s="5">
        <f>+IF(FINANCIACION[[#This Row],[$ CAPITAL]]&gt;0,FINANCIACION[[#This Row],[$ CAPITAL]])</f>
        <v>1468400</v>
      </c>
      <c r="J1016" s="33">
        <f>+IF(FINANCIACION[[#This Row],[$ CAPITAL]]&gt;=0,FINANCIACION[[#This Row],[$ CAPITAL]]+FINANCIACION[[#This Row],[$ INTERESES]],0)</f>
        <v>1884180</v>
      </c>
    </row>
    <row r="1017" spans="1:10" ht="24" hidden="1" customHeight="1" x14ac:dyDescent="0.3">
      <c r="A1017" s="142">
        <v>44683</v>
      </c>
      <c r="B1017" s="50" t="s">
        <v>188</v>
      </c>
      <c r="C1017" s="5">
        <v>76791</v>
      </c>
      <c r="D1017" s="5"/>
      <c r="E1017" s="5">
        <f>+IF(FINANCIACION[[#This Row],[$ CAPITAL]]&gt;=0,FINANCIACION[[#This Row],[$ CAPITAL]]+FINANCIACION[[#This Row],[$ INTERESES]],"")</f>
        <v>76791</v>
      </c>
      <c r="F1017" s="5">
        <f>+SUMIFS(FINANCIACION[$ CAPITAL],FINANCIACION[Fecha],"&lt;="&amp;FINANCIACION[[#This Row],[Fecha]],FINANCIACION[PRESTAMO],FINANCIACION[[#This Row],[PRESTAMO]])</f>
        <v>-1766193</v>
      </c>
      <c r="G1017" s="53"/>
      <c r="H1017" s="53"/>
      <c r="I1017" s="5">
        <f>+IF(FINANCIACION[[#This Row],[$ CAPITAL]]&gt;0,FINANCIACION[[#This Row],[$ CAPITAL]])</f>
        <v>76791</v>
      </c>
      <c r="J1017" s="33">
        <f>+IF(FINANCIACION[[#This Row],[$ CAPITAL]]&gt;=0,FINANCIACION[[#This Row],[$ CAPITAL]]+FINANCIACION[[#This Row],[$ INTERESES]],0)</f>
        <v>76791</v>
      </c>
    </row>
    <row r="1018" spans="1:10" ht="24" hidden="1" customHeight="1" x14ac:dyDescent="0.3">
      <c r="A1018" s="142">
        <v>44683</v>
      </c>
      <c r="B1018" s="50" t="s">
        <v>189</v>
      </c>
      <c r="C1018" s="5"/>
      <c r="D1018" s="5">
        <v>148735</v>
      </c>
      <c r="E1018" s="5">
        <f>+IF(FINANCIACION[[#This Row],[$ CAPITAL]]&gt;=0,FINANCIACION[[#This Row],[$ CAPITAL]]+FINANCIACION[[#This Row],[$ INTERESES]],"")</f>
        <v>148735</v>
      </c>
      <c r="F1018" s="5">
        <f>+SUMIFS(FINANCIACION[$ CAPITAL],FINANCIACION[Fecha],"&lt;="&amp;FINANCIACION[[#This Row],[Fecha]],FINANCIACION[PRESTAMO],FINANCIACION[[#This Row],[PRESTAMO]])</f>
        <v>0</v>
      </c>
      <c r="G1018" s="53"/>
      <c r="H1018" s="53"/>
      <c r="I1018" s="5" t="b">
        <f>+IF(FINANCIACION[[#This Row],[$ CAPITAL]]&gt;0,FINANCIACION[[#This Row],[$ CAPITAL]])</f>
        <v>0</v>
      </c>
      <c r="J1018" s="33">
        <f>+IF(FINANCIACION[[#This Row],[$ CAPITAL]]&gt;=0,FINANCIACION[[#This Row],[$ CAPITAL]]+FINANCIACION[[#This Row],[$ INTERESES]],0)</f>
        <v>148735</v>
      </c>
    </row>
    <row r="1019" spans="1:10" ht="24" hidden="1" customHeight="1" x14ac:dyDescent="0.3">
      <c r="A1019" s="142">
        <v>44685</v>
      </c>
      <c r="B1019" s="50" t="s">
        <v>839</v>
      </c>
      <c r="C1019" s="5">
        <v>1744958</v>
      </c>
      <c r="D1019" s="5">
        <f>1939812-FINANCIACION[[#This Row],[$ CAPITAL]]</f>
        <v>194854</v>
      </c>
      <c r="E1019" s="5">
        <f>+IF(FINANCIACION[[#This Row],[$ CAPITAL]]&gt;=0,FINANCIACION[[#This Row],[$ CAPITAL]]+FINANCIACION[[#This Row],[$ INTERESES]],"")</f>
        <v>1939812</v>
      </c>
      <c r="F1019" s="5">
        <f>+SUMIFS(FINANCIACION[$ CAPITAL],FINANCIACION[Fecha],"&lt;="&amp;FINANCIACION[[#This Row],[Fecha]],FINANCIACION[PRESTAMO],FINANCIACION[[#This Row],[PRESTAMO]])</f>
        <v>-15704632</v>
      </c>
      <c r="G1019" s="53"/>
      <c r="H1019" s="53"/>
      <c r="I1019" s="5">
        <f>+IF(FINANCIACION[[#This Row],[$ CAPITAL]]&gt;0,FINANCIACION[[#This Row],[$ CAPITAL]])</f>
        <v>1744958</v>
      </c>
      <c r="J1019" s="33">
        <f>+IF(FINANCIACION[[#This Row],[$ CAPITAL]]&gt;=0,FINANCIACION[[#This Row],[$ CAPITAL]]+FINANCIACION[[#This Row],[$ INTERESES]],0)</f>
        <v>1939812</v>
      </c>
    </row>
    <row r="1020" spans="1:10" ht="24" hidden="1" customHeight="1" x14ac:dyDescent="0.3">
      <c r="A1020" s="142">
        <v>44687</v>
      </c>
      <c r="B1020" s="50" t="s">
        <v>189</v>
      </c>
      <c r="C1020" s="5"/>
      <c r="D1020" s="5">
        <v>402969</v>
      </c>
      <c r="E1020" s="5">
        <f>+IF(FINANCIACION[[#This Row],[$ CAPITAL]]&gt;=0,FINANCIACION[[#This Row],[$ CAPITAL]]+FINANCIACION[[#This Row],[$ INTERESES]],"")</f>
        <v>402969</v>
      </c>
      <c r="F1020" s="5">
        <f>+SUMIFS(FINANCIACION[$ CAPITAL],FINANCIACION[Fecha],"&lt;="&amp;FINANCIACION[[#This Row],[Fecha]],FINANCIACION[PRESTAMO],FINANCIACION[[#This Row],[PRESTAMO]])</f>
        <v>0</v>
      </c>
      <c r="G1020" s="53"/>
      <c r="H1020" s="53"/>
      <c r="I1020" s="5" t="b">
        <f>+IF(FINANCIACION[[#This Row],[$ CAPITAL]]&gt;0,FINANCIACION[[#This Row],[$ CAPITAL]])</f>
        <v>0</v>
      </c>
      <c r="J1020" s="33">
        <f>+IF(FINANCIACION[[#This Row],[$ CAPITAL]]&gt;=0,FINANCIACION[[#This Row],[$ CAPITAL]]+FINANCIACION[[#This Row],[$ INTERESES]],0)</f>
        <v>402969</v>
      </c>
    </row>
    <row r="1021" spans="1:10" ht="24" hidden="1" customHeight="1" x14ac:dyDescent="0.3">
      <c r="A1021" s="142">
        <v>44691</v>
      </c>
      <c r="B1021" s="50" t="s">
        <v>830</v>
      </c>
      <c r="C1021" s="5"/>
      <c r="D1021" s="5">
        <v>130000</v>
      </c>
      <c r="E1021" s="5">
        <f>+IF(FINANCIACION[[#This Row],[$ CAPITAL]]&gt;=0,FINANCIACION[[#This Row],[$ CAPITAL]]+FINANCIACION[[#This Row],[$ INTERESES]],"")</f>
        <v>130000</v>
      </c>
      <c r="F1021" s="5">
        <f>+SUMIFS(FINANCIACION[$ CAPITAL],FINANCIACION[Fecha],"&lt;="&amp;FINANCIACION[[#This Row],[Fecha]],FINANCIACION[PRESTAMO],FINANCIACION[[#This Row],[PRESTAMO]])</f>
        <v>-13000000</v>
      </c>
      <c r="G1021" s="53"/>
      <c r="H1021" s="53"/>
      <c r="I1021" s="5" t="b">
        <f>+IF(FINANCIACION[[#This Row],[$ CAPITAL]]&gt;0,FINANCIACION[[#This Row],[$ CAPITAL]])</f>
        <v>0</v>
      </c>
      <c r="J1021" s="33">
        <f>+IF(FINANCIACION[[#This Row],[$ CAPITAL]]&gt;=0,FINANCIACION[[#This Row],[$ CAPITAL]]+FINANCIACION[[#This Row],[$ INTERESES]],0)</f>
        <v>130000</v>
      </c>
    </row>
    <row r="1022" spans="1:10" ht="24" hidden="1" customHeight="1" x14ac:dyDescent="0.3">
      <c r="A1022" s="142">
        <v>44691</v>
      </c>
      <c r="B1022" s="50" t="s">
        <v>834</v>
      </c>
      <c r="C1022" s="5"/>
      <c r="D1022" s="5">
        <v>400000</v>
      </c>
      <c r="E1022" s="5">
        <f>+IF(FINANCIACION[[#This Row],[$ CAPITAL]]&gt;=0,FINANCIACION[[#This Row],[$ CAPITAL]]+FINANCIACION[[#This Row],[$ INTERESES]],"")</f>
        <v>400000</v>
      </c>
      <c r="F1022" s="5">
        <f>+SUMIFS(FINANCIACION[$ CAPITAL],FINANCIACION[Fecha],"&lt;="&amp;FINANCIACION[[#This Row],[Fecha]],FINANCIACION[PRESTAMO],FINANCIACION[[#This Row],[PRESTAMO]])</f>
        <v>-40000000</v>
      </c>
      <c r="G1022" s="53"/>
      <c r="H1022" s="53"/>
      <c r="I1022" s="5" t="b">
        <f>+IF(FINANCIACION[[#This Row],[$ CAPITAL]]&gt;0,FINANCIACION[[#This Row],[$ CAPITAL]])</f>
        <v>0</v>
      </c>
      <c r="J1022" s="33">
        <f>+IF(FINANCIACION[[#This Row],[$ CAPITAL]]&gt;=0,FINANCIACION[[#This Row],[$ CAPITAL]]+FINANCIACION[[#This Row],[$ INTERESES]],0)</f>
        <v>400000</v>
      </c>
    </row>
    <row r="1023" spans="1:10" ht="24" hidden="1" customHeight="1" x14ac:dyDescent="0.3">
      <c r="A1023" s="142">
        <v>44691</v>
      </c>
      <c r="B1023" s="50" t="s">
        <v>819</v>
      </c>
      <c r="C1023" s="5">
        <v>2065424.6999828494</v>
      </c>
      <c r="D1023" s="5">
        <v>611953.30001715058</v>
      </c>
      <c r="E1023" s="5">
        <f>+IF(FINANCIACION[[#This Row],[$ CAPITAL]]&gt;=0,FINANCIACION[[#This Row],[$ CAPITAL]]+FINANCIACION[[#This Row],[$ INTERESES]],"")</f>
        <v>2677378</v>
      </c>
      <c r="F1023" s="5">
        <f>+SUMIFS(FINANCIACION[$ CAPITAL],FINANCIACION[Fecha],"&lt;="&amp;FINANCIACION[[#This Row],[Fecha]],FINANCIACION[PRESTAMO],FINANCIACION[[#This Row],[PRESTAMO]])</f>
        <v>-59129905.301732205</v>
      </c>
      <c r="G1023" s="53"/>
      <c r="H1023" s="53"/>
      <c r="I1023" s="5">
        <f>+IF(FINANCIACION[[#This Row],[$ CAPITAL]]&gt;0,FINANCIACION[[#This Row],[$ CAPITAL]])</f>
        <v>2065424.6999828494</v>
      </c>
      <c r="J1023" s="33">
        <f>+IF(FINANCIACION[[#This Row],[$ CAPITAL]]&gt;=0,FINANCIACION[[#This Row],[$ CAPITAL]]+FINANCIACION[[#This Row],[$ INTERESES]],0)</f>
        <v>2677378</v>
      </c>
    </row>
    <row r="1024" spans="1:10" ht="24" hidden="1" customHeight="1" x14ac:dyDescent="0.3">
      <c r="A1024" s="142">
        <v>44691</v>
      </c>
      <c r="B1024" s="50" t="s">
        <v>836</v>
      </c>
      <c r="C1024" s="5"/>
      <c r="D1024" s="5">
        <v>300000</v>
      </c>
      <c r="E1024" s="5">
        <f>+IF(FINANCIACION[[#This Row],[$ CAPITAL]]&gt;=0,FINANCIACION[[#This Row],[$ CAPITAL]]+FINANCIACION[[#This Row],[$ INTERESES]],"")</f>
        <v>300000</v>
      </c>
      <c r="F1024" s="5">
        <f>+SUMIFS(FINANCIACION[$ CAPITAL],FINANCIACION[Fecha],"&lt;="&amp;FINANCIACION[[#This Row],[Fecha]],FINANCIACION[PRESTAMO],FINANCIACION[[#This Row],[PRESTAMO]])</f>
        <v>-30120000</v>
      </c>
      <c r="G1024" s="53"/>
      <c r="H1024" s="53"/>
      <c r="I1024" s="5" t="b">
        <f>+IF(FINANCIACION[[#This Row],[$ CAPITAL]]&gt;0,FINANCIACION[[#This Row],[$ CAPITAL]])</f>
        <v>0</v>
      </c>
      <c r="J1024" s="33">
        <f>+IF(FINANCIACION[[#This Row],[$ CAPITAL]]&gt;=0,FINANCIACION[[#This Row],[$ CAPITAL]]+FINANCIACION[[#This Row],[$ INTERESES]],0)</f>
        <v>300000</v>
      </c>
    </row>
    <row r="1025" spans="1:10" ht="24" hidden="1" customHeight="1" x14ac:dyDescent="0.3">
      <c r="A1025" s="142">
        <v>44691</v>
      </c>
      <c r="B1025" s="50" t="s">
        <v>823</v>
      </c>
      <c r="C1025" s="5">
        <v>795754.82128151576</v>
      </c>
      <c r="D1025" s="5">
        <v>504245.17871848418</v>
      </c>
      <c r="E1025" s="5">
        <f>+IF(FINANCIACION[[#This Row],[$ CAPITAL]]&gt;=0,FINANCIACION[[#This Row],[$ CAPITAL]]+FINANCIACION[[#This Row],[$ INTERESES]],"")</f>
        <v>1300000</v>
      </c>
      <c r="F1025" s="5">
        <f>+SUMIFS(FINANCIACION[$ CAPITAL],FINANCIACION[Fecha],"&lt;="&amp;FINANCIACION[[#This Row],[Fecha]],FINANCIACION[PRESTAMO],FINANCIACION[[#This Row],[PRESTAMO]])</f>
        <v>-49628763.050566904</v>
      </c>
      <c r="G1025" s="53"/>
      <c r="H1025" s="53"/>
      <c r="I1025" s="5">
        <f>+IF(FINANCIACION[[#This Row],[$ CAPITAL]]&gt;0,FINANCIACION[[#This Row],[$ CAPITAL]])</f>
        <v>795754.82128151576</v>
      </c>
      <c r="J1025" s="33">
        <f>+IF(FINANCIACION[[#This Row],[$ CAPITAL]]&gt;=0,FINANCIACION[[#This Row],[$ CAPITAL]]+FINANCIACION[[#This Row],[$ INTERESES]],0)</f>
        <v>1300000</v>
      </c>
    </row>
    <row r="1026" spans="1:10" ht="24" hidden="1" customHeight="1" x14ac:dyDescent="0.3">
      <c r="A1026" s="142">
        <v>44691</v>
      </c>
      <c r="B1026" s="50" t="s">
        <v>820</v>
      </c>
      <c r="C1026" s="5">
        <v>516327.83662985766</v>
      </c>
      <c r="D1026" s="5">
        <v>683672.16337014234</v>
      </c>
      <c r="E1026" s="5">
        <f>+IF(FINANCIACION[[#This Row],[$ CAPITAL]]&gt;=0,FINANCIACION[[#This Row],[$ CAPITAL]]+FINANCIACION[[#This Row],[$ INTERESES]],"")</f>
        <v>1200000</v>
      </c>
      <c r="F1026" s="5">
        <f>+SUMIFS(FINANCIACION[$ CAPITAL],FINANCIACION[Fecha],"&lt;="&amp;FINANCIACION[[#This Row],[Fecha]],FINANCIACION[PRESTAMO],FINANCIACION[[#This Row],[PRESTAMO]])</f>
        <v>-68021576.360384375</v>
      </c>
      <c r="G1026" s="53"/>
      <c r="H1026" s="53"/>
      <c r="I1026" s="5">
        <f>+IF(FINANCIACION[[#This Row],[$ CAPITAL]]&gt;0,FINANCIACION[[#This Row],[$ CAPITAL]])</f>
        <v>516327.83662985766</v>
      </c>
      <c r="J1026" s="33">
        <f>+IF(FINANCIACION[[#This Row],[$ CAPITAL]]&gt;=0,FINANCIACION[[#This Row],[$ CAPITAL]]+FINANCIACION[[#This Row],[$ INTERESES]],0)</f>
        <v>1200000</v>
      </c>
    </row>
    <row r="1027" spans="1:10" ht="24" hidden="1" customHeight="1" x14ac:dyDescent="0.3">
      <c r="A1027" s="142">
        <v>44691</v>
      </c>
      <c r="B1027" s="50" t="s">
        <v>832</v>
      </c>
      <c r="C1027" s="5"/>
      <c r="D1027" s="5">
        <v>120000</v>
      </c>
      <c r="E1027" s="5">
        <f>+IF(FINANCIACION[[#This Row],[$ CAPITAL]]&gt;=0,FINANCIACION[[#This Row],[$ CAPITAL]]+FINANCIACION[[#This Row],[$ INTERESES]],"")</f>
        <v>120000</v>
      </c>
      <c r="F1027" s="5">
        <f>+SUMIFS(FINANCIACION[$ CAPITAL],FINANCIACION[Fecha],"&lt;="&amp;FINANCIACION[[#This Row],[Fecha]],FINANCIACION[PRESTAMO],FINANCIACION[[#This Row],[PRESTAMO]])</f>
        <v>-12000000</v>
      </c>
      <c r="G1027" s="53"/>
      <c r="H1027" s="53"/>
      <c r="I1027" s="5" t="b">
        <f>+IF(FINANCIACION[[#This Row],[$ CAPITAL]]&gt;0,FINANCIACION[[#This Row],[$ CAPITAL]])</f>
        <v>0</v>
      </c>
      <c r="J1027" s="33">
        <f>+IF(FINANCIACION[[#This Row],[$ CAPITAL]]&gt;=0,FINANCIACION[[#This Row],[$ CAPITAL]]+FINANCIACION[[#This Row],[$ INTERESES]],0)</f>
        <v>120000</v>
      </c>
    </row>
    <row r="1028" spans="1:10" ht="24" hidden="1" customHeight="1" x14ac:dyDescent="0.3">
      <c r="A1028" s="142">
        <v>44695</v>
      </c>
      <c r="B1028" s="50" t="s">
        <v>194</v>
      </c>
      <c r="C1028" s="5">
        <v>1944444</v>
      </c>
      <c r="D1028" s="5">
        <f>2183656.48-FINANCIACION[[#This Row],[$ CAPITAL]]</f>
        <v>239212.47999999998</v>
      </c>
      <c r="E1028" s="5">
        <f>+IF(FINANCIACION[[#This Row],[$ CAPITAL]]&gt;=0,FINANCIACION[[#This Row],[$ CAPITAL]]+FINANCIACION[[#This Row],[$ INTERESES]],"")</f>
        <v>2183656.48</v>
      </c>
      <c r="F1028" s="5">
        <f>+SUMIFS(FINANCIACION[$ CAPITAL],FINANCIACION[Fecha],"&lt;="&amp;FINANCIACION[[#This Row],[Fecha]],FINANCIACION[PRESTAMO],FINANCIACION[[#This Row],[PRESTAMO]])</f>
        <v>-23333336</v>
      </c>
      <c r="G1028" s="53"/>
      <c r="H1028" s="53"/>
      <c r="I1028" s="5">
        <f>+IF(FINANCIACION[[#This Row],[$ CAPITAL]]&gt;0,FINANCIACION[[#This Row],[$ CAPITAL]])</f>
        <v>1944444</v>
      </c>
      <c r="J1028" s="33">
        <f>+IF(FINANCIACION[[#This Row],[$ CAPITAL]]&gt;=0,FINANCIACION[[#This Row],[$ CAPITAL]]+FINANCIACION[[#This Row],[$ INTERESES]],0)</f>
        <v>2183656.48</v>
      </c>
    </row>
    <row r="1029" spans="1:10" ht="24" hidden="1" customHeight="1" x14ac:dyDescent="0.3">
      <c r="A1029" s="142">
        <v>44698</v>
      </c>
      <c r="B1029" s="50" t="s">
        <v>189</v>
      </c>
      <c r="C1029" s="5"/>
      <c r="D1029" s="5">
        <v>313775</v>
      </c>
      <c r="E1029" s="5">
        <f>+IF(FINANCIACION[[#This Row],[$ CAPITAL]]&gt;=0,FINANCIACION[[#This Row],[$ CAPITAL]]+FINANCIACION[[#This Row],[$ INTERESES]],"")</f>
        <v>313775</v>
      </c>
      <c r="F1029" s="5">
        <f>+SUMIFS(FINANCIACION[$ CAPITAL],FINANCIACION[Fecha],"&lt;="&amp;FINANCIACION[[#This Row],[Fecha]],FINANCIACION[PRESTAMO],FINANCIACION[[#This Row],[PRESTAMO]])</f>
        <v>0</v>
      </c>
      <c r="G1029" s="53"/>
      <c r="H1029" s="53"/>
      <c r="I1029" s="5" t="b">
        <f>+IF(FINANCIACION[[#This Row],[$ CAPITAL]]&gt;0,FINANCIACION[[#This Row],[$ CAPITAL]])</f>
        <v>0</v>
      </c>
      <c r="J1029" s="33">
        <f>+IF(FINANCIACION[[#This Row],[$ CAPITAL]]&gt;=0,FINANCIACION[[#This Row],[$ CAPITAL]]+FINANCIACION[[#This Row],[$ INTERESES]],0)</f>
        <v>313775</v>
      </c>
    </row>
    <row r="1030" spans="1:10" ht="24" hidden="1" customHeight="1" x14ac:dyDescent="0.3">
      <c r="A1030" s="142">
        <v>44699</v>
      </c>
      <c r="B1030" s="50" t="s">
        <v>833</v>
      </c>
      <c r="C1030" s="5">
        <v>1210827.8000000007</v>
      </c>
      <c r="D1030" s="5">
        <v>4172.1999999992549</v>
      </c>
      <c r="E1030" s="5">
        <f>+IF(FINANCIACION[[#This Row],[$ CAPITAL]]&gt;=0,FINANCIACION[[#This Row],[$ CAPITAL]]+FINANCIACION[[#This Row],[$ INTERESES]],"")</f>
        <v>1215000</v>
      </c>
      <c r="F1030" s="5">
        <f>+SUMIFS(FINANCIACION[$ CAPITAL],FINANCIACION[Fecha],"&lt;="&amp;FINANCIACION[[#This Row],[Fecha]],FINANCIACION[PRESTAMO],FINANCIACION[[#This Row],[PRESTAMO]])</f>
        <v>-12880593.1</v>
      </c>
      <c r="G1030" s="53"/>
      <c r="H1030" s="53"/>
      <c r="I1030" s="5">
        <f>+IF(FINANCIACION[[#This Row],[$ CAPITAL]]&gt;0,FINANCIACION[[#This Row],[$ CAPITAL]])</f>
        <v>1210827.8000000007</v>
      </c>
      <c r="J1030" s="33">
        <f>+IF(FINANCIACION[[#This Row],[$ CAPITAL]]&gt;=0,FINANCIACION[[#This Row],[$ CAPITAL]]+FINANCIACION[[#This Row],[$ INTERESES]],0)</f>
        <v>1215000</v>
      </c>
    </row>
    <row r="1031" spans="1:10" ht="24" hidden="1" customHeight="1" x14ac:dyDescent="0.3">
      <c r="A1031" s="142">
        <v>44699</v>
      </c>
      <c r="B1031" s="50" t="s">
        <v>878</v>
      </c>
      <c r="C1031" s="5">
        <v>2419046.4499999955</v>
      </c>
      <c r="D1031" s="5">
        <v>24953.55000000447</v>
      </c>
      <c r="E1031" s="5">
        <f>+IF(FINANCIACION[[#This Row],[$ CAPITAL]]&gt;=0,FINANCIACION[[#This Row],[$ CAPITAL]]+FINANCIACION[[#This Row],[$ INTERESES]],"")</f>
        <v>2444000</v>
      </c>
      <c r="F1031" s="5">
        <f>+SUMIFS(FINANCIACION[$ CAPITAL],FINANCIACION[Fecha],"&lt;="&amp;FINANCIACION[[#This Row],[Fecha]],FINANCIACION[PRESTAMO],FINANCIACION[[#This Row],[PRESTAMO]])</f>
        <v>-56658361.969999999</v>
      </c>
      <c r="G1031" s="53"/>
      <c r="H1031" s="53"/>
      <c r="I1031" s="5">
        <f>+IF(FINANCIACION[[#This Row],[$ CAPITAL]]&gt;0,FINANCIACION[[#This Row],[$ CAPITAL]])</f>
        <v>2419046.4499999955</v>
      </c>
      <c r="J1031" s="33">
        <f>+IF(FINANCIACION[[#This Row],[$ CAPITAL]]&gt;=0,FINANCIACION[[#This Row],[$ CAPITAL]]+FINANCIACION[[#This Row],[$ INTERESES]],0)</f>
        <v>2444000</v>
      </c>
    </row>
    <row r="1032" spans="1:10" ht="24" hidden="1" customHeight="1" x14ac:dyDescent="0.3">
      <c r="A1032" s="142">
        <v>44699</v>
      </c>
      <c r="B1032" s="50" t="s">
        <v>827</v>
      </c>
      <c r="C1032" s="5">
        <v>978160.14999999851</v>
      </c>
      <c r="D1032" s="5">
        <v>3839.8500000014901</v>
      </c>
      <c r="E1032" s="5">
        <f>+IF(FINANCIACION[[#This Row],[$ CAPITAL]]&gt;=0,FINANCIACION[[#This Row],[$ CAPITAL]]+FINANCIACION[[#This Row],[$ INTERESES]],"")</f>
        <v>982000</v>
      </c>
      <c r="F1032" s="5">
        <f>+SUMIFS(FINANCIACION[$ CAPITAL],FINANCIACION[Fecha],"&lt;="&amp;FINANCIACION[[#This Row],[Fecha]],FINANCIACION[PRESTAMO],FINANCIACION[[#This Row],[PRESTAMO]])</f>
        <v>-11870882.899999999</v>
      </c>
      <c r="G1032" s="53"/>
      <c r="H1032" s="53"/>
      <c r="I1032" s="5">
        <f>+IF(FINANCIACION[[#This Row],[$ CAPITAL]]&gt;0,FINANCIACION[[#This Row],[$ CAPITAL]])</f>
        <v>978160.14999999851</v>
      </c>
      <c r="J1032" s="33">
        <f>+IF(FINANCIACION[[#This Row],[$ CAPITAL]]&gt;=0,FINANCIACION[[#This Row],[$ CAPITAL]]+FINANCIACION[[#This Row],[$ INTERESES]],0)</f>
        <v>982000</v>
      </c>
    </row>
    <row r="1033" spans="1:10" ht="24" hidden="1" customHeight="1" x14ac:dyDescent="0.3">
      <c r="A1033" s="142">
        <v>44699</v>
      </c>
      <c r="B1033" s="50" t="s">
        <v>835</v>
      </c>
      <c r="C1033" s="5">
        <v>693257.62999999523</v>
      </c>
      <c r="D1033" s="5">
        <v>23742.370000004768</v>
      </c>
      <c r="E1033" s="5">
        <f>+IF(FINANCIACION[[#This Row],[$ CAPITAL]]&gt;=0,FINANCIACION[[#This Row],[$ CAPITAL]]+FINANCIACION[[#This Row],[$ INTERESES]],"")</f>
        <v>717000</v>
      </c>
      <c r="F1033" s="5">
        <f>+SUMIFS(FINANCIACION[$ CAPITAL],FINANCIACION[Fecha],"&lt;="&amp;FINANCIACION[[#This Row],[Fecha]],FINANCIACION[PRESTAMO],FINANCIACION[[#This Row],[PRESTAMO]])</f>
        <v>-79991465.180000007</v>
      </c>
      <c r="G1033" s="53"/>
      <c r="H1033" s="53"/>
      <c r="I1033" s="5">
        <f>+IF(FINANCIACION[[#This Row],[$ CAPITAL]]&gt;0,FINANCIACION[[#This Row],[$ CAPITAL]])</f>
        <v>693257.62999999523</v>
      </c>
      <c r="J1033" s="33">
        <f>+IF(FINANCIACION[[#This Row],[$ CAPITAL]]&gt;=0,FINANCIACION[[#This Row],[$ CAPITAL]]+FINANCIACION[[#This Row],[$ INTERESES]],0)</f>
        <v>717000</v>
      </c>
    </row>
    <row r="1034" spans="1:10" ht="24" hidden="1" customHeight="1" x14ac:dyDescent="0.3">
      <c r="A1034" s="142">
        <v>44699</v>
      </c>
      <c r="B1034" s="50" t="s">
        <v>829</v>
      </c>
      <c r="C1034" s="5">
        <v>1029822.5999999996</v>
      </c>
      <c r="D1034" s="5">
        <v>4177.4000000003725</v>
      </c>
      <c r="E1034" s="5">
        <f>+IF(FINANCIACION[[#This Row],[$ CAPITAL]]&gt;=0,FINANCIACION[[#This Row],[$ CAPITAL]]+FINANCIACION[[#This Row],[$ INTERESES]],"")</f>
        <v>1034000</v>
      </c>
      <c r="F1034" s="5">
        <f>+SUMIFS(FINANCIACION[$ CAPITAL],FINANCIACION[Fecha],"&lt;="&amp;FINANCIACION[[#This Row],[Fecha]],FINANCIACION[PRESTAMO],FINANCIACION[[#This Row],[PRESTAMO]])</f>
        <v>-13350623.899999999</v>
      </c>
      <c r="G1034" s="53"/>
      <c r="H1034" s="53"/>
      <c r="I1034" s="5">
        <f>+IF(FINANCIACION[[#This Row],[$ CAPITAL]]&gt;0,FINANCIACION[[#This Row],[$ CAPITAL]])</f>
        <v>1029822.5999999996</v>
      </c>
      <c r="J1034" s="33">
        <f>+IF(FINANCIACION[[#This Row],[$ CAPITAL]]&gt;=0,FINANCIACION[[#This Row],[$ CAPITAL]]+FINANCIACION[[#This Row],[$ INTERESES]],0)</f>
        <v>1034000</v>
      </c>
    </row>
    <row r="1035" spans="1:10" ht="24" hidden="1" customHeight="1" x14ac:dyDescent="0.3">
      <c r="A1035" s="142">
        <v>44699</v>
      </c>
      <c r="B1035" s="50" t="s">
        <v>825</v>
      </c>
      <c r="C1035" s="5">
        <v>2460979.870000001</v>
      </c>
      <c r="D1035" s="5">
        <v>9020.1299999989569</v>
      </c>
      <c r="E1035" s="5">
        <f>+IF(FINANCIACION[[#This Row],[$ CAPITAL]]&gt;=0,FINANCIACION[[#This Row],[$ CAPITAL]]+FINANCIACION[[#This Row],[$ INTERESES]],"")</f>
        <v>2470000</v>
      </c>
      <c r="F1035" s="5">
        <f>+SUMIFS(FINANCIACION[$ CAPITAL],FINANCIACION[Fecha],"&lt;="&amp;FINANCIACION[[#This Row],[Fecha]],FINANCIACION[PRESTAMO],FINANCIACION[[#This Row],[PRESTAMO]])</f>
        <v>-28237172.5</v>
      </c>
      <c r="G1035" s="53"/>
      <c r="H1035" s="53"/>
      <c r="I1035" s="5">
        <f>+IF(FINANCIACION[[#This Row],[$ CAPITAL]]&gt;0,FINANCIACION[[#This Row],[$ CAPITAL]])</f>
        <v>2460979.870000001</v>
      </c>
      <c r="J1035" s="33">
        <f>+IF(FINANCIACION[[#This Row],[$ CAPITAL]]&gt;=0,FINANCIACION[[#This Row],[$ CAPITAL]]+FINANCIACION[[#This Row],[$ INTERESES]],0)</f>
        <v>2470000</v>
      </c>
    </row>
    <row r="1036" spans="1:10" ht="24" hidden="1" customHeight="1" x14ac:dyDescent="0.3">
      <c r="A1036" s="142">
        <v>44699</v>
      </c>
      <c r="B1036" s="50" t="s">
        <v>826</v>
      </c>
      <c r="C1036" s="5">
        <v>3603928</v>
      </c>
      <c r="D1036" s="5">
        <v>14072</v>
      </c>
      <c r="E1036" s="5">
        <f>+IF(FINANCIACION[[#This Row],[$ CAPITAL]]&gt;=0,FINANCIACION[[#This Row],[$ CAPITAL]]+FINANCIACION[[#This Row],[$ INTERESES]],"")</f>
        <v>3618000</v>
      </c>
      <c r="F1036" s="5">
        <f>+SUMIFS(FINANCIACION[$ CAPITAL],FINANCIACION[Fecha],"&lt;="&amp;FINANCIACION[[#This Row],[Fecha]],FINANCIACION[PRESTAMO],FINANCIACION[[#This Row],[PRESTAMO]])</f>
        <v>-40907285.619999997</v>
      </c>
      <c r="G1036" s="53"/>
      <c r="H1036" s="53"/>
      <c r="I1036" s="5">
        <f>+IF(FINANCIACION[[#This Row],[$ CAPITAL]]&gt;0,FINANCIACION[[#This Row],[$ CAPITAL]])</f>
        <v>3603928</v>
      </c>
      <c r="J1036" s="33">
        <f>+IF(FINANCIACION[[#This Row],[$ CAPITAL]]&gt;=0,FINANCIACION[[#This Row],[$ CAPITAL]]+FINANCIACION[[#This Row],[$ INTERESES]],0)</f>
        <v>3618000</v>
      </c>
    </row>
    <row r="1037" spans="1:10" ht="24" hidden="1" customHeight="1" x14ac:dyDescent="0.3">
      <c r="A1037" s="142">
        <v>44699</v>
      </c>
      <c r="B1037" s="50" t="s">
        <v>821</v>
      </c>
      <c r="C1037" s="5">
        <v>5828926</v>
      </c>
      <c r="D1037" s="5">
        <v>266879</v>
      </c>
      <c r="E1037" s="5">
        <f>+IF(FINANCIACION[[#This Row],[$ CAPITAL]]&gt;=0,FINANCIACION[[#This Row],[$ CAPITAL]]+FINANCIACION[[#This Row],[$ INTERESES]],"")</f>
        <v>6095805</v>
      </c>
      <c r="F1037" s="5">
        <f>+SUMIFS(FINANCIACION[$ CAPITAL],FINANCIACION[Fecha],"&lt;="&amp;FINANCIACION[[#This Row],[Fecha]],FINANCIACION[PRESTAMO],FINANCIACION[[#This Row],[PRESTAMO]])</f>
        <v>-366441690</v>
      </c>
      <c r="G1037" s="53"/>
      <c r="H1037" s="53"/>
      <c r="I1037" s="5">
        <f>+IF(FINANCIACION[[#This Row],[$ CAPITAL]]&gt;0,FINANCIACION[[#This Row],[$ CAPITAL]])</f>
        <v>5828926</v>
      </c>
      <c r="J1037" s="33">
        <f>+IF(FINANCIACION[[#This Row],[$ CAPITAL]]&gt;=0,FINANCIACION[[#This Row],[$ CAPITAL]]+FINANCIACION[[#This Row],[$ INTERESES]],0)</f>
        <v>6095805</v>
      </c>
    </row>
    <row r="1038" spans="1:10" ht="24" hidden="1" customHeight="1" x14ac:dyDescent="0.3">
      <c r="A1038" s="142">
        <v>44699</v>
      </c>
      <c r="B1038" s="50" t="s">
        <v>822</v>
      </c>
      <c r="C1038" s="5">
        <v>1459387.4000000004</v>
      </c>
      <c r="D1038" s="5">
        <v>4612.5999999996275</v>
      </c>
      <c r="E1038" s="5">
        <f>+IF(FINANCIACION[[#This Row],[$ CAPITAL]]&gt;=0,FINANCIACION[[#This Row],[$ CAPITAL]]+FINANCIACION[[#This Row],[$ INTERESES]],"")</f>
        <v>1464000</v>
      </c>
      <c r="F1038" s="5">
        <f>+SUMIFS(FINANCIACION[$ CAPITAL],FINANCIACION[Fecha],"&lt;="&amp;FINANCIACION[[#This Row],[Fecha]],FINANCIACION[PRESTAMO],FINANCIACION[[#This Row],[PRESTAMO]])</f>
        <v>-14259844.760000002</v>
      </c>
      <c r="G1038" s="53"/>
      <c r="H1038" s="53"/>
      <c r="I1038" s="5">
        <f>+IF(FINANCIACION[[#This Row],[$ CAPITAL]]&gt;0,FINANCIACION[[#This Row],[$ CAPITAL]])</f>
        <v>1459387.4000000004</v>
      </c>
      <c r="J1038" s="33">
        <f>+IF(FINANCIACION[[#This Row],[$ CAPITAL]]&gt;=0,FINANCIACION[[#This Row],[$ CAPITAL]]+FINANCIACION[[#This Row],[$ INTERESES]],0)</f>
        <v>1464000</v>
      </c>
    </row>
    <row r="1039" spans="1:10" ht="24" hidden="1" customHeight="1" x14ac:dyDescent="0.3">
      <c r="A1039" s="142">
        <v>44701</v>
      </c>
      <c r="B1039" s="50" t="s">
        <v>974</v>
      </c>
      <c r="C1039" s="5">
        <f>+FINANCIACION[[#This Row],[VALOR EN DOLARES]]*4100</f>
        <v>-42314501</v>
      </c>
      <c r="D1039" s="5"/>
      <c r="E1039" s="5" t="str">
        <f>+IF(FINANCIACION[[#This Row],[$ CAPITAL]]&gt;=0,FINANCIACION[[#This Row],[$ CAPITAL]]+FINANCIACION[[#This Row],[$ INTERESES]],"")</f>
        <v/>
      </c>
      <c r="F1039" s="5">
        <f>+SUMIFS(FINANCIACION[$ CAPITAL],FINANCIACION[Fecha],"&lt;="&amp;FINANCIACION[[#This Row],[Fecha]],FINANCIACION[PRESTAMO],FINANCIACION[[#This Row],[PRESTAMO]])</f>
        <v>-42314501</v>
      </c>
      <c r="G1039" s="53" t="s">
        <v>975</v>
      </c>
      <c r="H1039" s="53">
        <v>-10320.61</v>
      </c>
      <c r="I1039" s="5" t="b">
        <f>+IF(FINANCIACION[[#This Row],[$ CAPITAL]]&gt;0,FINANCIACION[[#This Row],[$ CAPITAL]])</f>
        <v>0</v>
      </c>
      <c r="J1039" s="33">
        <f>+IF(FINANCIACION[[#This Row],[$ CAPITAL]]&gt;=0,FINANCIACION[[#This Row],[$ CAPITAL]]+FINANCIACION[[#This Row],[$ INTERESES]],0)</f>
        <v>0</v>
      </c>
    </row>
    <row r="1040" spans="1:10" ht="24" hidden="1" customHeight="1" x14ac:dyDescent="0.3">
      <c r="A1040" s="142">
        <v>44704</v>
      </c>
      <c r="B1040" s="50" t="s">
        <v>1131</v>
      </c>
      <c r="C1040" s="5">
        <v>453998</v>
      </c>
      <c r="D1040" s="5">
        <v>54470</v>
      </c>
      <c r="E1040" s="5">
        <f>+IF(FINANCIACION[[#This Row],[$ CAPITAL]]&gt;=0,FINANCIACION[[#This Row],[$ CAPITAL]]+FINANCIACION[[#This Row],[$ INTERESES]],"")</f>
        <v>508468</v>
      </c>
      <c r="F1040" s="5">
        <f>+SUMIFS(FINANCIACION[$ CAPITAL],FINANCIACION[Fecha],"&lt;="&amp;FINANCIACION[[#This Row],[Fecha]],FINANCIACION[PRESTAMO],FINANCIACION[[#This Row],[PRESTAMO]])</f>
        <v>-4993978</v>
      </c>
      <c r="G1040" s="53"/>
      <c r="H1040" s="53"/>
      <c r="I1040" s="5">
        <f>+IF(FINANCIACION[[#This Row],[$ CAPITAL]]&gt;0,FINANCIACION[[#This Row],[$ CAPITAL]])</f>
        <v>453998</v>
      </c>
      <c r="J1040" s="33">
        <f>+IF(FINANCIACION[[#This Row],[$ CAPITAL]]&gt;=0,FINANCIACION[[#This Row],[$ CAPITAL]]+FINANCIACION[[#This Row],[$ INTERESES]],0)</f>
        <v>508468</v>
      </c>
    </row>
    <row r="1041" spans="1:10" ht="24" hidden="1" customHeight="1" x14ac:dyDescent="0.3">
      <c r="A1041" s="142">
        <v>44712</v>
      </c>
      <c r="B1041" s="50" t="s">
        <v>187</v>
      </c>
      <c r="C1041" s="5">
        <v>1468400</v>
      </c>
      <c r="D1041" s="5">
        <f>1901499-FINANCIACION[[#This Row],[$ CAPITAL]]</f>
        <v>433099</v>
      </c>
      <c r="E1041" s="5">
        <f>+IF(FINANCIACION[[#This Row],[$ CAPITAL]]&gt;=0,FINANCIACION[[#This Row],[$ CAPITAL]]+FINANCIACION[[#This Row],[$ INTERESES]],"")</f>
        <v>1901499</v>
      </c>
      <c r="F1041" s="5">
        <f>+SUMIFS(FINANCIACION[$ CAPITAL],FINANCIACION[Fecha],"&lt;="&amp;FINANCIACION[[#This Row],[Fecha]],FINANCIACION[PRESTAMO],FINANCIACION[[#This Row],[PRESTAMO]])</f>
        <v>-32304800</v>
      </c>
      <c r="G1041" s="53"/>
      <c r="H1041" s="53"/>
      <c r="I1041" s="5">
        <f>+IF(FINANCIACION[[#This Row],[$ CAPITAL]]&gt;0,FINANCIACION[[#This Row],[$ CAPITAL]])</f>
        <v>1468400</v>
      </c>
      <c r="J1041" s="33">
        <f>+IF(FINANCIACION[[#This Row],[$ CAPITAL]]&gt;=0,FINANCIACION[[#This Row],[$ CAPITAL]]+FINANCIACION[[#This Row],[$ INTERESES]],0)</f>
        <v>1901499</v>
      </c>
    </row>
    <row r="1042" spans="1:10" ht="24" hidden="1" customHeight="1" x14ac:dyDescent="0.3">
      <c r="A1042" s="142">
        <v>44712</v>
      </c>
      <c r="B1042" s="50" t="s">
        <v>188</v>
      </c>
      <c r="C1042" s="5">
        <v>76791</v>
      </c>
      <c r="D1042" s="5"/>
      <c r="E1042" s="5">
        <f>+IF(FINANCIACION[[#This Row],[$ CAPITAL]]&gt;=0,FINANCIACION[[#This Row],[$ CAPITAL]]+FINANCIACION[[#This Row],[$ INTERESES]],"")</f>
        <v>76791</v>
      </c>
      <c r="F1042" s="5">
        <f>+SUMIFS(FINANCIACION[$ CAPITAL],FINANCIACION[Fecha],"&lt;="&amp;FINANCIACION[[#This Row],[Fecha]],FINANCIACION[PRESTAMO],FINANCIACION[[#This Row],[PRESTAMO]])</f>
        <v>-1689402</v>
      </c>
      <c r="G1042" s="53"/>
      <c r="H1042" s="53"/>
      <c r="I1042" s="5">
        <f>+IF(FINANCIACION[[#This Row],[$ CAPITAL]]&gt;0,FINANCIACION[[#This Row],[$ CAPITAL]])</f>
        <v>76791</v>
      </c>
      <c r="J1042" s="33">
        <f>+IF(FINANCIACION[[#This Row],[$ CAPITAL]]&gt;=0,FINANCIACION[[#This Row],[$ CAPITAL]]+FINANCIACION[[#This Row],[$ INTERESES]],0)</f>
        <v>76791</v>
      </c>
    </row>
    <row r="1043" spans="1:10" ht="24" hidden="1" customHeight="1" x14ac:dyDescent="0.3">
      <c r="A1043" s="142">
        <v>44712</v>
      </c>
      <c r="B1043" s="50" t="s">
        <v>189</v>
      </c>
      <c r="C1043" s="5"/>
      <c r="D1043" s="5">
        <v>148668</v>
      </c>
      <c r="E1043" s="5">
        <f>+IF(FINANCIACION[[#This Row],[$ CAPITAL]]&gt;=0,FINANCIACION[[#This Row],[$ CAPITAL]]+FINANCIACION[[#This Row],[$ INTERESES]],"")</f>
        <v>148668</v>
      </c>
      <c r="F1043" s="5">
        <f>+SUMIFS(FINANCIACION[$ CAPITAL],FINANCIACION[Fecha],"&lt;="&amp;FINANCIACION[[#This Row],[Fecha]],FINANCIACION[PRESTAMO],FINANCIACION[[#This Row],[PRESTAMO]])</f>
        <v>0</v>
      </c>
      <c r="G1043" s="53"/>
      <c r="H1043" s="53"/>
      <c r="I1043" s="5" t="b">
        <f>+IF(FINANCIACION[[#This Row],[$ CAPITAL]]&gt;0,FINANCIACION[[#This Row],[$ CAPITAL]])</f>
        <v>0</v>
      </c>
      <c r="J1043" s="33">
        <f>+IF(FINANCIACION[[#This Row],[$ CAPITAL]]&gt;=0,FINANCIACION[[#This Row],[$ CAPITAL]]+FINANCIACION[[#This Row],[$ INTERESES]],0)</f>
        <v>148668</v>
      </c>
    </row>
    <row r="1044" spans="1:10" ht="24" hidden="1" customHeight="1" x14ac:dyDescent="0.3">
      <c r="A1044" s="142">
        <v>44712</v>
      </c>
      <c r="B1044" s="50" t="s">
        <v>372</v>
      </c>
      <c r="C1044" s="5">
        <v>1185406</v>
      </c>
      <c r="D1044" s="5"/>
      <c r="E1044" s="5">
        <f>+IF(FINANCIACION[[#This Row],[$ CAPITAL]]&gt;=0,FINANCIACION[[#This Row],[$ CAPITAL]]+FINANCIACION[[#This Row],[$ INTERESES]],"")</f>
        <v>1185406</v>
      </c>
      <c r="F1044" s="5">
        <f>+SUMIFS(FINANCIACION[$ CAPITAL],FINANCIACION[Fecha],"&lt;="&amp;FINANCIACION[[#This Row],[Fecha]],FINANCIACION[PRESTAMO],FINANCIACION[[#This Row],[PRESTAMO]])</f>
        <v>-22522714</v>
      </c>
      <c r="G1044" s="53" t="s">
        <v>225</v>
      </c>
      <c r="H1044" s="53"/>
      <c r="I1044" s="5">
        <f>+IF(FINANCIACION[[#This Row],[$ CAPITAL]]&gt;0,FINANCIACION[[#This Row],[$ CAPITAL]])</f>
        <v>1185406</v>
      </c>
      <c r="J1044" s="33">
        <f>+IF(FINANCIACION[[#This Row],[$ CAPITAL]]&gt;=0,FINANCIACION[[#This Row],[$ CAPITAL]]+FINANCIACION[[#This Row],[$ INTERESES]],0)</f>
        <v>1185406</v>
      </c>
    </row>
    <row r="1045" spans="1:10" ht="24" hidden="1" customHeight="1" x14ac:dyDescent="0.3">
      <c r="A1045" s="142">
        <v>44712</v>
      </c>
      <c r="B1045" s="50" t="s">
        <v>486</v>
      </c>
      <c r="C1045" s="5">
        <v>2737538</v>
      </c>
      <c r="D1045" s="5"/>
      <c r="E1045" s="5">
        <f>+IF(FINANCIACION[[#This Row],[$ CAPITAL]]&gt;=0,FINANCIACION[[#This Row],[$ CAPITAL]]+FINANCIACION[[#This Row],[$ INTERESES]],"")</f>
        <v>2737538</v>
      </c>
      <c r="F1045" s="5">
        <f>+SUMIFS(FINANCIACION[$ CAPITAL],FINANCIACION[Fecha],"&lt;="&amp;FINANCIACION[[#This Row],[Fecha]],FINANCIACION[PRESTAMO],FINANCIACION[[#This Row],[PRESTAMO]])</f>
        <v>-52013222</v>
      </c>
      <c r="G1045" s="53" t="s">
        <v>225</v>
      </c>
      <c r="H1045" s="53"/>
      <c r="I1045" s="5">
        <f>+IF(FINANCIACION[[#This Row],[$ CAPITAL]]&gt;0,FINANCIACION[[#This Row],[$ CAPITAL]])</f>
        <v>2737538</v>
      </c>
      <c r="J1045" s="33">
        <f>+IF(FINANCIACION[[#This Row],[$ CAPITAL]]&gt;=0,FINANCIACION[[#This Row],[$ CAPITAL]]+FINANCIACION[[#This Row],[$ INTERESES]],0)</f>
        <v>2737538</v>
      </c>
    </row>
    <row r="1046" spans="1:10" ht="24" hidden="1" customHeight="1" x14ac:dyDescent="0.3">
      <c r="A1046" s="142">
        <v>44712</v>
      </c>
      <c r="B1046" s="50" t="s">
        <v>611</v>
      </c>
      <c r="C1046" s="5">
        <v>2886872</v>
      </c>
      <c r="D1046" s="5"/>
      <c r="E1046" s="5">
        <f>+IF(FINANCIACION[[#This Row],[$ CAPITAL]]&gt;=0,FINANCIACION[[#This Row],[$ CAPITAL]]+FINANCIACION[[#This Row],[$ INTERESES]],"")</f>
        <v>2886872</v>
      </c>
      <c r="F1046" s="5">
        <f>+SUMIFS(FINANCIACION[$ CAPITAL],FINANCIACION[Fecha],"&lt;="&amp;FINANCIACION[[#This Row],[Fecha]],FINANCIACION[PRESTAMO],FINANCIACION[[#This Row],[PRESTAMO]])</f>
        <v>-54850568</v>
      </c>
      <c r="G1046" s="53" t="s">
        <v>225</v>
      </c>
      <c r="H1046" s="53"/>
      <c r="I1046" s="5">
        <f>+IF(FINANCIACION[[#This Row],[$ CAPITAL]]&gt;0,FINANCIACION[[#This Row],[$ CAPITAL]])</f>
        <v>2886872</v>
      </c>
      <c r="J1046" s="33">
        <f>+IF(FINANCIACION[[#This Row],[$ CAPITAL]]&gt;=0,FINANCIACION[[#This Row],[$ CAPITAL]]+FINANCIACION[[#This Row],[$ INTERESES]],0)</f>
        <v>2886872</v>
      </c>
    </row>
    <row r="1047" spans="1:10" ht="24" hidden="1" customHeight="1" x14ac:dyDescent="0.3">
      <c r="A1047" s="142">
        <v>44712</v>
      </c>
      <c r="B1047" s="50" t="s">
        <v>974</v>
      </c>
      <c r="C1047" s="5">
        <v>3096183</v>
      </c>
      <c r="D1047" s="5"/>
      <c r="E1047" s="5">
        <f>+IF(FINANCIACION[[#This Row],[$ CAPITAL]]&gt;=0,FINANCIACION[[#This Row],[$ CAPITAL]]+FINANCIACION[[#This Row],[$ INTERESES]],"")</f>
        <v>3096183</v>
      </c>
      <c r="F1047" s="5">
        <f>+SUMIFS(FINANCIACION[$ CAPITAL],FINANCIACION[Fecha],"&lt;="&amp;FINANCIACION[[#This Row],[Fecha]],FINANCIACION[PRESTAMO],FINANCIACION[[#This Row],[PRESTAMO]])</f>
        <v>-39218318</v>
      </c>
      <c r="G1047" s="53" t="s">
        <v>225</v>
      </c>
      <c r="H1047" s="53"/>
      <c r="I1047" s="5">
        <f>+IF(FINANCIACION[[#This Row],[$ CAPITAL]]&gt;0,FINANCIACION[[#This Row],[$ CAPITAL]])</f>
        <v>3096183</v>
      </c>
      <c r="J1047" s="33">
        <f>+IF(FINANCIACION[[#This Row],[$ CAPITAL]]&gt;=0,FINANCIACION[[#This Row],[$ CAPITAL]]+FINANCIACION[[#This Row],[$ INTERESES]],0)</f>
        <v>3096183</v>
      </c>
    </row>
    <row r="1048" spans="1:10" ht="24" hidden="1" customHeight="1" x14ac:dyDescent="0.3">
      <c r="A1048" s="142">
        <v>44712</v>
      </c>
      <c r="B1048" s="50" t="s">
        <v>195</v>
      </c>
      <c r="C1048" s="5">
        <v>-1169773</v>
      </c>
      <c r="D1048" s="5"/>
      <c r="E1048" s="5" t="str">
        <f>+IF(FINANCIACION[[#This Row],[$ CAPITAL]]&gt;=0,FINANCIACION[[#This Row],[$ CAPITAL]]+FINANCIACION[[#This Row],[$ INTERESES]],"")</f>
        <v/>
      </c>
      <c r="F1048" s="5">
        <f>+SUMIFS(FINANCIACION[$ CAPITAL],FINANCIACION[Fecha],"&lt;="&amp;FINANCIACION[[#This Row],[Fecha]],FINANCIACION[PRESTAMO],FINANCIACION[[#This Row],[PRESTAMO]])</f>
        <v>-2949682</v>
      </c>
      <c r="G1048" s="53" t="s">
        <v>225</v>
      </c>
      <c r="H1048" s="53"/>
      <c r="I1048" s="5" t="b">
        <f>+IF(FINANCIACION[[#This Row],[$ CAPITAL]]&gt;0,FINANCIACION[[#This Row],[$ CAPITAL]])</f>
        <v>0</v>
      </c>
      <c r="J1048" s="33">
        <f>+IF(FINANCIACION[[#This Row],[$ CAPITAL]]&gt;=0,FINANCIACION[[#This Row],[$ CAPITAL]]+FINANCIACION[[#This Row],[$ INTERESES]],0)</f>
        <v>0</v>
      </c>
    </row>
    <row r="1049" spans="1:10" ht="24" hidden="1" customHeight="1" x14ac:dyDescent="0.3">
      <c r="A1049" s="142">
        <v>44712</v>
      </c>
      <c r="B1049" s="50" t="s">
        <v>196</v>
      </c>
      <c r="C1049" s="5">
        <v>-773800</v>
      </c>
      <c r="D1049" s="5"/>
      <c r="E1049" s="5" t="str">
        <f>+IF(FINANCIACION[[#This Row],[$ CAPITAL]]&gt;=0,FINANCIACION[[#This Row],[$ CAPITAL]]+FINANCIACION[[#This Row],[$ INTERESES]],"")</f>
        <v/>
      </c>
      <c r="F1049" s="5">
        <f>+SUMIFS(FINANCIACION[$ CAPITAL],FINANCIACION[Fecha],"&lt;="&amp;FINANCIACION[[#This Row],[Fecha]],FINANCIACION[PRESTAMO],FINANCIACION[[#This Row],[PRESTAMO]])</f>
        <v>-33633800</v>
      </c>
      <c r="G1049" s="53" t="s">
        <v>225</v>
      </c>
      <c r="H1049" s="53"/>
      <c r="I1049" s="5" t="b">
        <f>+IF(FINANCIACION[[#This Row],[$ CAPITAL]]&gt;0,FINANCIACION[[#This Row],[$ CAPITAL]])</f>
        <v>0</v>
      </c>
      <c r="J1049" s="33">
        <f>+IF(FINANCIACION[[#This Row],[$ CAPITAL]]&gt;=0,FINANCIACION[[#This Row],[$ CAPITAL]]+FINANCIACION[[#This Row],[$ INTERESES]],0)</f>
        <v>0</v>
      </c>
    </row>
    <row r="1050" spans="1:10" ht="24" hidden="1" customHeight="1" x14ac:dyDescent="0.3">
      <c r="A1050" s="142">
        <v>44712</v>
      </c>
      <c r="B1050" s="50" t="s">
        <v>197</v>
      </c>
      <c r="C1050" s="5">
        <v>746388</v>
      </c>
      <c r="D1050" s="5"/>
      <c r="E1050" s="5">
        <f>+IF(FINANCIACION[[#This Row],[$ CAPITAL]]&gt;=0,FINANCIACION[[#This Row],[$ CAPITAL]]+FINANCIACION[[#This Row],[$ INTERESES]],"")</f>
        <v>746388</v>
      </c>
      <c r="F1050" s="5">
        <f>+SUMIFS(FINANCIACION[$ CAPITAL],FINANCIACION[Fecha],"&lt;="&amp;FINANCIACION[[#This Row],[Fecha]],FINANCIACION[PRESTAMO],FINANCIACION[[#This Row],[PRESTAMO]])</f>
        <v>-9349218</v>
      </c>
      <c r="G1050" s="53" t="s">
        <v>225</v>
      </c>
      <c r="H1050" s="53"/>
      <c r="I1050" s="5">
        <f>+IF(FINANCIACION[[#This Row],[$ CAPITAL]]&gt;0,FINANCIACION[[#This Row],[$ CAPITAL]])</f>
        <v>746388</v>
      </c>
      <c r="J1050" s="33">
        <f>+IF(FINANCIACION[[#This Row],[$ CAPITAL]]&gt;=0,FINANCIACION[[#This Row],[$ CAPITAL]]+FINANCIACION[[#This Row],[$ INTERESES]],0)</f>
        <v>746388</v>
      </c>
    </row>
    <row r="1051" spans="1:10" ht="24" hidden="1" customHeight="1" x14ac:dyDescent="0.3">
      <c r="A1051" s="142">
        <v>44718</v>
      </c>
      <c r="B1051" s="50" t="s">
        <v>839</v>
      </c>
      <c r="C1051" s="5">
        <v>1744958</v>
      </c>
      <c r="D1051" s="5">
        <v>192858</v>
      </c>
      <c r="E1051" s="5">
        <f>+IF(FINANCIACION[[#This Row],[$ CAPITAL]]&gt;=0,FINANCIACION[[#This Row],[$ CAPITAL]]+FINANCIACION[[#This Row],[$ INTERESES]],"")</f>
        <v>1937816</v>
      </c>
      <c r="F1051" s="5">
        <f>+SUMIFS(FINANCIACION[$ CAPITAL],FINANCIACION[Fecha],"&lt;="&amp;FINANCIACION[[#This Row],[Fecha]],FINANCIACION[PRESTAMO],FINANCIACION[[#This Row],[PRESTAMO]])</f>
        <v>-13959674</v>
      </c>
      <c r="G1051" s="53"/>
      <c r="H1051" s="53"/>
      <c r="I1051" s="5">
        <f>+IF(FINANCIACION[[#This Row],[$ CAPITAL]]&gt;0,FINANCIACION[[#This Row],[$ CAPITAL]])</f>
        <v>1744958</v>
      </c>
      <c r="J1051" s="33">
        <f>+IF(FINANCIACION[[#This Row],[$ CAPITAL]]&gt;=0,FINANCIACION[[#This Row],[$ CAPITAL]]+FINANCIACION[[#This Row],[$ INTERESES]],0)</f>
        <v>1937816</v>
      </c>
    </row>
    <row r="1052" spans="1:10" ht="24" hidden="1" customHeight="1" x14ac:dyDescent="0.3">
      <c r="A1052" s="142">
        <v>44718</v>
      </c>
      <c r="B1052" s="50" t="s">
        <v>189</v>
      </c>
      <c r="C1052" s="5"/>
      <c r="D1052" s="5">
        <v>401980</v>
      </c>
      <c r="E1052" s="5">
        <f>+IF(FINANCIACION[[#This Row],[$ CAPITAL]]&gt;=0,FINANCIACION[[#This Row],[$ CAPITAL]]+FINANCIACION[[#This Row],[$ INTERESES]],"")</f>
        <v>401980</v>
      </c>
      <c r="F1052" s="5">
        <f>+SUMIFS(FINANCIACION[$ CAPITAL],FINANCIACION[Fecha],"&lt;="&amp;FINANCIACION[[#This Row],[Fecha]],FINANCIACION[PRESTAMO],FINANCIACION[[#This Row],[PRESTAMO]])</f>
        <v>0</v>
      </c>
      <c r="G1052" s="53"/>
      <c r="H1052" s="53"/>
      <c r="I1052" s="5" t="b">
        <f>+IF(FINANCIACION[[#This Row],[$ CAPITAL]]&gt;0,FINANCIACION[[#This Row],[$ CAPITAL]])</f>
        <v>0</v>
      </c>
      <c r="J1052" s="33">
        <f>+IF(FINANCIACION[[#This Row],[$ CAPITAL]]&gt;=0,FINANCIACION[[#This Row],[$ CAPITAL]]+FINANCIACION[[#This Row],[$ INTERESES]],0)</f>
        <v>401980</v>
      </c>
    </row>
    <row r="1053" spans="1:10" ht="24" hidden="1" customHeight="1" x14ac:dyDescent="0.3">
      <c r="A1053" s="142">
        <v>44719</v>
      </c>
      <c r="B1053" s="50" t="s">
        <v>836</v>
      </c>
      <c r="C1053" s="5">
        <v>20120000</v>
      </c>
      <c r="D1053" s="5">
        <v>300000</v>
      </c>
      <c r="E1053" s="5">
        <f>+IF(FINANCIACION[[#This Row],[$ CAPITAL]]&gt;=0,FINANCIACION[[#This Row],[$ CAPITAL]]+FINANCIACION[[#This Row],[$ INTERESES]],"")</f>
        <v>20420000</v>
      </c>
      <c r="F1053" s="5">
        <f>+SUMIFS(FINANCIACION[$ CAPITAL],FINANCIACION[Fecha],"&lt;="&amp;FINANCIACION[[#This Row],[Fecha]],FINANCIACION[PRESTAMO],FINANCIACION[[#This Row],[PRESTAMO]])</f>
        <v>-10000000</v>
      </c>
      <c r="G1053" s="53" t="s">
        <v>1025</v>
      </c>
      <c r="H1053" s="53"/>
      <c r="I1053" s="5">
        <f>+IF(FINANCIACION[[#This Row],[$ CAPITAL]]&gt;0,FINANCIACION[[#This Row],[$ CAPITAL]])</f>
        <v>20120000</v>
      </c>
      <c r="J1053" s="33">
        <f>+IF(FINANCIACION[[#This Row],[$ CAPITAL]]&gt;=0,FINANCIACION[[#This Row],[$ CAPITAL]]+FINANCIACION[[#This Row],[$ INTERESES]],0)</f>
        <v>20420000</v>
      </c>
    </row>
    <row r="1054" spans="1:10" ht="24" hidden="1" customHeight="1" x14ac:dyDescent="0.3">
      <c r="A1054" s="142">
        <v>44722</v>
      </c>
      <c r="B1054" s="50" t="s">
        <v>834</v>
      </c>
      <c r="C1054" s="5"/>
      <c r="D1054" s="5">
        <v>400000</v>
      </c>
      <c r="E1054" s="5">
        <f>+IF(FINANCIACION[[#This Row],[$ CAPITAL]]&gt;=0,FINANCIACION[[#This Row],[$ CAPITAL]]+FINANCIACION[[#This Row],[$ INTERESES]],"")</f>
        <v>400000</v>
      </c>
      <c r="F1054" s="5">
        <f>+SUMIFS(FINANCIACION[$ CAPITAL],FINANCIACION[Fecha],"&lt;="&amp;FINANCIACION[[#This Row],[Fecha]],FINANCIACION[PRESTAMO],FINANCIACION[[#This Row],[PRESTAMO]])</f>
        <v>-40000000</v>
      </c>
      <c r="G1054" s="53"/>
      <c r="H1054" s="53"/>
      <c r="I1054" s="5" t="b">
        <f>+IF(FINANCIACION[[#This Row],[$ CAPITAL]]&gt;0,FINANCIACION[[#This Row],[$ CAPITAL]])</f>
        <v>0</v>
      </c>
      <c r="J1054" s="33">
        <f>+IF(FINANCIACION[[#This Row],[$ CAPITAL]]&gt;=0,FINANCIACION[[#This Row],[$ CAPITAL]]+FINANCIACION[[#This Row],[$ INTERESES]],0)</f>
        <v>400000</v>
      </c>
    </row>
    <row r="1055" spans="1:10" ht="24" hidden="1" customHeight="1" x14ac:dyDescent="0.3">
      <c r="A1055" s="142">
        <v>44722</v>
      </c>
      <c r="B1055" s="50" t="s">
        <v>823</v>
      </c>
      <c r="C1055" s="5">
        <v>803712.36949433095</v>
      </c>
      <c r="D1055" s="5">
        <v>496287.63050566905</v>
      </c>
      <c r="E1055" s="5">
        <f>+IF(FINANCIACION[[#This Row],[$ CAPITAL]]&gt;=0,FINANCIACION[[#This Row],[$ CAPITAL]]+FINANCIACION[[#This Row],[$ INTERESES]],"")</f>
        <v>1300000</v>
      </c>
      <c r="F1055" s="5">
        <f>+SUMIFS(FINANCIACION[$ CAPITAL],FINANCIACION[Fecha],"&lt;="&amp;FINANCIACION[[#This Row],[Fecha]],FINANCIACION[PRESTAMO],FINANCIACION[[#This Row],[PRESTAMO]])</f>
        <v>-48825050.68107257</v>
      </c>
      <c r="G1055" s="53"/>
      <c r="H1055" s="53"/>
      <c r="I1055" s="5">
        <f>+IF(FINANCIACION[[#This Row],[$ CAPITAL]]&gt;0,FINANCIACION[[#This Row],[$ CAPITAL]])</f>
        <v>803712.36949433095</v>
      </c>
      <c r="J1055" s="33">
        <f>+IF(FINANCIACION[[#This Row],[$ CAPITAL]]&gt;=0,FINANCIACION[[#This Row],[$ CAPITAL]]+FINANCIACION[[#This Row],[$ INTERESES]],0)</f>
        <v>1300000</v>
      </c>
    </row>
    <row r="1056" spans="1:10" ht="24" hidden="1" customHeight="1" x14ac:dyDescent="0.3">
      <c r="A1056" s="142">
        <v>44722</v>
      </c>
      <c r="B1056" s="50" t="s">
        <v>820</v>
      </c>
      <c r="C1056" s="5">
        <v>1321491.1149961562</v>
      </c>
      <c r="D1056" s="5">
        <v>678508.88500384381</v>
      </c>
      <c r="E1056" s="5">
        <f>+IF(FINANCIACION[[#This Row],[$ CAPITAL]]&gt;=0,FINANCIACION[[#This Row],[$ CAPITAL]]+FINANCIACION[[#This Row],[$ INTERESES]],"")</f>
        <v>2000000</v>
      </c>
      <c r="F1056" s="5">
        <f>+SUMIFS(FINANCIACION[$ CAPITAL],FINANCIACION[Fecha],"&lt;="&amp;FINANCIACION[[#This Row],[Fecha]],FINANCIACION[PRESTAMO],FINANCIACION[[#This Row],[PRESTAMO]])</f>
        <v>-66700085.245388217</v>
      </c>
      <c r="G1056" s="53"/>
      <c r="H1056" s="53"/>
      <c r="I1056" s="5">
        <f>+IF(FINANCIACION[[#This Row],[$ CAPITAL]]&gt;0,FINANCIACION[[#This Row],[$ CAPITAL]])</f>
        <v>1321491.1149961562</v>
      </c>
      <c r="J1056" s="33">
        <f>+IF(FINANCIACION[[#This Row],[$ CAPITAL]]&gt;=0,FINANCIACION[[#This Row],[$ CAPITAL]]+FINANCIACION[[#This Row],[$ INTERESES]],0)</f>
        <v>2000000</v>
      </c>
    </row>
    <row r="1057" spans="1:10" ht="24" hidden="1" customHeight="1" x14ac:dyDescent="0.3">
      <c r="A1057" s="142">
        <v>44722</v>
      </c>
      <c r="B1057" s="50" t="s">
        <v>828</v>
      </c>
      <c r="C1057" s="5"/>
      <c r="D1057" s="5">
        <f>80000*12</f>
        <v>960000</v>
      </c>
      <c r="E1057" s="5">
        <f>+IF(FINANCIACION[[#This Row],[$ CAPITAL]]&gt;=0,FINANCIACION[[#This Row],[$ CAPITAL]]+FINANCIACION[[#This Row],[$ INTERESES]],"")</f>
        <v>960000</v>
      </c>
      <c r="F1057" s="5">
        <f>+SUMIFS(FINANCIACION[$ CAPITAL],FINANCIACION[Fecha],"&lt;="&amp;FINANCIACION[[#This Row],[Fecha]],FINANCIACION[PRESTAMO],FINANCIACION[[#This Row],[PRESTAMO]])</f>
        <v>-8000000</v>
      </c>
      <c r="G1057" s="53"/>
      <c r="H1057" s="53"/>
      <c r="I1057" s="5" t="b">
        <f>+IF(FINANCIACION[[#This Row],[$ CAPITAL]]&gt;0,FINANCIACION[[#This Row],[$ CAPITAL]])</f>
        <v>0</v>
      </c>
      <c r="J1057" s="33">
        <f>+IF(FINANCIACION[[#This Row],[$ CAPITAL]]&gt;=0,FINANCIACION[[#This Row],[$ CAPITAL]]+FINANCIACION[[#This Row],[$ INTERESES]],0)</f>
        <v>960000</v>
      </c>
    </row>
    <row r="1058" spans="1:10" ht="24" hidden="1" customHeight="1" x14ac:dyDescent="0.3">
      <c r="A1058" s="142">
        <v>44722</v>
      </c>
      <c r="B1058" s="50" t="s">
        <v>832</v>
      </c>
      <c r="C1058" s="5"/>
      <c r="D1058" s="5">
        <v>120000</v>
      </c>
      <c r="E1058" s="5">
        <f>+IF(FINANCIACION[[#This Row],[$ CAPITAL]]&gt;=0,FINANCIACION[[#This Row],[$ CAPITAL]]+FINANCIACION[[#This Row],[$ INTERESES]],"")</f>
        <v>120000</v>
      </c>
      <c r="F1058" s="5">
        <f>+SUMIFS(FINANCIACION[$ CAPITAL],FINANCIACION[Fecha],"&lt;="&amp;FINANCIACION[[#This Row],[Fecha]],FINANCIACION[PRESTAMO],FINANCIACION[[#This Row],[PRESTAMO]])</f>
        <v>-12000000</v>
      </c>
      <c r="G1058" s="53"/>
      <c r="H1058" s="53"/>
      <c r="I1058" s="5" t="b">
        <f>+IF(FINANCIACION[[#This Row],[$ CAPITAL]]&gt;0,FINANCIACION[[#This Row],[$ CAPITAL]])</f>
        <v>0</v>
      </c>
      <c r="J1058" s="33">
        <f>+IF(FINANCIACION[[#This Row],[$ CAPITAL]]&gt;=0,FINANCIACION[[#This Row],[$ CAPITAL]]+FINANCIACION[[#This Row],[$ INTERESES]],0)</f>
        <v>120000</v>
      </c>
    </row>
    <row r="1059" spans="1:10" ht="24" hidden="1" customHeight="1" x14ac:dyDescent="0.3">
      <c r="A1059" s="142">
        <v>44723</v>
      </c>
      <c r="B1059" s="50" t="s">
        <v>819</v>
      </c>
      <c r="C1059" s="5">
        <v>2086078.946982678</v>
      </c>
      <c r="D1059" s="5">
        <v>591299.05301732209</v>
      </c>
      <c r="E1059" s="5">
        <f>+IF(FINANCIACION[[#This Row],[$ CAPITAL]]&gt;=0,FINANCIACION[[#This Row],[$ CAPITAL]]+FINANCIACION[[#This Row],[$ INTERESES]],"")</f>
        <v>2677378</v>
      </c>
      <c r="F1059" s="5">
        <f>+SUMIFS(FINANCIACION[$ CAPITAL],FINANCIACION[Fecha],"&lt;="&amp;FINANCIACION[[#This Row],[Fecha]],FINANCIACION[PRESTAMO],FINANCIACION[[#This Row],[PRESTAMO]])</f>
        <v>-57043826.354749531</v>
      </c>
      <c r="G1059" s="53"/>
      <c r="H1059" s="53"/>
      <c r="I1059" s="5">
        <f>+IF(FINANCIACION[[#This Row],[$ CAPITAL]]&gt;0,FINANCIACION[[#This Row],[$ CAPITAL]])</f>
        <v>2086078.946982678</v>
      </c>
      <c r="J1059" s="33">
        <f>+IF(FINANCIACION[[#This Row],[$ CAPITAL]]&gt;=0,FINANCIACION[[#This Row],[$ CAPITAL]]+FINANCIACION[[#This Row],[$ INTERESES]],0)</f>
        <v>2677378</v>
      </c>
    </row>
    <row r="1060" spans="1:10" ht="24" hidden="1" customHeight="1" x14ac:dyDescent="0.3">
      <c r="A1060" s="142">
        <v>44726</v>
      </c>
      <c r="B1060" s="50" t="s">
        <v>194</v>
      </c>
      <c r="C1060" s="5">
        <v>1944444</v>
      </c>
      <c r="D1060" s="5">
        <f>2175094.44-FINANCIACION[[#This Row],[$ CAPITAL]]</f>
        <v>230650.43999999994</v>
      </c>
      <c r="E1060" s="5">
        <f>+IF(FINANCIACION[[#This Row],[$ CAPITAL]]&gt;=0,FINANCIACION[[#This Row],[$ CAPITAL]]+FINANCIACION[[#This Row],[$ INTERESES]],"")</f>
        <v>2175094.44</v>
      </c>
      <c r="F1060" s="5">
        <f>+SUMIFS(FINANCIACION[$ CAPITAL],FINANCIACION[Fecha],"&lt;="&amp;FINANCIACION[[#This Row],[Fecha]],FINANCIACION[PRESTAMO],FINANCIACION[[#This Row],[PRESTAMO]])</f>
        <v>-21388892</v>
      </c>
      <c r="G1060" s="53"/>
      <c r="H1060" s="53"/>
      <c r="I1060" s="5">
        <f>+IF(FINANCIACION[[#This Row],[$ CAPITAL]]&gt;0,FINANCIACION[[#This Row],[$ CAPITAL]])</f>
        <v>1944444</v>
      </c>
      <c r="J1060" s="33">
        <f>+IF(FINANCIACION[[#This Row],[$ CAPITAL]]&gt;=0,FINANCIACION[[#This Row],[$ CAPITAL]]+FINANCIACION[[#This Row],[$ INTERESES]],0)</f>
        <v>2175094.44</v>
      </c>
    </row>
    <row r="1061" spans="1:10" ht="24" hidden="1" customHeight="1" x14ac:dyDescent="0.3">
      <c r="A1061" s="142">
        <v>44727</v>
      </c>
      <c r="B1061" s="50" t="s">
        <v>191</v>
      </c>
      <c r="C1061" s="5">
        <v>-15000000</v>
      </c>
      <c r="D1061" s="5">
        <f>15000000-14530545</f>
        <v>469455</v>
      </c>
      <c r="E1061" s="5" t="str">
        <f>+IF(FINANCIACION[[#This Row],[$ CAPITAL]]&gt;=0,FINANCIACION[[#This Row],[$ CAPITAL]]+FINANCIACION[[#This Row],[$ INTERESES]],"")</f>
        <v/>
      </c>
      <c r="F1061" s="5">
        <f>+SUMIFS(FINANCIACION[$ CAPITAL],FINANCIACION[Fecha],"&lt;="&amp;FINANCIACION[[#This Row],[Fecha]],FINANCIACION[PRESTAMO],FINANCIACION[[#This Row],[PRESTAMO]])</f>
        <v>-15000000</v>
      </c>
      <c r="G1061" s="53" t="s">
        <v>1054</v>
      </c>
      <c r="H1061" s="53"/>
      <c r="I1061" s="5" t="b">
        <f>+IF(FINANCIACION[[#This Row],[$ CAPITAL]]&gt;0,FINANCIACION[[#This Row],[$ CAPITAL]])</f>
        <v>0</v>
      </c>
      <c r="J1061" s="33">
        <f>+IF(FINANCIACION[[#This Row],[$ CAPITAL]]&gt;=0,FINANCIACION[[#This Row],[$ CAPITAL]]+FINANCIACION[[#This Row],[$ INTERESES]],0)</f>
        <v>0</v>
      </c>
    </row>
    <row r="1062" spans="1:10" ht="24" hidden="1" customHeight="1" x14ac:dyDescent="0.3">
      <c r="A1062" s="142">
        <v>44729</v>
      </c>
      <c r="B1062" s="50" t="s">
        <v>850</v>
      </c>
      <c r="C1062" s="5">
        <v>-50000000</v>
      </c>
      <c r="D1062" s="5"/>
      <c r="E1062" s="5" t="str">
        <f>+IF(FINANCIACION[[#This Row],[$ CAPITAL]]&gt;=0,FINANCIACION[[#This Row],[$ CAPITAL]]+FINANCIACION[[#This Row],[$ INTERESES]],"")</f>
        <v/>
      </c>
      <c r="F1062" s="5">
        <f>+SUMIFS(FINANCIACION[$ CAPITAL],FINANCIACION[Fecha],"&lt;="&amp;FINANCIACION[[#This Row],[Fecha]],FINANCIACION[PRESTAMO],FINANCIACION[[#This Row],[PRESTAMO]])</f>
        <v>-50000000</v>
      </c>
      <c r="G1062" s="53" t="s">
        <v>1038</v>
      </c>
      <c r="H1062" s="53"/>
      <c r="I1062" s="5" t="b">
        <f>+IF(FINANCIACION[[#This Row],[$ CAPITAL]]&gt;0,FINANCIACION[[#This Row],[$ CAPITAL]])</f>
        <v>0</v>
      </c>
      <c r="J1062" s="33">
        <f>+IF(FINANCIACION[[#This Row],[$ CAPITAL]]&gt;=0,FINANCIACION[[#This Row],[$ CAPITAL]]+FINANCIACION[[#This Row],[$ INTERESES]],0)</f>
        <v>0</v>
      </c>
    </row>
    <row r="1063" spans="1:10" ht="24" hidden="1" customHeight="1" x14ac:dyDescent="0.3">
      <c r="A1063" s="142">
        <v>44729</v>
      </c>
      <c r="B1063" s="50" t="s">
        <v>189</v>
      </c>
      <c r="C1063" s="5"/>
      <c r="D1063" s="5">
        <v>328933</v>
      </c>
      <c r="E1063" s="5">
        <f>+IF(FINANCIACION[[#This Row],[$ CAPITAL]]&gt;=0,FINANCIACION[[#This Row],[$ CAPITAL]]+FINANCIACION[[#This Row],[$ INTERESES]],"")</f>
        <v>328933</v>
      </c>
      <c r="F1063" s="5">
        <f>+SUMIFS(FINANCIACION[$ CAPITAL],FINANCIACION[Fecha],"&lt;="&amp;FINANCIACION[[#This Row],[Fecha]],FINANCIACION[PRESTAMO],FINANCIACION[[#This Row],[PRESTAMO]])</f>
        <v>0</v>
      </c>
      <c r="G1063" s="53"/>
      <c r="H1063" s="53"/>
      <c r="I1063" s="5" t="b">
        <f>+IF(FINANCIACION[[#This Row],[$ CAPITAL]]&gt;0,FINANCIACION[[#This Row],[$ CAPITAL]])</f>
        <v>0</v>
      </c>
      <c r="J1063" s="33">
        <f>+IF(FINANCIACION[[#This Row],[$ CAPITAL]]&gt;=0,FINANCIACION[[#This Row],[$ CAPITAL]]+FINANCIACION[[#This Row],[$ INTERESES]],0)</f>
        <v>328933</v>
      </c>
    </row>
    <row r="1064" spans="1:10" ht="24" hidden="1" customHeight="1" x14ac:dyDescent="0.3">
      <c r="A1064" s="142">
        <v>44729</v>
      </c>
      <c r="B1064" s="50" t="s">
        <v>878</v>
      </c>
      <c r="C1064" s="5">
        <f>25000000-FINANCIACION[[#This Row],[$ INTERESES]]</f>
        <v>24198521.710000001</v>
      </c>
      <c r="D1064" s="5">
        <v>801478.29</v>
      </c>
      <c r="E1064" s="5">
        <f>+IF(FINANCIACION[[#This Row],[$ CAPITAL]]&gt;=0,FINANCIACION[[#This Row],[$ CAPITAL]]+FINANCIACION[[#This Row],[$ INTERESES]],"")</f>
        <v>25000000</v>
      </c>
      <c r="F1064" s="5">
        <f>+SUMIFS(FINANCIACION[$ CAPITAL],FINANCIACION[Fecha],"&lt;="&amp;FINANCIACION[[#This Row],[Fecha]],FINANCIACION[PRESTAMO],FINANCIACION[[#This Row],[PRESTAMO]])</f>
        <v>-24459840.259999998</v>
      </c>
      <c r="G1064" s="53"/>
      <c r="H1064" s="53"/>
      <c r="I1064" s="5">
        <f>+IF(FINANCIACION[[#This Row],[$ CAPITAL]]&gt;0,FINANCIACION[[#This Row],[$ CAPITAL]])</f>
        <v>24198521.710000001</v>
      </c>
      <c r="J1064" s="33">
        <f>+IF(FINANCIACION[[#This Row],[$ CAPITAL]]&gt;=0,FINANCIACION[[#This Row],[$ CAPITAL]]+FINANCIACION[[#This Row],[$ INTERESES]],0)</f>
        <v>25000000</v>
      </c>
    </row>
    <row r="1065" spans="1:10" ht="24" hidden="1" customHeight="1" x14ac:dyDescent="0.3">
      <c r="A1065" s="142">
        <v>44729</v>
      </c>
      <c r="B1065" s="50" t="s">
        <v>878</v>
      </c>
      <c r="C1065" s="5">
        <v>4500000</v>
      </c>
      <c r="D1065" s="5"/>
      <c r="E1065" s="5">
        <f>+IF(FINANCIACION[[#This Row],[$ CAPITAL]]&gt;=0,FINANCIACION[[#This Row],[$ CAPITAL]]+FINANCIACION[[#This Row],[$ INTERESES]],"")</f>
        <v>4500000</v>
      </c>
      <c r="F1065" s="5">
        <f>+SUMIFS(FINANCIACION[$ CAPITAL],FINANCIACION[Fecha],"&lt;="&amp;FINANCIACION[[#This Row],[Fecha]],FINANCIACION[PRESTAMO],FINANCIACION[[#This Row],[PRESTAMO]])</f>
        <v>-24459840.259999998</v>
      </c>
      <c r="G1065" s="53"/>
      <c r="H1065" s="53"/>
      <c r="I1065" s="5">
        <f>+IF(FINANCIACION[[#This Row],[$ CAPITAL]]&gt;0,FINANCIACION[[#This Row],[$ CAPITAL]])</f>
        <v>4500000</v>
      </c>
      <c r="J1065" s="33">
        <f>+IF(FINANCIACION[[#This Row],[$ CAPITAL]]&gt;=0,FINANCIACION[[#This Row],[$ CAPITAL]]+FINANCIACION[[#This Row],[$ INTERESES]],0)</f>
        <v>4500000</v>
      </c>
    </row>
    <row r="1066" spans="1:10" ht="24" hidden="1" customHeight="1" x14ac:dyDescent="0.3">
      <c r="A1066" s="142">
        <v>44729</v>
      </c>
      <c r="B1066" s="50" t="s">
        <v>878</v>
      </c>
      <c r="C1066" s="5">
        <v>3500000</v>
      </c>
      <c r="D1066" s="5"/>
      <c r="E1066" s="5">
        <f>+IF(FINANCIACION[[#This Row],[$ CAPITAL]]&gt;=0,FINANCIACION[[#This Row],[$ CAPITAL]]+FINANCIACION[[#This Row],[$ INTERESES]],"")</f>
        <v>3500000</v>
      </c>
      <c r="F1066" s="5">
        <f>+SUMIFS(FINANCIACION[$ CAPITAL],FINANCIACION[Fecha],"&lt;="&amp;FINANCIACION[[#This Row],[Fecha]],FINANCIACION[PRESTAMO],FINANCIACION[[#This Row],[PRESTAMO]])</f>
        <v>-24459840.259999998</v>
      </c>
      <c r="G1066" s="53"/>
      <c r="H1066" s="53"/>
      <c r="I1066" s="5">
        <f>+IF(FINANCIACION[[#This Row],[$ CAPITAL]]&gt;0,FINANCIACION[[#This Row],[$ CAPITAL]])</f>
        <v>3500000</v>
      </c>
      <c r="J1066" s="33">
        <f>+IF(FINANCIACION[[#This Row],[$ CAPITAL]]&gt;=0,FINANCIACION[[#This Row],[$ CAPITAL]]+FINANCIACION[[#This Row],[$ INTERESES]],0)</f>
        <v>3500000</v>
      </c>
    </row>
    <row r="1067" spans="1:10" ht="24" hidden="1" customHeight="1" x14ac:dyDescent="0.3">
      <c r="A1067" s="142">
        <v>44729</v>
      </c>
      <c r="B1067" s="50" t="s">
        <v>194</v>
      </c>
      <c r="C1067" s="5">
        <v>4480000</v>
      </c>
      <c r="D1067" s="5"/>
      <c r="E1067" s="5">
        <f>+IF(FINANCIACION[[#This Row],[$ CAPITAL]]&gt;=0,FINANCIACION[[#This Row],[$ CAPITAL]]+FINANCIACION[[#This Row],[$ INTERESES]],"")</f>
        <v>4480000</v>
      </c>
      <c r="F1067" s="5">
        <f>+SUMIFS(FINANCIACION[$ CAPITAL],FINANCIACION[Fecha],"&lt;="&amp;FINANCIACION[[#This Row],[Fecha]],FINANCIACION[PRESTAMO],FINANCIACION[[#This Row],[PRESTAMO]])</f>
        <v>0</v>
      </c>
      <c r="G1067" s="53"/>
      <c r="H1067" s="53"/>
      <c r="I1067" s="5">
        <f>+IF(FINANCIACION[[#This Row],[$ CAPITAL]]&gt;0,FINANCIACION[[#This Row],[$ CAPITAL]])</f>
        <v>4480000</v>
      </c>
      <c r="J1067" s="33">
        <f>+IF(FINANCIACION[[#This Row],[$ CAPITAL]]&gt;=0,FINANCIACION[[#This Row],[$ CAPITAL]]+FINANCIACION[[#This Row],[$ INTERESES]],0)</f>
        <v>4480000</v>
      </c>
    </row>
    <row r="1068" spans="1:10" ht="24" hidden="1" customHeight="1" x14ac:dyDescent="0.3">
      <c r="A1068" s="142">
        <v>44729</v>
      </c>
      <c r="B1068" s="50" t="s">
        <v>194</v>
      </c>
      <c r="C1068" s="5">
        <f>16929537-20645</f>
        <v>16908892</v>
      </c>
      <c r="D1068" s="5">
        <v>20645</v>
      </c>
      <c r="E1068" s="5">
        <f>+IF(FINANCIACION[[#This Row],[$ CAPITAL]]&gt;=0,FINANCIACION[[#This Row],[$ CAPITAL]]+FINANCIACION[[#This Row],[$ INTERESES]],"")</f>
        <v>16929537</v>
      </c>
      <c r="F1068" s="5">
        <f>+SUMIFS(FINANCIACION[$ CAPITAL],FINANCIACION[Fecha],"&lt;="&amp;FINANCIACION[[#This Row],[Fecha]],FINANCIACION[PRESTAMO],FINANCIACION[[#This Row],[PRESTAMO]])</f>
        <v>0</v>
      </c>
      <c r="G1068" s="53"/>
      <c r="H1068" s="53"/>
      <c r="I1068" s="5">
        <f>+IF(FINANCIACION[[#This Row],[$ CAPITAL]]&gt;0,FINANCIACION[[#This Row],[$ CAPITAL]])</f>
        <v>16908892</v>
      </c>
      <c r="J1068" s="33">
        <f>+IF(FINANCIACION[[#This Row],[$ CAPITAL]]&gt;=0,FINANCIACION[[#This Row],[$ CAPITAL]]+FINANCIACION[[#This Row],[$ INTERESES]],0)</f>
        <v>16929537</v>
      </c>
    </row>
    <row r="1069" spans="1:10" ht="24" hidden="1" customHeight="1" x14ac:dyDescent="0.3">
      <c r="A1069" s="142">
        <v>44733</v>
      </c>
      <c r="B1069" s="50" t="s">
        <v>189</v>
      </c>
      <c r="C1069" s="5"/>
      <c r="D1069" s="5">
        <v>250626</v>
      </c>
      <c r="E1069" s="5">
        <f>+IF(FINANCIACION[[#This Row],[$ CAPITAL]]&gt;=0,FINANCIACION[[#This Row],[$ CAPITAL]]+FINANCIACION[[#This Row],[$ INTERESES]],"")</f>
        <v>250626</v>
      </c>
      <c r="F1069" s="5">
        <f>+SUMIFS(FINANCIACION[$ CAPITAL],FINANCIACION[Fecha],"&lt;="&amp;FINANCIACION[[#This Row],[Fecha]],FINANCIACION[PRESTAMO],FINANCIACION[[#This Row],[PRESTAMO]])</f>
        <v>0</v>
      </c>
      <c r="G1069" s="53"/>
      <c r="H1069" s="53"/>
      <c r="I1069" s="5" t="b">
        <f>+IF(FINANCIACION[[#This Row],[$ CAPITAL]]&gt;0,FINANCIACION[[#This Row],[$ CAPITAL]])</f>
        <v>0</v>
      </c>
      <c r="J1069" s="33">
        <f>+IF(FINANCIACION[[#This Row],[$ CAPITAL]]&gt;=0,FINANCIACION[[#This Row],[$ CAPITAL]]+FINANCIACION[[#This Row],[$ INTERESES]],0)</f>
        <v>250626</v>
      </c>
    </row>
    <row r="1070" spans="1:10" ht="24" hidden="1" customHeight="1" x14ac:dyDescent="0.3">
      <c r="A1070" s="142">
        <v>44733</v>
      </c>
      <c r="B1070" s="50" t="s">
        <v>833</v>
      </c>
      <c r="C1070" s="5">
        <v>1078259.71</v>
      </c>
      <c r="D1070" s="5">
        <v>136740.29</v>
      </c>
      <c r="E1070" s="5">
        <f>+IF(FINANCIACION[[#This Row],[$ CAPITAL]]&gt;=0,FINANCIACION[[#This Row],[$ CAPITAL]]+FINANCIACION[[#This Row],[$ INTERESES]],"")</f>
        <v>1215000</v>
      </c>
      <c r="F1070" s="5">
        <f>+SUMIFS(FINANCIACION[$ CAPITAL],FINANCIACION[Fecha],"&lt;="&amp;FINANCIACION[[#This Row],[Fecha]],FINANCIACION[PRESTAMO],FINANCIACION[[#This Row],[PRESTAMO]])</f>
        <v>-11802333.390000001</v>
      </c>
      <c r="G1070" s="53"/>
      <c r="H1070" s="53"/>
      <c r="I1070" s="5">
        <f>+IF(FINANCIACION[[#This Row],[$ CAPITAL]]&gt;0,FINANCIACION[[#This Row],[$ CAPITAL]])</f>
        <v>1078259.71</v>
      </c>
      <c r="J1070" s="33">
        <f>+IF(FINANCIACION[[#This Row],[$ CAPITAL]]&gt;=0,FINANCIACION[[#This Row],[$ CAPITAL]]+FINANCIACION[[#This Row],[$ INTERESES]],0)</f>
        <v>1215000</v>
      </c>
    </row>
    <row r="1071" spans="1:10" ht="24" hidden="1" customHeight="1" x14ac:dyDescent="0.3">
      <c r="A1071" s="142">
        <v>44733</v>
      </c>
      <c r="B1071" s="50" t="s">
        <v>827</v>
      </c>
      <c r="C1071" s="5">
        <v>853549.25</v>
      </c>
      <c r="D1071" s="5">
        <v>129450.75</v>
      </c>
      <c r="E1071" s="5">
        <f>+IF(FINANCIACION[[#This Row],[$ CAPITAL]]&gt;=0,FINANCIACION[[#This Row],[$ CAPITAL]]+FINANCIACION[[#This Row],[$ INTERESES]],"")</f>
        <v>983000</v>
      </c>
      <c r="F1071" s="5">
        <f>+SUMIFS(FINANCIACION[$ CAPITAL],FINANCIACION[Fecha],"&lt;="&amp;FINANCIACION[[#This Row],[Fecha]],FINANCIACION[PRESTAMO],FINANCIACION[[#This Row],[PRESTAMO]])</f>
        <v>-11017333.649999999</v>
      </c>
      <c r="G1071" s="53"/>
      <c r="H1071" s="53"/>
      <c r="I1071" s="5">
        <f>+IF(FINANCIACION[[#This Row],[$ CAPITAL]]&gt;0,FINANCIACION[[#This Row],[$ CAPITAL]])</f>
        <v>853549.25</v>
      </c>
      <c r="J1071" s="33">
        <f>+IF(FINANCIACION[[#This Row],[$ CAPITAL]]&gt;=0,FINANCIACION[[#This Row],[$ CAPITAL]]+FINANCIACION[[#This Row],[$ INTERESES]],0)</f>
        <v>983000</v>
      </c>
    </row>
    <row r="1072" spans="1:10" ht="24" hidden="1" customHeight="1" x14ac:dyDescent="0.3">
      <c r="A1072" s="142">
        <v>44733</v>
      </c>
      <c r="B1072" s="50" t="s">
        <v>1131</v>
      </c>
      <c r="C1072" s="5">
        <v>453998</v>
      </c>
      <c r="D1072" s="5">
        <v>49931</v>
      </c>
      <c r="E1072" s="5">
        <f>+IF(FINANCIACION[[#This Row],[$ CAPITAL]]&gt;=0,FINANCIACION[[#This Row],[$ CAPITAL]]+FINANCIACION[[#This Row],[$ INTERESES]],"")</f>
        <v>503929</v>
      </c>
      <c r="F1072" s="5">
        <f>+SUMIFS(FINANCIACION[$ CAPITAL],FINANCIACION[Fecha],"&lt;="&amp;FINANCIACION[[#This Row],[Fecha]],FINANCIACION[PRESTAMO],FINANCIACION[[#This Row],[PRESTAMO]])</f>
        <v>-4539980</v>
      </c>
      <c r="G1072" s="53"/>
      <c r="H1072" s="53"/>
      <c r="I1072" s="5">
        <f>+IF(FINANCIACION[[#This Row],[$ CAPITAL]]&gt;0,FINANCIACION[[#This Row],[$ CAPITAL]])</f>
        <v>453998</v>
      </c>
      <c r="J1072" s="33">
        <f>+IF(FINANCIACION[[#This Row],[$ CAPITAL]]&gt;=0,FINANCIACION[[#This Row],[$ CAPITAL]]+FINANCIACION[[#This Row],[$ INTERESES]],0)</f>
        <v>503929</v>
      </c>
    </row>
    <row r="1073" spans="1:10" ht="24" hidden="1" customHeight="1" x14ac:dyDescent="0.3">
      <c r="A1073" s="142">
        <v>44733</v>
      </c>
      <c r="B1073" s="50" t="s">
        <v>835</v>
      </c>
      <c r="C1073" s="5">
        <v>1482386.81</v>
      </c>
      <c r="D1073" s="5">
        <v>783613.19</v>
      </c>
      <c r="E1073" s="5">
        <f>+IF(FINANCIACION[[#This Row],[$ CAPITAL]]&gt;=0,FINANCIACION[[#This Row],[$ CAPITAL]]+FINANCIACION[[#This Row],[$ INTERESES]],"")</f>
        <v>2266000</v>
      </c>
      <c r="F1073" s="5">
        <f>+SUMIFS(FINANCIACION[$ CAPITAL],FINANCIACION[Fecha],"&lt;="&amp;FINANCIACION[[#This Row],[Fecha]],FINANCIACION[PRESTAMO],FINANCIACION[[#This Row],[PRESTAMO]])</f>
        <v>-78509078.370000005</v>
      </c>
      <c r="G1073" s="53"/>
      <c r="H1073" s="53"/>
      <c r="I1073" s="5">
        <f>+IF(FINANCIACION[[#This Row],[$ CAPITAL]]&gt;0,FINANCIACION[[#This Row],[$ CAPITAL]])</f>
        <v>1482386.81</v>
      </c>
      <c r="J1073" s="33">
        <f>+IF(FINANCIACION[[#This Row],[$ CAPITAL]]&gt;=0,FINANCIACION[[#This Row],[$ CAPITAL]]+FINANCIACION[[#This Row],[$ INTERESES]],0)</f>
        <v>2266000</v>
      </c>
    </row>
    <row r="1074" spans="1:10" ht="24" hidden="1" customHeight="1" x14ac:dyDescent="0.3">
      <c r="A1074" s="142">
        <v>44733</v>
      </c>
      <c r="B1074" s="50" t="s">
        <v>829</v>
      </c>
      <c r="C1074" s="5">
        <v>894412.83</v>
      </c>
      <c r="D1074" s="5">
        <v>145587.17000000001</v>
      </c>
      <c r="E1074" s="5">
        <f>+IF(FINANCIACION[[#This Row],[$ CAPITAL]]&gt;=0,FINANCIACION[[#This Row],[$ CAPITAL]]+FINANCIACION[[#This Row],[$ INTERESES]],"")</f>
        <v>1040000</v>
      </c>
      <c r="F1074" s="5">
        <f>+SUMIFS(FINANCIACION[$ CAPITAL],FINANCIACION[Fecha],"&lt;="&amp;FINANCIACION[[#This Row],[Fecha]],FINANCIACION[PRESTAMO],FINANCIACION[[#This Row],[PRESTAMO]])</f>
        <v>-12456211.069999998</v>
      </c>
      <c r="G1074" s="53"/>
      <c r="H1074" s="53"/>
      <c r="I1074" s="5">
        <f>+IF(FINANCIACION[[#This Row],[$ CAPITAL]]&gt;0,FINANCIACION[[#This Row],[$ CAPITAL]])</f>
        <v>894412.83</v>
      </c>
      <c r="J1074" s="33">
        <f>+IF(FINANCIACION[[#This Row],[$ CAPITAL]]&gt;=0,FINANCIACION[[#This Row],[$ CAPITAL]]+FINANCIACION[[#This Row],[$ INTERESES]],0)</f>
        <v>1040000</v>
      </c>
    </row>
    <row r="1075" spans="1:10" ht="24" hidden="1" customHeight="1" x14ac:dyDescent="0.3">
      <c r="A1075" s="142">
        <v>44733</v>
      </c>
      <c r="B1075" s="50" t="s">
        <v>825</v>
      </c>
      <c r="C1075" s="5">
        <v>2176234.36</v>
      </c>
      <c r="D1075" s="5">
        <v>299765.64</v>
      </c>
      <c r="E1075" s="5">
        <f>+IF(FINANCIACION[[#This Row],[$ CAPITAL]]&gt;=0,FINANCIACION[[#This Row],[$ CAPITAL]]+FINANCIACION[[#This Row],[$ INTERESES]],"")</f>
        <v>2476000</v>
      </c>
      <c r="F1075" s="5">
        <f>+SUMIFS(FINANCIACION[$ CAPITAL],FINANCIACION[Fecha],"&lt;="&amp;FINANCIACION[[#This Row],[Fecha]],FINANCIACION[PRESTAMO],FINANCIACION[[#This Row],[PRESTAMO]])</f>
        <v>-26060938.140000001</v>
      </c>
      <c r="G1075" s="53"/>
      <c r="H1075" s="53"/>
      <c r="I1075" s="5">
        <f>+IF(FINANCIACION[[#This Row],[$ CAPITAL]]&gt;0,FINANCIACION[[#This Row],[$ CAPITAL]])</f>
        <v>2176234.36</v>
      </c>
      <c r="J1075" s="33">
        <f>+IF(FINANCIACION[[#This Row],[$ CAPITAL]]&gt;=0,FINANCIACION[[#This Row],[$ CAPITAL]]+FINANCIACION[[#This Row],[$ INTERESES]],0)</f>
        <v>2476000</v>
      </c>
    </row>
    <row r="1076" spans="1:10" ht="24" hidden="1" customHeight="1" x14ac:dyDescent="0.3">
      <c r="A1076" s="142">
        <v>44733</v>
      </c>
      <c r="B1076" s="50" t="s">
        <v>826</v>
      </c>
      <c r="C1076" s="5">
        <v>3159499.56</v>
      </c>
      <c r="D1076" s="5">
        <v>464500.44</v>
      </c>
      <c r="E1076" s="5">
        <f>+IF(FINANCIACION[[#This Row],[$ CAPITAL]]&gt;=0,FINANCIACION[[#This Row],[$ CAPITAL]]+FINANCIACION[[#This Row],[$ INTERESES]],"")</f>
        <v>3624000</v>
      </c>
      <c r="F1076" s="5">
        <f>+SUMIFS(FINANCIACION[$ CAPITAL],FINANCIACION[Fecha],"&lt;="&amp;FINANCIACION[[#This Row],[Fecha]],FINANCIACION[PRESTAMO],FINANCIACION[[#This Row],[PRESTAMO]])</f>
        <v>-37747786.059999995</v>
      </c>
      <c r="G1076" s="53"/>
      <c r="H1076" s="53"/>
      <c r="I1076" s="5">
        <f>+IF(FINANCIACION[[#This Row],[$ CAPITAL]]&gt;0,FINANCIACION[[#This Row],[$ CAPITAL]])</f>
        <v>3159499.56</v>
      </c>
      <c r="J1076" s="33">
        <f>+IF(FINANCIACION[[#This Row],[$ CAPITAL]]&gt;=0,FINANCIACION[[#This Row],[$ CAPITAL]]+FINANCIACION[[#This Row],[$ INTERESES]],0)</f>
        <v>3624000</v>
      </c>
    </row>
    <row r="1077" spans="1:10" ht="24" hidden="1" customHeight="1" x14ac:dyDescent="0.3">
      <c r="A1077" s="142">
        <v>44733</v>
      </c>
      <c r="B1077" s="50" t="s">
        <v>821</v>
      </c>
      <c r="C1077" s="5">
        <v>1384152</v>
      </c>
      <c r="D1077" s="5">
        <v>4711653</v>
      </c>
      <c r="E1077" s="5">
        <f>+IF(FINANCIACION[[#This Row],[$ CAPITAL]]&gt;=0,FINANCIACION[[#This Row],[$ CAPITAL]]+FINANCIACION[[#This Row],[$ INTERESES]],"")</f>
        <v>6095805</v>
      </c>
      <c r="F1077" s="5">
        <f>+SUMIFS(FINANCIACION[$ CAPITAL],FINANCIACION[Fecha],"&lt;="&amp;FINANCIACION[[#This Row],[Fecha]],FINANCIACION[PRESTAMO],FINANCIACION[[#This Row],[PRESTAMO]])</f>
        <v>-365057538</v>
      </c>
      <c r="G1077" s="53"/>
      <c r="H1077" s="53"/>
      <c r="I1077" s="5">
        <f>+IF(FINANCIACION[[#This Row],[$ CAPITAL]]&gt;0,FINANCIACION[[#This Row],[$ CAPITAL]])</f>
        <v>1384152</v>
      </c>
      <c r="J1077" s="33">
        <f>+IF(FINANCIACION[[#This Row],[$ CAPITAL]]&gt;=0,FINANCIACION[[#This Row],[$ CAPITAL]]+FINANCIACION[[#This Row],[$ INTERESES]],0)</f>
        <v>6095805</v>
      </c>
    </row>
    <row r="1078" spans="1:10" ht="24" hidden="1" customHeight="1" x14ac:dyDescent="0.3">
      <c r="A1078" s="142">
        <v>44733</v>
      </c>
      <c r="B1078" s="50" t="s">
        <v>822</v>
      </c>
      <c r="C1078" s="5">
        <v>1306497.8700000001</v>
      </c>
      <c r="D1078" s="5">
        <v>155502.13</v>
      </c>
      <c r="E1078" s="5">
        <f>+IF(FINANCIACION[[#This Row],[$ CAPITAL]]&gt;=0,FINANCIACION[[#This Row],[$ CAPITAL]]+FINANCIACION[[#This Row],[$ INTERESES]],"")</f>
        <v>1462000</v>
      </c>
      <c r="F1078" s="5">
        <f>+SUMIFS(FINANCIACION[$ CAPITAL],FINANCIACION[Fecha],"&lt;="&amp;FINANCIACION[[#This Row],[Fecha]],FINANCIACION[PRESTAMO],FINANCIACION[[#This Row],[PRESTAMO]])</f>
        <v>-12953346.890000001</v>
      </c>
      <c r="G1078" s="53"/>
      <c r="H1078" s="53"/>
      <c r="I1078" s="5">
        <f>+IF(FINANCIACION[[#This Row],[$ CAPITAL]]&gt;0,FINANCIACION[[#This Row],[$ CAPITAL]])</f>
        <v>1306497.8700000001</v>
      </c>
      <c r="J1078" s="33">
        <f>+IF(FINANCIACION[[#This Row],[$ CAPITAL]]&gt;=0,FINANCIACION[[#This Row],[$ CAPITAL]]+FINANCIACION[[#This Row],[$ INTERESES]],0)</f>
        <v>1462000</v>
      </c>
    </row>
    <row r="1079" spans="1:10" ht="24" hidden="1" customHeight="1" x14ac:dyDescent="0.3">
      <c r="A1079" s="142">
        <v>44740</v>
      </c>
      <c r="B1079" s="50" t="s">
        <v>189</v>
      </c>
      <c r="C1079" s="5"/>
      <c r="D1079" s="5">
        <v>156811</v>
      </c>
      <c r="E1079" s="5">
        <f>+IF(FINANCIACION[[#This Row],[$ CAPITAL]]&gt;=0,FINANCIACION[[#This Row],[$ CAPITAL]]+FINANCIACION[[#This Row],[$ INTERESES]],"")</f>
        <v>156811</v>
      </c>
      <c r="F1079" s="5">
        <f>+SUMIFS(FINANCIACION[$ CAPITAL],FINANCIACION[Fecha],"&lt;="&amp;FINANCIACION[[#This Row],[Fecha]],FINANCIACION[PRESTAMO],FINANCIACION[[#This Row],[PRESTAMO]])</f>
        <v>0</v>
      </c>
      <c r="G1079" s="53"/>
      <c r="H1079" s="53"/>
      <c r="I1079" s="5" t="b">
        <f>+IF(FINANCIACION[[#This Row],[$ CAPITAL]]&gt;0,FINANCIACION[[#This Row],[$ CAPITAL]])</f>
        <v>0</v>
      </c>
      <c r="J1079" s="33">
        <f>+IF(FINANCIACION[[#This Row],[$ CAPITAL]]&gt;=0,FINANCIACION[[#This Row],[$ CAPITAL]]+FINANCIACION[[#This Row],[$ INTERESES]],0)</f>
        <v>156811</v>
      </c>
    </row>
    <row r="1080" spans="1:10" ht="24" hidden="1" customHeight="1" x14ac:dyDescent="0.3">
      <c r="A1080" s="142">
        <v>44740</v>
      </c>
      <c r="B1080" s="50" t="s">
        <v>372</v>
      </c>
      <c r="C1080" s="5">
        <v>23107178</v>
      </c>
      <c r="D1080" s="5"/>
      <c r="E1080" s="5">
        <f>+IF(FINANCIACION[[#This Row],[$ CAPITAL]]&gt;=0,FINANCIACION[[#This Row],[$ CAPITAL]]+FINANCIACION[[#This Row],[$ INTERESES]],"")</f>
        <v>23107178</v>
      </c>
      <c r="F1080" s="5">
        <f>+SUMIFS(FINANCIACION[$ CAPITAL],FINANCIACION[Fecha],"&lt;="&amp;FINANCIACION[[#This Row],[Fecha]],FINANCIACION[PRESTAMO],FINANCIACION[[#This Row],[PRESTAMO]])</f>
        <v>0</v>
      </c>
      <c r="G1080" s="53"/>
      <c r="H1080" s="53">
        <v>5927.03</v>
      </c>
      <c r="I1080" s="5">
        <f>+IF(FINANCIACION[[#This Row],[$ CAPITAL]]&gt;0,FINANCIACION[[#This Row],[$ CAPITAL]])</f>
        <v>23107178</v>
      </c>
      <c r="J1080" s="33">
        <f>+IF(FINANCIACION[[#This Row],[$ CAPITAL]]&gt;=0,FINANCIACION[[#This Row],[$ CAPITAL]]+FINANCIACION[[#This Row],[$ INTERESES]],0)</f>
        <v>23107178</v>
      </c>
    </row>
    <row r="1081" spans="1:10" ht="24" hidden="1" customHeight="1" x14ac:dyDescent="0.3">
      <c r="A1081" s="142">
        <v>44740</v>
      </c>
      <c r="B1081" s="50" t="s">
        <v>372</v>
      </c>
      <c r="C1081" s="5">
        <v>-584464</v>
      </c>
      <c r="D1081" s="5"/>
      <c r="E1081" s="5" t="str">
        <f>+IF(FINANCIACION[[#This Row],[$ CAPITAL]]&gt;=0,FINANCIACION[[#This Row],[$ CAPITAL]]+FINANCIACION[[#This Row],[$ INTERESES]],"")</f>
        <v/>
      </c>
      <c r="F1081" s="5">
        <f>+SUMIFS(FINANCIACION[$ CAPITAL],FINANCIACION[Fecha],"&lt;="&amp;FINANCIACION[[#This Row],[Fecha]],FINANCIACION[PRESTAMO],FINANCIACION[[#This Row],[PRESTAMO]])</f>
        <v>0</v>
      </c>
      <c r="G1081" s="53" t="s">
        <v>225</v>
      </c>
      <c r="H1081" s="53"/>
      <c r="I1081" s="5" t="b">
        <f>+IF(FINANCIACION[[#This Row],[$ CAPITAL]]&gt;0,FINANCIACION[[#This Row],[$ CAPITAL]])</f>
        <v>0</v>
      </c>
      <c r="J1081" s="33">
        <f>+IF(FINANCIACION[[#This Row],[$ CAPITAL]]&gt;=0,FINANCIACION[[#This Row],[$ CAPITAL]]+FINANCIACION[[#This Row],[$ INTERESES]],0)</f>
        <v>0</v>
      </c>
    </row>
    <row r="1082" spans="1:10" ht="24" hidden="1" customHeight="1" x14ac:dyDescent="0.3">
      <c r="A1082" s="142">
        <v>44742</v>
      </c>
      <c r="B1082" s="50" t="s">
        <v>187</v>
      </c>
      <c r="C1082" s="5">
        <v>1468400</v>
      </c>
      <c r="D1082" s="5">
        <v>440312</v>
      </c>
      <c r="E1082" s="5">
        <f>+IF(FINANCIACION[[#This Row],[$ CAPITAL]]&gt;=0,FINANCIACION[[#This Row],[$ CAPITAL]]+FINANCIACION[[#This Row],[$ INTERESES]],"")</f>
        <v>1908712</v>
      </c>
      <c r="F1082" s="5">
        <f>+SUMIFS(FINANCIACION[$ CAPITAL],FINANCIACION[Fecha],"&lt;="&amp;FINANCIACION[[#This Row],[Fecha]],FINANCIACION[PRESTAMO],FINANCIACION[[#This Row],[PRESTAMO]])</f>
        <v>-30836400</v>
      </c>
      <c r="G1082" s="53"/>
      <c r="H1082" s="53"/>
      <c r="I1082" s="5">
        <f>+IF(FINANCIACION[[#This Row],[$ CAPITAL]]&gt;0,FINANCIACION[[#This Row],[$ CAPITAL]])</f>
        <v>1468400</v>
      </c>
      <c r="J1082" s="33">
        <f>+IF(FINANCIACION[[#This Row],[$ CAPITAL]]&gt;=0,FINANCIACION[[#This Row],[$ CAPITAL]]+FINANCIACION[[#This Row],[$ INTERESES]],0)</f>
        <v>1908712</v>
      </c>
    </row>
    <row r="1083" spans="1:10" ht="24" hidden="1" customHeight="1" x14ac:dyDescent="0.3">
      <c r="A1083" s="142">
        <v>44742</v>
      </c>
      <c r="B1083" s="50" t="s">
        <v>188</v>
      </c>
      <c r="C1083" s="5">
        <v>76791</v>
      </c>
      <c r="D1083" s="5"/>
      <c r="E1083" s="5">
        <f>+IF(FINANCIACION[[#This Row],[$ CAPITAL]]&gt;=0,FINANCIACION[[#This Row],[$ CAPITAL]]+FINANCIACION[[#This Row],[$ INTERESES]],"")</f>
        <v>76791</v>
      </c>
      <c r="F1083" s="5">
        <f>+SUMIFS(FINANCIACION[$ CAPITAL],FINANCIACION[Fecha],"&lt;="&amp;FINANCIACION[[#This Row],[Fecha]],FINANCIACION[PRESTAMO],FINANCIACION[[#This Row],[PRESTAMO]])</f>
        <v>-1612611</v>
      </c>
      <c r="G1083" s="53"/>
      <c r="H1083" s="53"/>
      <c r="I1083" s="5">
        <f>+IF(FINANCIACION[[#This Row],[$ CAPITAL]]&gt;0,FINANCIACION[[#This Row],[$ CAPITAL]])</f>
        <v>76791</v>
      </c>
      <c r="J1083" s="33">
        <f>+IF(FINANCIACION[[#This Row],[$ CAPITAL]]&gt;=0,FINANCIACION[[#This Row],[$ CAPITAL]]+FINANCIACION[[#This Row],[$ INTERESES]],0)</f>
        <v>76791</v>
      </c>
    </row>
    <row r="1084" spans="1:10" ht="24" hidden="1" customHeight="1" x14ac:dyDescent="0.3">
      <c r="A1084" s="142">
        <v>44742</v>
      </c>
      <c r="B1084" s="50" t="s">
        <v>486</v>
      </c>
      <c r="C1084" s="5">
        <v>-6611554</v>
      </c>
      <c r="D1084" s="5"/>
      <c r="E1084" s="5" t="str">
        <f>+IF(FINANCIACION[[#This Row],[$ CAPITAL]]&gt;=0,FINANCIACION[[#This Row],[$ CAPITAL]]+FINANCIACION[[#This Row],[$ INTERESES]],"")</f>
        <v/>
      </c>
      <c r="F1084" s="5">
        <f>+SUMIFS(FINANCIACION[$ CAPITAL],FINANCIACION[Fecha],"&lt;="&amp;FINANCIACION[[#This Row],[Fecha]],FINANCIACION[PRESTAMO],FINANCIACION[[#This Row],[PRESTAMO]])</f>
        <v>-58624776</v>
      </c>
      <c r="G1084" s="53" t="s">
        <v>225</v>
      </c>
      <c r="H1084" s="53"/>
      <c r="I1084" s="5" t="b">
        <f>+IF(FINANCIACION[[#This Row],[$ CAPITAL]]&gt;0,FINANCIACION[[#This Row],[$ CAPITAL]])</f>
        <v>0</v>
      </c>
      <c r="J1084" s="33">
        <f>+IF(FINANCIACION[[#This Row],[$ CAPITAL]]&gt;=0,FINANCIACION[[#This Row],[$ CAPITAL]]+FINANCIACION[[#This Row],[$ INTERESES]],0)</f>
        <v>0</v>
      </c>
    </row>
    <row r="1085" spans="1:10" ht="24" hidden="1" customHeight="1" x14ac:dyDescent="0.3">
      <c r="A1085" s="142">
        <v>44742</v>
      </c>
      <c r="B1085" s="50" t="s">
        <v>611</v>
      </c>
      <c r="C1085" s="5">
        <v>-5773744</v>
      </c>
      <c r="D1085" s="5"/>
      <c r="E1085" s="5" t="str">
        <f>+IF(FINANCIACION[[#This Row],[$ CAPITAL]]&gt;=0,FINANCIACION[[#This Row],[$ CAPITAL]]+FINANCIACION[[#This Row],[$ INTERESES]],"")</f>
        <v/>
      </c>
      <c r="F1085" s="5">
        <f>+SUMIFS(FINANCIACION[$ CAPITAL],FINANCIACION[Fecha],"&lt;="&amp;FINANCIACION[[#This Row],[Fecha]],FINANCIACION[PRESTAMO],FINANCIACION[[#This Row],[PRESTAMO]])</f>
        <v>-60624312</v>
      </c>
      <c r="G1085" s="53" t="s">
        <v>225</v>
      </c>
      <c r="H1085" s="53"/>
      <c r="I1085" s="5" t="b">
        <f>+IF(FINANCIACION[[#This Row],[$ CAPITAL]]&gt;0,FINANCIACION[[#This Row],[$ CAPITAL]])</f>
        <v>0</v>
      </c>
      <c r="J1085" s="33">
        <f>+IF(FINANCIACION[[#This Row],[$ CAPITAL]]&gt;=0,FINANCIACION[[#This Row],[$ CAPITAL]]+FINANCIACION[[#This Row],[$ INTERESES]],0)</f>
        <v>0</v>
      </c>
    </row>
    <row r="1086" spans="1:10" ht="24" hidden="1" customHeight="1" x14ac:dyDescent="0.3">
      <c r="A1086" s="142">
        <v>44742</v>
      </c>
      <c r="B1086" s="50" t="s">
        <v>974</v>
      </c>
      <c r="C1086" s="5">
        <v>-4128244</v>
      </c>
      <c r="D1086" s="5"/>
      <c r="E1086" s="5" t="str">
        <f>+IF(FINANCIACION[[#This Row],[$ CAPITAL]]&gt;=0,FINANCIACION[[#This Row],[$ CAPITAL]]+FINANCIACION[[#This Row],[$ INTERESES]],"")</f>
        <v/>
      </c>
      <c r="F1086" s="5">
        <f>+SUMIFS(FINANCIACION[$ CAPITAL],FINANCIACION[Fecha],"&lt;="&amp;FINANCIACION[[#This Row],[Fecha]],FINANCIACION[PRESTAMO],FINANCIACION[[#This Row],[PRESTAMO]])</f>
        <v>-43346562</v>
      </c>
      <c r="G1086" s="53" t="s">
        <v>225</v>
      </c>
      <c r="H1086" s="53"/>
      <c r="I1086" s="5" t="b">
        <f>+IF(FINANCIACION[[#This Row],[$ CAPITAL]]&gt;0,FINANCIACION[[#This Row],[$ CAPITAL]])</f>
        <v>0</v>
      </c>
      <c r="J1086" s="33">
        <f>+IF(FINANCIACION[[#This Row],[$ CAPITAL]]&gt;=0,FINANCIACION[[#This Row],[$ CAPITAL]]+FINANCIACION[[#This Row],[$ INTERESES]],0)</f>
        <v>0</v>
      </c>
    </row>
    <row r="1087" spans="1:10" ht="24" hidden="1" customHeight="1" x14ac:dyDescent="0.3">
      <c r="A1087" s="142">
        <v>44742</v>
      </c>
      <c r="B1087" s="50" t="s">
        <v>195</v>
      </c>
      <c r="C1087" s="5">
        <v>2087219</v>
      </c>
      <c r="D1087" s="5"/>
      <c r="E1087" s="5">
        <f>+IF(FINANCIACION[[#This Row],[$ CAPITAL]]&gt;=0,FINANCIACION[[#This Row],[$ CAPITAL]]+FINANCIACION[[#This Row],[$ INTERESES]],"")</f>
        <v>2087219</v>
      </c>
      <c r="F1087" s="5">
        <f>+SUMIFS(FINANCIACION[$ CAPITAL],FINANCIACION[Fecha],"&lt;="&amp;FINANCIACION[[#This Row],[Fecha]],FINANCIACION[PRESTAMO],FINANCIACION[[#This Row],[PRESTAMO]])</f>
        <v>-862463</v>
      </c>
      <c r="G1087" s="53" t="s">
        <v>225</v>
      </c>
      <c r="H1087" s="53"/>
      <c r="I1087" s="5">
        <f>+IF(FINANCIACION[[#This Row],[$ CAPITAL]]&gt;0,FINANCIACION[[#This Row],[$ CAPITAL]])</f>
        <v>2087219</v>
      </c>
      <c r="J1087" s="33">
        <f>+IF(FINANCIACION[[#This Row],[$ CAPITAL]]&gt;=0,FINANCIACION[[#This Row],[$ CAPITAL]]+FINANCIACION[[#This Row],[$ INTERESES]],0)</f>
        <v>2087219</v>
      </c>
    </row>
    <row r="1088" spans="1:10" ht="24" hidden="1" customHeight="1" x14ac:dyDescent="0.3">
      <c r="A1088" s="142">
        <v>44742</v>
      </c>
      <c r="B1088" s="50" t="s">
        <v>196</v>
      </c>
      <c r="C1088" s="5">
        <v>11583800</v>
      </c>
      <c r="D1088" s="5"/>
      <c r="E1088" s="5">
        <f>+IF(FINANCIACION[[#This Row],[$ CAPITAL]]&gt;=0,FINANCIACION[[#This Row],[$ CAPITAL]]+FINANCIACION[[#This Row],[$ INTERESES]],"")</f>
        <v>11583800</v>
      </c>
      <c r="F1088" s="5">
        <f>+SUMIFS(FINANCIACION[$ CAPITAL],FINANCIACION[Fecha],"&lt;="&amp;FINANCIACION[[#This Row],[Fecha]],FINANCIACION[PRESTAMO],FINANCIACION[[#This Row],[PRESTAMO]])</f>
        <v>-22050000</v>
      </c>
      <c r="G1088" s="53" t="s">
        <v>225</v>
      </c>
      <c r="H1088" s="53"/>
      <c r="I1088" s="5">
        <f>+IF(FINANCIACION[[#This Row],[$ CAPITAL]]&gt;0,FINANCIACION[[#This Row],[$ CAPITAL]])</f>
        <v>11583800</v>
      </c>
      <c r="J1088" s="33">
        <f>+IF(FINANCIACION[[#This Row],[$ CAPITAL]]&gt;=0,FINANCIACION[[#This Row],[$ CAPITAL]]+FINANCIACION[[#This Row],[$ INTERESES]],0)</f>
        <v>11583800</v>
      </c>
    </row>
    <row r="1089" spans="1:10" ht="24" hidden="1" customHeight="1" x14ac:dyDescent="0.3">
      <c r="A1089" s="142">
        <v>44742</v>
      </c>
      <c r="B1089" s="50" t="s">
        <v>197</v>
      </c>
      <c r="C1089" s="5">
        <v>-9942633</v>
      </c>
      <c r="D1089" s="5"/>
      <c r="E1089" s="5" t="str">
        <f>+IF(FINANCIACION[[#This Row],[$ CAPITAL]]&gt;=0,FINANCIACION[[#This Row],[$ CAPITAL]]+FINANCIACION[[#This Row],[$ INTERESES]],"")</f>
        <v/>
      </c>
      <c r="F1089" s="5">
        <f>+SUMIFS(FINANCIACION[$ CAPITAL],FINANCIACION[Fecha],"&lt;="&amp;FINANCIACION[[#This Row],[Fecha]],FINANCIACION[PRESTAMO],FINANCIACION[[#This Row],[PRESTAMO]])</f>
        <v>-19291851</v>
      </c>
      <c r="G1089" s="53" t="s">
        <v>225</v>
      </c>
      <c r="H1089" s="53"/>
      <c r="I1089" s="5" t="b">
        <f>+IF(FINANCIACION[[#This Row],[$ CAPITAL]]&gt;0,FINANCIACION[[#This Row],[$ CAPITAL]])</f>
        <v>0</v>
      </c>
      <c r="J1089" s="33">
        <f>+IF(FINANCIACION[[#This Row],[$ CAPITAL]]&gt;=0,FINANCIACION[[#This Row],[$ CAPITAL]]+FINANCIACION[[#This Row],[$ INTERESES]],0)</f>
        <v>0</v>
      </c>
    </row>
    <row r="1090" spans="1:10" ht="24" hidden="1" customHeight="1" x14ac:dyDescent="0.3">
      <c r="A1090" s="142">
        <v>44744</v>
      </c>
      <c r="B1090" s="50" t="s">
        <v>836</v>
      </c>
      <c r="C1090" s="5">
        <v>10000000</v>
      </c>
      <c r="D1090" s="5">
        <v>100000</v>
      </c>
      <c r="E1090" s="5">
        <f>+IF(FINANCIACION[[#This Row],[$ CAPITAL]]&gt;=0,FINANCIACION[[#This Row],[$ CAPITAL]]+FINANCIACION[[#This Row],[$ INTERESES]],"")</f>
        <v>10100000</v>
      </c>
      <c r="F1090" s="5">
        <f>+SUMIFS(FINANCIACION[$ CAPITAL],FINANCIACION[Fecha],"&lt;="&amp;FINANCIACION[[#This Row],[Fecha]],FINANCIACION[PRESTAMO],FINANCIACION[[#This Row],[PRESTAMO]])</f>
        <v>0</v>
      </c>
      <c r="G1090" s="53"/>
      <c r="H1090" s="53"/>
      <c r="I1090" s="5">
        <f>+IF(FINANCIACION[[#This Row],[$ CAPITAL]]&gt;0,FINANCIACION[[#This Row],[$ CAPITAL]])</f>
        <v>10000000</v>
      </c>
      <c r="J1090" s="33">
        <f>+IF(FINANCIACION[[#This Row],[$ CAPITAL]]&gt;=0,FINANCIACION[[#This Row],[$ CAPITAL]]+FINANCIACION[[#This Row],[$ INTERESES]],0)</f>
        <v>10100000</v>
      </c>
    </row>
    <row r="1091" spans="1:10" ht="24" hidden="1" customHeight="1" x14ac:dyDescent="0.3">
      <c r="A1091" s="142">
        <v>44746</v>
      </c>
      <c r="B1091" s="50" t="s">
        <v>839</v>
      </c>
      <c r="C1091" s="5">
        <v>1744958</v>
      </c>
      <c r="D1091" s="5">
        <v>167209</v>
      </c>
      <c r="E1091" s="5">
        <f>+IF(FINANCIACION[[#This Row],[$ CAPITAL]]&gt;=0,FINANCIACION[[#This Row],[$ CAPITAL]]+FINANCIACION[[#This Row],[$ INTERESES]],"")</f>
        <v>1912167</v>
      </c>
      <c r="F1091" s="5">
        <f>+SUMIFS(FINANCIACION[$ CAPITAL],FINANCIACION[Fecha],"&lt;="&amp;FINANCIACION[[#This Row],[Fecha]],FINANCIACION[PRESTAMO],FINANCIACION[[#This Row],[PRESTAMO]])</f>
        <v>-12214716</v>
      </c>
      <c r="G1091" s="53"/>
      <c r="H1091" s="53"/>
      <c r="I1091" s="5">
        <f>+IF(FINANCIACION[[#This Row],[$ CAPITAL]]&gt;0,FINANCIACION[[#This Row],[$ CAPITAL]])</f>
        <v>1744958</v>
      </c>
      <c r="J1091" s="33">
        <f>+IF(FINANCIACION[[#This Row],[$ CAPITAL]]&gt;=0,FINANCIACION[[#This Row],[$ CAPITAL]]+FINANCIACION[[#This Row],[$ INTERESES]],0)</f>
        <v>1912167</v>
      </c>
    </row>
    <row r="1092" spans="1:10" ht="24" hidden="1" customHeight="1" x14ac:dyDescent="0.3">
      <c r="A1092" s="142">
        <v>44747</v>
      </c>
      <c r="B1092" s="50" t="s">
        <v>486</v>
      </c>
      <c r="C1092" s="5">
        <f>3822.86*FINANCIACION[[#This Row],[VALOR EN DOLARES]]</f>
        <v>38228600</v>
      </c>
      <c r="D1092" s="5">
        <f>431424+4089</f>
        <v>435513</v>
      </c>
      <c r="E1092" s="5">
        <f>+IF(FINANCIACION[[#This Row],[$ CAPITAL]]&gt;=0,FINANCIACION[[#This Row],[$ CAPITAL]]+FINANCIACION[[#This Row],[$ INTERESES]],"")</f>
        <v>38664113</v>
      </c>
      <c r="F1092" s="5">
        <f>+SUMIFS(FINANCIACION[$ CAPITAL],FINANCIACION[Fecha],"&lt;="&amp;FINANCIACION[[#This Row],[Fecha]],FINANCIACION[PRESTAMO],FINANCIACION[[#This Row],[PRESTAMO]])</f>
        <v>-20396176</v>
      </c>
      <c r="G1092" s="53"/>
      <c r="H1092" s="53">
        <v>10000</v>
      </c>
      <c r="I1092" s="5">
        <f>+IF(FINANCIACION[[#This Row],[$ CAPITAL]]&gt;0,FINANCIACION[[#This Row],[$ CAPITAL]])</f>
        <v>38228600</v>
      </c>
      <c r="J1092" s="33">
        <f>+IF(FINANCIACION[[#This Row],[$ CAPITAL]]&gt;=0,FINANCIACION[[#This Row],[$ CAPITAL]]+FINANCIACION[[#This Row],[$ INTERESES]],0)</f>
        <v>38664113</v>
      </c>
    </row>
    <row r="1093" spans="1:10" ht="24" hidden="1" customHeight="1" x14ac:dyDescent="0.3">
      <c r="A1093" s="142">
        <v>44750</v>
      </c>
      <c r="B1093" s="50" t="s">
        <v>1109</v>
      </c>
      <c r="C1093" s="5">
        <f>+FINANCIACION[[#This Row],[VALOR EN DOLARES]]*4500</f>
        <v>-72391950</v>
      </c>
      <c r="D1093" s="5"/>
      <c r="E1093" s="5" t="str">
        <f>+IF(FINANCIACION[[#This Row],[$ CAPITAL]]&gt;=0,FINANCIACION[[#This Row],[$ CAPITAL]]+FINANCIACION[[#This Row],[$ INTERESES]],"")</f>
        <v/>
      </c>
      <c r="F1093" s="5">
        <f>+SUMIFS(FINANCIACION[$ CAPITAL],FINANCIACION[Fecha],"&lt;="&amp;FINANCIACION[[#This Row],[Fecha]],FINANCIACION[PRESTAMO],FINANCIACION[[#This Row],[PRESTAMO]])</f>
        <v>-72391950</v>
      </c>
      <c r="G1093" s="53"/>
      <c r="H1093" s="53">
        <v>-16087.1</v>
      </c>
      <c r="I1093" s="5" t="b">
        <f>+IF(FINANCIACION[[#This Row],[$ CAPITAL]]&gt;0,FINANCIACION[[#This Row],[$ CAPITAL]])</f>
        <v>0</v>
      </c>
      <c r="J1093" s="33">
        <f>+IF(FINANCIACION[[#This Row],[$ CAPITAL]]&gt;=0,FINANCIACION[[#This Row],[$ CAPITAL]]+FINANCIACION[[#This Row],[$ INTERESES]],0)</f>
        <v>0</v>
      </c>
    </row>
    <row r="1094" spans="1:10" ht="24" hidden="1" customHeight="1" x14ac:dyDescent="0.3">
      <c r="A1094" s="142">
        <v>44753</v>
      </c>
      <c r="B1094" s="50" t="s">
        <v>830</v>
      </c>
      <c r="C1094" s="5"/>
      <c r="D1094" s="5">
        <v>130000</v>
      </c>
      <c r="E1094" s="5">
        <f>+IF(FINANCIACION[[#This Row],[$ CAPITAL]]&gt;=0,FINANCIACION[[#This Row],[$ CAPITAL]]+FINANCIACION[[#This Row],[$ INTERESES]],"")</f>
        <v>130000</v>
      </c>
      <c r="F1094" s="5">
        <f>+SUMIFS(FINANCIACION[$ CAPITAL],FINANCIACION[Fecha],"&lt;="&amp;FINANCIACION[[#This Row],[Fecha]],FINANCIACION[PRESTAMO],FINANCIACION[[#This Row],[PRESTAMO]])</f>
        <v>-13000000</v>
      </c>
      <c r="G1094" s="53"/>
      <c r="H1094" s="53"/>
      <c r="I1094" s="5" t="b">
        <f>+IF(FINANCIACION[[#This Row],[$ CAPITAL]]&gt;0,FINANCIACION[[#This Row],[$ CAPITAL]])</f>
        <v>0</v>
      </c>
      <c r="J1094" s="33">
        <f>+IF(FINANCIACION[[#This Row],[$ CAPITAL]]&gt;=0,FINANCIACION[[#This Row],[$ CAPITAL]]+FINANCIACION[[#This Row],[$ INTERESES]],0)</f>
        <v>130000</v>
      </c>
    </row>
    <row r="1095" spans="1:10" ht="24" hidden="1" customHeight="1" x14ac:dyDescent="0.3">
      <c r="A1095" s="142">
        <v>44753</v>
      </c>
      <c r="B1095" s="50" t="s">
        <v>834</v>
      </c>
      <c r="C1095" s="5"/>
      <c r="D1095" s="5">
        <v>400000</v>
      </c>
      <c r="E1095" s="5">
        <f>+IF(FINANCIACION[[#This Row],[$ CAPITAL]]&gt;=0,FINANCIACION[[#This Row],[$ CAPITAL]]+FINANCIACION[[#This Row],[$ INTERESES]],"")</f>
        <v>400000</v>
      </c>
      <c r="F1095" s="5">
        <f>+SUMIFS(FINANCIACION[$ CAPITAL],FINANCIACION[Fecha],"&lt;="&amp;FINANCIACION[[#This Row],[Fecha]],FINANCIACION[PRESTAMO],FINANCIACION[[#This Row],[PRESTAMO]])</f>
        <v>-40000000</v>
      </c>
      <c r="G1095" s="53"/>
      <c r="H1095" s="53"/>
      <c r="I1095" s="5" t="b">
        <f>+IF(FINANCIACION[[#This Row],[$ CAPITAL]]&gt;0,FINANCIACION[[#This Row],[$ CAPITAL]])</f>
        <v>0</v>
      </c>
      <c r="J1095" s="33">
        <f>+IF(FINANCIACION[[#This Row],[$ CAPITAL]]&gt;=0,FINANCIACION[[#This Row],[$ CAPITAL]]+FINANCIACION[[#This Row],[$ INTERESES]],0)</f>
        <v>400000</v>
      </c>
    </row>
    <row r="1096" spans="1:10" ht="24" hidden="1" customHeight="1" x14ac:dyDescent="0.3">
      <c r="A1096" s="142">
        <v>44753</v>
      </c>
      <c r="B1096" s="50" t="s">
        <v>819</v>
      </c>
      <c r="C1096" s="5">
        <f>2667378-FINANCIACION[[#This Row],[$ INTERESES]]</f>
        <v>2096939.736452505</v>
      </c>
      <c r="D1096" s="5">
        <f>0.01*57043826.3547495</f>
        <v>570438.26354749501</v>
      </c>
      <c r="E1096" s="5">
        <f>+IF(FINANCIACION[[#This Row],[$ CAPITAL]]&gt;=0,FINANCIACION[[#This Row],[$ CAPITAL]]+FINANCIACION[[#This Row],[$ INTERESES]],"")</f>
        <v>2667378</v>
      </c>
      <c r="F1096" s="5">
        <f>+SUMIFS(FINANCIACION[$ CAPITAL],FINANCIACION[Fecha],"&lt;="&amp;FINANCIACION[[#This Row],[Fecha]],FINANCIACION[PRESTAMO],FINANCIACION[[#This Row],[PRESTAMO]])</f>
        <v>-54946886.618297026</v>
      </c>
      <c r="G1096" s="53"/>
      <c r="H1096" s="53"/>
      <c r="I1096" s="5">
        <f>+IF(FINANCIACION[[#This Row],[$ CAPITAL]]&gt;0,FINANCIACION[[#This Row],[$ CAPITAL]])</f>
        <v>2096939.736452505</v>
      </c>
      <c r="J1096" s="33">
        <f>+IF(FINANCIACION[[#This Row],[$ CAPITAL]]&gt;=0,FINANCIACION[[#This Row],[$ CAPITAL]]+FINANCIACION[[#This Row],[$ INTERESES]],0)</f>
        <v>2667378</v>
      </c>
    </row>
    <row r="1097" spans="1:10" ht="24" hidden="1" customHeight="1" x14ac:dyDescent="0.3">
      <c r="A1097" s="142">
        <v>44753</v>
      </c>
      <c r="B1097" s="50" t="s">
        <v>836</v>
      </c>
      <c r="C1097" s="5"/>
      <c r="D1097" s="5">
        <v>100000</v>
      </c>
      <c r="E1097" s="5">
        <f>+IF(FINANCIACION[[#This Row],[$ CAPITAL]]&gt;=0,FINANCIACION[[#This Row],[$ CAPITAL]]+FINANCIACION[[#This Row],[$ INTERESES]],"")</f>
        <v>100000</v>
      </c>
      <c r="F1097" s="5">
        <f>+SUMIFS(FINANCIACION[$ CAPITAL],FINANCIACION[Fecha],"&lt;="&amp;FINANCIACION[[#This Row],[Fecha]],FINANCIACION[PRESTAMO],FINANCIACION[[#This Row],[PRESTAMO]])</f>
        <v>0</v>
      </c>
      <c r="G1097" s="53"/>
      <c r="H1097" s="53"/>
      <c r="I1097" s="5" t="b">
        <f>+IF(FINANCIACION[[#This Row],[$ CAPITAL]]&gt;0,FINANCIACION[[#This Row],[$ CAPITAL]])</f>
        <v>0</v>
      </c>
      <c r="J1097" s="33">
        <f>+IF(FINANCIACION[[#This Row],[$ CAPITAL]]&gt;=0,FINANCIACION[[#This Row],[$ CAPITAL]]+FINANCIACION[[#This Row],[$ INTERESES]],0)</f>
        <v>100000</v>
      </c>
    </row>
    <row r="1098" spans="1:10" ht="24" hidden="1" customHeight="1" x14ac:dyDescent="0.3">
      <c r="A1098" s="142">
        <v>44753</v>
      </c>
      <c r="B1098" s="50" t="s">
        <v>823</v>
      </c>
      <c r="C1098" s="5">
        <f>1300000-FINANCIACION[[#This Row],[$ INTERESES]]</f>
        <v>811749.49318927398</v>
      </c>
      <c r="D1098" s="5">
        <f>-48825050.6810726*-0.01</f>
        <v>488250.50681072602</v>
      </c>
      <c r="E1098" s="5">
        <f>+IF(FINANCIACION[[#This Row],[$ CAPITAL]]&gt;=0,FINANCIACION[[#This Row],[$ CAPITAL]]+FINANCIACION[[#This Row],[$ INTERESES]],"")</f>
        <v>1300000</v>
      </c>
      <c r="F1098" s="5">
        <f>+SUMIFS(FINANCIACION[$ CAPITAL],FINANCIACION[Fecha],"&lt;="&amp;FINANCIACION[[#This Row],[Fecha]],FINANCIACION[PRESTAMO],FINANCIACION[[#This Row],[PRESTAMO]])</f>
        <v>-48013301.187883295</v>
      </c>
      <c r="G1098" s="53"/>
      <c r="H1098" s="53"/>
      <c r="I1098" s="5">
        <f>+IF(FINANCIACION[[#This Row],[$ CAPITAL]]&gt;0,FINANCIACION[[#This Row],[$ CAPITAL]])</f>
        <v>811749.49318927398</v>
      </c>
      <c r="J1098" s="33">
        <f>+IF(FINANCIACION[[#This Row],[$ CAPITAL]]&gt;=0,FINANCIACION[[#This Row],[$ CAPITAL]]+FINANCIACION[[#This Row],[$ INTERESES]],0)</f>
        <v>1300000</v>
      </c>
    </row>
    <row r="1099" spans="1:10" ht="24" hidden="1" customHeight="1" x14ac:dyDescent="0.3">
      <c r="A1099" s="142">
        <v>44753</v>
      </c>
      <c r="B1099" s="50" t="s">
        <v>820</v>
      </c>
      <c r="C1099" s="5">
        <v>1334706.0261461178</v>
      </c>
      <c r="D1099" s="5">
        <v>665293.97385388217</v>
      </c>
      <c r="E1099" s="5">
        <f>+IF(FINANCIACION[[#This Row],[$ CAPITAL]]&gt;=0,FINANCIACION[[#This Row],[$ CAPITAL]]+FINANCIACION[[#This Row],[$ INTERESES]],"")</f>
        <v>2000000</v>
      </c>
      <c r="F1099" s="5">
        <f>+SUMIFS(FINANCIACION[$ CAPITAL],FINANCIACION[Fecha],"&lt;="&amp;FINANCIACION[[#This Row],[Fecha]],FINANCIACION[PRESTAMO],FINANCIACION[[#This Row],[PRESTAMO]])</f>
        <v>-65365379.219242096</v>
      </c>
      <c r="G1099" s="53"/>
      <c r="H1099" s="53"/>
      <c r="I1099" s="5">
        <f>+IF(FINANCIACION[[#This Row],[$ CAPITAL]]&gt;0,FINANCIACION[[#This Row],[$ CAPITAL]])</f>
        <v>1334706.0261461178</v>
      </c>
      <c r="J1099" s="33">
        <f>+IF(FINANCIACION[[#This Row],[$ CAPITAL]]&gt;=0,FINANCIACION[[#This Row],[$ CAPITAL]]+FINANCIACION[[#This Row],[$ INTERESES]],0)</f>
        <v>2000000</v>
      </c>
    </row>
    <row r="1100" spans="1:10" ht="24" hidden="1" customHeight="1" x14ac:dyDescent="0.3">
      <c r="A1100" s="142">
        <v>44753</v>
      </c>
      <c r="B1100" s="50" t="s">
        <v>832</v>
      </c>
      <c r="C1100" s="5"/>
      <c r="D1100" s="5">
        <v>120000</v>
      </c>
      <c r="E1100" s="5">
        <f>+IF(FINANCIACION[[#This Row],[$ CAPITAL]]&gt;=0,FINANCIACION[[#This Row],[$ CAPITAL]]+FINANCIACION[[#This Row],[$ INTERESES]],"")</f>
        <v>120000</v>
      </c>
      <c r="F1100" s="5">
        <f>+SUMIFS(FINANCIACION[$ CAPITAL],FINANCIACION[Fecha],"&lt;="&amp;FINANCIACION[[#This Row],[Fecha]],FINANCIACION[PRESTAMO],FINANCIACION[[#This Row],[PRESTAMO]])</f>
        <v>-12000000</v>
      </c>
      <c r="G1100" s="53"/>
      <c r="H1100" s="53"/>
      <c r="I1100" s="5" t="b">
        <f>+IF(FINANCIACION[[#This Row],[$ CAPITAL]]&gt;0,FINANCIACION[[#This Row],[$ CAPITAL]])</f>
        <v>0</v>
      </c>
      <c r="J1100" s="33">
        <f>+IF(FINANCIACION[[#This Row],[$ CAPITAL]]&gt;=0,FINANCIACION[[#This Row],[$ CAPITAL]]+FINANCIACION[[#This Row],[$ INTERESES]],0)</f>
        <v>120000</v>
      </c>
    </row>
    <row r="1101" spans="1:10" ht="24" hidden="1" customHeight="1" x14ac:dyDescent="0.3">
      <c r="A1101" s="142">
        <v>44760</v>
      </c>
      <c r="B1101" s="50" t="s">
        <v>189</v>
      </c>
      <c r="C1101" s="5"/>
      <c r="D1101" s="5">
        <v>391650</v>
      </c>
      <c r="E1101" s="5">
        <f>+IF(FINANCIACION[[#This Row],[$ CAPITAL]]&gt;=0,FINANCIACION[[#This Row],[$ CAPITAL]]+FINANCIACION[[#This Row],[$ INTERESES]],"")</f>
        <v>391650</v>
      </c>
      <c r="F1101" s="5">
        <f>+SUMIFS(FINANCIACION[$ CAPITAL],FINANCIACION[Fecha],"&lt;="&amp;FINANCIACION[[#This Row],[Fecha]],FINANCIACION[PRESTAMO],FINANCIACION[[#This Row],[PRESTAMO]])</f>
        <v>0</v>
      </c>
      <c r="G1101" s="53"/>
      <c r="H1101" s="53"/>
      <c r="I1101" s="5" t="b">
        <f>+IF(FINANCIACION[[#This Row],[$ CAPITAL]]&gt;0,FINANCIACION[[#This Row],[$ CAPITAL]])</f>
        <v>0</v>
      </c>
      <c r="J1101" s="33">
        <f>+IF(FINANCIACION[[#This Row],[$ CAPITAL]]&gt;=0,FINANCIACION[[#This Row],[$ CAPITAL]]+FINANCIACION[[#This Row],[$ INTERESES]],0)</f>
        <v>391650</v>
      </c>
    </row>
    <row r="1102" spans="1:10" ht="24" hidden="1" customHeight="1" x14ac:dyDescent="0.3">
      <c r="A1102" s="142">
        <v>44761</v>
      </c>
      <c r="B1102" s="50" t="s">
        <v>191</v>
      </c>
      <c r="C1102" s="5">
        <v>417000</v>
      </c>
      <c r="D1102" s="5">
        <f>627251.99-FINANCIACION[[#This Row],[$ CAPITAL]]</f>
        <v>210251.99</v>
      </c>
      <c r="E1102" s="5">
        <f>+IF(FINANCIACION[[#This Row],[$ CAPITAL]]&gt;=0,FINANCIACION[[#This Row],[$ CAPITAL]]+FINANCIACION[[#This Row],[$ INTERESES]],"")</f>
        <v>627251.99</v>
      </c>
      <c r="F1102" s="5">
        <f>+SUMIFS(FINANCIACION[$ CAPITAL],FINANCIACION[Fecha],"&lt;="&amp;FINANCIACION[[#This Row],[Fecha]],FINANCIACION[PRESTAMO],FINANCIACION[[#This Row],[PRESTAMO]])</f>
        <v>-14583000</v>
      </c>
      <c r="G1102" s="53"/>
      <c r="H1102" s="53"/>
      <c r="I1102" s="5">
        <f>+IF(FINANCIACION[[#This Row],[$ CAPITAL]]&gt;0,FINANCIACION[[#This Row],[$ CAPITAL]])</f>
        <v>417000</v>
      </c>
      <c r="J1102" s="33">
        <f>+IF(FINANCIACION[[#This Row],[$ CAPITAL]]&gt;=0,FINANCIACION[[#This Row],[$ CAPITAL]]+FINANCIACION[[#This Row],[$ INTERESES]],0)</f>
        <v>627251.99</v>
      </c>
    </row>
    <row r="1103" spans="1:10" ht="24" hidden="1" customHeight="1" x14ac:dyDescent="0.3">
      <c r="A1103" s="142">
        <v>44761</v>
      </c>
      <c r="B1103" s="50" t="s">
        <v>833</v>
      </c>
      <c r="C1103" s="5">
        <v>1077529.3999999999</v>
      </c>
      <c r="D1103" s="5">
        <v>129470.60000000009</v>
      </c>
      <c r="E1103" s="5">
        <f>+IF(FINANCIACION[[#This Row],[$ CAPITAL]]&gt;=0,FINANCIACION[[#This Row],[$ CAPITAL]]+FINANCIACION[[#This Row],[$ INTERESES]],"")</f>
        <v>1207000</v>
      </c>
      <c r="F1103" s="5">
        <f>+SUMIFS(FINANCIACION[$ CAPITAL],FINANCIACION[Fecha],"&lt;="&amp;FINANCIACION[[#This Row],[Fecha]],FINANCIACION[PRESTAMO],FINANCIACION[[#This Row],[PRESTAMO]])</f>
        <v>-10724803.99</v>
      </c>
      <c r="G1103" s="53"/>
      <c r="H1103" s="53"/>
      <c r="I1103" s="5">
        <f>+IF(FINANCIACION[[#This Row],[$ CAPITAL]]&gt;0,FINANCIACION[[#This Row],[$ CAPITAL]])</f>
        <v>1077529.3999999999</v>
      </c>
      <c r="J1103" s="33">
        <f>+IF(FINANCIACION[[#This Row],[$ CAPITAL]]&gt;=0,FINANCIACION[[#This Row],[$ CAPITAL]]+FINANCIACION[[#This Row],[$ INTERESES]],0)</f>
        <v>1207000</v>
      </c>
    </row>
    <row r="1104" spans="1:10" ht="24" hidden="1" customHeight="1" x14ac:dyDescent="0.3">
      <c r="A1104" s="142">
        <v>44761</v>
      </c>
      <c r="B1104" s="50" t="s">
        <v>878</v>
      </c>
      <c r="C1104" s="5">
        <v>1666666.66</v>
      </c>
      <c r="D1104" s="5">
        <v>356333.34000000008</v>
      </c>
      <c r="E1104" s="5">
        <f>+IF(FINANCIACION[[#This Row],[$ CAPITAL]]&gt;=0,FINANCIACION[[#This Row],[$ CAPITAL]]+FINANCIACION[[#This Row],[$ INTERESES]],"")</f>
        <v>2023000</v>
      </c>
      <c r="F1104" s="5">
        <f>+SUMIFS(FINANCIACION[$ CAPITAL],FINANCIACION[Fecha],"&lt;="&amp;FINANCIACION[[#This Row],[Fecha]],FINANCIACION[PRESTAMO],FINANCIACION[[#This Row],[PRESTAMO]])</f>
        <v>-22793173.599999998</v>
      </c>
      <c r="G1104" s="53"/>
      <c r="H1104" s="53"/>
      <c r="I1104" s="5">
        <f>+IF(FINANCIACION[[#This Row],[$ CAPITAL]]&gt;0,FINANCIACION[[#This Row],[$ CAPITAL]])</f>
        <v>1666666.66</v>
      </c>
      <c r="J1104" s="33">
        <f>+IF(FINANCIACION[[#This Row],[$ CAPITAL]]&gt;=0,FINANCIACION[[#This Row],[$ CAPITAL]]+FINANCIACION[[#This Row],[$ INTERESES]],0)</f>
        <v>2023000</v>
      </c>
    </row>
    <row r="1105" spans="1:10" ht="24" hidden="1" customHeight="1" x14ac:dyDescent="0.3">
      <c r="A1105" s="142">
        <v>44761</v>
      </c>
      <c r="B1105" s="50" t="s">
        <v>827</v>
      </c>
      <c r="C1105" s="5">
        <v>853000</v>
      </c>
      <c r="D1105" s="5">
        <v>126000</v>
      </c>
      <c r="E1105" s="5">
        <f>+IF(FINANCIACION[[#This Row],[$ CAPITAL]]&gt;=0,FINANCIACION[[#This Row],[$ CAPITAL]]+FINANCIACION[[#This Row],[$ INTERESES]],"")</f>
        <v>979000</v>
      </c>
      <c r="F1105" s="5">
        <f>+SUMIFS(FINANCIACION[$ CAPITAL],FINANCIACION[Fecha],"&lt;="&amp;FINANCIACION[[#This Row],[Fecha]],FINANCIACION[PRESTAMO],FINANCIACION[[#This Row],[PRESTAMO]])</f>
        <v>-10164333.649999999</v>
      </c>
      <c r="G1105" s="53"/>
      <c r="H1105" s="53"/>
      <c r="I1105" s="5">
        <f>+IF(FINANCIACION[[#This Row],[$ CAPITAL]]&gt;0,FINANCIACION[[#This Row],[$ CAPITAL]])</f>
        <v>853000</v>
      </c>
      <c r="J1105" s="33">
        <f>+IF(FINANCIACION[[#This Row],[$ CAPITAL]]&gt;=0,FINANCIACION[[#This Row],[$ CAPITAL]]+FINANCIACION[[#This Row],[$ INTERESES]],0)</f>
        <v>979000</v>
      </c>
    </row>
    <row r="1106" spans="1:10" ht="24" hidden="1" customHeight="1" x14ac:dyDescent="0.3">
      <c r="A1106" s="142">
        <v>44761</v>
      </c>
      <c r="B1106" s="50" t="s">
        <v>1131</v>
      </c>
      <c r="C1106" s="5">
        <v>453998</v>
      </c>
      <c r="D1106" s="5">
        <v>45391</v>
      </c>
      <c r="E1106" s="5">
        <f>+IF(FINANCIACION[[#This Row],[$ CAPITAL]]&gt;=0,FINANCIACION[[#This Row],[$ CAPITAL]]+FINANCIACION[[#This Row],[$ INTERESES]],"")</f>
        <v>499389</v>
      </c>
      <c r="F1106" s="5">
        <f>+SUMIFS(FINANCIACION[$ CAPITAL],FINANCIACION[Fecha],"&lt;="&amp;FINANCIACION[[#This Row],[Fecha]],FINANCIACION[PRESTAMO],FINANCIACION[[#This Row],[PRESTAMO]])</f>
        <v>-4085982</v>
      </c>
      <c r="G1106" s="53"/>
      <c r="H1106" s="53"/>
      <c r="I1106" s="5">
        <f>+IF(FINANCIACION[[#This Row],[$ CAPITAL]]&gt;0,FINANCIACION[[#This Row],[$ CAPITAL]])</f>
        <v>453998</v>
      </c>
      <c r="J1106" s="33">
        <f>+IF(FINANCIACION[[#This Row],[$ CAPITAL]]&gt;=0,FINANCIACION[[#This Row],[$ CAPITAL]]+FINANCIACION[[#This Row],[$ INTERESES]],0)</f>
        <v>499389</v>
      </c>
    </row>
    <row r="1107" spans="1:10" ht="24" hidden="1" customHeight="1" x14ac:dyDescent="0.3">
      <c r="A1107" s="142">
        <v>44761</v>
      </c>
      <c r="B1107" s="50" t="s">
        <v>835</v>
      </c>
      <c r="C1107" s="5">
        <v>1481481.48</v>
      </c>
      <c r="D1107" s="5">
        <v>797518.52</v>
      </c>
      <c r="E1107" s="5">
        <f>+IF(FINANCIACION[[#This Row],[$ CAPITAL]]&gt;=0,FINANCIACION[[#This Row],[$ CAPITAL]]+FINANCIACION[[#This Row],[$ INTERESES]],"")</f>
        <v>2279000</v>
      </c>
      <c r="F1107" s="5">
        <f>+SUMIFS(FINANCIACION[$ CAPITAL],FINANCIACION[Fecha],"&lt;="&amp;FINANCIACION[[#This Row],[Fecha]],FINANCIACION[PRESTAMO],FINANCIACION[[#This Row],[PRESTAMO]])</f>
        <v>-77027596.890000001</v>
      </c>
      <c r="G1107" s="53"/>
      <c r="H1107" s="53"/>
      <c r="I1107" s="5">
        <f>+IF(FINANCIACION[[#This Row],[$ CAPITAL]]&gt;0,FINANCIACION[[#This Row],[$ CAPITAL]])</f>
        <v>1481481.48</v>
      </c>
      <c r="J1107" s="33">
        <f>+IF(FINANCIACION[[#This Row],[$ CAPITAL]]&gt;=0,FINANCIACION[[#This Row],[$ CAPITAL]]+FINANCIACION[[#This Row],[$ INTERESES]],0)</f>
        <v>2279000</v>
      </c>
    </row>
    <row r="1108" spans="1:10" ht="24" hidden="1" customHeight="1" x14ac:dyDescent="0.3">
      <c r="A1108" s="142">
        <v>44761</v>
      </c>
      <c r="B1108" s="50" t="s">
        <v>829</v>
      </c>
      <c r="C1108" s="5">
        <v>894000</v>
      </c>
      <c r="D1108" s="5">
        <v>140000</v>
      </c>
      <c r="E1108" s="5">
        <f>+IF(FINANCIACION[[#This Row],[$ CAPITAL]]&gt;=0,FINANCIACION[[#This Row],[$ CAPITAL]]+FINANCIACION[[#This Row],[$ INTERESES]],"")</f>
        <v>1034000</v>
      </c>
      <c r="F1108" s="5">
        <f>+SUMIFS(FINANCIACION[$ CAPITAL],FINANCIACION[Fecha],"&lt;="&amp;FINANCIACION[[#This Row],[Fecha]],FINANCIACION[PRESTAMO],FINANCIACION[[#This Row],[PRESTAMO]])</f>
        <v>-11562211.069999998</v>
      </c>
      <c r="G1108" s="53"/>
      <c r="H1108" s="53"/>
      <c r="I1108" s="5">
        <f>+IF(FINANCIACION[[#This Row],[$ CAPITAL]]&gt;0,FINANCIACION[[#This Row],[$ CAPITAL]])</f>
        <v>894000</v>
      </c>
      <c r="J1108" s="33">
        <f>+IF(FINANCIACION[[#This Row],[$ CAPITAL]]&gt;=0,FINANCIACION[[#This Row],[$ CAPITAL]]+FINANCIACION[[#This Row],[$ INTERESES]],0)</f>
        <v>1034000</v>
      </c>
    </row>
    <row r="1109" spans="1:10" ht="24" hidden="1" customHeight="1" x14ac:dyDescent="0.3">
      <c r="A1109" s="142">
        <v>44761</v>
      </c>
      <c r="B1109" s="50" t="s">
        <v>825</v>
      </c>
      <c r="C1109" s="5">
        <v>2176175.9</v>
      </c>
      <c r="D1109" s="5">
        <v>286824.10000000009</v>
      </c>
      <c r="E1109" s="5">
        <f>+IF(FINANCIACION[[#This Row],[$ CAPITAL]]&gt;=0,FINANCIACION[[#This Row],[$ CAPITAL]]+FINANCIACION[[#This Row],[$ INTERESES]],"")</f>
        <v>2463000</v>
      </c>
      <c r="F1109" s="5">
        <f>+SUMIFS(FINANCIACION[$ CAPITAL],FINANCIACION[Fecha],"&lt;="&amp;FINANCIACION[[#This Row],[Fecha]],FINANCIACION[PRESTAMO],FINANCIACION[[#This Row],[PRESTAMO]])</f>
        <v>-23884762.240000002</v>
      </c>
      <c r="G1109" s="53"/>
      <c r="H1109" s="53"/>
      <c r="I1109" s="5">
        <f>+IF(FINANCIACION[[#This Row],[$ CAPITAL]]&gt;0,FINANCIACION[[#This Row],[$ CAPITAL]])</f>
        <v>2176175.9</v>
      </c>
      <c r="J1109" s="33">
        <f>+IF(FINANCIACION[[#This Row],[$ CAPITAL]]&gt;=0,FINANCIACION[[#This Row],[$ CAPITAL]]+FINANCIACION[[#This Row],[$ INTERESES]],0)</f>
        <v>2463000</v>
      </c>
    </row>
    <row r="1110" spans="1:10" ht="24" hidden="1" customHeight="1" x14ac:dyDescent="0.3">
      <c r="A1110" s="142">
        <v>44761</v>
      </c>
      <c r="B1110" s="50" t="s">
        <v>826</v>
      </c>
      <c r="C1110" s="5">
        <v>3159000</v>
      </c>
      <c r="D1110" s="5">
        <v>442000</v>
      </c>
      <c r="E1110" s="5">
        <f>+IF(FINANCIACION[[#This Row],[$ CAPITAL]]&gt;=0,FINANCIACION[[#This Row],[$ CAPITAL]]+FINANCIACION[[#This Row],[$ INTERESES]],"")</f>
        <v>3601000</v>
      </c>
      <c r="F1110" s="5">
        <f>+SUMIFS(FINANCIACION[$ CAPITAL],FINANCIACION[Fecha],"&lt;="&amp;FINANCIACION[[#This Row],[Fecha]],FINANCIACION[PRESTAMO],FINANCIACION[[#This Row],[PRESTAMO]])</f>
        <v>-34588786.059999995</v>
      </c>
      <c r="G1110" s="53"/>
      <c r="H1110" s="53"/>
      <c r="I1110" s="5">
        <f>+IF(FINANCIACION[[#This Row],[$ CAPITAL]]&gt;0,FINANCIACION[[#This Row],[$ CAPITAL]])</f>
        <v>3159000</v>
      </c>
      <c r="J1110" s="33">
        <f>+IF(FINANCIACION[[#This Row],[$ CAPITAL]]&gt;=0,FINANCIACION[[#This Row],[$ CAPITAL]]+FINANCIACION[[#This Row],[$ INTERESES]],0)</f>
        <v>3601000</v>
      </c>
    </row>
    <row r="1111" spans="1:10" ht="24" hidden="1" customHeight="1" x14ac:dyDescent="0.3">
      <c r="A1111" s="142">
        <v>44761</v>
      </c>
      <c r="B1111" s="50" t="s">
        <v>821</v>
      </c>
      <c r="C1111" s="5">
        <v>1336670</v>
      </c>
      <c r="D1111" s="5">
        <v>4759135</v>
      </c>
      <c r="E1111" s="5">
        <f>+IF(FINANCIACION[[#This Row],[$ CAPITAL]]&gt;=0,FINANCIACION[[#This Row],[$ CAPITAL]]+FINANCIACION[[#This Row],[$ INTERESES]],"")</f>
        <v>6095805</v>
      </c>
      <c r="F1111" s="5">
        <f>+SUMIFS(FINANCIACION[$ CAPITAL],FINANCIACION[Fecha],"&lt;="&amp;FINANCIACION[[#This Row],[Fecha]],FINANCIACION[PRESTAMO],FINANCIACION[[#This Row],[PRESTAMO]])</f>
        <v>-363720868</v>
      </c>
      <c r="G1111" s="53"/>
      <c r="H1111" s="53"/>
      <c r="I1111" s="5">
        <f>+IF(FINANCIACION[[#This Row],[$ CAPITAL]]&gt;0,FINANCIACION[[#This Row],[$ CAPITAL]])</f>
        <v>1336670</v>
      </c>
      <c r="J1111" s="33">
        <f>+IF(FINANCIACION[[#This Row],[$ CAPITAL]]&gt;=0,FINANCIACION[[#This Row],[$ CAPITAL]]+FINANCIACION[[#This Row],[$ INTERESES]],0)</f>
        <v>6095805</v>
      </c>
    </row>
    <row r="1112" spans="1:10" ht="24" hidden="1" customHeight="1" x14ac:dyDescent="0.3">
      <c r="A1112" s="142">
        <v>44761</v>
      </c>
      <c r="B1112" s="50" t="s">
        <v>822</v>
      </c>
      <c r="C1112" s="5">
        <v>1306000</v>
      </c>
      <c r="D1112" s="5">
        <v>148000</v>
      </c>
      <c r="E1112" s="5">
        <f>+IF(FINANCIACION[[#This Row],[$ CAPITAL]]&gt;=0,FINANCIACION[[#This Row],[$ CAPITAL]]+FINANCIACION[[#This Row],[$ INTERESES]],"")</f>
        <v>1454000</v>
      </c>
      <c r="F1112" s="5">
        <f>+SUMIFS(FINANCIACION[$ CAPITAL],FINANCIACION[Fecha],"&lt;="&amp;FINANCIACION[[#This Row],[Fecha]],FINANCIACION[PRESTAMO],FINANCIACION[[#This Row],[PRESTAMO]])</f>
        <v>-11647346.890000001</v>
      </c>
      <c r="G1112" s="53"/>
      <c r="H1112" s="53"/>
      <c r="I1112" s="5">
        <f>+IF(FINANCIACION[[#This Row],[$ CAPITAL]]&gt;0,FINANCIACION[[#This Row],[$ CAPITAL]])</f>
        <v>1306000</v>
      </c>
      <c r="J1112" s="33">
        <f>+IF(FINANCIACION[[#This Row],[$ CAPITAL]]&gt;=0,FINANCIACION[[#This Row],[$ CAPITAL]]+FINANCIACION[[#This Row],[$ INTERESES]],0)</f>
        <v>1454000</v>
      </c>
    </row>
    <row r="1113" spans="1:10" ht="24" hidden="1" customHeight="1" x14ac:dyDescent="0.3">
      <c r="A1113" s="142">
        <v>44762</v>
      </c>
      <c r="B1113" s="50" t="s">
        <v>850</v>
      </c>
      <c r="C1113" s="5"/>
      <c r="D1113" s="5">
        <v>500000</v>
      </c>
      <c r="E1113" s="5">
        <f>+IF(FINANCIACION[[#This Row],[$ CAPITAL]]&gt;=0,FINANCIACION[[#This Row],[$ CAPITAL]]+FINANCIACION[[#This Row],[$ INTERESES]],"")</f>
        <v>500000</v>
      </c>
      <c r="F1113" s="5">
        <f>+SUMIFS(FINANCIACION[$ CAPITAL],FINANCIACION[Fecha],"&lt;="&amp;FINANCIACION[[#This Row],[Fecha]],FINANCIACION[PRESTAMO],FINANCIACION[[#This Row],[PRESTAMO]])</f>
        <v>-50000000</v>
      </c>
      <c r="G1113" s="53"/>
      <c r="H1113" s="53"/>
      <c r="I1113" s="5" t="b">
        <f>+IF(FINANCIACION[[#This Row],[$ CAPITAL]]&gt;0,FINANCIACION[[#This Row],[$ CAPITAL]])</f>
        <v>0</v>
      </c>
      <c r="J1113" s="33">
        <f>+IF(FINANCIACION[[#This Row],[$ CAPITAL]]&gt;=0,FINANCIACION[[#This Row],[$ CAPITAL]]+FINANCIACION[[#This Row],[$ INTERESES]],0)</f>
        <v>500000</v>
      </c>
    </row>
    <row r="1114" spans="1:10" ht="24" hidden="1" customHeight="1" x14ac:dyDescent="0.3">
      <c r="A1114" s="142">
        <v>44763</v>
      </c>
      <c r="B1114" s="50" t="s">
        <v>189</v>
      </c>
      <c r="C1114" s="5"/>
      <c r="D1114" s="5">
        <v>288926</v>
      </c>
      <c r="E1114" s="5">
        <f>+IF(FINANCIACION[[#This Row],[$ CAPITAL]]&gt;=0,FINANCIACION[[#This Row],[$ CAPITAL]]+FINANCIACION[[#This Row],[$ INTERESES]],"")</f>
        <v>288926</v>
      </c>
      <c r="F1114" s="5">
        <f>+SUMIFS(FINANCIACION[$ CAPITAL],FINANCIACION[Fecha],"&lt;="&amp;FINANCIACION[[#This Row],[Fecha]],FINANCIACION[PRESTAMO],FINANCIACION[[#This Row],[PRESTAMO]])</f>
        <v>0</v>
      </c>
      <c r="G1114" s="53"/>
      <c r="H1114" s="53"/>
      <c r="I1114" s="5" t="b">
        <f>+IF(FINANCIACION[[#This Row],[$ CAPITAL]]&gt;0,FINANCIACION[[#This Row],[$ CAPITAL]])</f>
        <v>0</v>
      </c>
      <c r="J1114" s="33">
        <f>+IF(FINANCIACION[[#This Row],[$ CAPITAL]]&gt;=0,FINANCIACION[[#This Row],[$ CAPITAL]]+FINANCIACION[[#This Row],[$ INTERESES]],0)</f>
        <v>288926</v>
      </c>
    </row>
    <row r="1115" spans="1:10" ht="24" hidden="1" customHeight="1" x14ac:dyDescent="0.3">
      <c r="A1115" s="142">
        <v>44773</v>
      </c>
      <c r="B1115" s="50" t="s">
        <v>839</v>
      </c>
      <c r="C1115" s="5">
        <v>1394</v>
      </c>
      <c r="D1115" s="5"/>
      <c r="E1115" s="5">
        <f>+IF(FINANCIACION[[#This Row],[$ CAPITAL]]&gt;=0,FINANCIACION[[#This Row],[$ CAPITAL]]+FINANCIACION[[#This Row],[$ INTERESES]],"")</f>
        <v>1394</v>
      </c>
      <c r="F1115" s="5">
        <f>+SUMIFS(FINANCIACION[$ CAPITAL],FINANCIACION[Fecha],"&lt;="&amp;FINANCIACION[[#This Row],[Fecha]],FINANCIACION[PRESTAMO],FINANCIACION[[#This Row],[PRESTAMO]])</f>
        <v>-12213322</v>
      </c>
      <c r="G1115" s="53" t="s">
        <v>225</v>
      </c>
      <c r="H1115" s="53"/>
      <c r="I1115" s="5">
        <f>+IF(FINANCIACION[[#This Row],[$ CAPITAL]]&gt;0,FINANCIACION[[#This Row],[$ CAPITAL]])</f>
        <v>1394</v>
      </c>
      <c r="J1115" s="33">
        <f>+IF(FINANCIACION[[#This Row],[$ CAPITAL]]&gt;=0,FINANCIACION[[#This Row],[$ CAPITAL]]+FINANCIACION[[#This Row],[$ INTERESES]],0)</f>
        <v>1394</v>
      </c>
    </row>
    <row r="1116" spans="1:10" ht="24" hidden="1" customHeight="1" x14ac:dyDescent="0.3">
      <c r="A1116" s="142">
        <v>44773</v>
      </c>
      <c r="B1116" s="50" t="s">
        <v>195</v>
      </c>
      <c r="C1116" s="5">
        <v>131423</v>
      </c>
      <c r="D1116" s="5"/>
      <c r="E1116" s="5">
        <f>+IF(FINANCIACION[[#This Row],[$ CAPITAL]]&gt;=0,FINANCIACION[[#This Row],[$ CAPITAL]]+FINANCIACION[[#This Row],[$ INTERESES]],"")</f>
        <v>131423</v>
      </c>
      <c r="F1116" s="5">
        <f>+SUMIFS(FINANCIACION[$ CAPITAL],FINANCIACION[Fecha],"&lt;="&amp;FINANCIACION[[#This Row],[Fecha]],FINANCIACION[PRESTAMO],FINANCIACION[[#This Row],[PRESTAMO]])</f>
        <v>-731040</v>
      </c>
      <c r="G1116" s="53" t="s">
        <v>225</v>
      </c>
      <c r="H1116" s="53"/>
      <c r="I1116" s="5">
        <f>+IF(FINANCIACION[[#This Row],[$ CAPITAL]]&gt;0,FINANCIACION[[#This Row],[$ CAPITAL]])</f>
        <v>131423</v>
      </c>
      <c r="J1116" s="33">
        <f>+IF(FINANCIACION[[#This Row],[$ CAPITAL]]&gt;=0,FINANCIACION[[#This Row],[$ CAPITAL]]+FINANCIACION[[#This Row],[$ INTERESES]],0)</f>
        <v>131423</v>
      </c>
    </row>
    <row r="1117" spans="1:10" ht="24" hidden="1" customHeight="1" x14ac:dyDescent="0.3">
      <c r="A1117" s="142">
        <v>44773</v>
      </c>
      <c r="B1117" s="50" t="s">
        <v>196</v>
      </c>
      <c r="C1117" s="5">
        <v>4909800</v>
      </c>
      <c r="D1117" s="5"/>
      <c r="E1117" s="5">
        <f>+IF(FINANCIACION[[#This Row],[$ CAPITAL]]&gt;=0,FINANCIACION[[#This Row],[$ CAPITAL]]+FINANCIACION[[#This Row],[$ INTERESES]],"")</f>
        <v>4909800</v>
      </c>
      <c r="F1117" s="5">
        <f>+SUMIFS(FINANCIACION[$ CAPITAL],FINANCIACION[Fecha],"&lt;="&amp;FINANCIACION[[#This Row],[Fecha]],FINANCIACION[PRESTAMO],FINANCIACION[[#This Row],[PRESTAMO]])</f>
        <v>-17140200</v>
      </c>
      <c r="G1117" s="53" t="s">
        <v>225</v>
      </c>
      <c r="H1117" s="53"/>
      <c r="I1117" s="5">
        <f>+IF(FINANCIACION[[#This Row],[$ CAPITAL]]&gt;0,FINANCIACION[[#This Row],[$ CAPITAL]])</f>
        <v>4909800</v>
      </c>
      <c r="J1117" s="33">
        <f>+IF(FINANCIACION[[#This Row],[$ CAPITAL]]&gt;=0,FINANCIACION[[#This Row],[$ CAPITAL]]+FINANCIACION[[#This Row],[$ INTERESES]],0)</f>
        <v>4909800</v>
      </c>
    </row>
    <row r="1118" spans="1:10" ht="24" hidden="1" customHeight="1" x14ac:dyDescent="0.3">
      <c r="A1118" s="142">
        <v>44773</v>
      </c>
      <c r="B1118" s="50" t="s">
        <v>197</v>
      </c>
      <c r="C1118" s="5">
        <v>-956704</v>
      </c>
      <c r="D1118" s="5"/>
      <c r="E1118" s="5" t="str">
        <f>+IF(FINANCIACION[[#This Row],[$ CAPITAL]]&gt;=0,FINANCIACION[[#This Row],[$ CAPITAL]]+FINANCIACION[[#This Row],[$ INTERESES]],"")</f>
        <v/>
      </c>
      <c r="F1118" s="5">
        <f>+SUMIFS(FINANCIACION[$ CAPITAL],FINANCIACION[Fecha],"&lt;="&amp;FINANCIACION[[#This Row],[Fecha]],FINANCIACION[PRESTAMO],FINANCIACION[[#This Row],[PRESTAMO]])</f>
        <v>-20248555</v>
      </c>
      <c r="G1118" s="53" t="s">
        <v>225</v>
      </c>
      <c r="H1118" s="53"/>
      <c r="I1118" s="5" t="b">
        <f>+IF(FINANCIACION[[#This Row],[$ CAPITAL]]&gt;0,FINANCIACION[[#This Row],[$ CAPITAL]])</f>
        <v>0</v>
      </c>
      <c r="J1118" s="33">
        <f>+IF(FINANCIACION[[#This Row],[$ CAPITAL]]&gt;=0,FINANCIACION[[#This Row],[$ CAPITAL]]+FINANCIACION[[#This Row],[$ INTERESES]],0)</f>
        <v>0</v>
      </c>
    </row>
    <row r="1119" spans="1:10" ht="24" customHeight="1" x14ac:dyDescent="0.3">
      <c r="A1119" s="142">
        <v>44774</v>
      </c>
      <c r="B1119" s="50" t="s">
        <v>187</v>
      </c>
      <c r="C1119" s="5">
        <v>1468400</v>
      </c>
      <c r="D1119" s="5">
        <v>444966</v>
      </c>
      <c r="E1119" s="5">
        <f>+IF(FINANCIACION[[#This Row],[$ CAPITAL]]&gt;=0,FINANCIACION[[#This Row],[$ CAPITAL]]+FINANCIACION[[#This Row],[$ INTERESES]],"")</f>
        <v>1913366</v>
      </c>
      <c r="F1119" s="5">
        <f>+SUMIFS(FINANCIACION[$ CAPITAL],FINANCIACION[Fecha],"&lt;="&amp;FINANCIACION[[#This Row],[Fecha]],FINANCIACION[PRESTAMO],FINANCIACION[[#This Row],[PRESTAMO]])</f>
        <v>-29368000</v>
      </c>
      <c r="G1119" s="53"/>
      <c r="H1119" s="53"/>
      <c r="I1119" s="5">
        <f>+IF(FINANCIACION[[#This Row],[$ CAPITAL]]&gt;0,FINANCIACION[[#This Row],[$ CAPITAL]])</f>
        <v>1468400</v>
      </c>
      <c r="J1119" s="33">
        <f>+IF(FINANCIACION[[#This Row],[$ CAPITAL]]&gt;=0,FINANCIACION[[#This Row],[$ CAPITAL]]+FINANCIACION[[#This Row],[$ INTERESES]],0)</f>
        <v>1913366</v>
      </c>
    </row>
    <row r="1120" spans="1:10" ht="24" customHeight="1" x14ac:dyDescent="0.3">
      <c r="A1120" s="142">
        <v>44774</v>
      </c>
      <c r="B1120" s="50" t="s">
        <v>188</v>
      </c>
      <c r="C1120" s="5">
        <v>76791</v>
      </c>
      <c r="D1120" s="5"/>
      <c r="E1120" s="5">
        <f>+IF(FINANCIACION[[#This Row],[$ CAPITAL]]&gt;=0,FINANCIACION[[#This Row],[$ CAPITAL]]+FINANCIACION[[#This Row],[$ INTERESES]],"")</f>
        <v>76791</v>
      </c>
      <c r="F1120" s="5">
        <f>+SUMIFS(FINANCIACION[$ CAPITAL],FINANCIACION[Fecha],"&lt;="&amp;FINANCIACION[[#This Row],[Fecha]],FINANCIACION[PRESTAMO],FINANCIACION[[#This Row],[PRESTAMO]])</f>
        <v>-1535820</v>
      </c>
      <c r="G1120" s="53"/>
      <c r="H1120" s="53"/>
      <c r="I1120" s="5">
        <f>+IF(FINANCIACION[[#This Row],[$ CAPITAL]]&gt;0,FINANCIACION[[#This Row],[$ CAPITAL]])</f>
        <v>76791</v>
      </c>
      <c r="J1120" s="33">
        <f>+IF(FINANCIACION[[#This Row],[$ CAPITAL]]&gt;=0,FINANCIACION[[#This Row],[$ CAPITAL]]+FINANCIACION[[#This Row],[$ INTERESES]],0)</f>
        <v>76791</v>
      </c>
    </row>
    <row r="1121" spans="1:10" ht="24" customHeight="1" x14ac:dyDescent="0.3">
      <c r="A1121" s="142">
        <v>44777</v>
      </c>
      <c r="B1121" s="50" t="s">
        <v>830</v>
      </c>
      <c r="C1121" s="5">
        <v>-8000000</v>
      </c>
      <c r="D1121" s="5"/>
      <c r="E1121" s="5" t="str">
        <f>+IF(FINANCIACION[[#This Row],[$ CAPITAL]]&gt;=0,FINANCIACION[[#This Row],[$ CAPITAL]]+FINANCIACION[[#This Row],[$ INTERESES]],"")</f>
        <v/>
      </c>
      <c r="F1121" s="5">
        <f>+SUMIFS(FINANCIACION[$ CAPITAL],FINANCIACION[Fecha],"&lt;="&amp;FINANCIACION[[#This Row],[Fecha]],FINANCIACION[PRESTAMO],FINANCIACION[[#This Row],[PRESTAMO]])</f>
        <v>-15347000</v>
      </c>
      <c r="G1121" s="53" t="s">
        <v>1161</v>
      </c>
      <c r="H1121" s="53"/>
      <c r="I1121" s="5" t="b">
        <f>+IF(FINANCIACION[[#This Row],[$ CAPITAL]]&gt;0,FINANCIACION[[#This Row],[$ CAPITAL]])</f>
        <v>0</v>
      </c>
      <c r="J1121" s="33">
        <f>+IF(FINANCIACION[[#This Row],[$ CAPITAL]]&gt;=0,FINANCIACION[[#This Row],[$ CAPITAL]]+FINANCIACION[[#This Row],[$ INTERESES]],0)</f>
        <v>0</v>
      </c>
    </row>
    <row r="1122" spans="1:10" ht="24" customHeight="1" x14ac:dyDescent="0.3">
      <c r="A1122" s="142">
        <v>44777</v>
      </c>
      <c r="B1122" s="50" t="s">
        <v>830</v>
      </c>
      <c r="C1122" s="5">
        <v>1530000</v>
      </c>
      <c r="D1122" s="5"/>
      <c r="E1122" s="5">
        <f>+IF(FINANCIACION[[#This Row],[$ CAPITAL]]&gt;=0,FINANCIACION[[#This Row],[$ CAPITAL]]+FINANCIACION[[#This Row],[$ INTERESES]],"")</f>
        <v>1530000</v>
      </c>
      <c r="F1122" s="5">
        <f>+SUMIFS(FINANCIACION[$ CAPITAL],FINANCIACION[Fecha],"&lt;="&amp;FINANCIACION[[#This Row],[Fecha]],FINANCIACION[PRESTAMO],FINANCIACION[[#This Row],[PRESTAMO]])</f>
        <v>-15347000</v>
      </c>
      <c r="G1122" s="53" t="s">
        <v>1161</v>
      </c>
      <c r="H1122" s="53"/>
      <c r="I1122" s="5">
        <f>+IF(FINANCIACION[[#This Row],[$ CAPITAL]]&gt;0,FINANCIACION[[#This Row],[$ CAPITAL]])</f>
        <v>1530000</v>
      </c>
      <c r="J1122" s="33">
        <f>+IF(FINANCIACION[[#This Row],[$ CAPITAL]]&gt;=0,FINANCIACION[[#This Row],[$ CAPITAL]]+FINANCIACION[[#This Row],[$ INTERESES]],0)</f>
        <v>1530000</v>
      </c>
    </row>
    <row r="1123" spans="1:10" ht="24" customHeight="1" x14ac:dyDescent="0.3">
      <c r="A1123" s="142">
        <v>44777</v>
      </c>
      <c r="B1123" s="50" t="s">
        <v>830</v>
      </c>
      <c r="C1123" s="5">
        <v>3300000</v>
      </c>
      <c r="D1123" s="5"/>
      <c r="E1123" s="5">
        <f>+IF(FINANCIACION[[#This Row],[$ CAPITAL]]&gt;=0,FINANCIACION[[#This Row],[$ CAPITAL]]+FINANCIACION[[#This Row],[$ INTERESES]],"")</f>
        <v>3300000</v>
      </c>
      <c r="F1123" s="5">
        <f>+SUMIFS(FINANCIACION[$ CAPITAL],FINANCIACION[Fecha],"&lt;="&amp;FINANCIACION[[#This Row],[Fecha]],FINANCIACION[PRESTAMO],FINANCIACION[[#This Row],[PRESTAMO]])</f>
        <v>-15347000</v>
      </c>
      <c r="G1123" s="53" t="s">
        <v>1161</v>
      </c>
      <c r="H1123" s="53"/>
      <c r="I1123" s="5">
        <f>+IF(FINANCIACION[[#This Row],[$ CAPITAL]]&gt;0,FINANCIACION[[#This Row],[$ CAPITAL]])</f>
        <v>3300000</v>
      </c>
      <c r="J1123" s="33">
        <f>+IF(FINANCIACION[[#This Row],[$ CAPITAL]]&gt;=0,FINANCIACION[[#This Row],[$ CAPITAL]]+FINANCIACION[[#This Row],[$ INTERESES]],0)</f>
        <v>3300000</v>
      </c>
    </row>
    <row r="1124" spans="1:10" ht="24" customHeight="1" x14ac:dyDescent="0.3">
      <c r="A1124" s="142">
        <v>44777</v>
      </c>
      <c r="B1124" s="50" t="s">
        <v>830</v>
      </c>
      <c r="C1124" s="5">
        <v>823000</v>
      </c>
      <c r="D1124" s="5"/>
      <c r="E1124" s="5">
        <f>+IF(FINANCIACION[[#This Row],[$ CAPITAL]]&gt;=0,FINANCIACION[[#This Row],[$ CAPITAL]]+FINANCIACION[[#This Row],[$ INTERESES]],"")</f>
        <v>823000</v>
      </c>
      <c r="F1124" s="5">
        <f>+SUMIFS(FINANCIACION[$ CAPITAL],FINANCIACION[Fecha],"&lt;="&amp;FINANCIACION[[#This Row],[Fecha]],FINANCIACION[PRESTAMO],FINANCIACION[[#This Row],[PRESTAMO]])</f>
        <v>-15347000</v>
      </c>
      <c r="G1124" s="53" t="s">
        <v>1161</v>
      </c>
      <c r="H1124" s="53"/>
      <c r="I1124" s="5">
        <f>+IF(FINANCIACION[[#This Row],[$ CAPITAL]]&gt;0,FINANCIACION[[#This Row],[$ CAPITAL]])</f>
        <v>823000</v>
      </c>
      <c r="J1124" s="33">
        <f>+IF(FINANCIACION[[#This Row],[$ CAPITAL]]&gt;=0,FINANCIACION[[#This Row],[$ CAPITAL]]+FINANCIACION[[#This Row],[$ INTERESES]],0)</f>
        <v>823000</v>
      </c>
    </row>
    <row r="1125" spans="1:10" ht="24" customHeight="1" x14ac:dyDescent="0.3">
      <c r="A1125" s="142">
        <v>44781</v>
      </c>
      <c r="B1125" s="50" t="s">
        <v>830</v>
      </c>
      <c r="C1125" s="5">
        <v>2347000</v>
      </c>
      <c r="D1125" s="5"/>
      <c r="E1125" s="5">
        <f>+IF(FINANCIACION[[#This Row],[$ CAPITAL]]&gt;=0,FINANCIACION[[#This Row],[$ CAPITAL]]+FINANCIACION[[#This Row],[$ INTERESES]],"")</f>
        <v>2347000</v>
      </c>
      <c r="F1125" s="5">
        <f>+SUMIFS(FINANCIACION[$ CAPITAL],FINANCIACION[Fecha],"&lt;="&amp;FINANCIACION[[#This Row],[Fecha]],FINANCIACION[PRESTAMO],FINANCIACION[[#This Row],[PRESTAMO]])</f>
        <v>-13000000</v>
      </c>
      <c r="G1125" s="53" t="s">
        <v>1161</v>
      </c>
      <c r="H1125" s="53"/>
      <c r="I1125" s="5">
        <f>+IF(FINANCIACION[[#This Row],[$ CAPITAL]]&gt;0,FINANCIACION[[#This Row],[$ CAPITAL]])</f>
        <v>2347000</v>
      </c>
      <c r="J1125" s="33">
        <f>+IF(FINANCIACION[[#This Row],[$ CAPITAL]]&gt;=0,FINANCIACION[[#This Row],[$ CAPITAL]]+FINANCIACION[[#This Row],[$ INTERESES]],0)</f>
        <v>2347000</v>
      </c>
    </row>
    <row r="1126" spans="1:10" ht="24" customHeight="1" x14ac:dyDescent="0.3">
      <c r="A1126" s="142">
        <v>44784</v>
      </c>
      <c r="B1126" s="50" t="s">
        <v>191</v>
      </c>
      <c r="C1126" s="5">
        <v>417000</v>
      </c>
      <c r="D1126" s="5">
        <v>208327</v>
      </c>
      <c r="E1126" s="5">
        <f>+IF(FINANCIACION[[#This Row],[$ CAPITAL]]&gt;=0,FINANCIACION[[#This Row],[$ CAPITAL]]+FINANCIACION[[#This Row],[$ INTERESES]],"")</f>
        <v>625327</v>
      </c>
      <c r="F1126" s="5">
        <f>+SUMIFS(FINANCIACION[$ CAPITAL],FINANCIACION[Fecha],"&lt;="&amp;FINANCIACION[[#This Row],[Fecha]],FINANCIACION[PRESTAMO],FINANCIACION[[#This Row],[PRESTAMO]])</f>
        <v>-14166000</v>
      </c>
      <c r="G1126" s="53"/>
      <c r="H1126" s="53"/>
      <c r="I1126" s="5">
        <f>+IF(FINANCIACION[[#This Row],[$ CAPITAL]]&gt;0,FINANCIACION[[#This Row],[$ CAPITAL]])</f>
        <v>417000</v>
      </c>
      <c r="J1126" s="33">
        <f>+IF(FINANCIACION[[#This Row],[$ CAPITAL]]&gt;=0,FINANCIACION[[#This Row],[$ CAPITAL]]+FINANCIACION[[#This Row],[$ INTERESES]],0)</f>
        <v>625327</v>
      </c>
    </row>
    <row r="1127" spans="1:10" ht="24" customHeight="1" x14ac:dyDescent="0.3">
      <c r="A1127" s="142">
        <v>44786</v>
      </c>
      <c r="B1127" s="50" t="s">
        <v>830</v>
      </c>
      <c r="C1127" s="5"/>
      <c r="D1127" s="5">
        <v>130000</v>
      </c>
      <c r="E1127" s="5">
        <f>+IF(FINANCIACION[[#This Row],[$ CAPITAL]]&gt;=0,FINANCIACION[[#This Row],[$ CAPITAL]]+FINANCIACION[[#This Row],[$ INTERESES]],"")</f>
        <v>130000</v>
      </c>
      <c r="F1127" s="5">
        <f>+SUMIFS(FINANCIACION[$ CAPITAL],FINANCIACION[Fecha],"&lt;="&amp;FINANCIACION[[#This Row],[Fecha]],FINANCIACION[PRESTAMO],FINANCIACION[[#This Row],[PRESTAMO]])</f>
        <v>-13000000</v>
      </c>
      <c r="G1127" s="53"/>
      <c r="H1127" s="53"/>
      <c r="I1127" s="5" t="b">
        <f>+IF(FINANCIACION[[#This Row],[$ CAPITAL]]&gt;0,FINANCIACION[[#This Row],[$ CAPITAL]])</f>
        <v>0</v>
      </c>
      <c r="J1127" s="33">
        <f>+IF(FINANCIACION[[#This Row],[$ CAPITAL]]&gt;=0,FINANCIACION[[#This Row],[$ CAPITAL]]+FINANCIACION[[#This Row],[$ INTERESES]],0)</f>
        <v>130000</v>
      </c>
    </row>
    <row r="1128" spans="1:10" ht="24" customHeight="1" x14ac:dyDescent="0.3">
      <c r="A1128" s="142">
        <v>44786</v>
      </c>
      <c r="B1128" s="50" t="s">
        <v>834</v>
      </c>
      <c r="C1128" s="5"/>
      <c r="D1128" s="5">
        <v>400000</v>
      </c>
      <c r="E1128" s="5">
        <f>+IF(FINANCIACION[[#This Row],[$ CAPITAL]]&gt;=0,FINANCIACION[[#This Row],[$ CAPITAL]]+FINANCIACION[[#This Row],[$ INTERESES]],"")</f>
        <v>400000</v>
      </c>
      <c r="F1128" s="5">
        <f>+SUMIFS(FINANCIACION[$ CAPITAL],FINANCIACION[Fecha],"&lt;="&amp;FINANCIACION[[#This Row],[Fecha]],FINANCIACION[PRESTAMO],FINANCIACION[[#This Row],[PRESTAMO]])</f>
        <v>-40000000</v>
      </c>
      <c r="G1128" s="53"/>
      <c r="H1128" s="53"/>
      <c r="I1128" s="5" t="b">
        <f>+IF(FINANCIACION[[#This Row],[$ CAPITAL]]&gt;0,FINANCIACION[[#This Row],[$ CAPITAL]])</f>
        <v>0</v>
      </c>
      <c r="J1128" s="33">
        <f>+IF(FINANCIACION[[#This Row],[$ CAPITAL]]&gt;=0,FINANCIACION[[#This Row],[$ CAPITAL]]+FINANCIACION[[#This Row],[$ INTERESES]],0)</f>
        <v>400000</v>
      </c>
    </row>
    <row r="1129" spans="1:10" ht="24" customHeight="1" x14ac:dyDescent="0.3">
      <c r="A1129" s="142">
        <v>44786</v>
      </c>
      <c r="B1129" s="50" t="s">
        <v>819</v>
      </c>
      <c r="C1129" s="5">
        <f>2677378-FINANCIACION[[#This Row],[$ INTERESES]]</f>
        <v>2127909.1338170301</v>
      </c>
      <c r="D1129" s="5">
        <v>549468.86618297</v>
      </c>
      <c r="E1129" s="5">
        <f>+IF(FINANCIACION[[#This Row],[$ CAPITAL]]&gt;=0,FINANCIACION[[#This Row],[$ CAPITAL]]+FINANCIACION[[#This Row],[$ INTERESES]],"")</f>
        <v>2677378</v>
      </c>
      <c r="F1129" s="5">
        <f>+SUMIFS(FINANCIACION[$ CAPITAL],FINANCIACION[Fecha],"&lt;="&amp;FINANCIACION[[#This Row],[Fecha]],FINANCIACION[PRESTAMO],FINANCIACION[[#This Row],[PRESTAMO]])</f>
        <v>-52818977.484479994</v>
      </c>
      <c r="G1129" s="53"/>
      <c r="H1129" s="53"/>
      <c r="I1129" s="5">
        <f>+IF(FINANCIACION[[#This Row],[$ CAPITAL]]&gt;0,FINANCIACION[[#This Row],[$ CAPITAL]])</f>
        <v>2127909.1338170301</v>
      </c>
      <c r="J1129" s="33">
        <f>+IF(FINANCIACION[[#This Row],[$ CAPITAL]]&gt;=0,FINANCIACION[[#This Row],[$ CAPITAL]]+FINANCIACION[[#This Row],[$ INTERESES]],0)</f>
        <v>2677378</v>
      </c>
    </row>
    <row r="1130" spans="1:10" ht="24" customHeight="1" x14ac:dyDescent="0.3">
      <c r="A1130" s="142">
        <v>44786</v>
      </c>
      <c r="B1130" s="50" t="s">
        <v>823</v>
      </c>
      <c r="C1130" s="5">
        <f>1300000-FINANCIACION[[#This Row],[$ INTERESES]]</f>
        <v>819866.98812116706</v>
      </c>
      <c r="D1130" s="5">
        <v>480133.01187883294</v>
      </c>
      <c r="E1130" s="5">
        <f>+IF(FINANCIACION[[#This Row],[$ CAPITAL]]&gt;=0,FINANCIACION[[#This Row],[$ CAPITAL]]+FINANCIACION[[#This Row],[$ INTERESES]],"")</f>
        <v>1300000</v>
      </c>
      <c r="F1130" s="5">
        <f>+SUMIFS(FINANCIACION[$ CAPITAL],FINANCIACION[Fecha],"&lt;="&amp;FINANCIACION[[#This Row],[Fecha]],FINANCIACION[PRESTAMO],FINANCIACION[[#This Row],[PRESTAMO]])</f>
        <v>-47193434.199762128</v>
      </c>
      <c r="G1130" s="53"/>
      <c r="H1130" s="53"/>
      <c r="I1130" s="5">
        <f>+IF(FINANCIACION[[#This Row],[$ CAPITAL]]&gt;0,FINANCIACION[[#This Row],[$ CAPITAL]])</f>
        <v>819866.98812116706</v>
      </c>
      <c r="J1130" s="33">
        <f>+IF(FINANCIACION[[#This Row],[$ CAPITAL]]&gt;=0,FINANCIACION[[#This Row],[$ CAPITAL]]+FINANCIACION[[#This Row],[$ INTERESES]],0)</f>
        <v>1300000</v>
      </c>
    </row>
    <row r="1131" spans="1:10" ht="24" customHeight="1" x14ac:dyDescent="0.3">
      <c r="A1131" s="142">
        <v>44786</v>
      </c>
      <c r="B1131" s="50" t="s">
        <v>820</v>
      </c>
      <c r="C1131" s="5">
        <v>1348053.086407579</v>
      </c>
      <c r="D1131" s="5">
        <v>651946.91359242098</v>
      </c>
      <c r="E1131" s="5">
        <f>+IF(FINANCIACION[[#This Row],[$ CAPITAL]]&gt;=0,FINANCIACION[[#This Row],[$ CAPITAL]]+FINANCIACION[[#This Row],[$ INTERESES]],"")</f>
        <v>2000000</v>
      </c>
      <c r="F1131" s="5">
        <f>+SUMIFS(FINANCIACION[$ CAPITAL],FINANCIACION[Fecha],"&lt;="&amp;FINANCIACION[[#This Row],[Fecha]],FINANCIACION[PRESTAMO],FINANCIACION[[#This Row],[PRESTAMO]])</f>
        <v>-64017326.132834516</v>
      </c>
      <c r="G1131" s="53"/>
      <c r="H1131" s="53"/>
      <c r="I1131" s="5">
        <f>+IF(FINANCIACION[[#This Row],[$ CAPITAL]]&gt;0,FINANCIACION[[#This Row],[$ CAPITAL]])</f>
        <v>1348053.086407579</v>
      </c>
      <c r="J1131" s="33">
        <f>+IF(FINANCIACION[[#This Row],[$ CAPITAL]]&gt;=0,FINANCIACION[[#This Row],[$ CAPITAL]]+FINANCIACION[[#This Row],[$ INTERESES]],0)</f>
        <v>2000000</v>
      </c>
    </row>
    <row r="1132" spans="1:10" ht="24" customHeight="1" x14ac:dyDescent="0.3">
      <c r="A1132" s="142">
        <v>44786</v>
      </c>
      <c r="B1132" s="50" t="s">
        <v>832</v>
      </c>
      <c r="C1132" s="5"/>
      <c r="D1132" s="5">
        <v>120000</v>
      </c>
      <c r="E1132" s="5">
        <f>+IF(FINANCIACION[[#This Row],[$ CAPITAL]]&gt;=0,FINANCIACION[[#This Row],[$ CAPITAL]]+FINANCIACION[[#This Row],[$ INTERESES]],"")</f>
        <v>120000</v>
      </c>
      <c r="F1132" s="5">
        <f>+SUMIFS(FINANCIACION[$ CAPITAL],FINANCIACION[Fecha],"&lt;="&amp;FINANCIACION[[#This Row],[Fecha]],FINANCIACION[PRESTAMO],FINANCIACION[[#This Row],[PRESTAMO]])</f>
        <v>-12000000</v>
      </c>
      <c r="G1132" s="53"/>
      <c r="H1132" s="53"/>
      <c r="I1132" s="5" t="b">
        <f>+IF(FINANCIACION[[#This Row],[$ CAPITAL]]&gt;0,FINANCIACION[[#This Row],[$ CAPITAL]])</f>
        <v>0</v>
      </c>
      <c r="J1132" s="33">
        <f>+IF(FINANCIACION[[#This Row],[$ CAPITAL]]&gt;=0,FINANCIACION[[#This Row],[$ CAPITAL]]+FINANCIACION[[#This Row],[$ INTERESES]],0)</f>
        <v>120000</v>
      </c>
    </row>
    <row r="1133" spans="1:10" ht="24" customHeight="1" x14ac:dyDescent="0.3">
      <c r="A1133" s="142">
        <v>44791</v>
      </c>
      <c r="B1133" s="50" t="s">
        <v>833</v>
      </c>
      <c r="C1133" s="5">
        <v>1077529.3999999999</v>
      </c>
      <c r="D1133" s="5">
        <v>132470.60000000009</v>
      </c>
      <c r="E1133" s="5">
        <f>+IF(FINANCIACION[[#This Row],[$ CAPITAL]]&gt;=0,FINANCIACION[[#This Row],[$ CAPITAL]]+FINANCIACION[[#This Row],[$ INTERESES]],"")</f>
        <v>1210000</v>
      </c>
      <c r="F1133" s="5">
        <f>+SUMIFS(FINANCIACION[$ CAPITAL],FINANCIACION[Fecha],"&lt;="&amp;FINANCIACION[[#This Row],[Fecha]],FINANCIACION[PRESTAMO],FINANCIACION[[#This Row],[PRESTAMO]])</f>
        <v>-9647274.5899999999</v>
      </c>
      <c r="G1133" s="53"/>
      <c r="H1133" s="53"/>
      <c r="I1133" s="5">
        <f>+IF(FINANCIACION[[#This Row],[$ CAPITAL]]&gt;0,FINANCIACION[[#This Row],[$ CAPITAL]])</f>
        <v>1077529.3999999999</v>
      </c>
      <c r="J1133" s="33">
        <f>+IF(FINANCIACION[[#This Row],[$ CAPITAL]]&gt;=0,FINANCIACION[[#This Row],[$ CAPITAL]]+FINANCIACION[[#This Row],[$ INTERESES]],0)</f>
        <v>1210000</v>
      </c>
    </row>
    <row r="1134" spans="1:10" ht="24" customHeight="1" x14ac:dyDescent="0.3">
      <c r="A1134" s="142">
        <v>44791</v>
      </c>
      <c r="B1134" s="50" t="s">
        <v>878</v>
      </c>
      <c r="C1134" s="5">
        <v>1666666.66</v>
      </c>
      <c r="D1134" s="5">
        <v>352333.34000000008</v>
      </c>
      <c r="E1134" s="5">
        <f>+IF(FINANCIACION[[#This Row],[$ CAPITAL]]&gt;=0,FINANCIACION[[#This Row],[$ CAPITAL]]+FINANCIACION[[#This Row],[$ INTERESES]],"")</f>
        <v>2019000</v>
      </c>
      <c r="F1134" s="5">
        <f>+SUMIFS(FINANCIACION[$ CAPITAL],FINANCIACION[Fecha],"&lt;="&amp;FINANCIACION[[#This Row],[Fecha]],FINANCIACION[PRESTAMO],FINANCIACION[[#This Row],[PRESTAMO]])</f>
        <v>-21126506.939999998</v>
      </c>
      <c r="G1134" s="53"/>
      <c r="H1134" s="53"/>
      <c r="I1134" s="5">
        <f>+IF(FINANCIACION[[#This Row],[$ CAPITAL]]&gt;0,FINANCIACION[[#This Row],[$ CAPITAL]])</f>
        <v>1666666.66</v>
      </c>
      <c r="J1134" s="33">
        <f>+IF(FINANCIACION[[#This Row],[$ CAPITAL]]&gt;=0,FINANCIACION[[#This Row],[$ CAPITAL]]+FINANCIACION[[#This Row],[$ INTERESES]],0)</f>
        <v>2019000</v>
      </c>
    </row>
    <row r="1135" spans="1:10" ht="24" customHeight="1" x14ac:dyDescent="0.3">
      <c r="A1135" s="142">
        <v>44791</v>
      </c>
      <c r="B1135" s="50" t="s">
        <v>827</v>
      </c>
      <c r="C1135" s="5">
        <v>853000</v>
      </c>
      <c r="D1135" s="5">
        <v>131000</v>
      </c>
      <c r="E1135" s="5">
        <f>+IF(FINANCIACION[[#This Row],[$ CAPITAL]]&gt;=0,FINANCIACION[[#This Row],[$ CAPITAL]]+FINANCIACION[[#This Row],[$ INTERESES]],"")</f>
        <v>984000</v>
      </c>
      <c r="F1135" s="5">
        <f>+SUMIFS(FINANCIACION[$ CAPITAL],FINANCIACION[Fecha],"&lt;="&amp;FINANCIACION[[#This Row],[Fecha]],FINANCIACION[PRESTAMO],FINANCIACION[[#This Row],[PRESTAMO]])</f>
        <v>-9311333.6499999985</v>
      </c>
      <c r="G1135" s="53"/>
      <c r="H1135" s="53"/>
      <c r="I1135" s="5">
        <f>+IF(FINANCIACION[[#This Row],[$ CAPITAL]]&gt;0,FINANCIACION[[#This Row],[$ CAPITAL]])</f>
        <v>853000</v>
      </c>
      <c r="J1135" s="33">
        <f>+IF(FINANCIACION[[#This Row],[$ CAPITAL]]&gt;=0,FINANCIACION[[#This Row],[$ CAPITAL]]+FINANCIACION[[#This Row],[$ INTERESES]],0)</f>
        <v>984000</v>
      </c>
    </row>
    <row r="1136" spans="1:10" ht="24" customHeight="1" x14ac:dyDescent="0.3">
      <c r="A1136" s="142">
        <v>44791</v>
      </c>
      <c r="B1136" s="50" t="s">
        <v>1131</v>
      </c>
      <c r="C1136" s="5">
        <v>453998</v>
      </c>
      <c r="D1136" s="5">
        <v>36313</v>
      </c>
      <c r="E1136" s="5">
        <f>+IF(FINANCIACION[[#This Row],[$ CAPITAL]]&gt;=0,FINANCIACION[[#This Row],[$ CAPITAL]]+FINANCIACION[[#This Row],[$ INTERESES]],"")</f>
        <v>490311</v>
      </c>
      <c r="F1136" s="5">
        <f>+SUMIFS(FINANCIACION[$ CAPITAL],FINANCIACION[Fecha],"&lt;="&amp;FINANCIACION[[#This Row],[Fecha]],FINANCIACION[PRESTAMO],FINANCIACION[[#This Row],[PRESTAMO]])</f>
        <v>-3631984</v>
      </c>
      <c r="G1136" s="53"/>
      <c r="H1136" s="53"/>
      <c r="I1136" s="5">
        <f>+IF(FINANCIACION[[#This Row],[$ CAPITAL]]&gt;0,FINANCIACION[[#This Row],[$ CAPITAL]])</f>
        <v>453998</v>
      </c>
      <c r="J1136" s="33">
        <f>+IF(FINANCIACION[[#This Row],[$ CAPITAL]]&gt;=0,FINANCIACION[[#This Row],[$ CAPITAL]]+FINANCIACION[[#This Row],[$ INTERESES]],0)</f>
        <v>490311</v>
      </c>
    </row>
    <row r="1137" spans="1:10" ht="24" customHeight="1" x14ac:dyDescent="0.3">
      <c r="A1137" s="142">
        <v>44791</v>
      </c>
      <c r="B1137" s="50" t="s">
        <v>835</v>
      </c>
      <c r="C1137" s="5">
        <v>1481481.48</v>
      </c>
      <c r="D1137" s="5">
        <v>884518.52</v>
      </c>
      <c r="E1137" s="5">
        <f>+IF(FINANCIACION[[#This Row],[$ CAPITAL]]&gt;=0,FINANCIACION[[#This Row],[$ CAPITAL]]+FINANCIACION[[#This Row],[$ INTERESES]],"")</f>
        <v>2366000</v>
      </c>
      <c r="F1137" s="5">
        <f>+SUMIFS(FINANCIACION[$ CAPITAL],FINANCIACION[Fecha],"&lt;="&amp;FINANCIACION[[#This Row],[Fecha]],FINANCIACION[PRESTAMO],FINANCIACION[[#This Row],[PRESTAMO]])</f>
        <v>-75546115.409999996</v>
      </c>
      <c r="G1137" s="53"/>
      <c r="H1137" s="53"/>
      <c r="I1137" s="5">
        <f>+IF(FINANCIACION[[#This Row],[$ CAPITAL]]&gt;0,FINANCIACION[[#This Row],[$ CAPITAL]])</f>
        <v>1481481.48</v>
      </c>
      <c r="J1137" s="33">
        <f>+IF(FINANCIACION[[#This Row],[$ CAPITAL]]&gt;=0,FINANCIACION[[#This Row],[$ CAPITAL]]+FINANCIACION[[#This Row],[$ INTERESES]],0)</f>
        <v>2366000</v>
      </c>
    </row>
    <row r="1138" spans="1:10" ht="24" customHeight="1" x14ac:dyDescent="0.3">
      <c r="A1138" s="142">
        <v>44791</v>
      </c>
      <c r="B1138" s="50" t="s">
        <v>829</v>
      </c>
      <c r="C1138" s="5">
        <v>894000</v>
      </c>
      <c r="D1138" s="5">
        <v>149000</v>
      </c>
      <c r="E1138" s="5">
        <f>+IF(FINANCIACION[[#This Row],[$ CAPITAL]]&gt;=0,FINANCIACION[[#This Row],[$ CAPITAL]]+FINANCIACION[[#This Row],[$ INTERESES]],"")</f>
        <v>1043000</v>
      </c>
      <c r="F1138" s="5">
        <f>+SUMIFS(FINANCIACION[$ CAPITAL],FINANCIACION[Fecha],"&lt;="&amp;FINANCIACION[[#This Row],[Fecha]],FINANCIACION[PRESTAMO],FINANCIACION[[#This Row],[PRESTAMO]])</f>
        <v>-10668211.069999998</v>
      </c>
      <c r="G1138" s="53"/>
      <c r="H1138" s="53"/>
      <c r="I1138" s="5">
        <f>+IF(FINANCIACION[[#This Row],[$ CAPITAL]]&gt;0,FINANCIACION[[#This Row],[$ CAPITAL]])</f>
        <v>894000</v>
      </c>
      <c r="J1138" s="33">
        <f>+IF(FINANCIACION[[#This Row],[$ CAPITAL]]&gt;=0,FINANCIACION[[#This Row],[$ CAPITAL]]+FINANCIACION[[#This Row],[$ INTERESES]],0)</f>
        <v>1043000</v>
      </c>
    </row>
    <row r="1139" spans="1:10" ht="24" customHeight="1" x14ac:dyDescent="0.3">
      <c r="A1139" s="142">
        <v>44791</v>
      </c>
      <c r="B1139" s="50" t="s">
        <v>825</v>
      </c>
      <c r="C1139" s="5">
        <v>2176175.9</v>
      </c>
      <c r="D1139" s="5">
        <v>284824.10000000009</v>
      </c>
      <c r="E1139" s="5">
        <f>+IF(FINANCIACION[[#This Row],[$ CAPITAL]]&gt;=0,FINANCIACION[[#This Row],[$ CAPITAL]]+FINANCIACION[[#This Row],[$ INTERESES]],"")</f>
        <v>2461000</v>
      </c>
      <c r="F1139" s="5">
        <f>+SUMIFS(FINANCIACION[$ CAPITAL],FINANCIACION[Fecha],"&lt;="&amp;FINANCIACION[[#This Row],[Fecha]],FINANCIACION[PRESTAMO],FINANCIACION[[#This Row],[PRESTAMO]])</f>
        <v>-21708586.340000004</v>
      </c>
      <c r="G1139" s="53"/>
      <c r="H1139" s="53"/>
      <c r="I1139" s="5">
        <f>+IF(FINANCIACION[[#This Row],[$ CAPITAL]]&gt;0,FINANCIACION[[#This Row],[$ CAPITAL]])</f>
        <v>2176175.9</v>
      </c>
      <c r="J1139" s="33">
        <f>+IF(FINANCIACION[[#This Row],[$ CAPITAL]]&gt;=0,FINANCIACION[[#This Row],[$ CAPITAL]]+FINANCIACION[[#This Row],[$ INTERESES]],0)</f>
        <v>2461000</v>
      </c>
    </row>
    <row r="1140" spans="1:10" ht="24" customHeight="1" x14ac:dyDescent="0.3">
      <c r="A1140" s="142">
        <v>44791</v>
      </c>
      <c r="B1140" s="50" t="s">
        <v>826</v>
      </c>
      <c r="C1140" s="5">
        <v>3159000</v>
      </c>
      <c r="D1140" s="5">
        <v>437000</v>
      </c>
      <c r="E1140" s="5">
        <f>+IF(FINANCIACION[[#This Row],[$ CAPITAL]]&gt;=0,FINANCIACION[[#This Row],[$ CAPITAL]]+FINANCIACION[[#This Row],[$ INTERESES]],"")</f>
        <v>3596000</v>
      </c>
      <c r="F1140" s="5">
        <f>+SUMIFS(FINANCIACION[$ CAPITAL],FINANCIACION[Fecha],"&lt;="&amp;FINANCIACION[[#This Row],[Fecha]],FINANCIACION[PRESTAMO],FINANCIACION[[#This Row],[PRESTAMO]])</f>
        <v>-31429786.059999995</v>
      </c>
      <c r="G1140" s="53"/>
      <c r="H1140" s="53"/>
      <c r="I1140" s="5">
        <f>+IF(FINANCIACION[[#This Row],[$ CAPITAL]]&gt;0,FINANCIACION[[#This Row],[$ CAPITAL]])</f>
        <v>3159000</v>
      </c>
      <c r="J1140" s="33">
        <f>+IF(FINANCIACION[[#This Row],[$ CAPITAL]]&gt;=0,FINANCIACION[[#This Row],[$ CAPITAL]]+FINANCIACION[[#This Row],[$ INTERESES]],0)</f>
        <v>3596000</v>
      </c>
    </row>
    <row r="1141" spans="1:10" ht="24" customHeight="1" x14ac:dyDescent="0.3">
      <c r="A1141" s="142">
        <v>44791</v>
      </c>
      <c r="B1141" s="50" t="s">
        <v>821</v>
      </c>
      <c r="C1141" s="5">
        <v>1264566</v>
      </c>
      <c r="D1141" s="5">
        <v>5302748</v>
      </c>
      <c r="E1141" s="5">
        <f>+IF(FINANCIACION[[#This Row],[$ CAPITAL]]&gt;=0,FINANCIACION[[#This Row],[$ CAPITAL]]+FINANCIACION[[#This Row],[$ INTERESES]],"")</f>
        <v>6567314</v>
      </c>
      <c r="F1141" s="5">
        <f>+SUMIFS(FINANCIACION[$ CAPITAL],FINANCIACION[Fecha],"&lt;="&amp;FINANCIACION[[#This Row],[Fecha]],FINANCIACION[PRESTAMO],FINANCIACION[[#This Row],[PRESTAMO]])</f>
        <v>-362456302</v>
      </c>
      <c r="G1141" s="53"/>
      <c r="H1141" s="53"/>
      <c r="I1141" s="5">
        <f>+IF(FINANCIACION[[#This Row],[$ CAPITAL]]&gt;0,FINANCIACION[[#This Row],[$ CAPITAL]])</f>
        <v>1264566</v>
      </c>
      <c r="J1141" s="33">
        <f>+IF(FINANCIACION[[#This Row],[$ CAPITAL]]&gt;=0,FINANCIACION[[#This Row],[$ CAPITAL]]+FINANCIACION[[#This Row],[$ INTERESES]],0)</f>
        <v>6567314</v>
      </c>
    </row>
    <row r="1142" spans="1:10" ht="24" customHeight="1" x14ac:dyDescent="0.3">
      <c r="A1142" s="142">
        <v>44791</v>
      </c>
      <c r="B1142" s="50" t="s">
        <v>822</v>
      </c>
      <c r="C1142" s="5">
        <v>1306000</v>
      </c>
      <c r="D1142" s="5">
        <v>150000</v>
      </c>
      <c r="E1142" s="5">
        <f>+IF(FINANCIACION[[#This Row],[$ CAPITAL]]&gt;=0,FINANCIACION[[#This Row],[$ CAPITAL]]+FINANCIACION[[#This Row],[$ INTERESES]],"")</f>
        <v>1456000</v>
      </c>
      <c r="F1142" s="5">
        <f>+SUMIFS(FINANCIACION[$ CAPITAL],FINANCIACION[Fecha],"&lt;="&amp;FINANCIACION[[#This Row],[Fecha]],FINANCIACION[PRESTAMO],FINANCIACION[[#This Row],[PRESTAMO]])</f>
        <v>-10341346.890000001</v>
      </c>
      <c r="G1142" s="53"/>
      <c r="H1142" s="53"/>
      <c r="I1142" s="5">
        <f>+IF(FINANCIACION[[#This Row],[$ CAPITAL]]&gt;0,FINANCIACION[[#This Row],[$ CAPITAL]])</f>
        <v>1306000</v>
      </c>
      <c r="J1142" s="33">
        <f>+IF(FINANCIACION[[#This Row],[$ CAPITAL]]&gt;=0,FINANCIACION[[#This Row],[$ CAPITAL]]+FINANCIACION[[#This Row],[$ INTERESES]],0)</f>
        <v>1456000</v>
      </c>
    </row>
    <row r="1143" spans="1:10" ht="24" customHeight="1" x14ac:dyDescent="0.3">
      <c r="A1143" s="142">
        <v>44781</v>
      </c>
      <c r="B1143" s="50" t="s">
        <v>189</v>
      </c>
      <c r="C1143" s="5"/>
      <c r="D1143" s="5">
        <v>472720</v>
      </c>
      <c r="E1143" s="5">
        <f>+IF(FINANCIACION[[#This Row],[$ CAPITAL]]&gt;=0,FINANCIACION[[#This Row],[$ CAPITAL]]+FINANCIACION[[#This Row],[$ INTERESES]],"")</f>
        <v>472720</v>
      </c>
      <c r="F1143" s="5">
        <f>+SUMIFS(FINANCIACION[$ CAPITAL],FINANCIACION[Fecha],"&lt;="&amp;FINANCIACION[[#This Row],[Fecha]],FINANCIACION[PRESTAMO],FINANCIACION[[#This Row],[PRESTAMO]])</f>
        <v>0</v>
      </c>
      <c r="G1143" s="53"/>
      <c r="H1143" s="53"/>
      <c r="I1143" s="5" t="b">
        <f>+IF(FINANCIACION[[#This Row],[$ CAPITAL]]&gt;0,FINANCIACION[[#This Row],[$ CAPITAL]])</f>
        <v>0</v>
      </c>
      <c r="J1143" s="33">
        <f>+IF(FINANCIACION[[#This Row],[$ CAPITAL]]&gt;=0,FINANCIACION[[#This Row],[$ CAPITAL]]+FINANCIACION[[#This Row],[$ INTERESES]],0)</f>
        <v>472720</v>
      </c>
    </row>
    <row r="1144" spans="1:10" ht="24" customHeight="1" x14ac:dyDescent="0.3">
      <c r="A1144" s="142">
        <v>44781</v>
      </c>
      <c r="B1144" s="50" t="s">
        <v>189</v>
      </c>
      <c r="C1144" s="5"/>
      <c r="D1144" s="5">
        <v>137838</v>
      </c>
      <c r="E1144" s="5">
        <f>+IF(FINANCIACION[[#This Row],[$ CAPITAL]]&gt;=0,FINANCIACION[[#This Row],[$ CAPITAL]]+FINANCIACION[[#This Row],[$ INTERESES]],"")</f>
        <v>137838</v>
      </c>
      <c r="F1144" s="5">
        <f>+SUMIFS(FINANCIACION[$ CAPITAL],FINANCIACION[Fecha],"&lt;="&amp;FINANCIACION[[#This Row],[Fecha]],FINANCIACION[PRESTAMO],FINANCIACION[[#This Row],[PRESTAMO]])</f>
        <v>0</v>
      </c>
      <c r="G1144" s="53"/>
      <c r="H1144" s="53"/>
      <c r="I1144" s="5" t="b">
        <f>+IF(FINANCIACION[[#This Row],[$ CAPITAL]]&gt;0,FINANCIACION[[#This Row],[$ CAPITAL]])</f>
        <v>0</v>
      </c>
      <c r="J1144" s="33">
        <f>+IF(FINANCIACION[[#This Row],[$ CAPITAL]]&gt;=0,FINANCIACION[[#This Row],[$ CAPITAL]]+FINANCIACION[[#This Row],[$ INTERESES]],0)</f>
        <v>137838</v>
      </c>
    </row>
    <row r="1145" spans="1:10" ht="24" customHeight="1" x14ac:dyDescent="0.3">
      <c r="A1145" s="142">
        <v>44790</v>
      </c>
      <c r="B1145" s="50" t="s">
        <v>189</v>
      </c>
      <c r="C1145" s="5"/>
      <c r="D1145" s="5">
        <v>422733</v>
      </c>
      <c r="E1145" s="5">
        <f>+IF(FINANCIACION[[#This Row],[$ CAPITAL]]&gt;=0,FINANCIACION[[#This Row],[$ CAPITAL]]+FINANCIACION[[#This Row],[$ INTERESES]],"")</f>
        <v>422733</v>
      </c>
      <c r="F1145" s="5">
        <f>+SUMIFS(FINANCIACION[$ CAPITAL],FINANCIACION[Fecha],"&lt;="&amp;FINANCIACION[[#This Row],[Fecha]],FINANCIACION[PRESTAMO],FINANCIACION[[#This Row],[PRESTAMO]])</f>
        <v>0</v>
      </c>
      <c r="G1145" s="53"/>
      <c r="H1145" s="53"/>
      <c r="I1145" s="5" t="b">
        <f>+IF(FINANCIACION[[#This Row],[$ CAPITAL]]&gt;0,FINANCIACION[[#This Row],[$ CAPITAL]])</f>
        <v>0</v>
      </c>
      <c r="J1145" s="33">
        <f>+IF(FINANCIACION[[#This Row],[$ CAPITAL]]&gt;=0,FINANCIACION[[#This Row],[$ CAPITAL]]+FINANCIACION[[#This Row],[$ INTERESES]],0)</f>
        <v>422733</v>
      </c>
    </row>
    <row r="1146" spans="1:10" ht="24" customHeight="1" x14ac:dyDescent="0.3">
      <c r="A1146" s="142">
        <v>44795</v>
      </c>
      <c r="B1146" s="50" t="s">
        <v>189</v>
      </c>
      <c r="C1146" s="5"/>
      <c r="D1146" s="5">
        <v>330590</v>
      </c>
      <c r="E1146" s="5">
        <f>+IF(FINANCIACION[[#This Row],[$ CAPITAL]]&gt;=0,FINANCIACION[[#This Row],[$ CAPITAL]]+FINANCIACION[[#This Row],[$ INTERESES]],"")</f>
        <v>330590</v>
      </c>
      <c r="F1146" s="5">
        <f>+SUMIFS(FINANCIACION[$ CAPITAL],FINANCIACION[Fecha],"&lt;="&amp;FINANCIACION[[#This Row],[Fecha]],FINANCIACION[PRESTAMO],FINANCIACION[[#This Row],[PRESTAMO]])</f>
        <v>0</v>
      </c>
      <c r="G1146" s="53"/>
      <c r="H1146" s="53"/>
      <c r="I1146" s="5" t="b">
        <f>+IF(FINANCIACION[[#This Row],[$ CAPITAL]]&gt;0,FINANCIACION[[#This Row],[$ CAPITAL]])</f>
        <v>0</v>
      </c>
      <c r="J1146" s="33">
        <f>+IF(FINANCIACION[[#This Row],[$ CAPITAL]]&gt;=0,FINANCIACION[[#This Row],[$ CAPITAL]]+FINANCIACION[[#This Row],[$ INTERESES]],0)</f>
        <v>330590</v>
      </c>
    </row>
    <row r="1147" spans="1:10" ht="24" customHeight="1" x14ac:dyDescent="0.3">
      <c r="A1147" s="142">
        <v>44777</v>
      </c>
      <c r="B1147" s="50" t="s">
        <v>839</v>
      </c>
      <c r="C1147" s="5">
        <v>1744958</v>
      </c>
      <c r="D1147" s="5">
        <v>164602</v>
      </c>
      <c r="E1147" s="5">
        <f>+IF(FINANCIACION[[#This Row],[$ CAPITAL]]&gt;=0,FINANCIACION[[#This Row],[$ CAPITAL]]+FINANCIACION[[#This Row],[$ INTERESES]],"")</f>
        <v>1909560</v>
      </c>
      <c r="F1147" s="5">
        <f>+SUMIFS(FINANCIACION[$ CAPITAL],FINANCIACION[Fecha],"&lt;="&amp;FINANCIACION[[#This Row],[Fecha]],FINANCIACION[PRESTAMO],FINANCIACION[[#This Row],[PRESTAMO]])</f>
        <v>-10468364</v>
      </c>
      <c r="G1147" s="53"/>
      <c r="H1147" s="53"/>
      <c r="I1147" s="5">
        <f>+IF(FINANCIACION[[#This Row],[$ CAPITAL]]&gt;0,FINANCIACION[[#This Row],[$ CAPITAL]])</f>
        <v>1744958</v>
      </c>
      <c r="J1147" s="33">
        <f>+IF(FINANCIACION[[#This Row],[$ CAPITAL]]&gt;=0,FINANCIACION[[#This Row],[$ CAPITAL]]+FINANCIACION[[#This Row],[$ INTERESES]],0)</f>
        <v>1909560</v>
      </c>
    </row>
    <row r="1148" spans="1:10" ht="24" customHeight="1" x14ac:dyDescent="0.3">
      <c r="A1148" s="142">
        <v>44804</v>
      </c>
      <c r="B1148" s="50" t="s">
        <v>187</v>
      </c>
      <c r="C1148" s="5">
        <v>1468400</v>
      </c>
      <c r="D1148" s="5">
        <v>459144</v>
      </c>
      <c r="E1148" s="5">
        <f>+IF(FINANCIACION[[#This Row],[$ CAPITAL]]&gt;=0,FINANCIACION[[#This Row],[$ CAPITAL]]+FINANCIACION[[#This Row],[$ INTERESES]],"")</f>
        <v>1927544</v>
      </c>
      <c r="F1148" s="5">
        <f>+SUMIFS(FINANCIACION[$ CAPITAL],FINANCIACION[Fecha],"&lt;="&amp;FINANCIACION[[#This Row],[Fecha]],FINANCIACION[PRESTAMO],FINANCIACION[[#This Row],[PRESTAMO]])</f>
        <v>-27899600</v>
      </c>
      <c r="G1148" s="53"/>
      <c r="H1148" s="53"/>
      <c r="I1148" s="5">
        <f>+IF(FINANCIACION[[#This Row],[$ CAPITAL]]&gt;0,FINANCIACION[[#This Row],[$ CAPITAL]])</f>
        <v>1468400</v>
      </c>
      <c r="J1148" s="33">
        <f>+IF(FINANCIACION[[#This Row],[$ CAPITAL]]&gt;=0,FINANCIACION[[#This Row],[$ CAPITAL]]+FINANCIACION[[#This Row],[$ INTERESES]],0)</f>
        <v>1927544</v>
      </c>
    </row>
    <row r="1149" spans="1:10" ht="24" customHeight="1" x14ac:dyDescent="0.3">
      <c r="A1149" s="142">
        <v>44804</v>
      </c>
      <c r="B1149" s="50" t="s">
        <v>188</v>
      </c>
      <c r="C1149" s="5">
        <v>76791</v>
      </c>
      <c r="D1149" s="5"/>
      <c r="E1149" s="5">
        <f>+IF(FINANCIACION[[#This Row],[$ CAPITAL]]&gt;=0,FINANCIACION[[#This Row],[$ CAPITAL]]+FINANCIACION[[#This Row],[$ INTERESES]],"")</f>
        <v>76791</v>
      </c>
      <c r="F1149" s="5">
        <f>+SUMIFS(FINANCIACION[$ CAPITAL],FINANCIACION[Fecha],"&lt;="&amp;FINANCIACION[[#This Row],[Fecha]],FINANCIACION[PRESTAMO],FINANCIACION[[#This Row],[PRESTAMO]])</f>
        <v>-1459029</v>
      </c>
      <c r="G1149" s="53"/>
      <c r="H1149" s="53"/>
      <c r="I1149" s="5">
        <f>+IF(FINANCIACION[[#This Row],[$ CAPITAL]]&gt;0,FINANCIACION[[#This Row],[$ CAPITAL]])</f>
        <v>76791</v>
      </c>
      <c r="J1149" s="33">
        <f>+IF(FINANCIACION[[#This Row],[$ CAPITAL]]&gt;=0,FINANCIACION[[#This Row],[$ CAPITAL]]+FINANCIACION[[#This Row],[$ INTERESES]],0)</f>
        <v>76791</v>
      </c>
    </row>
    <row r="1150" spans="1:10" ht="24" customHeight="1" x14ac:dyDescent="0.3">
      <c r="A1150" s="142">
        <v>44804</v>
      </c>
      <c r="B1150" s="50" t="s">
        <v>486</v>
      </c>
      <c r="C1150" s="5">
        <v>3875324.7999999989</v>
      </c>
      <c r="D1150" s="5"/>
      <c r="E1150" s="5">
        <f>+IF(FINANCIACION[[#This Row],[$ CAPITAL]]&gt;=0,FINANCIACION[[#This Row],[$ CAPITAL]]+FINANCIACION[[#This Row],[$ INTERESES]],"")</f>
        <v>3875324.7999999989</v>
      </c>
      <c r="F1150" s="5">
        <f>+SUMIFS(FINANCIACION[$ CAPITAL],FINANCIACION[Fecha],"&lt;="&amp;FINANCIACION[[#This Row],[Fecha]],FINANCIACION[PRESTAMO],FINANCIACION[[#This Row],[PRESTAMO]])</f>
        <v>-16520851.200000001</v>
      </c>
      <c r="G1150" s="53" t="s">
        <v>225</v>
      </c>
      <c r="H1150" s="53"/>
      <c r="I1150" s="5">
        <f>+IF(FINANCIACION[[#This Row],[$ CAPITAL]]&gt;0,FINANCIACION[[#This Row],[$ CAPITAL]])</f>
        <v>3875324.7999999989</v>
      </c>
      <c r="J1150" s="33">
        <f>+IF(FINANCIACION[[#This Row],[$ CAPITAL]]&gt;=0,FINANCIACION[[#This Row],[$ CAPITAL]]+FINANCIACION[[#This Row],[$ INTERESES]],0)</f>
        <v>3875324.7999999989</v>
      </c>
    </row>
    <row r="1151" spans="1:10" ht="24" customHeight="1" x14ac:dyDescent="0.3">
      <c r="A1151" s="142">
        <v>44804</v>
      </c>
      <c r="B1151" s="50" t="s">
        <v>611</v>
      </c>
      <c r="C1151" s="5">
        <v>-4041620.8000000045</v>
      </c>
      <c r="D1151" s="5"/>
      <c r="E1151" s="5" t="str">
        <f>+IF(FINANCIACION[[#This Row],[$ CAPITAL]]&gt;=0,FINANCIACION[[#This Row],[$ CAPITAL]]+FINANCIACION[[#This Row],[$ INTERESES]],"")</f>
        <v/>
      </c>
      <c r="F1151" s="5">
        <f>+SUMIFS(FINANCIACION[$ CAPITAL],FINANCIACION[Fecha],"&lt;="&amp;FINANCIACION[[#This Row],[Fecha]],FINANCIACION[PRESTAMO],FINANCIACION[[#This Row],[PRESTAMO]])</f>
        <v>-64665932.800000004</v>
      </c>
      <c r="G1151" s="53" t="s">
        <v>225</v>
      </c>
      <c r="H1151" s="53"/>
      <c r="I1151" s="5" t="b">
        <f>+IF(FINANCIACION[[#This Row],[$ CAPITAL]]&gt;0,FINANCIACION[[#This Row],[$ CAPITAL]])</f>
        <v>0</v>
      </c>
      <c r="J1151" s="33">
        <f>+IF(FINANCIACION[[#This Row],[$ CAPITAL]]&gt;=0,FINANCIACION[[#This Row],[$ CAPITAL]]+FINANCIACION[[#This Row],[$ INTERESES]],0)</f>
        <v>0</v>
      </c>
    </row>
    <row r="1152" spans="1:10" ht="24" customHeight="1" x14ac:dyDescent="0.3">
      <c r="A1152" s="142">
        <v>44804</v>
      </c>
      <c r="B1152" s="50" t="s">
        <v>974</v>
      </c>
      <c r="C1152" s="5">
        <v>-2907690.8000000045</v>
      </c>
      <c r="D1152" s="5"/>
      <c r="E1152" s="5" t="str">
        <f>+IF(FINANCIACION[[#This Row],[$ CAPITAL]]&gt;=0,FINANCIACION[[#This Row],[$ CAPITAL]]+FINANCIACION[[#This Row],[$ INTERESES]],"")</f>
        <v/>
      </c>
      <c r="F1152" s="5">
        <f>+SUMIFS(FINANCIACION[$ CAPITAL],FINANCIACION[Fecha],"&lt;="&amp;FINANCIACION[[#This Row],[Fecha]],FINANCIACION[PRESTAMO],FINANCIACION[[#This Row],[PRESTAMO]])</f>
        <v>-46254252.800000004</v>
      </c>
      <c r="G1152" s="53" t="s">
        <v>225</v>
      </c>
      <c r="H1152" s="53"/>
      <c r="I1152" s="5" t="b">
        <f>+IF(FINANCIACION[[#This Row],[$ CAPITAL]]&gt;0,FINANCIACION[[#This Row],[$ CAPITAL]])</f>
        <v>0</v>
      </c>
      <c r="J1152" s="33">
        <f>+IF(FINANCIACION[[#This Row],[$ CAPITAL]]&gt;=0,FINANCIACION[[#This Row],[$ CAPITAL]]+FINANCIACION[[#This Row],[$ INTERESES]],0)</f>
        <v>0</v>
      </c>
    </row>
    <row r="1153" spans="1:10" ht="24" customHeight="1" x14ac:dyDescent="0.3">
      <c r="A1153" s="142">
        <v>44804</v>
      </c>
      <c r="B1153" s="50" t="s">
        <v>1109</v>
      </c>
      <c r="C1153" s="5">
        <v>321742</v>
      </c>
      <c r="D1153" s="5"/>
      <c r="E1153" s="5">
        <f>+IF(FINANCIACION[[#This Row],[$ CAPITAL]]&gt;=0,FINANCIACION[[#This Row],[$ CAPITAL]]+FINANCIACION[[#This Row],[$ INTERESES]],"")</f>
        <v>321742</v>
      </c>
      <c r="F1153" s="5">
        <f>+SUMIFS(FINANCIACION[$ CAPITAL],FINANCIACION[Fecha],"&lt;="&amp;FINANCIACION[[#This Row],[Fecha]],FINANCIACION[PRESTAMO],FINANCIACION[[#This Row],[PRESTAMO]])</f>
        <v>-72070208</v>
      </c>
      <c r="G1153" s="53" t="s">
        <v>225</v>
      </c>
      <c r="H1153" s="53"/>
      <c r="I1153" s="5">
        <f>+IF(FINANCIACION[[#This Row],[$ CAPITAL]]&gt;0,FINANCIACION[[#This Row],[$ CAPITAL]])</f>
        <v>321742</v>
      </c>
      <c r="J1153" s="33">
        <f>+IF(FINANCIACION[[#This Row],[$ CAPITAL]]&gt;=0,FINANCIACION[[#This Row],[$ CAPITAL]]+FINANCIACION[[#This Row],[$ INTERESES]],0)</f>
        <v>321742</v>
      </c>
    </row>
    <row r="1154" spans="1:10" ht="24" customHeight="1" x14ac:dyDescent="0.3">
      <c r="A1154" s="142">
        <v>44804</v>
      </c>
      <c r="B1154" s="50" t="s">
        <v>191</v>
      </c>
      <c r="C1154" s="5"/>
      <c r="D1154" s="5"/>
      <c r="E1154" s="5">
        <f>+IF(FINANCIACION[[#This Row],[$ CAPITAL]]&gt;=0,FINANCIACION[[#This Row],[$ CAPITAL]]+FINANCIACION[[#This Row],[$ INTERESES]],"")</f>
        <v>0</v>
      </c>
      <c r="F1154" s="5">
        <f>+SUMIFS(FINANCIACION[$ CAPITAL],FINANCIACION[Fecha],"&lt;="&amp;FINANCIACION[[#This Row],[Fecha]],FINANCIACION[PRESTAMO],FINANCIACION[[#This Row],[PRESTAMO]])</f>
        <v>-14166000</v>
      </c>
      <c r="G1154" s="53" t="s">
        <v>225</v>
      </c>
      <c r="H1154" s="53"/>
      <c r="I1154" s="5" t="b">
        <f>+IF(FINANCIACION[[#This Row],[$ CAPITAL]]&gt;0,FINANCIACION[[#This Row],[$ CAPITAL]])</f>
        <v>0</v>
      </c>
      <c r="J1154" s="33">
        <f>+IF(FINANCIACION[[#This Row],[$ CAPITAL]]&gt;=0,FINANCIACION[[#This Row],[$ CAPITAL]]+FINANCIACION[[#This Row],[$ INTERESES]],0)</f>
        <v>0</v>
      </c>
    </row>
    <row r="1155" spans="1:10" ht="24" customHeight="1" x14ac:dyDescent="0.3">
      <c r="A1155" s="142">
        <v>44804</v>
      </c>
      <c r="B1155" s="50" t="s">
        <v>195</v>
      </c>
      <c r="C1155" s="52">
        <v>-1558290</v>
      </c>
      <c r="D1155" s="5"/>
      <c r="E1155" s="5" t="str">
        <f>+IF(FINANCIACION[[#This Row],[$ CAPITAL]]&gt;=0,FINANCIACION[[#This Row],[$ CAPITAL]]+FINANCIACION[[#This Row],[$ INTERESES]],"")</f>
        <v/>
      </c>
      <c r="F1155" s="5">
        <f>+SUMIFS(FINANCIACION[$ CAPITAL],FINANCIACION[Fecha],"&lt;="&amp;FINANCIACION[[#This Row],[Fecha]],FINANCIACION[PRESTAMO],FINANCIACION[[#This Row],[PRESTAMO]])</f>
        <v>-2289330</v>
      </c>
      <c r="G1155" s="53"/>
      <c r="H1155" s="53"/>
      <c r="I1155" s="5" t="b">
        <f>+IF(FINANCIACION[[#This Row],[$ CAPITAL]]&gt;0,FINANCIACION[[#This Row],[$ CAPITAL]])</f>
        <v>0</v>
      </c>
      <c r="J1155" s="33">
        <f>+IF(FINANCIACION[[#This Row],[$ CAPITAL]]&gt;=0,FINANCIACION[[#This Row],[$ CAPITAL]]+FINANCIACION[[#This Row],[$ INTERESES]],0)</f>
        <v>0</v>
      </c>
    </row>
    <row r="1156" spans="1:10" ht="24" customHeight="1" x14ac:dyDescent="0.3">
      <c r="A1156" s="142">
        <v>44804</v>
      </c>
      <c r="B1156" s="50" t="s">
        <v>196</v>
      </c>
      <c r="C1156" s="52">
        <v>-5300120</v>
      </c>
      <c r="D1156" s="5"/>
      <c r="E1156" s="5" t="str">
        <f>+IF(FINANCIACION[[#This Row],[$ CAPITAL]]&gt;=0,FINANCIACION[[#This Row],[$ CAPITAL]]+FINANCIACION[[#This Row],[$ INTERESES]],"")</f>
        <v/>
      </c>
      <c r="F1156" s="5">
        <f>+SUMIFS(FINANCIACION[$ CAPITAL],FINANCIACION[Fecha],"&lt;="&amp;FINANCIACION[[#This Row],[Fecha]],FINANCIACION[PRESTAMO],FINANCIACION[[#This Row],[PRESTAMO]])</f>
        <v>-22440320</v>
      </c>
      <c r="G1156" s="53"/>
      <c r="H1156" s="53"/>
      <c r="I1156" s="5" t="b">
        <f>+IF(FINANCIACION[[#This Row],[$ CAPITAL]]&gt;0,FINANCIACION[[#This Row],[$ CAPITAL]])</f>
        <v>0</v>
      </c>
      <c r="J1156" s="33">
        <f>+IF(FINANCIACION[[#This Row],[$ CAPITAL]]&gt;=0,FINANCIACION[[#This Row],[$ CAPITAL]]+FINANCIACION[[#This Row],[$ INTERESES]],0)</f>
        <v>0</v>
      </c>
    </row>
    <row r="1157" spans="1:10" ht="24" customHeight="1" x14ac:dyDescent="0.3">
      <c r="A1157" s="142">
        <v>44804</v>
      </c>
      <c r="B1157" s="50" t="s">
        <v>197</v>
      </c>
      <c r="C1157" s="52">
        <v>2705406</v>
      </c>
      <c r="D1157" s="5"/>
      <c r="E1157" s="5">
        <f>+IF(FINANCIACION[[#This Row],[$ CAPITAL]]&gt;=0,FINANCIACION[[#This Row],[$ CAPITAL]]+FINANCIACION[[#This Row],[$ INTERESES]],"")</f>
        <v>2705406</v>
      </c>
      <c r="F1157" s="5">
        <f>+SUMIFS(FINANCIACION[$ CAPITAL],FINANCIACION[Fecha],"&lt;="&amp;FINANCIACION[[#This Row],[Fecha]],FINANCIACION[PRESTAMO],FINANCIACION[[#This Row],[PRESTAMO]])</f>
        <v>-17543149</v>
      </c>
      <c r="G1157" s="53"/>
      <c r="H1157" s="53"/>
      <c r="I1157" s="5">
        <f>+IF(FINANCIACION[[#This Row],[$ CAPITAL]]&gt;0,FINANCIACION[[#This Row],[$ CAPITAL]])</f>
        <v>2705406</v>
      </c>
      <c r="J1157" s="33">
        <f>+IF(FINANCIACION[[#This Row],[$ CAPITAL]]&gt;=0,FINANCIACION[[#This Row],[$ CAPITAL]]+FINANCIACION[[#This Row],[$ INTERESES]],0)</f>
        <v>2705406</v>
      </c>
    </row>
    <row r="1158" spans="1:10" ht="24" customHeight="1" x14ac:dyDescent="0.3">
      <c r="A1158" s="142">
        <v>44783</v>
      </c>
      <c r="B1158" s="50" t="s">
        <v>850</v>
      </c>
      <c r="C1158" s="5"/>
      <c r="D1158" s="5">
        <v>500000</v>
      </c>
      <c r="E1158" s="5">
        <f>+IF(FINANCIACION[[#This Row],[$ CAPITAL]]&gt;=0,FINANCIACION[[#This Row],[$ CAPITAL]]+FINANCIACION[[#This Row],[$ INTERESES]],"")</f>
        <v>500000</v>
      </c>
      <c r="F1158" s="5">
        <f>+SUMIFS(FINANCIACION[$ CAPITAL],FINANCIACION[Fecha],"&lt;="&amp;FINANCIACION[[#This Row],[Fecha]],FINANCIACION[PRESTAMO],FINANCIACION[[#This Row],[PRESTAMO]])</f>
        <v>-50000000</v>
      </c>
      <c r="G1158" s="53"/>
      <c r="H1158" s="53"/>
      <c r="I1158" s="5" t="b">
        <f>+IF(FINANCIACION[[#This Row],[$ CAPITAL]]&gt;0,FINANCIACION[[#This Row],[$ CAPITAL]])</f>
        <v>0</v>
      </c>
      <c r="J1158" s="33">
        <f>+IF(FINANCIACION[[#This Row],[$ CAPITAL]]&gt;=0,FINANCIACION[[#This Row],[$ CAPITAL]]+FINANCIACION[[#This Row],[$ INTERESES]],0)</f>
        <v>500000</v>
      </c>
    </row>
    <row r="1159" spans="1:10" ht="24" hidden="1" customHeight="1" x14ac:dyDescent="0.3">
      <c r="A1159" s="142">
        <v>44817</v>
      </c>
      <c r="B1159" s="50" t="s">
        <v>830</v>
      </c>
      <c r="C1159" s="5"/>
      <c r="D1159" s="5">
        <v>130000</v>
      </c>
      <c r="E1159" s="5">
        <f>+IF(FINANCIACION[[#This Row],[$ CAPITAL]]&gt;=0,FINANCIACION[[#This Row],[$ CAPITAL]]+FINANCIACION[[#This Row],[$ INTERESES]],"")</f>
        <v>130000</v>
      </c>
      <c r="F1159" s="5">
        <f>+SUMIFS(FINANCIACION[$ CAPITAL],FINANCIACION[Fecha],"&lt;="&amp;FINANCIACION[[#This Row],[Fecha]],FINANCIACION[PRESTAMO],FINANCIACION[[#This Row],[PRESTAMO]])</f>
        <v>-13000000</v>
      </c>
      <c r="G1159" s="53"/>
      <c r="H1159" s="53"/>
      <c r="I1159" s="5" t="b">
        <f>+IF(FINANCIACION[[#This Row],[$ CAPITAL]]&gt;0,FINANCIACION[[#This Row],[$ CAPITAL]])</f>
        <v>0</v>
      </c>
      <c r="J1159" s="33">
        <f>+IF(FINANCIACION[[#This Row],[$ CAPITAL]]&gt;=0,FINANCIACION[[#This Row],[$ CAPITAL]]+FINANCIACION[[#This Row],[$ INTERESES]],0)</f>
        <v>130000</v>
      </c>
    </row>
    <row r="1160" spans="1:10" ht="24" hidden="1" customHeight="1" x14ac:dyDescent="0.3">
      <c r="A1160" s="142">
        <v>44817</v>
      </c>
      <c r="B1160" s="50" t="s">
        <v>834</v>
      </c>
      <c r="C1160" s="5"/>
      <c r="D1160" s="5">
        <v>400000</v>
      </c>
      <c r="E1160" s="5">
        <f>+IF(FINANCIACION[[#This Row],[$ CAPITAL]]&gt;=0,FINANCIACION[[#This Row],[$ CAPITAL]]+FINANCIACION[[#This Row],[$ INTERESES]],"")</f>
        <v>400000</v>
      </c>
      <c r="F1160" s="5">
        <f>+SUMIFS(FINANCIACION[$ CAPITAL],FINANCIACION[Fecha],"&lt;="&amp;FINANCIACION[[#This Row],[Fecha]],FINANCIACION[PRESTAMO],FINANCIACION[[#This Row],[PRESTAMO]])</f>
        <v>-40000000</v>
      </c>
      <c r="G1160" s="53"/>
      <c r="H1160" s="53"/>
      <c r="I1160" s="5" t="b">
        <f>+IF(FINANCIACION[[#This Row],[$ CAPITAL]]&gt;0,FINANCIACION[[#This Row],[$ CAPITAL]])</f>
        <v>0</v>
      </c>
      <c r="J1160" s="33">
        <f>+IF(FINANCIACION[[#This Row],[$ CAPITAL]]&gt;=0,FINANCIACION[[#This Row],[$ CAPITAL]]+FINANCIACION[[#This Row],[$ INTERESES]],0)</f>
        <v>400000</v>
      </c>
    </row>
    <row r="1161" spans="1:10" ht="24" hidden="1" customHeight="1" x14ac:dyDescent="0.3">
      <c r="A1161" s="142">
        <v>44817</v>
      </c>
      <c r="B1161" s="50" t="s">
        <v>823</v>
      </c>
      <c r="C1161" s="5">
        <f>1300000-FINANCIACION[[#This Row],[$ INTERESES]]</f>
        <v>828066</v>
      </c>
      <c r="D1161" s="5">
        <v>471934</v>
      </c>
      <c r="E1161" s="5">
        <f>+IF(FINANCIACION[[#This Row],[$ CAPITAL]]&gt;=0,FINANCIACION[[#This Row],[$ CAPITAL]]+FINANCIACION[[#This Row],[$ INTERESES]],"")</f>
        <v>1300000</v>
      </c>
      <c r="F1161" s="5">
        <f>+SUMIFS(FINANCIACION[$ CAPITAL],FINANCIACION[Fecha],"&lt;="&amp;FINANCIACION[[#This Row],[Fecha]],FINANCIACION[PRESTAMO],FINANCIACION[[#This Row],[PRESTAMO]])</f>
        <v>-46365368.199762128</v>
      </c>
      <c r="G1161" s="53"/>
      <c r="H1161" s="53"/>
      <c r="I1161" s="5">
        <f>+IF(FINANCIACION[[#This Row],[$ CAPITAL]]&gt;0,FINANCIACION[[#This Row],[$ CAPITAL]])</f>
        <v>828066</v>
      </c>
      <c r="J1161" s="33">
        <f>+IF(FINANCIACION[[#This Row],[$ CAPITAL]]&gt;=0,FINANCIACION[[#This Row],[$ CAPITAL]]+FINANCIACION[[#This Row],[$ INTERESES]],0)</f>
        <v>1300000</v>
      </c>
    </row>
    <row r="1162" spans="1:10" ht="24" hidden="1" customHeight="1" x14ac:dyDescent="0.3">
      <c r="A1162" s="142">
        <v>44817</v>
      </c>
      <c r="B1162" s="50" t="s">
        <v>832</v>
      </c>
      <c r="C1162" s="5"/>
      <c r="D1162" s="5">
        <v>120000</v>
      </c>
      <c r="E1162" s="5">
        <f>+IF(FINANCIACION[[#This Row],[$ CAPITAL]]&gt;=0,FINANCIACION[[#This Row],[$ CAPITAL]]+FINANCIACION[[#This Row],[$ INTERESES]],"")</f>
        <v>120000</v>
      </c>
      <c r="F1162" s="5">
        <f>+SUMIFS(FINANCIACION[$ CAPITAL],FINANCIACION[Fecha],"&lt;="&amp;FINANCIACION[[#This Row],[Fecha]],FINANCIACION[PRESTAMO],FINANCIACION[[#This Row],[PRESTAMO]])</f>
        <v>-12000000</v>
      </c>
      <c r="G1162" s="53"/>
      <c r="H1162" s="53"/>
      <c r="I1162" s="5" t="b">
        <f>+IF(FINANCIACION[[#This Row],[$ CAPITAL]]&gt;0,FINANCIACION[[#This Row],[$ CAPITAL]])</f>
        <v>0</v>
      </c>
      <c r="J1162" s="33">
        <f>+IF(FINANCIACION[[#This Row],[$ CAPITAL]]&gt;=0,FINANCIACION[[#This Row],[$ CAPITAL]]+FINANCIACION[[#This Row],[$ INTERESES]],0)</f>
        <v>120000</v>
      </c>
    </row>
    <row r="1163" spans="1:10" ht="24" hidden="1" customHeight="1" x14ac:dyDescent="0.3">
      <c r="A1163" s="142">
        <v>44819</v>
      </c>
      <c r="B1163" s="50" t="s">
        <v>191</v>
      </c>
      <c r="C1163" s="5">
        <v>417000</v>
      </c>
      <c r="D1163" s="5">
        <v>227121.46</v>
      </c>
      <c r="E1163" s="5">
        <f>+IF(FINANCIACION[[#This Row],[$ CAPITAL]]&gt;=0,FINANCIACION[[#This Row],[$ CAPITAL]]+FINANCIACION[[#This Row],[$ INTERESES]],"")</f>
        <v>644121.46</v>
      </c>
      <c r="F1163" s="5">
        <f>+SUMIFS(FINANCIACION[$ CAPITAL],FINANCIACION[Fecha],"&lt;="&amp;FINANCIACION[[#This Row],[Fecha]],FINANCIACION[PRESTAMO],FINANCIACION[[#This Row],[PRESTAMO]])</f>
        <v>-13749000</v>
      </c>
      <c r="G1163" s="53"/>
      <c r="H1163" s="53"/>
      <c r="I1163" s="5">
        <f>+IF(FINANCIACION[[#This Row],[$ CAPITAL]]&gt;0,FINANCIACION[[#This Row],[$ CAPITAL]])</f>
        <v>417000</v>
      </c>
      <c r="J1163" s="33">
        <f>+IF(FINANCIACION[[#This Row],[$ CAPITAL]]&gt;=0,FINANCIACION[[#This Row],[$ CAPITAL]]+FINANCIACION[[#This Row],[$ INTERESES]],0)</f>
        <v>644121.46</v>
      </c>
    </row>
    <row r="1164" spans="1:10" ht="24" hidden="1" customHeight="1" x14ac:dyDescent="0.3">
      <c r="A1164" s="142">
        <v>44823</v>
      </c>
      <c r="B1164" s="50" t="s">
        <v>819</v>
      </c>
      <c r="C1164" s="5">
        <v>2149210</v>
      </c>
      <c r="D1164" s="5">
        <v>528190</v>
      </c>
      <c r="E1164" s="5">
        <f>+IF(FINANCIACION[[#This Row],[$ CAPITAL]]&gt;=0,FINANCIACION[[#This Row],[$ CAPITAL]]+FINANCIACION[[#This Row],[$ INTERESES]],"")</f>
        <v>2677400</v>
      </c>
      <c r="F1164" s="5">
        <f>+SUMIFS(FINANCIACION[$ CAPITAL],FINANCIACION[Fecha],"&lt;="&amp;FINANCIACION[[#This Row],[Fecha]],FINANCIACION[PRESTAMO],FINANCIACION[[#This Row],[PRESTAMO]])</f>
        <v>-50669767.484479994</v>
      </c>
      <c r="G1164" s="53"/>
      <c r="H1164" s="53"/>
      <c r="I1164" s="5">
        <f>+IF(FINANCIACION[[#This Row],[$ CAPITAL]]&gt;0,FINANCIACION[[#This Row],[$ CAPITAL]])</f>
        <v>2149210</v>
      </c>
      <c r="J1164" s="33">
        <f>+IF(FINANCIACION[[#This Row],[$ CAPITAL]]&gt;=0,FINANCIACION[[#This Row],[$ CAPITAL]]+FINANCIACION[[#This Row],[$ INTERESES]],0)</f>
        <v>2677400</v>
      </c>
    </row>
    <row r="1165" spans="1:10" ht="24" hidden="1" customHeight="1" x14ac:dyDescent="0.3">
      <c r="A1165" s="142">
        <v>44823</v>
      </c>
      <c r="B1165" s="50" t="s">
        <v>820</v>
      </c>
      <c r="C1165" s="5">
        <v>1359827</v>
      </c>
      <c r="D1165" s="5">
        <v>640173</v>
      </c>
      <c r="E1165" s="5">
        <f>+IF(FINANCIACION[[#This Row],[$ CAPITAL]]&gt;=0,FINANCIACION[[#This Row],[$ CAPITAL]]+FINANCIACION[[#This Row],[$ INTERESES]],"")</f>
        <v>2000000</v>
      </c>
      <c r="F1165" s="5">
        <f>+SUMIFS(FINANCIACION[$ CAPITAL],FINANCIACION[Fecha],"&lt;="&amp;FINANCIACION[[#This Row],[Fecha]],FINANCIACION[PRESTAMO],FINANCIACION[[#This Row],[PRESTAMO]])</f>
        <v>-62657499.132834516</v>
      </c>
      <c r="G1165" s="53"/>
      <c r="H1165" s="53"/>
      <c r="I1165" s="5">
        <f>+IF(FINANCIACION[[#This Row],[$ CAPITAL]]&gt;0,FINANCIACION[[#This Row],[$ CAPITAL]])</f>
        <v>1359827</v>
      </c>
      <c r="J1165" s="33">
        <f>+IF(FINANCIACION[[#This Row],[$ CAPITAL]]&gt;=0,FINANCIACION[[#This Row],[$ CAPITAL]]+FINANCIACION[[#This Row],[$ INTERESES]],0)</f>
        <v>2000000</v>
      </c>
    </row>
    <row r="1166" spans="1:10" ht="24" hidden="1" customHeight="1" x14ac:dyDescent="0.3">
      <c r="A1166" s="142">
        <v>44823</v>
      </c>
      <c r="B1166" s="50" t="s">
        <v>850</v>
      </c>
      <c r="C1166" s="5"/>
      <c r="D1166" s="5">
        <v>500000</v>
      </c>
      <c r="E1166" s="5">
        <f>+IF(FINANCIACION[[#This Row],[$ CAPITAL]]&gt;=0,FINANCIACION[[#This Row],[$ CAPITAL]]+FINANCIACION[[#This Row],[$ INTERESES]],"")</f>
        <v>500000</v>
      </c>
      <c r="F1166" s="5">
        <f>+SUMIFS(FINANCIACION[$ CAPITAL],FINANCIACION[Fecha],"&lt;="&amp;FINANCIACION[[#This Row],[Fecha]],FINANCIACION[PRESTAMO],FINANCIACION[[#This Row],[PRESTAMO]])</f>
        <v>-50000000</v>
      </c>
      <c r="G1166" s="53"/>
      <c r="H1166" s="53"/>
      <c r="I1166" s="5" t="b">
        <f>+IF(FINANCIACION[[#This Row],[$ CAPITAL]]&gt;0,FINANCIACION[[#This Row],[$ CAPITAL]])</f>
        <v>0</v>
      </c>
      <c r="J1166" s="33">
        <f>+IF(FINANCIACION[[#This Row],[$ CAPITAL]]&gt;=0,FINANCIACION[[#This Row],[$ CAPITAL]]+FINANCIACION[[#This Row],[$ INTERESES]],0)</f>
        <v>500000</v>
      </c>
    </row>
    <row r="1167" spans="1:10" ht="24" hidden="1" customHeight="1" x14ac:dyDescent="0.3">
      <c r="A1167" s="142">
        <v>44823</v>
      </c>
      <c r="B1167" s="50" t="s">
        <v>833</v>
      </c>
      <c r="C1167" s="5">
        <v>1077529.3999999999</v>
      </c>
      <c r="D1167" s="5">
        <v>126435.18</v>
      </c>
      <c r="E1167" s="5">
        <f>+IF(FINANCIACION[[#This Row],[$ CAPITAL]]&gt;=0,FINANCIACION[[#This Row],[$ CAPITAL]]+FINANCIACION[[#This Row],[$ INTERESES]],"")</f>
        <v>1203964.5799999998</v>
      </c>
      <c r="F1167" s="5">
        <f>+SUMIFS(FINANCIACION[$ CAPITAL],FINANCIACION[Fecha],"&lt;="&amp;FINANCIACION[[#This Row],[Fecha]],FINANCIACION[PRESTAMO],FINANCIACION[[#This Row],[PRESTAMO]])</f>
        <v>-8569745.1899999995</v>
      </c>
      <c r="G1167" s="53"/>
      <c r="H1167" s="53"/>
      <c r="I1167" s="5">
        <f>+IF(FINANCIACION[[#This Row],[$ CAPITAL]]&gt;0,FINANCIACION[[#This Row],[$ CAPITAL]])</f>
        <v>1077529.3999999999</v>
      </c>
      <c r="J1167" s="33">
        <f>+IF(FINANCIACION[[#This Row],[$ CAPITAL]]&gt;=0,FINANCIACION[[#This Row],[$ CAPITAL]]+FINANCIACION[[#This Row],[$ INTERESES]],0)</f>
        <v>1203964.5799999998</v>
      </c>
    </row>
    <row r="1168" spans="1:10" ht="24" hidden="1" customHeight="1" x14ac:dyDescent="0.3">
      <c r="A1168" s="142">
        <v>44823</v>
      </c>
      <c r="B1168" s="50" t="s">
        <v>878</v>
      </c>
      <c r="C1168" s="5">
        <v>1670635</v>
      </c>
      <c r="D1168" s="5">
        <v>347365</v>
      </c>
      <c r="E1168" s="5">
        <f>+IF(FINANCIACION[[#This Row],[$ CAPITAL]]&gt;=0,FINANCIACION[[#This Row],[$ CAPITAL]]+FINANCIACION[[#This Row],[$ INTERESES]],"")</f>
        <v>2018000</v>
      </c>
      <c r="F1168" s="5">
        <f>+SUMIFS(FINANCIACION[$ CAPITAL],FINANCIACION[Fecha],"&lt;="&amp;FINANCIACION[[#This Row],[Fecha]],FINANCIACION[PRESTAMO],FINANCIACION[[#This Row],[PRESTAMO]])</f>
        <v>-19455871.939999998</v>
      </c>
      <c r="G1168" s="53"/>
      <c r="H1168" s="53"/>
      <c r="I1168" s="5">
        <f>+IF(FINANCIACION[[#This Row],[$ CAPITAL]]&gt;0,FINANCIACION[[#This Row],[$ CAPITAL]])</f>
        <v>1670635</v>
      </c>
      <c r="J1168" s="33">
        <f>+IF(FINANCIACION[[#This Row],[$ CAPITAL]]&gt;=0,FINANCIACION[[#This Row],[$ CAPITAL]]+FINANCIACION[[#This Row],[$ INTERESES]],0)</f>
        <v>2018000</v>
      </c>
    </row>
    <row r="1169" spans="1:10" ht="24" hidden="1" customHeight="1" x14ac:dyDescent="0.3">
      <c r="A1169" s="142">
        <v>44830</v>
      </c>
      <c r="B1169" s="259" t="s">
        <v>827</v>
      </c>
      <c r="C1169" s="5">
        <v>853000</v>
      </c>
      <c r="D1169" s="5">
        <v>125187.79</v>
      </c>
      <c r="E1169" s="5">
        <f>+IF(FINANCIACION[[#This Row],[$ CAPITAL]]&gt;=0,FINANCIACION[[#This Row],[$ CAPITAL]]+FINANCIACION[[#This Row],[$ INTERESES]],"")</f>
        <v>978187.79</v>
      </c>
      <c r="F1169" s="5">
        <f>+SUMIFS(FINANCIACION[$ CAPITAL],FINANCIACION[Fecha],"&lt;="&amp;FINANCIACION[[#This Row],[Fecha]],FINANCIACION[PRESTAMO],FINANCIACION[[#This Row],[PRESTAMO]])</f>
        <v>-8458333.6499999985</v>
      </c>
      <c r="G1169" s="53"/>
      <c r="H1169" s="53"/>
      <c r="I1169" s="5">
        <f>+IF(FINANCIACION[[#This Row],[$ CAPITAL]]&gt;0,FINANCIACION[[#This Row],[$ CAPITAL]])</f>
        <v>853000</v>
      </c>
      <c r="J1169" s="33">
        <f>+IF(FINANCIACION[[#This Row],[$ CAPITAL]]&gt;=0,FINANCIACION[[#This Row],[$ CAPITAL]]+FINANCIACION[[#This Row],[$ INTERESES]],0)</f>
        <v>978187.79</v>
      </c>
    </row>
    <row r="1170" spans="1:10" ht="24" hidden="1" customHeight="1" x14ac:dyDescent="0.3">
      <c r="A1170" s="142">
        <v>44823</v>
      </c>
      <c r="B1170" s="50" t="s">
        <v>1131</v>
      </c>
      <c r="C1170" s="5">
        <v>453998</v>
      </c>
      <c r="D1170" s="5">
        <v>36313</v>
      </c>
      <c r="E1170" s="5">
        <f>+IF(FINANCIACION[[#This Row],[$ CAPITAL]]&gt;=0,FINANCIACION[[#This Row],[$ CAPITAL]]+FINANCIACION[[#This Row],[$ INTERESES]],"")</f>
        <v>490311</v>
      </c>
      <c r="F1170" s="5">
        <f>+SUMIFS(FINANCIACION[$ CAPITAL],FINANCIACION[Fecha],"&lt;="&amp;FINANCIACION[[#This Row],[Fecha]],FINANCIACION[PRESTAMO],FINANCIACION[[#This Row],[PRESTAMO]])</f>
        <v>-3177986</v>
      </c>
      <c r="G1170" s="53"/>
      <c r="H1170" s="53"/>
      <c r="I1170" s="5">
        <f>+IF(FINANCIACION[[#This Row],[$ CAPITAL]]&gt;0,FINANCIACION[[#This Row],[$ CAPITAL]])</f>
        <v>453998</v>
      </c>
      <c r="J1170" s="33">
        <f>+IF(FINANCIACION[[#This Row],[$ CAPITAL]]&gt;=0,FINANCIACION[[#This Row],[$ CAPITAL]]+FINANCIACION[[#This Row],[$ INTERESES]],0)</f>
        <v>490311</v>
      </c>
    </row>
    <row r="1171" spans="1:10" ht="24" hidden="1" customHeight="1" x14ac:dyDescent="0.3">
      <c r="A1171" s="142">
        <v>44830</v>
      </c>
      <c r="B1171" s="50" t="s">
        <v>835</v>
      </c>
      <c r="C1171" s="5">
        <v>1481481.48</v>
      </c>
      <c r="D1171" s="5">
        <v>930667.62</v>
      </c>
      <c r="E1171" s="5">
        <f>+IF(FINANCIACION[[#This Row],[$ CAPITAL]]&gt;=0,FINANCIACION[[#This Row],[$ CAPITAL]]+FINANCIACION[[#This Row],[$ INTERESES]],"")</f>
        <v>2412149.1</v>
      </c>
      <c r="F1171" s="5">
        <f>+SUMIFS(FINANCIACION[$ CAPITAL],FINANCIACION[Fecha],"&lt;="&amp;FINANCIACION[[#This Row],[Fecha]],FINANCIACION[PRESTAMO],FINANCIACION[[#This Row],[PRESTAMO]])</f>
        <v>-74064633.929999992</v>
      </c>
      <c r="G1171" s="53"/>
      <c r="H1171" s="53"/>
      <c r="I1171" s="5">
        <f>+IF(FINANCIACION[[#This Row],[$ CAPITAL]]&gt;0,FINANCIACION[[#This Row],[$ CAPITAL]])</f>
        <v>1481481.48</v>
      </c>
      <c r="J1171" s="33">
        <f>+IF(FINANCIACION[[#This Row],[$ CAPITAL]]&gt;=0,FINANCIACION[[#This Row],[$ CAPITAL]]+FINANCIACION[[#This Row],[$ INTERESES]],0)</f>
        <v>2412149.1</v>
      </c>
    </row>
    <row r="1172" spans="1:10" ht="24" hidden="1" customHeight="1" x14ac:dyDescent="0.3">
      <c r="A1172" s="142">
        <v>44830</v>
      </c>
      <c r="B1172" s="259" t="s">
        <v>829</v>
      </c>
      <c r="C1172" s="5">
        <v>894000</v>
      </c>
      <c r="D1172" s="5">
        <v>136512.38</v>
      </c>
      <c r="E1172" s="5">
        <f>+IF(FINANCIACION[[#This Row],[$ CAPITAL]]&gt;=0,FINANCIACION[[#This Row],[$ CAPITAL]]+FINANCIACION[[#This Row],[$ INTERESES]],"")</f>
        <v>1030512.38</v>
      </c>
      <c r="F1172" s="5">
        <f>+SUMIFS(FINANCIACION[$ CAPITAL],FINANCIACION[Fecha],"&lt;="&amp;FINANCIACION[[#This Row],[Fecha]],FINANCIACION[PRESTAMO],FINANCIACION[[#This Row],[PRESTAMO]])</f>
        <v>-9774211.0699999984</v>
      </c>
      <c r="G1172" s="53"/>
      <c r="H1172" s="53"/>
      <c r="I1172" s="5">
        <f>+IF(FINANCIACION[[#This Row],[$ CAPITAL]]&gt;0,FINANCIACION[[#This Row],[$ CAPITAL]])</f>
        <v>894000</v>
      </c>
      <c r="J1172" s="33">
        <f>+IF(FINANCIACION[[#This Row],[$ CAPITAL]]&gt;=0,FINANCIACION[[#This Row],[$ CAPITAL]]+FINANCIACION[[#This Row],[$ INTERESES]],0)</f>
        <v>1030512.38</v>
      </c>
    </row>
    <row r="1173" spans="1:10" ht="24" hidden="1" customHeight="1" x14ac:dyDescent="0.3">
      <c r="A1173" s="142">
        <v>44830</v>
      </c>
      <c r="B1173" s="50" t="s">
        <v>825</v>
      </c>
      <c r="C1173" s="5">
        <v>2176175.9</v>
      </c>
      <c r="D1173" s="5">
        <v>284608.26</v>
      </c>
      <c r="E1173" s="5">
        <f>+IF(FINANCIACION[[#This Row],[$ CAPITAL]]&gt;=0,FINANCIACION[[#This Row],[$ CAPITAL]]+FINANCIACION[[#This Row],[$ INTERESES]],"")</f>
        <v>2460784.16</v>
      </c>
      <c r="F1173" s="5">
        <f>+SUMIFS(FINANCIACION[$ CAPITAL],FINANCIACION[Fecha],"&lt;="&amp;FINANCIACION[[#This Row],[Fecha]],FINANCIACION[PRESTAMO],FINANCIACION[[#This Row],[PRESTAMO]])</f>
        <v>-19532410.440000005</v>
      </c>
      <c r="G1173" s="53"/>
      <c r="H1173" s="53"/>
      <c r="I1173" s="5">
        <f>+IF(FINANCIACION[[#This Row],[$ CAPITAL]]&gt;0,FINANCIACION[[#This Row],[$ CAPITAL]])</f>
        <v>2176175.9</v>
      </c>
      <c r="J1173" s="33">
        <f>+IF(FINANCIACION[[#This Row],[$ CAPITAL]]&gt;=0,FINANCIACION[[#This Row],[$ CAPITAL]]+FINANCIACION[[#This Row],[$ INTERESES]],0)</f>
        <v>2460784.16</v>
      </c>
    </row>
    <row r="1174" spans="1:10" ht="24" hidden="1" customHeight="1" x14ac:dyDescent="0.3">
      <c r="A1174" s="142">
        <v>44830</v>
      </c>
      <c r="B1174" s="50" t="s">
        <v>826</v>
      </c>
      <c r="C1174" s="5">
        <v>3159000</v>
      </c>
      <c r="D1174" s="5">
        <v>434654.08</v>
      </c>
      <c r="E1174" s="5">
        <f>+IF(FINANCIACION[[#This Row],[$ CAPITAL]]&gt;=0,FINANCIACION[[#This Row],[$ CAPITAL]]+FINANCIACION[[#This Row],[$ INTERESES]],"")</f>
        <v>3593654.08</v>
      </c>
      <c r="F1174" s="5">
        <f>+SUMIFS(FINANCIACION[$ CAPITAL],FINANCIACION[Fecha],"&lt;="&amp;FINANCIACION[[#This Row],[Fecha]],FINANCIACION[PRESTAMO],FINANCIACION[[#This Row],[PRESTAMO]])</f>
        <v>-28270786.059999995</v>
      </c>
      <c r="G1174" s="53"/>
      <c r="H1174" s="53"/>
      <c r="I1174" s="5">
        <f>+IF(FINANCIACION[[#This Row],[$ CAPITAL]]&gt;0,FINANCIACION[[#This Row],[$ CAPITAL]])</f>
        <v>3159000</v>
      </c>
      <c r="J1174" s="33">
        <f>+IF(FINANCIACION[[#This Row],[$ CAPITAL]]&gt;=0,FINANCIACION[[#This Row],[$ CAPITAL]]+FINANCIACION[[#This Row],[$ INTERESES]],0)</f>
        <v>3593654.08</v>
      </c>
    </row>
    <row r="1175" spans="1:10" ht="24" hidden="1" customHeight="1" x14ac:dyDescent="0.3">
      <c r="A1175" s="142">
        <v>44823</v>
      </c>
      <c r="B1175" s="50" t="s">
        <v>821</v>
      </c>
      <c r="C1175" s="5">
        <v>1283103</v>
      </c>
      <c r="D1175" s="5">
        <v>4776103</v>
      </c>
      <c r="E1175" s="5">
        <f>+IF(FINANCIACION[[#This Row],[$ CAPITAL]]&gt;=0,FINANCIACION[[#This Row],[$ CAPITAL]]+FINANCIACION[[#This Row],[$ INTERESES]],"")</f>
        <v>6059206</v>
      </c>
      <c r="F1175" s="5">
        <f>+SUMIFS(FINANCIACION[$ CAPITAL],FINANCIACION[Fecha],"&lt;="&amp;FINANCIACION[[#This Row],[Fecha]],FINANCIACION[PRESTAMO],FINANCIACION[[#This Row],[PRESTAMO]])</f>
        <v>-361173199</v>
      </c>
      <c r="G1175" s="53"/>
      <c r="H1175" s="53"/>
      <c r="I1175" s="5">
        <f>+IF(FINANCIACION[[#This Row],[$ CAPITAL]]&gt;0,FINANCIACION[[#This Row],[$ CAPITAL]])</f>
        <v>1283103</v>
      </c>
      <c r="J1175" s="33">
        <f>+IF(FINANCIACION[[#This Row],[$ CAPITAL]]&gt;=0,FINANCIACION[[#This Row],[$ CAPITAL]]+FINANCIACION[[#This Row],[$ INTERESES]],0)</f>
        <v>6059206</v>
      </c>
    </row>
    <row r="1176" spans="1:10" ht="24" hidden="1" customHeight="1" x14ac:dyDescent="0.3">
      <c r="A1176" s="142">
        <v>44830</v>
      </c>
      <c r="B1176" s="259" t="s">
        <v>822</v>
      </c>
      <c r="C1176" s="5">
        <v>1306000</v>
      </c>
      <c r="D1176" s="5">
        <v>139000</v>
      </c>
      <c r="E1176" s="5">
        <f>+IF(FINANCIACION[[#This Row],[$ CAPITAL]]&gt;=0,FINANCIACION[[#This Row],[$ CAPITAL]]+FINANCIACION[[#This Row],[$ INTERESES]],"")</f>
        <v>1445000</v>
      </c>
      <c r="F1176" s="5">
        <f>+SUMIFS(FINANCIACION[$ CAPITAL],FINANCIACION[Fecha],"&lt;="&amp;FINANCIACION[[#This Row],[Fecha]],FINANCIACION[PRESTAMO],FINANCIACION[[#This Row],[PRESTAMO]])</f>
        <v>-9035346.8900000006</v>
      </c>
      <c r="G1176" s="53"/>
      <c r="H1176" s="53"/>
      <c r="I1176" s="5">
        <f>+IF(FINANCIACION[[#This Row],[$ CAPITAL]]&gt;0,FINANCIACION[[#This Row],[$ CAPITAL]])</f>
        <v>1306000</v>
      </c>
      <c r="J1176" s="33">
        <f>+IF(FINANCIACION[[#This Row],[$ CAPITAL]]&gt;=0,FINANCIACION[[#This Row],[$ CAPITAL]]+FINANCIACION[[#This Row],[$ INTERESES]],0)</f>
        <v>1445000</v>
      </c>
    </row>
    <row r="1177" spans="1:10" ht="24" hidden="1" customHeight="1" x14ac:dyDescent="0.3">
      <c r="A1177" s="142">
        <v>44810</v>
      </c>
      <c r="B1177" s="50" t="s">
        <v>189</v>
      </c>
      <c r="C1177" s="5"/>
      <c r="D1177" s="5">
        <v>149903</v>
      </c>
      <c r="E1177" s="5">
        <f>+IF(FINANCIACION[[#This Row],[$ CAPITAL]]&gt;=0,FINANCIACION[[#This Row],[$ CAPITAL]]+FINANCIACION[[#This Row],[$ INTERESES]],"")</f>
        <v>149903</v>
      </c>
      <c r="F1177" s="5">
        <f>+SUMIFS(FINANCIACION[$ CAPITAL],FINANCIACION[Fecha],"&lt;="&amp;FINANCIACION[[#This Row],[Fecha]],FINANCIACION[PRESTAMO],FINANCIACION[[#This Row],[PRESTAMO]])</f>
        <v>0</v>
      </c>
      <c r="G1177" s="53"/>
      <c r="H1177" s="53"/>
      <c r="I1177" s="5" t="b">
        <f>+IF(FINANCIACION[[#This Row],[$ CAPITAL]]&gt;0,FINANCIACION[[#This Row],[$ CAPITAL]])</f>
        <v>0</v>
      </c>
      <c r="J1177" s="33">
        <f>+IF(FINANCIACION[[#This Row],[$ CAPITAL]]&gt;=0,FINANCIACION[[#This Row],[$ CAPITAL]]+FINANCIACION[[#This Row],[$ INTERESES]],0)</f>
        <v>149903</v>
      </c>
    </row>
    <row r="1178" spans="1:10" ht="24" hidden="1" customHeight="1" x14ac:dyDescent="0.3">
      <c r="A1178" s="142">
        <v>44812</v>
      </c>
      <c r="B1178" s="50" t="s">
        <v>189</v>
      </c>
      <c r="C1178" s="5"/>
      <c r="D1178" s="5">
        <v>511464</v>
      </c>
      <c r="E1178" s="5">
        <f>+IF(FINANCIACION[[#This Row],[$ CAPITAL]]&gt;=0,FINANCIACION[[#This Row],[$ CAPITAL]]+FINANCIACION[[#This Row],[$ INTERESES]],"")</f>
        <v>511464</v>
      </c>
      <c r="F1178" s="5">
        <f>+SUMIFS(FINANCIACION[$ CAPITAL],FINANCIACION[Fecha],"&lt;="&amp;FINANCIACION[[#This Row],[Fecha]],FINANCIACION[PRESTAMO],FINANCIACION[[#This Row],[PRESTAMO]])</f>
        <v>0</v>
      </c>
      <c r="G1178" s="53"/>
      <c r="H1178" s="53"/>
      <c r="I1178" s="5" t="b">
        <f>+IF(FINANCIACION[[#This Row],[$ CAPITAL]]&gt;0,FINANCIACION[[#This Row],[$ CAPITAL]])</f>
        <v>0</v>
      </c>
      <c r="J1178" s="33">
        <f>+IF(FINANCIACION[[#This Row],[$ CAPITAL]]&gt;=0,FINANCIACION[[#This Row],[$ CAPITAL]]+FINANCIACION[[#This Row],[$ INTERESES]],0)</f>
        <v>511464</v>
      </c>
    </row>
    <row r="1179" spans="1:10" ht="24" hidden="1" customHeight="1" x14ac:dyDescent="0.3">
      <c r="A1179" s="142">
        <v>44823</v>
      </c>
      <c r="B1179" s="50" t="s">
        <v>189</v>
      </c>
      <c r="C1179" s="5"/>
      <c r="D1179" s="5">
        <v>452189</v>
      </c>
      <c r="E1179" s="5">
        <f>+IF(FINANCIACION[[#This Row],[$ CAPITAL]]&gt;=0,FINANCIACION[[#This Row],[$ CAPITAL]]+FINANCIACION[[#This Row],[$ INTERESES]],"")</f>
        <v>452189</v>
      </c>
      <c r="F1179" s="5">
        <f>+SUMIFS(FINANCIACION[$ CAPITAL],FINANCIACION[Fecha],"&lt;="&amp;FINANCIACION[[#This Row],[Fecha]],FINANCIACION[PRESTAMO],FINANCIACION[[#This Row],[PRESTAMO]])</f>
        <v>0</v>
      </c>
      <c r="G1179" s="53"/>
      <c r="H1179" s="53"/>
      <c r="I1179" s="5" t="b">
        <f>+IF(FINANCIACION[[#This Row],[$ CAPITAL]]&gt;0,FINANCIACION[[#This Row],[$ CAPITAL]])</f>
        <v>0</v>
      </c>
      <c r="J1179" s="33">
        <f>+IF(FINANCIACION[[#This Row],[$ CAPITAL]]&gt;=0,FINANCIACION[[#This Row],[$ CAPITAL]]+FINANCIACION[[#This Row],[$ INTERESES]],0)</f>
        <v>452189</v>
      </c>
    </row>
    <row r="1180" spans="1:10" ht="24" hidden="1" customHeight="1" x14ac:dyDescent="0.3">
      <c r="A1180" s="142">
        <v>44824</v>
      </c>
      <c r="B1180" s="50" t="s">
        <v>189</v>
      </c>
      <c r="C1180" s="5"/>
      <c r="D1180" s="5">
        <v>337976</v>
      </c>
      <c r="E1180" s="5">
        <f>+IF(FINANCIACION[[#This Row],[$ CAPITAL]]&gt;=0,FINANCIACION[[#This Row],[$ CAPITAL]]+FINANCIACION[[#This Row],[$ INTERESES]],"")</f>
        <v>337976</v>
      </c>
      <c r="F1180" s="5">
        <f>+SUMIFS(FINANCIACION[$ CAPITAL],FINANCIACION[Fecha],"&lt;="&amp;FINANCIACION[[#This Row],[Fecha]],FINANCIACION[PRESTAMO],FINANCIACION[[#This Row],[PRESTAMO]])</f>
        <v>0</v>
      </c>
      <c r="G1180" s="53"/>
      <c r="H1180" s="53"/>
      <c r="I1180" s="5" t="b">
        <f>+IF(FINANCIACION[[#This Row],[$ CAPITAL]]&gt;0,FINANCIACION[[#This Row],[$ CAPITAL]])</f>
        <v>0</v>
      </c>
      <c r="J1180" s="33">
        <f>+IF(FINANCIACION[[#This Row],[$ CAPITAL]]&gt;=0,FINANCIACION[[#This Row],[$ CAPITAL]]+FINANCIACION[[#This Row],[$ INTERESES]],0)</f>
        <v>337976</v>
      </c>
    </row>
    <row r="1181" spans="1:10" ht="24" hidden="1" customHeight="1" x14ac:dyDescent="0.3">
      <c r="A1181" s="142">
        <v>44809</v>
      </c>
      <c r="B1181" s="50" t="s">
        <v>839</v>
      </c>
      <c r="C1181" s="5">
        <v>1744958</v>
      </c>
      <c r="D1181" s="5">
        <v>153497</v>
      </c>
      <c r="E1181" s="5">
        <f>+IF(FINANCIACION[[#This Row],[$ CAPITAL]]&gt;=0,FINANCIACION[[#This Row],[$ CAPITAL]]+FINANCIACION[[#This Row],[$ INTERESES]],"")</f>
        <v>1898455</v>
      </c>
      <c r="F1181" s="5">
        <f>+SUMIFS(FINANCIACION[$ CAPITAL],FINANCIACION[Fecha],"&lt;="&amp;FINANCIACION[[#This Row],[Fecha]],FINANCIACION[PRESTAMO],FINANCIACION[[#This Row],[PRESTAMO]])</f>
        <v>-8723406</v>
      </c>
      <c r="G1181" s="53"/>
      <c r="H1181" s="53"/>
      <c r="I1181" s="5">
        <f>+IF(FINANCIACION[[#This Row],[$ CAPITAL]]&gt;0,FINANCIACION[[#This Row],[$ CAPITAL]])</f>
        <v>1744958</v>
      </c>
      <c r="J1181" s="33">
        <f>+IF(FINANCIACION[[#This Row],[$ CAPITAL]]&gt;=0,FINANCIACION[[#This Row],[$ CAPITAL]]+FINANCIACION[[#This Row],[$ INTERESES]],0)</f>
        <v>1898455</v>
      </c>
    </row>
    <row r="1182" spans="1:10" ht="24" hidden="1" customHeight="1" x14ac:dyDescent="0.3">
      <c r="A1182" s="142">
        <v>44834</v>
      </c>
      <c r="B1182" s="50" t="s">
        <v>187</v>
      </c>
      <c r="C1182" s="5">
        <v>1468400</v>
      </c>
      <c r="D1182" s="5">
        <v>1586824</v>
      </c>
      <c r="E1182" s="5">
        <f>+IF(FINANCIACION[[#This Row],[$ CAPITAL]]&gt;=0,FINANCIACION[[#This Row],[$ CAPITAL]]+FINANCIACION[[#This Row],[$ INTERESES]],"")</f>
        <v>3055224</v>
      </c>
      <c r="F1182" s="5">
        <f>+SUMIFS(FINANCIACION[$ CAPITAL],FINANCIACION[Fecha],"&lt;="&amp;FINANCIACION[[#This Row],[Fecha]],FINANCIACION[PRESTAMO],FINANCIACION[[#This Row],[PRESTAMO]])</f>
        <v>-26431200</v>
      </c>
      <c r="G1182" s="53"/>
      <c r="H1182" s="53"/>
      <c r="I1182" s="5">
        <f>+IF(FINANCIACION[[#This Row],[$ CAPITAL]]&gt;0,FINANCIACION[[#This Row],[$ CAPITAL]])</f>
        <v>1468400</v>
      </c>
      <c r="J1182" s="33">
        <f>+IF(FINANCIACION[[#This Row],[$ CAPITAL]]&gt;=0,FINANCIACION[[#This Row],[$ CAPITAL]]+FINANCIACION[[#This Row],[$ INTERESES]],0)</f>
        <v>3055224</v>
      </c>
    </row>
    <row r="1183" spans="1:10" ht="24" hidden="1" customHeight="1" x14ac:dyDescent="0.3">
      <c r="A1183" s="142">
        <v>44834</v>
      </c>
      <c r="B1183" s="50" t="s">
        <v>188</v>
      </c>
      <c r="C1183" s="5">
        <v>76791</v>
      </c>
      <c r="D1183" s="5"/>
      <c r="E1183" s="5">
        <f>+IF(FINANCIACION[[#This Row],[$ CAPITAL]]&gt;=0,FINANCIACION[[#This Row],[$ CAPITAL]]+FINANCIACION[[#This Row],[$ INTERESES]],"")</f>
        <v>76791</v>
      </c>
      <c r="F1183" s="5">
        <f>+SUMIFS(FINANCIACION[$ CAPITAL],FINANCIACION[Fecha],"&lt;="&amp;FINANCIACION[[#This Row],[Fecha]],FINANCIACION[PRESTAMO],FINANCIACION[[#This Row],[PRESTAMO]])</f>
        <v>-1382238</v>
      </c>
      <c r="G1183" s="53"/>
      <c r="H1183" s="53"/>
      <c r="I1183" s="5">
        <f>+IF(FINANCIACION[[#This Row],[$ CAPITAL]]&gt;0,FINANCIACION[[#This Row],[$ CAPITAL]])</f>
        <v>76791</v>
      </c>
      <c r="J1183" s="33">
        <f>+IF(FINANCIACION[[#This Row],[$ CAPITAL]]&gt;=0,FINANCIACION[[#This Row],[$ CAPITAL]]+FINANCIACION[[#This Row],[$ INTERESES]],0)</f>
        <v>76791</v>
      </c>
    </row>
    <row r="1184" spans="1:10" ht="24" hidden="1" customHeight="1" x14ac:dyDescent="0.3">
      <c r="A1184" s="142">
        <v>44834</v>
      </c>
      <c r="B1184" s="50" t="s">
        <v>486</v>
      </c>
      <c r="C1184" s="5">
        <v>553153</v>
      </c>
      <c r="D1184" s="5"/>
      <c r="E1184" s="5">
        <f>+IF(FINANCIACION[[#This Row],[$ CAPITAL]]&gt;=0,FINANCIACION[[#This Row],[$ CAPITAL]]+FINANCIACION[[#This Row],[$ INTERESES]],"")</f>
        <v>553153</v>
      </c>
      <c r="F1184" s="5">
        <f>+SUMIFS(FINANCIACION[$ CAPITAL],FINANCIACION[Fecha],"&lt;="&amp;FINANCIACION[[#This Row],[Fecha]],FINANCIACION[PRESTAMO],FINANCIACION[[#This Row],[PRESTAMO]])</f>
        <v>-15967698.200000001</v>
      </c>
      <c r="G1184" s="53" t="s">
        <v>1718</v>
      </c>
      <c r="H1184" s="53"/>
      <c r="I1184" s="5">
        <f>+IF(FINANCIACION[[#This Row],[$ CAPITAL]]&gt;0,FINANCIACION[[#This Row],[$ CAPITAL]])</f>
        <v>553153</v>
      </c>
      <c r="J1184" s="33">
        <f>+IF(FINANCIACION[[#This Row],[$ CAPITAL]]&gt;=0,FINANCIACION[[#This Row],[$ CAPITAL]]+FINANCIACION[[#This Row],[$ INTERESES]],0)</f>
        <v>553153</v>
      </c>
    </row>
    <row r="1185" spans="1:10" ht="24" hidden="1" customHeight="1" x14ac:dyDescent="0.3">
      <c r="A1185" s="142">
        <v>44834</v>
      </c>
      <c r="B1185" s="50" t="s">
        <v>611</v>
      </c>
      <c r="C1185" s="5">
        <v>2165154</v>
      </c>
      <c r="D1185" s="5"/>
      <c r="E1185" s="5">
        <f>+IF(FINANCIACION[[#This Row],[$ CAPITAL]]&gt;=0,FINANCIACION[[#This Row],[$ CAPITAL]]+FINANCIACION[[#This Row],[$ INTERESES]],"")</f>
        <v>2165154</v>
      </c>
      <c r="F1185" s="5">
        <f>+SUMIFS(FINANCIACION[$ CAPITAL],FINANCIACION[Fecha],"&lt;="&amp;FINANCIACION[[#This Row],[Fecha]],FINANCIACION[PRESTAMO],FINANCIACION[[#This Row],[PRESTAMO]])</f>
        <v>-62500778.800000004</v>
      </c>
      <c r="G1185" s="53" t="s">
        <v>225</v>
      </c>
      <c r="H1185" s="53"/>
      <c r="I1185" s="5">
        <f>+IF(FINANCIACION[[#This Row],[$ CAPITAL]]&gt;0,FINANCIACION[[#This Row],[$ CAPITAL]])</f>
        <v>2165154</v>
      </c>
      <c r="J1185" s="33">
        <f>+IF(FINANCIACION[[#This Row],[$ CAPITAL]]&gt;=0,FINANCIACION[[#This Row],[$ CAPITAL]]+FINANCIACION[[#This Row],[$ INTERESES]],0)</f>
        <v>2165154</v>
      </c>
    </row>
    <row r="1186" spans="1:10" ht="24" hidden="1" customHeight="1" x14ac:dyDescent="0.3">
      <c r="A1186" s="142">
        <v>44834</v>
      </c>
      <c r="B1186" s="50" t="s">
        <v>974</v>
      </c>
      <c r="C1186" s="5">
        <v>1568653</v>
      </c>
      <c r="D1186" s="5"/>
      <c r="E1186" s="5">
        <f>+IF(FINANCIACION[[#This Row],[$ CAPITAL]]&gt;=0,FINANCIACION[[#This Row],[$ CAPITAL]]+FINANCIACION[[#This Row],[$ INTERESES]],"")</f>
        <v>1568653</v>
      </c>
      <c r="F1186" s="5">
        <f>+SUMIFS(FINANCIACION[$ CAPITAL],FINANCIACION[Fecha],"&lt;="&amp;FINANCIACION[[#This Row],[Fecha]],FINANCIACION[PRESTAMO],FINANCIACION[[#This Row],[PRESTAMO]])</f>
        <v>-44685599.800000004</v>
      </c>
      <c r="G1186" s="53" t="s">
        <v>225</v>
      </c>
      <c r="H1186" s="53"/>
      <c r="I1186" s="5">
        <f>+IF(FINANCIACION[[#This Row],[$ CAPITAL]]&gt;0,FINANCIACION[[#This Row],[$ CAPITAL]])</f>
        <v>1568653</v>
      </c>
      <c r="J1186" s="33">
        <f>+IF(FINANCIACION[[#This Row],[$ CAPITAL]]&gt;=0,FINANCIACION[[#This Row],[$ CAPITAL]]+FINANCIACION[[#This Row],[$ INTERESES]],0)</f>
        <v>1568653</v>
      </c>
    </row>
    <row r="1187" spans="1:10" ht="24" hidden="1" customHeight="1" x14ac:dyDescent="0.3">
      <c r="A1187" s="142">
        <v>44834</v>
      </c>
      <c r="B1187" s="50" t="s">
        <v>1109</v>
      </c>
      <c r="C1187" s="5">
        <v>2413065</v>
      </c>
      <c r="D1187" s="5"/>
      <c r="E1187" s="5">
        <f>+IF(FINANCIACION[[#This Row],[$ CAPITAL]]&gt;=0,FINANCIACION[[#This Row],[$ CAPITAL]]+FINANCIACION[[#This Row],[$ INTERESES]],"")</f>
        <v>2413065</v>
      </c>
      <c r="F1187" s="5">
        <f>+SUMIFS(FINANCIACION[$ CAPITAL],FINANCIACION[Fecha],"&lt;="&amp;FINANCIACION[[#This Row],[Fecha]],FINANCIACION[PRESTAMO],FINANCIACION[[#This Row],[PRESTAMO]])</f>
        <v>-69657143</v>
      </c>
      <c r="G1187" s="53" t="s">
        <v>225</v>
      </c>
      <c r="H1187" s="53"/>
      <c r="I1187" s="5">
        <f>+IF(FINANCIACION[[#This Row],[$ CAPITAL]]&gt;0,FINANCIACION[[#This Row],[$ CAPITAL]])</f>
        <v>2413065</v>
      </c>
      <c r="J1187" s="33">
        <f>+IF(FINANCIACION[[#This Row],[$ CAPITAL]]&gt;=0,FINANCIACION[[#This Row],[$ CAPITAL]]+FINANCIACION[[#This Row],[$ INTERESES]],0)</f>
        <v>2413065</v>
      </c>
    </row>
    <row r="1188" spans="1:10" ht="24" hidden="1" customHeight="1" x14ac:dyDescent="0.3">
      <c r="A1188" s="142">
        <v>44834</v>
      </c>
      <c r="B1188" s="50" t="s">
        <v>195</v>
      </c>
      <c r="C1188" s="5">
        <v>-236852</v>
      </c>
      <c r="D1188" s="5"/>
      <c r="E1188" s="5" t="str">
        <f>+IF(FINANCIACION[[#This Row],[$ CAPITAL]]&gt;=0,FINANCIACION[[#This Row],[$ CAPITAL]]+FINANCIACION[[#This Row],[$ INTERESES]],"")</f>
        <v/>
      </c>
      <c r="F1188" s="5">
        <f>+SUMIFS(FINANCIACION[$ CAPITAL],FINANCIACION[Fecha],"&lt;="&amp;FINANCIACION[[#This Row],[Fecha]],FINANCIACION[PRESTAMO],FINANCIACION[[#This Row],[PRESTAMO]])</f>
        <v>-2526182</v>
      </c>
      <c r="G1188" s="53"/>
      <c r="H1188" s="53"/>
      <c r="I1188" s="5" t="b">
        <f>+IF(FINANCIACION[[#This Row],[$ CAPITAL]]&gt;0,FINANCIACION[[#This Row],[$ CAPITAL]])</f>
        <v>0</v>
      </c>
      <c r="J1188" s="33">
        <f>+IF(FINANCIACION[[#This Row],[$ CAPITAL]]&gt;=0,FINANCIACION[[#This Row],[$ CAPITAL]]+FINANCIACION[[#This Row],[$ INTERESES]],0)</f>
        <v>0</v>
      </c>
    </row>
    <row r="1189" spans="1:10" ht="24" hidden="1" customHeight="1" x14ac:dyDescent="0.3">
      <c r="A1189" s="142">
        <v>44834</v>
      </c>
      <c r="B1189" s="50" t="s">
        <v>196</v>
      </c>
      <c r="C1189" s="5">
        <v>1444150</v>
      </c>
      <c r="D1189" s="5"/>
      <c r="E1189" s="5">
        <f>+IF(FINANCIACION[[#This Row],[$ CAPITAL]]&gt;=0,FINANCIACION[[#This Row],[$ CAPITAL]]+FINANCIACION[[#This Row],[$ INTERESES]],"")</f>
        <v>1444150</v>
      </c>
      <c r="F1189" s="5">
        <f>+SUMIFS(FINANCIACION[$ CAPITAL],FINANCIACION[Fecha],"&lt;="&amp;FINANCIACION[[#This Row],[Fecha]],FINANCIACION[PRESTAMO],FINANCIACION[[#This Row],[PRESTAMO]])</f>
        <v>-20996170</v>
      </c>
      <c r="G1189" s="53" t="s">
        <v>1717</v>
      </c>
      <c r="H1189" s="53"/>
      <c r="I1189" s="5">
        <f>+IF(FINANCIACION[[#This Row],[$ CAPITAL]]&gt;0,FINANCIACION[[#This Row],[$ CAPITAL]])</f>
        <v>1444150</v>
      </c>
      <c r="J1189" s="33">
        <f>+IF(FINANCIACION[[#This Row],[$ CAPITAL]]&gt;=0,FINANCIACION[[#This Row],[$ CAPITAL]]+FINANCIACION[[#This Row],[$ INTERESES]],0)</f>
        <v>1444150</v>
      </c>
    </row>
    <row r="1190" spans="1:10" ht="24" hidden="1" customHeight="1" x14ac:dyDescent="0.3">
      <c r="A1190" s="142">
        <v>44834</v>
      </c>
      <c r="B1190" s="50" t="s">
        <v>197</v>
      </c>
      <c r="C1190" s="5">
        <v>-4899547</v>
      </c>
      <c r="D1190" s="5"/>
      <c r="E1190" s="5" t="str">
        <f>+IF(FINANCIACION[[#This Row],[$ CAPITAL]]&gt;=0,FINANCIACION[[#This Row],[$ CAPITAL]]+FINANCIACION[[#This Row],[$ INTERESES]],"")</f>
        <v/>
      </c>
      <c r="F1190" s="5">
        <f>+SUMIFS(FINANCIACION[$ CAPITAL],FINANCIACION[Fecha],"&lt;="&amp;FINANCIACION[[#This Row],[Fecha]],FINANCIACION[PRESTAMO],FINANCIACION[[#This Row],[PRESTAMO]])</f>
        <v>-22442696</v>
      </c>
      <c r="G1190" s="53"/>
      <c r="H1190" s="53"/>
      <c r="I1190" s="5" t="b">
        <f>+IF(FINANCIACION[[#This Row],[$ CAPITAL]]&gt;0,FINANCIACION[[#This Row],[$ CAPITAL]])</f>
        <v>0</v>
      </c>
      <c r="J1190" s="33">
        <f>+IF(FINANCIACION[[#This Row],[$ CAPITAL]]&gt;=0,FINANCIACION[[#This Row],[$ CAPITAL]]+FINANCIACION[[#This Row],[$ INTERESES]],0)</f>
        <v>0</v>
      </c>
    </row>
    <row r="1191" spans="1:10" ht="24" hidden="1" customHeight="1" x14ac:dyDescent="0.3">
      <c r="A1191" s="142">
        <v>44838</v>
      </c>
      <c r="B1191" s="50" t="s">
        <v>611</v>
      </c>
      <c r="C1191" s="5">
        <v>44169171</v>
      </c>
      <c r="D1191" s="5"/>
      <c r="E1191" s="5">
        <f>+IF(FINANCIACION[[#This Row],[$ CAPITAL]]&gt;=0,FINANCIACION[[#This Row],[$ CAPITAL]]+FINANCIACION[[#This Row],[$ INTERESES]],"")</f>
        <v>44169171</v>
      </c>
      <c r="F1191" s="5">
        <f>+SUMIFS(FINANCIACION[$ CAPITAL],FINANCIACION[Fecha],"&lt;="&amp;FINANCIACION[[#This Row],[Fecha]],FINANCIACION[PRESTAMO],FINANCIACION[[#This Row],[PRESTAMO]])</f>
        <v>-18331607.800000004</v>
      </c>
      <c r="G1191" s="53" t="s">
        <v>1744</v>
      </c>
      <c r="H1191" s="53" t="s">
        <v>1745</v>
      </c>
      <c r="I1191" s="5">
        <f>+IF(FINANCIACION[[#This Row],[$ CAPITAL]]&gt;0,FINANCIACION[[#This Row],[$ CAPITAL]])</f>
        <v>44169171</v>
      </c>
      <c r="J1191" s="33">
        <f>+IF(FINANCIACION[[#This Row],[$ CAPITAL]]&gt;=0,FINANCIACION[[#This Row],[$ CAPITAL]]+FINANCIACION[[#This Row],[$ INTERESES]],0)</f>
        <v>44169171</v>
      </c>
    </row>
    <row r="1192" spans="1:10" ht="24" hidden="1" customHeight="1" x14ac:dyDescent="0.3">
      <c r="A1192" s="142">
        <v>44838</v>
      </c>
      <c r="B1192" s="50" t="s">
        <v>486</v>
      </c>
      <c r="C1192" s="5">
        <v>15794929</v>
      </c>
      <c r="D1192" s="5">
        <v>276512</v>
      </c>
      <c r="E1192" s="5">
        <f>+IF(FINANCIACION[[#This Row],[$ CAPITAL]]&gt;=0,FINANCIACION[[#This Row],[$ CAPITAL]]+FINANCIACION[[#This Row],[$ INTERESES]],"")</f>
        <v>16071441</v>
      </c>
      <c r="F1192" s="5">
        <f>+SUMIFS(FINANCIACION[$ CAPITAL],FINANCIACION[Fecha],"&lt;="&amp;FINANCIACION[[#This Row],[Fecha]],FINANCIACION[PRESTAMO],FINANCIACION[[#This Row],[PRESTAMO]])</f>
        <v>-0.20000000111758709</v>
      </c>
      <c r="G1192" s="53" t="s">
        <v>1744</v>
      </c>
      <c r="H1192" s="53">
        <v>3687</v>
      </c>
      <c r="I1192" s="5">
        <f>+IF(FINANCIACION[[#This Row],[$ CAPITAL]]&gt;0,FINANCIACION[[#This Row],[$ CAPITAL]])</f>
        <v>15794929</v>
      </c>
      <c r="J1192" s="33">
        <f>+IF(FINANCIACION[[#This Row],[$ CAPITAL]]&gt;=0,FINANCIACION[[#This Row],[$ CAPITAL]]+FINANCIACION[[#This Row],[$ INTERESES]],0)</f>
        <v>16071441</v>
      </c>
    </row>
    <row r="1193" spans="1:10" ht="24" hidden="1" customHeight="1" x14ac:dyDescent="0.3">
      <c r="A1193" s="142">
        <v>44838</v>
      </c>
      <c r="B1193" s="50" t="s">
        <v>486</v>
      </c>
      <c r="C1193" s="5">
        <v>172769</v>
      </c>
      <c r="D1193" s="5"/>
      <c r="E1193" s="5">
        <f>+IF(FINANCIACION[[#This Row],[$ CAPITAL]]&gt;=0,FINANCIACION[[#This Row],[$ CAPITAL]]+FINANCIACION[[#This Row],[$ INTERESES]],"")</f>
        <v>172769</v>
      </c>
      <c r="F1193" s="5">
        <f>+SUMIFS(FINANCIACION[$ CAPITAL],FINANCIACION[Fecha],"&lt;="&amp;FINANCIACION[[#This Row],[Fecha]],FINANCIACION[PRESTAMO],FINANCIACION[[#This Row],[PRESTAMO]])</f>
        <v>-0.20000000111758709</v>
      </c>
      <c r="G1193" s="53" t="s">
        <v>225</v>
      </c>
      <c r="H1193" s="53"/>
      <c r="I1193" s="5">
        <f>+IF(FINANCIACION[[#This Row],[$ CAPITAL]]&gt;0,FINANCIACION[[#This Row],[$ CAPITAL]])</f>
        <v>172769</v>
      </c>
      <c r="J1193" s="33">
        <f>+IF(FINANCIACION[[#This Row],[$ CAPITAL]]&gt;=0,FINANCIACION[[#This Row],[$ CAPITAL]]+FINANCIACION[[#This Row],[$ INTERESES]],0)</f>
        <v>172769</v>
      </c>
    </row>
    <row r="1194" spans="1:10" ht="24" hidden="1" customHeight="1" x14ac:dyDescent="0.3">
      <c r="A1194" s="142">
        <v>44839</v>
      </c>
      <c r="B1194" s="50" t="s">
        <v>1746</v>
      </c>
      <c r="C1194" s="5">
        <f>-14000*4600</f>
        <v>-64400000</v>
      </c>
      <c r="D1194" s="5"/>
      <c r="E1194" s="5" t="str">
        <f>+IF(FINANCIACION[[#This Row],[$ CAPITAL]]&gt;=0,FINANCIACION[[#This Row],[$ CAPITAL]]+FINANCIACION[[#This Row],[$ INTERESES]],"")</f>
        <v/>
      </c>
      <c r="F1194" s="5">
        <f>+SUMIFS(FINANCIACION[$ CAPITAL],FINANCIACION[Fecha],"&lt;="&amp;FINANCIACION[[#This Row],[Fecha]],FINANCIACION[PRESTAMO],FINANCIACION[[#This Row],[PRESTAMO]])</f>
        <v>-64400000</v>
      </c>
      <c r="G1194" s="53" t="s">
        <v>1747</v>
      </c>
      <c r="H1194" s="53">
        <v>-14000</v>
      </c>
      <c r="I1194" s="5" t="b">
        <f>+IF(FINANCIACION[[#This Row],[$ CAPITAL]]&gt;0,FINANCIACION[[#This Row],[$ CAPITAL]])</f>
        <v>0</v>
      </c>
      <c r="J1194" s="33">
        <f>+IF(FINANCIACION[[#This Row],[$ CAPITAL]]&gt;=0,FINANCIACION[[#This Row],[$ CAPITAL]]+FINANCIACION[[#This Row],[$ INTERESES]],0)</f>
        <v>0</v>
      </c>
    </row>
    <row r="1195" spans="1:10" ht="24" hidden="1" customHeight="1" x14ac:dyDescent="0.3">
      <c r="A1195" s="142">
        <v>44842</v>
      </c>
      <c r="B1195" s="50" t="s">
        <v>850</v>
      </c>
      <c r="C1195" s="5">
        <v>25000000</v>
      </c>
      <c r="D1195" s="5"/>
      <c r="E1195" s="5">
        <f>+IF(FINANCIACION[[#This Row],[$ CAPITAL]]&gt;=0,FINANCIACION[[#This Row],[$ CAPITAL]]+FINANCIACION[[#This Row],[$ INTERESES]],"")</f>
        <v>25000000</v>
      </c>
      <c r="F1195" s="5">
        <f>+SUMIFS(FINANCIACION[$ CAPITAL],FINANCIACION[Fecha],"&lt;="&amp;FINANCIACION[[#This Row],[Fecha]],FINANCIACION[PRESTAMO],FINANCIACION[[#This Row],[PRESTAMO]])</f>
        <v>-25000000</v>
      </c>
      <c r="G1195" s="53"/>
      <c r="H1195" s="53"/>
      <c r="I1195" s="5">
        <f>+IF(FINANCIACION[[#This Row],[$ CAPITAL]]&gt;0,FINANCIACION[[#This Row],[$ CAPITAL]])</f>
        <v>25000000</v>
      </c>
      <c r="J1195" s="33">
        <f>+IF(FINANCIACION[[#This Row],[$ CAPITAL]]&gt;=0,FINANCIACION[[#This Row],[$ CAPITAL]]+FINANCIACION[[#This Row],[$ INTERESES]],0)</f>
        <v>25000000</v>
      </c>
    </row>
    <row r="1196" spans="1:10" ht="24" hidden="1" customHeight="1" x14ac:dyDescent="0.3">
      <c r="A1196" s="142">
        <v>44846</v>
      </c>
      <c r="B1196" s="50" t="s">
        <v>830</v>
      </c>
      <c r="C1196" s="5"/>
      <c r="D1196" s="5">
        <v>130000</v>
      </c>
      <c r="E1196" s="5">
        <f>+IF(FINANCIACION[[#This Row],[$ CAPITAL]]&gt;=0,FINANCIACION[[#This Row],[$ CAPITAL]]+FINANCIACION[[#This Row],[$ INTERESES]],"")</f>
        <v>130000</v>
      </c>
      <c r="F1196" s="5">
        <f>+SUMIFS(FINANCIACION[$ CAPITAL],FINANCIACION[Fecha],"&lt;="&amp;FINANCIACION[[#This Row],[Fecha]],FINANCIACION[PRESTAMO],FINANCIACION[[#This Row],[PRESTAMO]])</f>
        <v>-13000000</v>
      </c>
      <c r="G1196" s="53"/>
      <c r="H1196" s="53"/>
      <c r="I1196" s="5" t="b">
        <f>+IF(FINANCIACION[[#This Row],[$ CAPITAL]]&gt;0,FINANCIACION[[#This Row],[$ CAPITAL]])</f>
        <v>0</v>
      </c>
      <c r="J1196" s="33">
        <f>+IF(FINANCIACION[[#This Row],[$ CAPITAL]]&gt;=0,FINANCIACION[[#This Row],[$ CAPITAL]]+FINANCIACION[[#This Row],[$ INTERESES]],0)</f>
        <v>130000</v>
      </c>
    </row>
    <row r="1197" spans="1:10" ht="24" hidden="1" customHeight="1" x14ac:dyDescent="0.3">
      <c r="A1197" s="142">
        <v>44846</v>
      </c>
      <c r="B1197" s="50" t="s">
        <v>834</v>
      </c>
      <c r="C1197" s="5"/>
      <c r="D1197" s="5">
        <v>400000</v>
      </c>
      <c r="E1197" s="5">
        <f>+IF(FINANCIACION[[#This Row],[$ CAPITAL]]&gt;=0,FINANCIACION[[#This Row],[$ CAPITAL]]+FINANCIACION[[#This Row],[$ INTERESES]],"")</f>
        <v>400000</v>
      </c>
      <c r="F1197" s="5">
        <f>+SUMIFS(FINANCIACION[$ CAPITAL],FINANCIACION[Fecha],"&lt;="&amp;FINANCIACION[[#This Row],[Fecha]],FINANCIACION[PRESTAMO],FINANCIACION[[#This Row],[PRESTAMO]])</f>
        <v>-40000000</v>
      </c>
      <c r="G1197" s="53"/>
      <c r="H1197" s="53"/>
      <c r="I1197" s="5" t="b">
        <f>+IF(FINANCIACION[[#This Row],[$ CAPITAL]]&gt;0,FINANCIACION[[#This Row],[$ CAPITAL]])</f>
        <v>0</v>
      </c>
      <c r="J1197" s="33">
        <f>+IF(FINANCIACION[[#This Row],[$ CAPITAL]]&gt;=0,FINANCIACION[[#This Row],[$ CAPITAL]]+FINANCIACION[[#This Row],[$ INTERESES]],0)</f>
        <v>400000</v>
      </c>
    </row>
    <row r="1198" spans="1:10" ht="24" hidden="1" customHeight="1" x14ac:dyDescent="0.3">
      <c r="A1198" s="142">
        <v>44846</v>
      </c>
      <c r="B1198" s="50" t="s">
        <v>832</v>
      </c>
      <c r="C1198" s="5"/>
      <c r="D1198" s="5">
        <v>120000</v>
      </c>
      <c r="E1198" s="5">
        <f>+IF(FINANCIACION[[#This Row],[$ CAPITAL]]&gt;=0,FINANCIACION[[#This Row],[$ CAPITAL]]+FINANCIACION[[#This Row],[$ INTERESES]],"")</f>
        <v>120000</v>
      </c>
      <c r="F1198" s="5">
        <f>+SUMIFS(FINANCIACION[$ CAPITAL],FINANCIACION[Fecha],"&lt;="&amp;FINANCIACION[[#This Row],[Fecha]],FINANCIACION[PRESTAMO],FINANCIACION[[#This Row],[PRESTAMO]])</f>
        <v>-12000000</v>
      </c>
      <c r="G1198" s="53"/>
      <c r="H1198" s="53"/>
      <c r="I1198" s="5" t="b">
        <f>+IF(FINANCIACION[[#This Row],[$ CAPITAL]]&gt;0,FINANCIACION[[#This Row],[$ CAPITAL]])</f>
        <v>0</v>
      </c>
      <c r="J1198" s="33">
        <f>+IF(FINANCIACION[[#This Row],[$ CAPITAL]]&gt;=0,FINANCIACION[[#This Row],[$ CAPITAL]]+FINANCIACION[[#This Row],[$ INTERESES]],0)</f>
        <v>120000</v>
      </c>
    </row>
    <row r="1199" spans="1:10" ht="24" hidden="1" customHeight="1" x14ac:dyDescent="0.3">
      <c r="A1199" s="142">
        <v>44846</v>
      </c>
      <c r="B1199" s="50" t="s">
        <v>850</v>
      </c>
      <c r="C1199" s="5"/>
      <c r="D1199" s="5">
        <v>500000</v>
      </c>
      <c r="E1199" s="5">
        <f>+IF(FINANCIACION[[#This Row],[$ CAPITAL]]&gt;=0,FINANCIACION[[#This Row],[$ CAPITAL]]+FINANCIACION[[#This Row],[$ INTERESES]],"")</f>
        <v>500000</v>
      </c>
      <c r="F1199" s="5">
        <f>+SUMIFS(FINANCIACION[$ CAPITAL],FINANCIACION[Fecha],"&lt;="&amp;FINANCIACION[[#This Row],[Fecha]],FINANCIACION[PRESTAMO],FINANCIACION[[#This Row],[PRESTAMO]])</f>
        <v>-25000000</v>
      </c>
      <c r="G1199" s="53"/>
      <c r="H1199" s="53"/>
      <c r="I1199" s="5" t="b">
        <f>+IF(FINANCIACION[[#This Row],[$ CAPITAL]]&gt;0,FINANCIACION[[#This Row],[$ CAPITAL]])</f>
        <v>0</v>
      </c>
      <c r="J1199" s="33">
        <f>+IF(FINANCIACION[[#This Row],[$ CAPITAL]]&gt;=0,FINANCIACION[[#This Row],[$ CAPITAL]]+FINANCIACION[[#This Row],[$ INTERESES]],0)</f>
        <v>500000</v>
      </c>
    </row>
    <row r="1200" spans="1:10" ht="24" hidden="1" customHeight="1" x14ac:dyDescent="0.3">
      <c r="A1200" s="142">
        <v>44846</v>
      </c>
      <c r="B1200" s="50" t="s">
        <v>819</v>
      </c>
      <c r="C1200" s="5">
        <v>2170702</v>
      </c>
      <c r="D1200" s="5">
        <v>506698</v>
      </c>
      <c r="E1200" s="5">
        <f>+IF(FINANCIACION[[#This Row],[$ CAPITAL]]&gt;=0,FINANCIACION[[#This Row],[$ CAPITAL]]+FINANCIACION[[#This Row],[$ INTERESES]],"")</f>
        <v>2677400</v>
      </c>
      <c r="F1200" s="5">
        <f>+SUMIFS(FINANCIACION[$ CAPITAL],FINANCIACION[Fecha],"&lt;="&amp;FINANCIACION[[#This Row],[Fecha]],FINANCIACION[PRESTAMO],FINANCIACION[[#This Row],[PRESTAMO]])</f>
        <v>-48499065.484479994</v>
      </c>
      <c r="G1200" s="53"/>
      <c r="H1200" s="53"/>
      <c r="I1200" s="5">
        <f>+IF(FINANCIACION[[#This Row],[$ CAPITAL]]&gt;0,FINANCIACION[[#This Row],[$ CAPITAL]])</f>
        <v>2170702</v>
      </c>
      <c r="J1200" s="33">
        <f>+IF(FINANCIACION[[#This Row],[$ CAPITAL]]&gt;=0,FINANCIACION[[#This Row],[$ CAPITAL]]+FINANCIACION[[#This Row],[$ INTERESES]],0)</f>
        <v>2677400</v>
      </c>
    </row>
    <row r="1201" spans="1:10" ht="24" hidden="1" customHeight="1" x14ac:dyDescent="0.3">
      <c r="A1201" s="142">
        <v>44855</v>
      </c>
      <c r="B1201" s="50" t="s">
        <v>820</v>
      </c>
      <c r="C1201" s="5">
        <v>1373425</v>
      </c>
      <c r="D1201" s="5">
        <v>626575</v>
      </c>
      <c r="E1201" s="5">
        <f>+IF(FINANCIACION[[#This Row],[$ CAPITAL]]&gt;=0,FINANCIACION[[#This Row],[$ CAPITAL]]+FINANCIACION[[#This Row],[$ INTERESES]],"")</f>
        <v>2000000</v>
      </c>
      <c r="F1201" s="5">
        <f>+SUMIFS(FINANCIACION[$ CAPITAL],FINANCIACION[Fecha],"&lt;="&amp;FINANCIACION[[#This Row],[Fecha]],FINANCIACION[PRESTAMO],FINANCIACION[[#This Row],[PRESTAMO]])</f>
        <v>-61284074.132834516</v>
      </c>
      <c r="G1201" s="53"/>
      <c r="H1201" s="53"/>
      <c r="I1201" s="5">
        <f>+IF(FINANCIACION[[#This Row],[$ CAPITAL]]&gt;0,FINANCIACION[[#This Row],[$ CAPITAL]])</f>
        <v>1373425</v>
      </c>
      <c r="J1201" s="33">
        <f>+IF(FINANCIACION[[#This Row],[$ CAPITAL]]&gt;=0,FINANCIACION[[#This Row],[$ CAPITAL]]+FINANCIACION[[#This Row],[$ INTERESES]],0)</f>
        <v>2000000</v>
      </c>
    </row>
    <row r="1202" spans="1:10" ht="24" hidden="1" customHeight="1" x14ac:dyDescent="0.3">
      <c r="A1202" s="142">
        <v>44846</v>
      </c>
      <c r="B1202" s="50" t="s">
        <v>823</v>
      </c>
      <c r="C1202" s="5">
        <v>836346</v>
      </c>
      <c r="D1202" s="5">
        <v>463654</v>
      </c>
      <c r="E1202" s="5">
        <f>+IF(FINANCIACION[[#This Row],[$ CAPITAL]]&gt;=0,FINANCIACION[[#This Row],[$ CAPITAL]]+FINANCIACION[[#This Row],[$ INTERESES]],"")</f>
        <v>1300000</v>
      </c>
      <c r="F1202" s="5">
        <f>+SUMIFS(FINANCIACION[$ CAPITAL],FINANCIACION[Fecha],"&lt;="&amp;FINANCIACION[[#This Row],[Fecha]],FINANCIACION[PRESTAMO],FINANCIACION[[#This Row],[PRESTAMO]])</f>
        <v>-45529022.199762128</v>
      </c>
      <c r="G1202" s="53"/>
      <c r="H1202" s="53"/>
      <c r="I1202" s="5">
        <f>+IF(FINANCIACION[[#This Row],[$ CAPITAL]]&gt;0,FINANCIACION[[#This Row],[$ CAPITAL]])</f>
        <v>836346</v>
      </c>
      <c r="J1202" s="33">
        <f>+IF(FINANCIACION[[#This Row],[$ CAPITAL]]&gt;=0,FINANCIACION[[#This Row],[$ CAPITAL]]+FINANCIACION[[#This Row],[$ INTERESES]],0)</f>
        <v>1300000</v>
      </c>
    </row>
    <row r="1203" spans="1:10" ht="24" hidden="1" customHeight="1" x14ac:dyDescent="0.3">
      <c r="A1203" s="142">
        <v>44852</v>
      </c>
      <c r="B1203" s="50" t="s">
        <v>191</v>
      </c>
      <c r="C1203" s="5">
        <v>417000</v>
      </c>
      <c r="D1203" s="5">
        <v>226863.81</v>
      </c>
      <c r="E1203" s="5">
        <f>+IF(FINANCIACION[[#This Row],[$ CAPITAL]]&gt;=0,FINANCIACION[[#This Row],[$ CAPITAL]]+FINANCIACION[[#This Row],[$ INTERESES]],"")</f>
        <v>643863.81000000006</v>
      </c>
      <c r="F1203" s="5">
        <f>+SUMIFS(FINANCIACION[$ CAPITAL],FINANCIACION[Fecha],"&lt;="&amp;FINANCIACION[[#This Row],[Fecha]],FINANCIACION[PRESTAMO],FINANCIACION[[#This Row],[PRESTAMO]])</f>
        <v>-13332000</v>
      </c>
      <c r="G1203" s="53"/>
      <c r="H1203" s="53"/>
      <c r="I1203" s="5">
        <f>+IF(FINANCIACION[[#This Row],[$ CAPITAL]]&gt;0,FINANCIACION[[#This Row],[$ CAPITAL]])</f>
        <v>417000</v>
      </c>
      <c r="J1203" s="33">
        <f>+IF(FINANCIACION[[#This Row],[$ CAPITAL]]&gt;=0,FINANCIACION[[#This Row],[$ CAPITAL]]+FINANCIACION[[#This Row],[$ INTERESES]],0)</f>
        <v>643863.81000000006</v>
      </c>
    </row>
    <row r="1204" spans="1:10" ht="24" hidden="1" customHeight="1" x14ac:dyDescent="0.3">
      <c r="A1204" s="142">
        <v>44860</v>
      </c>
      <c r="B1204" s="50" t="s">
        <v>833</v>
      </c>
      <c r="C1204" s="5">
        <v>1077529.3999999999</v>
      </c>
      <c r="D1204" s="5">
        <v>115150.29</v>
      </c>
      <c r="E1204" s="5">
        <f>+IF(FINANCIACION[[#This Row],[$ CAPITAL]]&gt;=0,FINANCIACION[[#This Row],[$ CAPITAL]]+FINANCIACION[[#This Row],[$ INTERESES]],"")</f>
        <v>1192679.69</v>
      </c>
      <c r="F1204" s="5">
        <f>+SUMIFS(FINANCIACION[$ CAPITAL],FINANCIACION[Fecha],"&lt;="&amp;FINANCIACION[[#This Row],[Fecha]],FINANCIACION[PRESTAMO],FINANCIACION[[#This Row],[PRESTAMO]])</f>
        <v>-7492215.7899999991</v>
      </c>
      <c r="G1204" s="53"/>
      <c r="H1204" s="53"/>
      <c r="I1204" s="5">
        <f>+IF(FINANCIACION[[#This Row],[$ CAPITAL]]&gt;0,FINANCIACION[[#This Row],[$ CAPITAL]])</f>
        <v>1077529.3999999999</v>
      </c>
      <c r="J1204" s="33">
        <f>+IF(FINANCIACION[[#This Row],[$ CAPITAL]]&gt;=0,FINANCIACION[[#This Row],[$ CAPITAL]]+FINANCIACION[[#This Row],[$ INTERESES]],0)</f>
        <v>1192679.69</v>
      </c>
    </row>
    <row r="1205" spans="1:10" ht="24" hidden="1" customHeight="1" x14ac:dyDescent="0.3">
      <c r="A1205" s="142">
        <v>44853</v>
      </c>
      <c r="B1205" s="50" t="s">
        <v>878</v>
      </c>
      <c r="C1205" s="5">
        <v>1666666.66</v>
      </c>
      <c r="D1205" s="5">
        <v>326258.46999999997</v>
      </c>
      <c r="E1205" s="5">
        <f>+IF(FINANCIACION[[#This Row],[$ CAPITAL]]&gt;=0,FINANCIACION[[#This Row],[$ CAPITAL]]+FINANCIACION[[#This Row],[$ INTERESES]],"")</f>
        <v>1992925.13</v>
      </c>
      <c r="F1205" s="5">
        <f>+SUMIFS(FINANCIACION[$ CAPITAL],FINANCIACION[Fecha],"&lt;="&amp;FINANCIACION[[#This Row],[Fecha]],FINANCIACION[PRESTAMO],FINANCIACION[[#This Row],[PRESTAMO]])</f>
        <v>-17789205.279999997</v>
      </c>
      <c r="G1205" s="53"/>
      <c r="H1205" s="53"/>
      <c r="I1205" s="5">
        <f>+IF(FINANCIACION[[#This Row],[$ CAPITAL]]&gt;0,FINANCIACION[[#This Row],[$ CAPITAL]])</f>
        <v>1666666.66</v>
      </c>
      <c r="J1205" s="33">
        <f>+IF(FINANCIACION[[#This Row],[$ CAPITAL]]&gt;=0,FINANCIACION[[#This Row],[$ CAPITAL]]+FINANCIACION[[#This Row],[$ INTERESES]],0)</f>
        <v>1992925.13</v>
      </c>
    </row>
    <row r="1206" spans="1:10" ht="24" hidden="1" customHeight="1" x14ac:dyDescent="0.3">
      <c r="A1206" s="273">
        <v>44865</v>
      </c>
      <c r="B1206" s="274" t="s">
        <v>827</v>
      </c>
      <c r="C1206" s="275">
        <v>0</v>
      </c>
      <c r="D1206" s="275">
        <v>0</v>
      </c>
      <c r="E1206" s="275">
        <f>+IF(FINANCIACION[[#This Row],[$ CAPITAL]]&gt;=0,FINANCIACION[[#This Row],[$ CAPITAL]]+FINANCIACION[[#This Row],[$ INTERESES]],"")</f>
        <v>0</v>
      </c>
      <c r="F1206" s="275">
        <f>+SUMIFS(FINANCIACION[$ CAPITAL],FINANCIACION[Fecha],"&lt;="&amp;FINANCIACION[[#This Row],[Fecha]],FINANCIACION[PRESTAMO],FINANCIACION[[#This Row],[PRESTAMO]])</f>
        <v>-8458333.6499999985</v>
      </c>
      <c r="G1206" s="53"/>
      <c r="H1206" s="53"/>
      <c r="I1206" s="5" t="b">
        <f>+IF(FINANCIACION[[#This Row],[$ CAPITAL]]&gt;0,FINANCIACION[[#This Row],[$ CAPITAL]])</f>
        <v>0</v>
      </c>
      <c r="J1206" s="33">
        <f>+IF(FINANCIACION[[#This Row],[$ CAPITAL]]&gt;=0,FINANCIACION[[#This Row],[$ CAPITAL]]+FINANCIACION[[#This Row],[$ INTERESES]],0)</f>
        <v>0</v>
      </c>
    </row>
    <row r="1207" spans="1:10" ht="24" hidden="1" customHeight="1" x14ac:dyDescent="0.3">
      <c r="A1207" s="142">
        <v>44853</v>
      </c>
      <c r="B1207" s="50" t="s">
        <v>1131</v>
      </c>
      <c r="C1207" s="5">
        <v>453998</v>
      </c>
      <c r="D1207" s="5">
        <v>31774</v>
      </c>
      <c r="E1207" s="5">
        <f>+IF(FINANCIACION[[#This Row],[$ CAPITAL]]&gt;=0,FINANCIACION[[#This Row],[$ CAPITAL]]+FINANCIACION[[#This Row],[$ INTERESES]],"")</f>
        <v>485772</v>
      </c>
      <c r="F1207" s="5">
        <f>+SUMIFS(FINANCIACION[$ CAPITAL],FINANCIACION[Fecha],"&lt;="&amp;FINANCIACION[[#This Row],[Fecha]],FINANCIACION[PRESTAMO],FINANCIACION[[#This Row],[PRESTAMO]])</f>
        <v>-2723988</v>
      </c>
      <c r="G1207" s="53"/>
      <c r="H1207" s="53"/>
      <c r="I1207" s="5">
        <f>+IF(FINANCIACION[[#This Row],[$ CAPITAL]]&gt;0,FINANCIACION[[#This Row],[$ CAPITAL]])</f>
        <v>453998</v>
      </c>
      <c r="J1207" s="33">
        <f>+IF(FINANCIACION[[#This Row],[$ CAPITAL]]&gt;=0,FINANCIACION[[#This Row],[$ CAPITAL]]+FINANCIACION[[#This Row],[$ INTERESES]],0)</f>
        <v>485772</v>
      </c>
    </row>
    <row r="1208" spans="1:10" ht="24" hidden="1" customHeight="1" x14ac:dyDescent="0.3">
      <c r="A1208" s="142">
        <v>44859</v>
      </c>
      <c r="B1208" s="50" t="s">
        <v>835</v>
      </c>
      <c r="C1208" s="5">
        <v>1481481.48</v>
      </c>
      <c r="D1208" s="5">
        <v>926400.64</v>
      </c>
      <c r="E1208" s="5">
        <f>+IF(FINANCIACION[[#This Row],[$ CAPITAL]]&gt;=0,FINANCIACION[[#This Row],[$ CAPITAL]]+FINANCIACION[[#This Row],[$ INTERESES]],"")</f>
        <v>2407882.12</v>
      </c>
      <c r="F1208" s="5">
        <f>+SUMIFS(FINANCIACION[$ CAPITAL],FINANCIACION[Fecha],"&lt;="&amp;FINANCIACION[[#This Row],[Fecha]],FINANCIACION[PRESTAMO],FINANCIACION[[#This Row],[PRESTAMO]])</f>
        <v>-72583152.449999988</v>
      </c>
      <c r="G1208" s="53"/>
      <c r="H1208" s="53"/>
      <c r="I1208" s="5">
        <f>+IF(FINANCIACION[[#This Row],[$ CAPITAL]]&gt;0,FINANCIACION[[#This Row],[$ CAPITAL]])</f>
        <v>1481481.48</v>
      </c>
      <c r="J1208" s="33">
        <f>+IF(FINANCIACION[[#This Row],[$ CAPITAL]]&gt;=0,FINANCIACION[[#This Row],[$ CAPITAL]]+FINANCIACION[[#This Row],[$ INTERESES]],0)</f>
        <v>2407882.12</v>
      </c>
    </row>
    <row r="1209" spans="1:10" ht="24" hidden="1" customHeight="1" x14ac:dyDescent="0.3">
      <c r="A1209" s="273">
        <v>44865</v>
      </c>
      <c r="B1209" s="274" t="s">
        <v>829</v>
      </c>
      <c r="C1209" s="275">
        <v>0</v>
      </c>
      <c r="D1209" s="275">
        <v>0</v>
      </c>
      <c r="E1209" s="275">
        <f>+IF(FINANCIACION[[#This Row],[$ CAPITAL]]&gt;=0,FINANCIACION[[#This Row],[$ CAPITAL]]+FINANCIACION[[#This Row],[$ INTERESES]],"")</f>
        <v>0</v>
      </c>
      <c r="F1209" s="275">
        <f>+SUMIFS(FINANCIACION[$ CAPITAL],FINANCIACION[Fecha],"&lt;="&amp;FINANCIACION[[#This Row],[Fecha]],FINANCIACION[PRESTAMO],FINANCIACION[[#This Row],[PRESTAMO]])</f>
        <v>-9774211.0699999984</v>
      </c>
      <c r="G1209" s="53"/>
      <c r="H1209" s="53"/>
      <c r="I1209" s="5" t="b">
        <f>+IF(FINANCIACION[[#This Row],[$ CAPITAL]]&gt;0,FINANCIACION[[#This Row],[$ CAPITAL]])</f>
        <v>0</v>
      </c>
      <c r="J1209" s="33">
        <f>+IF(FINANCIACION[[#This Row],[$ CAPITAL]]&gt;=0,FINANCIACION[[#This Row],[$ CAPITAL]]+FINANCIACION[[#This Row],[$ INTERESES]],0)</f>
        <v>0</v>
      </c>
    </row>
    <row r="1210" spans="1:10" ht="24" hidden="1" customHeight="1" x14ac:dyDescent="0.3">
      <c r="A1210" s="142">
        <v>44858</v>
      </c>
      <c r="B1210" s="50" t="s">
        <v>825</v>
      </c>
      <c r="C1210" s="5">
        <v>2176175.9</v>
      </c>
      <c r="D1210" s="5">
        <v>259716.36</v>
      </c>
      <c r="E1210" s="5">
        <f>+IF(FINANCIACION[[#This Row],[$ CAPITAL]]&gt;=0,FINANCIACION[[#This Row],[$ CAPITAL]]+FINANCIACION[[#This Row],[$ INTERESES]],"")</f>
        <v>2435892.2599999998</v>
      </c>
      <c r="F1210" s="5">
        <f>+SUMIFS(FINANCIACION[$ CAPITAL],FINANCIACION[Fecha],"&lt;="&amp;FINANCIACION[[#This Row],[Fecha]],FINANCIACION[PRESTAMO],FINANCIACION[[#This Row],[PRESTAMO]])</f>
        <v>-17356234.540000007</v>
      </c>
      <c r="G1210" s="53"/>
      <c r="H1210" s="53"/>
      <c r="I1210" s="5">
        <f>+IF(FINANCIACION[[#This Row],[$ CAPITAL]]&gt;0,FINANCIACION[[#This Row],[$ CAPITAL]])</f>
        <v>2176175.9</v>
      </c>
      <c r="J1210" s="33">
        <f>+IF(FINANCIACION[[#This Row],[$ CAPITAL]]&gt;=0,FINANCIACION[[#This Row],[$ CAPITAL]]+FINANCIACION[[#This Row],[$ INTERESES]],0)</f>
        <v>2435892.2599999998</v>
      </c>
    </row>
    <row r="1211" spans="1:10" ht="24" hidden="1" customHeight="1" x14ac:dyDescent="0.3">
      <c r="A1211" s="142">
        <v>44858</v>
      </c>
      <c r="B1211" s="50" t="s">
        <v>826</v>
      </c>
      <c r="C1211" s="5">
        <v>3159000</v>
      </c>
      <c r="D1211" s="5">
        <v>396190.99</v>
      </c>
      <c r="E1211" s="5">
        <f>+IF(FINANCIACION[[#This Row],[$ CAPITAL]]&gt;=0,FINANCIACION[[#This Row],[$ CAPITAL]]+FINANCIACION[[#This Row],[$ INTERESES]],"")</f>
        <v>3555190.99</v>
      </c>
      <c r="F1211" s="5">
        <f>+SUMIFS(FINANCIACION[$ CAPITAL],FINANCIACION[Fecha],"&lt;="&amp;FINANCIACION[[#This Row],[Fecha]],FINANCIACION[PRESTAMO],FINANCIACION[[#This Row],[PRESTAMO]])</f>
        <v>-25111786.059999995</v>
      </c>
      <c r="G1211" s="53"/>
      <c r="H1211" s="53"/>
      <c r="I1211" s="5">
        <f>+IF(FINANCIACION[[#This Row],[$ CAPITAL]]&gt;0,FINANCIACION[[#This Row],[$ CAPITAL]])</f>
        <v>3159000</v>
      </c>
      <c r="J1211" s="33">
        <f>+IF(FINANCIACION[[#This Row],[$ CAPITAL]]&gt;=0,FINANCIACION[[#This Row],[$ CAPITAL]]+FINANCIACION[[#This Row],[$ INTERESES]],0)</f>
        <v>3555190.99</v>
      </c>
    </row>
    <row r="1212" spans="1:10" ht="24" hidden="1" customHeight="1" x14ac:dyDescent="0.3">
      <c r="A1212" s="142">
        <v>44853</v>
      </c>
      <c r="B1212" s="50" t="s">
        <v>821</v>
      </c>
      <c r="C1212" s="5">
        <v>1301911</v>
      </c>
      <c r="D1212" s="5">
        <v>4884117</v>
      </c>
      <c r="E1212" s="5">
        <f>+IF(FINANCIACION[[#This Row],[$ CAPITAL]]&gt;=0,FINANCIACION[[#This Row],[$ CAPITAL]]+FINANCIACION[[#This Row],[$ INTERESES]],"")</f>
        <v>6186028</v>
      </c>
      <c r="F1212" s="5">
        <f>+SUMIFS(FINANCIACION[$ CAPITAL],FINANCIACION[Fecha],"&lt;="&amp;FINANCIACION[[#This Row],[Fecha]],FINANCIACION[PRESTAMO],FINANCIACION[[#This Row],[PRESTAMO]])</f>
        <v>-359871288</v>
      </c>
      <c r="G1212" s="53"/>
      <c r="H1212" s="53"/>
      <c r="I1212" s="5">
        <f>+IF(FINANCIACION[[#This Row],[$ CAPITAL]]&gt;0,FINANCIACION[[#This Row],[$ CAPITAL]])</f>
        <v>1301911</v>
      </c>
      <c r="J1212" s="33">
        <f>+IF(FINANCIACION[[#This Row],[$ CAPITAL]]&gt;=0,FINANCIACION[[#This Row],[$ CAPITAL]]+FINANCIACION[[#This Row],[$ INTERESES]],0)</f>
        <v>6186028</v>
      </c>
    </row>
    <row r="1213" spans="1:10" ht="24" hidden="1" customHeight="1" x14ac:dyDescent="0.3">
      <c r="A1213" s="273">
        <v>44865</v>
      </c>
      <c r="B1213" s="274" t="s">
        <v>822</v>
      </c>
      <c r="C1213" s="275">
        <v>0</v>
      </c>
      <c r="D1213" s="275">
        <v>0</v>
      </c>
      <c r="E1213" s="275">
        <f>+IF(FINANCIACION[[#This Row],[$ CAPITAL]]&gt;=0,FINANCIACION[[#This Row],[$ CAPITAL]]+FINANCIACION[[#This Row],[$ INTERESES]],"")</f>
        <v>0</v>
      </c>
      <c r="F1213" s="275">
        <f>+SUMIFS(FINANCIACION[$ CAPITAL],FINANCIACION[Fecha],"&lt;="&amp;FINANCIACION[[#This Row],[Fecha]],FINANCIACION[PRESTAMO],FINANCIACION[[#This Row],[PRESTAMO]])</f>
        <v>-9035346.8900000006</v>
      </c>
      <c r="G1213" s="53"/>
      <c r="H1213" s="53"/>
      <c r="I1213" s="5" t="b">
        <f>+IF(FINANCIACION[[#This Row],[$ CAPITAL]]&gt;0,FINANCIACION[[#This Row],[$ CAPITAL]])</f>
        <v>0</v>
      </c>
      <c r="J1213" s="33">
        <f>+IF(FINANCIACION[[#This Row],[$ CAPITAL]]&gt;=0,FINANCIACION[[#This Row],[$ CAPITAL]]+FINANCIACION[[#This Row],[$ INTERESES]],0)</f>
        <v>0</v>
      </c>
    </row>
    <row r="1214" spans="1:10" ht="24" hidden="1" customHeight="1" x14ac:dyDescent="0.3">
      <c r="A1214" s="142">
        <v>44838</v>
      </c>
      <c r="B1214" s="50" t="s">
        <v>189</v>
      </c>
      <c r="C1214" s="5"/>
      <c r="D1214" s="5">
        <v>141915</v>
      </c>
      <c r="E1214" s="5">
        <f>+IF(FINANCIACION[[#This Row],[$ CAPITAL]]&gt;=0,FINANCIACION[[#This Row],[$ CAPITAL]]+FINANCIACION[[#This Row],[$ INTERESES]],"")</f>
        <v>141915</v>
      </c>
      <c r="F1214" s="5">
        <f>+SUMIFS(FINANCIACION[$ CAPITAL],FINANCIACION[Fecha],"&lt;="&amp;FINANCIACION[[#This Row],[Fecha]],FINANCIACION[PRESTAMO],FINANCIACION[[#This Row],[PRESTAMO]])</f>
        <v>0</v>
      </c>
      <c r="G1214" s="53"/>
      <c r="H1214" s="53"/>
      <c r="I1214" s="5" t="b">
        <f>+IF(FINANCIACION[[#This Row],[$ CAPITAL]]&gt;0,FINANCIACION[[#This Row],[$ CAPITAL]])</f>
        <v>0</v>
      </c>
      <c r="J1214" s="33">
        <f>+IF(FINANCIACION[[#This Row],[$ CAPITAL]]&gt;=0,FINANCIACION[[#This Row],[$ CAPITAL]]+FINANCIACION[[#This Row],[$ INTERESES]],0)</f>
        <v>141915</v>
      </c>
    </row>
    <row r="1215" spans="1:10" ht="24" hidden="1" customHeight="1" x14ac:dyDescent="0.3">
      <c r="A1215" s="142">
        <v>44844</v>
      </c>
      <c r="B1215" s="50" t="s">
        <v>189</v>
      </c>
      <c r="C1215" s="5"/>
      <c r="D1215" s="5">
        <v>540016</v>
      </c>
      <c r="E1215" s="5">
        <f>+IF(FINANCIACION[[#This Row],[$ CAPITAL]]&gt;=0,FINANCIACION[[#This Row],[$ CAPITAL]]+FINANCIACION[[#This Row],[$ INTERESES]],"")</f>
        <v>540016</v>
      </c>
      <c r="F1215" s="5">
        <f>+SUMIFS(FINANCIACION[$ CAPITAL],FINANCIACION[Fecha],"&lt;="&amp;FINANCIACION[[#This Row],[Fecha]],FINANCIACION[PRESTAMO],FINANCIACION[[#This Row],[PRESTAMO]])</f>
        <v>0</v>
      </c>
      <c r="G1215" s="53"/>
      <c r="H1215" s="53"/>
      <c r="I1215" s="5" t="b">
        <f>+IF(FINANCIACION[[#This Row],[$ CAPITAL]]&gt;0,FINANCIACION[[#This Row],[$ CAPITAL]])</f>
        <v>0</v>
      </c>
      <c r="J1215" s="33">
        <f>+IF(FINANCIACION[[#This Row],[$ CAPITAL]]&gt;=0,FINANCIACION[[#This Row],[$ CAPITAL]]+FINANCIACION[[#This Row],[$ INTERESES]],0)</f>
        <v>540016</v>
      </c>
    </row>
    <row r="1216" spans="1:10" ht="24" hidden="1" customHeight="1" x14ac:dyDescent="0.3">
      <c r="A1216" s="142">
        <v>44852</v>
      </c>
      <c r="B1216" s="50" t="s">
        <v>189</v>
      </c>
      <c r="C1216" s="5"/>
      <c r="D1216" s="5">
        <v>61577</v>
      </c>
      <c r="E1216" s="5">
        <f>+IF(FINANCIACION[[#This Row],[$ CAPITAL]]&gt;=0,FINANCIACION[[#This Row],[$ CAPITAL]]+FINANCIACION[[#This Row],[$ INTERESES]],"")</f>
        <v>61577</v>
      </c>
      <c r="F1216" s="5">
        <f>+SUMIFS(FINANCIACION[$ CAPITAL],FINANCIACION[Fecha],"&lt;="&amp;FINANCIACION[[#This Row],[Fecha]],FINANCIACION[PRESTAMO],FINANCIACION[[#This Row],[PRESTAMO]])</f>
        <v>0</v>
      </c>
      <c r="G1216" s="53"/>
      <c r="H1216" s="53"/>
      <c r="I1216" s="5" t="b">
        <f>+IF(FINANCIACION[[#This Row],[$ CAPITAL]]&gt;0,FINANCIACION[[#This Row],[$ CAPITAL]])</f>
        <v>0</v>
      </c>
      <c r="J1216" s="33">
        <f>+IF(FINANCIACION[[#This Row],[$ CAPITAL]]&gt;=0,FINANCIACION[[#This Row],[$ CAPITAL]]+FINANCIACION[[#This Row],[$ INTERESES]],0)</f>
        <v>61577</v>
      </c>
    </row>
    <row r="1217" spans="1:10" ht="24" hidden="1" customHeight="1" x14ac:dyDescent="0.3">
      <c r="A1217" s="142">
        <v>44854</v>
      </c>
      <c r="B1217" s="50" t="s">
        <v>189</v>
      </c>
      <c r="C1217" s="5"/>
      <c r="D1217" s="5">
        <v>388240</v>
      </c>
      <c r="E1217" s="5">
        <f>+IF(FINANCIACION[[#This Row],[$ CAPITAL]]&gt;=0,FINANCIACION[[#This Row],[$ CAPITAL]]+FINANCIACION[[#This Row],[$ INTERESES]],"")</f>
        <v>388240</v>
      </c>
      <c r="F1217" s="5">
        <f>+SUMIFS(FINANCIACION[$ CAPITAL],FINANCIACION[Fecha],"&lt;="&amp;FINANCIACION[[#This Row],[Fecha]],FINANCIACION[PRESTAMO],FINANCIACION[[#This Row],[PRESTAMO]])</f>
        <v>0</v>
      </c>
      <c r="G1217" s="53"/>
      <c r="H1217" s="53"/>
      <c r="I1217" s="5" t="b">
        <f>+IF(FINANCIACION[[#This Row],[$ CAPITAL]]&gt;0,FINANCIACION[[#This Row],[$ CAPITAL]])</f>
        <v>0</v>
      </c>
      <c r="J1217" s="33">
        <f>+IF(FINANCIACION[[#This Row],[$ CAPITAL]]&gt;=0,FINANCIACION[[#This Row],[$ CAPITAL]]+FINANCIACION[[#This Row],[$ INTERESES]],0)</f>
        <v>388240</v>
      </c>
    </row>
    <row r="1218" spans="1:10" ht="24" hidden="1" customHeight="1" x14ac:dyDescent="0.3">
      <c r="A1218" s="142">
        <v>44837</v>
      </c>
      <c r="B1218" s="50" t="s">
        <v>839</v>
      </c>
      <c r="C1218" s="5">
        <v>1744958</v>
      </c>
      <c r="D1218" s="5">
        <v>123843</v>
      </c>
      <c r="E1218" s="5">
        <f>+IF(FINANCIACION[[#This Row],[$ CAPITAL]]&gt;=0,FINANCIACION[[#This Row],[$ CAPITAL]]+FINANCIACION[[#This Row],[$ INTERESES]],"")</f>
        <v>1868801</v>
      </c>
      <c r="F1218" s="5">
        <f>+SUMIFS(FINANCIACION[$ CAPITAL],FINANCIACION[Fecha],"&lt;="&amp;FINANCIACION[[#This Row],[Fecha]],FINANCIACION[PRESTAMO],FINANCIACION[[#This Row],[PRESTAMO]])</f>
        <v>-6978448</v>
      </c>
      <c r="G1218" s="53"/>
      <c r="H1218" s="53"/>
      <c r="I1218" s="5">
        <f>+IF(FINANCIACION[[#This Row],[$ CAPITAL]]&gt;0,FINANCIACION[[#This Row],[$ CAPITAL]])</f>
        <v>1744958</v>
      </c>
      <c r="J1218" s="33">
        <f>+IF(FINANCIACION[[#This Row],[$ CAPITAL]]&gt;=0,FINANCIACION[[#This Row],[$ CAPITAL]]+FINANCIACION[[#This Row],[$ INTERESES]],0)</f>
        <v>1868801</v>
      </c>
    </row>
    <row r="1219" spans="1:10" ht="24" hidden="1" customHeight="1" x14ac:dyDescent="0.3">
      <c r="A1219" s="142">
        <v>44865</v>
      </c>
      <c r="B1219" s="50" t="s">
        <v>187</v>
      </c>
      <c r="C1219" s="5">
        <v>1916280</v>
      </c>
      <c r="D1219" s="5">
        <v>447880</v>
      </c>
      <c r="E1219" s="5">
        <f>+IF(FINANCIACION[[#This Row],[$ CAPITAL]]&gt;=0,FINANCIACION[[#This Row],[$ CAPITAL]]+FINANCIACION[[#This Row],[$ INTERESES]],"")</f>
        <v>2364160</v>
      </c>
      <c r="F1219" s="5">
        <f>+SUMIFS(FINANCIACION[$ CAPITAL],FINANCIACION[Fecha],"&lt;="&amp;FINANCIACION[[#This Row],[Fecha]],FINANCIACION[PRESTAMO],FINANCIACION[[#This Row],[PRESTAMO]])</f>
        <v>-24514920</v>
      </c>
      <c r="G1219" s="53"/>
      <c r="H1219" s="53"/>
      <c r="I1219" s="5">
        <f>+IF(FINANCIACION[[#This Row],[$ CAPITAL]]&gt;0,FINANCIACION[[#This Row],[$ CAPITAL]])</f>
        <v>1916280</v>
      </c>
      <c r="J1219" s="33">
        <f>+IF(FINANCIACION[[#This Row],[$ CAPITAL]]&gt;=0,FINANCIACION[[#This Row],[$ CAPITAL]]+FINANCIACION[[#This Row],[$ INTERESES]],0)</f>
        <v>2364160</v>
      </c>
    </row>
    <row r="1220" spans="1:10" ht="24" hidden="1" customHeight="1" x14ac:dyDescent="0.3">
      <c r="A1220" s="142">
        <v>44865</v>
      </c>
      <c r="B1220" s="50" t="s">
        <v>188</v>
      </c>
      <c r="C1220" s="5">
        <v>76791</v>
      </c>
      <c r="D1220" s="5"/>
      <c r="E1220" s="5">
        <f>+IF(FINANCIACION[[#This Row],[$ CAPITAL]]&gt;=0,FINANCIACION[[#This Row],[$ CAPITAL]]+FINANCIACION[[#This Row],[$ INTERESES]],"")</f>
        <v>76791</v>
      </c>
      <c r="F1220" s="5">
        <f>+SUMIFS(FINANCIACION[$ CAPITAL],FINANCIACION[Fecha],"&lt;="&amp;FINANCIACION[[#This Row],[Fecha]],FINANCIACION[PRESTAMO],FINANCIACION[[#This Row],[PRESTAMO]])</f>
        <v>-1305447</v>
      </c>
      <c r="G1220" s="53"/>
      <c r="H1220" s="53"/>
      <c r="I1220" s="5">
        <f>+IF(FINANCIACION[[#This Row],[$ CAPITAL]]&gt;0,FINANCIACION[[#This Row],[$ CAPITAL]])</f>
        <v>76791</v>
      </c>
      <c r="J1220" s="33">
        <f>+IF(FINANCIACION[[#This Row],[$ CAPITAL]]&gt;=0,FINANCIACION[[#This Row],[$ CAPITAL]]+FINANCIACION[[#This Row],[$ INTERESES]],0)</f>
        <v>76791</v>
      </c>
    </row>
    <row r="1221" spans="1:10" ht="24" hidden="1" customHeight="1" x14ac:dyDescent="0.3">
      <c r="A1221" s="142">
        <v>44865</v>
      </c>
      <c r="B1221" s="50" t="s">
        <v>195</v>
      </c>
      <c r="C1221" s="5">
        <f>2526182-4644463</f>
        <v>-2118281</v>
      </c>
      <c r="D1221" s="5"/>
      <c r="E1221" s="5" t="str">
        <f>+IF(FINANCIACION[[#This Row],[$ CAPITAL]]&gt;=0,FINANCIACION[[#This Row],[$ CAPITAL]]+FINANCIACION[[#This Row],[$ INTERESES]],"")</f>
        <v/>
      </c>
      <c r="F1221" s="5">
        <f>+SUMIFS(FINANCIACION[$ CAPITAL],FINANCIACION[Fecha],"&lt;="&amp;FINANCIACION[[#This Row],[Fecha]],FINANCIACION[PRESTAMO],FINANCIACION[[#This Row],[PRESTAMO]])</f>
        <v>-4644463</v>
      </c>
      <c r="G1221" s="53"/>
      <c r="H1221" s="53"/>
      <c r="I1221" s="5" t="b">
        <f>+IF(FINANCIACION[[#This Row],[$ CAPITAL]]&gt;0,FINANCIACION[[#This Row],[$ CAPITAL]])</f>
        <v>0</v>
      </c>
      <c r="J1221" s="33">
        <f>+IF(FINANCIACION[[#This Row],[$ CAPITAL]]&gt;=0,FINANCIACION[[#This Row],[$ CAPITAL]]+FINANCIACION[[#This Row],[$ INTERESES]],0)</f>
        <v>0</v>
      </c>
    </row>
    <row r="1222" spans="1:10" ht="24" hidden="1" customHeight="1" x14ac:dyDescent="0.3">
      <c r="A1222" s="142">
        <v>44865</v>
      </c>
      <c r="B1222" s="50" t="s">
        <v>196</v>
      </c>
      <c r="C1222" s="5">
        <f>20996170-23005500</f>
        <v>-2009330</v>
      </c>
      <c r="D1222" s="5"/>
      <c r="E1222" s="5" t="str">
        <f>+IF(FINANCIACION[[#This Row],[$ CAPITAL]]&gt;=0,FINANCIACION[[#This Row],[$ CAPITAL]]+FINANCIACION[[#This Row],[$ INTERESES]],"")</f>
        <v/>
      </c>
      <c r="F1222" s="5">
        <f>+SUMIFS(FINANCIACION[$ CAPITAL],FINANCIACION[Fecha],"&lt;="&amp;FINANCIACION[[#This Row],[Fecha]],FINANCIACION[PRESTAMO],FINANCIACION[[#This Row],[PRESTAMO]])</f>
        <v>-23005500</v>
      </c>
      <c r="G1222" s="53" t="s">
        <v>1832</v>
      </c>
      <c r="H1222" s="53"/>
      <c r="I1222" s="5" t="b">
        <f>+IF(FINANCIACION[[#This Row],[$ CAPITAL]]&gt;0,FINANCIACION[[#This Row],[$ CAPITAL]])</f>
        <v>0</v>
      </c>
      <c r="J1222" s="33">
        <f>+IF(FINANCIACION[[#This Row],[$ CAPITAL]]&gt;=0,FINANCIACION[[#This Row],[$ CAPITAL]]+FINANCIACION[[#This Row],[$ INTERESES]],0)</f>
        <v>0</v>
      </c>
    </row>
    <row r="1223" spans="1:10" ht="24" hidden="1" customHeight="1" x14ac:dyDescent="0.3">
      <c r="A1223" s="142">
        <v>44865</v>
      </c>
      <c r="B1223" s="50" t="s">
        <v>197</v>
      </c>
      <c r="C1223" s="5">
        <f>22442696-19305362</f>
        <v>3137334</v>
      </c>
      <c r="D1223" s="5"/>
      <c r="E1223" s="5">
        <f>+IF(FINANCIACION[[#This Row],[$ CAPITAL]]&gt;=0,FINANCIACION[[#This Row],[$ CAPITAL]]+FINANCIACION[[#This Row],[$ INTERESES]],"")</f>
        <v>3137334</v>
      </c>
      <c r="F1223" s="5">
        <f>+SUMIFS(FINANCIACION[$ CAPITAL],FINANCIACION[Fecha],"&lt;="&amp;FINANCIACION[[#This Row],[Fecha]],FINANCIACION[PRESTAMO],FINANCIACION[[#This Row],[PRESTAMO]])</f>
        <v>-19305362</v>
      </c>
      <c r="G1223" s="53"/>
      <c r="H1223" s="53"/>
      <c r="I1223" s="5">
        <f>+IF(FINANCIACION[[#This Row],[$ CAPITAL]]&gt;0,FINANCIACION[[#This Row],[$ CAPITAL]])</f>
        <v>3137334</v>
      </c>
      <c r="J1223" s="33">
        <f>+IF(FINANCIACION[[#This Row],[$ CAPITAL]]&gt;=0,FINANCIACION[[#This Row],[$ CAPITAL]]+FINANCIACION[[#This Row],[$ INTERESES]],0)</f>
        <v>3137334</v>
      </c>
    </row>
    <row r="1224" spans="1:10" ht="24" hidden="1" customHeight="1" x14ac:dyDescent="0.3">
      <c r="A1224" s="142">
        <v>44865</v>
      </c>
      <c r="B1224" s="50" t="s">
        <v>486</v>
      </c>
      <c r="C1224" s="5">
        <v>0</v>
      </c>
      <c r="D1224" s="5"/>
      <c r="E1224" s="5">
        <f>+IF(FINANCIACION[[#This Row],[$ CAPITAL]]&gt;=0,FINANCIACION[[#This Row],[$ CAPITAL]]+FINANCIACION[[#This Row],[$ INTERESES]],"")</f>
        <v>0</v>
      </c>
      <c r="F1224" s="5">
        <f>+SUMIFS(FINANCIACION[$ CAPITAL],FINANCIACION[Fecha],"&lt;="&amp;FINANCIACION[[#This Row],[Fecha]],FINANCIACION[PRESTAMO],FINANCIACION[[#This Row],[PRESTAMO]])</f>
        <v>-0.20000000111758709</v>
      </c>
      <c r="G1224" s="53" t="s">
        <v>1832</v>
      </c>
      <c r="H1224" s="53"/>
      <c r="I1224" s="5" t="b">
        <f>+IF(FINANCIACION[[#This Row],[$ CAPITAL]]&gt;0,FINANCIACION[[#This Row],[$ CAPITAL]])</f>
        <v>0</v>
      </c>
      <c r="J1224" s="33">
        <f>+IF(FINANCIACION[[#This Row],[$ CAPITAL]]&gt;=0,FINANCIACION[[#This Row],[$ CAPITAL]]+FINANCIACION[[#This Row],[$ INTERESES]],0)</f>
        <v>0</v>
      </c>
    </row>
    <row r="1225" spans="1:10" ht="24" hidden="1" customHeight="1" x14ac:dyDescent="0.3">
      <c r="A1225" s="142">
        <v>44865</v>
      </c>
      <c r="B1225" s="50" t="s">
        <v>611</v>
      </c>
      <c r="C1225" s="5">
        <f>-20198045+18331608</f>
        <v>-1866437</v>
      </c>
      <c r="D1225" s="5"/>
      <c r="E1225" s="5" t="str">
        <f>+IF(FINANCIACION[[#This Row],[$ CAPITAL]]&gt;=0,FINANCIACION[[#This Row],[$ CAPITAL]]+FINANCIACION[[#This Row],[$ INTERESES]],"")</f>
        <v/>
      </c>
      <c r="F1225" s="5">
        <f>+SUMIFS(FINANCIACION[$ CAPITAL],FINANCIACION[Fecha],"&lt;="&amp;FINANCIACION[[#This Row],[Fecha]],FINANCIACION[PRESTAMO],FINANCIACION[[#This Row],[PRESTAMO]])</f>
        <v>-20198044.800000004</v>
      </c>
      <c r="G1225" s="53" t="s">
        <v>225</v>
      </c>
      <c r="H1225" s="53"/>
      <c r="I1225" s="5" t="b">
        <f>+IF(FINANCIACION[[#This Row],[$ CAPITAL]]&gt;0,FINANCIACION[[#This Row],[$ CAPITAL]])</f>
        <v>0</v>
      </c>
      <c r="J1225" s="33">
        <f>+IF(FINANCIACION[[#This Row],[$ CAPITAL]]&gt;=0,FINANCIACION[[#This Row],[$ CAPITAL]]+FINANCIACION[[#This Row],[$ INTERESES]],0)</f>
        <v>0</v>
      </c>
    </row>
    <row r="1226" spans="1:10" ht="24" hidden="1" customHeight="1" x14ac:dyDescent="0.3">
      <c r="A1226" s="142">
        <v>44865</v>
      </c>
      <c r="B1226" s="50" t="s">
        <v>974</v>
      </c>
      <c r="C1226" s="5">
        <f>-50570989+44685600</f>
        <v>-5885389</v>
      </c>
      <c r="D1226" s="5"/>
      <c r="E1226" s="5" t="str">
        <f>+IF(FINANCIACION[[#This Row],[$ CAPITAL]]&gt;=0,FINANCIACION[[#This Row],[$ CAPITAL]]+FINANCIACION[[#This Row],[$ INTERESES]],"")</f>
        <v/>
      </c>
      <c r="F1226" s="5">
        <f>+SUMIFS(FINANCIACION[$ CAPITAL],FINANCIACION[Fecha],"&lt;="&amp;FINANCIACION[[#This Row],[Fecha]],FINANCIACION[PRESTAMO],FINANCIACION[[#This Row],[PRESTAMO]])</f>
        <v>-50570988.800000004</v>
      </c>
      <c r="G1226" s="53" t="s">
        <v>225</v>
      </c>
      <c r="H1226" s="53"/>
      <c r="I1226" s="5" t="b">
        <f>+IF(FINANCIACION[[#This Row],[$ CAPITAL]]&gt;0,FINANCIACION[[#This Row],[$ CAPITAL]])</f>
        <v>0</v>
      </c>
      <c r="J1226" s="33">
        <f>+IF(FINANCIACION[[#This Row],[$ CAPITAL]]&gt;=0,FINANCIACION[[#This Row],[$ CAPITAL]]+FINANCIACION[[#This Row],[$ INTERESES]],0)</f>
        <v>0</v>
      </c>
    </row>
    <row r="1227" spans="1:10" ht="24" hidden="1" customHeight="1" x14ac:dyDescent="0.3">
      <c r="A1227" s="142">
        <v>44865</v>
      </c>
      <c r="B1227" s="50" t="s">
        <v>1109</v>
      </c>
      <c r="C1227" s="5">
        <f>-78826790+69657143</f>
        <v>-9169647</v>
      </c>
      <c r="D1227" s="5"/>
      <c r="E1227" s="5" t="str">
        <f>+IF(FINANCIACION[[#This Row],[$ CAPITAL]]&gt;=0,FINANCIACION[[#This Row],[$ CAPITAL]]+FINANCIACION[[#This Row],[$ INTERESES]],"")</f>
        <v/>
      </c>
      <c r="F1227" s="5">
        <f>+SUMIFS(FINANCIACION[$ CAPITAL],FINANCIACION[Fecha],"&lt;="&amp;FINANCIACION[[#This Row],[Fecha]],FINANCIACION[PRESTAMO],FINANCIACION[[#This Row],[PRESTAMO]])</f>
        <v>-78826790</v>
      </c>
      <c r="G1227" s="53" t="s">
        <v>225</v>
      </c>
      <c r="H1227" s="53"/>
      <c r="I1227" s="5" t="b">
        <f>+IF(FINANCIACION[[#This Row],[$ CAPITAL]]&gt;0,FINANCIACION[[#This Row],[$ CAPITAL]])</f>
        <v>0</v>
      </c>
      <c r="J1227" s="33">
        <f>+IF(FINANCIACION[[#This Row],[$ CAPITAL]]&gt;=0,FINANCIACION[[#This Row],[$ CAPITAL]]+FINANCIACION[[#This Row],[$ INTERESES]],0)</f>
        <v>0</v>
      </c>
    </row>
    <row r="1228" spans="1:10" ht="24" hidden="1" customHeight="1" x14ac:dyDescent="0.3">
      <c r="A1228" s="142">
        <v>44865</v>
      </c>
      <c r="B1228" s="50" t="s">
        <v>1746</v>
      </c>
      <c r="C1228" s="5">
        <f>-68600000+64400000</f>
        <v>-4200000</v>
      </c>
      <c r="D1228" s="5"/>
      <c r="E1228" s="5" t="str">
        <f>+IF(FINANCIACION[[#This Row],[$ CAPITAL]]&gt;=0,FINANCIACION[[#This Row],[$ CAPITAL]]+FINANCIACION[[#This Row],[$ INTERESES]],"")</f>
        <v/>
      </c>
      <c r="F1228" s="5">
        <f>+SUMIFS(FINANCIACION[$ CAPITAL],FINANCIACION[Fecha],"&lt;="&amp;FINANCIACION[[#This Row],[Fecha]],FINANCIACION[PRESTAMO],FINANCIACION[[#This Row],[PRESTAMO]])</f>
        <v>-68600000</v>
      </c>
      <c r="G1228" s="53" t="s">
        <v>1833</v>
      </c>
      <c r="H1228" s="53"/>
      <c r="I1228" s="5" t="b">
        <f>+IF(FINANCIACION[[#This Row],[$ CAPITAL]]&gt;0,FINANCIACION[[#This Row],[$ CAPITAL]])</f>
        <v>0</v>
      </c>
      <c r="J1228" s="33">
        <f>+IF(FINANCIACION[[#This Row],[$ CAPITAL]]&gt;=0,FINANCIACION[[#This Row],[$ CAPITAL]]+FINANCIACION[[#This Row],[$ INTERESES]],0)</f>
        <v>0</v>
      </c>
    </row>
  </sheetData>
  <phoneticPr fontId="2" type="noConversion"/>
  <conditionalFormatting sqref="C970">
    <cfRule type="expression" dxfId="4" priority="1" stopIfTrue="1">
      <formula>$T970="Por pagar"</formula>
    </cfRule>
    <cfRule type="expression" dxfId="3" priority="2" stopIfTrue="1">
      <formula>$T970="Vencida"</formula>
    </cfRule>
    <cfRule type="expression" dxfId="2" priority="3" stopIfTrue="1">
      <formula>$T970="Pagada"</formula>
    </cfRule>
  </conditionalFormatting>
  <dataValidations xWindow="542" yWindow="371" count="2">
    <dataValidation allowBlank="1" showInputMessage="1" showErrorMessage="1" prompt="Si es una deuda escribelo negativo._x000a__x000a_Si es un abono que sea positivo." sqref="C524 C544 C703 C2:C434" xr:uid="{00000000-0002-0000-0200-000000000000}"/>
    <dataValidation type="date" allowBlank="1" showInputMessage="1" showErrorMessage="1" error="SOLO FECHAS" sqref="A2:A1228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B442:B465 B467:B469 B590:B642 B871:B1046 B868 B845:B864 B782:B790 B828:B843 B808:B825 B794:B806 B772:B778 B765:B770 B756:B763 B744:B751 B719:B737 B706:B717 B644:B700 B582:B588 B572:B580 B518:B568 B1 B496:B516 B485:B494 B472:B483 B1048:B1048576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B470:B471 B1047 B869 B865:B867 B2:B441 B844 B826:B827 B807 B791:B793 B779:B781 B771 B764 B752:B755 B738:B743 B718 B701:B705 B643 B589 B581 B569:B571 B466 B495 B517 B484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W53"/>
  <sheetViews>
    <sheetView workbookViewId="0">
      <selection activeCell="V7" sqref="V7"/>
    </sheetView>
  </sheetViews>
  <sheetFormatPr defaultColWidth="13.44140625" defaultRowHeight="21.6" customHeight="1" x14ac:dyDescent="0.3"/>
  <cols>
    <col min="1" max="1" width="30.33203125" style="41" bestFit="1" customWidth="1"/>
    <col min="2" max="18" width="12.6640625" style="41" hidden="1" customWidth="1"/>
    <col min="19" max="19" width="13.44140625" style="41"/>
    <col min="20" max="20" width="17.6640625" style="41" bestFit="1" customWidth="1"/>
    <col min="21" max="16384" width="13.44140625" style="41"/>
  </cols>
  <sheetData>
    <row r="1" spans="1:23" ht="21.6" customHeight="1" x14ac:dyDescent="0.3">
      <c r="A1" s="41" t="s">
        <v>209</v>
      </c>
      <c r="B1" s="41" t="s">
        <v>210</v>
      </c>
      <c r="C1" s="41" t="s">
        <v>211</v>
      </c>
      <c r="D1" s="55" t="s">
        <v>233</v>
      </c>
      <c r="E1" s="55" t="s">
        <v>310</v>
      </c>
      <c r="F1" s="55" t="s">
        <v>369</v>
      </c>
      <c r="G1" s="55" t="s">
        <v>370</v>
      </c>
      <c r="H1" s="55" t="s">
        <v>395</v>
      </c>
      <c r="I1" s="55" t="s">
        <v>448</v>
      </c>
      <c r="J1" s="55" t="s">
        <v>467</v>
      </c>
      <c r="K1" s="55" t="s">
        <v>520</v>
      </c>
      <c r="L1" s="55" t="s">
        <v>545</v>
      </c>
      <c r="M1" s="55" t="s">
        <v>553</v>
      </c>
      <c r="N1" s="55" t="s">
        <v>603</v>
      </c>
      <c r="O1" s="55" t="s">
        <v>875</v>
      </c>
      <c r="P1" s="55" t="s">
        <v>876</v>
      </c>
      <c r="Q1" s="55" t="s">
        <v>877</v>
      </c>
      <c r="R1" s="55" t="s">
        <v>979</v>
      </c>
      <c r="S1" s="55" t="s">
        <v>1011</v>
      </c>
      <c r="T1" s="55" t="s">
        <v>1110</v>
      </c>
      <c r="U1" s="55" t="s">
        <v>1651</v>
      </c>
      <c r="V1" s="55" t="s">
        <v>1716</v>
      </c>
      <c r="W1" s="55" t="s">
        <v>1834</v>
      </c>
    </row>
    <row r="2" spans="1:23" ht="21.6" hidden="1" customHeight="1" x14ac:dyDescent="0.3">
      <c r="A2" s="41" t="s">
        <v>845</v>
      </c>
      <c r="B2" s="52">
        <f>-SUMIFS(FINANCIACION[$ CAPITAL],
FINANCIACION[Fecha],"&lt;="&amp;EOMONTH(B$1,0),
FINANCIACION[PRESTAMO],$A2)</f>
        <v>0</v>
      </c>
      <c r="C2" s="52">
        <v>0</v>
      </c>
      <c r="D2" s="52">
        <v>0</v>
      </c>
      <c r="E2" s="52">
        <v>0</v>
      </c>
      <c r="F2" s="52">
        <v>0</v>
      </c>
      <c r="G2" s="52">
        <v>0</v>
      </c>
      <c r="H2" s="52">
        <v>0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f>-SUMIFS(FINANCIACION[$ CAPITAL],
FINANCIACION[Fecha],"&lt;="&amp;EOMONTH(N$1,0),
FINANCIACION[PRESTAMO],$A2)</f>
        <v>0</v>
      </c>
      <c r="O2" s="52">
        <f>-SUMIFS(FINANCIACION[$ CAPITAL],
FINANCIACION[Fecha],"&lt;="&amp;EOMONTH(O$1,0),
FINANCIACION[PRESTAMO],$A2)</f>
        <v>0</v>
      </c>
      <c r="P2" s="52">
        <f>-SUMIFS(FINANCIACION[$ CAPITAL],
FINANCIACION[Fecha],"&lt;="&amp;EOMONTH(P$1,0),
FINANCIACION[PRESTAMO],$A2)</f>
        <v>0</v>
      </c>
      <c r="Q2" s="52">
        <f>-SUMIFS(FINANCIACION[$ CAPITAL],
FINANCIACION[Fecha],"&lt;="&amp;EOMONTH(Q$1,0),
FINANCIACION[PRESTAMO],$A2)</f>
        <v>0</v>
      </c>
      <c r="R2" s="52">
        <f>-SUMIFS(FINANCIACION[$ CAPITAL],
FINANCIACION[Fecha],"&lt;="&amp;EOMONTH(R$1,0),
FINANCIACION[PRESTAMO],$A2)</f>
        <v>0</v>
      </c>
      <c r="S2" s="52">
        <f>-SUMIFS(FINANCIACION[$ CAPITAL],
FINANCIACION[Fecha],"&lt;="&amp;EOMONTH(S$1,0),
FINANCIACION[PRESTAMO],$A2)</f>
        <v>0</v>
      </c>
      <c r="T2" s="52">
        <f>-SUMIFS(FINANCIACION[$ CAPITAL],
FINANCIACION[Fecha],"&lt;="&amp;EOMONTH(T$1,0),
FINANCIACION[PRESTAMO],$A2)</f>
        <v>0</v>
      </c>
      <c r="U2" s="52">
        <f>-SUMIFS(FINANCIACION[$ CAPITAL],
FINANCIACION[Fecha],"&lt;="&amp;EOMONTH(U$1,0),
FINANCIACION[PRESTAMO],$A2)</f>
        <v>0</v>
      </c>
      <c r="V2" s="52">
        <f>-SUMIFS(FINANCIACION[$ CAPITAL],
FINANCIACION[Fecha],"&lt;="&amp;EOMONTH(V$1,0),
FINANCIACION[PRESTAMO],$A2)</f>
        <v>0</v>
      </c>
      <c r="W2" s="52">
        <f>-SUMIFS(FINANCIACION[$ CAPITAL],
FINANCIACION[Fecha],"&lt;="&amp;EOMONTH(W$1,0),
FINANCIACION[PRESTAMO],$A2)</f>
        <v>0</v>
      </c>
    </row>
    <row r="3" spans="1:23" ht="21.6" customHeight="1" x14ac:dyDescent="0.3">
      <c r="A3" s="41" t="s">
        <v>830</v>
      </c>
      <c r="B3" s="52">
        <f>-SUMIFS(FINANCIACION[$ CAPITAL],
FINANCIACION[Fecha],"&lt;="&amp;EOMONTH(B$1,0),
FINANCIACION[PRESTAMO],$A3)</f>
        <v>0</v>
      </c>
      <c r="C3" s="52">
        <v>13000000</v>
      </c>
      <c r="D3" s="52">
        <v>13000000</v>
      </c>
      <c r="E3" s="52">
        <v>13000000</v>
      </c>
      <c r="F3" s="52">
        <v>13000000</v>
      </c>
      <c r="G3" s="52">
        <v>13000000</v>
      </c>
      <c r="H3" s="52">
        <v>13000000</v>
      </c>
      <c r="I3" s="52">
        <v>13000000</v>
      </c>
      <c r="J3" s="52">
        <v>13000000</v>
      </c>
      <c r="K3" s="52">
        <v>13000000</v>
      </c>
      <c r="L3" s="52">
        <v>13000000</v>
      </c>
      <c r="M3" s="52">
        <v>13000000</v>
      </c>
      <c r="N3" s="52">
        <f>-SUMIFS(FINANCIACION[$ CAPITAL],
FINANCIACION[Fecha],"&lt;="&amp;EOMONTH(N$1,0),
FINANCIACION[PRESTAMO],$A3)</f>
        <v>0</v>
      </c>
      <c r="O3" s="52">
        <f>-SUMIFS(FINANCIACION[$ CAPITAL],
FINANCIACION[Fecha],"&lt;="&amp;EOMONTH(O$1,0),
FINANCIACION[PRESTAMO],$A3)</f>
        <v>13000000</v>
      </c>
      <c r="P3" s="52">
        <f>-SUMIFS(FINANCIACION[$ CAPITAL],
FINANCIACION[Fecha],"&lt;="&amp;EOMONTH(P$1,0),
FINANCIACION[PRESTAMO],$A3)</f>
        <v>13000000</v>
      </c>
      <c r="Q3" s="52">
        <f>-SUMIFS(FINANCIACION[$ CAPITAL],
FINANCIACION[Fecha],"&lt;="&amp;EOMONTH(Q$1,0),
FINANCIACION[PRESTAMO],$A3)</f>
        <v>0</v>
      </c>
      <c r="R3" s="52">
        <f>-SUMIFS(FINANCIACION[$ CAPITAL],
FINANCIACION[Fecha],"&lt;="&amp;EOMONTH(R$1,0),
FINANCIACION[PRESTAMO],$A3)</f>
        <v>13000000</v>
      </c>
      <c r="S3" s="52">
        <f>-SUMIFS(FINANCIACION[$ CAPITAL],
FINANCIACION[Fecha],"&lt;="&amp;EOMONTH(S$1,0),
FINANCIACION[PRESTAMO],$A3)</f>
        <v>13000000</v>
      </c>
      <c r="T3" s="52">
        <f>-SUMIFS(FINANCIACION[$ CAPITAL],
FINANCIACION[Fecha],"&lt;="&amp;EOMONTH(T$1,0),
FINANCIACION[PRESTAMO],$A3)</f>
        <v>13000000</v>
      </c>
      <c r="U3" s="52">
        <f>-SUMIFS(FINANCIACION[$ CAPITAL],
FINANCIACION[Fecha],"&lt;="&amp;EOMONTH(U$1,0),
FINANCIACION[PRESTAMO],$A3)</f>
        <v>0</v>
      </c>
      <c r="V3" s="52">
        <f>-SUMIFS(FINANCIACION[$ CAPITAL],
FINANCIACION[Fecha],"&lt;="&amp;EOMONTH(V$1,0),
FINANCIACION[PRESTAMO],$A3)</f>
        <v>13000000</v>
      </c>
      <c r="W3" s="52">
        <f>-SUMIFS(FINANCIACION[$ CAPITAL],
FINANCIACION[Fecha],"&lt;="&amp;EOMONTH(W$1,0),
FINANCIACION[PRESTAMO],$A3)</f>
        <v>13000000</v>
      </c>
    </row>
    <row r="4" spans="1:23" ht="21.6" hidden="1" customHeight="1" x14ac:dyDescent="0.3">
      <c r="A4" s="41" t="s">
        <v>846</v>
      </c>
      <c r="B4" s="52">
        <f>-SUMIFS(FINANCIACION[$ CAPITAL],
FINANCIACION[Fecha],"&lt;="&amp;EOMONTH(B$1,0),
FINANCIACION[PRESTAMO],$A4)</f>
        <v>0</v>
      </c>
      <c r="C4" s="52">
        <v>0</v>
      </c>
      <c r="D4" s="52">
        <v>0</v>
      </c>
      <c r="E4" s="52">
        <v>0</v>
      </c>
      <c r="F4" s="52">
        <v>0</v>
      </c>
      <c r="G4" s="52">
        <v>0</v>
      </c>
      <c r="H4" s="52">
        <v>0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f>-SUMIFS(FINANCIACION[$ CAPITAL],
FINANCIACION[Fecha],"&lt;="&amp;EOMONTH(N$1,0),
FINANCIACION[PRESTAMO],$A4)</f>
        <v>0</v>
      </c>
      <c r="O4" s="52">
        <f>-SUMIFS(FINANCIACION[$ CAPITAL],
FINANCIACION[Fecha],"&lt;="&amp;EOMONTH(O$1,0),
FINANCIACION[PRESTAMO],$A4)</f>
        <v>0</v>
      </c>
      <c r="P4" s="52">
        <f>-SUMIFS(FINANCIACION[$ CAPITAL],
FINANCIACION[Fecha],"&lt;="&amp;EOMONTH(P$1,0),
FINANCIACION[PRESTAMO],$A4)</f>
        <v>0</v>
      </c>
      <c r="Q4" s="52">
        <f>-SUMIFS(FINANCIACION[$ CAPITAL],
FINANCIACION[Fecha],"&lt;="&amp;EOMONTH(Q$1,0),
FINANCIACION[PRESTAMO],$A4)</f>
        <v>0</v>
      </c>
      <c r="R4" s="52">
        <f>-SUMIFS(FINANCIACION[$ CAPITAL],
FINANCIACION[Fecha],"&lt;="&amp;EOMONTH(R$1,0),
FINANCIACION[PRESTAMO],$A4)</f>
        <v>0</v>
      </c>
      <c r="S4" s="52">
        <f>-SUMIFS(FINANCIACION[$ CAPITAL],
FINANCIACION[Fecha],"&lt;="&amp;EOMONTH(S$1,0),
FINANCIACION[PRESTAMO],$A4)</f>
        <v>0</v>
      </c>
      <c r="T4" s="52">
        <f>-SUMIFS(FINANCIACION[$ CAPITAL],
FINANCIACION[Fecha],"&lt;="&amp;EOMONTH(T$1,0),
FINANCIACION[PRESTAMO],$A4)</f>
        <v>0</v>
      </c>
      <c r="U4" s="52">
        <f>-SUMIFS(FINANCIACION[$ CAPITAL],
FINANCIACION[Fecha],"&lt;="&amp;EOMONTH(U$1,0),
FINANCIACION[PRESTAMO],$A4)</f>
        <v>0</v>
      </c>
      <c r="V4" s="52">
        <f>-SUMIFS(FINANCIACION[$ CAPITAL],
FINANCIACION[Fecha],"&lt;="&amp;EOMONTH(V$1,0),
FINANCIACION[PRESTAMO],$A4)</f>
        <v>0</v>
      </c>
      <c r="W4" s="52">
        <f>-SUMIFS(FINANCIACION[$ CAPITAL],
FINANCIACION[Fecha],"&lt;="&amp;EOMONTH(W$1,0),
FINANCIACION[PRESTAMO],$A4)</f>
        <v>0</v>
      </c>
    </row>
    <row r="5" spans="1:23" ht="21.6" customHeight="1" x14ac:dyDescent="0.3">
      <c r="A5" s="41" t="s">
        <v>824</v>
      </c>
      <c r="B5" s="52">
        <f>-SUMIFS(FINANCIACION[$ CAPITAL],
FINANCIACION[Fecha],"&lt;="&amp;EOMONTH(B$1,0),
FINANCIACION[PRESTAMO],$A5)</f>
        <v>0</v>
      </c>
      <c r="C5" s="52">
        <v>75000000</v>
      </c>
      <c r="D5" s="52">
        <v>75000000</v>
      </c>
      <c r="E5" s="52">
        <v>75000000</v>
      </c>
      <c r="F5" s="52">
        <v>75000000</v>
      </c>
      <c r="G5" s="52">
        <v>75000000</v>
      </c>
      <c r="H5" s="52">
        <v>75000000</v>
      </c>
      <c r="I5" s="52">
        <v>75000000</v>
      </c>
      <c r="J5" s="52">
        <v>75000000</v>
      </c>
      <c r="K5" s="52">
        <v>75000000</v>
      </c>
      <c r="L5" s="52">
        <v>75000000</v>
      </c>
      <c r="M5" s="52">
        <v>75000000</v>
      </c>
      <c r="N5" s="52">
        <f>-SUMIFS(FINANCIACION[$ CAPITAL],
FINANCIACION[Fecha],"&lt;="&amp;EOMONTH(N$1,0),
FINANCIACION[PRESTAMO],$A5)</f>
        <v>0</v>
      </c>
      <c r="O5" s="52">
        <f>-SUMIFS(FINANCIACION[$ CAPITAL],
FINANCIACION[Fecha],"&lt;="&amp;EOMONTH(O$1,0),
FINANCIACION[PRESTAMO],$A5)</f>
        <v>75000000</v>
      </c>
      <c r="P5" s="52">
        <f>-SUMIFS(FINANCIACION[$ CAPITAL],
FINANCIACION[Fecha],"&lt;="&amp;EOMONTH(P$1,0),
FINANCIACION[PRESTAMO],$A5)</f>
        <v>75000000</v>
      </c>
      <c r="Q5" s="52">
        <f>-SUMIFS(FINANCIACION[$ CAPITAL],
FINANCIACION[Fecha],"&lt;="&amp;EOMONTH(Q$1,0),
FINANCIACION[PRESTAMO],$A5)</f>
        <v>0</v>
      </c>
      <c r="R5" s="52">
        <f>-SUMIFS(FINANCIACION[$ CAPITAL],
FINANCIACION[Fecha],"&lt;="&amp;EOMONTH(R$1,0),
FINANCIACION[PRESTAMO],$A5)</f>
        <v>75000000</v>
      </c>
      <c r="S5" s="52">
        <f>-SUMIFS(FINANCIACION[$ CAPITAL],
FINANCIACION[Fecha],"&lt;="&amp;EOMONTH(S$1,0),
FINANCIACION[PRESTAMO],$A5)</f>
        <v>75000000</v>
      </c>
      <c r="T5" s="52">
        <f>-SUMIFS(FINANCIACION[$ CAPITAL],
FINANCIACION[Fecha],"&lt;="&amp;EOMONTH(T$1,0),
FINANCIACION[PRESTAMO],$A5)</f>
        <v>75000000</v>
      </c>
      <c r="U5" s="52">
        <f>-SUMIFS(FINANCIACION[$ CAPITAL],
FINANCIACION[Fecha],"&lt;="&amp;EOMONTH(U$1,0),
FINANCIACION[PRESTAMO],$A5)</f>
        <v>0</v>
      </c>
      <c r="V5" s="52">
        <f>-SUMIFS(FINANCIACION[$ CAPITAL],
FINANCIACION[Fecha],"&lt;="&amp;EOMONTH(V$1,0),
FINANCIACION[PRESTAMO],$A5)</f>
        <v>75000000</v>
      </c>
      <c r="W5" s="52">
        <f>-SUMIFS(FINANCIACION[$ CAPITAL],
FINANCIACION[Fecha],"&lt;="&amp;EOMONTH(W$1,0),
FINANCIACION[PRESTAMO],$A5)</f>
        <v>75000000</v>
      </c>
    </row>
    <row r="6" spans="1:23" ht="21.6" customHeight="1" x14ac:dyDescent="0.3">
      <c r="A6" s="41" t="s">
        <v>834</v>
      </c>
      <c r="B6" s="52">
        <f>-SUMIFS(FINANCIACION[$ CAPITAL],
FINANCIACION[Fecha],"&lt;="&amp;EOMONTH(B$1,0),
FINANCIACION[PRESTAMO],$A6)</f>
        <v>0</v>
      </c>
      <c r="C6" s="52">
        <v>0</v>
      </c>
      <c r="D6" s="52">
        <v>0</v>
      </c>
      <c r="E6" s="52">
        <v>0</v>
      </c>
      <c r="F6" s="52">
        <v>0</v>
      </c>
      <c r="G6" s="52">
        <v>0</v>
      </c>
      <c r="H6" s="52">
        <v>0</v>
      </c>
      <c r="I6" s="52">
        <v>40000000</v>
      </c>
      <c r="J6" s="52">
        <v>40000000</v>
      </c>
      <c r="K6" s="52">
        <v>40000000</v>
      </c>
      <c r="L6" s="52">
        <v>40000000</v>
      </c>
      <c r="M6" s="52">
        <v>40000000</v>
      </c>
      <c r="N6" s="52">
        <f>-SUMIFS(FINANCIACION[$ CAPITAL],
FINANCIACION[Fecha],"&lt;="&amp;EOMONTH(N$1,0),
FINANCIACION[PRESTAMO],$A6)</f>
        <v>0</v>
      </c>
      <c r="O6" s="52">
        <f>-SUMIFS(FINANCIACION[$ CAPITAL],
FINANCIACION[Fecha],"&lt;="&amp;EOMONTH(O$1,0),
FINANCIACION[PRESTAMO],$A6)</f>
        <v>40000000</v>
      </c>
      <c r="P6" s="52">
        <f>-SUMIFS(FINANCIACION[$ CAPITAL],
FINANCIACION[Fecha],"&lt;="&amp;EOMONTH(P$1,0),
FINANCIACION[PRESTAMO],$A6)</f>
        <v>40000000</v>
      </c>
      <c r="Q6" s="52">
        <f>-SUMIFS(FINANCIACION[$ CAPITAL],
FINANCIACION[Fecha],"&lt;="&amp;EOMONTH(Q$1,0),
FINANCIACION[PRESTAMO],$A6)</f>
        <v>0</v>
      </c>
      <c r="R6" s="52">
        <f>-SUMIFS(FINANCIACION[$ CAPITAL],
FINANCIACION[Fecha],"&lt;="&amp;EOMONTH(R$1,0),
FINANCIACION[PRESTAMO],$A6)</f>
        <v>40000000</v>
      </c>
      <c r="S6" s="52">
        <f>-SUMIFS(FINANCIACION[$ CAPITAL],
FINANCIACION[Fecha],"&lt;="&amp;EOMONTH(S$1,0),
FINANCIACION[PRESTAMO],$A6)</f>
        <v>40000000</v>
      </c>
      <c r="T6" s="52">
        <f>-SUMIFS(FINANCIACION[$ CAPITAL],
FINANCIACION[Fecha],"&lt;="&amp;EOMONTH(T$1,0),
FINANCIACION[PRESTAMO],$A6)</f>
        <v>40000000</v>
      </c>
      <c r="U6" s="52">
        <f>-SUMIFS(FINANCIACION[$ CAPITAL],
FINANCIACION[Fecha],"&lt;="&amp;EOMONTH(U$1,0),
FINANCIACION[PRESTAMO],$A6)</f>
        <v>0</v>
      </c>
      <c r="V6" s="52">
        <f>-SUMIFS(FINANCIACION[$ CAPITAL],
FINANCIACION[Fecha],"&lt;="&amp;EOMONTH(V$1,0),
FINANCIACION[PRESTAMO],$A6)</f>
        <v>40000000</v>
      </c>
      <c r="W6" s="52">
        <f>-SUMIFS(FINANCIACION[$ CAPITAL],
FINANCIACION[Fecha],"&lt;="&amp;EOMONTH(W$1,0),
FINANCIACION[PRESTAMO],$A6)</f>
        <v>40000000</v>
      </c>
    </row>
    <row r="7" spans="1:23" ht="21.6" customHeight="1" x14ac:dyDescent="0.3">
      <c r="A7" s="41" t="s">
        <v>819</v>
      </c>
      <c r="B7" s="52">
        <f>-SUMIFS(FINANCIACION[$ CAPITAL],
FINANCIACION[Fecha],"&lt;="&amp;EOMONTH(B$1,0),
FINANCIACION[PRESTAMO],$A7)</f>
        <v>0</v>
      </c>
      <c r="C7" s="52">
        <v>86017897.643399999</v>
      </c>
      <c r="D7" s="52">
        <v>84312176.619834006</v>
      </c>
      <c r="E7" s="52">
        <v>82589398.386032343</v>
      </c>
      <c r="F7" s="52">
        <v>82589398.386032343</v>
      </c>
      <c r="G7" s="52">
        <v>80737892.369892672</v>
      </c>
      <c r="H7" s="52">
        <v>78877893.293591604</v>
      </c>
      <c r="I7" s="52">
        <v>76999294.226527512</v>
      </c>
      <c r="J7" s="52">
        <v>75091909.168792784</v>
      </c>
      <c r="K7" s="52">
        <v>73165450.260480717</v>
      </c>
      <c r="L7" s="52">
        <v>71219726.763085529</v>
      </c>
      <c r="M7" s="52">
        <v>69254546.030716389</v>
      </c>
      <c r="N7" s="52">
        <f>-SUMIFS(FINANCIACION[$ CAPITAL],
FINANCIACION[Fecha],"&lt;="&amp;EOMONTH(N$1,0),
FINANCIACION[PRESTAMO],$A7)</f>
        <v>0</v>
      </c>
      <c r="O7" s="52">
        <f>-SUMIFS(FINANCIACION[$ CAPITAL],
FINANCIACION[Fecha],"&lt;="&amp;EOMONTH(O$1,0),
FINANCIACION[PRESTAMO],$A7)</f>
        <v>65265032.625933789</v>
      </c>
      <c r="P7" s="52">
        <f>-SUMIFS(FINANCIACION[$ CAPITAL],
FINANCIACION[Fecha],"&lt;="&amp;EOMONTH(P$1,0),
FINANCIACION[PRESTAMO],$A7)</f>
        <v>63240304.952193126</v>
      </c>
      <c r="Q7" s="52">
        <f>-SUMIFS(FINANCIACION[$ CAPITAL],
FINANCIACION[Fecha],"&lt;="&amp;EOMONTH(Q$1,0),
FINANCIACION[PRESTAMO],$A7)</f>
        <v>0</v>
      </c>
      <c r="R7" s="52">
        <f>-SUMIFS(FINANCIACION[$ CAPITAL],
FINANCIACION[Fecha],"&lt;="&amp;EOMONTH(R$1,0),
FINANCIACION[PRESTAMO],$A7)</f>
        <v>59129905.301732205</v>
      </c>
      <c r="S7" s="52">
        <f>-SUMIFS(FINANCIACION[$ CAPITAL],
FINANCIACION[Fecha],"&lt;="&amp;EOMONTH(S$1,0),
FINANCIACION[PRESTAMO],$A7)</f>
        <v>57043826.354749531</v>
      </c>
      <c r="T7" s="52">
        <f>-SUMIFS(FINANCIACION[$ CAPITAL],
FINANCIACION[Fecha],"&lt;="&amp;EOMONTH(T$1,0),
FINANCIACION[PRESTAMO],$A7)</f>
        <v>54946886.618297026</v>
      </c>
      <c r="U7" s="52">
        <f>-SUMIFS(FINANCIACION[$ CAPITAL],
FINANCIACION[Fecha],"&lt;="&amp;EOMONTH(U$1,0),
FINANCIACION[PRESTAMO],$A7)</f>
        <v>0</v>
      </c>
      <c r="V7" s="52">
        <f>-SUMIFS(FINANCIACION[$ CAPITAL],
FINANCIACION[Fecha],"&lt;="&amp;EOMONTH(V$1,0),
FINANCIACION[PRESTAMO],$A7)</f>
        <v>50669767.484479994</v>
      </c>
      <c r="W7" s="52">
        <f>-SUMIFS(FINANCIACION[$ CAPITAL],
FINANCIACION[Fecha],"&lt;="&amp;EOMONTH(W$1,0),
FINANCIACION[PRESTAMO],$A7)</f>
        <v>48499065.484479994</v>
      </c>
    </row>
    <row r="8" spans="1:23" ht="21.6" hidden="1" customHeight="1" x14ac:dyDescent="0.3">
      <c r="A8" s="41" t="s">
        <v>836</v>
      </c>
      <c r="B8" s="52">
        <f>-SUMIFS(FINANCIACION[$ CAPITAL],
FINANCIACION[Fecha],"&lt;="&amp;EOMONTH(B$1,0),
FINANCIACION[PRESTAMO],$A8)</f>
        <v>0</v>
      </c>
      <c r="C8" s="52">
        <v>0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v>0</v>
      </c>
      <c r="J8" s="52">
        <v>0</v>
      </c>
      <c r="K8" s="52">
        <v>0</v>
      </c>
      <c r="L8" s="52">
        <v>0</v>
      </c>
      <c r="M8" s="52">
        <v>30000000</v>
      </c>
      <c r="N8" s="52">
        <f>-SUMIFS(FINANCIACION[$ CAPITAL],
FINANCIACION[Fecha],"&lt;="&amp;EOMONTH(N$1,0),
FINANCIACION[PRESTAMO],$A8)</f>
        <v>0</v>
      </c>
      <c r="O8" s="52">
        <f>-SUMIFS(FINANCIACION[$ CAPITAL],
FINANCIACION[Fecha],"&lt;="&amp;EOMONTH(O$1,0),
FINANCIACION[PRESTAMO],$A8)</f>
        <v>0</v>
      </c>
      <c r="P8" s="52">
        <f>-SUMIFS(FINANCIACION[$ CAPITAL],
FINANCIACION[Fecha],"&lt;="&amp;EOMONTH(P$1,0),
FINANCIACION[PRESTAMO],$A8)</f>
        <v>30120000</v>
      </c>
      <c r="Q8" s="52">
        <f>-SUMIFS(FINANCIACION[$ CAPITAL],
FINANCIACION[Fecha],"&lt;="&amp;EOMONTH(Q$1,0),
FINANCIACION[PRESTAMO],$A8)</f>
        <v>0</v>
      </c>
      <c r="R8" s="52">
        <f>-SUMIFS(FINANCIACION[$ CAPITAL],
FINANCIACION[Fecha],"&lt;="&amp;EOMONTH(R$1,0),
FINANCIACION[PRESTAMO],$A8)</f>
        <v>30120000</v>
      </c>
      <c r="S8" s="52">
        <f>-SUMIFS(FINANCIACION[$ CAPITAL],
FINANCIACION[Fecha],"&lt;="&amp;EOMONTH(S$1,0),
FINANCIACION[PRESTAMO],$A8)</f>
        <v>10000000</v>
      </c>
      <c r="T8" s="52">
        <f>-SUMIFS(FINANCIACION[$ CAPITAL],
FINANCIACION[Fecha],"&lt;="&amp;EOMONTH(T$1,0),
FINANCIACION[PRESTAMO],$A8)</f>
        <v>0</v>
      </c>
      <c r="U8" s="52">
        <f>-SUMIFS(FINANCIACION[$ CAPITAL],
FINANCIACION[Fecha],"&lt;="&amp;EOMONTH(U$1,0),
FINANCIACION[PRESTAMO],$A8)</f>
        <v>0</v>
      </c>
      <c r="V8" s="52">
        <f>-SUMIFS(FINANCIACION[$ CAPITAL],
FINANCIACION[Fecha],"&lt;="&amp;EOMONTH(V$1,0),
FINANCIACION[PRESTAMO],$A8)</f>
        <v>0</v>
      </c>
      <c r="W8" s="52">
        <f>-SUMIFS(FINANCIACION[$ CAPITAL],
FINANCIACION[Fecha],"&lt;="&amp;EOMONTH(W$1,0),
FINANCIACION[PRESTAMO],$A8)</f>
        <v>0</v>
      </c>
    </row>
    <row r="9" spans="1:23" ht="21.6" hidden="1" customHeight="1" x14ac:dyDescent="0.3">
      <c r="A9" s="41" t="s">
        <v>788</v>
      </c>
      <c r="B9" s="52">
        <f>-SUMIFS(FINANCIACION[$ CAPITAL],
FINANCIACION[Fecha],"&lt;="&amp;EOMONTH(B$1,0),
FINANCIACION[PRESTAMO],$A9)</f>
        <v>0</v>
      </c>
      <c r="C9" s="52">
        <v>0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v>0</v>
      </c>
      <c r="J9" s="52">
        <v>0</v>
      </c>
      <c r="K9" s="52">
        <v>0</v>
      </c>
      <c r="L9" s="52">
        <v>4500000</v>
      </c>
      <c r="M9" s="52">
        <v>4500000</v>
      </c>
      <c r="N9" s="52">
        <f>-SUMIFS(FINANCIACION[$ CAPITAL],
FINANCIACION[Fecha],"&lt;="&amp;EOMONTH(N$1,0),
FINANCIACION[PRESTAMO],$A9)</f>
        <v>0</v>
      </c>
      <c r="O9" s="52">
        <f>-SUMIFS(FINANCIACION[$ CAPITAL],
FINANCIACION[Fecha],"&lt;="&amp;EOMONTH(O$1,0),
FINANCIACION[PRESTAMO],$A9)</f>
        <v>0</v>
      </c>
      <c r="P9" s="52">
        <f>-SUMIFS(FINANCIACION[$ CAPITAL],
FINANCIACION[Fecha],"&lt;="&amp;EOMONTH(P$1,0),
FINANCIACION[PRESTAMO],$A9)</f>
        <v>0</v>
      </c>
      <c r="Q9" s="52">
        <f>-SUMIFS(FINANCIACION[$ CAPITAL],
FINANCIACION[Fecha],"&lt;="&amp;EOMONTH(Q$1,0),
FINANCIACION[PRESTAMO],$A9)</f>
        <v>0</v>
      </c>
      <c r="R9" s="52">
        <f>-SUMIFS(FINANCIACION[$ CAPITAL],
FINANCIACION[Fecha],"&lt;="&amp;EOMONTH(R$1,0),
FINANCIACION[PRESTAMO],$A9)</f>
        <v>0</v>
      </c>
      <c r="S9" s="52">
        <f>-SUMIFS(FINANCIACION[$ CAPITAL],
FINANCIACION[Fecha],"&lt;="&amp;EOMONTH(S$1,0),
FINANCIACION[PRESTAMO],$A9)</f>
        <v>0</v>
      </c>
      <c r="T9" s="52">
        <f>-SUMIFS(FINANCIACION[$ CAPITAL],
FINANCIACION[Fecha],"&lt;="&amp;EOMONTH(T$1,0),
FINANCIACION[PRESTAMO],$A9)</f>
        <v>0</v>
      </c>
      <c r="U9" s="52">
        <f>-SUMIFS(FINANCIACION[$ CAPITAL],
FINANCIACION[Fecha],"&lt;="&amp;EOMONTH(U$1,0),
FINANCIACION[PRESTAMO],$A9)</f>
        <v>0</v>
      </c>
      <c r="V9" s="52">
        <f>-SUMIFS(FINANCIACION[$ CAPITAL],
FINANCIACION[Fecha],"&lt;="&amp;EOMONTH(V$1,0),
FINANCIACION[PRESTAMO],$A9)</f>
        <v>0</v>
      </c>
      <c r="W9" s="52">
        <f>-SUMIFS(FINANCIACION[$ CAPITAL],
FINANCIACION[Fecha],"&lt;="&amp;EOMONTH(W$1,0),
FINANCIACION[PRESTAMO],$A9)</f>
        <v>0</v>
      </c>
    </row>
    <row r="10" spans="1:23" ht="21.6" hidden="1" customHeight="1" x14ac:dyDescent="0.3">
      <c r="A10" s="41" t="s">
        <v>847</v>
      </c>
      <c r="B10" s="52">
        <f>-SUMIFS(FINANCIACION[$ CAPITAL],
FINANCIACION[Fecha],"&lt;="&amp;EOMONTH(B$1,0),
FINANCIACION[PRESTAMO],$A10)</f>
        <v>0</v>
      </c>
      <c r="C10" s="52">
        <v>0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f>-SUMIFS(FINANCIACION[$ CAPITAL],
FINANCIACION[Fecha],"&lt;="&amp;EOMONTH(N$1,0),
FINANCIACION[PRESTAMO],$A10)</f>
        <v>0</v>
      </c>
      <c r="O10" s="52">
        <f>-SUMIFS(FINANCIACION[$ CAPITAL],
FINANCIACION[Fecha],"&lt;="&amp;EOMONTH(O$1,0),
FINANCIACION[PRESTAMO],$A10)</f>
        <v>0</v>
      </c>
      <c r="P10" s="52">
        <f>-SUMIFS(FINANCIACION[$ CAPITAL],
FINANCIACION[Fecha],"&lt;="&amp;EOMONTH(P$1,0),
FINANCIACION[PRESTAMO],$A10)</f>
        <v>0</v>
      </c>
      <c r="Q10" s="52">
        <f>-SUMIFS(FINANCIACION[$ CAPITAL],
FINANCIACION[Fecha],"&lt;="&amp;EOMONTH(Q$1,0),
FINANCIACION[PRESTAMO],$A10)</f>
        <v>0</v>
      </c>
      <c r="R10" s="52">
        <f>-SUMIFS(FINANCIACION[$ CAPITAL],
FINANCIACION[Fecha],"&lt;="&amp;EOMONTH(R$1,0),
FINANCIACION[PRESTAMO],$A10)</f>
        <v>0</v>
      </c>
      <c r="S10" s="52">
        <f>-SUMIFS(FINANCIACION[$ CAPITAL],
FINANCIACION[Fecha],"&lt;="&amp;EOMONTH(S$1,0),
FINANCIACION[PRESTAMO],$A10)</f>
        <v>0</v>
      </c>
      <c r="T10" s="52">
        <f>-SUMIFS(FINANCIACION[$ CAPITAL],
FINANCIACION[Fecha],"&lt;="&amp;EOMONTH(T$1,0),
FINANCIACION[PRESTAMO],$A10)</f>
        <v>0</v>
      </c>
      <c r="U10" s="52">
        <f>-SUMIFS(FINANCIACION[$ CAPITAL],
FINANCIACION[Fecha],"&lt;="&amp;EOMONTH(U$1,0),
FINANCIACION[PRESTAMO],$A10)</f>
        <v>0</v>
      </c>
      <c r="V10" s="52">
        <f>-SUMIFS(FINANCIACION[$ CAPITAL],
FINANCIACION[Fecha],"&lt;="&amp;EOMONTH(V$1,0),
FINANCIACION[PRESTAMO],$A10)</f>
        <v>0</v>
      </c>
      <c r="W10" s="52">
        <f>-SUMIFS(FINANCIACION[$ CAPITAL],
FINANCIACION[Fecha],"&lt;="&amp;EOMONTH(W$1,0),
FINANCIACION[PRESTAMO],$A10)</f>
        <v>0</v>
      </c>
    </row>
    <row r="11" spans="1:23" ht="21.6" customHeight="1" x14ac:dyDescent="0.3">
      <c r="A11" s="41" t="s">
        <v>823</v>
      </c>
      <c r="B11" s="52">
        <f>-SUMIFS(FINANCIACION[$ CAPITAL],
FINANCIACION[Fecha],"&lt;="&amp;EOMONTH(B$1,0),
FINANCIACION[PRESTAMO],$A11)</f>
        <v>0</v>
      </c>
      <c r="C11" s="52">
        <v>60672903.299999997</v>
      </c>
      <c r="D11" s="52">
        <v>60080000</v>
      </c>
      <c r="E11" s="52">
        <v>59380800</v>
      </c>
      <c r="F11" s="52">
        <v>58674608</v>
      </c>
      <c r="G11" s="52">
        <v>57961354.079999998</v>
      </c>
      <c r="H11" s="52">
        <v>57240967.620799996</v>
      </c>
      <c r="I11" s="52">
        <v>56513377.297007993</v>
      </c>
      <c r="J11" s="52">
        <v>55778511.069978073</v>
      </c>
      <c r="K11" s="52">
        <v>55036296.180677854</v>
      </c>
      <c r="L11" s="52">
        <v>54286659.180677854</v>
      </c>
      <c r="M11" s="52">
        <v>53529525.772102699</v>
      </c>
      <c r="N11" s="52">
        <f>-SUMIFS(FINANCIACION[$ CAPITAL],
FINANCIACION[Fecha],"&lt;="&amp;EOMONTH(N$1,0),
FINANCIACION[PRESTAMO],$A11)</f>
        <v>0</v>
      </c>
      <c r="O11" s="52">
        <f>-SUMIFS(FINANCIACION[$ CAPITAL],
FINANCIACION[Fecha],"&lt;="&amp;EOMONTH(O$1,0),
FINANCIACION[PRESTAMO],$A11)</f>
        <v>51992469.240121968</v>
      </c>
      <c r="P11" s="52">
        <f>-SUMIFS(FINANCIACION[$ CAPITAL],
FINANCIACION[Fecha],"&lt;="&amp;EOMONTH(P$1,0),
FINANCIACION[PRESTAMO],$A11)</f>
        <v>51212393.932523191</v>
      </c>
      <c r="Q11" s="52">
        <f>-SUMIFS(FINANCIACION[$ CAPITAL],
FINANCIACION[Fecha],"&lt;="&amp;EOMONTH(Q$1,0),
FINANCIACION[PRESTAMO],$A11)</f>
        <v>0</v>
      </c>
      <c r="R11" s="52">
        <f>-SUMIFS(FINANCIACION[$ CAPITAL],
FINANCIACION[Fecha],"&lt;="&amp;EOMONTH(R$1,0),
FINANCIACION[PRESTAMO],$A11)</f>
        <v>49628763.050566904</v>
      </c>
      <c r="S11" s="52">
        <f>-SUMIFS(FINANCIACION[$ CAPITAL],
FINANCIACION[Fecha],"&lt;="&amp;EOMONTH(S$1,0),
FINANCIACION[PRESTAMO],$A11)</f>
        <v>48825050.68107257</v>
      </c>
      <c r="T11" s="52">
        <f>-SUMIFS(FINANCIACION[$ CAPITAL],
FINANCIACION[Fecha],"&lt;="&amp;EOMONTH(T$1,0),
FINANCIACION[PRESTAMO],$A11)</f>
        <v>48013301.187883295</v>
      </c>
      <c r="U11" s="52">
        <f>-SUMIFS(FINANCIACION[$ CAPITAL],
FINANCIACION[Fecha],"&lt;="&amp;EOMONTH(U$1,0),
FINANCIACION[PRESTAMO],$A11)</f>
        <v>0</v>
      </c>
      <c r="V11" s="52">
        <f>-SUMIFS(FINANCIACION[$ CAPITAL],
FINANCIACION[Fecha],"&lt;="&amp;EOMONTH(V$1,0),
FINANCIACION[PRESTAMO],$A11)</f>
        <v>46365368.199762128</v>
      </c>
      <c r="W11" s="52">
        <f>-SUMIFS(FINANCIACION[$ CAPITAL],
FINANCIACION[Fecha],"&lt;="&amp;EOMONTH(W$1,0),
FINANCIACION[PRESTAMO],$A11)</f>
        <v>45529022.199762128</v>
      </c>
    </row>
    <row r="12" spans="1:23" ht="21.6" customHeight="1" x14ac:dyDescent="0.3">
      <c r="A12" s="41" t="s">
        <v>820</v>
      </c>
      <c r="B12" s="52">
        <f>-SUMIFS(FINANCIACION[$ CAPITAL],
FINANCIACION[Fecha],"&lt;="&amp;EOMONTH(B$1,0),
FINANCIACION[PRESTAMO],$A12)</f>
        <v>0</v>
      </c>
      <c r="C12" s="52">
        <v>74731214</v>
      </c>
      <c r="D12" s="52">
        <v>74178526.140000001</v>
      </c>
      <c r="E12" s="52">
        <v>74178526.140000001</v>
      </c>
      <c r="F12" s="52">
        <v>73720311.4014</v>
      </c>
      <c r="G12" s="52">
        <v>76257514.515414</v>
      </c>
      <c r="H12" s="52">
        <v>72790089.660568133</v>
      </c>
      <c r="I12" s="52">
        <v>72317990.557173818</v>
      </c>
      <c r="J12" s="52">
        <v>71841170.462745562</v>
      </c>
      <c r="K12" s="52">
        <v>71359582.167373016</v>
      </c>
      <c r="L12" s="52">
        <v>70968073.707373023</v>
      </c>
      <c r="M12" s="52">
        <v>70476805.487263486</v>
      </c>
      <c r="N12" s="52">
        <f>-SUMIFS(FINANCIACION[$ CAPITAL],
FINANCIACION[Fecha],"&lt;="&amp;EOMONTH(N$1,0),
FINANCIACION[PRESTAMO],$A12)</f>
        <v>0</v>
      </c>
      <c r="O12" s="52">
        <f>-SUMIFS(FINANCIACION[$ CAPITAL],
FINANCIACION[Fecha],"&lt;="&amp;EOMONTH(O$1,0),
FINANCIACION[PRESTAMO],$A12)</f>
        <v>69555274.015292853</v>
      </c>
      <c r="P12" s="52">
        <f>-SUMIFS(FINANCIACION[$ CAPITAL],
FINANCIACION[Fecha],"&lt;="&amp;EOMONTH(P$1,0),
FINANCIACION[PRESTAMO],$A12)</f>
        <v>69049119.876845777</v>
      </c>
      <c r="Q12" s="52">
        <f>-SUMIFS(FINANCIACION[$ CAPITAL],
FINANCIACION[Fecha],"&lt;="&amp;EOMONTH(Q$1,0),
FINANCIACION[PRESTAMO],$A12)</f>
        <v>0</v>
      </c>
      <c r="R12" s="52">
        <f>-SUMIFS(FINANCIACION[$ CAPITAL],
FINANCIACION[Fecha],"&lt;="&amp;EOMONTH(R$1,0),
FINANCIACION[PRESTAMO],$A12)</f>
        <v>68021576.360384375</v>
      </c>
      <c r="S12" s="52">
        <f>-SUMIFS(FINANCIACION[$ CAPITAL],
FINANCIACION[Fecha],"&lt;="&amp;EOMONTH(S$1,0),
FINANCIACION[PRESTAMO],$A12)</f>
        <v>66700085.245388217</v>
      </c>
      <c r="T12" s="52">
        <f>-SUMIFS(FINANCIACION[$ CAPITAL],
FINANCIACION[Fecha],"&lt;="&amp;EOMONTH(T$1,0),
FINANCIACION[PRESTAMO],$A12)</f>
        <v>65365379.219242096</v>
      </c>
      <c r="U12" s="52">
        <f>-SUMIFS(FINANCIACION[$ CAPITAL],
FINANCIACION[Fecha],"&lt;="&amp;EOMONTH(U$1,0),
FINANCIACION[PRESTAMO],$A12)</f>
        <v>0</v>
      </c>
      <c r="V12" s="52">
        <f>-SUMIFS(FINANCIACION[$ CAPITAL],
FINANCIACION[Fecha],"&lt;="&amp;EOMONTH(V$1,0),
FINANCIACION[PRESTAMO],$A12)</f>
        <v>62657499.132834516</v>
      </c>
      <c r="W12" s="52">
        <f>-SUMIFS(FINANCIACION[$ CAPITAL],
FINANCIACION[Fecha],"&lt;="&amp;EOMONTH(W$1,0),
FINANCIACION[PRESTAMO],$A12)</f>
        <v>61284074.132834516</v>
      </c>
    </row>
    <row r="13" spans="1:23" ht="21.6" hidden="1" customHeight="1" x14ac:dyDescent="0.3">
      <c r="A13" s="41" t="s">
        <v>848</v>
      </c>
      <c r="B13" s="52">
        <f>-SUMIFS(FINANCIACION[$ CAPITAL],
FINANCIACION[Fecha],"&lt;="&amp;EOMONTH(B$1,0),
FINANCIACION[PRESTAMO],$A13)</f>
        <v>0</v>
      </c>
      <c r="C13" s="52">
        <v>0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f>-SUMIFS(FINANCIACION[$ CAPITAL],
FINANCIACION[Fecha],"&lt;="&amp;EOMONTH(N$1,0),
FINANCIACION[PRESTAMO],$A13)</f>
        <v>0</v>
      </c>
      <c r="O13" s="52">
        <f>-SUMIFS(FINANCIACION[$ CAPITAL],
FINANCIACION[Fecha],"&lt;="&amp;EOMONTH(O$1,0),
FINANCIACION[PRESTAMO],$A13)</f>
        <v>0</v>
      </c>
      <c r="P13" s="52">
        <f>-SUMIFS(FINANCIACION[$ CAPITAL],
FINANCIACION[Fecha],"&lt;="&amp;EOMONTH(P$1,0),
FINANCIACION[PRESTAMO],$A13)</f>
        <v>0</v>
      </c>
      <c r="Q13" s="52">
        <f>-SUMIFS(FINANCIACION[$ CAPITAL],
FINANCIACION[Fecha],"&lt;="&amp;EOMONTH(Q$1,0),
FINANCIACION[PRESTAMO],$A13)</f>
        <v>0</v>
      </c>
      <c r="R13" s="52">
        <f>-SUMIFS(FINANCIACION[$ CAPITAL],
FINANCIACION[Fecha],"&lt;="&amp;EOMONTH(R$1,0),
FINANCIACION[PRESTAMO],$A13)</f>
        <v>0</v>
      </c>
      <c r="S13" s="52">
        <f>-SUMIFS(FINANCIACION[$ CAPITAL],
FINANCIACION[Fecha],"&lt;="&amp;EOMONTH(S$1,0),
FINANCIACION[PRESTAMO],$A13)</f>
        <v>0</v>
      </c>
      <c r="T13" s="52">
        <f>-SUMIFS(FINANCIACION[$ CAPITAL],
FINANCIACION[Fecha],"&lt;="&amp;EOMONTH(T$1,0),
FINANCIACION[PRESTAMO],$A13)</f>
        <v>0</v>
      </c>
      <c r="U13" s="52">
        <f>-SUMIFS(FINANCIACION[$ CAPITAL],
FINANCIACION[Fecha],"&lt;="&amp;EOMONTH(U$1,0),
FINANCIACION[PRESTAMO],$A13)</f>
        <v>0</v>
      </c>
      <c r="V13" s="52">
        <f>-SUMIFS(FINANCIACION[$ CAPITAL],
FINANCIACION[Fecha],"&lt;="&amp;EOMONTH(V$1,0),
FINANCIACION[PRESTAMO],$A13)</f>
        <v>0</v>
      </c>
      <c r="W13" s="52">
        <f>-SUMIFS(FINANCIACION[$ CAPITAL],
FINANCIACION[Fecha],"&lt;="&amp;EOMONTH(W$1,0),
FINANCIACION[PRESTAMO],$A13)</f>
        <v>0</v>
      </c>
    </row>
    <row r="14" spans="1:23" ht="21.6" hidden="1" customHeight="1" x14ac:dyDescent="0.3">
      <c r="A14" s="41" t="s">
        <v>849</v>
      </c>
      <c r="B14" s="52">
        <f>-SUMIFS(FINANCIACION[$ CAPITAL],
FINANCIACION[Fecha],"&lt;="&amp;EOMONTH(B$1,0),
FINANCIACION[PRESTAMO],$A14)</f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f>-SUMIFS(FINANCIACION[$ CAPITAL],
FINANCIACION[Fecha],"&lt;="&amp;EOMONTH(N$1,0),
FINANCIACION[PRESTAMO],$A14)</f>
        <v>0</v>
      </c>
      <c r="O14" s="52">
        <f>-SUMIFS(FINANCIACION[$ CAPITAL],
FINANCIACION[Fecha],"&lt;="&amp;EOMONTH(O$1,0),
FINANCIACION[PRESTAMO],$A14)</f>
        <v>0</v>
      </c>
      <c r="P14" s="52">
        <f>-SUMIFS(FINANCIACION[$ CAPITAL],
FINANCIACION[Fecha],"&lt;="&amp;EOMONTH(P$1,0),
FINANCIACION[PRESTAMO],$A14)</f>
        <v>0</v>
      </c>
      <c r="Q14" s="52">
        <f>-SUMIFS(FINANCIACION[$ CAPITAL],
FINANCIACION[Fecha],"&lt;="&amp;EOMONTH(Q$1,0),
FINANCIACION[PRESTAMO],$A14)</f>
        <v>0</v>
      </c>
      <c r="R14" s="52">
        <f>-SUMIFS(FINANCIACION[$ CAPITAL],
FINANCIACION[Fecha],"&lt;="&amp;EOMONTH(R$1,0),
FINANCIACION[PRESTAMO],$A14)</f>
        <v>0</v>
      </c>
      <c r="S14" s="52">
        <f>-SUMIFS(FINANCIACION[$ CAPITAL],
FINANCIACION[Fecha],"&lt;="&amp;EOMONTH(S$1,0),
FINANCIACION[PRESTAMO],$A14)</f>
        <v>0</v>
      </c>
      <c r="T14" s="52">
        <f>-SUMIFS(FINANCIACION[$ CAPITAL],
FINANCIACION[Fecha],"&lt;="&amp;EOMONTH(T$1,0),
FINANCIACION[PRESTAMO],$A14)</f>
        <v>0</v>
      </c>
      <c r="U14" s="52">
        <f>-SUMIFS(FINANCIACION[$ CAPITAL],
FINANCIACION[Fecha],"&lt;="&amp;EOMONTH(U$1,0),
FINANCIACION[PRESTAMO],$A14)</f>
        <v>0</v>
      </c>
      <c r="V14" s="52">
        <f>-SUMIFS(FINANCIACION[$ CAPITAL],
FINANCIACION[Fecha],"&lt;="&amp;EOMONTH(V$1,0),
FINANCIACION[PRESTAMO],$A14)</f>
        <v>0</v>
      </c>
      <c r="W14" s="52">
        <f>-SUMIFS(FINANCIACION[$ CAPITAL],
FINANCIACION[Fecha],"&lt;="&amp;EOMONTH(W$1,0),
FINANCIACION[PRESTAMO],$A14)</f>
        <v>0</v>
      </c>
    </row>
    <row r="15" spans="1:23" ht="21.6" customHeight="1" x14ac:dyDescent="0.3">
      <c r="A15" s="41" t="s">
        <v>850</v>
      </c>
      <c r="B15" s="52">
        <f>-SUMIFS(FINANCIACION[$ CAPITAL],
FINANCIACION[Fecha],"&lt;="&amp;EOMONTH(B$1,0),
FINANCIACION[PRESTAMO],$A15)</f>
        <v>0</v>
      </c>
      <c r="C15" s="52">
        <v>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f>-SUMIFS(FINANCIACION[$ CAPITAL],
FINANCIACION[Fecha],"&lt;="&amp;EOMONTH(N$1,0),
FINANCIACION[PRESTAMO],$A15)</f>
        <v>0</v>
      </c>
      <c r="O15" s="52">
        <f>-SUMIFS(FINANCIACION[$ CAPITAL],
FINANCIACION[Fecha],"&lt;="&amp;EOMONTH(O$1,0),
FINANCIACION[PRESTAMO],$A15)</f>
        <v>0</v>
      </c>
      <c r="P15" s="52">
        <f>-SUMIFS(FINANCIACION[$ CAPITAL],
FINANCIACION[Fecha],"&lt;="&amp;EOMONTH(P$1,0),
FINANCIACION[PRESTAMO],$A15)</f>
        <v>0</v>
      </c>
      <c r="Q15" s="52">
        <f>-SUMIFS(FINANCIACION[$ CAPITAL],
FINANCIACION[Fecha],"&lt;="&amp;EOMONTH(Q$1,0),
FINANCIACION[PRESTAMO],$A15)</f>
        <v>0</v>
      </c>
      <c r="R15" s="52">
        <f>-SUMIFS(FINANCIACION[$ CAPITAL],
FINANCIACION[Fecha],"&lt;="&amp;EOMONTH(R$1,0),
FINANCIACION[PRESTAMO],$A15)</f>
        <v>0</v>
      </c>
      <c r="S15" s="52">
        <f>-SUMIFS(FINANCIACION[$ CAPITAL],
FINANCIACION[Fecha],"&lt;="&amp;EOMONTH(S$1,0),
FINANCIACION[PRESTAMO],$A15)</f>
        <v>50000000</v>
      </c>
      <c r="T15" s="52">
        <f>-SUMIFS(FINANCIACION[$ CAPITAL],
FINANCIACION[Fecha],"&lt;="&amp;EOMONTH(T$1,0),
FINANCIACION[PRESTAMO],$A15)</f>
        <v>50000000</v>
      </c>
      <c r="U15" s="52">
        <f>-SUMIFS(FINANCIACION[$ CAPITAL],
FINANCIACION[Fecha],"&lt;="&amp;EOMONTH(U$1,0),
FINANCIACION[PRESTAMO],$A15)</f>
        <v>0</v>
      </c>
      <c r="V15" s="52">
        <f>-SUMIFS(FINANCIACION[$ CAPITAL],
FINANCIACION[Fecha],"&lt;="&amp;EOMONTH(V$1,0),
FINANCIACION[PRESTAMO],$A15)</f>
        <v>50000000</v>
      </c>
      <c r="W15" s="52">
        <f>-SUMIFS(FINANCIACION[$ CAPITAL],
FINANCIACION[Fecha],"&lt;="&amp;EOMONTH(W$1,0),
FINANCIACION[PRESTAMO],$A15)</f>
        <v>25000000</v>
      </c>
    </row>
    <row r="16" spans="1:23" ht="21.6" hidden="1" customHeight="1" x14ac:dyDescent="0.3">
      <c r="A16" s="41" t="s">
        <v>837</v>
      </c>
      <c r="B16" s="52">
        <f>-SUMIFS(FINANCIACION[$ CAPITAL],
FINANCIACION[Fecha],"&lt;="&amp;EOMONTH(B$1,0),
FINANCIACION[PRESTAMO],$A16)</f>
        <v>0</v>
      </c>
      <c r="C16" s="52">
        <v>0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f>-SUMIFS(FINANCIACION[$ CAPITAL],
FINANCIACION[Fecha],"&lt;="&amp;EOMONTH(N$1,0),
FINANCIACION[PRESTAMO],$A16)</f>
        <v>0</v>
      </c>
      <c r="O16" s="52">
        <f>-SUMIFS(FINANCIACION[$ CAPITAL],
FINANCIACION[Fecha],"&lt;="&amp;EOMONTH(O$1,0),
FINANCIACION[PRESTAMO],$A16)</f>
        <v>33517032.5</v>
      </c>
      <c r="P16" s="52">
        <f>-SUMIFS(FINANCIACION[$ CAPITAL],
FINANCIACION[Fecha],"&lt;="&amp;EOMONTH(P$1,0),
FINANCIACION[PRESTAMO],$A16)</f>
        <v>3178532.5</v>
      </c>
      <c r="Q16" s="52">
        <f>-SUMIFS(FINANCIACION[$ CAPITAL],
FINANCIACION[Fecha],"&lt;="&amp;EOMONTH(Q$1,0),
FINANCIACION[PRESTAMO],$A16)</f>
        <v>0</v>
      </c>
      <c r="R16" s="52">
        <f>-SUMIFS(FINANCIACION[$ CAPITAL],
FINANCIACION[Fecha],"&lt;="&amp;EOMONTH(R$1,0),
FINANCIACION[PRESTAMO],$A16)</f>
        <v>0</v>
      </c>
      <c r="S16" s="52">
        <f>-SUMIFS(FINANCIACION[$ CAPITAL],
FINANCIACION[Fecha],"&lt;="&amp;EOMONTH(S$1,0),
FINANCIACION[PRESTAMO],$A16)</f>
        <v>0</v>
      </c>
      <c r="T16" s="52">
        <f>-SUMIFS(FINANCIACION[$ CAPITAL],
FINANCIACION[Fecha],"&lt;="&amp;EOMONTH(T$1,0),
FINANCIACION[PRESTAMO],$A16)</f>
        <v>0</v>
      </c>
      <c r="U16" s="52">
        <f>-SUMIFS(FINANCIACION[$ CAPITAL],
FINANCIACION[Fecha],"&lt;="&amp;EOMONTH(U$1,0),
FINANCIACION[PRESTAMO],$A16)</f>
        <v>0</v>
      </c>
      <c r="V16" s="52">
        <f>-SUMIFS(FINANCIACION[$ CAPITAL],
FINANCIACION[Fecha],"&lt;="&amp;EOMONTH(V$1,0),
FINANCIACION[PRESTAMO],$A16)</f>
        <v>0</v>
      </c>
      <c r="W16" s="52">
        <f>-SUMIFS(FINANCIACION[$ CAPITAL],
FINANCIACION[Fecha],"&lt;="&amp;EOMONTH(W$1,0),
FINANCIACION[PRESTAMO],$A16)</f>
        <v>0</v>
      </c>
    </row>
    <row r="17" spans="1:23" ht="21.6" customHeight="1" x14ac:dyDescent="0.3">
      <c r="A17" s="41" t="s">
        <v>828</v>
      </c>
      <c r="B17" s="52">
        <f>-SUMIFS(FINANCIACION[$ CAPITAL],
FINANCIACION[Fecha],"&lt;="&amp;EOMONTH(B$1,0),
FINANCIACION[PRESTAMO],$A17)</f>
        <v>0</v>
      </c>
      <c r="C17" s="52">
        <v>8000000</v>
      </c>
      <c r="D17" s="52">
        <v>8000000</v>
      </c>
      <c r="E17" s="52">
        <v>8000000</v>
      </c>
      <c r="F17" s="52">
        <v>8000000</v>
      </c>
      <c r="G17" s="52">
        <v>8000000</v>
      </c>
      <c r="H17" s="52">
        <v>8000000</v>
      </c>
      <c r="I17" s="52">
        <v>8000000</v>
      </c>
      <c r="J17" s="52">
        <v>8000000</v>
      </c>
      <c r="K17" s="52">
        <v>8000000</v>
      </c>
      <c r="L17" s="52">
        <v>8000000</v>
      </c>
      <c r="M17" s="52">
        <v>8000000</v>
      </c>
      <c r="N17" s="52">
        <f>-SUMIFS(FINANCIACION[$ CAPITAL],
FINANCIACION[Fecha],"&lt;="&amp;EOMONTH(N$1,0),
FINANCIACION[PRESTAMO],$A17)</f>
        <v>0</v>
      </c>
      <c r="O17" s="52">
        <f>-SUMIFS(FINANCIACION[$ CAPITAL],
FINANCIACION[Fecha],"&lt;="&amp;EOMONTH(O$1,0),
FINANCIACION[PRESTAMO],$A17)</f>
        <v>8000000</v>
      </c>
      <c r="P17" s="52">
        <f>-SUMIFS(FINANCIACION[$ CAPITAL],
FINANCIACION[Fecha],"&lt;="&amp;EOMONTH(P$1,0),
FINANCIACION[PRESTAMO],$A17)</f>
        <v>8000000</v>
      </c>
      <c r="Q17" s="52">
        <f>-SUMIFS(FINANCIACION[$ CAPITAL],
FINANCIACION[Fecha],"&lt;="&amp;EOMONTH(Q$1,0),
FINANCIACION[PRESTAMO],$A17)</f>
        <v>0</v>
      </c>
      <c r="R17" s="52">
        <f>-SUMIFS(FINANCIACION[$ CAPITAL],
FINANCIACION[Fecha],"&lt;="&amp;EOMONTH(R$1,0),
FINANCIACION[PRESTAMO],$A17)</f>
        <v>8000000</v>
      </c>
      <c r="S17" s="52">
        <f>-SUMIFS(FINANCIACION[$ CAPITAL],
FINANCIACION[Fecha],"&lt;="&amp;EOMONTH(S$1,0),
FINANCIACION[PRESTAMO],$A17)</f>
        <v>8000000</v>
      </c>
      <c r="T17" s="52">
        <f>-SUMIFS(FINANCIACION[$ CAPITAL],
FINANCIACION[Fecha],"&lt;="&amp;EOMONTH(T$1,0),
FINANCIACION[PRESTAMO],$A17)</f>
        <v>8000000</v>
      </c>
      <c r="U17" s="52">
        <f>-SUMIFS(FINANCIACION[$ CAPITAL],
FINANCIACION[Fecha],"&lt;="&amp;EOMONTH(U$1,0),
FINANCIACION[PRESTAMO],$A17)</f>
        <v>0</v>
      </c>
      <c r="V17" s="52">
        <f>-SUMIFS(FINANCIACION[$ CAPITAL],
FINANCIACION[Fecha],"&lt;="&amp;EOMONTH(V$1,0),
FINANCIACION[PRESTAMO],$A17)</f>
        <v>8000000</v>
      </c>
      <c r="W17" s="52">
        <f>-SUMIFS(FINANCIACION[$ CAPITAL],
FINANCIACION[Fecha],"&lt;="&amp;EOMONTH(W$1,0),
FINANCIACION[PRESTAMO],$A17)</f>
        <v>8000000</v>
      </c>
    </row>
    <row r="18" spans="1:23" ht="21.6" customHeight="1" x14ac:dyDescent="0.3">
      <c r="A18" s="41" t="s">
        <v>832</v>
      </c>
      <c r="B18" s="52">
        <f>-SUMIFS(FINANCIACION[$ CAPITAL],
FINANCIACION[Fecha],"&lt;="&amp;EOMONTH(B$1,0),
FINANCIACION[PRESTAMO],$A18)</f>
        <v>0</v>
      </c>
      <c r="C18" s="52">
        <v>0</v>
      </c>
      <c r="D18" s="52">
        <v>0</v>
      </c>
      <c r="E18" s="52">
        <v>12000000</v>
      </c>
      <c r="F18" s="52">
        <v>12000000</v>
      </c>
      <c r="G18" s="52">
        <v>12000000</v>
      </c>
      <c r="H18" s="52">
        <v>12000000</v>
      </c>
      <c r="I18" s="52">
        <v>12000000</v>
      </c>
      <c r="J18" s="52">
        <v>12000000</v>
      </c>
      <c r="K18" s="52">
        <v>12000000</v>
      </c>
      <c r="L18" s="52">
        <v>12000000</v>
      </c>
      <c r="M18" s="52">
        <v>12000000</v>
      </c>
      <c r="N18" s="52">
        <f>-SUMIFS(FINANCIACION[$ CAPITAL],
FINANCIACION[Fecha],"&lt;="&amp;EOMONTH(N$1,0),
FINANCIACION[PRESTAMO],$A18)</f>
        <v>0</v>
      </c>
      <c r="O18" s="52">
        <f>-SUMIFS(FINANCIACION[$ CAPITAL],
FINANCIACION[Fecha],"&lt;="&amp;EOMONTH(O$1,0),
FINANCIACION[PRESTAMO],$A18)</f>
        <v>12000000</v>
      </c>
      <c r="P18" s="52">
        <f>-SUMIFS(FINANCIACION[$ CAPITAL],
FINANCIACION[Fecha],"&lt;="&amp;EOMONTH(P$1,0),
FINANCIACION[PRESTAMO],$A18)</f>
        <v>12000000</v>
      </c>
      <c r="Q18" s="52">
        <f>-SUMIFS(FINANCIACION[$ CAPITAL],
FINANCIACION[Fecha],"&lt;="&amp;EOMONTH(Q$1,0),
FINANCIACION[PRESTAMO],$A18)</f>
        <v>0</v>
      </c>
      <c r="R18" s="52">
        <f>-SUMIFS(FINANCIACION[$ CAPITAL],
FINANCIACION[Fecha],"&lt;="&amp;EOMONTH(R$1,0),
FINANCIACION[PRESTAMO],$A18)</f>
        <v>12000000</v>
      </c>
      <c r="S18" s="52">
        <f>-SUMIFS(FINANCIACION[$ CAPITAL],
FINANCIACION[Fecha],"&lt;="&amp;EOMONTH(S$1,0),
FINANCIACION[PRESTAMO],$A18)</f>
        <v>12000000</v>
      </c>
      <c r="T18" s="52">
        <f>-SUMIFS(FINANCIACION[$ CAPITAL],
FINANCIACION[Fecha],"&lt;="&amp;EOMONTH(T$1,0),
FINANCIACION[PRESTAMO],$A18)</f>
        <v>12000000</v>
      </c>
      <c r="U18" s="52">
        <f>-SUMIFS(FINANCIACION[$ CAPITAL],
FINANCIACION[Fecha],"&lt;="&amp;EOMONTH(U$1,0),
FINANCIACION[PRESTAMO],$A18)</f>
        <v>0</v>
      </c>
      <c r="V18" s="52">
        <f>-SUMIFS(FINANCIACION[$ CAPITAL],
FINANCIACION[Fecha],"&lt;="&amp;EOMONTH(V$1,0),
FINANCIACION[PRESTAMO],$A18)</f>
        <v>12000000</v>
      </c>
      <c r="W18" s="52">
        <f>-SUMIFS(FINANCIACION[$ CAPITAL],
FINANCIACION[Fecha],"&lt;="&amp;EOMONTH(W$1,0),
FINANCIACION[PRESTAMO],$A18)</f>
        <v>12000000</v>
      </c>
    </row>
    <row r="19" spans="1:23" ht="21.6" hidden="1" customHeight="1" x14ac:dyDescent="0.3">
      <c r="A19" s="41" t="s">
        <v>186</v>
      </c>
      <c r="B19" s="52">
        <f>-SUMIFS(FINANCIACION[$ CAPITAL],
FINANCIACION[Fecha],"&lt;="&amp;EOMONTH(B$1,0),
FINANCIACION[PRESTAMO],$A19)</f>
        <v>0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f>-SUMIFS(FINANCIACION[$ CAPITAL],
FINANCIACION[Fecha],"&lt;="&amp;EOMONTH(N$1,0),
FINANCIACION[PRESTAMO],$A19)</f>
        <v>0</v>
      </c>
      <c r="O19" s="52">
        <f>-SUMIFS(FINANCIACION[$ CAPITAL],
FINANCIACION[Fecha],"&lt;="&amp;EOMONTH(O$1,0),
FINANCIACION[PRESTAMO],$A19)</f>
        <v>0</v>
      </c>
      <c r="P19" s="52">
        <f>-SUMIFS(FINANCIACION[$ CAPITAL],
FINANCIACION[Fecha],"&lt;="&amp;EOMONTH(P$1,0),
FINANCIACION[PRESTAMO],$A19)</f>
        <v>0</v>
      </c>
      <c r="Q19" s="52">
        <f>-SUMIFS(FINANCIACION[$ CAPITAL],
FINANCIACION[Fecha],"&lt;="&amp;EOMONTH(Q$1,0),
FINANCIACION[PRESTAMO],$A19)</f>
        <v>0</v>
      </c>
      <c r="R19" s="52">
        <f>-SUMIFS(FINANCIACION[$ CAPITAL],
FINANCIACION[Fecha],"&lt;="&amp;EOMONTH(R$1,0),
FINANCIACION[PRESTAMO],$A19)</f>
        <v>0</v>
      </c>
      <c r="S19" s="52">
        <f>-SUMIFS(FINANCIACION[$ CAPITAL],
FINANCIACION[Fecha],"&lt;="&amp;EOMONTH(S$1,0),
FINANCIACION[PRESTAMO],$A19)</f>
        <v>0</v>
      </c>
      <c r="T19" s="52">
        <f>-SUMIFS(FINANCIACION[$ CAPITAL],
FINANCIACION[Fecha],"&lt;="&amp;EOMONTH(T$1,0),
FINANCIACION[PRESTAMO],$A19)</f>
        <v>0</v>
      </c>
      <c r="U19" s="52">
        <f>-SUMIFS(FINANCIACION[$ CAPITAL],
FINANCIACION[Fecha],"&lt;="&amp;EOMONTH(U$1,0),
FINANCIACION[PRESTAMO],$A19)</f>
        <v>0</v>
      </c>
      <c r="V19" s="52">
        <f>-SUMIFS(FINANCIACION[$ CAPITAL],
FINANCIACION[Fecha],"&lt;="&amp;EOMONTH(V$1,0),
FINANCIACION[PRESTAMO],$A19)</f>
        <v>0</v>
      </c>
      <c r="W19" s="52">
        <f>-SUMIFS(FINANCIACION[$ CAPITAL],
FINANCIACION[Fecha],"&lt;="&amp;EOMONTH(W$1,0),
FINANCIACION[PRESTAMO],$A19)</f>
        <v>0</v>
      </c>
    </row>
    <row r="20" spans="1:23" ht="21.6" customHeight="1" x14ac:dyDescent="0.3">
      <c r="A20" s="41" t="s">
        <v>187</v>
      </c>
      <c r="B20" s="52">
        <f>-SUMIFS(FINANCIACION[$ CAPITAL],
FINANCIACION[Fecha],"&lt;="&amp;EOMONTH(B$1,0),
FINANCIACION[PRESTAMO],$A20)</f>
        <v>0</v>
      </c>
      <c r="C20" s="52">
        <v>54330833</v>
      </c>
      <c r="D20" s="52">
        <v>52862433</v>
      </c>
      <c r="E20" s="52">
        <v>51394000</v>
      </c>
      <c r="F20" s="52">
        <v>49925600</v>
      </c>
      <c r="G20" s="52">
        <v>48457200</v>
      </c>
      <c r="H20" s="52">
        <v>48457200</v>
      </c>
      <c r="I20" s="52">
        <v>45520400</v>
      </c>
      <c r="J20" s="52">
        <v>44052000</v>
      </c>
      <c r="K20" s="52">
        <v>44052000</v>
      </c>
      <c r="L20" s="52">
        <v>41115200</v>
      </c>
      <c r="M20" s="52">
        <v>41115200</v>
      </c>
      <c r="N20" s="52">
        <f>-SUMIFS(FINANCIACION[$ CAPITAL],
FINANCIACION[Fecha],"&lt;="&amp;EOMONTH(N$1,0),
FINANCIACION[PRESTAMO],$A20)</f>
        <v>0</v>
      </c>
      <c r="O20" s="52">
        <f>-SUMIFS(FINANCIACION[$ CAPITAL],
FINANCIACION[Fecha],"&lt;="&amp;EOMONTH(O$1,0),
FINANCIACION[PRESTAMO],$A20)</f>
        <v>36710000</v>
      </c>
      <c r="P20" s="52">
        <f>-SUMIFS(FINANCIACION[$ CAPITAL],
FINANCIACION[Fecha],"&lt;="&amp;EOMONTH(P$1,0),
FINANCIACION[PRESTAMO],$A20)</f>
        <v>35241600</v>
      </c>
      <c r="Q20" s="52">
        <f>-SUMIFS(FINANCIACION[$ CAPITAL],
FINANCIACION[Fecha],"&lt;="&amp;EOMONTH(Q$1,0),
FINANCIACION[PRESTAMO],$A20)</f>
        <v>0</v>
      </c>
      <c r="R20" s="52">
        <f>-SUMIFS(FINANCIACION[$ CAPITAL],
FINANCIACION[Fecha],"&lt;="&amp;EOMONTH(R$1,0),
FINANCIACION[PRESTAMO],$A20)</f>
        <v>32304800</v>
      </c>
      <c r="S20" s="52">
        <f>-SUMIFS(FINANCIACION[$ CAPITAL],
FINANCIACION[Fecha],"&lt;="&amp;EOMONTH(S$1,0),
FINANCIACION[PRESTAMO],$A20)</f>
        <v>30836400</v>
      </c>
      <c r="T20" s="52">
        <f>-SUMIFS(FINANCIACION[$ CAPITAL],
FINANCIACION[Fecha],"&lt;="&amp;EOMONTH(T$1,0),
FINANCIACION[PRESTAMO],$A20)</f>
        <v>30836400</v>
      </c>
      <c r="U20" s="52">
        <f>-SUMIFS(FINANCIACION[$ CAPITAL],
FINANCIACION[Fecha],"&lt;="&amp;EOMONTH(U$1,0),
FINANCIACION[PRESTAMO],$A20)</f>
        <v>0</v>
      </c>
      <c r="V20" s="52">
        <f>-SUMIFS(FINANCIACION[$ CAPITAL],
FINANCIACION[Fecha],"&lt;="&amp;EOMONTH(V$1,0),
FINANCIACION[PRESTAMO],$A20)</f>
        <v>26431200</v>
      </c>
      <c r="W20" s="52">
        <f>-SUMIFS(FINANCIACION[$ CAPITAL],
FINANCIACION[Fecha],"&lt;="&amp;EOMONTH(W$1,0),
FINANCIACION[PRESTAMO],$A20)</f>
        <v>24514920</v>
      </c>
    </row>
    <row r="21" spans="1:23" ht="21.6" customHeight="1" x14ac:dyDescent="0.3">
      <c r="A21" s="41" t="s">
        <v>188</v>
      </c>
      <c r="B21" s="52">
        <f>-SUMIFS(FINANCIACION[$ CAPITAL],
FINANCIACION[Fecha],"&lt;="&amp;EOMONTH(B$1,0),
FINANCIACION[PRESTAMO],$A21)</f>
        <v>0</v>
      </c>
      <c r="C21" s="52">
        <v>2841267</v>
      </c>
      <c r="D21" s="52">
        <v>2841267</v>
      </c>
      <c r="E21" s="52">
        <v>2687685</v>
      </c>
      <c r="F21" s="52">
        <v>2610894</v>
      </c>
      <c r="G21" s="52">
        <v>2534103</v>
      </c>
      <c r="H21" s="52">
        <v>2534103</v>
      </c>
      <c r="I21" s="52">
        <v>2380521</v>
      </c>
      <c r="J21" s="52">
        <v>2303730</v>
      </c>
      <c r="K21" s="52">
        <v>2303730</v>
      </c>
      <c r="L21" s="52">
        <v>2150148</v>
      </c>
      <c r="M21" s="52">
        <v>2150148</v>
      </c>
      <c r="N21" s="52">
        <f>-SUMIFS(FINANCIACION[$ CAPITAL],
FINANCIACION[Fecha],"&lt;="&amp;EOMONTH(N$1,0),
FINANCIACION[PRESTAMO],$A21)</f>
        <v>0</v>
      </c>
      <c r="O21" s="52">
        <f>-SUMIFS(FINANCIACION[$ CAPITAL],
FINANCIACION[Fecha],"&lt;="&amp;EOMONTH(O$1,0),
FINANCIACION[PRESTAMO],$A21)</f>
        <v>1919775</v>
      </c>
      <c r="P21" s="52">
        <f>-SUMIFS(FINANCIACION[$ CAPITAL],
FINANCIACION[Fecha],"&lt;="&amp;EOMONTH(P$1,0),
FINANCIACION[PRESTAMO],$A21)</f>
        <v>1842984</v>
      </c>
      <c r="Q21" s="52">
        <f>-SUMIFS(FINANCIACION[$ CAPITAL],
FINANCIACION[Fecha],"&lt;="&amp;EOMONTH(Q$1,0),
FINANCIACION[PRESTAMO],$A21)</f>
        <v>0</v>
      </c>
      <c r="R21" s="52">
        <f>-SUMIFS(FINANCIACION[$ CAPITAL],
FINANCIACION[Fecha],"&lt;="&amp;EOMONTH(R$1,0),
FINANCIACION[PRESTAMO],$A21)</f>
        <v>1689402</v>
      </c>
      <c r="S21" s="52">
        <f>-SUMIFS(FINANCIACION[$ CAPITAL],
FINANCIACION[Fecha],"&lt;="&amp;EOMONTH(S$1,0),
FINANCIACION[PRESTAMO],$A21)</f>
        <v>1612611</v>
      </c>
      <c r="T21" s="52">
        <f>-SUMIFS(FINANCIACION[$ CAPITAL],
FINANCIACION[Fecha],"&lt;="&amp;EOMONTH(T$1,0),
FINANCIACION[PRESTAMO],$A21)</f>
        <v>1612611</v>
      </c>
      <c r="U21" s="52">
        <f>-SUMIFS(FINANCIACION[$ CAPITAL],
FINANCIACION[Fecha],"&lt;="&amp;EOMONTH(U$1,0),
FINANCIACION[PRESTAMO],$A21)</f>
        <v>0</v>
      </c>
      <c r="V21" s="52">
        <f>-SUMIFS(FINANCIACION[$ CAPITAL],
FINANCIACION[Fecha],"&lt;="&amp;EOMONTH(V$1,0),
FINANCIACION[PRESTAMO],$A21)</f>
        <v>1382238</v>
      </c>
      <c r="W21" s="52">
        <f>-SUMIFS(FINANCIACION[$ CAPITAL],
FINANCIACION[Fecha],"&lt;="&amp;EOMONTH(W$1,0),
FINANCIACION[PRESTAMO],$A21)</f>
        <v>1305447</v>
      </c>
    </row>
    <row r="22" spans="1:23" ht="21.6" customHeight="1" x14ac:dyDescent="0.3">
      <c r="A22" s="41" t="s">
        <v>839</v>
      </c>
      <c r="B22" s="52">
        <f>-SUMIFS(FINANCIACION[$ CAPITAL],
FINANCIACION[Fecha],"&lt;="&amp;EOMONTH(B$1,0),
FINANCIACION[PRESTAMO],$A22)</f>
        <v>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f>-SUMIFS(FINANCIACION[$ CAPITAL],
FINANCIACION[Fecha],"&lt;="&amp;EOMONTH(N$1,0),
FINANCIACION[PRESTAMO],$A22)</f>
        <v>0</v>
      </c>
      <c r="O22" s="52">
        <f>-SUMIFS(FINANCIACION[$ CAPITAL],
FINANCIACION[Fecha],"&lt;="&amp;EOMONTH(O$1,0),
FINANCIACION[PRESTAMO],$A22)</f>
        <v>20939506</v>
      </c>
      <c r="P22" s="52">
        <f>-SUMIFS(FINANCIACION[$ CAPITAL],
FINANCIACION[Fecha],"&lt;="&amp;EOMONTH(P$1,0),
FINANCIACION[PRESTAMO],$A22)</f>
        <v>19194548</v>
      </c>
      <c r="Q22" s="52">
        <f>-SUMIFS(FINANCIACION[$ CAPITAL],
FINANCIACION[Fecha],"&lt;="&amp;EOMONTH(Q$1,0),
FINANCIACION[PRESTAMO],$A22)</f>
        <v>0</v>
      </c>
      <c r="R22" s="52">
        <f>-SUMIFS(FINANCIACION[$ CAPITAL],
FINANCIACION[Fecha],"&lt;="&amp;EOMONTH(R$1,0),
FINANCIACION[PRESTAMO],$A22)</f>
        <v>15704632</v>
      </c>
      <c r="S22" s="52">
        <f>-SUMIFS(FINANCIACION[$ CAPITAL],
FINANCIACION[Fecha],"&lt;="&amp;EOMONTH(S$1,0),
FINANCIACION[PRESTAMO],$A22)</f>
        <v>13959674</v>
      </c>
      <c r="T22" s="52">
        <f>-SUMIFS(FINANCIACION[$ CAPITAL],
FINANCIACION[Fecha],"&lt;="&amp;EOMONTH(T$1,0),
FINANCIACION[PRESTAMO],$A22)</f>
        <v>12213322</v>
      </c>
      <c r="U22" s="52">
        <f>-SUMIFS(FINANCIACION[$ CAPITAL],
FINANCIACION[Fecha],"&lt;="&amp;EOMONTH(U$1,0),
FINANCIACION[PRESTAMO],$A22)</f>
        <v>0</v>
      </c>
      <c r="V22" s="52">
        <f>-SUMIFS(FINANCIACION[$ CAPITAL],
FINANCIACION[Fecha],"&lt;="&amp;EOMONTH(V$1,0),
FINANCIACION[PRESTAMO],$A22)</f>
        <v>8723406</v>
      </c>
      <c r="W22" s="52">
        <f>-SUMIFS(FINANCIACION[$ CAPITAL],
FINANCIACION[Fecha],"&lt;="&amp;EOMONTH(W$1,0),
FINANCIACION[PRESTAMO],$A22)</f>
        <v>6978448</v>
      </c>
    </row>
    <row r="23" spans="1:23" ht="21.6" hidden="1" customHeight="1" x14ac:dyDescent="0.3">
      <c r="A23" s="41" t="s">
        <v>189</v>
      </c>
      <c r="B23" s="52">
        <f>-SUMIFS(FINANCIACION[$ CAPITAL],
FINANCIACION[Fecha],"&lt;="&amp;EOMONTH(B$1,0),
FINANCIACION[PRESTAMO],$A23)</f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f>-SUMIFS(FINANCIACION[$ CAPITAL],
FINANCIACION[Fecha],"&lt;="&amp;EOMONTH(N$1,0),
FINANCIACION[PRESTAMO],$A23)</f>
        <v>0</v>
      </c>
      <c r="O23" s="52">
        <f>-SUMIFS(FINANCIACION[$ CAPITAL],
FINANCIACION[Fecha],"&lt;="&amp;EOMONTH(O$1,0),
FINANCIACION[PRESTAMO],$A23)</f>
        <v>0</v>
      </c>
      <c r="P23" s="52">
        <f>-SUMIFS(FINANCIACION[$ CAPITAL],
FINANCIACION[Fecha],"&lt;="&amp;EOMONTH(P$1,0),
FINANCIACION[PRESTAMO],$A23)</f>
        <v>0</v>
      </c>
      <c r="Q23" s="52">
        <f>-SUMIFS(FINANCIACION[$ CAPITAL],
FINANCIACION[Fecha],"&lt;="&amp;EOMONTH(Q$1,0),
FINANCIACION[PRESTAMO],$A23)</f>
        <v>0</v>
      </c>
      <c r="R23" s="52">
        <f>-SUMIFS(FINANCIACION[$ CAPITAL],
FINANCIACION[Fecha],"&lt;="&amp;EOMONTH(R$1,0),
FINANCIACION[PRESTAMO],$A23)</f>
        <v>0</v>
      </c>
      <c r="S23" s="52">
        <f>-SUMIFS(FINANCIACION[$ CAPITAL],
FINANCIACION[Fecha],"&lt;="&amp;EOMONTH(S$1,0),
FINANCIACION[PRESTAMO],$A23)</f>
        <v>0</v>
      </c>
      <c r="T23" s="52">
        <f>-SUMIFS(FINANCIACION[$ CAPITAL],
FINANCIACION[Fecha],"&lt;="&amp;EOMONTH(T$1,0),
FINANCIACION[PRESTAMO],$A23)</f>
        <v>0</v>
      </c>
      <c r="U23" s="52">
        <f>-SUMIFS(FINANCIACION[$ CAPITAL],
FINANCIACION[Fecha],"&lt;="&amp;EOMONTH(U$1,0),
FINANCIACION[PRESTAMO],$A23)</f>
        <v>0</v>
      </c>
      <c r="V23" s="52">
        <f>-SUMIFS(FINANCIACION[$ CAPITAL],
FINANCIACION[Fecha],"&lt;="&amp;EOMONTH(V$1,0),
FINANCIACION[PRESTAMO],$A23)</f>
        <v>0</v>
      </c>
      <c r="W23" s="52">
        <f>-SUMIFS(FINANCIACION[$ CAPITAL],
FINANCIACION[Fecha],"&lt;="&amp;EOMONTH(W$1,0),
FINANCIACION[PRESTAMO],$A23)</f>
        <v>0</v>
      </c>
    </row>
    <row r="24" spans="1:23" ht="21.6" hidden="1" customHeight="1" x14ac:dyDescent="0.3">
      <c r="A24" s="41" t="s">
        <v>205</v>
      </c>
      <c r="B24" s="52">
        <f>-SUMIFS(FINANCIACION[$ CAPITAL],
FINANCIACION[Fecha],"&lt;="&amp;EOMONTH(B$1,0),
FINANCIACION[PRESTAMO],$A24)</f>
        <v>0</v>
      </c>
      <c r="C24" s="52">
        <v>0</v>
      </c>
      <c r="D24" s="52">
        <v>0</v>
      </c>
      <c r="E24" s="52">
        <v>0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f>-SUMIFS(FINANCIACION[$ CAPITAL],
FINANCIACION[Fecha],"&lt;="&amp;EOMONTH(N$1,0),
FINANCIACION[PRESTAMO],$A24)</f>
        <v>0</v>
      </c>
      <c r="O24" s="52">
        <f>-SUMIFS(FINANCIACION[$ CAPITAL],
FINANCIACION[Fecha],"&lt;="&amp;EOMONTH(O$1,0),
FINANCIACION[PRESTAMO],$A24)</f>
        <v>0</v>
      </c>
      <c r="P24" s="52">
        <f>-SUMIFS(FINANCIACION[$ CAPITAL],
FINANCIACION[Fecha],"&lt;="&amp;EOMONTH(P$1,0),
FINANCIACION[PRESTAMO],$A24)</f>
        <v>0</v>
      </c>
      <c r="Q24" s="52">
        <f>-SUMIFS(FINANCIACION[$ CAPITAL],
FINANCIACION[Fecha],"&lt;="&amp;EOMONTH(Q$1,0),
FINANCIACION[PRESTAMO],$A24)</f>
        <v>0</v>
      </c>
      <c r="R24" s="52">
        <f>-SUMIFS(FINANCIACION[$ CAPITAL],
FINANCIACION[Fecha],"&lt;="&amp;EOMONTH(R$1,0),
FINANCIACION[PRESTAMO],$A24)</f>
        <v>0</v>
      </c>
      <c r="S24" s="52">
        <f>-SUMIFS(FINANCIACION[$ CAPITAL],
FINANCIACION[Fecha],"&lt;="&amp;EOMONTH(S$1,0),
FINANCIACION[PRESTAMO],$A24)</f>
        <v>0</v>
      </c>
      <c r="T24" s="52">
        <f>-SUMIFS(FINANCIACION[$ CAPITAL],
FINANCIACION[Fecha],"&lt;="&amp;EOMONTH(T$1,0),
FINANCIACION[PRESTAMO],$A24)</f>
        <v>0</v>
      </c>
      <c r="U24" s="52">
        <f>-SUMIFS(FINANCIACION[$ CAPITAL],
FINANCIACION[Fecha],"&lt;="&amp;EOMONTH(U$1,0),
FINANCIACION[PRESTAMO],$A24)</f>
        <v>0</v>
      </c>
      <c r="V24" s="52">
        <f>-SUMIFS(FINANCIACION[$ CAPITAL],
FINANCIACION[Fecha],"&lt;="&amp;EOMONTH(V$1,0),
FINANCIACION[PRESTAMO],$A24)</f>
        <v>0</v>
      </c>
      <c r="W24" s="52">
        <f>-SUMIFS(FINANCIACION[$ CAPITAL],
FINANCIACION[Fecha],"&lt;="&amp;EOMONTH(W$1,0),
FINANCIACION[PRESTAMO],$A24)</f>
        <v>0</v>
      </c>
    </row>
    <row r="25" spans="1:23" ht="21.6" hidden="1" customHeight="1" x14ac:dyDescent="0.3">
      <c r="A25" s="41" t="s">
        <v>206</v>
      </c>
      <c r="B25" s="52">
        <f>-SUMIFS(FINANCIACION[$ CAPITAL],
FINANCIACION[Fecha],"&lt;="&amp;EOMONTH(B$1,0),
FINANCIACION[PRESTAMO],$A25)</f>
        <v>0</v>
      </c>
      <c r="C25" s="52">
        <v>0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f>-SUMIFS(FINANCIACION[$ CAPITAL],
FINANCIACION[Fecha],"&lt;="&amp;EOMONTH(N$1,0),
FINANCIACION[PRESTAMO],$A25)</f>
        <v>0</v>
      </c>
      <c r="O25" s="52">
        <f>-SUMIFS(FINANCIACION[$ CAPITAL],
FINANCIACION[Fecha],"&lt;="&amp;EOMONTH(O$1,0),
FINANCIACION[PRESTAMO],$A25)</f>
        <v>0</v>
      </c>
      <c r="P25" s="52">
        <f>-SUMIFS(FINANCIACION[$ CAPITAL],
FINANCIACION[Fecha],"&lt;="&amp;EOMONTH(P$1,0),
FINANCIACION[PRESTAMO],$A25)</f>
        <v>0</v>
      </c>
      <c r="Q25" s="52">
        <f>-SUMIFS(FINANCIACION[$ CAPITAL],
FINANCIACION[Fecha],"&lt;="&amp;EOMONTH(Q$1,0),
FINANCIACION[PRESTAMO],$A25)</f>
        <v>0</v>
      </c>
      <c r="R25" s="52">
        <f>-SUMIFS(FINANCIACION[$ CAPITAL],
FINANCIACION[Fecha],"&lt;="&amp;EOMONTH(R$1,0),
FINANCIACION[PRESTAMO],$A25)</f>
        <v>0</v>
      </c>
      <c r="S25" s="52">
        <f>-SUMIFS(FINANCIACION[$ CAPITAL],
FINANCIACION[Fecha],"&lt;="&amp;EOMONTH(S$1,0),
FINANCIACION[PRESTAMO],$A25)</f>
        <v>0</v>
      </c>
      <c r="T25" s="52">
        <f>-SUMIFS(FINANCIACION[$ CAPITAL],
FINANCIACION[Fecha],"&lt;="&amp;EOMONTH(T$1,0),
FINANCIACION[PRESTAMO],$A25)</f>
        <v>0</v>
      </c>
      <c r="U25" s="52">
        <f>-SUMIFS(FINANCIACION[$ CAPITAL],
FINANCIACION[Fecha],"&lt;="&amp;EOMONTH(U$1,0),
FINANCIACION[PRESTAMO],$A25)</f>
        <v>0</v>
      </c>
      <c r="V25" s="52">
        <f>-SUMIFS(FINANCIACION[$ CAPITAL],
FINANCIACION[Fecha],"&lt;="&amp;EOMONTH(V$1,0),
FINANCIACION[PRESTAMO],$A25)</f>
        <v>0</v>
      </c>
      <c r="W25" s="52">
        <f>-SUMIFS(FINANCIACION[$ CAPITAL],
FINANCIACION[Fecha],"&lt;="&amp;EOMONTH(W$1,0),
FINANCIACION[PRESTAMO],$A25)</f>
        <v>0</v>
      </c>
    </row>
    <row r="26" spans="1:23" ht="21.6" hidden="1" customHeight="1" x14ac:dyDescent="0.3">
      <c r="A26" s="41" t="s">
        <v>207</v>
      </c>
      <c r="B26" s="52">
        <f>-SUMIFS(FINANCIACION[$ CAPITAL],
FINANCIACION[Fecha],"&lt;="&amp;EOMONTH(B$1,0),
FINANCIACION[PRESTAMO],$A26)</f>
        <v>0</v>
      </c>
      <c r="C26" s="52">
        <v>0</v>
      </c>
      <c r="D26" s="52">
        <v>0</v>
      </c>
      <c r="E26" s="52">
        <v>0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0</v>
      </c>
      <c r="M26" s="52">
        <v>0</v>
      </c>
      <c r="N26" s="52">
        <f>-SUMIFS(FINANCIACION[$ CAPITAL],
FINANCIACION[Fecha],"&lt;="&amp;EOMONTH(N$1,0),
FINANCIACION[PRESTAMO],$A26)</f>
        <v>0</v>
      </c>
      <c r="O26" s="52">
        <f>-SUMIFS(FINANCIACION[$ CAPITAL],
FINANCIACION[Fecha],"&lt;="&amp;EOMONTH(O$1,0),
FINANCIACION[PRESTAMO],$A26)</f>
        <v>0</v>
      </c>
      <c r="P26" s="52">
        <f>-SUMIFS(FINANCIACION[$ CAPITAL],
FINANCIACION[Fecha],"&lt;="&amp;EOMONTH(P$1,0),
FINANCIACION[PRESTAMO],$A26)</f>
        <v>0</v>
      </c>
      <c r="Q26" s="52">
        <f>-SUMIFS(FINANCIACION[$ CAPITAL],
FINANCIACION[Fecha],"&lt;="&amp;EOMONTH(Q$1,0),
FINANCIACION[PRESTAMO],$A26)</f>
        <v>0</v>
      </c>
      <c r="R26" s="52">
        <f>-SUMIFS(FINANCIACION[$ CAPITAL],
FINANCIACION[Fecha],"&lt;="&amp;EOMONTH(R$1,0),
FINANCIACION[PRESTAMO],$A26)</f>
        <v>0</v>
      </c>
      <c r="S26" s="52">
        <f>-SUMIFS(FINANCIACION[$ CAPITAL],
FINANCIACION[Fecha],"&lt;="&amp;EOMONTH(S$1,0),
FINANCIACION[PRESTAMO],$A26)</f>
        <v>0</v>
      </c>
      <c r="T26" s="52">
        <f>-SUMIFS(FINANCIACION[$ CAPITAL],
FINANCIACION[Fecha],"&lt;="&amp;EOMONTH(T$1,0),
FINANCIACION[PRESTAMO],$A26)</f>
        <v>0</v>
      </c>
      <c r="U26" s="52">
        <f>-SUMIFS(FINANCIACION[$ CAPITAL],
FINANCIACION[Fecha],"&lt;="&amp;EOMONTH(U$1,0),
FINANCIACION[PRESTAMO],$A26)</f>
        <v>0</v>
      </c>
      <c r="V26" s="52">
        <f>-SUMIFS(FINANCIACION[$ CAPITAL],
FINANCIACION[Fecha],"&lt;="&amp;EOMONTH(V$1,0),
FINANCIACION[PRESTAMO],$A26)</f>
        <v>0</v>
      </c>
      <c r="W26" s="52">
        <f>-SUMIFS(FINANCIACION[$ CAPITAL],
FINANCIACION[Fecha],"&lt;="&amp;EOMONTH(W$1,0),
FINANCIACION[PRESTAMO],$A26)</f>
        <v>0</v>
      </c>
    </row>
    <row r="27" spans="1:23" ht="21.6" hidden="1" customHeight="1" x14ac:dyDescent="0.3">
      <c r="A27" s="41" t="s">
        <v>208</v>
      </c>
      <c r="B27" s="52">
        <f>-SUMIFS(FINANCIACION[$ CAPITAL],
FINANCIACION[Fecha],"&lt;="&amp;EOMONTH(B$1,0),
FINANCIACION[PRESTAMO],$A27)</f>
        <v>0</v>
      </c>
      <c r="C27" s="52">
        <v>0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f>-SUMIFS(FINANCIACION[$ CAPITAL],
FINANCIACION[Fecha],"&lt;="&amp;EOMONTH(N$1,0),
FINANCIACION[PRESTAMO],$A27)</f>
        <v>0</v>
      </c>
      <c r="O27" s="52">
        <f>-SUMIFS(FINANCIACION[$ CAPITAL],
FINANCIACION[Fecha],"&lt;="&amp;EOMONTH(O$1,0),
FINANCIACION[PRESTAMO],$A27)</f>
        <v>0</v>
      </c>
      <c r="P27" s="52">
        <f>-SUMIFS(FINANCIACION[$ CAPITAL],
FINANCIACION[Fecha],"&lt;="&amp;EOMONTH(P$1,0),
FINANCIACION[PRESTAMO],$A27)</f>
        <v>0</v>
      </c>
      <c r="Q27" s="52">
        <f>-SUMIFS(FINANCIACION[$ CAPITAL],
FINANCIACION[Fecha],"&lt;="&amp;EOMONTH(Q$1,0),
FINANCIACION[PRESTAMO],$A27)</f>
        <v>0</v>
      </c>
      <c r="R27" s="52">
        <f>-SUMIFS(FINANCIACION[$ CAPITAL],
FINANCIACION[Fecha],"&lt;="&amp;EOMONTH(R$1,0),
FINANCIACION[PRESTAMO],$A27)</f>
        <v>0</v>
      </c>
      <c r="S27" s="52">
        <f>-SUMIFS(FINANCIACION[$ CAPITAL],
FINANCIACION[Fecha],"&lt;="&amp;EOMONTH(S$1,0),
FINANCIACION[PRESTAMO],$A27)</f>
        <v>0</v>
      </c>
      <c r="T27" s="52">
        <f>-SUMIFS(FINANCIACION[$ CAPITAL],
FINANCIACION[Fecha],"&lt;="&amp;EOMONTH(T$1,0),
FINANCIACION[PRESTAMO],$A27)</f>
        <v>0</v>
      </c>
      <c r="U27" s="52">
        <f>-SUMIFS(FINANCIACION[$ CAPITAL],
FINANCIACION[Fecha],"&lt;="&amp;EOMONTH(U$1,0),
FINANCIACION[PRESTAMO],$A27)</f>
        <v>0</v>
      </c>
      <c r="V27" s="52">
        <f>-SUMIFS(FINANCIACION[$ CAPITAL],
FINANCIACION[Fecha],"&lt;="&amp;EOMONTH(V$1,0),
FINANCIACION[PRESTAMO],$A27)</f>
        <v>0</v>
      </c>
      <c r="W27" s="52">
        <f>-SUMIFS(FINANCIACION[$ CAPITAL],
FINANCIACION[Fecha],"&lt;="&amp;EOMONTH(W$1,0),
FINANCIACION[PRESTAMO],$A27)</f>
        <v>0</v>
      </c>
    </row>
    <row r="28" spans="1:23" ht="21.6" hidden="1" customHeight="1" x14ac:dyDescent="0.3">
      <c r="A28" s="41" t="s">
        <v>190</v>
      </c>
      <c r="B28" s="52">
        <f>-SUMIFS(FINANCIACION[$ CAPITAL],
FINANCIACION[Fecha],"&lt;="&amp;EOMONTH(B$1,0),
FINANCIACION[PRESTAMO],$A28)</f>
        <v>0</v>
      </c>
      <c r="C28" s="52">
        <v>92706048</v>
      </c>
      <c r="D28" s="52">
        <v>92706048</v>
      </c>
      <c r="E28" s="52">
        <v>97856384</v>
      </c>
      <c r="F28" s="52">
        <v>97856384</v>
      </c>
      <c r="G28" s="52">
        <v>97856384</v>
      </c>
      <c r="H28" s="52">
        <v>100431552</v>
      </c>
      <c r="I28" s="52">
        <v>100431552</v>
      </c>
      <c r="J28" s="52">
        <v>96453395.5</v>
      </c>
      <c r="K28" s="52">
        <v>65636342.670000009</v>
      </c>
      <c r="L28" s="52">
        <v>67273414.350000009</v>
      </c>
      <c r="M28" s="52">
        <v>0</v>
      </c>
      <c r="N28" s="52">
        <f>-SUMIFS(FINANCIACION[$ CAPITAL],
FINANCIACION[Fecha],"&lt;="&amp;EOMONTH(N$1,0),
FINANCIACION[PRESTAMO],$A28)</f>
        <v>0</v>
      </c>
      <c r="O28" s="52">
        <f>-SUMIFS(FINANCIACION[$ CAPITAL],
FINANCIACION[Fecha],"&lt;="&amp;EOMONTH(O$1,0),
FINANCIACION[PRESTAMO],$A28)</f>
        <v>0</v>
      </c>
      <c r="P28" s="52">
        <f>-SUMIFS(FINANCIACION[$ CAPITAL],
FINANCIACION[Fecha],"&lt;="&amp;EOMONTH(P$1,0),
FINANCIACION[PRESTAMO],$A28)</f>
        <v>0</v>
      </c>
      <c r="Q28" s="52">
        <f>-SUMIFS(FINANCIACION[$ CAPITAL],
FINANCIACION[Fecha],"&lt;="&amp;EOMONTH(Q$1,0),
FINANCIACION[PRESTAMO],$A28)</f>
        <v>0</v>
      </c>
      <c r="R28" s="52">
        <f>-SUMIFS(FINANCIACION[$ CAPITAL],
FINANCIACION[Fecha],"&lt;="&amp;EOMONTH(R$1,0),
FINANCIACION[PRESTAMO],$A28)</f>
        <v>0</v>
      </c>
      <c r="S28" s="52">
        <f>-SUMIFS(FINANCIACION[$ CAPITAL],
FINANCIACION[Fecha],"&lt;="&amp;EOMONTH(S$1,0),
FINANCIACION[PRESTAMO],$A28)</f>
        <v>0</v>
      </c>
      <c r="T28" s="52">
        <f>-SUMIFS(FINANCIACION[$ CAPITAL],
FINANCIACION[Fecha],"&lt;="&amp;EOMONTH(T$1,0),
FINANCIACION[PRESTAMO],$A28)</f>
        <v>0</v>
      </c>
      <c r="U28" s="52">
        <f>-SUMIFS(FINANCIACION[$ CAPITAL],
FINANCIACION[Fecha],"&lt;="&amp;EOMONTH(U$1,0),
FINANCIACION[PRESTAMO],$A28)</f>
        <v>0</v>
      </c>
      <c r="V28" s="52">
        <f>-SUMIFS(FINANCIACION[$ CAPITAL],
FINANCIACION[Fecha],"&lt;="&amp;EOMONTH(V$1,0),
FINANCIACION[PRESTAMO],$A28)</f>
        <v>0</v>
      </c>
      <c r="W28" s="52">
        <f>-SUMIFS(FINANCIACION[$ CAPITAL],
FINANCIACION[Fecha],"&lt;="&amp;EOMONTH(W$1,0),
FINANCIACION[PRESTAMO],$A28)</f>
        <v>0</v>
      </c>
    </row>
    <row r="29" spans="1:23" ht="21.6" hidden="1" customHeight="1" x14ac:dyDescent="0.3">
      <c r="A29" s="41" t="s">
        <v>282</v>
      </c>
      <c r="B29" s="52">
        <f>-SUMIFS(FINANCIACION[$ CAPITAL],
FINANCIACION[Fecha],"&lt;="&amp;EOMONTH(B$1,0),
FINANCIACION[PRESTAMO],$A29)</f>
        <v>0</v>
      </c>
      <c r="C29" s="52">
        <v>0</v>
      </c>
      <c r="D29" s="52">
        <v>55440541</v>
      </c>
      <c r="E29" s="52">
        <v>56938934</v>
      </c>
      <c r="F29" s="52">
        <v>56938934</v>
      </c>
      <c r="G29" s="52">
        <v>56938934</v>
      </c>
      <c r="H29" s="52">
        <v>58437327</v>
      </c>
      <c r="I29" s="52">
        <v>58437327</v>
      </c>
      <c r="J29" s="52">
        <v>57688130.5</v>
      </c>
      <c r="K29" s="52">
        <v>57673146.57</v>
      </c>
      <c r="L29" s="52">
        <v>59111603.850000001</v>
      </c>
      <c r="M29" s="52">
        <v>61434113</v>
      </c>
      <c r="N29" s="52">
        <f>-SUMIFS(FINANCIACION[$ CAPITAL],
FINANCIACION[Fecha],"&lt;="&amp;EOMONTH(N$1,0),
FINANCIACION[PRESTAMO],$A29)</f>
        <v>0</v>
      </c>
      <c r="O29" s="52">
        <f>-SUMIFS(FINANCIACION[$ CAPITAL],
FINANCIACION[Fecha],"&lt;="&amp;EOMONTH(O$1,0),
FINANCIACION[PRESTAMO],$A29)</f>
        <v>58437327</v>
      </c>
      <c r="P29" s="52">
        <f>-SUMIFS(FINANCIACION[$ CAPITAL],
FINANCIACION[Fecha],"&lt;="&amp;EOMONTH(P$1,0),
FINANCIACION[PRESTAMO],$A29)</f>
        <v>0</v>
      </c>
      <c r="Q29" s="52">
        <f>-SUMIFS(FINANCIACION[$ CAPITAL],
FINANCIACION[Fecha],"&lt;="&amp;EOMONTH(Q$1,0),
FINANCIACION[PRESTAMO],$A29)</f>
        <v>0</v>
      </c>
      <c r="R29" s="52">
        <f>-SUMIFS(FINANCIACION[$ CAPITAL],
FINANCIACION[Fecha],"&lt;="&amp;EOMONTH(R$1,0),
FINANCIACION[PRESTAMO],$A29)</f>
        <v>0</v>
      </c>
      <c r="S29" s="52">
        <f>-SUMIFS(FINANCIACION[$ CAPITAL],
FINANCIACION[Fecha],"&lt;="&amp;EOMONTH(S$1,0),
FINANCIACION[PRESTAMO],$A29)</f>
        <v>0</v>
      </c>
      <c r="T29" s="52">
        <f>-SUMIFS(FINANCIACION[$ CAPITAL],
FINANCIACION[Fecha],"&lt;="&amp;EOMONTH(T$1,0),
FINANCIACION[PRESTAMO],$A29)</f>
        <v>0</v>
      </c>
      <c r="U29" s="52">
        <f>-SUMIFS(FINANCIACION[$ CAPITAL],
FINANCIACION[Fecha],"&lt;="&amp;EOMONTH(U$1,0),
FINANCIACION[PRESTAMO],$A29)</f>
        <v>0</v>
      </c>
      <c r="V29" s="52">
        <f>-SUMIFS(FINANCIACION[$ CAPITAL],
FINANCIACION[Fecha],"&lt;="&amp;EOMONTH(V$1,0),
FINANCIACION[PRESTAMO],$A29)</f>
        <v>0</v>
      </c>
      <c r="W29" s="52">
        <f>-SUMIFS(FINANCIACION[$ CAPITAL],
FINANCIACION[Fecha],"&lt;="&amp;EOMONTH(W$1,0),
FINANCIACION[PRESTAMO],$A29)</f>
        <v>0</v>
      </c>
    </row>
    <row r="30" spans="1:23" ht="21.6" hidden="1" customHeight="1" x14ac:dyDescent="0.3">
      <c r="A30" s="41" t="s">
        <v>372</v>
      </c>
      <c r="B30" s="52">
        <f>-SUMIFS(FINANCIACION[$ CAPITAL],
FINANCIACION[Fecha],"&lt;="&amp;EOMONTH(B$1,0),
FINANCIACION[PRESTAMO],$A30)</f>
        <v>0</v>
      </c>
      <c r="C30" s="52">
        <v>0</v>
      </c>
      <c r="D30" s="52">
        <v>0</v>
      </c>
      <c r="E30" s="52">
        <v>0</v>
      </c>
      <c r="F30" s="52">
        <v>0</v>
      </c>
      <c r="G30" s="52">
        <v>22522714</v>
      </c>
      <c r="H30" s="52">
        <v>23115417</v>
      </c>
      <c r="I30" s="52">
        <v>23115417</v>
      </c>
      <c r="J30" s="52">
        <v>22819065.5</v>
      </c>
      <c r="K30" s="52">
        <v>22813138.469999999</v>
      </c>
      <c r="L30" s="52">
        <v>23382133.349999998</v>
      </c>
      <c r="M30" s="52">
        <v>24300823</v>
      </c>
      <c r="N30" s="52">
        <f>-SUMIFS(FINANCIACION[$ CAPITAL],
FINANCIACION[Fecha],"&lt;="&amp;EOMONTH(N$1,0),
FINANCIACION[PRESTAMO],$A30)</f>
        <v>0</v>
      </c>
      <c r="O30" s="52">
        <f>-SUMIFS(FINANCIACION[$ CAPITAL],
FINANCIACION[Fecha],"&lt;="&amp;EOMONTH(O$1,0),
FINANCIACION[PRESTAMO],$A30)</f>
        <v>23115417</v>
      </c>
      <c r="P30" s="52">
        <f>-SUMIFS(FINANCIACION[$ CAPITAL],
FINANCIACION[Fecha],"&lt;="&amp;EOMONTH(P$1,0),
FINANCIACION[PRESTAMO],$A30)</f>
        <v>22522714</v>
      </c>
      <c r="Q30" s="52">
        <f>-SUMIFS(FINANCIACION[$ CAPITAL],
FINANCIACION[Fecha],"&lt;="&amp;EOMONTH(Q$1,0),
FINANCIACION[PRESTAMO],$A30)</f>
        <v>0</v>
      </c>
      <c r="R30" s="52">
        <f>-SUMIFS(FINANCIACION[$ CAPITAL],
FINANCIACION[Fecha],"&lt;="&amp;EOMONTH(R$1,0),
FINANCIACION[PRESTAMO],$A30)</f>
        <v>22522714</v>
      </c>
      <c r="S30" s="52">
        <f>-SUMIFS(FINANCIACION[$ CAPITAL],
FINANCIACION[Fecha],"&lt;="&amp;EOMONTH(S$1,0),
FINANCIACION[PRESTAMO],$A30)</f>
        <v>0</v>
      </c>
      <c r="T30" s="52">
        <f>-SUMIFS(FINANCIACION[$ CAPITAL],
FINANCIACION[Fecha],"&lt;="&amp;EOMONTH(T$1,0),
FINANCIACION[PRESTAMO],$A30)</f>
        <v>0</v>
      </c>
      <c r="U30" s="52">
        <f>-SUMIFS(FINANCIACION[$ CAPITAL],
FINANCIACION[Fecha],"&lt;="&amp;EOMONTH(U$1,0),
FINANCIACION[PRESTAMO],$A30)</f>
        <v>0</v>
      </c>
      <c r="V30" s="52">
        <f>-SUMIFS(FINANCIACION[$ CAPITAL],
FINANCIACION[Fecha],"&lt;="&amp;EOMONTH(V$1,0),
FINANCIACION[PRESTAMO],$A30)</f>
        <v>0</v>
      </c>
      <c r="W30" s="52">
        <f>-SUMIFS(FINANCIACION[$ CAPITAL],
FINANCIACION[Fecha],"&lt;="&amp;EOMONTH(W$1,0),
FINANCIACION[PRESTAMO],$A30)</f>
        <v>0</v>
      </c>
    </row>
    <row r="31" spans="1:23" ht="21.6" hidden="1" customHeight="1" x14ac:dyDescent="0.3">
      <c r="A31" s="41" t="s">
        <v>486</v>
      </c>
      <c r="B31" s="52">
        <f>-SUMIFS(FINANCIACION[$ CAPITAL],
FINANCIACION[Fecha],"&lt;="&amp;EOMONTH(B$1,0),
FINANCIACION[PRESTAMO],$A31)</f>
        <v>0</v>
      </c>
      <c r="C31" s="52">
        <v>0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52683918.810000002</v>
      </c>
      <c r="L31" s="52">
        <v>53997937.050000004</v>
      </c>
      <c r="M31" s="52">
        <v>56119529</v>
      </c>
      <c r="N31" s="52">
        <f>-SUMIFS(FINANCIACION[$ CAPITAL],
FINANCIACION[Fecha],"&lt;="&amp;EOMONTH(N$1,0),
FINANCIACION[PRESTAMO],$A31)</f>
        <v>0</v>
      </c>
      <c r="O31" s="52">
        <f>-SUMIFS(FINANCIACION[$ CAPITAL],
FINANCIACION[Fecha],"&lt;="&amp;EOMONTH(O$1,0),
FINANCIACION[PRESTAMO],$A31)</f>
        <v>53381991</v>
      </c>
      <c r="P31" s="52">
        <f>-SUMIFS(FINANCIACION[$ CAPITAL],
FINANCIACION[Fecha],"&lt;="&amp;EOMONTH(P$1,0),
FINANCIACION[PRESTAMO],$A31)</f>
        <v>52013222</v>
      </c>
      <c r="Q31" s="52">
        <f>-SUMIFS(FINANCIACION[$ CAPITAL],
FINANCIACION[Fecha],"&lt;="&amp;EOMONTH(Q$1,0),
FINANCIACION[PRESTAMO],$A31)</f>
        <v>0</v>
      </c>
      <c r="R31" s="52">
        <f>-SUMIFS(FINANCIACION[$ CAPITAL],
FINANCIACION[Fecha],"&lt;="&amp;EOMONTH(R$1,0),
FINANCIACION[PRESTAMO],$A31)</f>
        <v>52013222</v>
      </c>
      <c r="S31" s="52">
        <f>-SUMIFS(FINANCIACION[$ CAPITAL],
FINANCIACION[Fecha],"&lt;="&amp;EOMONTH(S$1,0),
FINANCIACION[PRESTAMO],$A31)</f>
        <v>58624776</v>
      </c>
      <c r="T31" s="52">
        <f>-SUMIFS(FINANCIACION[$ CAPITAL],
FINANCIACION[Fecha],"&lt;="&amp;EOMONTH(T$1,0),
FINANCIACION[PRESTAMO],$A31)</f>
        <v>20396176</v>
      </c>
      <c r="U31" s="52">
        <f>-SUMIFS(FINANCIACION[$ CAPITAL],
FINANCIACION[Fecha],"&lt;="&amp;EOMONTH(U$1,0),
FINANCIACION[PRESTAMO],$A31)</f>
        <v>0</v>
      </c>
      <c r="V31" s="52">
        <f>-SUMIFS(FINANCIACION[$ CAPITAL],
FINANCIACION[Fecha],"&lt;="&amp;EOMONTH(V$1,0),
FINANCIACION[PRESTAMO],$A31)</f>
        <v>15967698.200000001</v>
      </c>
      <c r="W31" s="52">
        <f>-SUMIFS(FINANCIACION[$ CAPITAL],
FINANCIACION[Fecha],"&lt;="&amp;EOMONTH(W$1,0),
FINANCIACION[PRESTAMO],$A31)</f>
        <v>0.20000000111758709</v>
      </c>
    </row>
    <row r="32" spans="1:23" ht="21.6" customHeight="1" x14ac:dyDescent="0.3">
      <c r="A32" s="41" t="s">
        <v>611</v>
      </c>
      <c r="B32" s="52">
        <f>-SUMIFS(FINANCIACION[$ CAPITAL],
FINANCIACION[Fecha],"&lt;="&amp;EOMONTH(B$1,0),
FINANCIACION[PRESTAMO],$A32)</f>
        <v>0</v>
      </c>
      <c r="C32" s="52">
        <v>0</v>
      </c>
      <c r="D32" s="52">
        <v>0</v>
      </c>
      <c r="E32" s="52">
        <v>0</v>
      </c>
      <c r="F32" s="52">
        <v>0</v>
      </c>
      <c r="G32" s="52">
        <v>0</v>
      </c>
      <c r="H32" s="52">
        <v>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f>-SUMIFS(FINANCIACION[$ CAPITAL],
FINANCIACION[Fecha],"&lt;="&amp;EOMONTH(N$1,0),
FINANCIACION[PRESTAMO],$A32)</f>
        <v>0</v>
      </c>
      <c r="O32" s="52">
        <f>-SUMIFS(FINANCIACION[$ CAPITAL],
FINANCIACION[Fecha],"&lt;="&amp;EOMONTH(O$1,0),
FINANCIACION[PRESTAMO],$A32)</f>
        <v>56294004</v>
      </c>
      <c r="P32" s="52">
        <f>-SUMIFS(FINANCIACION[$ CAPITAL],
FINANCIACION[Fecha],"&lt;="&amp;EOMONTH(P$1,0),
FINANCIACION[PRESTAMO],$A32)</f>
        <v>54850568</v>
      </c>
      <c r="Q32" s="52">
        <f>-SUMIFS(FINANCIACION[$ CAPITAL],
FINANCIACION[Fecha],"&lt;="&amp;EOMONTH(Q$1,0),
FINANCIACION[PRESTAMO],$A32)</f>
        <v>0</v>
      </c>
      <c r="R32" s="52">
        <f>-SUMIFS(FINANCIACION[$ CAPITAL],
FINANCIACION[Fecha],"&lt;="&amp;EOMONTH(R$1,0),
FINANCIACION[PRESTAMO],$A32)</f>
        <v>54850568</v>
      </c>
      <c r="S32" s="52">
        <f>-SUMIFS(FINANCIACION[$ CAPITAL],
FINANCIACION[Fecha],"&lt;="&amp;EOMONTH(S$1,0),
FINANCIACION[PRESTAMO],$A32)</f>
        <v>60624312</v>
      </c>
      <c r="T32" s="52">
        <f>-SUMIFS(FINANCIACION[$ CAPITAL],
FINANCIACION[Fecha],"&lt;="&amp;EOMONTH(T$1,0),
FINANCIACION[PRESTAMO],$A32)</f>
        <v>60624312</v>
      </c>
      <c r="U32" s="52">
        <f>-SUMIFS(FINANCIACION[$ CAPITAL],
FINANCIACION[Fecha],"&lt;="&amp;EOMONTH(U$1,0),
FINANCIACION[PRESTAMO],$A32)</f>
        <v>0</v>
      </c>
      <c r="V32" s="52">
        <f>-SUMIFS(FINANCIACION[$ CAPITAL],
FINANCIACION[Fecha],"&lt;="&amp;EOMONTH(V$1,0),
FINANCIACION[PRESTAMO],$A32)</f>
        <v>62500778.800000004</v>
      </c>
      <c r="W32" s="52">
        <f>-SUMIFS(FINANCIACION[$ CAPITAL],
FINANCIACION[Fecha],"&lt;="&amp;EOMONTH(W$1,0),
FINANCIACION[PRESTAMO],$A32)</f>
        <v>20198044.800000004</v>
      </c>
    </row>
    <row r="33" spans="1:23" ht="21.6" customHeight="1" x14ac:dyDescent="0.3">
      <c r="A33" s="41" t="s">
        <v>974</v>
      </c>
      <c r="B33" s="52">
        <f>-SUMIFS(FINANCIACION[$ CAPITAL],
FINANCIACION[Fecha],"&lt;="&amp;EOMONTH(B$1,0),
FINANCIACION[PRESTAMO],$A33)</f>
        <v>0</v>
      </c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>
        <f>-SUMIFS(FINANCIACION[$ CAPITAL],
FINANCIACION[Fecha],"&lt;="&amp;EOMONTH(N$1,0),
FINANCIACION[PRESTAMO],$A33)</f>
        <v>0</v>
      </c>
      <c r="O33" s="52">
        <f>-SUMIFS(FINANCIACION[$ CAPITAL],
FINANCIACION[Fecha],"&lt;="&amp;EOMONTH(O$1,0),
FINANCIACION[PRESTAMO],$A33)</f>
        <v>0</v>
      </c>
      <c r="P33" s="52">
        <f>-SUMIFS(FINANCIACION[$ CAPITAL],
FINANCIACION[Fecha],"&lt;="&amp;EOMONTH(P$1,0),
FINANCIACION[PRESTAMO],$A33)</f>
        <v>0</v>
      </c>
      <c r="Q33" s="52">
        <f>-SUMIFS(FINANCIACION[$ CAPITAL],
FINANCIACION[Fecha],"&lt;="&amp;EOMONTH(Q$1,0),
FINANCIACION[PRESTAMO],$A33)</f>
        <v>0</v>
      </c>
      <c r="R33" s="52">
        <f>-SUMIFS(FINANCIACION[$ CAPITAL],
FINANCIACION[Fecha],"&lt;="&amp;EOMONTH(R$1,0),
FINANCIACION[PRESTAMO],$A33)</f>
        <v>39218318</v>
      </c>
      <c r="S33" s="52">
        <f>-SUMIFS(FINANCIACION[$ CAPITAL],
FINANCIACION[Fecha],"&lt;="&amp;EOMONTH(S$1,0),
FINANCIACION[PRESTAMO],$A33)</f>
        <v>43346562</v>
      </c>
      <c r="T33" s="52">
        <f>-SUMIFS(FINANCIACION[$ CAPITAL],
FINANCIACION[Fecha],"&lt;="&amp;EOMONTH(T$1,0),
FINANCIACION[PRESTAMO],$A33)</f>
        <v>43346562</v>
      </c>
      <c r="U33" s="52">
        <f>-SUMIFS(FINANCIACION[$ CAPITAL],
FINANCIACION[Fecha],"&lt;="&amp;EOMONTH(U$1,0),
FINANCIACION[PRESTAMO],$A33)</f>
        <v>0</v>
      </c>
      <c r="V33" s="52">
        <f>-SUMIFS(FINANCIACION[$ CAPITAL],
FINANCIACION[Fecha],"&lt;="&amp;EOMONTH(V$1,0),
FINANCIACION[PRESTAMO],$A33)</f>
        <v>44685599.800000004</v>
      </c>
      <c r="W33" s="52">
        <f>-SUMIFS(FINANCIACION[$ CAPITAL],
FINANCIACION[Fecha],"&lt;="&amp;EOMONTH(W$1,0),
FINANCIACION[PRESTAMO],$A33)</f>
        <v>50570988.800000004</v>
      </c>
    </row>
    <row r="34" spans="1:23" ht="21.6" customHeight="1" x14ac:dyDescent="0.3">
      <c r="A34" s="41" t="s">
        <v>1109</v>
      </c>
      <c r="B34" s="52">
        <f>-SUMIFS(FINANCIACION[$ CAPITAL],
FINANCIACION[Fecha],"&lt;="&amp;EOMONTH(B$1,0),
FINANCIACION[PRESTAMO],$A34)</f>
        <v>0</v>
      </c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>
        <f>-SUMIFS(FINANCIACION[$ CAPITAL],
FINANCIACION[Fecha],"&lt;="&amp;EOMONTH(N$1,0),
FINANCIACION[PRESTAMO],$A34)</f>
        <v>0</v>
      </c>
      <c r="O34" s="52">
        <f>-SUMIFS(FINANCIACION[$ CAPITAL],
FINANCIACION[Fecha],"&lt;="&amp;EOMONTH(O$1,0),
FINANCIACION[PRESTAMO],$A34)</f>
        <v>0</v>
      </c>
      <c r="P34" s="52">
        <f>-SUMIFS(FINANCIACION[$ CAPITAL],
FINANCIACION[Fecha],"&lt;="&amp;EOMONTH(P$1,0),
FINANCIACION[PRESTAMO],$A34)</f>
        <v>0</v>
      </c>
      <c r="Q34" s="52">
        <f>-SUMIFS(FINANCIACION[$ CAPITAL],
FINANCIACION[Fecha],"&lt;="&amp;EOMONTH(Q$1,0),
FINANCIACION[PRESTAMO],$A34)</f>
        <v>0</v>
      </c>
      <c r="R34" s="52">
        <f>-SUMIFS(FINANCIACION[$ CAPITAL],
FINANCIACION[Fecha],"&lt;="&amp;EOMONTH(R$1,0),
FINANCIACION[PRESTAMO],$A34)</f>
        <v>0</v>
      </c>
      <c r="S34" s="52">
        <f>-SUMIFS(FINANCIACION[$ CAPITAL],
FINANCIACION[Fecha],"&lt;="&amp;EOMONTH(S$1,0),
FINANCIACION[PRESTAMO],$A34)</f>
        <v>0</v>
      </c>
      <c r="T34" s="52">
        <f>-SUMIFS(FINANCIACION[$ CAPITAL],
FINANCIACION[Fecha],"&lt;="&amp;EOMONTH(T$1,0),
FINANCIACION[PRESTAMO],$A34)</f>
        <v>72391950</v>
      </c>
      <c r="U34" s="52">
        <f>-SUMIFS(FINANCIACION[$ CAPITAL],
FINANCIACION[Fecha],"&lt;="&amp;EOMONTH(U$1,0),
FINANCIACION[PRESTAMO],$A34)</f>
        <v>0</v>
      </c>
      <c r="V34" s="52">
        <f>-SUMIFS(FINANCIACION[$ CAPITAL],
FINANCIACION[Fecha],"&lt;="&amp;EOMONTH(V$1,0),
FINANCIACION[PRESTAMO],$A34)</f>
        <v>69657143</v>
      </c>
      <c r="W34" s="52">
        <f>-SUMIFS(FINANCIACION[$ CAPITAL],
FINANCIACION[Fecha],"&lt;="&amp;EOMONTH(W$1,0),
FINANCIACION[PRESTAMO],$A34)</f>
        <v>78826790</v>
      </c>
    </row>
    <row r="35" spans="1:23" ht="21.6" customHeight="1" x14ac:dyDescent="0.3">
      <c r="A35" s="41" t="s">
        <v>1746</v>
      </c>
      <c r="B35" s="52">
        <f>-SUMIFS(FINANCIACION[$ CAPITAL],
FINANCIACION[Fecha],"&lt;="&amp;EOMONTH(B$1,0),
FINANCIACION[PRESTAMO],$A35)</f>
        <v>0</v>
      </c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>
        <f>-SUMIFS(FINANCIACION[$ CAPITAL],
FINANCIACION[Fecha],"&lt;="&amp;EOMONTH(N$1,0),
FINANCIACION[PRESTAMO],$A35)</f>
        <v>0</v>
      </c>
      <c r="O35" s="52">
        <f>-SUMIFS(FINANCIACION[$ CAPITAL],
FINANCIACION[Fecha],"&lt;="&amp;EOMONTH(O$1,0),
FINANCIACION[PRESTAMO],$A35)</f>
        <v>0</v>
      </c>
      <c r="P35" s="52">
        <f>-SUMIFS(FINANCIACION[$ CAPITAL],
FINANCIACION[Fecha],"&lt;="&amp;EOMONTH(P$1,0),
FINANCIACION[PRESTAMO],$A35)</f>
        <v>0</v>
      </c>
      <c r="Q35" s="52">
        <f>-SUMIFS(FINANCIACION[$ CAPITAL],
FINANCIACION[Fecha],"&lt;="&amp;EOMONTH(Q$1,0),
FINANCIACION[PRESTAMO],$A35)</f>
        <v>0</v>
      </c>
      <c r="R35" s="52">
        <f>-SUMIFS(FINANCIACION[$ CAPITAL],
FINANCIACION[Fecha],"&lt;="&amp;EOMONTH(R$1,0),
FINANCIACION[PRESTAMO],$A35)</f>
        <v>0</v>
      </c>
      <c r="S35" s="52">
        <f>-SUMIFS(FINANCIACION[$ CAPITAL],
FINANCIACION[Fecha],"&lt;="&amp;EOMONTH(S$1,0),
FINANCIACION[PRESTAMO],$A35)</f>
        <v>0</v>
      </c>
      <c r="T35" s="260">
        <f>-SUMIFS(FINANCIACION[$ CAPITAL],
FINANCIACION[Fecha],"&lt;="&amp;EOMONTH(T$1,0),
FINANCIACION[PRESTAMO],$A35)</f>
        <v>0</v>
      </c>
      <c r="U35" s="52">
        <f>-SUMIFS(FINANCIACION[$ CAPITAL],
FINANCIACION[Fecha],"&lt;="&amp;EOMONTH(U$1,0),
FINANCIACION[PRESTAMO],$A35)</f>
        <v>0</v>
      </c>
      <c r="V35" s="52">
        <f>-SUMIFS(FINANCIACION[$ CAPITAL],
FINANCIACION[Fecha],"&lt;="&amp;EOMONTH(V$1,0),
FINANCIACION[PRESTAMO],$A35)</f>
        <v>0</v>
      </c>
      <c r="W35" s="52">
        <f>-SUMIFS(FINANCIACION[$ CAPITAL],
FINANCIACION[Fecha],"&lt;="&amp;EOMONTH(W$1,0),
FINANCIACION[PRESTAMO],$A35)</f>
        <v>68600000</v>
      </c>
    </row>
    <row r="36" spans="1:23" ht="21.6" customHeight="1" x14ac:dyDescent="0.3">
      <c r="A36" s="41" t="s">
        <v>191</v>
      </c>
      <c r="B36" s="52">
        <f>-SUMIFS(FINANCIACION[$ CAPITAL],
FINANCIACION[Fecha],"&lt;="&amp;EOMONTH(B$1,0),
FINANCIACION[PRESTAMO],$A36)</f>
        <v>0</v>
      </c>
      <c r="C36" s="52">
        <v>79343126</v>
      </c>
      <c r="D36" s="52">
        <v>73017126</v>
      </c>
      <c r="E36" s="52">
        <v>66691126</v>
      </c>
      <c r="F36" s="52">
        <v>54039126</v>
      </c>
      <c r="G36" s="52">
        <v>54039126</v>
      </c>
      <c r="H36" s="52">
        <v>47713126</v>
      </c>
      <c r="I36" s="52">
        <v>41387126</v>
      </c>
      <c r="J36" s="52">
        <v>35061126</v>
      </c>
      <c r="K36" s="52">
        <v>28693821.449999999</v>
      </c>
      <c r="L36" s="52">
        <v>22409126</v>
      </c>
      <c r="M36" s="52">
        <v>16083126</v>
      </c>
      <c r="N36" s="52">
        <f>-SUMIFS(FINANCIACION[$ CAPITAL],
FINANCIACION[Fecha],"&lt;="&amp;EOMONTH(N$1,0),
FINANCIACION[PRESTAMO],$A36)</f>
        <v>0</v>
      </c>
      <c r="O36" s="52">
        <f>-SUMIFS(FINANCIACION[$ CAPITAL],
FINANCIACION[Fecha],"&lt;="&amp;EOMONTH(O$1,0),
FINANCIACION[PRESTAMO],$A36)</f>
        <v>3431126</v>
      </c>
      <c r="P36" s="52">
        <f>-SUMIFS(FINANCIACION[$ CAPITAL],
FINANCIACION[Fecha],"&lt;="&amp;EOMONTH(P$1,0),
FINANCIACION[PRESTAMO],$A36)</f>
        <v>0</v>
      </c>
      <c r="Q36" s="52">
        <f>-SUMIFS(FINANCIACION[$ CAPITAL],
FINANCIACION[Fecha],"&lt;="&amp;EOMONTH(Q$1,0),
FINANCIACION[PRESTAMO],$A36)</f>
        <v>0</v>
      </c>
      <c r="R36" s="52">
        <f>-SUMIFS(FINANCIACION[$ CAPITAL],
FINANCIACION[Fecha],"&lt;="&amp;EOMONTH(R$1,0),
FINANCIACION[PRESTAMO],$A36)</f>
        <v>0</v>
      </c>
      <c r="S36" s="52">
        <f>-SUMIFS(FINANCIACION[$ CAPITAL],
FINANCIACION[Fecha],"&lt;="&amp;EOMONTH(S$1,0),
FINANCIACION[PRESTAMO],$A36)</f>
        <v>15000000</v>
      </c>
      <c r="T36" s="52">
        <f>-SUMIFS(FINANCIACION[$ CAPITAL],
FINANCIACION[Fecha],"&lt;="&amp;EOMONTH(T$1,0),
FINANCIACION[PRESTAMO],$A36)</f>
        <v>14583000</v>
      </c>
      <c r="U36" s="52">
        <f>-SUMIFS(FINANCIACION[$ CAPITAL],
FINANCIACION[Fecha],"&lt;="&amp;EOMONTH(U$1,0),
FINANCIACION[PRESTAMO],$A36)</f>
        <v>0</v>
      </c>
      <c r="V36" s="52">
        <f>-SUMIFS(FINANCIACION[$ CAPITAL],
FINANCIACION[Fecha],"&lt;="&amp;EOMONTH(V$1,0),
FINANCIACION[PRESTAMO],$A36)</f>
        <v>13749000</v>
      </c>
      <c r="W36" s="52">
        <f>-SUMIFS(FINANCIACION[$ CAPITAL],
FINANCIACION[Fecha],"&lt;="&amp;EOMONTH(W$1,0),
FINANCIACION[PRESTAMO],$A36)</f>
        <v>13332000</v>
      </c>
    </row>
    <row r="37" spans="1:23" ht="21.6" hidden="1" customHeight="1" x14ac:dyDescent="0.3">
      <c r="A37" s="41" t="s">
        <v>192</v>
      </c>
      <c r="B37" s="52">
        <f>-SUMIFS(FINANCIACION[$ CAPITAL],
FINANCIACION[Fecha],"&lt;="&amp;EOMONTH(B$1,0),
FINANCIACION[PRESTAMO],$A37)</f>
        <v>0</v>
      </c>
      <c r="C37" s="52">
        <v>0</v>
      </c>
      <c r="D37" s="52">
        <v>0</v>
      </c>
      <c r="E37" s="52">
        <v>0</v>
      </c>
      <c r="F37" s="52">
        <v>0</v>
      </c>
      <c r="G37" s="52">
        <v>0</v>
      </c>
      <c r="H37" s="52">
        <v>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f>-SUMIFS(FINANCIACION[$ CAPITAL],
FINANCIACION[Fecha],"&lt;="&amp;EOMONTH(N$1,0),
FINANCIACION[PRESTAMO],$A37)</f>
        <v>0</v>
      </c>
      <c r="O37" s="52">
        <f>-SUMIFS(FINANCIACION[$ CAPITAL],
FINANCIACION[Fecha],"&lt;="&amp;EOMONTH(O$1,0),
FINANCIACION[PRESTAMO],$A37)</f>
        <v>0</v>
      </c>
      <c r="P37" s="52">
        <f>-SUMIFS(FINANCIACION[$ CAPITAL],
FINANCIACION[Fecha],"&lt;="&amp;EOMONTH(P$1,0),
FINANCIACION[PRESTAMO],$A37)</f>
        <v>0</v>
      </c>
      <c r="Q37" s="52">
        <f>-SUMIFS(FINANCIACION[$ CAPITAL],
FINANCIACION[Fecha],"&lt;="&amp;EOMONTH(Q$1,0),
FINANCIACION[PRESTAMO],$A37)</f>
        <v>0</v>
      </c>
      <c r="R37" s="52">
        <f>-SUMIFS(FINANCIACION[$ CAPITAL],
FINANCIACION[Fecha],"&lt;="&amp;EOMONTH(R$1,0),
FINANCIACION[PRESTAMO],$A37)</f>
        <v>0</v>
      </c>
      <c r="S37" s="52">
        <f>-SUMIFS(FINANCIACION[$ CAPITAL],
FINANCIACION[Fecha],"&lt;="&amp;EOMONTH(S$1,0),
FINANCIACION[PRESTAMO],$A37)</f>
        <v>0</v>
      </c>
      <c r="T37" s="52">
        <f>-SUMIFS(FINANCIACION[$ CAPITAL],
FINANCIACION[Fecha],"&lt;="&amp;EOMONTH(T$1,0),
FINANCIACION[PRESTAMO],$A37)</f>
        <v>0</v>
      </c>
      <c r="U37" s="52">
        <f>-SUMIFS(FINANCIACION[$ CAPITAL],
FINANCIACION[Fecha],"&lt;="&amp;EOMONTH(U$1,0),
FINANCIACION[PRESTAMO],$A37)</f>
        <v>0</v>
      </c>
      <c r="V37" s="52">
        <f>-SUMIFS(FINANCIACION[$ CAPITAL],
FINANCIACION[Fecha],"&lt;="&amp;EOMONTH(V$1,0),
FINANCIACION[PRESTAMO],$A37)</f>
        <v>0</v>
      </c>
      <c r="W37" s="52">
        <f>-SUMIFS(FINANCIACION[$ CAPITAL],
FINANCIACION[Fecha],"&lt;="&amp;EOMONTH(W$1,0),
FINANCIACION[PRESTAMO],$A37)</f>
        <v>0</v>
      </c>
    </row>
    <row r="38" spans="1:23" ht="21.6" hidden="1" customHeight="1" x14ac:dyDescent="0.3">
      <c r="A38" s="41" t="s">
        <v>193</v>
      </c>
      <c r="B38" s="52">
        <f>-SUMIFS(FINANCIACION[$ CAPITAL],
FINANCIACION[Fecha],"&lt;="&amp;EOMONTH(B$1,0),
FINANCIACION[PRESTAMO],$A38)</f>
        <v>0</v>
      </c>
      <c r="C38" s="52">
        <v>0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f>-SUMIFS(FINANCIACION[$ CAPITAL],
FINANCIACION[Fecha],"&lt;="&amp;EOMONTH(N$1,0),
FINANCIACION[PRESTAMO],$A38)</f>
        <v>0</v>
      </c>
      <c r="O38" s="52">
        <f>-SUMIFS(FINANCIACION[$ CAPITAL],
FINANCIACION[Fecha],"&lt;="&amp;EOMONTH(O$1,0),
FINANCIACION[PRESTAMO],$A38)</f>
        <v>0</v>
      </c>
      <c r="P38" s="52">
        <f>-SUMIFS(FINANCIACION[$ CAPITAL],
FINANCIACION[Fecha],"&lt;="&amp;EOMONTH(P$1,0),
FINANCIACION[PRESTAMO],$A38)</f>
        <v>0</v>
      </c>
      <c r="Q38" s="52">
        <f>-SUMIFS(FINANCIACION[$ CAPITAL],
FINANCIACION[Fecha],"&lt;="&amp;EOMONTH(Q$1,0),
FINANCIACION[PRESTAMO],$A38)</f>
        <v>0</v>
      </c>
      <c r="R38" s="52">
        <f>-SUMIFS(FINANCIACION[$ CAPITAL],
FINANCIACION[Fecha],"&lt;="&amp;EOMONTH(R$1,0),
FINANCIACION[PRESTAMO],$A38)</f>
        <v>0</v>
      </c>
      <c r="S38" s="52">
        <f>-SUMIFS(FINANCIACION[$ CAPITAL],
FINANCIACION[Fecha],"&lt;="&amp;EOMONTH(S$1,0),
FINANCIACION[PRESTAMO],$A38)</f>
        <v>0</v>
      </c>
      <c r="T38" s="52">
        <f>-SUMIFS(FINANCIACION[$ CAPITAL],
FINANCIACION[Fecha],"&lt;="&amp;EOMONTH(T$1,0),
FINANCIACION[PRESTAMO],$A38)</f>
        <v>0</v>
      </c>
      <c r="U38" s="52">
        <f>-SUMIFS(FINANCIACION[$ CAPITAL],
FINANCIACION[Fecha],"&lt;="&amp;EOMONTH(U$1,0),
FINANCIACION[PRESTAMO],$A38)</f>
        <v>0</v>
      </c>
      <c r="V38" s="52">
        <f>-SUMIFS(FINANCIACION[$ CAPITAL],
FINANCIACION[Fecha],"&lt;="&amp;EOMONTH(V$1,0),
FINANCIACION[PRESTAMO],$A38)</f>
        <v>0</v>
      </c>
      <c r="W38" s="52">
        <f>-SUMIFS(FINANCIACION[$ CAPITAL],
FINANCIACION[Fecha],"&lt;="&amp;EOMONTH(W$1,0),
FINANCIACION[PRESTAMO],$A38)</f>
        <v>0</v>
      </c>
    </row>
    <row r="39" spans="1:23" ht="21.6" customHeight="1" x14ac:dyDescent="0.3">
      <c r="A39" s="41" t="s">
        <v>833</v>
      </c>
      <c r="B39" s="52">
        <f>-SUMIFS(FINANCIACION[$ CAPITAL],
FINANCIACION[Fecha],"&lt;="&amp;EOMONTH(B$1,0),
FINANCIACION[PRESTAMO],$A39)</f>
        <v>0</v>
      </c>
      <c r="C39" s="52">
        <v>0</v>
      </c>
      <c r="D39" s="52">
        <v>0</v>
      </c>
      <c r="E39" s="52">
        <v>0</v>
      </c>
      <c r="F39" s="52">
        <v>26031901.309999999</v>
      </c>
      <c r="G39" s="52">
        <v>24790595.739999998</v>
      </c>
      <c r="H39" s="52">
        <v>23719778.41</v>
      </c>
      <c r="I39" s="52">
        <v>22486676.970000003</v>
      </c>
      <c r="J39" s="52">
        <v>21267871.290000003</v>
      </c>
      <c r="K39" s="52">
        <v>20060494.380000003</v>
      </c>
      <c r="L39" s="52">
        <v>18880535.100000001</v>
      </c>
      <c r="M39" s="52">
        <v>17706924.239999998</v>
      </c>
      <c r="N39" s="52">
        <f>-SUMIFS(FINANCIACION[$ CAPITAL],
FINANCIACION[Fecha],"&lt;="&amp;EOMONTH(N$1,0),
FINANCIACION[PRESTAMO],$A39)</f>
        <v>0</v>
      </c>
      <c r="O39" s="52">
        <f>-SUMIFS(FINANCIACION[$ CAPITAL],
FINANCIACION[Fecha],"&lt;="&amp;EOMONTH(O$1,0),
FINANCIACION[PRESTAMO],$A39)</f>
        <v>16493882.17</v>
      </c>
      <c r="P39" s="52">
        <f>-SUMIFS(FINANCIACION[$ CAPITAL],
FINANCIACION[Fecha],"&lt;="&amp;EOMONTH(P$1,0),
FINANCIACION[PRESTAMO],$A39)</f>
        <v>15298826.790000001</v>
      </c>
      <c r="Q39" s="52">
        <f>-SUMIFS(FINANCIACION[$ CAPITAL],
FINANCIACION[Fecha],"&lt;="&amp;EOMONTH(Q$1,0),
FINANCIACION[PRESTAMO],$A39)</f>
        <v>0</v>
      </c>
      <c r="R39" s="52">
        <f>-SUMIFS(FINANCIACION[$ CAPITAL],
FINANCIACION[Fecha],"&lt;="&amp;EOMONTH(R$1,0),
FINANCIACION[PRESTAMO],$A39)</f>
        <v>12880593.1</v>
      </c>
      <c r="S39" s="52">
        <f>-SUMIFS(FINANCIACION[$ CAPITAL],
FINANCIACION[Fecha],"&lt;="&amp;EOMONTH(S$1,0),
FINANCIACION[PRESTAMO],$A39)</f>
        <v>11802333.390000001</v>
      </c>
      <c r="T39" s="52">
        <f>-SUMIFS(FINANCIACION[$ CAPITAL],
FINANCIACION[Fecha],"&lt;="&amp;EOMONTH(T$1,0),
FINANCIACION[PRESTAMO],$A39)</f>
        <v>10724803.99</v>
      </c>
      <c r="U39" s="52">
        <f>-SUMIFS(FINANCIACION[$ CAPITAL],
FINANCIACION[Fecha],"&lt;="&amp;EOMONTH(U$1,0),
FINANCIACION[PRESTAMO],$A39)</f>
        <v>0</v>
      </c>
      <c r="V39" s="52">
        <f>-SUMIFS(FINANCIACION[$ CAPITAL],
FINANCIACION[Fecha],"&lt;="&amp;EOMONTH(V$1,0),
FINANCIACION[PRESTAMO],$A39)</f>
        <v>8569745.1899999995</v>
      </c>
      <c r="W39" s="52">
        <f>-SUMIFS(FINANCIACION[$ CAPITAL],
FINANCIACION[Fecha],"&lt;="&amp;EOMONTH(W$1,0),
FINANCIACION[PRESTAMO],$A39)</f>
        <v>7492215.7899999991</v>
      </c>
    </row>
    <row r="40" spans="1:23" ht="21.6" customHeight="1" x14ac:dyDescent="0.3">
      <c r="A40" s="41" t="s">
        <v>878</v>
      </c>
      <c r="B40" s="52">
        <f>-SUMIFS(FINANCIACION[$ CAPITAL],
FINANCIACION[Fecha],"&lt;="&amp;EOMONTH(B$1,0),
FINANCIACION[PRESTAMO],$A40)</f>
        <v>0</v>
      </c>
      <c r="C40" s="52">
        <v>0</v>
      </c>
      <c r="D40" s="52">
        <v>0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f>-SUMIFS(FINANCIACION[$ CAPITAL],
FINANCIACION[Fecha],"&lt;="&amp;EOMONTH(N$1,0),
FINANCIACION[PRESTAMO],$A40)</f>
        <v>0</v>
      </c>
      <c r="O40" s="52">
        <f>-SUMIFS(FINANCIACION[$ CAPITAL],
FINANCIACION[Fecha],"&lt;="&amp;EOMONTH(O$1,0),
FINANCIACION[PRESTAMO],$A40)</f>
        <v>1469243.3599999994</v>
      </c>
      <c r="P40" s="52">
        <f>-SUMIFS(FINANCIACION[$ CAPITAL],
FINANCIACION[Fecha],"&lt;="&amp;EOMONTH(P$1,0),
FINANCIACION[PRESTAMO],$A40)</f>
        <v>61469243.359999999</v>
      </c>
      <c r="Q40" s="52">
        <f>-SUMIFS(FINANCIACION[$ CAPITAL],
FINANCIACION[Fecha],"&lt;="&amp;EOMONTH(Q$1,0),
FINANCIACION[PRESTAMO],$A40)</f>
        <v>0</v>
      </c>
      <c r="R40" s="52">
        <f>-SUMIFS(FINANCIACION[$ CAPITAL],
FINANCIACION[Fecha],"&lt;="&amp;EOMONTH(R$1,0),
FINANCIACION[PRESTAMO],$A40)</f>
        <v>56658361.969999999</v>
      </c>
      <c r="S40" s="52">
        <f>-SUMIFS(FINANCIACION[$ CAPITAL],
FINANCIACION[Fecha],"&lt;="&amp;EOMONTH(S$1,0),
FINANCIACION[PRESTAMO],$A40)</f>
        <v>24459840.259999998</v>
      </c>
      <c r="T40" s="52">
        <f>-SUMIFS(FINANCIACION[$ CAPITAL],
FINANCIACION[Fecha],"&lt;="&amp;EOMONTH(T$1,0),
FINANCIACION[PRESTAMO],$A40)</f>
        <v>22793173.599999998</v>
      </c>
      <c r="U40" s="52">
        <f>-SUMIFS(FINANCIACION[$ CAPITAL],
FINANCIACION[Fecha],"&lt;="&amp;EOMONTH(U$1,0),
FINANCIACION[PRESTAMO],$A40)</f>
        <v>0</v>
      </c>
      <c r="V40" s="52">
        <f>-SUMIFS(FINANCIACION[$ CAPITAL],
FINANCIACION[Fecha],"&lt;="&amp;EOMONTH(V$1,0),
FINANCIACION[PRESTAMO],$A40)</f>
        <v>19455871.939999998</v>
      </c>
      <c r="W40" s="52">
        <f>-SUMIFS(FINANCIACION[$ CAPITAL],
FINANCIACION[Fecha],"&lt;="&amp;EOMONTH(W$1,0),
FINANCIACION[PRESTAMO],$A40)</f>
        <v>17789205.279999997</v>
      </c>
    </row>
    <row r="41" spans="1:23" ht="21.6" customHeight="1" x14ac:dyDescent="0.3">
      <c r="A41" s="41" t="s">
        <v>827</v>
      </c>
      <c r="B41" s="52">
        <f>-SUMIFS(FINANCIACION[$ CAPITAL],
FINANCIACION[Fecha],"&lt;="&amp;EOMONTH(B$1,0),
FINANCIACION[PRESTAMO],$A41)</f>
        <v>0</v>
      </c>
      <c r="C41" s="52">
        <v>24706333.149999999</v>
      </c>
      <c r="D41" s="52">
        <v>23868447.079999998</v>
      </c>
      <c r="E41" s="52">
        <v>24020998.199999999</v>
      </c>
      <c r="F41" s="52">
        <v>22282101.91</v>
      </c>
      <c r="G41" s="52">
        <v>21288613.34</v>
      </c>
      <c r="H41" s="52">
        <v>20437835.670000002</v>
      </c>
      <c r="I41" s="52">
        <v>19449106.430000003</v>
      </c>
      <c r="J41" s="52">
        <v>18474834.260000005</v>
      </c>
      <c r="K41" s="52">
        <v>17508544.630000006</v>
      </c>
      <c r="L41" s="52">
        <v>16565250.450000007</v>
      </c>
      <c r="M41" s="52">
        <v>15625187.190000009</v>
      </c>
      <c r="N41" s="52">
        <f>-SUMIFS(FINANCIACION[$ CAPITAL],
FINANCIACION[Fecha],"&lt;="&amp;EOMONTH(N$1,0),
FINANCIACION[PRESTAMO],$A41)</f>
        <v>0</v>
      </c>
      <c r="O41" s="52">
        <f>-SUMIFS(FINANCIACION[$ CAPITAL],
FINANCIACION[Fecha],"&lt;="&amp;EOMONTH(O$1,0),
FINANCIACION[PRESTAMO],$A41)</f>
        <v>14784848.759999994</v>
      </c>
      <c r="P41" s="52">
        <f>-SUMIFS(FINANCIACION[$ CAPITAL],
FINANCIACION[Fecha],"&lt;="&amp;EOMONTH(P$1,0),
FINANCIACION[PRESTAMO],$A41)</f>
        <v>13820901.029999996</v>
      </c>
      <c r="Q41" s="52">
        <f>-SUMIFS(FINANCIACION[$ CAPITAL],
FINANCIACION[Fecha],"&lt;="&amp;EOMONTH(Q$1,0),
FINANCIACION[PRESTAMO],$A41)</f>
        <v>0</v>
      </c>
      <c r="R41" s="52">
        <f>-SUMIFS(FINANCIACION[$ CAPITAL],
FINANCIACION[Fecha],"&lt;="&amp;EOMONTH(R$1,0),
FINANCIACION[PRESTAMO],$A41)</f>
        <v>11870882.899999999</v>
      </c>
      <c r="S41" s="52">
        <f>-SUMIFS(FINANCIACION[$ CAPITAL],
FINANCIACION[Fecha],"&lt;="&amp;EOMONTH(S$1,0),
FINANCIACION[PRESTAMO],$A41)</f>
        <v>11017333.649999999</v>
      </c>
      <c r="T41" s="52">
        <f>-SUMIFS(FINANCIACION[$ CAPITAL],
FINANCIACION[Fecha],"&lt;="&amp;EOMONTH(T$1,0),
FINANCIACION[PRESTAMO],$A41)</f>
        <v>10164333.649999999</v>
      </c>
      <c r="U41" s="52">
        <f>-SUMIFS(FINANCIACION[$ CAPITAL],
FINANCIACION[Fecha],"&lt;="&amp;EOMONTH(U$1,0),
FINANCIACION[PRESTAMO],$A41)</f>
        <v>0</v>
      </c>
      <c r="V41" s="52">
        <f>-SUMIFS(FINANCIACION[$ CAPITAL],
FINANCIACION[Fecha],"&lt;="&amp;EOMONTH(V$1,0),
FINANCIACION[PRESTAMO],$A41)</f>
        <v>8458333.6499999985</v>
      </c>
      <c r="W41" s="52">
        <f>-SUMIFS(FINANCIACION[$ CAPITAL],
FINANCIACION[Fecha],"&lt;="&amp;EOMONTH(W$1,0),
FINANCIACION[PRESTAMO],$A41)</f>
        <v>8458333.6499999985</v>
      </c>
    </row>
    <row r="42" spans="1:23" ht="21.6" customHeight="1" x14ac:dyDescent="0.3">
      <c r="A42" s="41" t="s">
        <v>1131</v>
      </c>
      <c r="B42" s="52">
        <f>-SUMIFS(FINANCIACION[$ CAPITAL],
FINANCIACION[Fecha],"&lt;="&amp;EOMONTH(B$1,0),
FINANCIACION[PRESTAMO],$A42)</f>
        <v>0</v>
      </c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>
        <f>-SUMIFS(FINANCIACION[$ CAPITAL],
FINANCIACION[Fecha],"&lt;="&amp;EOMONTH(N$1,0),
FINANCIACION[PRESTAMO],$A42)</f>
        <v>0</v>
      </c>
      <c r="O42" s="52">
        <f>-SUMIFS(FINANCIACION[$ CAPITAL],
FINANCIACION[Fecha],"&lt;="&amp;EOMONTH(O$1,0),
FINANCIACION[PRESTAMO],$A42)</f>
        <v>0</v>
      </c>
      <c r="P42" s="52">
        <f>-SUMIFS(FINANCIACION[$ CAPITAL],
FINANCIACION[Fecha],"&lt;="&amp;EOMONTH(P$1,0),
FINANCIACION[PRESTAMO],$A42)</f>
        <v>0</v>
      </c>
      <c r="Q42" s="52">
        <f>-SUMIFS(FINANCIACION[$ CAPITAL],
FINANCIACION[Fecha],"&lt;="&amp;EOMONTH(Q$1,0),
FINANCIACION[PRESTAMO],$A42)</f>
        <v>0</v>
      </c>
      <c r="R42" s="52">
        <f>-SUMIFS(FINANCIACION[$ CAPITAL],
FINANCIACION[Fecha],"&lt;="&amp;EOMONTH(R$1,0),
FINANCIACION[PRESTAMO],$A42)</f>
        <v>4993978</v>
      </c>
      <c r="S42" s="52">
        <f>-SUMIFS(FINANCIACION[$ CAPITAL],
FINANCIACION[Fecha],"&lt;="&amp;EOMONTH(S$1,0),
FINANCIACION[PRESTAMO],$A42)</f>
        <v>4539980</v>
      </c>
      <c r="T42" s="52">
        <f>-SUMIFS(FINANCIACION[$ CAPITAL],
FINANCIACION[Fecha],"&lt;="&amp;EOMONTH(T$1,0),
FINANCIACION[PRESTAMO],$A42)</f>
        <v>4085982</v>
      </c>
      <c r="U42" s="52">
        <f>-SUMIFS(FINANCIACION[$ CAPITAL],
FINANCIACION[Fecha],"&lt;="&amp;EOMONTH(U$1,0),
FINANCIACION[PRESTAMO],$A42)</f>
        <v>0</v>
      </c>
      <c r="V42" s="52">
        <f>-SUMIFS(FINANCIACION[$ CAPITAL],
FINANCIACION[Fecha],"&lt;="&amp;EOMONTH(V$1,0),
FINANCIACION[PRESTAMO],$A42)</f>
        <v>3177986</v>
      </c>
      <c r="W42" s="52">
        <f>-SUMIFS(FINANCIACION[$ CAPITAL],
FINANCIACION[Fecha],"&lt;="&amp;EOMONTH(W$1,0),
FINANCIACION[PRESTAMO],$A42)</f>
        <v>2723988</v>
      </c>
    </row>
    <row r="43" spans="1:23" ht="21.6" customHeight="1" x14ac:dyDescent="0.3">
      <c r="A43" s="41" t="s">
        <v>835</v>
      </c>
      <c r="B43" s="52">
        <f>-SUMIFS(FINANCIACION[$ CAPITAL],
FINANCIACION[Fecha],"&lt;="&amp;EOMONTH(B$1,0),
FINANCIACION[PRESTAMO],$A43)</f>
        <v>0</v>
      </c>
      <c r="C43" s="52">
        <v>0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80206729.879999995</v>
      </c>
      <c r="M43" s="52">
        <v>79861078.480000004</v>
      </c>
      <c r="N43" s="52">
        <f>-SUMIFS(FINANCIACION[$ CAPITAL],
FINANCIACION[Fecha],"&lt;="&amp;EOMONTH(N$1,0),
FINANCIACION[PRESTAMO],$A43)</f>
        <v>0</v>
      </c>
      <c r="O43" s="52">
        <f>-SUMIFS(FINANCIACION[$ CAPITAL],
FINANCIACION[Fecha],"&lt;="&amp;EOMONTH(O$1,0),
FINANCIACION[PRESTAMO],$A43)</f>
        <v>81830630.709999993</v>
      </c>
      <c r="P43" s="52">
        <f>-SUMIFS(FINANCIACION[$ CAPITAL],
FINANCIACION[Fecha],"&lt;="&amp;EOMONTH(P$1,0),
FINANCIACION[PRESTAMO],$A43)</f>
        <v>81311593.769999996</v>
      </c>
      <c r="Q43" s="52">
        <f>-SUMIFS(FINANCIACION[$ CAPITAL],
FINANCIACION[Fecha],"&lt;="&amp;EOMONTH(Q$1,0),
FINANCIACION[PRESTAMO],$A43)</f>
        <v>0</v>
      </c>
      <c r="R43" s="52">
        <f>-SUMIFS(FINANCIACION[$ CAPITAL],
FINANCIACION[Fecha],"&lt;="&amp;EOMONTH(R$1,0),
FINANCIACION[PRESTAMO],$A43)</f>
        <v>79991465.180000007</v>
      </c>
      <c r="S43" s="52">
        <f>-SUMIFS(FINANCIACION[$ CAPITAL],
FINANCIACION[Fecha],"&lt;="&amp;EOMONTH(S$1,0),
FINANCIACION[PRESTAMO],$A43)</f>
        <v>78509078.370000005</v>
      </c>
      <c r="T43" s="52">
        <f>-SUMIFS(FINANCIACION[$ CAPITAL],
FINANCIACION[Fecha],"&lt;="&amp;EOMONTH(T$1,0),
FINANCIACION[PRESTAMO],$A43)</f>
        <v>77027596.890000001</v>
      </c>
      <c r="U43" s="52">
        <f>-SUMIFS(FINANCIACION[$ CAPITAL],
FINANCIACION[Fecha],"&lt;="&amp;EOMONTH(U$1,0),
FINANCIACION[PRESTAMO],$A43)</f>
        <v>0</v>
      </c>
      <c r="V43" s="52">
        <f>-SUMIFS(FINANCIACION[$ CAPITAL],
FINANCIACION[Fecha],"&lt;="&amp;EOMONTH(V$1,0),
FINANCIACION[PRESTAMO],$A43)</f>
        <v>74064633.929999992</v>
      </c>
      <c r="W43" s="52">
        <f>-SUMIFS(FINANCIACION[$ CAPITAL],
FINANCIACION[Fecha],"&lt;="&amp;EOMONTH(W$1,0),
FINANCIACION[PRESTAMO],$A43)</f>
        <v>72583152.449999988</v>
      </c>
    </row>
    <row r="44" spans="1:23" ht="21.6" customHeight="1" x14ac:dyDescent="0.3">
      <c r="A44" s="41" t="s">
        <v>829</v>
      </c>
      <c r="B44" s="52">
        <f>-SUMIFS(FINANCIACION[$ CAPITAL],
FINANCIACION[Fecha],"&lt;="&amp;EOMONTH(B$1,0),
FINANCIACION[PRESTAMO],$A44)</f>
        <v>0</v>
      </c>
      <c r="C44" s="52">
        <v>26991160.550000001</v>
      </c>
      <c r="D44" s="52">
        <v>25913149.530000001</v>
      </c>
      <c r="E44" s="52">
        <v>26084498.899999999</v>
      </c>
      <c r="F44" s="52">
        <v>24272072.600000001</v>
      </c>
      <c r="G44" s="52">
        <v>23225449.379999999</v>
      </c>
      <c r="H44" s="52">
        <v>22328751.640000001</v>
      </c>
      <c r="I44" s="52">
        <v>21288390.120000001</v>
      </c>
      <c r="J44" s="52">
        <v>20261351.320000004</v>
      </c>
      <c r="K44" s="52">
        <v>19242659.020000003</v>
      </c>
      <c r="L44" s="52">
        <v>18250128.500000004</v>
      </c>
      <c r="M44" s="52">
        <v>17261167.520000003</v>
      </c>
      <c r="N44" s="52">
        <f>-SUMIFS(FINANCIACION[$ CAPITAL],
FINANCIACION[Fecha],"&lt;="&amp;EOMONTH(N$1,0),
FINANCIACION[PRESTAMO],$A44)</f>
        <v>0</v>
      </c>
      <c r="O44" s="52">
        <f>-SUMIFS(FINANCIACION[$ CAPITAL],
FINANCIACION[Fecha],"&lt;="&amp;EOMONTH(O$1,0),
FINANCIACION[PRESTAMO],$A44)</f>
        <v>16421643.089999996</v>
      </c>
      <c r="P44" s="52">
        <f>-SUMIFS(FINANCIACION[$ CAPITAL],
FINANCIACION[Fecha],"&lt;="&amp;EOMONTH(P$1,0),
FINANCIACION[PRESTAMO],$A44)</f>
        <v>15405438.159999996</v>
      </c>
      <c r="Q44" s="52">
        <f>-SUMIFS(FINANCIACION[$ CAPITAL],
FINANCIACION[Fecha],"&lt;="&amp;EOMONTH(Q$1,0),
FINANCIACION[PRESTAMO],$A44)</f>
        <v>0</v>
      </c>
      <c r="R44" s="52">
        <f>-SUMIFS(FINANCIACION[$ CAPITAL],
FINANCIACION[Fecha],"&lt;="&amp;EOMONTH(R$1,0),
FINANCIACION[PRESTAMO],$A44)</f>
        <v>13350623.899999999</v>
      </c>
      <c r="S44" s="52">
        <f>-SUMIFS(FINANCIACION[$ CAPITAL],
FINANCIACION[Fecha],"&lt;="&amp;EOMONTH(S$1,0),
FINANCIACION[PRESTAMO],$A44)</f>
        <v>12456211.069999998</v>
      </c>
      <c r="T44" s="52">
        <f>-SUMIFS(FINANCIACION[$ CAPITAL],
FINANCIACION[Fecha],"&lt;="&amp;EOMONTH(T$1,0),
FINANCIACION[PRESTAMO],$A44)</f>
        <v>11562211.069999998</v>
      </c>
      <c r="U44" s="52">
        <f>-SUMIFS(FINANCIACION[$ CAPITAL],
FINANCIACION[Fecha],"&lt;="&amp;EOMONTH(U$1,0),
FINANCIACION[PRESTAMO],$A44)</f>
        <v>0</v>
      </c>
      <c r="V44" s="52">
        <f>-SUMIFS(FINANCIACION[$ CAPITAL],
FINANCIACION[Fecha],"&lt;="&amp;EOMONTH(V$1,0),
FINANCIACION[PRESTAMO],$A44)</f>
        <v>9774211.0699999984</v>
      </c>
      <c r="W44" s="52">
        <f>-SUMIFS(FINANCIACION[$ CAPITAL],
FINANCIACION[Fecha],"&lt;="&amp;EOMONTH(W$1,0),
FINANCIACION[PRESTAMO],$A44)</f>
        <v>9774211.0699999984</v>
      </c>
    </row>
    <row r="45" spans="1:23" ht="21.6" customHeight="1" x14ac:dyDescent="0.3">
      <c r="A45" s="41" t="s">
        <v>825</v>
      </c>
      <c r="B45" s="52">
        <f>-SUMIFS(FINANCIACION[$ CAPITAL],
FINANCIACION[Fecha],"&lt;="&amp;EOMONTH(B$1,0),
FINANCIACION[PRESTAMO],$A45)</f>
        <v>0</v>
      </c>
      <c r="C45" s="52">
        <v>60995747.579999998</v>
      </c>
      <c r="D45" s="52">
        <v>58902640.799999997</v>
      </c>
      <c r="E45" s="52">
        <v>56682393.969999999</v>
      </c>
      <c r="F45" s="52">
        <v>54818487.120000005</v>
      </c>
      <c r="G45" s="52">
        <v>52299048.060000002</v>
      </c>
      <c r="H45" s="52">
        <v>50136013.609999999</v>
      </c>
      <c r="I45" s="52">
        <v>47631389.68</v>
      </c>
      <c r="J45" s="52">
        <v>45157527.289999999</v>
      </c>
      <c r="K45" s="52">
        <v>42697257.329999998</v>
      </c>
      <c r="L45" s="52">
        <v>40306835</v>
      </c>
      <c r="M45" s="52">
        <v>37926967.32</v>
      </c>
      <c r="N45" s="52">
        <f>-SUMIFS(FINANCIACION[$ CAPITAL],
FINANCIACION[Fecha],"&lt;="&amp;EOMONTH(N$1,0),
FINANCIACION[PRESTAMO],$A45)</f>
        <v>0</v>
      </c>
      <c r="O45" s="52">
        <f>-SUMIFS(FINANCIACION[$ CAPITAL],
FINANCIACION[Fecha],"&lt;="&amp;EOMONTH(O$1,0),
FINANCIACION[PRESTAMO],$A45)</f>
        <v>35586556.57</v>
      </c>
      <c r="P45" s="52">
        <f>-SUMIFS(FINANCIACION[$ CAPITAL],
FINANCIACION[Fecha],"&lt;="&amp;EOMONTH(P$1,0),
FINANCIACION[PRESTAMO],$A45)</f>
        <v>33156469.100000001</v>
      </c>
      <c r="Q45" s="52">
        <f>-SUMIFS(FINANCIACION[$ CAPITAL],
FINANCIACION[Fecha],"&lt;="&amp;EOMONTH(Q$1,0),
FINANCIACION[PRESTAMO],$A45)</f>
        <v>0</v>
      </c>
      <c r="R45" s="52">
        <f>-SUMIFS(FINANCIACION[$ CAPITAL],
FINANCIACION[Fecha],"&lt;="&amp;EOMONTH(R$1,0),
FINANCIACION[PRESTAMO],$A45)</f>
        <v>28237172.5</v>
      </c>
      <c r="S45" s="52">
        <f>-SUMIFS(FINANCIACION[$ CAPITAL],
FINANCIACION[Fecha],"&lt;="&amp;EOMONTH(S$1,0),
FINANCIACION[PRESTAMO],$A45)</f>
        <v>26060938.140000001</v>
      </c>
      <c r="T45" s="52">
        <f>-SUMIFS(FINANCIACION[$ CAPITAL],
FINANCIACION[Fecha],"&lt;="&amp;EOMONTH(T$1,0),
FINANCIACION[PRESTAMO],$A45)</f>
        <v>23884762.240000002</v>
      </c>
      <c r="U45" s="52">
        <f>-SUMIFS(FINANCIACION[$ CAPITAL],
FINANCIACION[Fecha],"&lt;="&amp;EOMONTH(U$1,0),
FINANCIACION[PRESTAMO],$A45)</f>
        <v>0</v>
      </c>
      <c r="V45" s="52">
        <f>-SUMIFS(FINANCIACION[$ CAPITAL],
FINANCIACION[Fecha],"&lt;="&amp;EOMONTH(V$1,0),
FINANCIACION[PRESTAMO],$A45)</f>
        <v>19532410.440000005</v>
      </c>
      <c r="W45" s="52">
        <f>-SUMIFS(FINANCIACION[$ CAPITAL],
FINANCIACION[Fecha],"&lt;="&amp;EOMONTH(W$1,0),
FINANCIACION[PRESTAMO],$A45)</f>
        <v>17356234.540000007</v>
      </c>
    </row>
    <row r="46" spans="1:23" ht="21.6" customHeight="1" x14ac:dyDescent="0.3">
      <c r="A46" s="41" t="s">
        <v>826</v>
      </c>
      <c r="B46" s="52">
        <f>-SUMIFS(FINANCIACION[$ CAPITAL],
FINANCIACION[Fecha],"&lt;="&amp;EOMONTH(B$1,0),
FINANCIACION[PRESTAMO],$A46)</f>
        <v>0</v>
      </c>
      <c r="C46" s="52">
        <v>88476889.230000004</v>
      </c>
      <c r="D46" s="52">
        <v>84262864.439999998</v>
      </c>
      <c r="E46" s="52">
        <v>82222974.680000007</v>
      </c>
      <c r="F46" s="52">
        <v>79567204.679999992</v>
      </c>
      <c r="G46" s="52">
        <v>75853658.510000005</v>
      </c>
      <c r="H46" s="52">
        <v>72716430.010000005</v>
      </c>
      <c r="I46" s="52">
        <v>69028183.840000004</v>
      </c>
      <c r="J46" s="52">
        <v>65388773.829999998</v>
      </c>
      <c r="K46" s="52">
        <v>61771693.030000001</v>
      </c>
      <c r="L46" s="52">
        <v>58266664.57</v>
      </c>
      <c r="M46" s="52">
        <v>54781379.420000002</v>
      </c>
      <c r="N46" s="52">
        <f>-SUMIFS(FINANCIACION[$ CAPITAL],
FINANCIACION[Fecha],"&lt;="&amp;EOMONTH(N$1,0),
FINANCIACION[PRESTAMO],$A46)</f>
        <v>0</v>
      </c>
      <c r="O46" s="52">
        <f>-SUMIFS(FINANCIACION[$ CAPITAL],
FINANCIACION[Fecha],"&lt;="&amp;EOMONTH(O$1,0),
FINANCIACION[PRESTAMO],$A46)</f>
        <v>51671496.129999995</v>
      </c>
      <c r="P46" s="52">
        <f>-SUMIFS(FINANCIACION[$ CAPITAL],
FINANCIACION[Fecha],"&lt;="&amp;EOMONTH(P$1,0),
FINANCIACION[PRESTAMO],$A46)</f>
        <v>48111936.519999996</v>
      </c>
      <c r="Q46" s="52">
        <f>-SUMIFS(FINANCIACION[$ CAPITAL],
FINANCIACION[Fecha],"&lt;="&amp;EOMONTH(Q$1,0),
FINANCIACION[PRESTAMO],$A46)</f>
        <v>0</v>
      </c>
      <c r="R46" s="52">
        <f>-SUMIFS(FINANCIACION[$ CAPITAL],
FINANCIACION[Fecha],"&lt;="&amp;EOMONTH(R$1,0),
FINANCIACION[PRESTAMO],$A46)</f>
        <v>40907285.619999997</v>
      </c>
      <c r="S46" s="52">
        <f>-SUMIFS(FINANCIACION[$ CAPITAL],
FINANCIACION[Fecha],"&lt;="&amp;EOMONTH(S$1,0),
FINANCIACION[PRESTAMO],$A46)</f>
        <v>37747786.059999995</v>
      </c>
      <c r="T46" s="52">
        <f>-SUMIFS(FINANCIACION[$ CAPITAL],
FINANCIACION[Fecha],"&lt;="&amp;EOMONTH(T$1,0),
FINANCIACION[PRESTAMO],$A46)</f>
        <v>34588786.059999995</v>
      </c>
      <c r="U46" s="52">
        <f>-SUMIFS(FINANCIACION[$ CAPITAL],
FINANCIACION[Fecha],"&lt;="&amp;EOMONTH(U$1,0),
FINANCIACION[PRESTAMO],$A46)</f>
        <v>0</v>
      </c>
      <c r="V46" s="52">
        <f>-SUMIFS(FINANCIACION[$ CAPITAL],
FINANCIACION[Fecha],"&lt;="&amp;EOMONTH(V$1,0),
FINANCIACION[PRESTAMO],$A46)</f>
        <v>28270786.059999995</v>
      </c>
      <c r="W46" s="52">
        <f>-SUMIFS(FINANCIACION[$ CAPITAL],
FINANCIACION[Fecha],"&lt;="&amp;EOMONTH(W$1,0),
FINANCIACION[PRESTAMO],$A46)</f>
        <v>25111786.059999995</v>
      </c>
    </row>
    <row r="47" spans="1:23" ht="21.6" customHeight="1" x14ac:dyDescent="0.3">
      <c r="A47" s="41" t="s">
        <v>821</v>
      </c>
      <c r="B47" s="52">
        <f>-SUMIFS(FINANCIACION[$ CAPITAL],
FINANCIACION[Fecha],"&lt;="&amp;EOMONTH(B$1,0),
FINANCIACION[PRESTAMO],$A47)</f>
        <v>0</v>
      </c>
      <c r="C47" s="52">
        <v>355279704</v>
      </c>
      <c r="D47" s="52">
        <v>351122469</v>
      </c>
      <c r="E47" s="52">
        <v>354844809</v>
      </c>
      <c r="F47" s="52">
        <v>356058032</v>
      </c>
      <c r="G47" s="52">
        <v>344444698</v>
      </c>
      <c r="H47" s="52">
        <v>344444698</v>
      </c>
      <c r="I47" s="52">
        <v>338735212</v>
      </c>
      <c r="J47" s="52">
        <v>333497178</v>
      </c>
      <c r="K47" s="52">
        <v>328259144</v>
      </c>
      <c r="L47" s="52">
        <v>323115759</v>
      </c>
      <c r="M47" s="52">
        <v>337123027</v>
      </c>
      <c r="N47" s="52">
        <f>-SUMIFS(FINANCIACION[$ CAPITAL],
FINANCIACION[Fecha],"&lt;="&amp;EOMONTH(N$1,0),
FINANCIACION[PRESTAMO],$A47)</f>
        <v>0</v>
      </c>
      <c r="O47" s="52">
        <f>-SUMIFS(FINANCIACION[$ CAPITAL],
FINANCIACION[Fecha],"&lt;="&amp;EOMONTH(O$1,0),
FINANCIACION[PRESTAMO],$A47)</f>
        <v>382608305</v>
      </c>
      <c r="P47" s="52">
        <f>-SUMIFS(FINANCIACION[$ CAPITAL],
FINANCIACION[Fecha],"&lt;="&amp;EOMONTH(P$1,0),
FINANCIACION[PRESTAMO],$A47)</f>
        <v>377110348</v>
      </c>
      <c r="Q47" s="52">
        <f>-SUMIFS(FINANCIACION[$ CAPITAL],
FINANCIACION[Fecha],"&lt;="&amp;EOMONTH(Q$1,0),
FINANCIACION[PRESTAMO],$A47)</f>
        <v>0</v>
      </c>
      <c r="R47" s="52">
        <f>-SUMIFS(FINANCIACION[$ CAPITAL],
FINANCIACION[Fecha],"&lt;="&amp;EOMONTH(R$1,0),
FINANCIACION[PRESTAMO],$A47)</f>
        <v>366441690</v>
      </c>
      <c r="S47" s="52">
        <f>-SUMIFS(FINANCIACION[$ CAPITAL],
FINANCIACION[Fecha],"&lt;="&amp;EOMONTH(S$1,0),
FINANCIACION[PRESTAMO],$A47)</f>
        <v>365057538</v>
      </c>
      <c r="T47" s="52">
        <f>-SUMIFS(FINANCIACION[$ CAPITAL],
FINANCIACION[Fecha],"&lt;="&amp;EOMONTH(T$1,0),
FINANCIACION[PRESTAMO],$A47)</f>
        <v>363720868</v>
      </c>
      <c r="U47" s="52">
        <f>-SUMIFS(FINANCIACION[$ CAPITAL],
FINANCIACION[Fecha],"&lt;="&amp;EOMONTH(U$1,0),
FINANCIACION[PRESTAMO],$A47)</f>
        <v>0</v>
      </c>
      <c r="V47" s="52">
        <f>-SUMIFS(FINANCIACION[$ CAPITAL],
FINANCIACION[Fecha],"&lt;="&amp;EOMONTH(V$1,0),
FINANCIACION[PRESTAMO],$A47)</f>
        <v>361173199</v>
      </c>
      <c r="W47" s="52">
        <f>-SUMIFS(FINANCIACION[$ CAPITAL],
FINANCIACION[Fecha],"&lt;="&amp;EOMONTH(W$1,0),
FINANCIACION[PRESTAMO],$A47)</f>
        <v>359871288</v>
      </c>
    </row>
    <row r="48" spans="1:23" ht="21.6" customHeight="1" x14ac:dyDescent="0.3">
      <c r="A48" s="41" t="s">
        <v>822</v>
      </c>
      <c r="B48" s="52">
        <f>-SUMIFS(FINANCIACION[$ CAPITAL],
FINANCIACION[Fecha],"&lt;="&amp;EOMONTH(B$1,0),
FINANCIACION[PRESTAMO],$A48)</f>
        <v>0</v>
      </c>
      <c r="C48" s="52">
        <v>72197464.860000014</v>
      </c>
      <c r="D48" s="52">
        <v>70787902.990000024</v>
      </c>
      <c r="E48" s="52">
        <v>71741402.340000033</v>
      </c>
      <c r="F48" s="52">
        <v>43888850.962125674</v>
      </c>
      <c r="G48" s="52">
        <v>28396816.509999998</v>
      </c>
      <c r="H48" s="52">
        <v>27093375.809999991</v>
      </c>
      <c r="I48" s="52">
        <v>25606060.169999991</v>
      </c>
      <c r="J48" s="52">
        <v>24137884.089999989</v>
      </c>
      <c r="K48" s="52">
        <v>22682493.509999987</v>
      </c>
      <c r="L48" s="52">
        <v>21258869.339999985</v>
      </c>
      <c r="M48" s="52">
        <v>19839681.689999986</v>
      </c>
      <c r="N48" s="52">
        <f>-SUMIFS(FINANCIACION[$ CAPITAL],
FINANCIACION[Fecha],"&lt;="&amp;EOMONTH(N$1,0),
FINANCIACION[PRESTAMO],$A48)</f>
        <v>0</v>
      </c>
      <c r="O48" s="52">
        <f>-SUMIFS(FINANCIACION[$ CAPITAL],
FINANCIACION[Fecha],"&lt;="&amp;EOMONTH(O$1,0),
FINANCIACION[PRESTAMO],$A48)</f>
        <v>18618480.140000001</v>
      </c>
      <c r="P48" s="52">
        <f>-SUMIFS(FINANCIACION[$ CAPITAL],
FINANCIACION[Fecha],"&lt;="&amp;EOMONTH(P$1,0),
FINANCIACION[PRESTAMO],$A48)</f>
        <v>17173188.560000002</v>
      </c>
      <c r="Q48" s="52">
        <f>-SUMIFS(FINANCIACION[$ CAPITAL],
FINANCIACION[Fecha],"&lt;="&amp;EOMONTH(Q$1,0),
FINANCIACION[PRESTAMO],$A48)</f>
        <v>0</v>
      </c>
      <c r="R48" s="52">
        <f>-SUMIFS(FINANCIACION[$ CAPITAL],
FINANCIACION[Fecha],"&lt;="&amp;EOMONTH(R$1,0),
FINANCIACION[PRESTAMO],$A48)</f>
        <v>14259844.760000002</v>
      </c>
      <c r="S48" s="52">
        <f>-SUMIFS(FINANCIACION[$ CAPITAL],
FINANCIACION[Fecha],"&lt;="&amp;EOMONTH(S$1,0),
FINANCIACION[PRESTAMO],$A48)</f>
        <v>12953346.890000001</v>
      </c>
      <c r="T48" s="52">
        <f>-SUMIFS(FINANCIACION[$ CAPITAL],
FINANCIACION[Fecha],"&lt;="&amp;EOMONTH(T$1,0),
FINANCIACION[PRESTAMO],$A48)</f>
        <v>11647346.890000001</v>
      </c>
      <c r="U48" s="52">
        <f>-SUMIFS(FINANCIACION[$ CAPITAL],
FINANCIACION[Fecha],"&lt;="&amp;EOMONTH(U$1,0),
FINANCIACION[PRESTAMO],$A48)</f>
        <v>0</v>
      </c>
      <c r="V48" s="52">
        <f>-SUMIFS(FINANCIACION[$ CAPITAL],
FINANCIACION[Fecha],"&lt;="&amp;EOMONTH(V$1,0),
FINANCIACION[PRESTAMO],$A48)</f>
        <v>9035346.8900000006</v>
      </c>
      <c r="W48" s="52">
        <f>-SUMIFS(FINANCIACION[$ CAPITAL],
FINANCIACION[Fecha],"&lt;="&amp;EOMONTH(W$1,0),
FINANCIACION[PRESTAMO],$A48)</f>
        <v>9035346.8900000006</v>
      </c>
    </row>
    <row r="49" spans="1:23" ht="21.6" hidden="1" customHeight="1" x14ac:dyDescent="0.3">
      <c r="A49" s="41" t="s">
        <v>392</v>
      </c>
      <c r="B49" s="52">
        <f>-SUMIFS(FINANCIACION[$ CAPITAL],
FINANCIACION[Fecha],"&lt;="&amp;EOMONTH(B$1,0),
FINANCIACION[PRESTAMO],$A49)</f>
        <v>0</v>
      </c>
      <c r="C49" s="52">
        <v>0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f>-SUMIFS(FINANCIACION[$ CAPITAL],
FINANCIACION[Fecha],"&lt;="&amp;EOMONTH(N$1,0),
FINANCIACION[PRESTAMO],$A49)</f>
        <v>0</v>
      </c>
      <c r="O49" s="52">
        <f>-SUMIFS(FINANCIACION[$ CAPITAL],
FINANCIACION[Fecha],"&lt;="&amp;EOMONTH(O$1,0),
FINANCIACION[PRESTAMO],$A49)</f>
        <v>0</v>
      </c>
      <c r="P49" s="52">
        <f>-SUMIFS(FINANCIACION[$ CAPITAL],
FINANCIACION[Fecha],"&lt;="&amp;EOMONTH(P$1,0),
FINANCIACION[PRESTAMO],$A49)</f>
        <v>0</v>
      </c>
      <c r="Q49" s="52">
        <f>-SUMIFS(FINANCIACION[$ CAPITAL],
FINANCIACION[Fecha],"&lt;="&amp;EOMONTH(Q$1,0),
FINANCIACION[PRESTAMO],$A49)</f>
        <v>0</v>
      </c>
      <c r="R49" s="52">
        <f>-SUMIFS(FINANCIACION[$ CAPITAL],
FINANCIACION[Fecha],"&lt;="&amp;EOMONTH(R$1,0),
FINANCIACION[PRESTAMO],$A49)</f>
        <v>0</v>
      </c>
      <c r="S49" s="52">
        <f>-SUMIFS(FINANCIACION[$ CAPITAL],
FINANCIACION[Fecha],"&lt;="&amp;EOMONTH(S$1,0),
FINANCIACION[PRESTAMO],$A49)</f>
        <v>0</v>
      </c>
      <c r="T49" s="52">
        <f>-SUMIFS(FINANCIACION[$ CAPITAL],
FINANCIACION[Fecha],"&lt;="&amp;EOMONTH(T$1,0),
FINANCIACION[PRESTAMO],$A49)</f>
        <v>0</v>
      </c>
      <c r="U49" s="52">
        <f>-SUMIFS(FINANCIACION[$ CAPITAL],
FINANCIACION[Fecha],"&lt;="&amp;EOMONTH(U$1,0),
FINANCIACION[PRESTAMO],$A49)</f>
        <v>0</v>
      </c>
      <c r="V49" s="52">
        <f>-SUMIFS(FINANCIACION[$ CAPITAL],
FINANCIACION[Fecha],"&lt;="&amp;EOMONTH(V$1,0),
FINANCIACION[PRESTAMO],$A49)</f>
        <v>0</v>
      </c>
      <c r="W49" s="52">
        <f>-SUMIFS(FINANCIACION[$ CAPITAL],
FINANCIACION[Fecha],"&lt;="&amp;EOMONTH(W$1,0),
FINANCIACION[PRESTAMO],$A49)</f>
        <v>0</v>
      </c>
    </row>
    <row r="50" spans="1:23" ht="21.6" hidden="1" customHeight="1" x14ac:dyDescent="0.3">
      <c r="A50" s="41" t="s">
        <v>194</v>
      </c>
      <c r="B50" s="52">
        <f>-SUMIFS(FINANCIACION[$ CAPITAL],
FINANCIACION[Fecha],"&lt;="&amp;EOMONTH(B$1,0),
FINANCIACION[PRESTAMO],$A50)</f>
        <v>0</v>
      </c>
      <c r="C50" s="52">
        <v>0</v>
      </c>
      <c r="D50" s="52">
        <v>0</v>
      </c>
      <c r="E50" s="52">
        <v>0</v>
      </c>
      <c r="F50" s="52">
        <v>35000000</v>
      </c>
      <c r="G50" s="52">
        <v>35000000</v>
      </c>
      <c r="H50" s="52">
        <v>35000000</v>
      </c>
      <c r="I50" s="52">
        <v>35000000</v>
      </c>
      <c r="J50" s="52">
        <v>35000000</v>
      </c>
      <c r="K50" s="52">
        <v>35000000</v>
      </c>
      <c r="L50" s="52">
        <v>35000000</v>
      </c>
      <c r="M50" s="52">
        <v>33055556</v>
      </c>
      <c r="N50" s="52">
        <f>-SUMIFS(FINANCIACION[$ CAPITAL],
FINANCIACION[Fecha],"&lt;="&amp;EOMONTH(N$1,0),
FINANCIACION[PRESTAMO],$A50)</f>
        <v>0</v>
      </c>
      <c r="O50" s="52">
        <f>-SUMIFS(FINANCIACION[$ CAPITAL],
FINANCIACION[Fecha],"&lt;="&amp;EOMONTH(O$1,0),
FINANCIACION[PRESTAMO],$A50)</f>
        <v>29166668</v>
      </c>
      <c r="P50" s="52">
        <f>-SUMIFS(FINANCIACION[$ CAPITAL],
FINANCIACION[Fecha],"&lt;="&amp;EOMONTH(P$1,0),
FINANCIACION[PRESTAMO],$A50)</f>
        <v>27222224</v>
      </c>
      <c r="Q50" s="52">
        <f>-SUMIFS(FINANCIACION[$ CAPITAL],
FINANCIACION[Fecha],"&lt;="&amp;EOMONTH(Q$1,0),
FINANCIACION[PRESTAMO],$A50)</f>
        <v>0</v>
      </c>
      <c r="R50" s="52">
        <f>-SUMIFS(FINANCIACION[$ CAPITAL],
FINANCIACION[Fecha],"&lt;="&amp;EOMONTH(R$1,0),
FINANCIACION[PRESTAMO],$A50)</f>
        <v>23333336</v>
      </c>
      <c r="S50" s="52">
        <f>-SUMIFS(FINANCIACION[$ CAPITAL],
FINANCIACION[Fecha],"&lt;="&amp;EOMONTH(S$1,0),
FINANCIACION[PRESTAMO],$A50)</f>
        <v>0</v>
      </c>
      <c r="T50" s="52">
        <f>-SUMIFS(FINANCIACION[$ CAPITAL],
FINANCIACION[Fecha],"&lt;="&amp;EOMONTH(T$1,0),
FINANCIACION[PRESTAMO],$A50)</f>
        <v>0</v>
      </c>
      <c r="U50" s="52">
        <f>-SUMIFS(FINANCIACION[$ CAPITAL],
FINANCIACION[Fecha],"&lt;="&amp;EOMONTH(U$1,0),
FINANCIACION[PRESTAMO],$A50)</f>
        <v>0</v>
      </c>
      <c r="V50" s="52">
        <f>-SUMIFS(FINANCIACION[$ CAPITAL],
FINANCIACION[Fecha],"&lt;="&amp;EOMONTH(V$1,0),
FINANCIACION[PRESTAMO],$A50)</f>
        <v>0</v>
      </c>
      <c r="W50" s="52">
        <f>-SUMIFS(FINANCIACION[$ CAPITAL],
FINANCIACION[Fecha],"&lt;="&amp;EOMONTH(W$1,0),
FINANCIACION[PRESTAMO],$A50)</f>
        <v>0</v>
      </c>
    </row>
    <row r="51" spans="1:23" ht="21.6" customHeight="1" x14ac:dyDescent="0.3">
      <c r="A51" s="41" t="s">
        <v>195</v>
      </c>
      <c r="B51" s="52">
        <f>-SUMIFS(FINANCIACION[$ CAPITAL],
FINANCIACION[Fecha],"&lt;="&amp;EOMONTH(B$1,0),
FINANCIACION[PRESTAMO],$A51)</f>
        <v>0</v>
      </c>
      <c r="C51" s="52">
        <v>0</v>
      </c>
      <c r="D51" s="52">
        <v>0</v>
      </c>
      <c r="E51" s="52">
        <v>0</v>
      </c>
      <c r="F51" s="52">
        <v>0</v>
      </c>
      <c r="G51" s="52">
        <v>1409465</v>
      </c>
      <c r="H51" s="52">
        <v>1273328</v>
      </c>
      <c r="I51" s="52">
        <v>-63580</v>
      </c>
      <c r="J51" s="52">
        <v>629103</v>
      </c>
      <c r="K51" s="52">
        <v>0</v>
      </c>
      <c r="L51" s="52">
        <v>0</v>
      </c>
      <c r="M51" s="52">
        <v>602400</v>
      </c>
      <c r="N51" s="52">
        <f>-SUMIFS(FINANCIACION[$ CAPITAL],
FINANCIACION[Fecha],"&lt;="&amp;EOMONTH(N$1,0),
FINANCIACION[PRESTAMO],$A51)</f>
        <v>0</v>
      </c>
      <c r="O51" s="52">
        <f>-SUMIFS(FINANCIACION[$ CAPITAL],
FINANCIACION[Fecha],"&lt;="&amp;EOMONTH(O$1,0),
FINANCIACION[PRESTAMO],$A51)</f>
        <v>4227096</v>
      </c>
      <c r="P51" s="52">
        <f>-SUMIFS(FINANCIACION[$ CAPITAL],
FINANCIACION[Fecha],"&lt;="&amp;EOMONTH(P$1,0),
FINANCIACION[PRESTAMO],$A51)</f>
        <v>1310705</v>
      </c>
      <c r="Q51" s="52">
        <f>-SUMIFS(FINANCIACION[$ CAPITAL],
FINANCIACION[Fecha],"&lt;="&amp;EOMONTH(Q$1,0),
FINANCIACION[PRESTAMO],$A51)</f>
        <v>0</v>
      </c>
      <c r="R51" s="52">
        <f>-SUMIFS(FINANCIACION[$ CAPITAL],
FINANCIACION[Fecha],"&lt;="&amp;EOMONTH(R$1,0),
FINANCIACION[PRESTAMO],$A51)</f>
        <v>2949682</v>
      </c>
      <c r="S51" s="52">
        <f>-SUMIFS(FINANCIACION[$ CAPITAL],
FINANCIACION[Fecha],"&lt;="&amp;EOMONTH(S$1,0),
FINANCIACION[PRESTAMO],$A51)</f>
        <v>862463</v>
      </c>
      <c r="T51" s="52">
        <f>-SUMIFS(FINANCIACION[$ CAPITAL],
FINANCIACION[Fecha],"&lt;="&amp;EOMONTH(T$1,0),
FINANCIACION[PRESTAMO],$A51)</f>
        <v>731040</v>
      </c>
      <c r="U51" s="52">
        <f>-SUMIFS(FINANCIACION[$ CAPITAL],
FINANCIACION[Fecha],"&lt;="&amp;EOMONTH(U$1,0),
FINANCIACION[PRESTAMO],$A51)</f>
        <v>0</v>
      </c>
      <c r="V51" s="52">
        <f>-SUMIFS(FINANCIACION[$ CAPITAL],
FINANCIACION[Fecha],"&lt;="&amp;EOMONTH(V$1,0),
FINANCIACION[PRESTAMO],$A51)</f>
        <v>2526182</v>
      </c>
      <c r="W51" s="52">
        <f>-SUMIFS(FINANCIACION[$ CAPITAL],
FINANCIACION[Fecha],"&lt;="&amp;EOMONTH(W$1,0),
FINANCIACION[PRESTAMO],$A51)</f>
        <v>4644463</v>
      </c>
    </row>
    <row r="52" spans="1:23" ht="21.6" customHeight="1" x14ac:dyDescent="0.3">
      <c r="A52" s="41" t="s">
        <v>196</v>
      </c>
      <c r="B52" s="52">
        <f>-SUMIFS(FINANCIACION[$ CAPITAL],
FINANCIACION[Fecha],"&lt;="&amp;EOMONTH(B$1,0),
FINANCIACION[PRESTAMO],$A52)</f>
        <v>0</v>
      </c>
      <c r="C52" s="52">
        <v>27453600</v>
      </c>
      <c r="D52" s="52">
        <v>26384700</v>
      </c>
      <c r="E52" s="52">
        <v>34302600</v>
      </c>
      <c r="F52" s="52">
        <v>33366600</v>
      </c>
      <c r="G52" s="52">
        <v>23753800</v>
      </c>
      <c r="H52" s="52">
        <v>27693900</v>
      </c>
      <c r="I52" s="52">
        <v>31683600</v>
      </c>
      <c r="J52" s="52">
        <v>33806850</v>
      </c>
      <c r="K52" s="52">
        <v>1421</v>
      </c>
      <c r="L52" s="52">
        <v>28691985</v>
      </c>
      <c r="M52" s="52">
        <v>20561500</v>
      </c>
      <c r="N52" s="52">
        <f>-SUMIFS(FINANCIACION[$ CAPITAL],
FINANCIACION[Fecha],"&lt;="&amp;EOMONTH(N$1,0),
FINANCIACION[PRESTAMO],$A52)</f>
        <v>0</v>
      </c>
      <c r="O52" s="52">
        <f>-SUMIFS(FINANCIACION[$ CAPITAL],
FINANCIACION[Fecha],"&lt;="&amp;EOMONTH(O$1,0),
FINANCIACION[PRESTAMO],$A52)</f>
        <v>31609500</v>
      </c>
      <c r="P52" s="52">
        <f>-SUMIFS(FINANCIACION[$ CAPITAL],
FINANCIACION[Fecha],"&lt;="&amp;EOMONTH(P$1,0),
FINANCIACION[PRESTAMO],$A52)</f>
        <v>31357600</v>
      </c>
      <c r="Q52" s="52">
        <f>-SUMIFS(FINANCIACION[$ CAPITAL],
FINANCIACION[Fecha],"&lt;="&amp;EOMONTH(Q$1,0),
FINANCIACION[PRESTAMO],$A52)</f>
        <v>0</v>
      </c>
      <c r="R52" s="52">
        <f>-SUMIFS(FINANCIACION[$ CAPITAL],
FINANCIACION[Fecha],"&lt;="&amp;EOMONTH(R$1,0),
FINANCIACION[PRESTAMO],$A52)</f>
        <v>33633800</v>
      </c>
      <c r="S52" s="52">
        <f>-SUMIFS(FINANCIACION[$ CAPITAL],
FINANCIACION[Fecha],"&lt;="&amp;EOMONTH(S$1,0),
FINANCIACION[PRESTAMO],$A52)</f>
        <v>22050000</v>
      </c>
      <c r="T52" s="52">
        <f>-SUMIFS(FINANCIACION[$ CAPITAL],
FINANCIACION[Fecha],"&lt;="&amp;EOMONTH(T$1,0),
FINANCIACION[PRESTAMO],$A52)</f>
        <v>17140200</v>
      </c>
      <c r="U52" s="52">
        <f>-SUMIFS(FINANCIACION[$ CAPITAL],
FINANCIACION[Fecha],"&lt;="&amp;EOMONTH(U$1,0),
FINANCIACION[PRESTAMO],$A52)</f>
        <v>0</v>
      </c>
      <c r="V52" s="52">
        <f>-SUMIFS(FINANCIACION[$ CAPITAL],
FINANCIACION[Fecha],"&lt;="&amp;EOMONTH(V$1,0),
FINANCIACION[PRESTAMO],$A52)</f>
        <v>20996170</v>
      </c>
      <c r="W52" s="52">
        <f>-SUMIFS(FINANCIACION[$ CAPITAL],
FINANCIACION[Fecha],"&lt;="&amp;EOMONTH(W$1,0),
FINANCIACION[PRESTAMO],$A52)</f>
        <v>23005500</v>
      </c>
    </row>
    <row r="53" spans="1:23" ht="21.6" customHeight="1" x14ac:dyDescent="0.3">
      <c r="A53" s="41" t="s">
        <v>197</v>
      </c>
      <c r="B53" s="52">
        <f>-SUMIFS(FINANCIACION[$ CAPITAL],
FINANCIACION[Fecha],"&lt;="&amp;EOMONTH(B$1,0),
FINANCIACION[PRESTAMO],$A53)</f>
        <v>0</v>
      </c>
      <c r="C53" s="52">
        <v>0</v>
      </c>
      <c r="D53" s="52">
        <v>0</v>
      </c>
      <c r="E53" s="52">
        <v>0</v>
      </c>
      <c r="F53" s="52">
        <v>0</v>
      </c>
      <c r="G53" s="52">
        <v>5919563</v>
      </c>
      <c r="H53" s="52">
        <v>3911800</v>
      </c>
      <c r="I53" s="52">
        <v>417434</v>
      </c>
      <c r="J53" s="52">
        <v>4108939</v>
      </c>
      <c r="K53" s="52">
        <v>967140</v>
      </c>
      <c r="L53" s="52">
        <v>454357</v>
      </c>
      <c r="M53" s="52">
        <v>357536</v>
      </c>
      <c r="N53" s="52">
        <f>-SUMIFS(FINANCIACION[$ CAPITAL],
FINANCIACION[Fecha],"&lt;="&amp;EOMONTH(N$1,0),
FINANCIACION[PRESTAMO],$A53)</f>
        <v>0</v>
      </c>
      <c r="O53" s="52">
        <f>-SUMIFS(FINANCIACION[$ CAPITAL],
FINANCIACION[Fecha],"&lt;="&amp;EOMONTH(O$1,0),
FINANCIACION[PRESTAMO],$A53)</f>
        <v>770850</v>
      </c>
      <c r="P53" s="52">
        <f>-SUMIFS(FINANCIACION[$ CAPITAL],
FINANCIACION[Fecha],"&lt;="&amp;EOMONTH(P$1,0),
FINANCIACION[PRESTAMO],$A53)</f>
        <v>11043186</v>
      </c>
      <c r="Q53" s="52">
        <f>-SUMIFS(FINANCIACION[$ CAPITAL],
FINANCIACION[Fecha],"&lt;="&amp;EOMONTH(Q$1,0),
FINANCIACION[PRESTAMO],$A53)</f>
        <v>0</v>
      </c>
      <c r="R53" s="52">
        <f>-SUMIFS(FINANCIACION[$ CAPITAL],
FINANCIACION[Fecha],"&lt;="&amp;EOMONTH(R$1,0),
FINANCIACION[PRESTAMO],$A53)</f>
        <v>9349218</v>
      </c>
      <c r="S53" s="52">
        <f>-SUMIFS(FINANCIACION[$ CAPITAL],
FINANCIACION[Fecha],"&lt;="&amp;EOMONTH(S$1,0),
FINANCIACION[PRESTAMO],$A53)</f>
        <v>19291851</v>
      </c>
      <c r="T53" s="52">
        <f>-SUMIFS(FINANCIACION[$ CAPITAL],
FINANCIACION[Fecha],"&lt;="&amp;EOMONTH(T$1,0),
FINANCIACION[PRESTAMO],$A53)</f>
        <v>20248555</v>
      </c>
      <c r="U53" s="52">
        <f>-SUMIFS(FINANCIACION[$ CAPITAL],
FINANCIACION[Fecha],"&lt;="&amp;EOMONTH(U$1,0),
FINANCIACION[PRESTAMO],$A53)</f>
        <v>0</v>
      </c>
      <c r="V53" s="52">
        <f>-SUMIFS(FINANCIACION[$ CAPITAL],
FINANCIACION[Fecha],"&lt;="&amp;EOMONTH(V$1,0),
FINANCIACION[PRESTAMO],$A53)</f>
        <v>22442696</v>
      </c>
      <c r="W53" s="52">
        <f>-SUMIFS(FINANCIACION[$ CAPITAL],
FINANCIACION[Fecha],"&lt;="&amp;EOMONTH(W$1,0),
FINANCIACION[PRESTAMO],$A53)</f>
        <v>19305362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B1999"/>
  <sheetViews>
    <sheetView workbookViewId="0">
      <selection activeCell="W3" sqref="W3"/>
    </sheetView>
  </sheetViews>
  <sheetFormatPr defaultColWidth="11.5546875" defaultRowHeight="14.4" x14ac:dyDescent="0.3"/>
  <cols>
    <col min="1" max="1" width="13" customWidth="1"/>
    <col min="2" max="4" width="11.44140625" hidden="1" customWidth="1"/>
    <col min="5" max="5" width="17.33203125" style="156" customWidth="1"/>
    <col min="6" max="6" width="14" customWidth="1"/>
    <col min="7" max="7" width="24.6640625" style="156" customWidth="1"/>
    <col min="8" max="15" width="11.44140625" hidden="1" customWidth="1"/>
    <col min="16" max="16" width="14.6640625" style="117" bestFit="1" customWidth="1"/>
    <col min="17" max="17" width="14.6640625" style="117" hidden="1" customWidth="1"/>
    <col min="18" max="18" width="14.6640625" style="150" hidden="1" customWidth="1"/>
    <col min="19" max="19" width="12.33203125" hidden="1" customWidth="1"/>
    <col min="20" max="20" width="16.33203125" style="150" hidden="1" customWidth="1"/>
    <col min="21" max="21" width="11.6640625" hidden="1" customWidth="1"/>
    <col min="22" max="22" width="11.44140625" hidden="1" customWidth="1"/>
    <col min="23" max="23" width="17.6640625" style="152" customWidth="1"/>
  </cols>
  <sheetData>
    <row r="1" spans="1:28" ht="15.75" customHeight="1" x14ac:dyDescent="0.3">
      <c r="A1" s="148" t="s">
        <v>1111</v>
      </c>
      <c r="B1" s="148"/>
      <c r="C1" s="148"/>
      <c r="D1" s="148"/>
      <c r="E1" s="155"/>
      <c r="F1" s="148"/>
      <c r="G1" s="155"/>
      <c r="H1" s="148"/>
      <c r="I1" s="148"/>
      <c r="J1" s="148"/>
      <c r="K1" s="148"/>
      <c r="L1" s="148"/>
      <c r="M1" s="148"/>
      <c r="N1" s="148"/>
      <c r="O1" s="148"/>
      <c r="P1" s="149"/>
      <c r="Q1" s="149"/>
      <c r="R1" s="154"/>
      <c r="W1" s="276" t="s">
        <v>1012</v>
      </c>
    </row>
    <row r="2" spans="1:28" ht="15" customHeight="1" thickBot="1" x14ac:dyDescent="0.35">
      <c r="A2" s="148" t="s">
        <v>1013</v>
      </c>
      <c r="B2" s="148"/>
      <c r="C2" s="148"/>
      <c r="D2" s="148"/>
      <c r="E2" s="155"/>
      <c r="F2" s="148"/>
      <c r="G2" s="155"/>
      <c r="H2" s="148"/>
      <c r="I2" s="148"/>
      <c r="J2" s="148"/>
      <c r="K2" s="148"/>
      <c r="L2" s="148"/>
      <c r="M2" s="148"/>
      <c r="N2" s="148"/>
      <c r="O2" s="148"/>
      <c r="P2" s="149"/>
      <c r="Q2" s="149"/>
      <c r="R2" s="154"/>
      <c r="W2" s="277"/>
    </row>
    <row r="3" spans="1:28" ht="16.5" customHeight="1" x14ac:dyDescent="0.3">
      <c r="A3" s="148" t="s">
        <v>1014</v>
      </c>
      <c r="B3" s="148"/>
      <c r="C3" s="148"/>
      <c r="D3" s="148"/>
      <c r="E3" s="155"/>
      <c r="F3" s="148"/>
      <c r="G3" s="155"/>
      <c r="H3" s="148"/>
      <c r="I3" s="148"/>
      <c r="J3" s="148"/>
      <c r="K3" s="148"/>
      <c r="L3" s="148"/>
      <c r="M3" s="148"/>
      <c r="N3" s="148"/>
      <c r="O3" s="148"/>
      <c r="P3" s="149"/>
      <c r="Q3" s="149"/>
      <c r="R3" s="154"/>
      <c r="W3" s="181">
        <f>+SUMIFS(Tabla2[Total],Tabla2[VENCIDA],"vencida",Tabla2[X@],"FALSO")</f>
        <v>0</v>
      </c>
    </row>
    <row r="4" spans="1:28" ht="15.75" customHeight="1" thickBot="1" x14ac:dyDescent="0.35">
      <c r="A4" s="151" t="s">
        <v>1019</v>
      </c>
      <c r="B4" s="148"/>
      <c r="C4" s="148"/>
      <c r="D4" s="148"/>
      <c r="E4" s="155"/>
      <c r="F4" s="148"/>
      <c r="G4" s="155"/>
      <c r="H4" s="148"/>
      <c r="I4" s="148"/>
      <c r="J4" s="148"/>
      <c r="K4" s="148"/>
      <c r="L4" s="148"/>
      <c r="M4" s="148"/>
      <c r="N4" s="148"/>
      <c r="O4" s="148"/>
      <c r="P4" s="149"/>
      <c r="Q4" s="149"/>
      <c r="R4" s="154"/>
      <c r="W4" s="182"/>
      <c r="AB4" s="180"/>
    </row>
    <row r="5" spans="1:28" ht="16.2" thickBot="1" x14ac:dyDescent="0.35">
      <c r="A5" s="155" t="s">
        <v>1177</v>
      </c>
      <c r="B5" s="148"/>
      <c r="C5" s="148"/>
      <c r="D5" s="148"/>
      <c r="E5" s="155"/>
      <c r="F5" s="148"/>
      <c r="G5" s="155"/>
      <c r="H5" s="151"/>
      <c r="I5" s="151"/>
      <c r="J5" s="151"/>
      <c r="K5" s="151"/>
      <c r="L5" s="151"/>
      <c r="M5" s="148"/>
      <c r="N5" s="148"/>
      <c r="O5" s="148"/>
      <c r="P5" s="149" t="s">
        <v>1015</v>
      </c>
      <c r="Q5" s="149"/>
      <c r="R5" s="154"/>
      <c r="W5" s="153">
        <v>44834</v>
      </c>
    </row>
    <row r="6" spans="1:28" x14ac:dyDescent="0.3">
      <c r="A6" t="s">
        <v>4</v>
      </c>
      <c r="B6" t="s">
        <v>175</v>
      </c>
      <c r="C6" t="s">
        <v>5</v>
      </c>
      <c r="D6" t="s">
        <v>125</v>
      </c>
      <c r="E6" s="156" t="s">
        <v>6</v>
      </c>
      <c r="F6" t="s">
        <v>3</v>
      </c>
      <c r="G6" s="156" t="s">
        <v>1</v>
      </c>
      <c r="H6" t="s">
        <v>2</v>
      </c>
      <c r="I6" t="s">
        <v>107</v>
      </c>
      <c r="J6" t="s">
        <v>1139</v>
      </c>
      <c r="K6" t="s">
        <v>108</v>
      </c>
      <c r="L6" t="s">
        <v>110</v>
      </c>
      <c r="M6" t="s">
        <v>1138</v>
      </c>
      <c r="N6" t="s">
        <v>112</v>
      </c>
      <c r="O6" t="s">
        <v>111</v>
      </c>
      <c r="P6" s="117" t="s">
        <v>109</v>
      </c>
      <c r="Q6" s="117" t="s">
        <v>7</v>
      </c>
      <c r="R6" s="150" t="s">
        <v>779</v>
      </c>
      <c r="S6" s="109" t="s">
        <v>943</v>
      </c>
      <c r="T6" s="150" t="s">
        <v>1016</v>
      </c>
      <c r="U6" t="s">
        <v>1017</v>
      </c>
      <c r="V6" t="s">
        <v>1018</v>
      </c>
      <c r="W6" s="152" t="s">
        <v>1020</v>
      </c>
    </row>
    <row r="7" spans="1:28" x14ac:dyDescent="0.3">
      <c r="A7">
        <v>30</v>
      </c>
      <c r="B7">
        <v>0</v>
      </c>
      <c r="D7" t="s">
        <v>431</v>
      </c>
      <c r="F7" t="s">
        <v>677</v>
      </c>
      <c r="G7" s="156">
        <v>44800</v>
      </c>
      <c r="H7" t="s">
        <v>1695</v>
      </c>
      <c r="I7">
        <v>2100000</v>
      </c>
      <c r="K7">
        <v>0</v>
      </c>
      <c r="M7">
        <v>0</v>
      </c>
      <c r="N7">
        <v>0</v>
      </c>
      <c r="O7">
        <v>0</v>
      </c>
      <c r="P7" s="117">
        <v>2100000</v>
      </c>
      <c r="Q7" s="117" t="s">
        <v>1021</v>
      </c>
      <c r="R7" s="150">
        <v>0</v>
      </c>
      <c r="S7" s="117" t="b">
        <f>OR(COUNTIF(Tabla2[[#This Row],[PROVEEDOR]],"*"&amp;'Palabra no opera'!$A$2&amp;"*"))</f>
        <v>0</v>
      </c>
      <c r="T7" s="150">
        <f>+$W$5-Tabla2[[#This Row],[FECHA DE FACTURACIÓN]]</f>
        <v>34</v>
      </c>
      <c r="U7" t="str">
        <f>+IF(Tabla2[[#This Row],[dias de credito]]&gt;=Tabla2[[#This Row],[PLAZO Días]],"venc", "No venc")</f>
        <v>venc</v>
      </c>
      <c r="V7" t="str">
        <f>+IF(Tabla2[[#This Row],[FECHA DE PAGO]]&gt;0,"pagada","por pagar")</f>
        <v>por pagar</v>
      </c>
      <c r="W7" s="152" t="str">
        <f>+IF(AND(Tabla2[[#This Row],[venc]]="venc",Tabla2[[#This Row],[Columna1]]="por pagar"),"vencida","no")</f>
        <v>vencida</v>
      </c>
    </row>
    <row r="8" spans="1:28" x14ac:dyDescent="0.3">
      <c r="A8">
        <v>30</v>
      </c>
      <c r="B8">
        <v>0</v>
      </c>
      <c r="D8" t="s">
        <v>290</v>
      </c>
      <c r="F8" t="s">
        <v>47</v>
      </c>
      <c r="G8" s="156">
        <v>44792</v>
      </c>
      <c r="H8" t="s">
        <v>1416</v>
      </c>
      <c r="I8">
        <v>211800</v>
      </c>
      <c r="K8">
        <v>40242</v>
      </c>
      <c r="M8">
        <v>0</v>
      </c>
      <c r="N8">
        <v>0</v>
      </c>
      <c r="O8">
        <v>0</v>
      </c>
      <c r="P8" s="117">
        <v>252042</v>
      </c>
      <c r="Q8" s="117" t="s">
        <v>1021</v>
      </c>
      <c r="R8" s="150">
        <v>0</v>
      </c>
      <c r="S8" s="117" t="b">
        <f>OR(COUNTIF(Tabla2[[#This Row],[PROVEEDOR]],"*"&amp;'Palabra no opera'!$A$2&amp;"*"))</f>
        <v>0</v>
      </c>
      <c r="T8" s="150">
        <f>+$W$5-Tabla2[[#This Row],[FECHA DE FACTURACIÓN]]</f>
        <v>42</v>
      </c>
      <c r="U8" t="str">
        <f>+IF(Tabla2[[#This Row],[dias de credito]]&gt;=Tabla2[[#This Row],[PLAZO Días]],"venc", "No venc")</f>
        <v>venc</v>
      </c>
      <c r="V8" t="str">
        <f>+IF(Tabla2[[#This Row],[FECHA DE PAGO]]&gt;0,"pagada","por pagar")</f>
        <v>por pagar</v>
      </c>
      <c r="W8" s="152" t="str">
        <f>+IF(AND(Tabla2[[#This Row],[venc]]="venc",Tabla2[[#This Row],[Columna1]]="por pagar"),"vencida","no")</f>
        <v>vencida</v>
      </c>
    </row>
    <row r="9" spans="1:28" x14ac:dyDescent="0.3">
      <c r="A9">
        <v>30</v>
      </c>
      <c r="B9">
        <v>0</v>
      </c>
      <c r="D9" t="s">
        <v>290</v>
      </c>
      <c r="F9" t="s">
        <v>47</v>
      </c>
      <c r="G9" s="156">
        <v>44786</v>
      </c>
      <c r="H9" t="s">
        <v>1400</v>
      </c>
      <c r="I9">
        <v>359725</v>
      </c>
      <c r="K9">
        <v>68347.75</v>
      </c>
      <c r="M9">
        <v>0</v>
      </c>
      <c r="N9">
        <v>0</v>
      </c>
      <c r="O9">
        <v>0</v>
      </c>
      <c r="P9" s="117">
        <v>428072.75</v>
      </c>
      <c r="Q9" s="117" t="s">
        <v>1021</v>
      </c>
      <c r="R9" s="150">
        <v>0</v>
      </c>
      <c r="S9" s="117" t="b">
        <f>OR(COUNTIF(Tabla2[[#This Row],[PROVEEDOR]],"*"&amp;'Palabra no opera'!$A$2&amp;"*"))</f>
        <v>0</v>
      </c>
      <c r="T9" s="150">
        <f>+$W$5-Tabla2[[#This Row],[FECHA DE FACTURACIÓN]]</f>
        <v>48</v>
      </c>
      <c r="U9" t="str">
        <f>+IF(Tabla2[[#This Row],[dias de credito]]&gt;=Tabla2[[#This Row],[PLAZO Días]],"venc", "No venc")</f>
        <v>venc</v>
      </c>
      <c r="V9" t="str">
        <f>+IF(Tabla2[[#This Row],[FECHA DE PAGO]]&gt;0,"pagada","por pagar")</f>
        <v>por pagar</v>
      </c>
      <c r="W9" s="152" t="str">
        <f>+IF(AND(Tabla2[[#This Row],[venc]]="venc",Tabla2[[#This Row],[Columna1]]="por pagar"),"vencida","no")</f>
        <v>vencida</v>
      </c>
    </row>
    <row r="10" spans="1:28" x14ac:dyDescent="0.3">
      <c r="A10">
        <v>30</v>
      </c>
      <c r="B10">
        <v>0</v>
      </c>
      <c r="D10" t="s">
        <v>290</v>
      </c>
      <c r="F10" t="s">
        <v>47</v>
      </c>
      <c r="G10" s="156">
        <v>44784</v>
      </c>
      <c r="H10" t="s">
        <v>1418</v>
      </c>
      <c r="I10">
        <v>486500</v>
      </c>
      <c r="K10">
        <v>92435</v>
      </c>
      <c r="M10">
        <v>0</v>
      </c>
      <c r="N10">
        <v>0</v>
      </c>
      <c r="O10">
        <v>0</v>
      </c>
      <c r="P10" s="117">
        <v>578935</v>
      </c>
      <c r="Q10" s="117" t="s">
        <v>1021</v>
      </c>
      <c r="R10" s="150">
        <v>0</v>
      </c>
      <c r="S10" s="117" t="b">
        <f>OR(COUNTIF(Tabla2[[#This Row],[PROVEEDOR]],"*"&amp;'Palabra no opera'!$A$2&amp;"*"))</f>
        <v>0</v>
      </c>
      <c r="T10" s="150">
        <f>+$W$5-Tabla2[[#This Row],[FECHA DE FACTURACIÓN]]</f>
        <v>50</v>
      </c>
      <c r="U10" t="str">
        <f>+IF(Tabla2[[#This Row],[dias de credito]]&gt;=Tabla2[[#This Row],[PLAZO Días]],"venc", "No venc")</f>
        <v>venc</v>
      </c>
      <c r="V10" t="str">
        <f>+IF(Tabla2[[#This Row],[FECHA DE PAGO]]&gt;0,"pagada","por pagar")</f>
        <v>por pagar</v>
      </c>
      <c r="W10" s="152" t="str">
        <f>+IF(AND(Tabla2[[#This Row],[venc]]="venc",Tabla2[[#This Row],[Columna1]]="por pagar"),"vencida","no")</f>
        <v>vencida</v>
      </c>
    </row>
    <row r="11" spans="1:28" x14ac:dyDescent="0.3">
      <c r="A11">
        <v>45</v>
      </c>
      <c r="B11">
        <v>7497238</v>
      </c>
      <c r="D11" t="s">
        <v>272</v>
      </c>
      <c r="F11" t="s">
        <v>10</v>
      </c>
      <c r="G11" s="156">
        <v>44781</v>
      </c>
      <c r="H11" t="s">
        <v>1173</v>
      </c>
      <c r="I11">
        <v>760000</v>
      </c>
      <c r="K11">
        <v>144400</v>
      </c>
      <c r="M11">
        <v>0</v>
      </c>
      <c r="N11">
        <v>0</v>
      </c>
      <c r="O11">
        <v>0</v>
      </c>
      <c r="P11" s="117">
        <v>904400</v>
      </c>
      <c r="Q11" s="117" t="s">
        <v>1021</v>
      </c>
      <c r="R11" s="150">
        <v>0</v>
      </c>
      <c r="S11" s="117" t="b">
        <f>OR(COUNTIF(Tabla2[[#This Row],[PROVEEDOR]],"*"&amp;'Palabra no opera'!$A$2&amp;"*"))</f>
        <v>0</v>
      </c>
      <c r="T11" s="150">
        <f>+$W$5-Tabla2[[#This Row],[FECHA DE FACTURACIÓN]]</f>
        <v>53</v>
      </c>
      <c r="U11" t="str">
        <f>+IF(Tabla2[[#This Row],[dias de credito]]&gt;=Tabla2[[#This Row],[PLAZO Días]],"venc", "No venc")</f>
        <v>venc</v>
      </c>
      <c r="V11" t="str">
        <f>+IF(Tabla2[[#This Row],[FECHA DE PAGO]]&gt;0,"pagada","por pagar")</f>
        <v>por pagar</v>
      </c>
      <c r="W11" s="152" t="str">
        <f>+IF(AND(Tabla2[[#This Row],[venc]]="venc",Tabla2[[#This Row],[Columna1]]="por pagar"),"vencida","no")</f>
        <v>vencida</v>
      </c>
    </row>
    <row r="12" spans="1:28" x14ac:dyDescent="0.3">
      <c r="A12">
        <v>30</v>
      </c>
      <c r="B12">
        <v>8457900</v>
      </c>
      <c r="D12" t="s">
        <v>1027</v>
      </c>
      <c r="F12" t="s">
        <v>11</v>
      </c>
      <c r="G12" s="156">
        <v>44778</v>
      </c>
      <c r="H12" t="s">
        <v>1174</v>
      </c>
      <c r="I12">
        <v>252101</v>
      </c>
      <c r="K12">
        <v>47899.19</v>
      </c>
      <c r="M12">
        <v>0</v>
      </c>
      <c r="N12">
        <v>0</v>
      </c>
      <c r="O12">
        <v>0</v>
      </c>
      <c r="P12" s="117">
        <v>300000.19</v>
      </c>
      <c r="Q12" s="117" t="s">
        <v>1021</v>
      </c>
      <c r="R12" s="150">
        <v>0</v>
      </c>
      <c r="S12" s="117" t="b">
        <f>OR(COUNTIF(Tabla2[[#This Row],[PROVEEDOR]],"*"&amp;'Palabra no opera'!$A$2&amp;"*"))</f>
        <v>0</v>
      </c>
      <c r="T12" s="150">
        <f>+$W$5-Tabla2[[#This Row],[FECHA DE FACTURACIÓN]]</f>
        <v>56</v>
      </c>
      <c r="U12" t="str">
        <f>+IF(Tabla2[[#This Row],[dias de credito]]&gt;=Tabla2[[#This Row],[PLAZO Días]],"venc", "No venc")</f>
        <v>venc</v>
      </c>
      <c r="V12" t="str">
        <f>+IF(Tabla2[[#This Row],[FECHA DE PAGO]]&gt;0,"pagada","por pagar")</f>
        <v>por pagar</v>
      </c>
      <c r="W12" s="152" t="str">
        <f>+IF(AND(Tabla2[[#This Row],[venc]]="venc",Tabla2[[#This Row],[Columna1]]="por pagar"),"vencida","no")</f>
        <v>vencida</v>
      </c>
    </row>
    <row r="13" spans="1:28" x14ac:dyDescent="0.3">
      <c r="A13">
        <v>45</v>
      </c>
      <c r="B13">
        <v>7497238</v>
      </c>
      <c r="D13" t="s">
        <v>272</v>
      </c>
      <c r="F13" t="s">
        <v>10</v>
      </c>
      <c r="G13" s="156">
        <v>44776</v>
      </c>
      <c r="H13" t="s">
        <v>1172</v>
      </c>
      <c r="I13">
        <v>3230000</v>
      </c>
      <c r="K13">
        <v>613700</v>
      </c>
      <c r="M13">
        <v>0</v>
      </c>
      <c r="N13">
        <v>0</v>
      </c>
      <c r="O13">
        <v>0</v>
      </c>
      <c r="P13" s="117">
        <v>3843700</v>
      </c>
      <c r="Q13" s="117" t="s">
        <v>1021</v>
      </c>
      <c r="R13" s="150">
        <v>0</v>
      </c>
      <c r="S13" s="117" t="b">
        <f>OR(COUNTIF(Tabla2[[#This Row],[PROVEEDOR]],"*"&amp;'Palabra no opera'!$A$2&amp;"*"))</f>
        <v>0</v>
      </c>
      <c r="T13" s="150">
        <f>+$W$5-Tabla2[[#This Row],[FECHA DE FACTURACIÓN]]</f>
        <v>58</v>
      </c>
      <c r="U13" t="str">
        <f>+IF(Tabla2[[#This Row],[dias de credito]]&gt;=Tabla2[[#This Row],[PLAZO Días]],"venc", "No venc")</f>
        <v>venc</v>
      </c>
      <c r="V13" t="str">
        <f>+IF(Tabla2[[#This Row],[FECHA DE PAGO]]&gt;0,"pagada","por pagar")</f>
        <v>por pagar</v>
      </c>
      <c r="W13" s="152" t="str">
        <f>+IF(AND(Tabla2[[#This Row],[venc]]="venc",Tabla2[[#This Row],[Columna1]]="por pagar"),"vencida","no")</f>
        <v>vencida</v>
      </c>
    </row>
    <row r="14" spans="1:28" x14ac:dyDescent="0.3">
      <c r="A14">
        <v>30</v>
      </c>
      <c r="B14">
        <v>0</v>
      </c>
      <c r="D14" t="s">
        <v>1653</v>
      </c>
      <c r="F14" t="s">
        <v>24</v>
      </c>
      <c r="G14" s="156">
        <v>44775</v>
      </c>
      <c r="H14" t="s">
        <v>1175</v>
      </c>
      <c r="I14">
        <v>1682976</v>
      </c>
      <c r="K14">
        <v>319765.44</v>
      </c>
      <c r="M14">
        <v>0</v>
      </c>
      <c r="N14">
        <v>2.5000000000000001E-2</v>
      </c>
      <c r="O14">
        <v>42074.400000000001</v>
      </c>
      <c r="P14" s="117">
        <v>1960667.04</v>
      </c>
      <c r="Q14" s="117" t="s">
        <v>1021</v>
      </c>
      <c r="R14" s="150">
        <v>0</v>
      </c>
      <c r="S14" s="117" t="b">
        <f>OR(COUNTIF(Tabla2[[#This Row],[PROVEEDOR]],"*"&amp;'Palabra no opera'!$A$2&amp;"*"))</f>
        <v>0</v>
      </c>
      <c r="T14" s="150">
        <f>+$W$5-Tabla2[[#This Row],[FECHA DE FACTURACIÓN]]</f>
        <v>59</v>
      </c>
      <c r="U14" t="str">
        <f>+IF(Tabla2[[#This Row],[dias de credito]]&gt;=Tabla2[[#This Row],[PLAZO Días]],"venc", "No venc")</f>
        <v>venc</v>
      </c>
      <c r="V14" t="str">
        <f>+IF(Tabla2[[#This Row],[FECHA DE PAGO]]&gt;0,"pagada","por pagar")</f>
        <v>por pagar</v>
      </c>
      <c r="W14" s="152" t="str">
        <f>+IF(AND(Tabla2[[#This Row],[venc]]="venc",Tabla2[[#This Row],[Columna1]]="por pagar"),"vencida","no")</f>
        <v>vencida</v>
      </c>
    </row>
    <row r="15" spans="1:28" x14ac:dyDescent="0.3">
      <c r="A15">
        <v>30</v>
      </c>
      <c r="B15">
        <v>0</v>
      </c>
      <c r="D15" t="s">
        <v>270</v>
      </c>
      <c r="F15" t="s">
        <v>39</v>
      </c>
      <c r="G15" s="156">
        <v>44827</v>
      </c>
      <c r="H15" t="s">
        <v>1712</v>
      </c>
      <c r="I15">
        <v>338160</v>
      </c>
      <c r="K15">
        <v>64250.400000000001</v>
      </c>
      <c r="M15">
        <v>0</v>
      </c>
      <c r="N15">
        <v>0</v>
      </c>
      <c r="O15">
        <v>0</v>
      </c>
      <c r="P15" s="117">
        <v>402410.4</v>
      </c>
      <c r="Q15" s="117" t="s">
        <v>1021</v>
      </c>
      <c r="R15" s="150">
        <v>0</v>
      </c>
      <c r="S15" s="117" t="b">
        <f>OR(COUNTIF(Tabla2[[#This Row],[PROVEEDOR]],"*"&amp;'Palabra no opera'!$A$2&amp;"*"))</f>
        <v>0</v>
      </c>
      <c r="T15" s="150">
        <f>+$W$5-Tabla2[[#This Row],[FECHA DE FACTURACIÓN]]</f>
        <v>7</v>
      </c>
      <c r="U15" t="str">
        <f>+IF(Tabla2[[#This Row],[dias de credito]]&gt;=Tabla2[[#This Row],[PLAZO Días]],"venc", "No venc")</f>
        <v>No venc</v>
      </c>
      <c r="V15" t="str">
        <f>+IF(Tabla2[[#This Row],[FECHA DE PAGO]]&gt;0,"pagada","por pagar")</f>
        <v>por pagar</v>
      </c>
      <c r="W15" s="152" t="str">
        <f>+IF(AND(Tabla2[[#This Row],[venc]]="venc",Tabla2[[#This Row],[Columna1]]="por pagar"),"vencida","no")</f>
        <v>no</v>
      </c>
    </row>
    <row r="16" spans="1:28" x14ac:dyDescent="0.3">
      <c r="A16">
        <v>30</v>
      </c>
      <c r="B16">
        <v>0</v>
      </c>
      <c r="D16" t="s">
        <v>139</v>
      </c>
      <c r="F16" t="s">
        <v>780</v>
      </c>
      <c r="G16" s="156">
        <v>44811</v>
      </c>
      <c r="H16" t="s">
        <v>1719</v>
      </c>
      <c r="I16">
        <v>900000</v>
      </c>
      <c r="K16">
        <v>0</v>
      </c>
      <c r="M16">
        <v>0</v>
      </c>
      <c r="N16">
        <v>0</v>
      </c>
      <c r="O16">
        <v>0</v>
      </c>
      <c r="P16" s="117">
        <v>900000</v>
      </c>
      <c r="Q16" s="117" t="s">
        <v>1021</v>
      </c>
      <c r="R16" s="150">
        <v>0</v>
      </c>
      <c r="S16" s="117" t="b">
        <f>OR(COUNTIF(Tabla2[[#This Row],[PROVEEDOR]],"*"&amp;'Palabra no opera'!$A$2&amp;"*"))</f>
        <v>0</v>
      </c>
      <c r="T16" s="150">
        <f>+$W$5-Tabla2[[#This Row],[FECHA DE FACTURACIÓN]]</f>
        <v>23</v>
      </c>
      <c r="U16" t="str">
        <f>+IF(Tabla2[[#This Row],[dias de credito]]&gt;=Tabla2[[#This Row],[PLAZO Días]],"venc", "No venc")</f>
        <v>No venc</v>
      </c>
      <c r="V16" t="str">
        <f>+IF(Tabla2[[#This Row],[FECHA DE PAGO]]&gt;0,"pagada","por pagar")</f>
        <v>por pagar</v>
      </c>
      <c r="W16" s="152" t="str">
        <f>+IF(AND(Tabla2[[#This Row],[venc]]="venc",Tabla2[[#This Row],[Columna1]]="por pagar"),"vencida","no")</f>
        <v>no</v>
      </c>
    </row>
    <row r="17" spans="1:23" x14ac:dyDescent="0.3">
      <c r="A17">
        <v>30</v>
      </c>
      <c r="B17">
        <v>0</v>
      </c>
      <c r="D17" t="s">
        <v>622</v>
      </c>
      <c r="F17" t="s">
        <v>623</v>
      </c>
      <c r="G17" s="156">
        <v>44760</v>
      </c>
      <c r="H17" t="s">
        <v>1619</v>
      </c>
      <c r="I17">
        <v>1802000</v>
      </c>
      <c r="K17">
        <v>0</v>
      </c>
      <c r="M17">
        <v>0</v>
      </c>
      <c r="N17">
        <v>0</v>
      </c>
      <c r="O17">
        <v>0</v>
      </c>
      <c r="P17" s="117">
        <v>1802000</v>
      </c>
      <c r="Q17" s="117" t="s">
        <v>1021</v>
      </c>
      <c r="R17" s="150">
        <v>0</v>
      </c>
      <c r="S17" s="117" t="b">
        <f>OR(COUNTIF(Tabla2[[#This Row],[PROVEEDOR]],"*"&amp;'Palabra no opera'!$A$2&amp;"*"))</f>
        <v>0</v>
      </c>
      <c r="T17" s="150">
        <f>+$W$5-Tabla2[[#This Row],[FECHA DE FACTURACIÓN]]</f>
        <v>74</v>
      </c>
      <c r="U17" t="str">
        <f>+IF(Tabla2[[#This Row],[dias de credito]]&gt;=Tabla2[[#This Row],[PLAZO Días]],"venc", "No venc")</f>
        <v>venc</v>
      </c>
      <c r="V17" t="str">
        <f>+IF(Tabla2[[#This Row],[FECHA DE PAGO]]&gt;0,"pagada","por pagar")</f>
        <v>por pagar</v>
      </c>
      <c r="W17" s="152" t="str">
        <f>+IF(AND(Tabla2[[#This Row],[venc]]="venc",Tabla2[[#This Row],[Columna1]]="por pagar"),"vencida","no")</f>
        <v>vencida</v>
      </c>
    </row>
    <row r="18" spans="1:23" x14ac:dyDescent="0.3">
      <c r="A18">
        <v>30</v>
      </c>
      <c r="B18">
        <v>0</v>
      </c>
      <c r="D18" t="s">
        <v>139</v>
      </c>
      <c r="E18" s="156">
        <v>44834</v>
      </c>
      <c r="F18" t="s">
        <v>644</v>
      </c>
      <c r="G18" s="156">
        <v>44834</v>
      </c>
      <c r="H18" t="s">
        <v>1749</v>
      </c>
      <c r="I18">
        <v>776000</v>
      </c>
      <c r="K18">
        <v>0</v>
      </c>
      <c r="M18">
        <v>0</v>
      </c>
      <c r="N18">
        <v>0</v>
      </c>
      <c r="O18">
        <v>0</v>
      </c>
      <c r="P18" s="117">
        <v>776000</v>
      </c>
      <c r="Q18" s="117" t="s">
        <v>1021</v>
      </c>
      <c r="R18" s="150">
        <v>0</v>
      </c>
      <c r="S18" s="117" t="b">
        <f>OR(COUNTIF(Tabla2[[#This Row],[PROVEEDOR]],"*"&amp;'Palabra no opera'!$A$2&amp;"*"))</f>
        <v>0</v>
      </c>
      <c r="T18" s="150">
        <f>+$W$5-Tabla2[[#This Row],[FECHA DE FACTURACIÓN]]</f>
        <v>0</v>
      </c>
      <c r="U18" t="str">
        <f>+IF(Tabla2[[#This Row],[dias de credito]]&gt;=Tabla2[[#This Row],[PLAZO Días]],"venc", "No venc")</f>
        <v>No venc</v>
      </c>
      <c r="V18" t="str">
        <f>+IF(Tabla2[[#This Row],[FECHA DE PAGO]]&gt;0,"pagada","por pagar")</f>
        <v>pagada</v>
      </c>
      <c r="W18" s="152" t="str">
        <f>+IF(AND(Tabla2[[#This Row],[venc]]="venc",Tabla2[[#This Row],[Columna1]]="por pagar"),"vencida","no")</f>
        <v>no</v>
      </c>
    </row>
    <row r="19" spans="1:23" x14ac:dyDescent="0.3">
      <c r="A19">
        <v>30</v>
      </c>
      <c r="B19">
        <v>0</v>
      </c>
      <c r="D19" t="s">
        <v>139</v>
      </c>
      <c r="E19" s="156">
        <v>44834</v>
      </c>
      <c r="F19" t="s">
        <v>644</v>
      </c>
      <c r="G19" s="156">
        <v>44834</v>
      </c>
      <c r="H19" t="s">
        <v>1750</v>
      </c>
      <c r="I19">
        <v>1905000</v>
      </c>
      <c r="K19">
        <v>0</v>
      </c>
      <c r="M19">
        <v>0</v>
      </c>
      <c r="N19">
        <v>0</v>
      </c>
      <c r="O19">
        <v>0</v>
      </c>
      <c r="P19" s="117">
        <v>1905000</v>
      </c>
      <c r="Q19" s="117" t="s">
        <v>1021</v>
      </c>
      <c r="R19" s="150">
        <v>0</v>
      </c>
      <c r="S19" s="117" t="b">
        <f>OR(COUNTIF(Tabla2[[#This Row],[PROVEEDOR]],"*"&amp;'Palabra no opera'!$A$2&amp;"*"))</f>
        <v>0</v>
      </c>
      <c r="T19" s="150">
        <f>+$W$5-Tabla2[[#This Row],[FECHA DE FACTURACIÓN]]</f>
        <v>0</v>
      </c>
      <c r="U19" t="str">
        <f>+IF(Tabla2[[#This Row],[dias de credito]]&gt;=Tabla2[[#This Row],[PLAZO Días]],"venc", "No venc")</f>
        <v>No venc</v>
      </c>
      <c r="V19" t="str">
        <f>+IF(Tabla2[[#This Row],[FECHA DE PAGO]]&gt;0,"pagada","por pagar")</f>
        <v>pagada</v>
      </c>
      <c r="W19" s="152" t="str">
        <f>+IF(AND(Tabla2[[#This Row],[venc]]="venc",Tabla2[[#This Row],[Columna1]]="por pagar"),"vencida","no")</f>
        <v>no</v>
      </c>
    </row>
    <row r="20" spans="1:23" x14ac:dyDescent="0.3">
      <c r="A20">
        <v>30</v>
      </c>
      <c r="B20">
        <v>0</v>
      </c>
      <c r="D20" t="s">
        <v>139</v>
      </c>
      <c r="E20" s="156">
        <v>44834</v>
      </c>
      <c r="F20" t="s">
        <v>644</v>
      </c>
      <c r="G20" s="156">
        <v>44834</v>
      </c>
      <c r="H20" t="s">
        <v>1751</v>
      </c>
      <c r="I20">
        <v>38000</v>
      </c>
      <c r="K20">
        <v>0</v>
      </c>
      <c r="M20">
        <v>0</v>
      </c>
      <c r="N20">
        <v>0</v>
      </c>
      <c r="O20">
        <v>0</v>
      </c>
      <c r="P20" s="117">
        <v>38000</v>
      </c>
      <c r="Q20" s="117" t="s">
        <v>1021</v>
      </c>
      <c r="R20" s="150">
        <v>0</v>
      </c>
      <c r="S20" s="117" t="b">
        <f>OR(COUNTIF(Tabla2[[#This Row],[PROVEEDOR]],"*"&amp;'Palabra no opera'!$A$2&amp;"*"))</f>
        <v>0</v>
      </c>
      <c r="T20" s="150">
        <f>+$W$5-Tabla2[[#This Row],[FECHA DE FACTURACIÓN]]</f>
        <v>0</v>
      </c>
      <c r="U20" t="str">
        <f>+IF(Tabla2[[#This Row],[dias de credito]]&gt;=Tabla2[[#This Row],[PLAZO Días]],"venc", "No venc")</f>
        <v>No venc</v>
      </c>
      <c r="V20" t="str">
        <f>+IF(Tabla2[[#This Row],[FECHA DE PAGO]]&gt;0,"pagada","por pagar")</f>
        <v>pagada</v>
      </c>
      <c r="W20" s="152" t="str">
        <f>+IF(AND(Tabla2[[#This Row],[venc]]="venc",Tabla2[[#This Row],[Columna1]]="por pagar"),"vencida","no")</f>
        <v>no</v>
      </c>
    </row>
    <row r="21" spans="1:23" x14ac:dyDescent="0.3">
      <c r="A21">
        <v>30</v>
      </c>
      <c r="B21">
        <v>0</v>
      </c>
      <c r="D21" t="s">
        <v>139</v>
      </c>
      <c r="E21" s="156">
        <v>44834</v>
      </c>
      <c r="F21" t="s">
        <v>644</v>
      </c>
      <c r="G21" s="156">
        <v>44834</v>
      </c>
      <c r="H21" t="s">
        <v>1752</v>
      </c>
      <c r="I21">
        <v>58000</v>
      </c>
      <c r="K21">
        <v>0</v>
      </c>
      <c r="M21">
        <v>0</v>
      </c>
      <c r="N21">
        <v>0</v>
      </c>
      <c r="O21">
        <v>0</v>
      </c>
      <c r="P21" s="117">
        <v>58000</v>
      </c>
      <c r="Q21" s="117" t="s">
        <v>1021</v>
      </c>
      <c r="R21" s="150">
        <v>0</v>
      </c>
      <c r="S21" s="117" t="b">
        <f>OR(COUNTIF(Tabla2[[#This Row],[PROVEEDOR]],"*"&amp;'Palabra no opera'!$A$2&amp;"*"))</f>
        <v>0</v>
      </c>
      <c r="T21" s="150">
        <f>+$W$5-Tabla2[[#This Row],[FECHA DE FACTURACIÓN]]</f>
        <v>0</v>
      </c>
      <c r="U21" t="str">
        <f>+IF(Tabla2[[#This Row],[dias de credito]]&gt;=Tabla2[[#This Row],[PLAZO Días]],"venc", "No venc")</f>
        <v>No venc</v>
      </c>
      <c r="V21" t="str">
        <f>+IF(Tabla2[[#This Row],[FECHA DE PAGO]]&gt;0,"pagada","por pagar")</f>
        <v>pagada</v>
      </c>
      <c r="W21" s="152" t="str">
        <f>+IF(AND(Tabla2[[#This Row],[venc]]="venc",Tabla2[[#This Row],[Columna1]]="por pagar"),"vencida","no")</f>
        <v>no</v>
      </c>
    </row>
    <row r="22" spans="1:23" x14ac:dyDescent="0.3">
      <c r="A22">
        <v>30</v>
      </c>
      <c r="B22">
        <v>0</v>
      </c>
      <c r="D22" t="s">
        <v>139</v>
      </c>
      <c r="E22" s="156">
        <v>44834</v>
      </c>
      <c r="F22" t="s">
        <v>1748</v>
      </c>
      <c r="G22" s="156">
        <v>44834</v>
      </c>
      <c r="H22" t="s">
        <v>1753</v>
      </c>
      <c r="I22">
        <v>154000</v>
      </c>
      <c r="K22">
        <v>0</v>
      </c>
      <c r="M22">
        <v>0</v>
      </c>
      <c r="N22">
        <v>0</v>
      </c>
      <c r="O22">
        <v>0</v>
      </c>
      <c r="P22" s="117">
        <v>154000</v>
      </c>
      <c r="Q22" s="117" t="s">
        <v>1021</v>
      </c>
      <c r="R22" s="150">
        <v>0</v>
      </c>
      <c r="S22" s="117" t="b">
        <f>OR(COUNTIF(Tabla2[[#This Row],[PROVEEDOR]],"*"&amp;'Palabra no opera'!$A$2&amp;"*"))</f>
        <v>0</v>
      </c>
      <c r="T22" s="150">
        <f>+$W$5-Tabla2[[#This Row],[FECHA DE FACTURACIÓN]]</f>
        <v>0</v>
      </c>
      <c r="U22" t="str">
        <f>+IF(Tabla2[[#This Row],[dias de credito]]&gt;=Tabla2[[#This Row],[PLAZO Días]],"venc", "No venc")</f>
        <v>No venc</v>
      </c>
      <c r="V22" t="str">
        <f>+IF(Tabla2[[#This Row],[FECHA DE PAGO]]&gt;0,"pagada","por pagar")</f>
        <v>pagada</v>
      </c>
      <c r="W22" s="152" t="str">
        <f>+IF(AND(Tabla2[[#This Row],[venc]]="venc",Tabla2[[#This Row],[Columna1]]="por pagar"),"vencida","no")</f>
        <v>no</v>
      </c>
    </row>
    <row r="23" spans="1:23" x14ac:dyDescent="0.3">
      <c r="A23">
        <v>30</v>
      </c>
      <c r="B23">
        <v>0</v>
      </c>
      <c r="D23" t="s">
        <v>547</v>
      </c>
      <c r="E23" s="156">
        <v>44834</v>
      </c>
      <c r="F23" t="s">
        <v>905</v>
      </c>
      <c r="G23" s="156">
        <v>44767</v>
      </c>
      <c r="H23" t="s">
        <v>1152</v>
      </c>
      <c r="I23">
        <v>6170070</v>
      </c>
      <c r="K23">
        <v>1172313.3</v>
      </c>
      <c r="M23">
        <v>0</v>
      </c>
      <c r="N23">
        <v>0</v>
      </c>
      <c r="O23">
        <v>0</v>
      </c>
      <c r="P23" s="117">
        <v>7342383.2999999998</v>
      </c>
      <c r="Q23" s="117" t="s">
        <v>1021</v>
      </c>
      <c r="R23" s="150">
        <v>0</v>
      </c>
      <c r="S23" s="117" t="b">
        <f>OR(COUNTIF(Tabla2[[#This Row],[PROVEEDOR]],"*"&amp;'Palabra no opera'!$A$2&amp;"*"))</f>
        <v>1</v>
      </c>
      <c r="T23" s="150">
        <f>+$W$5-Tabla2[[#This Row],[FECHA DE FACTURACIÓN]]</f>
        <v>67</v>
      </c>
      <c r="U23" t="str">
        <f>+IF(Tabla2[[#This Row],[dias de credito]]&gt;=Tabla2[[#This Row],[PLAZO Días]],"venc", "No venc")</f>
        <v>venc</v>
      </c>
      <c r="V23" t="str">
        <f>+IF(Tabla2[[#This Row],[FECHA DE PAGO]]&gt;0,"pagada","por pagar")</f>
        <v>pagada</v>
      </c>
      <c r="W23" s="152" t="str">
        <f>+IF(AND(Tabla2[[#This Row],[venc]]="venc",Tabla2[[#This Row],[Columna1]]="por pagar"),"vencida","no")</f>
        <v>no</v>
      </c>
    </row>
    <row r="24" spans="1:23" x14ac:dyDescent="0.3">
      <c r="A24">
        <v>30</v>
      </c>
      <c r="B24">
        <v>1957800</v>
      </c>
      <c r="D24">
        <v>0</v>
      </c>
      <c r="E24" s="156">
        <v>44833</v>
      </c>
      <c r="F24" t="s">
        <v>1725</v>
      </c>
      <c r="G24" s="156">
        <v>44833</v>
      </c>
      <c r="H24" t="s">
        <v>1730</v>
      </c>
      <c r="I24">
        <v>481000</v>
      </c>
      <c r="K24">
        <v>0</v>
      </c>
      <c r="M24">
        <v>0</v>
      </c>
      <c r="N24">
        <v>0</v>
      </c>
      <c r="O24">
        <v>0</v>
      </c>
      <c r="P24" s="117">
        <v>481000</v>
      </c>
      <c r="Q24" s="117" t="s">
        <v>1021</v>
      </c>
      <c r="R24" s="150">
        <v>0</v>
      </c>
      <c r="S24" s="117" t="b">
        <f>OR(COUNTIF(Tabla2[[#This Row],[PROVEEDOR]],"*"&amp;'Palabra no opera'!$A$2&amp;"*"))</f>
        <v>0</v>
      </c>
      <c r="T24" s="150">
        <f>+$W$5-Tabla2[[#This Row],[FECHA DE FACTURACIÓN]]</f>
        <v>1</v>
      </c>
      <c r="U24" t="str">
        <f>+IF(Tabla2[[#This Row],[dias de credito]]&gt;=Tabla2[[#This Row],[PLAZO Días]],"venc", "No venc")</f>
        <v>No venc</v>
      </c>
      <c r="V24" t="str">
        <f>+IF(Tabla2[[#This Row],[FECHA DE PAGO]]&gt;0,"pagada","por pagar")</f>
        <v>pagada</v>
      </c>
      <c r="W24" s="152" t="str">
        <f>+IF(AND(Tabla2[[#This Row],[venc]]="venc",Tabla2[[#This Row],[Columna1]]="por pagar"),"vencida","no")</f>
        <v>no</v>
      </c>
    </row>
    <row r="25" spans="1:23" x14ac:dyDescent="0.3">
      <c r="A25">
        <v>30</v>
      </c>
      <c r="B25">
        <v>0</v>
      </c>
      <c r="D25" t="s">
        <v>505</v>
      </c>
      <c r="E25" s="156">
        <v>44833</v>
      </c>
      <c r="F25" t="s">
        <v>408</v>
      </c>
      <c r="G25" s="156">
        <v>44797</v>
      </c>
      <c r="H25" t="s">
        <v>1635</v>
      </c>
      <c r="I25">
        <v>2348644.75</v>
      </c>
      <c r="K25">
        <v>446242.5025</v>
      </c>
      <c r="M25">
        <v>0</v>
      </c>
      <c r="N25">
        <v>0</v>
      </c>
      <c r="O25">
        <v>0</v>
      </c>
      <c r="P25" s="117">
        <v>2794887.2524999999</v>
      </c>
      <c r="Q25" s="117" t="s">
        <v>1021</v>
      </c>
      <c r="R25" s="150">
        <v>0</v>
      </c>
      <c r="S25" s="117" t="b">
        <f>OR(COUNTIF(Tabla2[[#This Row],[PROVEEDOR]],"*"&amp;'Palabra no opera'!$A$2&amp;"*"))</f>
        <v>0</v>
      </c>
      <c r="T25" s="150">
        <f>+$W$5-Tabla2[[#This Row],[FECHA DE FACTURACIÓN]]</f>
        <v>37</v>
      </c>
      <c r="U25" t="str">
        <f>+IF(Tabla2[[#This Row],[dias de credito]]&gt;=Tabla2[[#This Row],[PLAZO Días]],"venc", "No venc")</f>
        <v>venc</v>
      </c>
      <c r="V25" t="str">
        <f>+IF(Tabla2[[#This Row],[FECHA DE PAGO]]&gt;0,"pagada","por pagar")</f>
        <v>pagada</v>
      </c>
      <c r="W25" s="152" t="str">
        <f>+IF(AND(Tabla2[[#This Row],[venc]]="venc",Tabla2[[#This Row],[Columna1]]="por pagar"),"vencida","no")</f>
        <v>no</v>
      </c>
    </row>
    <row r="26" spans="1:23" x14ac:dyDescent="0.3">
      <c r="A26">
        <v>30</v>
      </c>
      <c r="B26">
        <v>19675613.1195</v>
      </c>
      <c r="D26" t="s">
        <v>256</v>
      </c>
      <c r="E26" s="156">
        <v>44833</v>
      </c>
      <c r="F26" t="s">
        <v>18</v>
      </c>
      <c r="G26" s="156">
        <v>44783</v>
      </c>
      <c r="H26">
        <v>1057583</v>
      </c>
      <c r="I26">
        <v>1453740.24</v>
      </c>
      <c r="K26">
        <v>276210.64559999999</v>
      </c>
      <c r="M26">
        <v>0</v>
      </c>
      <c r="N26">
        <v>2.5000000000000001E-2</v>
      </c>
      <c r="O26">
        <v>36343.506000000001</v>
      </c>
      <c r="P26" s="117">
        <v>1693607.3795999999</v>
      </c>
      <c r="Q26" s="117" t="s">
        <v>1021</v>
      </c>
      <c r="R26" s="150">
        <v>0</v>
      </c>
      <c r="S26" s="117" t="b">
        <f>OR(COUNTIF(Tabla2[[#This Row],[PROVEEDOR]],"*"&amp;'Palabra no opera'!$A$2&amp;"*"))</f>
        <v>0</v>
      </c>
      <c r="T26" s="150">
        <f>+$W$5-Tabla2[[#This Row],[FECHA DE FACTURACIÓN]]</f>
        <v>51</v>
      </c>
      <c r="U26" t="str">
        <f>+IF(Tabla2[[#This Row],[dias de credito]]&gt;=Tabla2[[#This Row],[PLAZO Días]],"venc", "No venc")</f>
        <v>venc</v>
      </c>
      <c r="V26" t="str">
        <f>+IF(Tabla2[[#This Row],[FECHA DE PAGO]]&gt;0,"pagada","por pagar")</f>
        <v>pagada</v>
      </c>
      <c r="W26" s="152" t="str">
        <f>+IF(AND(Tabla2[[#This Row],[venc]]="venc",Tabla2[[#This Row],[Columna1]]="por pagar"),"vencida","no")</f>
        <v>no</v>
      </c>
    </row>
    <row r="27" spans="1:23" x14ac:dyDescent="0.3">
      <c r="A27">
        <v>30</v>
      </c>
      <c r="B27">
        <v>19675613.1195</v>
      </c>
      <c r="D27" t="s">
        <v>256</v>
      </c>
      <c r="E27" s="156">
        <v>44833</v>
      </c>
      <c r="F27" t="s">
        <v>18</v>
      </c>
      <c r="G27" s="156">
        <v>44778</v>
      </c>
      <c r="H27">
        <v>1057445</v>
      </c>
      <c r="I27">
        <v>2426648</v>
      </c>
      <c r="K27">
        <v>461063.12</v>
      </c>
      <c r="M27">
        <v>0</v>
      </c>
      <c r="N27">
        <v>2.5000000000000001E-2</v>
      </c>
      <c r="O27">
        <v>60666.200000000004</v>
      </c>
      <c r="P27" s="117">
        <v>2827044.92</v>
      </c>
      <c r="Q27" s="117" t="s">
        <v>1021</v>
      </c>
      <c r="R27" s="150">
        <v>0</v>
      </c>
      <c r="S27" s="117" t="b">
        <f>OR(COUNTIF(Tabla2[[#This Row],[PROVEEDOR]],"*"&amp;'Palabra no opera'!$A$2&amp;"*"))</f>
        <v>0</v>
      </c>
      <c r="T27" s="150">
        <f>+$W$5-Tabla2[[#This Row],[FECHA DE FACTURACIÓN]]</f>
        <v>56</v>
      </c>
      <c r="U27" t="str">
        <f>+IF(Tabla2[[#This Row],[dias de credito]]&gt;=Tabla2[[#This Row],[PLAZO Días]],"venc", "No venc")</f>
        <v>venc</v>
      </c>
      <c r="V27" t="str">
        <f>+IF(Tabla2[[#This Row],[FECHA DE PAGO]]&gt;0,"pagada","por pagar")</f>
        <v>pagada</v>
      </c>
      <c r="W27" s="152" t="str">
        <f>+IF(AND(Tabla2[[#This Row],[venc]]="venc",Tabla2[[#This Row],[Columna1]]="por pagar"),"vencida","no")</f>
        <v>no</v>
      </c>
    </row>
    <row r="28" spans="1:23" x14ac:dyDescent="0.3">
      <c r="A28">
        <v>30</v>
      </c>
      <c r="B28">
        <v>0</v>
      </c>
      <c r="D28" t="s">
        <v>139</v>
      </c>
      <c r="E28" s="156">
        <v>44832</v>
      </c>
      <c r="F28" t="s">
        <v>638</v>
      </c>
      <c r="G28" s="156">
        <v>44831</v>
      </c>
      <c r="H28" t="s">
        <v>1731</v>
      </c>
      <c r="I28">
        <v>694000</v>
      </c>
      <c r="K28">
        <v>0</v>
      </c>
      <c r="M28">
        <v>0</v>
      </c>
      <c r="N28">
        <v>0</v>
      </c>
      <c r="O28">
        <v>0</v>
      </c>
      <c r="P28" s="117">
        <v>694000</v>
      </c>
      <c r="Q28" s="117" t="s">
        <v>1021</v>
      </c>
      <c r="R28" s="150">
        <v>0</v>
      </c>
      <c r="S28" s="117" t="b">
        <f>OR(COUNTIF(Tabla2[[#This Row],[PROVEEDOR]],"*"&amp;'Palabra no opera'!$A$2&amp;"*"))</f>
        <v>0</v>
      </c>
      <c r="T28" s="150">
        <f>+$W$5-Tabla2[[#This Row],[FECHA DE FACTURACIÓN]]</f>
        <v>3</v>
      </c>
      <c r="U28" t="str">
        <f>+IF(Tabla2[[#This Row],[dias de credito]]&gt;=Tabla2[[#This Row],[PLAZO Días]],"venc", "No venc")</f>
        <v>No venc</v>
      </c>
      <c r="V28" t="str">
        <f>+IF(Tabla2[[#This Row],[FECHA DE PAGO]]&gt;0,"pagada","por pagar")</f>
        <v>pagada</v>
      </c>
      <c r="W28" s="152" t="str">
        <f>+IF(AND(Tabla2[[#This Row],[venc]]="venc",Tabla2[[#This Row],[Columna1]]="por pagar"),"vencida","no")</f>
        <v>no</v>
      </c>
    </row>
    <row r="29" spans="1:23" x14ac:dyDescent="0.3">
      <c r="A29">
        <v>0</v>
      </c>
      <c r="B29">
        <v>0</v>
      </c>
      <c r="D29" t="s">
        <v>1683</v>
      </c>
      <c r="E29" s="156">
        <v>44830</v>
      </c>
      <c r="F29" t="s">
        <v>1681</v>
      </c>
      <c r="G29" s="156">
        <v>44817</v>
      </c>
      <c r="H29" t="s">
        <v>1684</v>
      </c>
      <c r="I29">
        <v>2000000</v>
      </c>
      <c r="K29">
        <v>0</v>
      </c>
      <c r="M29">
        <v>0</v>
      </c>
      <c r="N29">
        <v>0</v>
      </c>
      <c r="O29">
        <v>0</v>
      </c>
      <c r="P29" s="117">
        <v>2000000</v>
      </c>
      <c r="Q29" s="117" t="s">
        <v>1021</v>
      </c>
      <c r="R29" s="150">
        <v>0</v>
      </c>
      <c r="S29" s="117" t="b">
        <f>OR(COUNTIF(Tabla2[[#This Row],[PROVEEDOR]],"*"&amp;'Palabra no opera'!$A$2&amp;"*"))</f>
        <v>1</v>
      </c>
      <c r="T29" s="150">
        <f>+$W$5-Tabla2[[#This Row],[FECHA DE FACTURACIÓN]]</f>
        <v>17</v>
      </c>
      <c r="U29" t="str">
        <f>+IF(Tabla2[[#This Row],[dias de credito]]&gt;=Tabla2[[#This Row],[PLAZO Días]],"venc", "No venc")</f>
        <v>venc</v>
      </c>
      <c r="V29" t="str">
        <f>+IF(Tabla2[[#This Row],[FECHA DE PAGO]]&gt;0,"pagada","por pagar")</f>
        <v>pagada</v>
      </c>
      <c r="W29" s="152" t="str">
        <f>+IF(AND(Tabla2[[#This Row],[venc]]="venc",Tabla2[[#This Row],[Columna1]]="por pagar"),"vencida","no")</f>
        <v>no</v>
      </c>
    </row>
    <row r="30" spans="1:23" x14ac:dyDescent="0.3">
      <c r="A30">
        <v>30</v>
      </c>
      <c r="B30">
        <v>1580500</v>
      </c>
      <c r="D30" t="s">
        <v>139</v>
      </c>
      <c r="E30" s="156">
        <v>44830</v>
      </c>
      <c r="F30" t="s">
        <v>686</v>
      </c>
      <c r="G30" s="156">
        <v>44790</v>
      </c>
      <c r="H30" t="s">
        <v>1423</v>
      </c>
      <c r="I30">
        <v>294000</v>
      </c>
      <c r="K30">
        <v>0</v>
      </c>
      <c r="M30">
        <v>0</v>
      </c>
      <c r="N30">
        <v>0</v>
      </c>
      <c r="O30">
        <v>0</v>
      </c>
      <c r="P30" s="117">
        <v>294000</v>
      </c>
      <c r="Q30" s="117" t="s">
        <v>1021</v>
      </c>
      <c r="R30" s="150">
        <v>0</v>
      </c>
      <c r="S30" s="117" t="b">
        <f>OR(COUNTIF(Tabla2[[#This Row],[PROVEEDOR]],"*"&amp;'Palabra no opera'!$A$2&amp;"*"))</f>
        <v>0</v>
      </c>
      <c r="T30" s="150">
        <f>+$W$5-Tabla2[[#This Row],[FECHA DE FACTURACIÓN]]</f>
        <v>44</v>
      </c>
      <c r="U30" t="str">
        <f>+IF(Tabla2[[#This Row],[dias de credito]]&gt;=Tabla2[[#This Row],[PLAZO Días]],"venc", "No venc")</f>
        <v>venc</v>
      </c>
      <c r="V30" t="str">
        <f>+IF(Tabla2[[#This Row],[FECHA DE PAGO]]&gt;0,"pagada","por pagar")</f>
        <v>pagada</v>
      </c>
      <c r="W30" s="152" t="str">
        <f>+IF(AND(Tabla2[[#This Row],[venc]]="venc",Tabla2[[#This Row],[Columna1]]="por pagar"),"vencida","no")</f>
        <v>no</v>
      </c>
    </row>
    <row r="31" spans="1:23" x14ac:dyDescent="0.3">
      <c r="A31">
        <v>30</v>
      </c>
      <c r="B31">
        <v>0</v>
      </c>
      <c r="D31" t="s">
        <v>250</v>
      </c>
      <c r="E31" s="156">
        <v>44827</v>
      </c>
      <c r="F31" t="s">
        <v>1451</v>
      </c>
      <c r="G31" s="156">
        <v>44825</v>
      </c>
      <c r="H31" t="s">
        <v>1680</v>
      </c>
      <c r="I31">
        <v>400000</v>
      </c>
      <c r="K31">
        <v>0</v>
      </c>
      <c r="M31">
        <v>0</v>
      </c>
      <c r="N31">
        <v>0.01</v>
      </c>
      <c r="O31">
        <v>4000</v>
      </c>
      <c r="P31" s="117">
        <v>396000</v>
      </c>
      <c r="Q31" s="117" t="s">
        <v>1021</v>
      </c>
      <c r="R31" s="150">
        <v>0</v>
      </c>
      <c r="S31" s="117" t="b">
        <f>OR(COUNTIF(Tabla2[[#This Row],[PROVEEDOR]],"*"&amp;'Palabra no opera'!$A$2&amp;"*"))</f>
        <v>0</v>
      </c>
      <c r="T31" s="150">
        <f>+$W$5-Tabla2[[#This Row],[FECHA DE FACTURACIÓN]]</f>
        <v>9</v>
      </c>
      <c r="U31" t="str">
        <f>+IF(Tabla2[[#This Row],[dias de credito]]&gt;=Tabla2[[#This Row],[PLAZO Días]],"venc", "No venc")</f>
        <v>No venc</v>
      </c>
      <c r="V31" t="str">
        <f>+IF(Tabla2[[#This Row],[FECHA DE PAGO]]&gt;0,"pagada","por pagar")</f>
        <v>pagada</v>
      </c>
      <c r="W31" s="152" t="str">
        <f>+IF(AND(Tabla2[[#This Row],[venc]]="venc",Tabla2[[#This Row],[Columna1]]="por pagar"),"vencida","no")</f>
        <v>no</v>
      </c>
    </row>
    <row r="32" spans="1:23" x14ac:dyDescent="0.3">
      <c r="A32">
        <v>0</v>
      </c>
      <c r="B32">
        <v>0</v>
      </c>
      <c r="D32" t="s">
        <v>1687</v>
      </c>
      <c r="E32" s="156">
        <v>44827</v>
      </c>
      <c r="F32" t="s">
        <v>1685</v>
      </c>
      <c r="G32" s="156">
        <v>44810</v>
      </c>
      <c r="H32" t="s">
        <v>1684</v>
      </c>
      <c r="I32">
        <v>1000000</v>
      </c>
      <c r="K32">
        <v>0</v>
      </c>
      <c r="M32">
        <v>0</v>
      </c>
      <c r="N32">
        <v>0</v>
      </c>
      <c r="O32">
        <v>0</v>
      </c>
      <c r="P32" s="117">
        <v>1000000</v>
      </c>
      <c r="Q32" s="117" t="s">
        <v>1021</v>
      </c>
      <c r="R32" s="150">
        <v>0</v>
      </c>
      <c r="S32" s="117" t="b">
        <f>OR(COUNTIF(Tabla2[[#This Row],[PROVEEDOR]],"*"&amp;'Palabra no opera'!$A$2&amp;"*"))</f>
        <v>1</v>
      </c>
      <c r="T32" s="150">
        <f>+$W$5-Tabla2[[#This Row],[FECHA DE FACTURACIÓN]]</f>
        <v>24</v>
      </c>
      <c r="U32" t="str">
        <f>+IF(Tabla2[[#This Row],[dias de credito]]&gt;=Tabla2[[#This Row],[PLAZO Días]],"venc", "No venc")</f>
        <v>venc</v>
      </c>
      <c r="V32" t="str">
        <f>+IF(Tabla2[[#This Row],[FECHA DE PAGO]]&gt;0,"pagada","por pagar")</f>
        <v>pagada</v>
      </c>
      <c r="W32" s="152" t="str">
        <f>+IF(AND(Tabla2[[#This Row],[venc]]="venc",Tabla2[[#This Row],[Columna1]]="por pagar"),"vencida","no")</f>
        <v>no</v>
      </c>
    </row>
    <row r="33" spans="1:23" x14ac:dyDescent="0.3">
      <c r="A33">
        <v>30</v>
      </c>
      <c r="B33">
        <v>0</v>
      </c>
      <c r="D33" t="s">
        <v>1036</v>
      </c>
      <c r="E33" s="156">
        <v>44827</v>
      </c>
      <c r="F33" t="s">
        <v>927</v>
      </c>
      <c r="G33" s="156">
        <v>44809</v>
      </c>
      <c r="H33" t="s">
        <v>1692</v>
      </c>
      <c r="I33">
        <v>59583</v>
      </c>
      <c r="K33">
        <v>0</v>
      </c>
      <c r="M33">
        <v>0</v>
      </c>
      <c r="N33">
        <v>0</v>
      </c>
      <c r="O33">
        <v>0</v>
      </c>
      <c r="P33" s="117">
        <v>59583</v>
      </c>
      <c r="Q33" s="117" t="s">
        <v>1021</v>
      </c>
      <c r="R33" s="150">
        <v>0</v>
      </c>
      <c r="S33" s="117" t="b">
        <f>OR(COUNTIF(Tabla2[[#This Row],[PROVEEDOR]],"*"&amp;'Palabra no opera'!$A$2&amp;"*"))</f>
        <v>1</v>
      </c>
      <c r="T33" s="150">
        <f>+$W$5-Tabla2[[#This Row],[FECHA DE FACTURACIÓN]]</f>
        <v>25</v>
      </c>
      <c r="U33" t="str">
        <f>+IF(Tabla2[[#This Row],[dias de credito]]&gt;=Tabla2[[#This Row],[PLAZO Días]],"venc", "No venc")</f>
        <v>No venc</v>
      </c>
      <c r="V33" t="str">
        <f>+IF(Tabla2[[#This Row],[FECHA DE PAGO]]&gt;0,"pagada","por pagar")</f>
        <v>pagada</v>
      </c>
      <c r="W33" s="152" t="str">
        <f>+IF(AND(Tabla2[[#This Row],[venc]]="venc",Tabla2[[#This Row],[Columna1]]="por pagar"),"vencida","no")</f>
        <v>no</v>
      </c>
    </row>
    <row r="34" spans="1:23" x14ac:dyDescent="0.3">
      <c r="A34">
        <v>30</v>
      </c>
      <c r="B34">
        <v>0</v>
      </c>
      <c r="D34" t="s">
        <v>1036</v>
      </c>
      <c r="E34" s="156">
        <v>44827</v>
      </c>
      <c r="F34" t="s">
        <v>927</v>
      </c>
      <c r="G34" s="156">
        <v>44809</v>
      </c>
      <c r="H34" t="s">
        <v>1689</v>
      </c>
      <c r="I34">
        <v>68166</v>
      </c>
      <c r="K34">
        <v>0</v>
      </c>
      <c r="M34">
        <v>0</v>
      </c>
      <c r="N34">
        <v>0</v>
      </c>
      <c r="O34">
        <v>0</v>
      </c>
      <c r="P34" s="117">
        <v>68166</v>
      </c>
      <c r="Q34" s="117" t="s">
        <v>1021</v>
      </c>
      <c r="R34" s="150">
        <v>0</v>
      </c>
      <c r="S34" s="117" t="b">
        <f>OR(COUNTIF(Tabla2[[#This Row],[PROVEEDOR]],"*"&amp;'Palabra no opera'!$A$2&amp;"*"))</f>
        <v>1</v>
      </c>
      <c r="T34" s="150">
        <f>+$W$5-Tabla2[[#This Row],[FECHA DE FACTURACIÓN]]</f>
        <v>25</v>
      </c>
      <c r="U34" t="str">
        <f>+IF(Tabla2[[#This Row],[dias de credito]]&gt;=Tabla2[[#This Row],[PLAZO Días]],"venc", "No venc")</f>
        <v>No venc</v>
      </c>
      <c r="V34" t="str">
        <f>+IF(Tabla2[[#This Row],[FECHA DE PAGO]]&gt;0,"pagada","por pagar")</f>
        <v>pagada</v>
      </c>
      <c r="W34" s="152" t="str">
        <f>+IF(AND(Tabla2[[#This Row],[venc]]="venc",Tabla2[[#This Row],[Columna1]]="por pagar"),"vencida","no")</f>
        <v>no</v>
      </c>
    </row>
    <row r="35" spans="1:23" x14ac:dyDescent="0.3">
      <c r="A35">
        <v>30</v>
      </c>
      <c r="B35">
        <v>0</v>
      </c>
      <c r="D35" t="s">
        <v>267</v>
      </c>
      <c r="E35" s="156">
        <v>44827</v>
      </c>
      <c r="F35" t="s">
        <v>941</v>
      </c>
      <c r="G35" s="156">
        <v>44805</v>
      </c>
      <c r="H35">
        <v>6052</v>
      </c>
      <c r="I35">
        <v>215356</v>
      </c>
      <c r="K35">
        <v>40917.64</v>
      </c>
      <c r="M35">
        <v>0</v>
      </c>
      <c r="N35">
        <v>3.5000000000000003E-2</v>
      </c>
      <c r="O35">
        <v>7537.4600000000009</v>
      </c>
      <c r="P35" s="117">
        <v>248736.18000000002</v>
      </c>
      <c r="Q35" s="117" t="s">
        <v>1021</v>
      </c>
      <c r="R35" s="150">
        <v>0</v>
      </c>
      <c r="S35" s="117" t="b">
        <f>OR(COUNTIF(Tabla2[[#This Row],[PROVEEDOR]],"*"&amp;'Palabra no opera'!$A$2&amp;"*"))</f>
        <v>1</v>
      </c>
      <c r="T35" s="150">
        <f>+$W$5-Tabla2[[#This Row],[FECHA DE FACTURACIÓN]]</f>
        <v>29</v>
      </c>
      <c r="U35" t="str">
        <f>+IF(Tabla2[[#This Row],[dias de credito]]&gt;=Tabla2[[#This Row],[PLAZO Días]],"venc", "No venc")</f>
        <v>No venc</v>
      </c>
      <c r="V35" t="str">
        <f>+IF(Tabla2[[#This Row],[FECHA DE PAGO]]&gt;0,"pagada","por pagar")</f>
        <v>pagada</v>
      </c>
      <c r="W35" s="152" t="str">
        <f>+IF(AND(Tabla2[[#This Row],[venc]]="venc",Tabla2[[#This Row],[Columna1]]="por pagar"),"vencida","no")</f>
        <v>no</v>
      </c>
    </row>
    <row r="36" spans="1:23" x14ac:dyDescent="0.3">
      <c r="A36">
        <v>30</v>
      </c>
      <c r="B36">
        <v>0</v>
      </c>
      <c r="D36" t="s">
        <v>1036</v>
      </c>
      <c r="E36" s="156">
        <v>44827</v>
      </c>
      <c r="F36" t="s">
        <v>927</v>
      </c>
      <c r="G36" s="156">
        <v>44805</v>
      </c>
      <c r="H36" t="s">
        <v>1690</v>
      </c>
      <c r="I36">
        <v>818875</v>
      </c>
      <c r="K36">
        <v>0</v>
      </c>
      <c r="M36">
        <v>0</v>
      </c>
      <c r="N36">
        <v>0</v>
      </c>
      <c r="O36">
        <v>0</v>
      </c>
      <c r="P36" s="117">
        <v>818875</v>
      </c>
      <c r="Q36" s="117" t="s">
        <v>1021</v>
      </c>
      <c r="R36" s="150">
        <v>0</v>
      </c>
      <c r="S36" s="117" t="b">
        <f>OR(COUNTIF(Tabla2[[#This Row],[PROVEEDOR]],"*"&amp;'Palabra no opera'!$A$2&amp;"*"))</f>
        <v>1</v>
      </c>
      <c r="T36" s="150">
        <f>+$W$5-Tabla2[[#This Row],[FECHA DE FACTURACIÓN]]</f>
        <v>29</v>
      </c>
      <c r="U36" t="str">
        <f>+IF(Tabla2[[#This Row],[dias de credito]]&gt;=Tabla2[[#This Row],[PLAZO Días]],"venc", "No venc")</f>
        <v>No venc</v>
      </c>
      <c r="V36" t="str">
        <f>+IF(Tabla2[[#This Row],[FECHA DE PAGO]]&gt;0,"pagada","por pagar")</f>
        <v>pagada</v>
      </c>
      <c r="W36" s="152" t="str">
        <f>+IF(AND(Tabla2[[#This Row],[venc]]="venc",Tabla2[[#This Row],[Columna1]]="por pagar"),"vencida","no")</f>
        <v>no</v>
      </c>
    </row>
    <row r="37" spans="1:23" x14ac:dyDescent="0.3">
      <c r="A37">
        <v>30</v>
      </c>
      <c r="B37">
        <v>0</v>
      </c>
      <c r="D37" t="s">
        <v>1036</v>
      </c>
      <c r="E37" s="156">
        <v>44827</v>
      </c>
      <c r="F37" t="s">
        <v>927</v>
      </c>
      <c r="G37" s="156">
        <v>44805</v>
      </c>
      <c r="H37" t="s">
        <v>1691</v>
      </c>
      <c r="I37">
        <v>825349</v>
      </c>
      <c r="K37">
        <v>0</v>
      </c>
      <c r="M37">
        <v>0</v>
      </c>
      <c r="N37">
        <v>0</v>
      </c>
      <c r="O37">
        <v>0</v>
      </c>
      <c r="P37" s="117">
        <v>825349</v>
      </c>
      <c r="Q37" s="117" t="s">
        <v>1021</v>
      </c>
      <c r="R37" s="150">
        <v>0</v>
      </c>
      <c r="S37" s="117" t="b">
        <f>OR(COUNTIF(Tabla2[[#This Row],[PROVEEDOR]],"*"&amp;'Palabra no opera'!$A$2&amp;"*"))</f>
        <v>1</v>
      </c>
      <c r="T37" s="150">
        <f>+$W$5-Tabla2[[#This Row],[FECHA DE FACTURACIÓN]]</f>
        <v>29</v>
      </c>
      <c r="U37" t="str">
        <f>+IF(Tabla2[[#This Row],[dias de credito]]&gt;=Tabla2[[#This Row],[PLAZO Días]],"venc", "No venc")</f>
        <v>No venc</v>
      </c>
      <c r="V37" t="str">
        <f>+IF(Tabla2[[#This Row],[FECHA DE PAGO]]&gt;0,"pagada","por pagar")</f>
        <v>pagada</v>
      </c>
      <c r="W37" s="152" t="str">
        <f>+IF(AND(Tabla2[[#This Row],[venc]]="venc",Tabla2[[#This Row],[Columna1]]="por pagar"),"vencida","no")</f>
        <v>no</v>
      </c>
    </row>
    <row r="38" spans="1:23" x14ac:dyDescent="0.3">
      <c r="A38">
        <v>30</v>
      </c>
      <c r="B38">
        <v>0</v>
      </c>
      <c r="D38" t="s">
        <v>1688</v>
      </c>
      <c r="E38" s="156">
        <v>44827</v>
      </c>
      <c r="F38" t="s">
        <v>928</v>
      </c>
      <c r="G38" s="156">
        <v>44805</v>
      </c>
      <c r="H38" t="s">
        <v>1650</v>
      </c>
      <c r="I38">
        <v>3961260</v>
      </c>
      <c r="K38">
        <v>0</v>
      </c>
      <c r="M38">
        <v>0</v>
      </c>
      <c r="N38">
        <v>3.5000000000000003E-2</v>
      </c>
      <c r="O38">
        <v>138644.1</v>
      </c>
      <c r="P38" s="117">
        <v>3822615.9</v>
      </c>
      <c r="Q38" s="117" t="s">
        <v>1021</v>
      </c>
      <c r="R38" s="150">
        <v>0</v>
      </c>
      <c r="S38" s="117" t="b">
        <f>OR(COUNTIF(Tabla2[[#This Row],[PROVEEDOR]],"*"&amp;'Palabra no opera'!$A$2&amp;"*"))</f>
        <v>1</v>
      </c>
      <c r="T38" s="150">
        <f>+$W$5-Tabla2[[#This Row],[FECHA DE FACTURACIÓN]]</f>
        <v>29</v>
      </c>
      <c r="U38" t="str">
        <f>+IF(Tabla2[[#This Row],[dias de credito]]&gt;=Tabla2[[#This Row],[PLAZO Días]],"venc", "No venc")</f>
        <v>No venc</v>
      </c>
      <c r="V38" t="str">
        <f>+IF(Tabla2[[#This Row],[FECHA DE PAGO]]&gt;0,"pagada","por pagar")</f>
        <v>pagada</v>
      </c>
      <c r="W38" s="152" t="str">
        <f>+IF(AND(Tabla2[[#This Row],[venc]]="venc",Tabla2[[#This Row],[Columna1]]="por pagar"),"vencida","no")</f>
        <v>no</v>
      </c>
    </row>
    <row r="39" spans="1:23" x14ac:dyDescent="0.3">
      <c r="A39">
        <v>20</v>
      </c>
      <c r="B39">
        <v>0</v>
      </c>
      <c r="D39" t="s">
        <v>275</v>
      </c>
      <c r="E39" s="156">
        <v>44827</v>
      </c>
      <c r="F39" t="s">
        <v>942</v>
      </c>
      <c r="G39" s="156">
        <v>44805</v>
      </c>
      <c r="H39" t="s">
        <v>1693</v>
      </c>
      <c r="I39">
        <v>4730000</v>
      </c>
      <c r="K39">
        <v>898700</v>
      </c>
      <c r="M39">
        <v>0</v>
      </c>
      <c r="N39">
        <v>3.5000000000000003E-2</v>
      </c>
      <c r="O39">
        <v>165550.00000000003</v>
      </c>
      <c r="P39" s="117">
        <v>5463150</v>
      </c>
      <c r="Q39" s="117" t="s">
        <v>1021</v>
      </c>
      <c r="R39" s="150">
        <v>0</v>
      </c>
      <c r="S39" s="117" t="b">
        <f>OR(COUNTIF(Tabla2[[#This Row],[PROVEEDOR]],"*"&amp;'Palabra no opera'!$A$2&amp;"*"))</f>
        <v>1</v>
      </c>
      <c r="T39" s="150">
        <f>+$W$5-Tabla2[[#This Row],[FECHA DE FACTURACIÓN]]</f>
        <v>29</v>
      </c>
      <c r="U39" t="str">
        <f>+IF(Tabla2[[#This Row],[dias de credito]]&gt;=Tabla2[[#This Row],[PLAZO Días]],"venc", "No venc")</f>
        <v>venc</v>
      </c>
      <c r="V39" t="str">
        <f>+IF(Tabla2[[#This Row],[FECHA DE PAGO]]&gt;0,"pagada","por pagar")</f>
        <v>pagada</v>
      </c>
      <c r="W39" s="152" t="str">
        <f>+IF(AND(Tabla2[[#This Row],[venc]]="venc",Tabla2[[#This Row],[Columna1]]="por pagar"),"vencida","no")</f>
        <v>no</v>
      </c>
    </row>
    <row r="40" spans="1:23" x14ac:dyDescent="0.3">
      <c r="A40">
        <v>30</v>
      </c>
      <c r="B40">
        <v>0</v>
      </c>
      <c r="D40" t="s">
        <v>433</v>
      </c>
      <c r="E40" s="156">
        <v>44827</v>
      </c>
      <c r="F40" t="s">
        <v>925</v>
      </c>
      <c r="G40" s="156">
        <v>44805</v>
      </c>
      <c r="H40" t="s">
        <v>1694</v>
      </c>
      <c r="I40">
        <v>3002200</v>
      </c>
      <c r="K40">
        <v>0</v>
      </c>
      <c r="M40">
        <v>0</v>
      </c>
      <c r="N40">
        <v>3.5000000000000003E-2</v>
      </c>
      <c r="O40">
        <v>105077.00000000001</v>
      </c>
      <c r="P40" s="117">
        <v>2897123</v>
      </c>
      <c r="Q40" s="117" t="s">
        <v>1021</v>
      </c>
      <c r="R40" s="150">
        <v>0</v>
      </c>
      <c r="S40" s="117" t="b">
        <f>OR(COUNTIF(Tabla2[[#This Row],[PROVEEDOR]],"*"&amp;'Palabra no opera'!$A$2&amp;"*"))</f>
        <v>1</v>
      </c>
      <c r="T40" s="150">
        <f>+$W$5-Tabla2[[#This Row],[FECHA DE FACTURACIÓN]]</f>
        <v>29</v>
      </c>
      <c r="U40" t="str">
        <f>+IF(Tabla2[[#This Row],[dias de credito]]&gt;=Tabla2[[#This Row],[PLAZO Días]],"venc", "No venc")</f>
        <v>No venc</v>
      </c>
      <c r="V40" t="str">
        <f>+IF(Tabla2[[#This Row],[FECHA DE PAGO]]&gt;0,"pagada","por pagar")</f>
        <v>pagada</v>
      </c>
      <c r="W40" s="152" t="str">
        <f>+IF(AND(Tabla2[[#This Row],[venc]]="venc",Tabla2[[#This Row],[Columna1]]="por pagar"),"vencida","no")</f>
        <v>no</v>
      </c>
    </row>
    <row r="41" spans="1:23" x14ac:dyDescent="0.3">
      <c r="A41">
        <v>90</v>
      </c>
      <c r="B41">
        <v>5541947.6899999995</v>
      </c>
      <c r="D41" t="s">
        <v>253</v>
      </c>
      <c r="E41" s="156">
        <v>44827</v>
      </c>
      <c r="F41" t="s">
        <v>12</v>
      </c>
      <c r="G41" s="156">
        <v>44717</v>
      </c>
      <c r="H41" t="s">
        <v>1047</v>
      </c>
      <c r="I41">
        <v>4474791</v>
      </c>
      <c r="K41">
        <v>850210.29</v>
      </c>
      <c r="M41">
        <v>0</v>
      </c>
      <c r="N41">
        <v>2.5000000000000001E-2</v>
      </c>
      <c r="O41">
        <v>111869.77500000001</v>
      </c>
      <c r="P41" s="117">
        <v>5213131.5149999997</v>
      </c>
      <c r="Q41" s="117" t="s">
        <v>1021</v>
      </c>
      <c r="R41" s="150">
        <v>0</v>
      </c>
      <c r="S41" s="117" t="b">
        <f>OR(COUNTIF(Tabla2[[#This Row],[PROVEEDOR]],"*"&amp;'Palabra no opera'!$A$2&amp;"*"))</f>
        <v>0</v>
      </c>
      <c r="T41" s="150">
        <f>+$W$5-Tabla2[[#This Row],[FECHA DE FACTURACIÓN]]</f>
        <v>117</v>
      </c>
      <c r="U41" t="str">
        <f>+IF(Tabla2[[#This Row],[dias de credito]]&gt;=Tabla2[[#This Row],[PLAZO Días]],"venc", "No venc")</f>
        <v>venc</v>
      </c>
      <c r="V41" t="str">
        <f>+IF(Tabla2[[#This Row],[FECHA DE PAGO]]&gt;0,"pagada","por pagar")</f>
        <v>pagada</v>
      </c>
      <c r="W41" s="152" t="str">
        <f>+IF(AND(Tabla2[[#This Row],[venc]]="venc",Tabla2[[#This Row],[Columna1]]="por pagar"),"vencida","no")</f>
        <v>no</v>
      </c>
    </row>
    <row r="42" spans="1:23" x14ac:dyDescent="0.3">
      <c r="A42">
        <v>90</v>
      </c>
      <c r="B42">
        <v>5541947.6899999995</v>
      </c>
      <c r="D42" t="s">
        <v>253</v>
      </c>
      <c r="E42" s="156">
        <v>44827</v>
      </c>
      <c r="F42" t="s">
        <v>12</v>
      </c>
      <c r="G42" s="156">
        <v>44717</v>
      </c>
      <c r="H42" t="s">
        <v>1048</v>
      </c>
      <c r="I42">
        <v>1956311</v>
      </c>
      <c r="K42">
        <v>371699.09</v>
      </c>
      <c r="M42">
        <v>0</v>
      </c>
      <c r="N42">
        <v>2.5000000000000001E-2</v>
      </c>
      <c r="O42">
        <v>48907.775000000001</v>
      </c>
      <c r="P42" s="117">
        <v>2279102.3149999999</v>
      </c>
      <c r="Q42" s="117" t="s">
        <v>1021</v>
      </c>
      <c r="R42" s="150">
        <v>0</v>
      </c>
      <c r="S42" s="117" t="b">
        <f>OR(COUNTIF(Tabla2[[#This Row],[PROVEEDOR]],"*"&amp;'Palabra no opera'!$A$2&amp;"*"))</f>
        <v>0</v>
      </c>
      <c r="T42" s="150">
        <f>+$W$5-Tabla2[[#This Row],[FECHA DE FACTURACIÓN]]</f>
        <v>117</v>
      </c>
      <c r="U42" t="str">
        <f>+IF(Tabla2[[#This Row],[dias de credito]]&gt;=Tabla2[[#This Row],[PLAZO Días]],"venc", "No venc")</f>
        <v>venc</v>
      </c>
      <c r="V42" t="str">
        <f>+IF(Tabla2[[#This Row],[FECHA DE PAGO]]&gt;0,"pagada","por pagar")</f>
        <v>pagada</v>
      </c>
      <c r="W42" s="152" t="str">
        <f>+IF(AND(Tabla2[[#This Row],[venc]]="venc",Tabla2[[#This Row],[Columna1]]="por pagar"),"vencida","no")</f>
        <v>no</v>
      </c>
    </row>
    <row r="43" spans="1:23" x14ac:dyDescent="0.3">
      <c r="A43">
        <v>30</v>
      </c>
      <c r="B43">
        <v>0</v>
      </c>
      <c r="D43" t="s">
        <v>139</v>
      </c>
      <c r="E43" s="156">
        <v>44825</v>
      </c>
      <c r="F43" t="s">
        <v>644</v>
      </c>
      <c r="G43" s="156">
        <v>44824</v>
      </c>
      <c r="H43" t="s">
        <v>1702</v>
      </c>
      <c r="I43">
        <v>100000</v>
      </c>
      <c r="K43">
        <v>0</v>
      </c>
      <c r="M43">
        <v>0</v>
      </c>
      <c r="N43">
        <v>0</v>
      </c>
      <c r="O43">
        <v>0</v>
      </c>
      <c r="P43" s="117">
        <v>100000</v>
      </c>
      <c r="Q43" s="117" t="s">
        <v>1021</v>
      </c>
      <c r="R43" s="150">
        <v>0</v>
      </c>
      <c r="S43" s="117" t="b">
        <f>OR(COUNTIF(Tabla2[[#This Row],[PROVEEDOR]],"*"&amp;'Palabra no opera'!$A$2&amp;"*"))</f>
        <v>0</v>
      </c>
      <c r="T43" s="150">
        <f>+$W$5-Tabla2[[#This Row],[FECHA DE FACTURACIÓN]]</f>
        <v>10</v>
      </c>
      <c r="U43" t="str">
        <f>+IF(Tabla2[[#This Row],[dias de credito]]&gt;=Tabla2[[#This Row],[PLAZO Días]],"venc", "No venc")</f>
        <v>No venc</v>
      </c>
      <c r="V43" t="str">
        <f>+IF(Tabla2[[#This Row],[FECHA DE PAGO]]&gt;0,"pagada","por pagar")</f>
        <v>pagada</v>
      </c>
      <c r="W43" s="152" t="str">
        <f>+IF(AND(Tabla2[[#This Row],[venc]]="venc",Tabla2[[#This Row],[Columna1]]="por pagar"),"vencida","no")</f>
        <v>no</v>
      </c>
    </row>
    <row r="44" spans="1:23" x14ac:dyDescent="0.3">
      <c r="A44">
        <v>30</v>
      </c>
      <c r="B44">
        <v>0</v>
      </c>
      <c r="D44" t="s">
        <v>252</v>
      </c>
      <c r="E44" s="156">
        <v>44824</v>
      </c>
      <c r="F44" t="s">
        <v>910</v>
      </c>
      <c r="G44" s="156">
        <v>44824</v>
      </c>
      <c r="H44">
        <v>4281</v>
      </c>
      <c r="I44">
        <v>214200</v>
      </c>
      <c r="K44">
        <v>0</v>
      </c>
      <c r="M44">
        <v>0</v>
      </c>
      <c r="N44">
        <v>0</v>
      </c>
      <c r="O44">
        <v>0</v>
      </c>
      <c r="P44" s="117">
        <v>214200</v>
      </c>
      <c r="Q44" s="117" t="s">
        <v>1021</v>
      </c>
      <c r="R44" s="150">
        <v>0</v>
      </c>
      <c r="S44" s="117" t="b">
        <f>OR(COUNTIF(Tabla2[[#This Row],[PROVEEDOR]],"*"&amp;'Palabra no opera'!$A$2&amp;"*"))</f>
        <v>1</v>
      </c>
      <c r="T44" s="150">
        <f>+$W$5-Tabla2[[#This Row],[FECHA DE FACTURACIÓN]]</f>
        <v>10</v>
      </c>
      <c r="U44" t="str">
        <f>+IF(Tabla2[[#This Row],[dias de credito]]&gt;=Tabla2[[#This Row],[PLAZO Días]],"venc", "No venc")</f>
        <v>No venc</v>
      </c>
      <c r="V44" t="str">
        <f>+IF(Tabla2[[#This Row],[FECHA DE PAGO]]&gt;0,"pagada","por pagar")</f>
        <v>pagada</v>
      </c>
      <c r="W44" s="152" t="str">
        <f>+IF(AND(Tabla2[[#This Row],[venc]]="venc",Tabla2[[#This Row],[Columna1]]="por pagar"),"vencida","no")</f>
        <v>no</v>
      </c>
    </row>
    <row r="45" spans="1:23" x14ac:dyDescent="0.3">
      <c r="A45">
        <v>30</v>
      </c>
      <c r="B45">
        <v>19675613.1195</v>
      </c>
      <c r="D45" t="s">
        <v>256</v>
      </c>
      <c r="E45" s="156">
        <v>44823</v>
      </c>
      <c r="F45" t="s">
        <v>18</v>
      </c>
      <c r="G45" s="156">
        <v>44823</v>
      </c>
      <c r="H45" t="s">
        <v>1709</v>
      </c>
      <c r="I45">
        <v>-595000</v>
      </c>
      <c r="M45">
        <v>0</v>
      </c>
      <c r="N45">
        <v>0</v>
      </c>
      <c r="O45">
        <v>0</v>
      </c>
      <c r="P45" s="117">
        <v>-595000</v>
      </c>
      <c r="Q45" s="117" t="s">
        <v>1021</v>
      </c>
      <c r="R45" s="150">
        <v>0</v>
      </c>
      <c r="S45" s="117" t="b">
        <f>OR(COUNTIF(Tabla2[[#This Row],[PROVEEDOR]],"*"&amp;'Palabra no opera'!$A$2&amp;"*"))</f>
        <v>0</v>
      </c>
      <c r="T45" s="150">
        <f>+$W$5-Tabla2[[#This Row],[FECHA DE FACTURACIÓN]]</f>
        <v>11</v>
      </c>
      <c r="U45" t="str">
        <f>+IF(Tabla2[[#This Row],[dias de credito]]&gt;=Tabla2[[#This Row],[PLAZO Días]],"venc", "No venc")</f>
        <v>No venc</v>
      </c>
      <c r="V45" t="str">
        <f>+IF(Tabla2[[#This Row],[FECHA DE PAGO]]&gt;0,"pagada","por pagar")</f>
        <v>pagada</v>
      </c>
      <c r="W45" s="152" t="str">
        <f>+IF(AND(Tabla2[[#This Row],[venc]]="venc",Tabla2[[#This Row],[Columna1]]="por pagar"),"vencida","no")</f>
        <v>no</v>
      </c>
    </row>
    <row r="46" spans="1:23" x14ac:dyDescent="0.3">
      <c r="A46">
        <v>30</v>
      </c>
      <c r="B46">
        <v>0</v>
      </c>
      <c r="D46" t="s">
        <v>650</v>
      </c>
      <c r="E46" s="156">
        <v>44823</v>
      </c>
      <c r="F46" t="s">
        <v>913</v>
      </c>
      <c r="G46" s="156">
        <v>44805</v>
      </c>
      <c r="H46" t="s">
        <v>1664</v>
      </c>
      <c r="I46">
        <v>3294426</v>
      </c>
      <c r="K46">
        <v>625940.94000000006</v>
      </c>
      <c r="M46">
        <v>0</v>
      </c>
      <c r="N46">
        <v>0</v>
      </c>
      <c r="O46">
        <v>0</v>
      </c>
      <c r="P46" s="117">
        <v>3920366.94</v>
      </c>
      <c r="Q46" s="117" t="s">
        <v>1021</v>
      </c>
      <c r="R46" s="150">
        <v>0</v>
      </c>
      <c r="S46" s="117" t="b">
        <f>OR(COUNTIF(Tabla2[[#This Row],[PROVEEDOR]],"*"&amp;'Palabra no opera'!$A$2&amp;"*"))</f>
        <v>1</v>
      </c>
      <c r="T46" s="150">
        <f>+$W$5-Tabla2[[#This Row],[FECHA DE FACTURACIÓN]]</f>
        <v>29</v>
      </c>
      <c r="U46" t="str">
        <f>+IF(Tabla2[[#This Row],[dias de credito]]&gt;=Tabla2[[#This Row],[PLAZO Días]],"venc", "No venc")</f>
        <v>No venc</v>
      </c>
      <c r="V46" t="str">
        <f>+IF(Tabla2[[#This Row],[FECHA DE PAGO]]&gt;0,"pagada","por pagar")</f>
        <v>pagada</v>
      </c>
      <c r="W46" s="152" t="str">
        <f>+IF(AND(Tabla2[[#This Row],[venc]]="venc",Tabla2[[#This Row],[Columna1]]="por pagar"),"vencida","no")</f>
        <v>no</v>
      </c>
    </row>
    <row r="47" spans="1:23" x14ac:dyDescent="0.3">
      <c r="A47">
        <v>30</v>
      </c>
      <c r="B47">
        <v>0</v>
      </c>
      <c r="D47" t="s">
        <v>650</v>
      </c>
      <c r="E47" s="156">
        <v>44823</v>
      </c>
      <c r="F47" t="s">
        <v>913</v>
      </c>
      <c r="G47" s="156">
        <v>44805</v>
      </c>
      <c r="H47" t="s">
        <v>1665</v>
      </c>
      <c r="I47">
        <v>791781</v>
      </c>
      <c r="K47">
        <v>150438.39000000001</v>
      </c>
      <c r="M47">
        <v>0</v>
      </c>
      <c r="N47">
        <v>0</v>
      </c>
      <c r="O47">
        <v>0</v>
      </c>
      <c r="P47" s="117">
        <v>942219.39</v>
      </c>
      <c r="Q47" s="117" t="s">
        <v>1021</v>
      </c>
      <c r="R47" s="150">
        <v>0</v>
      </c>
      <c r="S47" s="117" t="b">
        <f>OR(COUNTIF(Tabla2[[#This Row],[PROVEEDOR]],"*"&amp;'Palabra no opera'!$A$2&amp;"*"))</f>
        <v>1</v>
      </c>
      <c r="T47" s="150">
        <f>+$W$5-Tabla2[[#This Row],[FECHA DE FACTURACIÓN]]</f>
        <v>29</v>
      </c>
      <c r="U47" t="str">
        <f>+IF(Tabla2[[#This Row],[dias de credito]]&gt;=Tabla2[[#This Row],[PLAZO Días]],"venc", "No venc")</f>
        <v>No venc</v>
      </c>
      <c r="V47" t="str">
        <f>+IF(Tabla2[[#This Row],[FECHA DE PAGO]]&gt;0,"pagada","por pagar")</f>
        <v>pagada</v>
      </c>
      <c r="W47" s="152" t="str">
        <f>+IF(AND(Tabla2[[#This Row],[venc]]="venc",Tabla2[[#This Row],[Columna1]]="por pagar"),"vencida","no")</f>
        <v>no</v>
      </c>
    </row>
    <row r="48" spans="1:23" x14ac:dyDescent="0.3">
      <c r="A48">
        <v>30</v>
      </c>
      <c r="B48">
        <v>0</v>
      </c>
      <c r="D48" t="s">
        <v>505</v>
      </c>
      <c r="E48" s="156">
        <v>44823</v>
      </c>
      <c r="F48" t="s">
        <v>408</v>
      </c>
      <c r="G48" s="156">
        <v>44791</v>
      </c>
      <c r="H48" t="s">
        <v>1412</v>
      </c>
      <c r="I48">
        <v>2818373.75</v>
      </c>
      <c r="K48">
        <v>535491.01249999995</v>
      </c>
      <c r="M48">
        <v>595000</v>
      </c>
      <c r="N48">
        <v>0</v>
      </c>
      <c r="P48" s="117">
        <v>2758864.7625000002</v>
      </c>
      <c r="Q48" s="117" t="s">
        <v>1021</v>
      </c>
      <c r="R48" s="150">
        <v>0</v>
      </c>
      <c r="S48" s="117" t="b">
        <f>OR(COUNTIF(Tabla2[[#This Row],[PROVEEDOR]],"*"&amp;'Palabra no opera'!$A$2&amp;"*"))</f>
        <v>0</v>
      </c>
      <c r="T48" s="150">
        <f>+$W$5-Tabla2[[#This Row],[FECHA DE FACTURACIÓN]]</f>
        <v>43</v>
      </c>
      <c r="U48" t="str">
        <f>+IF(Tabla2[[#This Row],[dias de credito]]&gt;=Tabla2[[#This Row],[PLAZO Días]],"venc", "No venc")</f>
        <v>venc</v>
      </c>
      <c r="V48" t="str">
        <f>+IF(Tabla2[[#This Row],[FECHA DE PAGO]]&gt;0,"pagada","por pagar")</f>
        <v>pagada</v>
      </c>
      <c r="W48" s="152" t="str">
        <f>+IF(AND(Tabla2[[#This Row],[venc]]="venc",Tabla2[[#This Row],[Columna1]]="por pagar"),"vencida","no")</f>
        <v>no</v>
      </c>
    </row>
    <row r="49" spans="1:23" x14ac:dyDescent="0.3">
      <c r="A49">
        <v>30</v>
      </c>
      <c r="B49">
        <v>0</v>
      </c>
      <c r="D49" t="s">
        <v>258</v>
      </c>
      <c r="E49" s="156">
        <v>44823</v>
      </c>
      <c r="F49" t="s">
        <v>65</v>
      </c>
      <c r="G49" s="156">
        <v>44789</v>
      </c>
      <c r="H49" t="s">
        <v>1417</v>
      </c>
      <c r="I49">
        <v>709244</v>
      </c>
      <c r="K49">
        <v>134756.36000000002</v>
      </c>
      <c r="M49">
        <v>0</v>
      </c>
      <c r="N49">
        <v>0</v>
      </c>
      <c r="O49">
        <v>0</v>
      </c>
      <c r="P49" s="117">
        <v>844000.36</v>
      </c>
      <c r="Q49" s="117" t="s">
        <v>1021</v>
      </c>
      <c r="R49" s="150">
        <v>0</v>
      </c>
      <c r="S49" s="117" t="b">
        <f>OR(COUNTIF(Tabla2[[#This Row],[PROVEEDOR]],"*"&amp;'Palabra no opera'!$A$2&amp;"*"))</f>
        <v>0</v>
      </c>
      <c r="T49" s="150">
        <f>+$W$5-Tabla2[[#This Row],[FECHA DE FACTURACIÓN]]</f>
        <v>45</v>
      </c>
      <c r="U49" t="str">
        <f>+IF(Tabla2[[#This Row],[dias de credito]]&gt;=Tabla2[[#This Row],[PLAZO Días]],"venc", "No venc")</f>
        <v>venc</v>
      </c>
      <c r="V49" t="str">
        <f>+IF(Tabla2[[#This Row],[FECHA DE PAGO]]&gt;0,"pagada","por pagar")</f>
        <v>pagada</v>
      </c>
      <c r="W49" s="152" t="str">
        <f>+IF(AND(Tabla2[[#This Row],[venc]]="venc",Tabla2[[#This Row],[Columna1]]="por pagar"),"vencida","no")</f>
        <v>no</v>
      </c>
    </row>
    <row r="50" spans="1:23" x14ac:dyDescent="0.3">
      <c r="A50">
        <v>30</v>
      </c>
      <c r="B50">
        <v>19675613.1195</v>
      </c>
      <c r="D50" t="s">
        <v>256</v>
      </c>
      <c r="E50" s="156">
        <v>44823</v>
      </c>
      <c r="F50" t="s">
        <v>18</v>
      </c>
      <c r="G50" s="156">
        <v>44777</v>
      </c>
      <c r="H50">
        <v>1057349</v>
      </c>
      <c r="I50">
        <v>1769116.56</v>
      </c>
      <c r="K50">
        <v>336132.14640000003</v>
      </c>
      <c r="M50">
        <v>0</v>
      </c>
      <c r="N50">
        <v>2.5000000000000001E-2</v>
      </c>
      <c r="O50">
        <v>44227.914000000004</v>
      </c>
      <c r="P50" s="117">
        <v>2061020.7923999999</v>
      </c>
      <c r="Q50" s="117" t="s">
        <v>1021</v>
      </c>
      <c r="R50" s="150">
        <v>0</v>
      </c>
      <c r="S50" s="117" t="b">
        <f>OR(COUNTIF(Tabla2[[#This Row],[PROVEEDOR]],"*"&amp;'Palabra no opera'!$A$2&amp;"*"))</f>
        <v>0</v>
      </c>
      <c r="T50" s="150">
        <f>+$W$5-Tabla2[[#This Row],[FECHA DE FACTURACIÓN]]</f>
        <v>57</v>
      </c>
      <c r="U50" t="str">
        <f>+IF(Tabla2[[#This Row],[dias de credito]]&gt;=Tabla2[[#This Row],[PLAZO Días]],"venc", "No venc")</f>
        <v>venc</v>
      </c>
      <c r="V50" t="str">
        <f>+IF(Tabla2[[#This Row],[FECHA DE PAGO]]&gt;0,"pagada","por pagar")</f>
        <v>pagada</v>
      </c>
      <c r="W50" s="152" t="str">
        <f>+IF(AND(Tabla2[[#This Row],[venc]]="venc",Tabla2[[#This Row],[Columna1]]="por pagar"),"vencida","no")</f>
        <v>no</v>
      </c>
    </row>
    <row r="51" spans="1:23" x14ac:dyDescent="0.3">
      <c r="A51">
        <v>30</v>
      </c>
      <c r="B51">
        <v>19675613.1195</v>
      </c>
      <c r="D51" t="s">
        <v>256</v>
      </c>
      <c r="E51" s="156">
        <v>44823</v>
      </c>
      <c r="F51" t="s">
        <v>18</v>
      </c>
      <c r="G51" s="156">
        <v>44764</v>
      </c>
      <c r="H51">
        <v>1056755</v>
      </c>
      <c r="I51">
        <v>2426648</v>
      </c>
      <c r="K51">
        <v>461063.12</v>
      </c>
      <c r="L51" t="s">
        <v>1658</v>
      </c>
      <c r="M51">
        <v>595000</v>
      </c>
      <c r="N51">
        <v>2.5000000000000001E-2</v>
      </c>
      <c r="O51">
        <v>60666.200000000004</v>
      </c>
      <c r="P51" s="117">
        <v>2232044.92</v>
      </c>
      <c r="Q51" s="117" t="s">
        <v>1021</v>
      </c>
      <c r="R51" s="150">
        <v>0</v>
      </c>
      <c r="S51" s="117" t="b">
        <f>OR(COUNTIF(Tabla2[[#This Row],[PROVEEDOR]],"*"&amp;'Palabra no opera'!$A$2&amp;"*"))</f>
        <v>0</v>
      </c>
      <c r="T51" s="150">
        <f>+$W$5-Tabla2[[#This Row],[FECHA DE FACTURACIÓN]]</f>
        <v>70</v>
      </c>
      <c r="U51" t="str">
        <f>+IF(Tabla2[[#This Row],[dias de credito]]&gt;=Tabla2[[#This Row],[PLAZO Días]],"venc", "No venc")</f>
        <v>venc</v>
      </c>
      <c r="V51" t="str">
        <f>+IF(Tabla2[[#This Row],[FECHA DE PAGO]]&gt;0,"pagada","por pagar")</f>
        <v>pagada</v>
      </c>
      <c r="W51" s="152" t="str">
        <f>+IF(AND(Tabla2[[#This Row],[venc]]="venc",Tabla2[[#This Row],[Columna1]]="por pagar"),"vencida","no")</f>
        <v>no</v>
      </c>
    </row>
    <row r="52" spans="1:23" x14ac:dyDescent="0.3">
      <c r="A52">
        <v>30</v>
      </c>
      <c r="B52">
        <v>8190204</v>
      </c>
      <c r="D52" t="s">
        <v>263</v>
      </c>
      <c r="E52" s="156">
        <v>44823</v>
      </c>
      <c r="F52" t="s">
        <v>1637</v>
      </c>
      <c r="G52" s="156">
        <v>44755</v>
      </c>
      <c r="H52">
        <v>26564</v>
      </c>
      <c r="I52">
        <v>4039800</v>
      </c>
      <c r="J52">
        <v>383280</v>
      </c>
      <c r="K52">
        <v>694738.8</v>
      </c>
      <c r="M52">
        <v>0</v>
      </c>
      <c r="N52">
        <v>2.5000000000000001E-2</v>
      </c>
      <c r="O52">
        <v>91413</v>
      </c>
      <c r="P52" s="117">
        <v>4259845.8</v>
      </c>
      <c r="Q52" s="117" t="s">
        <v>1021</v>
      </c>
      <c r="R52" s="150">
        <v>0</v>
      </c>
      <c r="S52" s="117" t="b">
        <f>OR(COUNTIF(Tabla2[[#This Row],[PROVEEDOR]],"*"&amp;'Palabra no opera'!$A$2&amp;"*"))</f>
        <v>0</v>
      </c>
      <c r="T52" s="150">
        <f>+$W$5-Tabla2[[#This Row],[FECHA DE FACTURACIÓN]]</f>
        <v>79</v>
      </c>
      <c r="U52" t="str">
        <f>+IF(Tabla2[[#This Row],[dias de credito]]&gt;=Tabla2[[#This Row],[PLAZO Días]],"venc", "No venc")</f>
        <v>venc</v>
      </c>
      <c r="V52" t="str">
        <f>+IF(Tabla2[[#This Row],[FECHA DE PAGO]]&gt;0,"pagada","por pagar")</f>
        <v>pagada</v>
      </c>
      <c r="W52" s="152" t="str">
        <f>+IF(AND(Tabla2[[#This Row],[venc]]="venc",Tabla2[[#This Row],[Columna1]]="por pagar"),"vencida","no")</f>
        <v>no</v>
      </c>
    </row>
    <row r="53" spans="1:23" x14ac:dyDescent="0.3">
      <c r="A53">
        <v>90</v>
      </c>
      <c r="B53">
        <v>0</v>
      </c>
      <c r="D53" t="s">
        <v>503</v>
      </c>
      <c r="E53" s="156">
        <v>44823</v>
      </c>
      <c r="F53" t="s">
        <v>387</v>
      </c>
      <c r="G53" s="156">
        <v>44704</v>
      </c>
      <c r="H53" t="s">
        <v>989</v>
      </c>
      <c r="I53">
        <v>3657983</v>
      </c>
      <c r="K53">
        <v>695016.77</v>
      </c>
      <c r="M53">
        <v>0</v>
      </c>
      <c r="N53">
        <v>2.5000000000000001E-2</v>
      </c>
      <c r="O53">
        <v>91449.575000000012</v>
      </c>
      <c r="P53" s="117">
        <v>4261550.1949999994</v>
      </c>
      <c r="Q53" s="117" t="s">
        <v>1021</v>
      </c>
      <c r="R53" s="150">
        <v>0</v>
      </c>
      <c r="S53" s="117" t="b">
        <f>OR(COUNTIF(Tabla2[[#This Row],[PROVEEDOR]],"*"&amp;'Palabra no opera'!$A$2&amp;"*"))</f>
        <v>0</v>
      </c>
      <c r="T53" s="150">
        <f>+$W$5-Tabla2[[#This Row],[FECHA DE FACTURACIÓN]]</f>
        <v>130</v>
      </c>
      <c r="U53" t="str">
        <f>+IF(Tabla2[[#This Row],[dias de credito]]&gt;=Tabla2[[#This Row],[PLAZO Días]],"venc", "No venc")</f>
        <v>venc</v>
      </c>
      <c r="V53" t="str">
        <f>+IF(Tabla2[[#This Row],[FECHA DE PAGO]]&gt;0,"pagada","por pagar")</f>
        <v>pagada</v>
      </c>
      <c r="W53" s="152" t="str">
        <f>+IF(AND(Tabla2[[#This Row],[venc]]="venc",Tabla2[[#This Row],[Columna1]]="por pagar"),"vencida","no")</f>
        <v>no</v>
      </c>
    </row>
    <row r="54" spans="1:23" x14ac:dyDescent="0.3">
      <c r="A54">
        <v>30</v>
      </c>
      <c r="B54">
        <v>0</v>
      </c>
      <c r="D54" t="s">
        <v>139</v>
      </c>
      <c r="E54" s="156">
        <v>44821</v>
      </c>
      <c r="F54" t="s">
        <v>638</v>
      </c>
      <c r="G54" s="156">
        <v>44819</v>
      </c>
      <c r="H54" t="s">
        <v>1697</v>
      </c>
      <c r="I54">
        <v>5428000</v>
      </c>
      <c r="K54">
        <v>0</v>
      </c>
      <c r="M54">
        <v>0</v>
      </c>
      <c r="N54">
        <v>0</v>
      </c>
      <c r="O54">
        <v>0</v>
      </c>
      <c r="P54" s="117">
        <v>5428000</v>
      </c>
      <c r="Q54" s="117" t="s">
        <v>1021</v>
      </c>
      <c r="R54" s="150">
        <v>0</v>
      </c>
      <c r="S54" s="117" t="b">
        <f>OR(COUNTIF(Tabla2[[#This Row],[PROVEEDOR]],"*"&amp;'Palabra no opera'!$A$2&amp;"*"))</f>
        <v>0</v>
      </c>
      <c r="T54" s="150">
        <f>+$W$5-Tabla2[[#This Row],[FECHA DE FACTURACIÓN]]</f>
        <v>15</v>
      </c>
      <c r="U54" t="str">
        <f>+IF(Tabla2[[#This Row],[dias de credito]]&gt;=Tabla2[[#This Row],[PLAZO Días]],"venc", "No venc")</f>
        <v>No venc</v>
      </c>
      <c r="V54" t="str">
        <f>+IF(Tabla2[[#This Row],[FECHA DE PAGO]]&gt;0,"pagada","por pagar")</f>
        <v>pagada</v>
      </c>
      <c r="W54" s="152" t="str">
        <f>+IF(AND(Tabla2[[#This Row],[venc]]="venc",Tabla2[[#This Row],[Columna1]]="por pagar"),"vencida","no")</f>
        <v>no</v>
      </c>
    </row>
    <row r="55" spans="1:23" x14ac:dyDescent="0.3">
      <c r="A55">
        <v>30</v>
      </c>
      <c r="B55">
        <v>0</v>
      </c>
      <c r="D55">
        <v>0</v>
      </c>
      <c r="E55" s="156">
        <v>44821</v>
      </c>
      <c r="F55" t="s">
        <v>1707</v>
      </c>
      <c r="G55" s="156">
        <v>44812</v>
      </c>
      <c r="H55" t="s">
        <v>1708</v>
      </c>
      <c r="I55">
        <v>936000</v>
      </c>
      <c r="K55">
        <v>0</v>
      </c>
      <c r="M55">
        <v>0</v>
      </c>
      <c r="N55">
        <v>0</v>
      </c>
      <c r="O55">
        <v>0</v>
      </c>
      <c r="P55" s="117">
        <v>936000</v>
      </c>
      <c r="Q55" s="117" t="s">
        <v>1021</v>
      </c>
      <c r="R55" s="150">
        <v>0</v>
      </c>
      <c r="S55" s="117" t="b">
        <f>OR(COUNTIF(Tabla2[[#This Row],[PROVEEDOR]],"*"&amp;'Palabra no opera'!$A$2&amp;"*"))</f>
        <v>0</v>
      </c>
      <c r="T55" s="150">
        <f>+$W$5-Tabla2[[#This Row],[FECHA DE FACTURACIÓN]]</f>
        <v>22</v>
      </c>
      <c r="U55" t="str">
        <f>+IF(Tabla2[[#This Row],[dias de credito]]&gt;=Tabla2[[#This Row],[PLAZO Días]],"venc", "No venc")</f>
        <v>No venc</v>
      </c>
      <c r="V55" t="str">
        <f>+IF(Tabla2[[#This Row],[FECHA DE PAGO]]&gt;0,"pagada","por pagar")</f>
        <v>pagada</v>
      </c>
      <c r="W55" s="152" t="str">
        <f>+IF(AND(Tabla2[[#This Row],[venc]]="venc",Tabla2[[#This Row],[Columna1]]="por pagar"),"vencida","no")</f>
        <v>no</v>
      </c>
    </row>
    <row r="56" spans="1:23" x14ac:dyDescent="0.3">
      <c r="A56">
        <v>30</v>
      </c>
      <c r="B56">
        <v>0</v>
      </c>
      <c r="D56" t="s">
        <v>259</v>
      </c>
      <c r="E56" s="156">
        <v>44819</v>
      </c>
      <c r="F56" t="s">
        <v>918</v>
      </c>
      <c r="G56" s="156">
        <v>44805</v>
      </c>
      <c r="H56">
        <v>11379</v>
      </c>
      <c r="I56">
        <v>1649859</v>
      </c>
      <c r="K56">
        <v>0</v>
      </c>
      <c r="M56">
        <v>80632</v>
      </c>
      <c r="N56">
        <v>0</v>
      </c>
      <c r="O56">
        <v>0</v>
      </c>
      <c r="P56" s="117">
        <v>1569227</v>
      </c>
      <c r="Q56" s="117" t="s">
        <v>1021</v>
      </c>
      <c r="R56" s="150">
        <v>0</v>
      </c>
      <c r="S56" s="117" t="b">
        <f>OR(COUNTIF(Tabla2[[#This Row],[PROVEEDOR]],"*"&amp;'Palabra no opera'!$A$2&amp;"*"))</f>
        <v>1</v>
      </c>
      <c r="T56" s="150">
        <f>+$W$5-Tabla2[[#This Row],[FECHA DE FACTURACIÓN]]</f>
        <v>29</v>
      </c>
      <c r="U56" t="str">
        <f>+IF(Tabla2[[#This Row],[dias de credito]]&gt;=Tabla2[[#This Row],[PLAZO Días]],"venc", "No venc")</f>
        <v>No venc</v>
      </c>
      <c r="V56" t="str">
        <f>+IF(Tabla2[[#This Row],[FECHA DE PAGO]]&gt;0,"pagada","por pagar")</f>
        <v>pagada</v>
      </c>
      <c r="W56" s="152" t="str">
        <f>+IF(AND(Tabla2[[#This Row],[venc]]="venc",Tabla2[[#This Row],[Columna1]]="por pagar"),"vencida","no")</f>
        <v>no</v>
      </c>
    </row>
    <row r="57" spans="1:23" x14ac:dyDescent="0.3">
      <c r="A57">
        <v>30</v>
      </c>
      <c r="B57">
        <v>0</v>
      </c>
      <c r="D57" t="s">
        <v>676</v>
      </c>
      <c r="E57" s="156">
        <v>44818</v>
      </c>
      <c r="F57" t="s">
        <v>940</v>
      </c>
      <c r="G57" s="156">
        <v>44805</v>
      </c>
      <c r="H57">
        <v>68862</v>
      </c>
      <c r="I57">
        <v>284467</v>
      </c>
      <c r="K57">
        <v>0</v>
      </c>
      <c r="M57">
        <v>8522.67</v>
      </c>
      <c r="N57">
        <v>0</v>
      </c>
      <c r="O57">
        <v>0</v>
      </c>
      <c r="P57" s="117">
        <v>275944.33</v>
      </c>
      <c r="Q57" s="117" t="s">
        <v>1021</v>
      </c>
      <c r="R57" s="150">
        <v>0</v>
      </c>
      <c r="S57" s="117" t="b">
        <f>OR(COUNTIF(Tabla2[[#This Row],[PROVEEDOR]],"*"&amp;'Palabra no opera'!$A$2&amp;"*"))</f>
        <v>1</v>
      </c>
      <c r="T57" s="150">
        <f>+$W$5-Tabla2[[#This Row],[FECHA DE FACTURACIÓN]]</f>
        <v>29</v>
      </c>
      <c r="U57" t="str">
        <f>+IF(Tabla2[[#This Row],[dias de credito]]&gt;=Tabla2[[#This Row],[PLAZO Días]],"venc", "No venc")</f>
        <v>No venc</v>
      </c>
      <c r="V57" t="str">
        <f>+IF(Tabla2[[#This Row],[FECHA DE PAGO]]&gt;0,"pagada","por pagar")</f>
        <v>pagada</v>
      </c>
      <c r="W57" s="152" t="str">
        <f>+IF(AND(Tabla2[[#This Row],[venc]]="venc",Tabla2[[#This Row],[Columna1]]="por pagar"),"vencida","no")</f>
        <v>no</v>
      </c>
    </row>
    <row r="58" spans="1:23" x14ac:dyDescent="0.3">
      <c r="A58">
        <v>30</v>
      </c>
      <c r="B58">
        <v>0</v>
      </c>
      <c r="D58" t="s">
        <v>676</v>
      </c>
      <c r="E58" s="156">
        <v>44818</v>
      </c>
      <c r="F58" t="s">
        <v>940</v>
      </c>
      <c r="G58" s="156">
        <v>44805</v>
      </c>
      <c r="H58">
        <v>68862</v>
      </c>
      <c r="I58">
        <v>284467</v>
      </c>
      <c r="K58">
        <v>0</v>
      </c>
      <c r="L58" t="s">
        <v>1658</v>
      </c>
      <c r="M58">
        <v>8522.67</v>
      </c>
      <c r="N58">
        <v>0</v>
      </c>
      <c r="O58">
        <v>0</v>
      </c>
      <c r="P58" s="117">
        <v>275944.33</v>
      </c>
      <c r="Q58" s="117" t="s">
        <v>1021</v>
      </c>
      <c r="R58" s="150">
        <v>0</v>
      </c>
      <c r="S58" s="117" t="b">
        <f>OR(COUNTIF(Tabla2[[#This Row],[PROVEEDOR]],"*"&amp;'Palabra no opera'!$A$2&amp;"*"))</f>
        <v>1</v>
      </c>
      <c r="T58" s="150">
        <f>+$W$5-Tabla2[[#This Row],[FECHA DE FACTURACIÓN]]</f>
        <v>29</v>
      </c>
      <c r="U58" t="str">
        <f>+IF(Tabla2[[#This Row],[dias de credito]]&gt;=Tabla2[[#This Row],[PLAZO Días]],"venc", "No venc")</f>
        <v>No venc</v>
      </c>
      <c r="V58" t="str">
        <f>+IF(Tabla2[[#This Row],[FECHA DE PAGO]]&gt;0,"pagada","por pagar")</f>
        <v>pagada</v>
      </c>
      <c r="W58" s="152" t="str">
        <f>+IF(AND(Tabla2[[#This Row],[venc]]="venc",Tabla2[[#This Row],[Columna1]]="por pagar"),"vencida","no")</f>
        <v>no</v>
      </c>
    </row>
    <row r="59" spans="1:23" x14ac:dyDescent="0.3">
      <c r="A59">
        <v>0</v>
      </c>
      <c r="B59">
        <v>0</v>
      </c>
      <c r="D59" t="s">
        <v>1135</v>
      </c>
      <c r="E59" s="156">
        <v>44817</v>
      </c>
      <c r="F59" t="s">
        <v>1136</v>
      </c>
      <c r="G59" s="156">
        <v>44817</v>
      </c>
      <c r="H59" t="s">
        <v>1657</v>
      </c>
      <c r="I59">
        <v>170000</v>
      </c>
      <c r="K59">
        <v>32300</v>
      </c>
      <c r="M59">
        <v>0</v>
      </c>
      <c r="N59">
        <v>0.04</v>
      </c>
      <c r="O59">
        <v>6800</v>
      </c>
      <c r="P59" s="117">
        <v>195500</v>
      </c>
      <c r="Q59" s="117" t="s">
        <v>1021</v>
      </c>
      <c r="R59" s="150">
        <v>0</v>
      </c>
      <c r="S59" s="117" t="b">
        <f>OR(COUNTIF(Tabla2[[#This Row],[PROVEEDOR]],"*"&amp;'Palabra no opera'!$A$2&amp;"*"))</f>
        <v>1</v>
      </c>
      <c r="T59" s="150">
        <f>+$W$5-Tabla2[[#This Row],[FECHA DE FACTURACIÓN]]</f>
        <v>17</v>
      </c>
      <c r="U59" t="str">
        <f>+IF(Tabla2[[#This Row],[dias de credito]]&gt;=Tabla2[[#This Row],[PLAZO Días]],"venc", "No venc")</f>
        <v>venc</v>
      </c>
      <c r="V59" t="str">
        <f>+IF(Tabla2[[#This Row],[FECHA DE PAGO]]&gt;0,"pagada","por pagar")</f>
        <v>pagada</v>
      </c>
      <c r="W59" s="152" t="str">
        <f>+IF(AND(Tabla2[[#This Row],[venc]]="venc",Tabla2[[#This Row],[Columna1]]="por pagar"),"vencida","no")</f>
        <v>no</v>
      </c>
    </row>
    <row r="60" spans="1:23" x14ac:dyDescent="0.3">
      <c r="A60">
        <v>30</v>
      </c>
      <c r="B60">
        <v>0</v>
      </c>
      <c r="D60" t="s">
        <v>139</v>
      </c>
      <c r="E60" s="156">
        <v>44817</v>
      </c>
      <c r="F60" t="s">
        <v>695</v>
      </c>
      <c r="G60" s="156">
        <v>44810</v>
      </c>
      <c r="H60">
        <v>609</v>
      </c>
      <c r="I60">
        <v>921500</v>
      </c>
      <c r="K60">
        <v>0</v>
      </c>
      <c r="M60">
        <v>0</v>
      </c>
      <c r="N60">
        <v>0</v>
      </c>
      <c r="O60">
        <v>0</v>
      </c>
      <c r="P60" s="117">
        <v>921500</v>
      </c>
      <c r="Q60" s="117" t="s">
        <v>1021</v>
      </c>
      <c r="R60" s="150">
        <v>0</v>
      </c>
      <c r="S60" s="117" t="b">
        <f>OR(COUNTIF(Tabla2[[#This Row],[PROVEEDOR]],"*"&amp;'Palabra no opera'!$A$2&amp;"*"))</f>
        <v>0</v>
      </c>
      <c r="T60" s="150">
        <f>+$W$5-Tabla2[[#This Row],[FECHA DE FACTURACIÓN]]</f>
        <v>24</v>
      </c>
      <c r="U60" t="str">
        <f>+IF(Tabla2[[#This Row],[dias de credito]]&gt;=Tabla2[[#This Row],[PLAZO Días]],"venc", "No venc")</f>
        <v>No venc</v>
      </c>
      <c r="V60" t="str">
        <f>+IF(Tabla2[[#This Row],[FECHA DE PAGO]]&gt;0,"pagada","por pagar")</f>
        <v>pagada</v>
      </c>
      <c r="W60" s="152" t="str">
        <f>+IF(AND(Tabla2[[#This Row],[venc]]="venc",Tabla2[[#This Row],[Columna1]]="por pagar"),"vencida","no")</f>
        <v>no</v>
      </c>
    </row>
    <row r="61" spans="1:23" x14ac:dyDescent="0.3">
      <c r="A61">
        <v>30</v>
      </c>
      <c r="B61">
        <v>0</v>
      </c>
      <c r="D61">
        <v>0</v>
      </c>
      <c r="E61" s="156">
        <v>44816</v>
      </c>
      <c r="F61" t="s">
        <v>932</v>
      </c>
      <c r="G61" s="156">
        <v>44805</v>
      </c>
      <c r="H61" t="s">
        <v>307</v>
      </c>
      <c r="I61">
        <v>455823</v>
      </c>
      <c r="K61">
        <v>0</v>
      </c>
      <c r="M61">
        <v>0</v>
      </c>
      <c r="N61">
        <v>0</v>
      </c>
      <c r="O61">
        <v>0</v>
      </c>
      <c r="P61" s="117">
        <v>455823</v>
      </c>
      <c r="Q61" s="117" t="s">
        <v>1021</v>
      </c>
      <c r="R61" s="150">
        <v>0</v>
      </c>
      <c r="S61" s="117" t="b">
        <f>OR(COUNTIF(Tabla2[[#This Row],[PROVEEDOR]],"*"&amp;'Palabra no opera'!$A$2&amp;"*"))</f>
        <v>1</v>
      </c>
      <c r="T61" s="150">
        <f>+$W$5-Tabla2[[#This Row],[FECHA DE FACTURACIÓN]]</f>
        <v>29</v>
      </c>
      <c r="U61" t="str">
        <f>+IF(Tabla2[[#This Row],[dias de credito]]&gt;=Tabla2[[#This Row],[PLAZO Días]],"venc", "No venc")</f>
        <v>No venc</v>
      </c>
      <c r="V61" t="str">
        <f>+IF(Tabla2[[#This Row],[FECHA DE PAGO]]&gt;0,"pagada","por pagar")</f>
        <v>pagada</v>
      </c>
      <c r="W61" s="152" t="str">
        <f>+IF(AND(Tabla2[[#This Row],[venc]]="venc",Tabla2[[#This Row],[Columna1]]="por pagar"),"vencida","no")</f>
        <v>no</v>
      </c>
    </row>
    <row r="62" spans="1:23" x14ac:dyDescent="0.3">
      <c r="A62">
        <v>30</v>
      </c>
      <c r="B62">
        <v>5225000</v>
      </c>
      <c r="D62" t="s">
        <v>139</v>
      </c>
      <c r="E62" s="156">
        <v>44816</v>
      </c>
      <c r="F62" t="s">
        <v>629</v>
      </c>
      <c r="G62" s="156">
        <v>44785</v>
      </c>
      <c r="H62" t="s">
        <v>1426</v>
      </c>
      <c r="I62">
        <v>2302000</v>
      </c>
      <c r="K62">
        <v>0</v>
      </c>
      <c r="M62">
        <v>0</v>
      </c>
      <c r="N62">
        <v>0</v>
      </c>
      <c r="O62">
        <v>0</v>
      </c>
      <c r="P62" s="117">
        <v>2302000</v>
      </c>
      <c r="Q62" s="117" t="s">
        <v>1021</v>
      </c>
      <c r="R62" s="150">
        <v>0</v>
      </c>
      <c r="S62" s="117" t="b">
        <f>OR(COUNTIF(Tabla2[[#This Row],[PROVEEDOR]],"*"&amp;'Palabra no opera'!$A$2&amp;"*"))</f>
        <v>0</v>
      </c>
      <c r="T62" s="150">
        <f>+$W$5-Tabla2[[#This Row],[FECHA DE FACTURACIÓN]]</f>
        <v>49</v>
      </c>
      <c r="U62" t="str">
        <f>+IF(Tabla2[[#This Row],[dias de credito]]&gt;=Tabla2[[#This Row],[PLAZO Días]],"venc", "No venc")</f>
        <v>venc</v>
      </c>
      <c r="V62" t="str">
        <f>+IF(Tabla2[[#This Row],[FECHA DE PAGO]]&gt;0,"pagada","por pagar")</f>
        <v>pagada</v>
      </c>
      <c r="W62" s="152" t="str">
        <f>+IF(AND(Tabla2[[#This Row],[venc]]="venc",Tabla2[[#This Row],[Columna1]]="por pagar"),"vencida","no")</f>
        <v>no</v>
      </c>
    </row>
    <row r="63" spans="1:23" x14ac:dyDescent="0.3">
      <c r="A63">
        <v>0</v>
      </c>
      <c r="B63">
        <v>0</v>
      </c>
      <c r="D63">
        <v>0</v>
      </c>
      <c r="E63" s="156">
        <v>44813</v>
      </c>
      <c r="F63" t="s">
        <v>1654</v>
      </c>
      <c r="G63" s="156">
        <v>44805</v>
      </c>
      <c r="H63" t="s">
        <v>1656</v>
      </c>
      <c r="I63">
        <v>300000</v>
      </c>
      <c r="K63">
        <v>0</v>
      </c>
      <c r="M63">
        <v>0</v>
      </c>
      <c r="N63">
        <v>0</v>
      </c>
      <c r="O63">
        <v>0</v>
      </c>
      <c r="P63" s="117">
        <v>300000</v>
      </c>
      <c r="Q63" s="117" t="s">
        <v>1021</v>
      </c>
      <c r="R63" s="150">
        <v>0</v>
      </c>
      <c r="S63" s="117" t="b">
        <f>OR(COUNTIF(Tabla2[[#This Row],[PROVEEDOR]],"*"&amp;'Palabra no opera'!$A$2&amp;"*"))</f>
        <v>1</v>
      </c>
      <c r="T63" s="150">
        <f>+$W$5-Tabla2[[#This Row],[FECHA DE FACTURACIÓN]]</f>
        <v>29</v>
      </c>
      <c r="U63" t="str">
        <f>+IF(Tabla2[[#This Row],[dias de credito]]&gt;=Tabla2[[#This Row],[PLAZO Días]],"venc", "No venc")</f>
        <v>venc</v>
      </c>
      <c r="V63" t="str">
        <f>+IF(Tabla2[[#This Row],[FECHA DE PAGO]]&gt;0,"pagada","por pagar")</f>
        <v>pagada</v>
      </c>
      <c r="W63" s="152" t="str">
        <f>+IF(AND(Tabla2[[#This Row],[venc]]="venc",Tabla2[[#This Row],[Columna1]]="por pagar"),"vencida","no")</f>
        <v>no</v>
      </c>
    </row>
    <row r="64" spans="1:23" x14ac:dyDescent="0.3">
      <c r="A64">
        <v>30</v>
      </c>
      <c r="B64">
        <v>0</v>
      </c>
      <c r="D64" t="s">
        <v>139</v>
      </c>
      <c r="E64" s="156">
        <v>44812</v>
      </c>
      <c r="F64" t="s">
        <v>638</v>
      </c>
      <c r="G64" s="156">
        <v>44809</v>
      </c>
      <c r="H64" t="s">
        <v>1666</v>
      </c>
      <c r="I64">
        <v>1759000</v>
      </c>
      <c r="K64">
        <v>0</v>
      </c>
      <c r="M64">
        <v>0</v>
      </c>
      <c r="N64">
        <v>0</v>
      </c>
      <c r="O64">
        <v>0</v>
      </c>
      <c r="P64" s="117">
        <v>1759000</v>
      </c>
      <c r="Q64" s="117" t="s">
        <v>1021</v>
      </c>
      <c r="R64" s="150">
        <v>0</v>
      </c>
      <c r="S64" s="117" t="b">
        <f>OR(COUNTIF(Tabla2[[#This Row],[PROVEEDOR]],"*"&amp;'Palabra no opera'!$A$2&amp;"*"))</f>
        <v>0</v>
      </c>
      <c r="T64" s="150">
        <f>+$W$5-Tabla2[[#This Row],[FECHA DE FACTURACIÓN]]</f>
        <v>25</v>
      </c>
      <c r="U64" t="str">
        <f>+IF(Tabla2[[#This Row],[dias de credito]]&gt;=Tabla2[[#This Row],[PLAZO Días]],"venc", "No venc")</f>
        <v>No venc</v>
      </c>
      <c r="V64" t="str">
        <f>+IF(Tabla2[[#This Row],[FECHA DE PAGO]]&gt;0,"pagada","por pagar")</f>
        <v>pagada</v>
      </c>
      <c r="W64" s="152" t="str">
        <f>+IF(AND(Tabla2[[#This Row],[venc]]="venc",Tabla2[[#This Row],[Columna1]]="por pagar"),"vencida","no")</f>
        <v>no</v>
      </c>
    </row>
    <row r="65" spans="1:23" x14ac:dyDescent="0.3">
      <c r="A65">
        <v>30</v>
      </c>
      <c r="B65">
        <v>0</v>
      </c>
      <c r="D65" t="s">
        <v>139</v>
      </c>
      <c r="E65" s="156">
        <v>44812</v>
      </c>
      <c r="F65" t="s">
        <v>689</v>
      </c>
      <c r="G65" s="156">
        <v>44809</v>
      </c>
      <c r="H65" t="s">
        <v>1667</v>
      </c>
      <c r="I65">
        <v>1347110</v>
      </c>
      <c r="K65">
        <v>0</v>
      </c>
      <c r="M65">
        <v>0</v>
      </c>
      <c r="N65">
        <v>0</v>
      </c>
      <c r="O65">
        <v>0</v>
      </c>
      <c r="P65" s="117">
        <v>1347110</v>
      </c>
      <c r="Q65" s="117" t="s">
        <v>1021</v>
      </c>
      <c r="R65" s="150">
        <v>0</v>
      </c>
      <c r="S65" s="117" t="b">
        <f>OR(COUNTIF(Tabla2[[#This Row],[PROVEEDOR]],"*"&amp;'Palabra no opera'!$A$2&amp;"*"))</f>
        <v>0</v>
      </c>
      <c r="T65" s="150">
        <f>+$W$5-Tabla2[[#This Row],[FECHA DE FACTURACIÓN]]</f>
        <v>25</v>
      </c>
      <c r="U65" t="str">
        <f>+IF(Tabla2[[#This Row],[dias de credito]]&gt;=Tabla2[[#This Row],[PLAZO Días]],"venc", "No venc")</f>
        <v>No venc</v>
      </c>
      <c r="V65" t="str">
        <f>+IF(Tabla2[[#This Row],[FECHA DE PAGO]]&gt;0,"pagada","por pagar")</f>
        <v>pagada</v>
      </c>
      <c r="W65" s="152" t="str">
        <f>+IF(AND(Tabla2[[#This Row],[venc]]="venc",Tabla2[[#This Row],[Columna1]]="por pagar"),"vencida","no")</f>
        <v>no</v>
      </c>
    </row>
    <row r="66" spans="1:23" x14ac:dyDescent="0.3">
      <c r="A66">
        <v>60</v>
      </c>
      <c r="B66">
        <v>0</v>
      </c>
      <c r="D66" t="s">
        <v>631</v>
      </c>
      <c r="E66" s="156">
        <v>44811</v>
      </c>
      <c r="F66" t="s">
        <v>528</v>
      </c>
      <c r="G66" s="156">
        <v>44803</v>
      </c>
      <c r="H66" t="s">
        <v>1671</v>
      </c>
      <c r="I66">
        <v>649894.85</v>
      </c>
      <c r="K66">
        <v>0</v>
      </c>
      <c r="M66">
        <v>0</v>
      </c>
      <c r="N66">
        <v>0</v>
      </c>
      <c r="O66">
        <v>0</v>
      </c>
      <c r="P66" s="117">
        <v>649894.85</v>
      </c>
      <c r="Q66" s="117" t="s">
        <v>1021</v>
      </c>
      <c r="R66" s="150">
        <v>0</v>
      </c>
      <c r="S66" s="117" t="b">
        <f>OR(COUNTIF(Tabla2[[#This Row],[PROVEEDOR]],"*"&amp;'Palabra no opera'!$A$2&amp;"*"))</f>
        <v>0</v>
      </c>
      <c r="T66" s="150">
        <f>+$W$5-Tabla2[[#This Row],[FECHA DE FACTURACIÓN]]</f>
        <v>31</v>
      </c>
      <c r="U66" t="str">
        <f>+IF(Tabla2[[#This Row],[dias de credito]]&gt;=Tabla2[[#This Row],[PLAZO Días]],"venc", "No venc")</f>
        <v>No venc</v>
      </c>
      <c r="V66" t="str">
        <f>+IF(Tabla2[[#This Row],[FECHA DE PAGO]]&gt;0,"pagada","por pagar")</f>
        <v>pagada</v>
      </c>
      <c r="W66" s="152" t="str">
        <f>+IF(AND(Tabla2[[#This Row],[venc]]="venc",Tabla2[[#This Row],[Columna1]]="por pagar"),"vencida","no")</f>
        <v>no</v>
      </c>
    </row>
    <row r="67" spans="1:23" x14ac:dyDescent="0.3">
      <c r="A67">
        <v>60</v>
      </c>
      <c r="B67">
        <v>0</v>
      </c>
      <c r="D67" t="s">
        <v>631</v>
      </c>
      <c r="E67" s="156">
        <v>44811</v>
      </c>
      <c r="F67" t="s">
        <v>528</v>
      </c>
      <c r="G67" s="156">
        <v>44803</v>
      </c>
      <c r="H67" t="s">
        <v>1672</v>
      </c>
      <c r="I67">
        <v>655693.5</v>
      </c>
      <c r="K67">
        <v>0</v>
      </c>
      <c r="M67">
        <v>0</v>
      </c>
      <c r="N67">
        <v>0</v>
      </c>
      <c r="O67">
        <v>0</v>
      </c>
      <c r="P67" s="117">
        <v>655693.5</v>
      </c>
      <c r="Q67" s="117" t="s">
        <v>1021</v>
      </c>
      <c r="R67" s="150">
        <v>0</v>
      </c>
      <c r="S67" s="117" t="b">
        <f>OR(COUNTIF(Tabla2[[#This Row],[PROVEEDOR]],"*"&amp;'Palabra no opera'!$A$2&amp;"*"))</f>
        <v>0</v>
      </c>
      <c r="T67" s="150">
        <f>+$W$5-Tabla2[[#This Row],[FECHA DE FACTURACIÓN]]</f>
        <v>31</v>
      </c>
      <c r="U67" t="str">
        <f>+IF(Tabla2[[#This Row],[dias de credito]]&gt;=Tabla2[[#This Row],[PLAZO Días]],"venc", "No venc")</f>
        <v>No venc</v>
      </c>
      <c r="V67" t="str">
        <f>+IF(Tabla2[[#This Row],[FECHA DE PAGO]]&gt;0,"pagada","por pagar")</f>
        <v>pagada</v>
      </c>
      <c r="W67" s="152" t="str">
        <f>+IF(AND(Tabla2[[#This Row],[venc]]="venc",Tabla2[[#This Row],[Columna1]]="por pagar"),"vencida","no")</f>
        <v>no</v>
      </c>
    </row>
    <row r="68" spans="1:23" x14ac:dyDescent="0.3">
      <c r="A68">
        <v>45</v>
      </c>
      <c r="B68">
        <v>0</v>
      </c>
      <c r="D68" t="s">
        <v>631</v>
      </c>
      <c r="E68" s="156">
        <v>44811</v>
      </c>
      <c r="F68" t="s">
        <v>530</v>
      </c>
      <c r="G68" s="156">
        <v>44803</v>
      </c>
      <c r="H68" t="s">
        <v>1644</v>
      </c>
      <c r="I68">
        <v>1785805.78</v>
      </c>
      <c r="K68">
        <v>0</v>
      </c>
      <c r="M68">
        <v>0</v>
      </c>
      <c r="N68">
        <v>0</v>
      </c>
      <c r="O68">
        <v>0</v>
      </c>
      <c r="P68" s="117">
        <v>1785805.78</v>
      </c>
      <c r="Q68" s="117" t="s">
        <v>1021</v>
      </c>
      <c r="R68" s="150">
        <v>0</v>
      </c>
      <c r="S68" s="117" t="b">
        <f>OR(COUNTIF(Tabla2[[#This Row],[PROVEEDOR]],"*"&amp;'Palabra no opera'!$A$2&amp;"*"))</f>
        <v>0</v>
      </c>
      <c r="T68" s="150">
        <f>+$W$5-Tabla2[[#This Row],[FECHA DE FACTURACIÓN]]</f>
        <v>31</v>
      </c>
      <c r="U68" t="str">
        <f>+IF(Tabla2[[#This Row],[dias de credito]]&gt;=Tabla2[[#This Row],[PLAZO Días]],"venc", "No venc")</f>
        <v>No venc</v>
      </c>
      <c r="V68" t="str">
        <f>+IF(Tabla2[[#This Row],[FECHA DE PAGO]]&gt;0,"pagada","por pagar")</f>
        <v>pagada</v>
      </c>
      <c r="W68" s="152" t="str">
        <f>+IF(AND(Tabla2[[#This Row],[venc]]="venc",Tabla2[[#This Row],[Columna1]]="por pagar"),"vencida","no")</f>
        <v>no</v>
      </c>
    </row>
    <row r="69" spans="1:23" x14ac:dyDescent="0.3">
      <c r="A69">
        <v>60</v>
      </c>
      <c r="B69">
        <v>0</v>
      </c>
      <c r="D69" t="s">
        <v>631</v>
      </c>
      <c r="E69" s="156">
        <v>44811</v>
      </c>
      <c r="F69" t="s">
        <v>528</v>
      </c>
      <c r="G69" s="156">
        <v>44792</v>
      </c>
      <c r="H69" t="s">
        <v>1629</v>
      </c>
      <c r="I69">
        <v>463892</v>
      </c>
      <c r="K69">
        <v>0</v>
      </c>
      <c r="M69">
        <v>0</v>
      </c>
      <c r="N69">
        <v>0</v>
      </c>
      <c r="O69">
        <v>0</v>
      </c>
      <c r="P69" s="117">
        <v>463892</v>
      </c>
      <c r="Q69" s="117" t="s">
        <v>1021</v>
      </c>
      <c r="R69" s="150">
        <v>0</v>
      </c>
      <c r="S69" s="117" t="b">
        <f>OR(COUNTIF(Tabla2[[#This Row],[PROVEEDOR]],"*"&amp;'Palabra no opera'!$A$2&amp;"*"))</f>
        <v>0</v>
      </c>
      <c r="T69" s="150">
        <f>+$W$5-Tabla2[[#This Row],[FECHA DE FACTURACIÓN]]</f>
        <v>42</v>
      </c>
      <c r="U69" t="str">
        <f>+IF(Tabla2[[#This Row],[dias de credito]]&gt;=Tabla2[[#This Row],[PLAZO Días]],"venc", "No venc")</f>
        <v>No venc</v>
      </c>
      <c r="V69" t="str">
        <f>+IF(Tabla2[[#This Row],[FECHA DE PAGO]]&gt;0,"pagada","por pagar")</f>
        <v>pagada</v>
      </c>
      <c r="W69" s="152" t="str">
        <f>+IF(AND(Tabla2[[#This Row],[venc]]="venc",Tabla2[[#This Row],[Columna1]]="por pagar"),"vencida","no")</f>
        <v>no</v>
      </c>
    </row>
    <row r="70" spans="1:23" x14ac:dyDescent="0.3">
      <c r="A70">
        <v>60</v>
      </c>
      <c r="B70">
        <v>0</v>
      </c>
      <c r="D70" t="s">
        <v>631</v>
      </c>
      <c r="E70" s="156">
        <v>44811</v>
      </c>
      <c r="F70" t="s">
        <v>528</v>
      </c>
      <c r="G70" s="156">
        <v>44792</v>
      </c>
      <c r="H70" t="s">
        <v>1628</v>
      </c>
      <c r="I70">
        <v>946964.15</v>
      </c>
      <c r="K70">
        <v>0</v>
      </c>
      <c r="M70">
        <v>0</v>
      </c>
      <c r="N70">
        <v>0</v>
      </c>
      <c r="O70">
        <v>0</v>
      </c>
      <c r="P70" s="117">
        <v>946964.15</v>
      </c>
      <c r="Q70" s="117" t="s">
        <v>1021</v>
      </c>
      <c r="R70" s="150">
        <v>0</v>
      </c>
      <c r="S70" s="117" t="b">
        <f>OR(COUNTIF(Tabla2[[#This Row],[PROVEEDOR]],"*"&amp;'Palabra no opera'!$A$2&amp;"*"))</f>
        <v>0</v>
      </c>
      <c r="T70" s="150">
        <f>+$W$5-Tabla2[[#This Row],[FECHA DE FACTURACIÓN]]</f>
        <v>42</v>
      </c>
      <c r="U70" t="str">
        <f>+IF(Tabla2[[#This Row],[dias de credito]]&gt;=Tabla2[[#This Row],[PLAZO Días]],"venc", "No venc")</f>
        <v>No venc</v>
      </c>
      <c r="V70" t="str">
        <f>+IF(Tabla2[[#This Row],[FECHA DE PAGO]]&gt;0,"pagada","por pagar")</f>
        <v>pagada</v>
      </c>
      <c r="W70" s="152" t="str">
        <f>+IF(AND(Tabla2[[#This Row],[venc]]="venc",Tabla2[[#This Row],[Columna1]]="por pagar"),"vencida","no")</f>
        <v>no</v>
      </c>
    </row>
    <row r="71" spans="1:23" x14ac:dyDescent="0.3">
      <c r="A71">
        <v>60</v>
      </c>
      <c r="B71">
        <v>0</v>
      </c>
      <c r="D71" t="s">
        <v>631</v>
      </c>
      <c r="E71" s="156">
        <v>44811</v>
      </c>
      <c r="F71" t="s">
        <v>528</v>
      </c>
      <c r="G71" s="156">
        <v>44785</v>
      </c>
      <c r="H71" t="s">
        <v>1627</v>
      </c>
      <c r="I71">
        <v>338998</v>
      </c>
      <c r="K71">
        <v>0</v>
      </c>
      <c r="M71">
        <v>0</v>
      </c>
      <c r="N71">
        <v>0</v>
      </c>
      <c r="O71">
        <v>0</v>
      </c>
      <c r="P71" s="117">
        <v>338998</v>
      </c>
      <c r="Q71" s="117" t="s">
        <v>1021</v>
      </c>
      <c r="R71" s="150">
        <v>0</v>
      </c>
      <c r="S71" s="117" t="b">
        <f>OR(COUNTIF(Tabla2[[#This Row],[PROVEEDOR]],"*"&amp;'Palabra no opera'!$A$2&amp;"*"))</f>
        <v>0</v>
      </c>
      <c r="T71" s="150">
        <f>+$W$5-Tabla2[[#This Row],[FECHA DE FACTURACIÓN]]</f>
        <v>49</v>
      </c>
      <c r="U71" t="str">
        <f>+IF(Tabla2[[#This Row],[dias de credito]]&gt;=Tabla2[[#This Row],[PLAZO Días]],"venc", "No venc")</f>
        <v>No venc</v>
      </c>
      <c r="V71" t="str">
        <f>+IF(Tabla2[[#This Row],[FECHA DE PAGO]]&gt;0,"pagada","por pagar")</f>
        <v>pagada</v>
      </c>
      <c r="W71" s="152" t="str">
        <f>+IF(AND(Tabla2[[#This Row],[venc]]="venc",Tabla2[[#This Row],[Columna1]]="por pagar"),"vencida","no")</f>
        <v>no</v>
      </c>
    </row>
    <row r="72" spans="1:23" x14ac:dyDescent="0.3">
      <c r="A72">
        <v>60</v>
      </c>
      <c r="B72">
        <v>0</v>
      </c>
      <c r="D72" t="s">
        <v>631</v>
      </c>
      <c r="E72" s="156">
        <v>44811</v>
      </c>
      <c r="F72" t="s">
        <v>528</v>
      </c>
      <c r="G72" s="156">
        <v>44785</v>
      </c>
      <c r="H72" t="s">
        <v>1631</v>
      </c>
      <c r="I72">
        <v>356840</v>
      </c>
      <c r="K72">
        <v>0</v>
      </c>
      <c r="M72">
        <v>0</v>
      </c>
      <c r="N72">
        <v>0</v>
      </c>
      <c r="O72">
        <v>0</v>
      </c>
      <c r="P72" s="117">
        <v>356840</v>
      </c>
      <c r="Q72" s="117" t="s">
        <v>1021</v>
      </c>
      <c r="R72" s="150">
        <v>0</v>
      </c>
      <c r="S72" s="117" t="b">
        <f>OR(COUNTIF(Tabla2[[#This Row],[PROVEEDOR]],"*"&amp;'Palabra no opera'!$A$2&amp;"*"))</f>
        <v>0</v>
      </c>
      <c r="T72" s="150">
        <f>+$W$5-Tabla2[[#This Row],[FECHA DE FACTURACIÓN]]</f>
        <v>49</v>
      </c>
      <c r="U72" t="str">
        <f>+IF(Tabla2[[#This Row],[dias de credito]]&gt;=Tabla2[[#This Row],[PLAZO Días]],"venc", "No venc")</f>
        <v>No venc</v>
      </c>
      <c r="V72" t="str">
        <f>+IF(Tabla2[[#This Row],[FECHA DE PAGO]]&gt;0,"pagada","por pagar")</f>
        <v>pagada</v>
      </c>
      <c r="W72" s="152" t="str">
        <f>+IF(AND(Tabla2[[#This Row],[venc]]="venc",Tabla2[[#This Row],[Columna1]]="por pagar"),"vencida","no")</f>
        <v>no</v>
      </c>
    </row>
    <row r="73" spans="1:23" x14ac:dyDescent="0.3">
      <c r="A73">
        <v>60</v>
      </c>
      <c r="B73">
        <v>0</v>
      </c>
      <c r="D73" t="s">
        <v>631</v>
      </c>
      <c r="E73" s="156">
        <v>44811</v>
      </c>
      <c r="F73" t="s">
        <v>528</v>
      </c>
      <c r="G73" s="156">
        <v>44757</v>
      </c>
      <c r="H73" t="s">
        <v>1618</v>
      </c>
      <c r="I73">
        <v>428208</v>
      </c>
      <c r="K73">
        <v>0</v>
      </c>
      <c r="M73">
        <v>0</v>
      </c>
      <c r="N73">
        <v>0</v>
      </c>
      <c r="O73">
        <v>0</v>
      </c>
      <c r="P73" s="117">
        <v>428208</v>
      </c>
      <c r="Q73" s="117" t="s">
        <v>1021</v>
      </c>
      <c r="R73" s="150">
        <v>0</v>
      </c>
      <c r="S73" s="117" t="b">
        <f>OR(COUNTIF(Tabla2[[#This Row],[PROVEEDOR]],"*"&amp;'Palabra no opera'!$A$2&amp;"*"))</f>
        <v>0</v>
      </c>
      <c r="T73" s="150">
        <f>+$W$5-Tabla2[[#This Row],[FECHA DE FACTURACIÓN]]</f>
        <v>77</v>
      </c>
      <c r="U73" t="str">
        <f>+IF(Tabla2[[#This Row],[dias de credito]]&gt;=Tabla2[[#This Row],[PLAZO Días]],"venc", "No venc")</f>
        <v>venc</v>
      </c>
      <c r="V73" t="str">
        <f>+IF(Tabla2[[#This Row],[FECHA DE PAGO]]&gt;0,"pagada","por pagar")</f>
        <v>pagada</v>
      </c>
      <c r="W73" s="152" t="str">
        <f>+IF(AND(Tabla2[[#This Row],[venc]]="venc",Tabla2[[#This Row],[Columna1]]="por pagar"),"vencida","no")</f>
        <v>no</v>
      </c>
    </row>
    <row r="74" spans="1:23" x14ac:dyDescent="0.3">
      <c r="A74">
        <v>60</v>
      </c>
      <c r="B74">
        <v>0</v>
      </c>
      <c r="D74" t="s">
        <v>631</v>
      </c>
      <c r="E74" s="156">
        <v>44811</v>
      </c>
      <c r="F74" t="s">
        <v>528</v>
      </c>
      <c r="G74" s="156">
        <v>44757</v>
      </c>
      <c r="H74" t="s">
        <v>1624</v>
      </c>
      <c r="I74">
        <v>321156</v>
      </c>
      <c r="K74">
        <v>0</v>
      </c>
      <c r="M74">
        <v>0</v>
      </c>
      <c r="N74">
        <v>0</v>
      </c>
      <c r="O74">
        <v>0</v>
      </c>
      <c r="P74" s="117">
        <v>321156</v>
      </c>
      <c r="Q74" s="117" t="s">
        <v>1021</v>
      </c>
      <c r="R74" s="150">
        <v>0</v>
      </c>
      <c r="S74" s="117" t="b">
        <f>OR(COUNTIF(Tabla2[[#This Row],[PROVEEDOR]],"*"&amp;'Palabra no opera'!$A$2&amp;"*"))</f>
        <v>0</v>
      </c>
      <c r="T74" s="150">
        <f>+$W$5-Tabla2[[#This Row],[FECHA DE FACTURACIÓN]]</f>
        <v>77</v>
      </c>
      <c r="U74" t="str">
        <f>+IF(Tabla2[[#This Row],[dias de credito]]&gt;=Tabla2[[#This Row],[PLAZO Días]],"venc", "No venc")</f>
        <v>venc</v>
      </c>
      <c r="V74" t="str">
        <f>+IF(Tabla2[[#This Row],[FECHA DE PAGO]]&gt;0,"pagada","por pagar")</f>
        <v>pagada</v>
      </c>
      <c r="W74" s="152" t="str">
        <f>+IF(AND(Tabla2[[#This Row],[venc]]="venc",Tabla2[[#This Row],[Columna1]]="por pagar"),"vencida","no")</f>
        <v>no</v>
      </c>
    </row>
    <row r="75" spans="1:23" x14ac:dyDescent="0.3">
      <c r="A75">
        <v>45</v>
      </c>
      <c r="B75">
        <v>30078253.170000002</v>
      </c>
      <c r="D75" t="s">
        <v>884</v>
      </c>
      <c r="E75" s="156">
        <v>44810</v>
      </c>
      <c r="F75" t="s">
        <v>19</v>
      </c>
      <c r="G75" s="156">
        <v>44757</v>
      </c>
      <c r="H75" t="s">
        <v>1147</v>
      </c>
      <c r="I75">
        <v>10739200</v>
      </c>
      <c r="K75">
        <v>2040448</v>
      </c>
      <c r="M75">
        <v>0</v>
      </c>
      <c r="N75">
        <v>0</v>
      </c>
      <c r="O75">
        <v>0</v>
      </c>
      <c r="P75" s="117">
        <v>12779648</v>
      </c>
      <c r="Q75" s="117" t="s">
        <v>1021</v>
      </c>
      <c r="R75" s="150">
        <v>0</v>
      </c>
      <c r="S75" s="117" t="b">
        <f>OR(COUNTIF(Tabla2[[#This Row],[PROVEEDOR]],"*"&amp;'Palabra no opera'!$A$2&amp;"*"))</f>
        <v>0</v>
      </c>
      <c r="T75" s="150">
        <f>+$W$5-Tabla2[[#This Row],[FECHA DE FACTURACIÓN]]</f>
        <v>77</v>
      </c>
      <c r="U75" t="str">
        <f>+IF(Tabla2[[#This Row],[dias de credito]]&gt;=Tabla2[[#This Row],[PLAZO Días]],"venc", "No venc")</f>
        <v>venc</v>
      </c>
      <c r="V75" t="str">
        <f>+IF(Tabla2[[#This Row],[FECHA DE PAGO]]&gt;0,"pagada","por pagar")</f>
        <v>pagada</v>
      </c>
      <c r="W75" s="152" t="str">
        <f>+IF(AND(Tabla2[[#This Row],[venc]]="venc",Tabla2[[#This Row],[Columna1]]="por pagar"),"vencida","no")</f>
        <v>no</v>
      </c>
    </row>
    <row r="76" spans="1:23" x14ac:dyDescent="0.3">
      <c r="A76">
        <v>10</v>
      </c>
      <c r="B76">
        <v>0</v>
      </c>
      <c r="D76" t="s">
        <v>1642</v>
      </c>
      <c r="E76" s="156">
        <v>44809</v>
      </c>
      <c r="F76" t="s">
        <v>1641</v>
      </c>
      <c r="G76" s="156">
        <v>44805</v>
      </c>
      <c r="H76" t="s">
        <v>1643</v>
      </c>
      <c r="I76">
        <v>10543092</v>
      </c>
      <c r="K76">
        <v>0</v>
      </c>
      <c r="M76">
        <v>0</v>
      </c>
      <c r="N76">
        <v>0</v>
      </c>
      <c r="O76">
        <v>0</v>
      </c>
      <c r="P76" s="117">
        <v>10543092</v>
      </c>
      <c r="Q76" s="117" t="s">
        <v>1021</v>
      </c>
      <c r="R76" s="150">
        <v>0</v>
      </c>
      <c r="S76" s="117" t="b">
        <f>OR(COUNTIF(Tabla2[[#This Row],[PROVEEDOR]],"*"&amp;'Palabra no opera'!$A$2&amp;"*"))</f>
        <v>0</v>
      </c>
      <c r="T76" s="150">
        <f>+$W$5-Tabla2[[#This Row],[FECHA DE FACTURACIÓN]]</f>
        <v>29</v>
      </c>
      <c r="U76" t="str">
        <f>+IF(Tabla2[[#This Row],[dias de credito]]&gt;=Tabla2[[#This Row],[PLAZO Días]],"venc", "No venc")</f>
        <v>venc</v>
      </c>
      <c r="V76" t="str">
        <f>+IF(Tabla2[[#This Row],[FECHA DE PAGO]]&gt;0,"pagada","por pagar")</f>
        <v>pagada</v>
      </c>
      <c r="W76" s="152" t="str">
        <f>+IF(AND(Tabla2[[#This Row],[venc]]="venc",Tabla2[[#This Row],[Columna1]]="por pagar"),"vencida","no")</f>
        <v>no</v>
      </c>
    </row>
    <row r="77" spans="1:23" x14ac:dyDescent="0.3">
      <c r="A77">
        <v>30</v>
      </c>
      <c r="B77">
        <v>1580500</v>
      </c>
      <c r="D77" t="s">
        <v>139</v>
      </c>
      <c r="E77" s="156">
        <v>44809</v>
      </c>
      <c r="F77" t="s">
        <v>686</v>
      </c>
      <c r="G77" s="156">
        <v>44782</v>
      </c>
      <c r="H77" t="s">
        <v>1422</v>
      </c>
      <c r="I77">
        <v>696250</v>
      </c>
      <c r="K77">
        <v>0</v>
      </c>
      <c r="M77">
        <v>0</v>
      </c>
      <c r="N77">
        <v>0</v>
      </c>
      <c r="O77">
        <v>0</v>
      </c>
      <c r="P77" s="117">
        <v>696250</v>
      </c>
      <c r="Q77" s="117" t="s">
        <v>1021</v>
      </c>
      <c r="R77" s="150">
        <v>0</v>
      </c>
      <c r="S77" s="117" t="b">
        <f>OR(COUNTIF(Tabla2[[#This Row],[PROVEEDOR]],"*"&amp;'Palabra no opera'!$A$2&amp;"*"))</f>
        <v>0</v>
      </c>
      <c r="T77" s="150">
        <f>+$W$5-Tabla2[[#This Row],[FECHA DE FACTURACIÓN]]</f>
        <v>52</v>
      </c>
      <c r="U77" t="str">
        <f>+IF(Tabla2[[#This Row],[dias de credito]]&gt;=Tabla2[[#This Row],[PLAZO Días]],"venc", "No venc")</f>
        <v>venc</v>
      </c>
      <c r="V77" t="str">
        <f>+IF(Tabla2[[#This Row],[FECHA DE PAGO]]&gt;0,"pagada","por pagar")</f>
        <v>pagada</v>
      </c>
      <c r="W77" s="152" t="str">
        <f>+IF(AND(Tabla2[[#This Row],[venc]]="venc",Tabla2[[#This Row],[Columna1]]="por pagar"),"vencida","no")</f>
        <v>no</v>
      </c>
    </row>
    <row r="78" spans="1:23" x14ac:dyDescent="0.3">
      <c r="A78">
        <v>30</v>
      </c>
      <c r="B78">
        <v>0</v>
      </c>
      <c r="D78">
        <v>0</v>
      </c>
      <c r="E78" s="156">
        <v>44809</v>
      </c>
      <c r="F78" t="s">
        <v>932</v>
      </c>
      <c r="G78" s="156">
        <v>44774</v>
      </c>
      <c r="H78" t="s">
        <v>1397</v>
      </c>
      <c r="I78">
        <v>100196</v>
      </c>
      <c r="K78">
        <v>0</v>
      </c>
      <c r="M78">
        <v>0</v>
      </c>
      <c r="N78">
        <v>0</v>
      </c>
      <c r="O78">
        <v>0</v>
      </c>
      <c r="P78" s="117">
        <v>100196</v>
      </c>
      <c r="Q78" s="117" t="s">
        <v>1021</v>
      </c>
      <c r="R78" s="150">
        <v>0</v>
      </c>
      <c r="S78" s="117" t="b">
        <f>OR(COUNTIF(Tabla2[[#This Row],[PROVEEDOR]],"*"&amp;'Palabra no opera'!$A$2&amp;"*"))</f>
        <v>1</v>
      </c>
      <c r="T78" s="150">
        <f>+$W$5-Tabla2[[#This Row],[FECHA DE FACTURACIÓN]]</f>
        <v>60</v>
      </c>
      <c r="U78" t="str">
        <f>+IF(Tabla2[[#This Row],[dias de credito]]&gt;=Tabla2[[#This Row],[PLAZO Días]],"venc", "No venc")</f>
        <v>venc</v>
      </c>
      <c r="V78" t="str">
        <f>+IF(Tabla2[[#This Row],[FECHA DE PAGO]]&gt;0,"pagada","por pagar")</f>
        <v>pagada</v>
      </c>
      <c r="W78" s="152" t="str">
        <f>+IF(AND(Tabla2[[#This Row],[venc]]="venc",Tabla2[[#This Row],[Columna1]]="por pagar"),"vencida","no")</f>
        <v>no</v>
      </c>
    </row>
    <row r="79" spans="1:23" x14ac:dyDescent="0.3">
      <c r="A79">
        <v>30</v>
      </c>
      <c r="B79">
        <v>0</v>
      </c>
      <c r="D79" t="s">
        <v>139</v>
      </c>
      <c r="E79" s="156">
        <v>44806</v>
      </c>
      <c r="F79" t="s">
        <v>53</v>
      </c>
      <c r="G79" s="156">
        <v>44805</v>
      </c>
      <c r="H79">
        <v>293703</v>
      </c>
      <c r="I79">
        <v>2055000</v>
      </c>
      <c r="K79">
        <v>0</v>
      </c>
      <c r="M79">
        <v>0</v>
      </c>
      <c r="N79">
        <v>0</v>
      </c>
      <c r="O79">
        <v>0</v>
      </c>
      <c r="P79" s="117">
        <v>2055000</v>
      </c>
      <c r="Q79" s="117" t="s">
        <v>1021</v>
      </c>
      <c r="R79" s="150">
        <v>0</v>
      </c>
      <c r="S79" s="117" t="b">
        <f>OR(COUNTIF(Tabla2[[#This Row],[PROVEEDOR]],"*"&amp;'Palabra no opera'!$A$2&amp;"*"))</f>
        <v>0</v>
      </c>
      <c r="T79" s="150">
        <f>+$W$5-Tabla2[[#This Row],[FECHA DE FACTURACIÓN]]</f>
        <v>29</v>
      </c>
      <c r="U79" t="str">
        <f>+IF(Tabla2[[#This Row],[dias de credito]]&gt;=Tabla2[[#This Row],[PLAZO Días]],"venc", "No venc")</f>
        <v>No venc</v>
      </c>
      <c r="V79" t="str">
        <f>+IF(Tabla2[[#This Row],[FECHA DE PAGO]]&gt;0,"pagada","por pagar")</f>
        <v>pagada</v>
      </c>
      <c r="W79" s="152" t="str">
        <f>+IF(AND(Tabla2[[#This Row],[venc]]="venc",Tabla2[[#This Row],[Columna1]]="por pagar"),"vencida","no")</f>
        <v>no</v>
      </c>
    </row>
    <row r="80" spans="1:23" x14ac:dyDescent="0.3">
      <c r="A80">
        <v>30</v>
      </c>
      <c r="B80">
        <v>0</v>
      </c>
      <c r="D80" t="s">
        <v>139</v>
      </c>
      <c r="E80" s="156">
        <v>44806</v>
      </c>
      <c r="F80" t="s">
        <v>53</v>
      </c>
      <c r="G80" s="156">
        <v>44805</v>
      </c>
      <c r="H80">
        <v>293703</v>
      </c>
      <c r="I80">
        <v>1458000</v>
      </c>
      <c r="K80">
        <v>0</v>
      </c>
      <c r="M80">
        <v>0</v>
      </c>
      <c r="N80">
        <v>0</v>
      </c>
      <c r="O80">
        <v>0</v>
      </c>
      <c r="P80" s="117">
        <v>1458000</v>
      </c>
      <c r="Q80" s="117" t="s">
        <v>1021</v>
      </c>
      <c r="R80" s="150">
        <v>0</v>
      </c>
      <c r="S80" s="117" t="b">
        <f>OR(COUNTIF(Tabla2[[#This Row],[PROVEEDOR]],"*"&amp;'Palabra no opera'!$A$2&amp;"*"))</f>
        <v>0</v>
      </c>
      <c r="T80" s="150">
        <f>+$W$5-Tabla2[[#This Row],[FECHA DE FACTURACIÓN]]</f>
        <v>29</v>
      </c>
      <c r="U80" t="str">
        <f>+IF(Tabla2[[#This Row],[dias de credito]]&gt;=Tabla2[[#This Row],[PLAZO Días]],"venc", "No venc")</f>
        <v>No venc</v>
      </c>
      <c r="V80" t="str">
        <f>+IF(Tabla2[[#This Row],[FECHA DE PAGO]]&gt;0,"pagada","por pagar")</f>
        <v>pagada</v>
      </c>
      <c r="W80" s="152" t="str">
        <f>+IF(AND(Tabla2[[#This Row],[venc]]="venc",Tabla2[[#This Row],[Columna1]]="por pagar"),"vencida","no")</f>
        <v>no</v>
      </c>
    </row>
    <row r="81" spans="1:23" x14ac:dyDescent="0.3">
      <c r="A81">
        <v>30</v>
      </c>
      <c r="B81">
        <v>0</v>
      </c>
      <c r="D81" t="s">
        <v>139</v>
      </c>
      <c r="E81" s="156">
        <v>44806</v>
      </c>
      <c r="F81" t="s">
        <v>644</v>
      </c>
      <c r="G81" s="156">
        <v>44805</v>
      </c>
      <c r="H81" t="s">
        <v>1700</v>
      </c>
      <c r="I81">
        <v>250000</v>
      </c>
      <c r="K81">
        <v>0</v>
      </c>
      <c r="M81">
        <v>0</v>
      </c>
      <c r="N81">
        <v>0</v>
      </c>
      <c r="O81">
        <v>0</v>
      </c>
      <c r="P81" s="117">
        <v>250000</v>
      </c>
      <c r="Q81" s="117" t="s">
        <v>1021</v>
      </c>
      <c r="R81" s="150">
        <v>0</v>
      </c>
      <c r="S81" s="117" t="b">
        <f>OR(COUNTIF(Tabla2[[#This Row],[PROVEEDOR]],"*"&amp;'Palabra no opera'!$A$2&amp;"*"))</f>
        <v>0</v>
      </c>
      <c r="T81" s="150">
        <f>+$W$5-Tabla2[[#This Row],[FECHA DE FACTURACIÓN]]</f>
        <v>29</v>
      </c>
      <c r="U81" t="str">
        <f>+IF(Tabla2[[#This Row],[dias de credito]]&gt;=Tabla2[[#This Row],[PLAZO Días]],"venc", "No venc")</f>
        <v>No venc</v>
      </c>
      <c r="V81" t="str">
        <f>+IF(Tabla2[[#This Row],[FECHA DE PAGO]]&gt;0,"pagada","por pagar")</f>
        <v>pagada</v>
      </c>
      <c r="W81" s="152" t="str">
        <f>+IF(AND(Tabla2[[#This Row],[venc]]="venc",Tabla2[[#This Row],[Columna1]]="por pagar"),"vencida","no")</f>
        <v>no</v>
      </c>
    </row>
    <row r="82" spans="1:23" x14ac:dyDescent="0.3">
      <c r="A82">
        <v>30</v>
      </c>
      <c r="B82">
        <v>0</v>
      </c>
      <c r="D82" t="s">
        <v>1024</v>
      </c>
      <c r="E82" s="156">
        <v>44806</v>
      </c>
      <c r="F82" t="s">
        <v>32</v>
      </c>
      <c r="G82" s="156">
        <v>44786</v>
      </c>
      <c r="H82" t="s">
        <v>1414</v>
      </c>
      <c r="I82">
        <v>209243.7</v>
      </c>
      <c r="K82">
        <v>39756.303</v>
      </c>
      <c r="M82">
        <v>0</v>
      </c>
      <c r="N82">
        <v>0</v>
      </c>
      <c r="O82">
        <v>0</v>
      </c>
      <c r="P82" s="117">
        <v>249000.00300000003</v>
      </c>
      <c r="Q82" s="117" t="s">
        <v>1021</v>
      </c>
      <c r="R82" s="150">
        <v>0</v>
      </c>
      <c r="S82" s="117" t="b">
        <f>OR(COUNTIF(Tabla2[[#This Row],[PROVEEDOR]],"*"&amp;'Palabra no opera'!$A$2&amp;"*"))</f>
        <v>0</v>
      </c>
      <c r="T82" s="150">
        <f>+$W$5-Tabla2[[#This Row],[FECHA DE FACTURACIÓN]]</f>
        <v>48</v>
      </c>
      <c r="U82" t="str">
        <f>+IF(Tabla2[[#This Row],[dias de credito]]&gt;=Tabla2[[#This Row],[PLAZO Días]],"venc", "No venc")</f>
        <v>venc</v>
      </c>
      <c r="V82" t="str">
        <f>+IF(Tabla2[[#This Row],[FECHA DE PAGO]]&gt;0,"pagada","por pagar")</f>
        <v>pagada</v>
      </c>
      <c r="W82" s="152" t="str">
        <f>+IF(AND(Tabla2[[#This Row],[venc]]="venc",Tabla2[[#This Row],[Columna1]]="por pagar"),"vencida","no")</f>
        <v>no</v>
      </c>
    </row>
    <row r="83" spans="1:23" x14ac:dyDescent="0.3">
      <c r="A83">
        <v>30</v>
      </c>
      <c r="B83">
        <v>6259125.5999999996</v>
      </c>
      <c r="D83" t="s">
        <v>264</v>
      </c>
      <c r="E83" s="156">
        <v>44806</v>
      </c>
      <c r="F83" t="s">
        <v>1448</v>
      </c>
      <c r="G83" s="156">
        <v>44770</v>
      </c>
      <c r="H83">
        <v>33833</v>
      </c>
      <c r="I83">
        <v>4800000</v>
      </c>
      <c r="K83">
        <v>912000</v>
      </c>
      <c r="M83">
        <v>0</v>
      </c>
      <c r="N83">
        <v>2.5000000000000001E-2</v>
      </c>
      <c r="O83">
        <v>120000</v>
      </c>
      <c r="P83" s="117">
        <v>5592000</v>
      </c>
      <c r="Q83" s="117" t="s">
        <v>1021</v>
      </c>
      <c r="R83" s="150">
        <v>0</v>
      </c>
      <c r="S83" s="117" t="b">
        <f>OR(COUNTIF(Tabla2[[#This Row],[PROVEEDOR]],"*"&amp;'Palabra no opera'!$A$2&amp;"*"))</f>
        <v>0</v>
      </c>
      <c r="T83" s="150">
        <f>+$W$5-Tabla2[[#This Row],[FECHA DE FACTURACIÓN]]</f>
        <v>64</v>
      </c>
      <c r="U83" t="str">
        <f>+IF(Tabla2[[#This Row],[dias de credito]]&gt;=Tabla2[[#This Row],[PLAZO Días]],"venc", "No venc")</f>
        <v>venc</v>
      </c>
      <c r="V83" t="str">
        <f>+IF(Tabla2[[#This Row],[FECHA DE PAGO]]&gt;0,"pagada","por pagar")</f>
        <v>pagada</v>
      </c>
      <c r="W83" s="152" t="str">
        <f>+IF(AND(Tabla2[[#This Row],[venc]]="venc",Tabla2[[#This Row],[Columna1]]="por pagar"),"vencida","no")</f>
        <v>no</v>
      </c>
    </row>
    <row r="84" spans="1:23" x14ac:dyDescent="0.3">
      <c r="A84">
        <v>30</v>
      </c>
      <c r="B84">
        <v>6259125.5999999996</v>
      </c>
      <c r="D84" t="s">
        <v>264</v>
      </c>
      <c r="E84" s="156">
        <v>44806</v>
      </c>
      <c r="F84" t="s">
        <v>1448</v>
      </c>
      <c r="G84" s="156">
        <v>44765</v>
      </c>
      <c r="H84">
        <v>33651</v>
      </c>
      <c r="I84">
        <v>1227600</v>
      </c>
      <c r="K84">
        <v>233244</v>
      </c>
      <c r="M84">
        <v>0</v>
      </c>
      <c r="N84">
        <v>2.5000000000000001E-2</v>
      </c>
      <c r="O84">
        <v>30690</v>
      </c>
      <c r="P84" s="117">
        <v>1430154</v>
      </c>
      <c r="Q84" s="117" t="s">
        <v>1021</v>
      </c>
      <c r="R84" s="150">
        <v>0</v>
      </c>
      <c r="S84" s="117" t="b">
        <f>OR(COUNTIF(Tabla2[[#This Row],[PROVEEDOR]],"*"&amp;'Palabra no opera'!$A$2&amp;"*"))</f>
        <v>0</v>
      </c>
      <c r="T84" s="150">
        <f>+$W$5-Tabla2[[#This Row],[FECHA DE FACTURACIÓN]]</f>
        <v>69</v>
      </c>
      <c r="U84" t="str">
        <f>+IF(Tabla2[[#This Row],[dias de credito]]&gt;=Tabla2[[#This Row],[PLAZO Días]],"venc", "No venc")</f>
        <v>venc</v>
      </c>
      <c r="V84" t="str">
        <f>+IF(Tabla2[[#This Row],[FECHA DE PAGO]]&gt;0,"pagada","por pagar")</f>
        <v>pagada</v>
      </c>
      <c r="W84" s="152" t="str">
        <f>+IF(AND(Tabla2[[#This Row],[venc]]="venc",Tabla2[[#This Row],[Columna1]]="por pagar"),"vencida","no")</f>
        <v>no</v>
      </c>
    </row>
    <row r="85" spans="1:23" x14ac:dyDescent="0.3">
      <c r="A85">
        <v>30</v>
      </c>
      <c r="B85">
        <v>8457900</v>
      </c>
      <c r="D85" t="s">
        <v>1027</v>
      </c>
      <c r="E85" s="156">
        <v>44806</v>
      </c>
      <c r="F85" t="s">
        <v>11</v>
      </c>
      <c r="G85" s="156">
        <v>44760</v>
      </c>
      <c r="H85" t="s">
        <v>1143</v>
      </c>
      <c r="I85">
        <v>3960000</v>
      </c>
      <c r="K85">
        <v>752400</v>
      </c>
      <c r="M85">
        <v>0</v>
      </c>
      <c r="N85">
        <v>2.5000000000000001E-2</v>
      </c>
      <c r="O85">
        <v>99000</v>
      </c>
      <c r="P85" s="117">
        <v>4613400</v>
      </c>
      <c r="Q85" s="117" t="s">
        <v>1021</v>
      </c>
      <c r="R85" s="150">
        <v>0</v>
      </c>
      <c r="S85" s="117" t="b">
        <f>OR(COUNTIF(Tabla2[[#This Row],[PROVEEDOR]],"*"&amp;'Palabra no opera'!$A$2&amp;"*"))</f>
        <v>0</v>
      </c>
      <c r="T85" s="150">
        <f>+$W$5-Tabla2[[#This Row],[FECHA DE FACTURACIÓN]]</f>
        <v>74</v>
      </c>
      <c r="U85" t="str">
        <f>+IF(Tabla2[[#This Row],[dias de credito]]&gt;=Tabla2[[#This Row],[PLAZO Días]],"venc", "No venc")</f>
        <v>venc</v>
      </c>
      <c r="V85" t="str">
        <f>+IF(Tabla2[[#This Row],[FECHA DE PAGO]]&gt;0,"pagada","por pagar")</f>
        <v>pagada</v>
      </c>
      <c r="W85" s="152" t="str">
        <f>+IF(AND(Tabla2[[#This Row],[venc]]="venc",Tabla2[[#This Row],[Columna1]]="por pagar"),"vencida","no")</f>
        <v>no</v>
      </c>
    </row>
    <row r="86" spans="1:23" x14ac:dyDescent="0.3">
      <c r="A86">
        <v>45</v>
      </c>
      <c r="B86">
        <v>7497238</v>
      </c>
      <c r="D86" t="s">
        <v>272</v>
      </c>
      <c r="E86" s="156">
        <v>44806</v>
      </c>
      <c r="F86" t="s">
        <v>10</v>
      </c>
      <c r="G86" s="156">
        <v>44755</v>
      </c>
      <c r="H86" t="s">
        <v>1123</v>
      </c>
      <c r="I86">
        <v>1980000</v>
      </c>
      <c r="K86">
        <v>376200</v>
      </c>
      <c r="M86">
        <v>0</v>
      </c>
      <c r="N86">
        <v>0</v>
      </c>
      <c r="O86">
        <v>0</v>
      </c>
      <c r="P86" s="117">
        <v>2356200</v>
      </c>
      <c r="Q86" s="117" t="s">
        <v>1021</v>
      </c>
      <c r="R86" s="150">
        <v>0</v>
      </c>
      <c r="S86" s="117" t="b">
        <f>OR(COUNTIF(Tabla2[[#This Row],[PROVEEDOR]],"*"&amp;'Palabra no opera'!$A$2&amp;"*"))</f>
        <v>0</v>
      </c>
      <c r="T86" s="150">
        <f>+$W$5-Tabla2[[#This Row],[FECHA DE FACTURACIÓN]]</f>
        <v>79</v>
      </c>
      <c r="U86" t="str">
        <f>+IF(Tabla2[[#This Row],[dias de credito]]&gt;=Tabla2[[#This Row],[PLAZO Días]],"venc", "No venc")</f>
        <v>venc</v>
      </c>
      <c r="V86" t="str">
        <f>+IF(Tabla2[[#This Row],[FECHA DE PAGO]]&gt;0,"pagada","por pagar")</f>
        <v>pagada</v>
      </c>
      <c r="W86" s="152" t="str">
        <f>+IF(AND(Tabla2[[#This Row],[venc]]="venc",Tabla2[[#This Row],[Columna1]]="por pagar"),"vencida","no")</f>
        <v>no</v>
      </c>
    </row>
    <row r="87" spans="1:23" x14ac:dyDescent="0.3">
      <c r="A87">
        <v>30</v>
      </c>
      <c r="B87">
        <v>8190204</v>
      </c>
      <c r="D87" t="s">
        <v>263</v>
      </c>
      <c r="E87" s="156">
        <v>44806</v>
      </c>
      <c r="F87" t="s">
        <v>1637</v>
      </c>
      <c r="G87" s="156">
        <v>44751</v>
      </c>
      <c r="H87">
        <v>26516</v>
      </c>
      <c r="I87">
        <v>5185620</v>
      </c>
      <c r="J87">
        <v>471420</v>
      </c>
      <c r="K87">
        <v>895698</v>
      </c>
      <c r="M87">
        <v>0</v>
      </c>
      <c r="N87">
        <v>2.5000000000000001E-2</v>
      </c>
      <c r="O87">
        <v>117855</v>
      </c>
      <c r="P87" s="117">
        <v>5492043</v>
      </c>
      <c r="Q87" s="117" t="s">
        <v>1021</v>
      </c>
      <c r="R87" s="150">
        <v>0</v>
      </c>
      <c r="S87" s="117" t="b">
        <f>OR(COUNTIF(Tabla2[[#This Row],[PROVEEDOR]],"*"&amp;'Palabra no opera'!$A$2&amp;"*"))</f>
        <v>0</v>
      </c>
      <c r="T87" s="150">
        <f>+$W$5-Tabla2[[#This Row],[FECHA DE FACTURACIÓN]]</f>
        <v>83</v>
      </c>
      <c r="U87" t="str">
        <f>+IF(Tabla2[[#This Row],[dias de credito]]&gt;=Tabla2[[#This Row],[PLAZO Días]],"venc", "No venc")</f>
        <v>venc</v>
      </c>
      <c r="V87" t="str">
        <f>+IF(Tabla2[[#This Row],[FECHA DE PAGO]]&gt;0,"pagada","por pagar")</f>
        <v>pagada</v>
      </c>
      <c r="W87" s="152" t="str">
        <f>+IF(AND(Tabla2[[#This Row],[venc]]="venc",Tabla2[[#This Row],[Columna1]]="por pagar"),"vencida","no")</f>
        <v>no</v>
      </c>
    </row>
    <row r="88" spans="1:23" x14ac:dyDescent="0.3">
      <c r="A88">
        <v>30</v>
      </c>
      <c r="B88">
        <v>0</v>
      </c>
      <c r="D88" t="s">
        <v>547</v>
      </c>
      <c r="E88" s="156">
        <v>44806</v>
      </c>
      <c r="F88" t="s">
        <v>510</v>
      </c>
      <c r="G88" s="156">
        <v>44748</v>
      </c>
      <c r="H88" t="s">
        <v>1124</v>
      </c>
      <c r="I88">
        <v>2616000</v>
      </c>
      <c r="K88">
        <v>130800</v>
      </c>
      <c r="M88">
        <v>0</v>
      </c>
      <c r="N88">
        <v>0</v>
      </c>
      <c r="O88">
        <v>0</v>
      </c>
      <c r="P88" s="117">
        <v>2746800</v>
      </c>
      <c r="Q88" s="117" t="s">
        <v>1021</v>
      </c>
      <c r="R88" s="150">
        <v>0</v>
      </c>
      <c r="S88" s="117" t="b">
        <f>OR(COUNTIF(Tabla2[[#This Row],[PROVEEDOR]],"*"&amp;'Palabra no opera'!$A$2&amp;"*"))</f>
        <v>0</v>
      </c>
      <c r="T88" s="150">
        <f>+$W$5-Tabla2[[#This Row],[FECHA DE FACTURACIÓN]]</f>
        <v>86</v>
      </c>
      <c r="U88" t="str">
        <f>+IF(Tabla2[[#This Row],[dias de credito]]&gt;=Tabla2[[#This Row],[PLAZO Días]],"venc", "No venc")</f>
        <v>venc</v>
      </c>
      <c r="V88" t="str">
        <f>+IF(Tabla2[[#This Row],[FECHA DE PAGO]]&gt;0,"pagada","por pagar")</f>
        <v>pagada</v>
      </c>
      <c r="W88" s="152" t="str">
        <f>+IF(AND(Tabla2[[#This Row],[venc]]="venc",Tabla2[[#This Row],[Columna1]]="por pagar"),"vencida","no")</f>
        <v>no</v>
      </c>
    </row>
    <row r="89" spans="1:23" x14ac:dyDescent="0.3">
      <c r="A89">
        <v>45</v>
      </c>
      <c r="B89">
        <v>7497238</v>
      </c>
      <c r="D89" t="s">
        <v>272</v>
      </c>
      <c r="E89" s="156">
        <v>44806</v>
      </c>
      <c r="F89" t="s">
        <v>10</v>
      </c>
      <c r="G89" s="156">
        <v>44741</v>
      </c>
      <c r="H89" t="s">
        <v>1090</v>
      </c>
      <c r="I89">
        <v>85714.2</v>
      </c>
      <c r="K89">
        <v>16285.698</v>
      </c>
      <c r="M89">
        <v>0</v>
      </c>
      <c r="N89">
        <v>0</v>
      </c>
      <c r="O89">
        <v>0</v>
      </c>
      <c r="P89" s="117">
        <v>101999.898</v>
      </c>
      <c r="Q89" s="117" t="s">
        <v>1021</v>
      </c>
      <c r="R89" s="150">
        <v>0</v>
      </c>
      <c r="S89" s="117" t="b">
        <f>OR(COUNTIF(Tabla2[[#This Row],[PROVEEDOR]],"*"&amp;'Palabra no opera'!$A$2&amp;"*"))</f>
        <v>0</v>
      </c>
      <c r="T89" s="150">
        <f>+$W$5-Tabla2[[#This Row],[FECHA DE FACTURACIÓN]]</f>
        <v>93</v>
      </c>
      <c r="U89" t="str">
        <f>+IF(Tabla2[[#This Row],[dias de credito]]&gt;=Tabla2[[#This Row],[PLAZO Días]],"venc", "No venc")</f>
        <v>venc</v>
      </c>
      <c r="V89" t="str">
        <f>+IF(Tabla2[[#This Row],[FECHA DE PAGO]]&gt;0,"pagada","por pagar")</f>
        <v>pagada</v>
      </c>
      <c r="W89" s="152" t="str">
        <f>+IF(AND(Tabla2[[#This Row],[venc]]="venc",Tabla2[[#This Row],[Columna1]]="por pagar"),"vencida","no")</f>
        <v>no</v>
      </c>
    </row>
    <row r="90" spans="1:23" x14ac:dyDescent="0.3">
      <c r="A90">
        <v>45</v>
      </c>
      <c r="B90">
        <v>7497238</v>
      </c>
      <c r="D90" t="s">
        <v>272</v>
      </c>
      <c r="E90" s="156">
        <v>44806</v>
      </c>
      <c r="F90" t="s">
        <v>10</v>
      </c>
      <c r="G90" s="156">
        <v>44740</v>
      </c>
      <c r="H90" t="s">
        <v>1094</v>
      </c>
      <c r="I90">
        <v>1615000</v>
      </c>
      <c r="K90">
        <v>306850</v>
      </c>
      <c r="M90">
        <v>0</v>
      </c>
      <c r="N90">
        <v>0</v>
      </c>
      <c r="O90">
        <v>0</v>
      </c>
      <c r="P90" s="117">
        <v>1921850</v>
      </c>
      <c r="Q90" s="117" t="s">
        <v>1021</v>
      </c>
      <c r="R90" s="150">
        <v>0</v>
      </c>
      <c r="S90" s="117" t="b">
        <f>OR(COUNTIF(Tabla2[[#This Row],[PROVEEDOR]],"*"&amp;'Palabra no opera'!$A$2&amp;"*"))</f>
        <v>0</v>
      </c>
      <c r="T90" s="150">
        <f>+$W$5-Tabla2[[#This Row],[FECHA DE FACTURACIÓN]]</f>
        <v>94</v>
      </c>
      <c r="U90" t="str">
        <f>+IF(Tabla2[[#This Row],[dias de credito]]&gt;=Tabla2[[#This Row],[PLAZO Días]],"venc", "No venc")</f>
        <v>venc</v>
      </c>
      <c r="V90" t="str">
        <f>+IF(Tabla2[[#This Row],[FECHA DE PAGO]]&gt;0,"pagada","por pagar")</f>
        <v>pagada</v>
      </c>
      <c r="W90" s="152" t="str">
        <f>+IF(AND(Tabla2[[#This Row],[venc]]="venc",Tabla2[[#This Row],[Columna1]]="por pagar"),"vencida","no")</f>
        <v>no</v>
      </c>
    </row>
    <row r="91" spans="1:23" x14ac:dyDescent="0.3">
      <c r="A91">
        <v>30</v>
      </c>
      <c r="B91">
        <v>0</v>
      </c>
      <c r="D91" t="s">
        <v>250</v>
      </c>
      <c r="E91" s="156">
        <v>44805</v>
      </c>
      <c r="F91" t="s">
        <v>1451</v>
      </c>
      <c r="G91" s="156">
        <v>44781</v>
      </c>
      <c r="I91">
        <v>423000</v>
      </c>
      <c r="K91">
        <v>0</v>
      </c>
      <c r="M91">
        <v>0</v>
      </c>
      <c r="N91">
        <v>0.01</v>
      </c>
      <c r="O91">
        <v>4230</v>
      </c>
      <c r="P91" s="117">
        <v>418770</v>
      </c>
      <c r="Q91" s="117" t="s">
        <v>1021</v>
      </c>
      <c r="R91" s="150">
        <v>0</v>
      </c>
      <c r="S91" s="117" t="b">
        <f>OR(COUNTIF(Tabla2[[#This Row],[PROVEEDOR]],"*"&amp;'Palabra no opera'!$A$2&amp;"*"))</f>
        <v>0</v>
      </c>
      <c r="T91" s="150">
        <f>+$W$5-Tabla2[[#This Row],[FECHA DE FACTURACIÓN]]</f>
        <v>53</v>
      </c>
      <c r="U91" t="str">
        <f>+IF(Tabla2[[#This Row],[dias de credito]]&gt;=Tabla2[[#This Row],[PLAZO Días]],"venc", "No venc")</f>
        <v>venc</v>
      </c>
      <c r="V91" t="str">
        <f>+IF(Tabla2[[#This Row],[FECHA DE PAGO]]&gt;0,"pagada","por pagar")</f>
        <v>pagada</v>
      </c>
      <c r="W91" s="152" t="str">
        <f>+IF(AND(Tabla2[[#This Row],[venc]]="venc",Tabla2[[#This Row],[Columna1]]="por pagar"),"vencida","no")</f>
        <v>no</v>
      </c>
    </row>
    <row r="92" spans="1:23" x14ac:dyDescent="0.3">
      <c r="A92">
        <v>90</v>
      </c>
      <c r="B92">
        <v>0</v>
      </c>
      <c r="C92" t="s">
        <v>1636</v>
      </c>
      <c r="D92">
        <v>0</v>
      </c>
      <c r="E92" s="156">
        <v>44805</v>
      </c>
      <c r="F92" t="s">
        <v>908</v>
      </c>
      <c r="G92" s="156">
        <v>44706</v>
      </c>
      <c r="H92" t="s">
        <v>1384</v>
      </c>
      <c r="I92">
        <v>655462.18000000005</v>
      </c>
      <c r="K92">
        <v>124537.81420000001</v>
      </c>
      <c r="M92">
        <v>0</v>
      </c>
      <c r="N92">
        <v>0</v>
      </c>
      <c r="O92">
        <v>0</v>
      </c>
      <c r="P92" s="117">
        <v>779999.99420000007</v>
      </c>
      <c r="Q92" s="117" t="s">
        <v>1021</v>
      </c>
      <c r="R92" s="150">
        <v>0</v>
      </c>
      <c r="S92" s="117" t="b">
        <f>OR(COUNTIF(Tabla2[[#This Row],[PROVEEDOR]],"*"&amp;'Palabra no opera'!$A$2&amp;"*"))</f>
        <v>1</v>
      </c>
      <c r="T92" s="150">
        <f>+$W$5-Tabla2[[#This Row],[FECHA DE FACTURACIÓN]]</f>
        <v>128</v>
      </c>
      <c r="U92" t="str">
        <f>+IF(Tabla2[[#This Row],[dias de credito]]&gt;=Tabla2[[#This Row],[PLAZO Días]],"venc", "No venc")</f>
        <v>venc</v>
      </c>
      <c r="V92" t="str">
        <f>+IF(Tabla2[[#This Row],[FECHA DE PAGO]]&gt;0,"pagada","por pagar")</f>
        <v>pagada</v>
      </c>
      <c r="W92" s="152" t="str">
        <f>+IF(AND(Tabla2[[#This Row],[venc]]="venc",Tabla2[[#This Row],[Columna1]]="por pagar"),"vencida","no")</f>
        <v>no</v>
      </c>
    </row>
    <row r="93" spans="1:23" x14ac:dyDescent="0.3">
      <c r="A93">
        <v>30</v>
      </c>
      <c r="B93">
        <v>0</v>
      </c>
      <c r="D93" t="s">
        <v>139</v>
      </c>
      <c r="E93" s="156">
        <v>44804</v>
      </c>
      <c r="F93" t="s">
        <v>673</v>
      </c>
      <c r="G93" s="156">
        <v>44804</v>
      </c>
      <c r="I93">
        <v>500000</v>
      </c>
      <c r="K93">
        <v>0</v>
      </c>
      <c r="M93">
        <v>0</v>
      </c>
      <c r="N93">
        <v>0</v>
      </c>
      <c r="O93">
        <v>0</v>
      </c>
      <c r="P93" s="117">
        <v>500000</v>
      </c>
      <c r="Q93" s="117" t="s">
        <v>1021</v>
      </c>
      <c r="R93" s="150">
        <v>0</v>
      </c>
      <c r="S93" s="117" t="b">
        <f>OR(COUNTIF(Tabla2[[#This Row],[PROVEEDOR]],"*"&amp;'Palabra no opera'!$A$2&amp;"*"))</f>
        <v>0</v>
      </c>
      <c r="T93" s="150">
        <f>+$W$5-Tabla2[[#This Row],[FECHA DE FACTURACIÓN]]</f>
        <v>30</v>
      </c>
      <c r="U93" t="str">
        <f>+IF(Tabla2[[#This Row],[dias de credito]]&gt;=Tabla2[[#This Row],[PLAZO Días]],"venc", "No venc")</f>
        <v>venc</v>
      </c>
      <c r="V93" t="str">
        <f>+IF(Tabla2[[#This Row],[FECHA DE PAGO]]&gt;0,"pagada","por pagar")</f>
        <v>pagada</v>
      </c>
      <c r="W93" s="152" t="str">
        <f>+IF(AND(Tabla2[[#This Row],[venc]]="venc",Tabla2[[#This Row],[Columna1]]="por pagar"),"vencida","no")</f>
        <v>no</v>
      </c>
    </row>
    <row r="94" spans="1:23" x14ac:dyDescent="0.3">
      <c r="A94">
        <v>30</v>
      </c>
      <c r="B94">
        <v>0</v>
      </c>
      <c r="D94" t="s">
        <v>139</v>
      </c>
      <c r="E94" s="156">
        <v>44804</v>
      </c>
      <c r="F94" t="s">
        <v>673</v>
      </c>
      <c r="G94" s="156">
        <v>44804</v>
      </c>
      <c r="I94">
        <v>500000</v>
      </c>
      <c r="K94">
        <v>0</v>
      </c>
      <c r="M94">
        <v>0</v>
      </c>
      <c r="N94">
        <v>0</v>
      </c>
      <c r="O94">
        <v>0</v>
      </c>
      <c r="P94" s="117">
        <v>500000</v>
      </c>
      <c r="Q94" s="117" t="s">
        <v>1021</v>
      </c>
      <c r="R94" s="150">
        <v>0</v>
      </c>
      <c r="S94" s="117" t="b">
        <f>OR(COUNTIF(Tabla2[[#This Row],[PROVEEDOR]],"*"&amp;'Palabra no opera'!$A$2&amp;"*"))</f>
        <v>0</v>
      </c>
      <c r="T94" s="150">
        <f>+$W$5-Tabla2[[#This Row],[FECHA DE FACTURACIÓN]]</f>
        <v>30</v>
      </c>
      <c r="U94" t="str">
        <f>+IF(Tabla2[[#This Row],[dias de credito]]&gt;=Tabla2[[#This Row],[PLAZO Días]],"venc", "No venc")</f>
        <v>venc</v>
      </c>
      <c r="V94" t="str">
        <f>+IF(Tabla2[[#This Row],[FECHA DE PAGO]]&gt;0,"pagada","por pagar")</f>
        <v>pagada</v>
      </c>
      <c r="W94" s="152" t="str">
        <f>+IF(AND(Tabla2[[#This Row],[venc]]="venc",Tabla2[[#This Row],[Columna1]]="por pagar"),"vencida","no")</f>
        <v>no</v>
      </c>
    </row>
    <row r="95" spans="1:23" x14ac:dyDescent="0.3">
      <c r="A95">
        <v>30</v>
      </c>
      <c r="B95">
        <v>0</v>
      </c>
      <c r="D95" t="s">
        <v>139</v>
      </c>
      <c r="E95" s="156">
        <v>44804</v>
      </c>
      <c r="F95" t="s">
        <v>644</v>
      </c>
      <c r="G95" s="156">
        <v>44804</v>
      </c>
      <c r="H95" t="s">
        <v>598</v>
      </c>
      <c r="I95">
        <v>940000</v>
      </c>
      <c r="K95">
        <v>0</v>
      </c>
      <c r="M95">
        <v>0</v>
      </c>
      <c r="N95">
        <v>0</v>
      </c>
      <c r="O95">
        <v>0</v>
      </c>
      <c r="P95" s="117">
        <v>940000</v>
      </c>
      <c r="Q95" s="117" t="s">
        <v>1021</v>
      </c>
      <c r="R95" s="150">
        <v>0</v>
      </c>
      <c r="S95" s="117" t="b">
        <f>OR(COUNTIF(Tabla2[[#This Row],[PROVEEDOR]],"*"&amp;'Palabra no opera'!$A$2&amp;"*"))</f>
        <v>0</v>
      </c>
      <c r="T95" s="150">
        <f>+$W$5-Tabla2[[#This Row],[FECHA DE FACTURACIÓN]]</f>
        <v>30</v>
      </c>
      <c r="U95" t="str">
        <f>+IF(Tabla2[[#This Row],[dias de credito]]&gt;=Tabla2[[#This Row],[PLAZO Días]],"venc", "No venc")</f>
        <v>venc</v>
      </c>
      <c r="V95" t="str">
        <f>+IF(Tabla2[[#This Row],[FECHA DE PAGO]]&gt;0,"pagada","por pagar")</f>
        <v>pagada</v>
      </c>
      <c r="W95" s="152" t="str">
        <f>+IF(AND(Tabla2[[#This Row],[venc]]="venc",Tabla2[[#This Row],[Columna1]]="por pagar"),"vencida","no")</f>
        <v>no</v>
      </c>
    </row>
    <row r="96" spans="1:23" x14ac:dyDescent="0.3">
      <c r="A96">
        <v>30</v>
      </c>
      <c r="B96">
        <v>0</v>
      </c>
      <c r="D96" t="s">
        <v>139</v>
      </c>
      <c r="E96" s="156">
        <v>44804</v>
      </c>
      <c r="F96" t="s">
        <v>644</v>
      </c>
      <c r="G96" s="156">
        <v>44804</v>
      </c>
      <c r="H96" t="s">
        <v>174</v>
      </c>
      <c r="I96">
        <v>1084000</v>
      </c>
      <c r="K96">
        <v>0</v>
      </c>
      <c r="M96">
        <v>0</v>
      </c>
      <c r="N96">
        <v>0</v>
      </c>
      <c r="O96">
        <v>0</v>
      </c>
      <c r="P96" s="117">
        <v>1084000</v>
      </c>
      <c r="Q96" s="117" t="s">
        <v>1021</v>
      </c>
      <c r="R96" s="150">
        <v>0</v>
      </c>
      <c r="S96" s="117" t="b">
        <f>OR(COUNTIF(Tabla2[[#This Row],[PROVEEDOR]],"*"&amp;'Palabra no opera'!$A$2&amp;"*"))</f>
        <v>0</v>
      </c>
      <c r="T96" s="150">
        <f>+$W$5-Tabla2[[#This Row],[FECHA DE FACTURACIÓN]]</f>
        <v>30</v>
      </c>
      <c r="U96" t="str">
        <f>+IF(Tabla2[[#This Row],[dias de credito]]&gt;=Tabla2[[#This Row],[PLAZO Días]],"venc", "No venc")</f>
        <v>venc</v>
      </c>
      <c r="V96" t="str">
        <f>+IF(Tabla2[[#This Row],[FECHA DE PAGO]]&gt;0,"pagada","por pagar")</f>
        <v>pagada</v>
      </c>
      <c r="W96" s="152" t="str">
        <f>+IF(AND(Tabla2[[#This Row],[venc]]="venc",Tabla2[[#This Row],[Columna1]]="por pagar"),"vencida","no")</f>
        <v>no</v>
      </c>
    </row>
    <row r="97" spans="1:23" x14ac:dyDescent="0.3">
      <c r="A97">
        <v>30</v>
      </c>
      <c r="B97">
        <v>0</v>
      </c>
      <c r="D97" t="s">
        <v>139</v>
      </c>
      <c r="E97" s="156">
        <v>44804</v>
      </c>
      <c r="F97" t="s">
        <v>644</v>
      </c>
      <c r="G97" s="156">
        <v>44804</v>
      </c>
      <c r="H97" t="s">
        <v>945</v>
      </c>
      <c r="I97">
        <v>71500</v>
      </c>
      <c r="K97">
        <v>0</v>
      </c>
      <c r="M97">
        <v>0</v>
      </c>
      <c r="N97">
        <v>0</v>
      </c>
      <c r="O97">
        <v>0</v>
      </c>
      <c r="P97" s="117">
        <v>71500</v>
      </c>
      <c r="Q97" s="117" t="s">
        <v>1021</v>
      </c>
      <c r="R97" s="150">
        <v>0</v>
      </c>
      <c r="S97" s="117" t="b">
        <f>OR(COUNTIF(Tabla2[[#This Row],[PROVEEDOR]],"*"&amp;'Palabra no opera'!$A$2&amp;"*"))</f>
        <v>0</v>
      </c>
      <c r="T97" s="150">
        <f>+$W$5-Tabla2[[#This Row],[FECHA DE FACTURACIÓN]]</f>
        <v>30</v>
      </c>
      <c r="U97" t="str">
        <f>+IF(Tabla2[[#This Row],[dias de credito]]&gt;=Tabla2[[#This Row],[PLAZO Días]],"venc", "No venc")</f>
        <v>venc</v>
      </c>
      <c r="V97" t="str">
        <f>+IF(Tabla2[[#This Row],[FECHA DE PAGO]]&gt;0,"pagada","por pagar")</f>
        <v>pagada</v>
      </c>
      <c r="W97" s="152" t="str">
        <f>+IF(AND(Tabla2[[#This Row],[venc]]="venc",Tabla2[[#This Row],[Columna1]]="por pagar"),"vencida","no")</f>
        <v>no</v>
      </c>
    </row>
    <row r="98" spans="1:23" x14ac:dyDescent="0.3">
      <c r="A98">
        <v>30</v>
      </c>
      <c r="B98">
        <v>0</v>
      </c>
      <c r="D98" t="s">
        <v>139</v>
      </c>
      <c r="E98" s="156">
        <v>44804</v>
      </c>
      <c r="F98" t="s">
        <v>644</v>
      </c>
      <c r="G98" s="156">
        <v>44804</v>
      </c>
      <c r="H98" t="s">
        <v>1652</v>
      </c>
      <c r="I98">
        <v>0</v>
      </c>
      <c r="K98">
        <v>0</v>
      </c>
      <c r="M98">
        <v>0</v>
      </c>
      <c r="N98">
        <v>0</v>
      </c>
      <c r="O98">
        <v>0</v>
      </c>
      <c r="P98" s="117">
        <v>0</v>
      </c>
      <c r="Q98" s="117" t="s">
        <v>1021</v>
      </c>
      <c r="R98" s="150">
        <v>0</v>
      </c>
      <c r="S98" s="117" t="b">
        <f>OR(COUNTIF(Tabla2[[#This Row],[PROVEEDOR]],"*"&amp;'Palabra no opera'!$A$2&amp;"*"))</f>
        <v>0</v>
      </c>
      <c r="T98" s="150">
        <f>+$W$5-Tabla2[[#This Row],[FECHA DE FACTURACIÓN]]</f>
        <v>30</v>
      </c>
      <c r="U98" t="str">
        <f>+IF(Tabla2[[#This Row],[dias de credito]]&gt;=Tabla2[[#This Row],[PLAZO Días]],"venc", "No venc")</f>
        <v>venc</v>
      </c>
      <c r="V98" t="str">
        <f>+IF(Tabla2[[#This Row],[FECHA DE PAGO]]&gt;0,"pagada","por pagar")</f>
        <v>pagada</v>
      </c>
      <c r="W98" s="152" t="str">
        <f>+IF(AND(Tabla2[[#This Row],[venc]]="venc",Tabla2[[#This Row],[Columna1]]="por pagar"),"vencida","no")</f>
        <v>no</v>
      </c>
    </row>
    <row r="99" spans="1:23" x14ac:dyDescent="0.3">
      <c r="A99">
        <v>30</v>
      </c>
      <c r="B99">
        <v>0</v>
      </c>
      <c r="D99" t="s">
        <v>139</v>
      </c>
      <c r="E99" s="156">
        <v>44804</v>
      </c>
      <c r="F99" t="s">
        <v>644</v>
      </c>
      <c r="G99" s="156">
        <v>44804</v>
      </c>
      <c r="H99" t="s">
        <v>595</v>
      </c>
      <c r="I99">
        <v>2787750</v>
      </c>
      <c r="K99">
        <v>0</v>
      </c>
      <c r="M99">
        <v>0</v>
      </c>
      <c r="N99">
        <v>0</v>
      </c>
      <c r="O99">
        <v>0</v>
      </c>
      <c r="P99" s="117">
        <v>2787750</v>
      </c>
      <c r="Q99" s="117" t="s">
        <v>1021</v>
      </c>
      <c r="R99" s="150">
        <v>0</v>
      </c>
      <c r="S99" s="117" t="b">
        <f>OR(COUNTIF(Tabla2[[#This Row],[PROVEEDOR]],"*"&amp;'Palabra no opera'!$A$2&amp;"*"))</f>
        <v>0</v>
      </c>
      <c r="T99" s="150">
        <f>+$W$5-Tabla2[[#This Row],[FECHA DE FACTURACIÓN]]</f>
        <v>30</v>
      </c>
      <c r="U99" t="str">
        <f>+IF(Tabla2[[#This Row],[dias de credito]]&gt;=Tabla2[[#This Row],[PLAZO Días]],"venc", "No venc")</f>
        <v>venc</v>
      </c>
      <c r="V99" t="str">
        <f>+IF(Tabla2[[#This Row],[FECHA DE PAGO]]&gt;0,"pagada","por pagar")</f>
        <v>pagada</v>
      </c>
      <c r="W99" s="152" t="str">
        <f>+IF(AND(Tabla2[[#This Row],[venc]]="venc",Tabla2[[#This Row],[Columna1]]="por pagar"),"vencida","no")</f>
        <v>no</v>
      </c>
    </row>
    <row r="100" spans="1:23" x14ac:dyDescent="0.3">
      <c r="A100">
        <v>30</v>
      </c>
      <c r="B100">
        <v>0</v>
      </c>
      <c r="D100" t="s">
        <v>139</v>
      </c>
      <c r="E100" s="156">
        <v>44804</v>
      </c>
      <c r="F100" t="s">
        <v>644</v>
      </c>
      <c r="G100" s="156">
        <v>44804</v>
      </c>
      <c r="H100" t="s">
        <v>597</v>
      </c>
      <c r="I100">
        <v>579900</v>
      </c>
      <c r="K100">
        <v>0</v>
      </c>
      <c r="M100">
        <v>0</v>
      </c>
      <c r="N100">
        <v>0</v>
      </c>
      <c r="O100">
        <v>0</v>
      </c>
      <c r="P100" s="117">
        <v>579900</v>
      </c>
      <c r="Q100" s="117" t="s">
        <v>1021</v>
      </c>
      <c r="R100" s="150">
        <v>0</v>
      </c>
      <c r="S100" s="117" t="b">
        <f>OR(COUNTIF(Tabla2[[#This Row],[PROVEEDOR]],"*"&amp;'Palabra no opera'!$A$2&amp;"*"))</f>
        <v>0</v>
      </c>
      <c r="T100" s="150">
        <f>+$W$5-Tabla2[[#This Row],[FECHA DE FACTURACIÓN]]</f>
        <v>30</v>
      </c>
      <c r="U100" t="str">
        <f>+IF(Tabla2[[#This Row],[dias de credito]]&gt;=Tabla2[[#This Row],[PLAZO Días]],"venc", "No venc")</f>
        <v>venc</v>
      </c>
      <c r="V100" t="str">
        <f>+IF(Tabla2[[#This Row],[FECHA DE PAGO]]&gt;0,"pagada","por pagar")</f>
        <v>pagada</v>
      </c>
      <c r="W100" s="152" t="str">
        <f>+IF(AND(Tabla2[[#This Row],[venc]]="venc",Tabla2[[#This Row],[Columna1]]="por pagar"),"vencida","no")</f>
        <v>no</v>
      </c>
    </row>
    <row r="101" spans="1:23" x14ac:dyDescent="0.3">
      <c r="A101">
        <v>30</v>
      </c>
      <c r="B101">
        <v>0</v>
      </c>
      <c r="D101" t="s">
        <v>141</v>
      </c>
      <c r="E101" s="156">
        <v>44804</v>
      </c>
      <c r="F101" t="s">
        <v>935</v>
      </c>
      <c r="G101" s="156">
        <v>44774</v>
      </c>
      <c r="I101">
        <v>326243</v>
      </c>
      <c r="K101">
        <v>0</v>
      </c>
      <c r="M101">
        <v>0</v>
      </c>
      <c r="N101">
        <v>0</v>
      </c>
      <c r="O101">
        <v>0</v>
      </c>
      <c r="P101" s="117">
        <v>326243</v>
      </c>
      <c r="Q101" s="117" t="s">
        <v>1021</v>
      </c>
      <c r="R101" s="150">
        <v>0</v>
      </c>
      <c r="S101" s="117" t="b">
        <f>OR(COUNTIF(Tabla2[[#This Row],[PROVEEDOR]],"*"&amp;'Palabra no opera'!$A$2&amp;"*"))</f>
        <v>1</v>
      </c>
      <c r="T101" s="150">
        <f>+$W$5-Tabla2[[#This Row],[FECHA DE FACTURACIÓN]]</f>
        <v>60</v>
      </c>
      <c r="U101" t="str">
        <f>+IF(Tabla2[[#This Row],[dias de credito]]&gt;=Tabla2[[#This Row],[PLAZO Días]],"venc", "No venc")</f>
        <v>venc</v>
      </c>
      <c r="V101" t="str">
        <f>+IF(Tabla2[[#This Row],[FECHA DE PAGO]]&gt;0,"pagada","por pagar")</f>
        <v>pagada</v>
      </c>
      <c r="W101" s="152" t="str">
        <f>+IF(AND(Tabla2[[#This Row],[venc]]="venc",Tabla2[[#This Row],[Columna1]]="por pagar"),"vencida","no")</f>
        <v>no</v>
      </c>
    </row>
    <row r="102" spans="1:23" x14ac:dyDescent="0.3">
      <c r="A102">
        <v>30</v>
      </c>
      <c r="B102">
        <v>5225000</v>
      </c>
      <c r="D102" t="s">
        <v>139</v>
      </c>
      <c r="E102" s="156">
        <v>44804</v>
      </c>
      <c r="F102" t="s">
        <v>629</v>
      </c>
      <c r="G102" s="156">
        <v>44760</v>
      </c>
      <c r="H102" t="s">
        <v>1390</v>
      </c>
      <c r="I102">
        <v>3443000</v>
      </c>
      <c r="K102">
        <v>0</v>
      </c>
      <c r="M102">
        <v>0</v>
      </c>
      <c r="N102">
        <v>0</v>
      </c>
      <c r="O102">
        <v>0</v>
      </c>
      <c r="P102" s="117">
        <v>3443000</v>
      </c>
      <c r="Q102" s="117" t="s">
        <v>1021</v>
      </c>
      <c r="R102" s="150">
        <v>0</v>
      </c>
      <c r="S102" s="117" t="b">
        <f>OR(COUNTIF(Tabla2[[#This Row],[PROVEEDOR]],"*"&amp;'Palabra no opera'!$A$2&amp;"*"))</f>
        <v>0</v>
      </c>
      <c r="T102" s="150">
        <f>+$W$5-Tabla2[[#This Row],[FECHA DE FACTURACIÓN]]</f>
        <v>74</v>
      </c>
      <c r="U102" t="str">
        <f>+IF(Tabla2[[#This Row],[dias de credito]]&gt;=Tabla2[[#This Row],[PLAZO Días]],"venc", "No venc")</f>
        <v>venc</v>
      </c>
      <c r="V102" t="str">
        <f>+IF(Tabla2[[#This Row],[FECHA DE PAGO]]&gt;0,"pagada","por pagar")</f>
        <v>pagada</v>
      </c>
      <c r="W102" s="152" t="str">
        <f>+IF(AND(Tabla2[[#This Row],[venc]]="venc",Tabla2[[#This Row],[Columna1]]="por pagar"),"vencida","no")</f>
        <v>no</v>
      </c>
    </row>
    <row r="103" spans="1:23" x14ac:dyDescent="0.3">
      <c r="A103">
        <v>30</v>
      </c>
      <c r="B103">
        <v>450000</v>
      </c>
      <c r="D103" t="s">
        <v>291</v>
      </c>
      <c r="E103" s="156">
        <v>44804</v>
      </c>
      <c r="F103" t="s">
        <v>685</v>
      </c>
      <c r="G103" s="156">
        <v>44760</v>
      </c>
      <c r="H103" t="s">
        <v>1620</v>
      </c>
      <c r="I103">
        <v>1225000</v>
      </c>
      <c r="K103">
        <v>0</v>
      </c>
      <c r="M103">
        <v>0</v>
      </c>
      <c r="N103">
        <v>0</v>
      </c>
      <c r="O103">
        <v>0</v>
      </c>
      <c r="P103" s="117">
        <v>1225000</v>
      </c>
      <c r="Q103" s="117" t="s">
        <v>1021</v>
      </c>
      <c r="R103" s="150">
        <v>0</v>
      </c>
      <c r="S103" s="117" t="b">
        <f>OR(COUNTIF(Tabla2[[#This Row],[PROVEEDOR]],"*"&amp;'Palabra no opera'!$A$2&amp;"*"))</f>
        <v>0</v>
      </c>
      <c r="T103" s="150">
        <f>+$W$5-Tabla2[[#This Row],[FECHA DE FACTURACIÓN]]</f>
        <v>74</v>
      </c>
      <c r="U103" t="str">
        <f>+IF(Tabla2[[#This Row],[dias de credito]]&gt;=Tabla2[[#This Row],[PLAZO Días]],"venc", "No venc")</f>
        <v>venc</v>
      </c>
      <c r="V103" t="str">
        <f>+IF(Tabla2[[#This Row],[FECHA DE PAGO]]&gt;0,"pagada","por pagar")</f>
        <v>pagada</v>
      </c>
      <c r="W103" s="152" t="str">
        <f>+IF(AND(Tabla2[[#This Row],[venc]]="venc",Tabla2[[#This Row],[Columna1]]="por pagar"),"vencida","no")</f>
        <v>no</v>
      </c>
    </row>
    <row r="104" spans="1:23" x14ac:dyDescent="0.3">
      <c r="A104">
        <v>30</v>
      </c>
      <c r="B104">
        <v>450000</v>
      </c>
      <c r="D104" t="s">
        <v>291</v>
      </c>
      <c r="E104" s="156">
        <v>44804</v>
      </c>
      <c r="F104" t="s">
        <v>685</v>
      </c>
      <c r="G104" s="156">
        <v>44747</v>
      </c>
      <c r="H104" t="s">
        <v>1091</v>
      </c>
      <c r="I104">
        <v>4035000</v>
      </c>
      <c r="K104">
        <v>0</v>
      </c>
      <c r="M104">
        <v>0</v>
      </c>
      <c r="N104">
        <v>0</v>
      </c>
      <c r="O104">
        <v>0</v>
      </c>
      <c r="P104" s="117">
        <v>4035000</v>
      </c>
      <c r="Q104" s="117" t="s">
        <v>1021</v>
      </c>
      <c r="R104" s="150">
        <v>0</v>
      </c>
      <c r="S104" s="117" t="b">
        <f>OR(COUNTIF(Tabla2[[#This Row],[PROVEEDOR]],"*"&amp;'Palabra no opera'!$A$2&amp;"*"))</f>
        <v>0</v>
      </c>
      <c r="T104" s="150">
        <f>+$W$5-Tabla2[[#This Row],[FECHA DE FACTURACIÓN]]</f>
        <v>87</v>
      </c>
      <c r="U104" t="str">
        <f>+IF(Tabla2[[#This Row],[dias de credito]]&gt;=Tabla2[[#This Row],[PLAZO Días]],"venc", "No venc")</f>
        <v>venc</v>
      </c>
      <c r="V104" t="str">
        <f>+IF(Tabla2[[#This Row],[FECHA DE PAGO]]&gt;0,"pagada","por pagar")</f>
        <v>pagada</v>
      </c>
      <c r="W104" s="152" t="str">
        <f>+IF(AND(Tabla2[[#This Row],[venc]]="venc",Tabla2[[#This Row],[Columna1]]="por pagar"),"vencida","no")</f>
        <v>no</v>
      </c>
    </row>
    <row r="105" spans="1:23" x14ac:dyDescent="0.3">
      <c r="A105">
        <v>30</v>
      </c>
      <c r="B105">
        <v>1957800</v>
      </c>
      <c r="D105">
        <v>0</v>
      </c>
      <c r="E105" s="156">
        <v>44803</v>
      </c>
      <c r="F105" t="s">
        <v>994</v>
      </c>
      <c r="G105" s="156">
        <v>44793</v>
      </c>
      <c r="H105" t="s">
        <v>1421</v>
      </c>
      <c r="I105">
        <v>1009000</v>
      </c>
      <c r="K105">
        <v>0</v>
      </c>
      <c r="M105">
        <v>0</v>
      </c>
      <c r="N105">
        <v>0</v>
      </c>
      <c r="O105">
        <v>0</v>
      </c>
      <c r="P105" s="117">
        <v>1009000</v>
      </c>
      <c r="Q105" s="117" t="s">
        <v>1021</v>
      </c>
      <c r="R105" s="150">
        <v>0</v>
      </c>
      <c r="S105" s="117" t="b">
        <f>OR(COUNTIF(Tabla2[[#This Row],[PROVEEDOR]],"*"&amp;'Palabra no opera'!$A$2&amp;"*"))</f>
        <v>0</v>
      </c>
      <c r="T105" s="150">
        <f>+$W$5-Tabla2[[#This Row],[FECHA DE FACTURACIÓN]]</f>
        <v>41</v>
      </c>
      <c r="U105" t="str">
        <f>+IF(Tabla2[[#This Row],[dias de credito]]&gt;=Tabla2[[#This Row],[PLAZO Días]],"venc", "No venc")</f>
        <v>venc</v>
      </c>
      <c r="V105" t="str">
        <f>+IF(Tabla2[[#This Row],[FECHA DE PAGO]]&gt;0,"pagada","por pagar")</f>
        <v>pagada</v>
      </c>
      <c r="W105" s="152" t="str">
        <f>+IF(AND(Tabla2[[#This Row],[venc]]="venc",Tabla2[[#This Row],[Columna1]]="por pagar"),"vencida","no")</f>
        <v>no</v>
      </c>
    </row>
    <row r="106" spans="1:23" x14ac:dyDescent="0.3">
      <c r="A106">
        <v>30</v>
      </c>
      <c r="B106">
        <v>0</v>
      </c>
      <c r="D106" t="s">
        <v>433</v>
      </c>
      <c r="E106" s="156">
        <v>44802</v>
      </c>
      <c r="F106" t="s">
        <v>925</v>
      </c>
      <c r="G106" s="156">
        <v>44774</v>
      </c>
      <c r="H106">
        <v>3881</v>
      </c>
      <c r="I106">
        <v>3002200</v>
      </c>
      <c r="K106">
        <v>0</v>
      </c>
      <c r="M106">
        <v>0</v>
      </c>
      <c r="N106">
        <v>3.5000000000000003E-2</v>
      </c>
      <c r="O106">
        <v>105077.00000000001</v>
      </c>
      <c r="P106" s="117">
        <v>2897123</v>
      </c>
      <c r="Q106" s="117" t="s">
        <v>1021</v>
      </c>
      <c r="R106" s="150">
        <v>0</v>
      </c>
      <c r="S106" s="117" t="b">
        <f>OR(COUNTIF(Tabla2[[#This Row],[PROVEEDOR]],"*"&amp;'Palabra no opera'!$A$2&amp;"*"))</f>
        <v>1</v>
      </c>
      <c r="T106" s="150">
        <f>+$W$5-Tabla2[[#This Row],[FECHA DE FACTURACIÓN]]</f>
        <v>60</v>
      </c>
      <c r="U106" t="str">
        <f>+IF(Tabla2[[#This Row],[dias de credito]]&gt;=Tabla2[[#This Row],[PLAZO Días]],"venc", "No venc")</f>
        <v>venc</v>
      </c>
      <c r="V106" t="str">
        <f>+IF(Tabla2[[#This Row],[FECHA DE PAGO]]&gt;0,"pagada","por pagar")</f>
        <v>pagada</v>
      </c>
      <c r="W106" s="152" t="str">
        <f>+IF(AND(Tabla2[[#This Row],[venc]]="venc",Tabla2[[#This Row],[Columna1]]="por pagar"),"vencida","no")</f>
        <v>no</v>
      </c>
    </row>
    <row r="107" spans="1:23" x14ac:dyDescent="0.3">
      <c r="A107">
        <v>30</v>
      </c>
      <c r="B107">
        <v>0</v>
      </c>
      <c r="D107" t="s">
        <v>1036</v>
      </c>
      <c r="E107" s="156">
        <v>44802</v>
      </c>
      <c r="F107" t="s">
        <v>927</v>
      </c>
      <c r="G107" s="156">
        <v>44774</v>
      </c>
      <c r="H107" t="s">
        <v>313</v>
      </c>
      <c r="I107">
        <v>68166</v>
      </c>
      <c r="K107">
        <v>0</v>
      </c>
      <c r="M107">
        <v>0</v>
      </c>
      <c r="N107">
        <v>0</v>
      </c>
      <c r="O107">
        <v>0</v>
      </c>
      <c r="P107" s="117">
        <v>68166</v>
      </c>
      <c r="Q107" s="117" t="s">
        <v>1021</v>
      </c>
      <c r="R107" s="150">
        <v>0</v>
      </c>
      <c r="S107" s="117" t="b">
        <f>OR(COUNTIF(Tabla2[[#This Row],[PROVEEDOR]],"*"&amp;'Palabra no opera'!$A$2&amp;"*"))</f>
        <v>1</v>
      </c>
      <c r="T107" s="150">
        <f>+$W$5-Tabla2[[#This Row],[FECHA DE FACTURACIÓN]]</f>
        <v>60</v>
      </c>
      <c r="U107" t="str">
        <f>+IF(Tabla2[[#This Row],[dias de credito]]&gt;=Tabla2[[#This Row],[PLAZO Días]],"venc", "No venc")</f>
        <v>venc</v>
      </c>
      <c r="V107" t="str">
        <f>+IF(Tabla2[[#This Row],[FECHA DE PAGO]]&gt;0,"pagada","por pagar")</f>
        <v>pagada</v>
      </c>
      <c r="W107" s="152" t="str">
        <f>+IF(AND(Tabla2[[#This Row],[venc]]="venc",Tabla2[[#This Row],[Columna1]]="por pagar"),"vencida","no")</f>
        <v>no</v>
      </c>
    </row>
    <row r="108" spans="1:23" x14ac:dyDescent="0.3">
      <c r="A108">
        <v>30</v>
      </c>
      <c r="B108">
        <v>0</v>
      </c>
      <c r="D108" t="s">
        <v>1036</v>
      </c>
      <c r="E108" s="156">
        <v>44802</v>
      </c>
      <c r="F108" t="s">
        <v>927</v>
      </c>
      <c r="G108" s="156">
        <v>44774</v>
      </c>
      <c r="H108" t="s">
        <v>312</v>
      </c>
      <c r="I108">
        <v>59583</v>
      </c>
      <c r="K108">
        <v>0</v>
      </c>
      <c r="M108">
        <v>0</v>
      </c>
      <c r="N108">
        <v>0</v>
      </c>
      <c r="O108">
        <v>0</v>
      </c>
      <c r="P108" s="117">
        <v>59583</v>
      </c>
      <c r="Q108" s="117" t="s">
        <v>1021</v>
      </c>
      <c r="R108" s="150">
        <v>0</v>
      </c>
      <c r="S108" s="117" t="b">
        <f>OR(COUNTIF(Tabla2[[#This Row],[PROVEEDOR]],"*"&amp;'Palabra no opera'!$A$2&amp;"*"))</f>
        <v>1</v>
      </c>
      <c r="T108" s="150">
        <f>+$W$5-Tabla2[[#This Row],[FECHA DE FACTURACIÓN]]</f>
        <v>60</v>
      </c>
      <c r="U108" t="str">
        <f>+IF(Tabla2[[#This Row],[dias de credito]]&gt;=Tabla2[[#This Row],[PLAZO Días]],"venc", "No venc")</f>
        <v>venc</v>
      </c>
      <c r="V108" t="str">
        <f>+IF(Tabla2[[#This Row],[FECHA DE PAGO]]&gt;0,"pagada","por pagar")</f>
        <v>pagada</v>
      </c>
      <c r="W108" s="152" t="str">
        <f>+IF(AND(Tabla2[[#This Row],[venc]]="venc",Tabla2[[#This Row],[Columna1]]="por pagar"),"vencida","no")</f>
        <v>no</v>
      </c>
    </row>
    <row r="109" spans="1:23" x14ac:dyDescent="0.3">
      <c r="A109">
        <v>30</v>
      </c>
      <c r="B109">
        <v>0</v>
      </c>
      <c r="D109" t="s">
        <v>267</v>
      </c>
      <c r="E109" s="156">
        <v>44802</v>
      </c>
      <c r="F109" t="s">
        <v>941</v>
      </c>
      <c r="G109" s="156">
        <v>44774</v>
      </c>
      <c r="H109">
        <v>5753</v>
      </c>
      <c r="I109">
        <v>215356</v>
      </c>
      <c r="K109">
        <v>40917.64</v>
      </c>
      <c r="M109">
        <v>0</v>
      </c>
      <c r="N109">
        <v>3.5000000000000003E-2</v>
      </c>
      <c r="O109">
        <v>7537.4600000000009</v>
      </c>
      <c r="P109" s="117">
        <v>248736.18000000002</v>
      </c>
      <c r="Q109" s="117" t="s">
        <v>1021</v>
      </c>
      <c r="R109" s="150">
        <v>0</v>
      </c>
      <c r="S109" s="117" t="b">
        <f>OR(COUNTIF(Tabla2[[#This Row],[PROVEEDOR]],"*"&amp;'Palabra no opera'!$A$2&amp;"*"))</f>
        <v>1</v>
      </c>
      <c r="T109" s="150">
        <f>+$W$5-Tabla2[[#This Row],[FECHA DE FACTURACIÓN]]</f>
        <v>60</v>
      </c>
      <c r="U109" t="str">
        <f>+IF(Tabla2[[#This Row],[dias de credito]]&gt;=Tabla2[[#This Row],[PLAZO Días]],"venc", "No venc")</f>
        <v>venc</v>
      </c>
      <c r="V109" t="str">
        <f>+IF(Tabla2[[#This Row],[FECHA DE PAGO]]&gt;0,"pagada","por pagar")</f>
        <v>pagada</v>
      </c>
      <c r="W109" s="152" t="str">
        <f>+IF(AND(Tabla2[[#This Row],[venc]]="venc",Tabla2[[#This Row],[Columna1]]="por pagar"),"vencida","no")</f>
        <v>no</v>
      </c>
    </row>
    <row r="110" spans="1:23" x14ac:dyDescent="0.3">
      <c r="A110">
        <v>30</v>
      </c>
      <c r="B110">
        <v>0</v>
      </c>
      <c r="D110" t="s">
        <v>1688</v>
      </c>
      <c r="E110" s="156">
        <v>44802</v>
      </c>
      <c r="F110" t="s">
        <v>928</v>
      </c>
      <c r="G110" s="156">
        <v>44774</v>
      </c>
      <c r="H110" t="s">
        <v>1142</v>
      </c>
      <c r="I110">
        <v>3961260</v>
      </c>
      <c r="K110">
        <v>0</v>
      </c>
      <c r="M110">
        <v>0</v>
      </c>
      <c r="N110">
        <v>3.5000000000000003E-2</v>
      </c>
      <c r="O110">
        <v>138644.1</v>
      </c>
      <c r="P110" s="117">
        <v>3822615.9</v>
      </c>
      <c r="Q110" s="117" t="s">
        <v>1021</v>
      </c>
      <c r="R110" s="150">
        <v>0</v>
      </c>
      <c r="S110" s="117" t="b">
        <f>OR(COUNTIF(Tabla2[[#This Row],[PROVEEDOR]],"*"&amp;'Palabra no opera'!$A$2&amp;"*"))</f>
        <v>1</v>
      </c>
      <c r="T110" s="150">
        <f>+$W$5-Tabla2[[#This Row],[FECHA DE FACTURACIÓN]]</f>
        <v>60</v>
      </c>
      <c r="U110" t="str">
        <f>+IF(Tabla2[[#This Row],[dias de credito]]&gt;=Tabla2[[#This Row],[PLAZO Días]],"venc", "No venc")</f>
        <v>venc</v>
      </c>
      <c r="V110" t="str">
        <f>+IF(Tabla2[[#This Row],[FECHA DE PAGO]]&gt;0,"pagada","por pagar")</f>
        <v>pagada</v>
      </c>
      <c r="W110" s="152" t="str">
        <f>+IF(AND(Tabla2[[#This Row],[venc]]="venc",Tabla2[[#This Row],[Columna1]]="por pagar"),"vencida","no")</f>
        <v>no</v>
      </c>
    </row>
    <row r="111" spans="1:23" x14ac:dyDescent="0.3">
      <c r="A111">
        <v>20</v>
      </c>
      <c r="B111">
        <v>0</v>
      </c>
      <c r="D111" t="s">
        <v>275</v>
      </c>
      <c r="E111" s="156">
        <v>44802</v>
      </c>
      <c r="F111" t="s">
        <v>942</v>
      </c>
      <c r="G111" s="156">
        <v>44774</v>
      </c>
      <c r="H111">
        <v>44059</v>
      </c>
      <c r="I111">
        <v>4730000</v>
      </c>
      <c r="K111">
        <v>898700</v>
      </c>
      <c r="M111">
        <v>0</v>
      </c>
      <c r="N111">
        <v>3.5000000000000003E-2</v>
      </c>
      <c r="O111">
        <v>165550.00000000003</v>
      </c>
      <c r="P111" s="117">
        <v>5463150</v>
      </c>
      <c r="Q111" s="117" t="s">
        <v>1021</v>
      </c>
      <c r="R111" s="150">
        <v>0</v>
      </c>
      <c r="S111" s="117" t="b">
        <f>OR(COUNTIF(Tabla2[[#This Row],[PROVEEDOR]],"*"&amp;'Palabra no opera'!$A$2&amp;"*"))</f>
        <v>1</v>
      </c>
      <c r="T111" s="150">
        <f>+$W$5-Tabla2[[#This Row],[FECHA DE FACTURACIÓN]]</f>
        <v>60</v>
      </c>
      <c r="U111" t="str">
        <f>+IF(Tabla2[[#This Row],[dias de credito]]&gt;=Tabla2[[#This Row],[PLAZO Días]],"venc", "No venc")</f>
        <v>venc</v>
      </c>
      <c r="V111" t="str">
        <f>+IF(Tabla2[[#This Row],[FECHA DE PAGO]]&gt;0,"pagada","por pagar")</f>
        <v>pagada</v>
      </c>
      <c r="W111" s="152" t="str">
        <f>+IF(AND(Tabla2[[#This Row],[venc]]="venc",Tabla2[[#This Row],[Columna1]]="por pagar"),"vencida","no")</f>
        <v>no</v>
      </c>
    </row>
    <row r="112" spans="1:23" x14ac:dyDescent="0.3">
      <c r="A112">
        <v>60</v>
      </c>
      <c r="B112">
        <v>0</v>
      </c>
      <c r="D112">
        <v>0</v>
      </c>
      <c r="E112" s="156">
        <v>44802</v>
      </c>
      <c r="F112" t="s">
        <v>923</v>
      </c>
      <c r="G112" s="156">
        <v>44743</v>
      </c>
      <c r="H112" t="s">
        <v>1204</v>
      </c>
      <c r="I112">
        <v>263948</v>
      </c>
      <c r="K112">
        <v>0</v>
      </c>
      <c r="M112">
        <v>0</v>
      </c>
      <c r="N112">
        <v>0</v>
      </c>
      <c r="O112">
        <v>0</v>
      </c>
      <c r="P112" s="117">
        <v>263948</v>
      </c>
      <c r="Q112" s="117" t="s">
        <v>1021</v>
      </c>
      <c r="R112" s="150">
        <v>0</v>
      </c>
      <c r="S112" s="117" t="b">
        <f>OR(COUNTIF(Tabla2[[#This Row],[PROVEEDOR]],"*"&amp;'Palabra no opera'!$A$2&amp;"*"))</f>
        <v>1</v>
      </c>
      <c r="T112" s="150">
        <f>+$W$5-Tabla2[[#This Row],[FECHA DE FACTURACIÓN]]</f>
        <v>91</v>
      </c>
      <c r="U112" t="str">
        <f>+IF(Tabla2[[#This Row],[dias de credito]]&gt;=Tabla2[[#This Row],[PLAZO Días]],"venc", "No venc")</f>
        <v>venc</v>
      </c>
      <c r="V112" t="str">
        <f>+IF(Tabla2[[#This Row],[FECHA DE PAGO]]&gt;0,"pagada","por pagar")</f>
        <v>pagada</v>
      </c>
      <c r="W112" s="152" t="str">
        <f>+IF(AND(Tabla2[[#This Row],[venc]]="venc",Tabla2[[#This Row],[Columna1]]="por pagar"),"vencida","no")</f>
        <v>no</v>
      </c>
    </row>
    <row r="113" spans="1:23" x14ac:dyDescent="0.3">
      <c r="A113">
        <v>60</v>
      </c>
      <c r="B113">
        <v>0</v>
      </c>
      <c r="D113">
        <v>0</v>
      </c>
      <c r="E113" s="156">
        <v>44802</v>
      </c>
      <c r="F113" t="s">
        <v>923</v>
      </c>
      <c r="G113" s="156">
        <v>44743</v>
      </c>
      <c r="H113" t="s">
        <v>1205</v>
      </c>
      <c r="I113">
        <v>1591380</v>
      </c>
      <c r="K113">
        <v>0</v>
      </c>
      <c r="M113">
        <v>0</v>
      </c>
      <c r="N113">
        <v>0</v>
      </c>
      <c r="O113">
        <v>0</v>
      </c>
      <c r="P113" s="117">
        <v>1591380</v>
      </c>
      <c r="Q113" s="117" t="s">
        <v>1021</v>
      </c>
      <c r="R113" s="150">
        <v>0</v>
      </c>
      <c r="S113" s="117" t="b">
        <f>OR(COUNTIF(Tabla2[[#This Row],[PROVEEDOR]],"*"&amp;'Palabra no opera'!$A$2&amp;"*"))</f>
        <v>1</v>
      </c>
      <c r="T113" s="150">
        <f>+$W$5-Tabla2[[#This Row],[FECHA DE FACTURACIÓN]]</f>
        <v>91</v>
      </c>
      <c r="U113" t="str">
        <f>+IF(Tabla2[[#This Row],[dias de credito]]&gt;=Tabla2[[#This Row],[PLAZO Días]],"venc", "No venc")</f>
        <v>venc</v>
      </c>
      <c r="V113" t="str">
        <f>+IF(Tabla2[[#This Row],[FECHA DE PAGO]]&gt;0,"pagada","por pagar")</f>
        <v>pagada</v>
      </c>
      <c r="W113" s="152" t="str">
        <f>+IF(AND(Tabla2[[#This Row],[venc]]="venc",Tabla2[[#This Row],[Columna1]]="por pagar"),"vencida","no")</f>
        <v>no</v>
      </c>
    </row>
    <row r="114" spans="1:23" x14ac:dyDescent="0.3">
      <c r="A114">
        <v>30</v>
      </c>
      <c r="B114">
        <v>0</v>
      </c>
      <c r="D114" t="s">
        <v>261</v>
      </c>
      <c r="E114" s="156">
        <v>44799</v>
      </c>
      <c r="F114" t="s">
        <v>746</v>
      </c>
      <c r="G114" s="156">
        <v>44769</v>
      </c>
      <c r="H114" t="s">
        <v>1153</v>
      </c>
      <c r="I114">
        <v>-18487.39</v>
      </c>
      <c r="K114">
        <v>-3512.6041</v>
      </c>
      <c r="M114">
        <v>0</v>
      </c>
      <c r="N114">
        <v>0</v>
      </c>
      <c r="O114">
        <v>0</v>
      </c>
      <c r="P114" s="117">
        <v>-21999.9941</v>
      </c>
      <c r="Q114" s="117" t="s">
        <v>1021</v>
      </c>
      <c r="R114" s="150">
        <v>0</v>
      </c>
      <c r="S114" s="117" t="b">
        <f>OR(COUNTIF(Tabla2[[#This Row],[PROVEEDOR]],"*"&amp;'Palabra no opera'!$A$2&amp;"*"))</f>
        <v>0</v>
      </c>
      <c r="T114" s="150">
        <f>+$W$5-Tabla2[[#This Row],[FECHA DE FACTURACIÓN]]</f>
        <v>65</v>
      </c>
      <c r="U114" t="str">
        <f>+IF(Tabla2[[#This Row],[dias de credito]]&gt;=Tabla2[[#This Row],[PLAZO Días]],"venc", "No venc")</f>
        <v>venc</v>
      </c>
      <c r="V114" t="str">
        <f>+IF(Tabla2[[#This Row],[FECHA DE PAGO]]&gt;0,"pagada","por pagar")</f>
        <v>pagada</v>
      </c>
      <c r="W114" s="152" t="str">
        <f>+IF(AND(Tabla2[[#This Row],[venc]]="venc",Tabla2[[#This Row],[Columna1]]="por pagar"),"vencida","no")</f>
        <v>no</v>
      </c>
    </row>
    <row r="115" spans="1:23" x14ac:dyDescent="0.3">
      <c r="A115">
        <v>30</v>
      </c>
      <c r="B115">
        <v>0</v>
      </c>
      <c r="D115" t="s">
        <v>505</v>
      </c>
      <c r="E115" s="156">
        <v>44799</v>
      </c>
      <c r="F115" t="s">
        <v>408</v>
      </c>
      <c r="G115" s="156">
        <v>44769</v>
      </c>
      <c r="H115" t="s">
        <v>1144</v>
      </c>
      <c r="I115">
        <v>3170940.64</v>
      </c>
      <c r="K115">
        <v>602478.72160000005</v>
      </c>
      <c r="M115">
        <v>0</v>
      </c>
      <c r="N115">
        <v>0</v>
      </c>
      <c r="O115">
        <v>0</v>
      </c>
      <c r="P115" s="117">
        <v>3773419.3616000004</v>
      </c>
      <c r="Q115" s="117" t="s">
        <v>1021</v>
      </c>
      <c r="R115" s="150">
        <v>0</v>
      </c>
      <c r="S115" s="117" t="b">
        <f>OR(COUNTIF(Tabla2[[#This Row],[PROVEEDOR]],"*"&amp;'Palabra no opera'!$A$2&amp;"*"))</f>
        <v>0</v>
      </c>
      <c r="T115" s="150">
        <f>+$W$5-Tabla2[[#This Row],[FECHA DE FACTURACIÓN]]</f>
        <v>65</v>
      </c>
      <c r="U115" t="str">
        <f>+IF(Tabla2[[#This Row],[dias de credito]]&gt;=Tabla2[[#This Row],[PLAZO Días]],"venc", "No venc")</f>
        <v>venc</v>
      </c>
      <c r="V115" t="str">
        <f>+IF(Tabla2[[#This Row],[FECHA DE PAGO]]&gt;0,"pagada","por pagar")</f>
        <v>pagada</v>
      </c>
      <c r="W115" s="152" t="str">
        <f>+IF(AND(Tabla2[[#This Row],[venc]]="venc",Tabla2[[#This Row],[Columna1]]="por pagar"),"vencida","no")</f>
        <v>no</v>
      </c>
    </row>
    <row r="116" spans="1:23" x14ac:dyDescent="0.3">
      <c r="A116">
        <v>30</v>
      </c>
      <c r="B116">
        <v>4656887.12</v>
      </c>
      <c r="D116" t="s">
        <v>170</v>
      </c>
      <c r="E116" s="156">
        <v>44799</v>
      </c>
      <c r="F116" t="s">
        <v>20</v>
      </c>
      <c r="G116" s="156">
        <v>44763</v>
      </c>
      <c r="H116">
        <v>7441</v>
      </c>
      <c r="I116">
        <v>1194240</v>
      </c>
      <c r="K116">
        <v>226905.60000000001</v>
      </c>
      <c r="M116">
        <v>0</v>
      </c>
      <c r="N116">
        <v>2.5000000000000001E-2</v>
      </c>
      <c r="O116">
        <v>29856</v>
      </c>
      <c r="P116" s="117">
        <v>1391289.6</v>
      </c>
      <c r="Q116" s="117" t="s">
        <v>1021</v>
      </c>
      <c r="R116" s="150">
        <v>0</v>
      </c>
      <c r="S116" s="117" t="b">
        <f>OR(COUNTIF(Tabla2[[#This Row],[PROVEEDOR]],"*"&amp;'Palabra no opera'!$A$2&amp;"*"))</f>
        <v>0</v>
      </c>
      <c r="T116" s="150">
        <f>+$W$5-Tabla2[[#This Row],[FECHA DE FACTURACIÓN]]</f>
        <v>71</v>
      </c>
      <c r="U116" t="str">
        <f>+IF(Tabla2[[#This Row],[dias de credito]]&gt;=Tabla2[[#This Row],[PLAZO Días]],"venc", "No venc")</f>
        <v>venc</v>
      </c>
      <c r="V116" t="str">
        <f>+IF(Tabla2[[#This Row],[FECHA DE PAGO]]&gt;0,"pagada","por pagar")</f>
        <v>pagada</v>
      </c>
      <c r="W116" s="152" t="str">
        <f>+IF(AND(Tabla2[[#This Row],[venc]]="venc",Tabla2[[#This Row],[Columna1]]="por pagar"),"vencida","no")</f>
        <v>no</v>
      </c>
    </row>
    <row r="117" spans="1:23" x14ac:dyDescent="0.3">
      <c r="A117">
        <v>30</v>
      </c>
      <c r="B117">
        <v>0</v>
      </c>
      <c r="D117" t="s">
        <v>261</v>
      </c>
      <c r="E117" s="156">
        <v>44799</v>
      </c>
      <c r="F117" t="s">
        <v>746</v>
      </c>
      <c r="G117" s="156">
        <v>44744</v>
      </c>
      <c r="H117">
        <v>2467</v>
      </c>
      <c r="I117">
        <v>1194537.81</v>
      </c>
      <c r="K117">
        <v>226962.1839</v>
      </c>
      <c r="M117">
        <v>0</v>
      </c>
      <c r="N117">
        <v>2.5000000000000001E-2</v>
      </c>
      <c r="O117">
        <v>29863.445250000004</v>
      </c>
      <c r="P117" s="117">
        <v>1391636.54865</v>
      </c>
      <c r="Q117" s="117" t="s">
        <v>1021</v>
      </c>
      <c r="R117" s="150">
        <v>0</v>
      </c>
      <c r="S117" s="117" t="b">
        <f>OR(COUNTIF(Tabla2[[#This Row],[PROVEEDOR]],"*"&amp;'Palabra no opera'!$A$2&amp;"*"))</f>
        <v>0</v>
      </c>
      <c r="T117" s="150">
        <f>+$W$5-Tabla2[[#This Row],[FECHA DE FACTURACIÓN]]</f>
        <v>90</v>
      </c>
      <c r="U117" t="str">
        <f>+IF(Tabla2[[#This Row],[dias de credito]]&gt;=Tabla2[[#This Row],[PLAZO Días]],"venc", "No venc")</f>
        <v>venc</v>
      </c>
      <c r="V117" t="str">
        <f>+IF(Tabla2[[#This Row],[FECHA DE PAGO]]&gt;0,"pagada","por pagar")</f>
        <v>pagada</v>
      </c>
      <c r="W117" s="152" t="str">
        <f>+IF(AND(Tabla2[[#This Row],[venc]]="venc",Tabla2[[#This Row],[Columna1]]="por pagar"),"vencida","no")</f>
        <v>no</v>
      </c>
    </row>
    <row r="118" spans="1:23" x14ac:dyDescent="0.3">
      <c r="A118">
        <v>30</v>
      </c>
      <c r="B118">
        <v>4656887.12</v>
      </c>
      <c r="D118" t="s">
        <v>170</v>
      </c>
      <c r="E118" s="156">
        <v>44799</v>
      </c>
      <c r="F118" t="s">
        <v>20</v>
      </c>
      <c r="G118" s="156">
        <v>44743</v>
      </c>
      <c r="H118">
        <v>7306</v>
      </c>
      <c r="I118">
        <v>779500</v>
      </c>
      <c r="K118">
        <v>148105</v>
      </c>
      <c r="M118">
        <v>0</v>
      </c>
      <c r="N118">
        <v>0</v>
      </c>
      <c r="O118">
        <v>0</v>
      </c>
      <c r="P118" s="117">
        <v>927605</v>
      </c>
      <c r="Q118" s="117" t="s">
        <v>1021</v>
      </c>
      <c r="R118" s="150">
        <v>0</v>
      </c>
      <c r="S118" s="117" t="b">
        <f>OR(COUNTIF(Tabla2[[#This Row],[PROVEEDOR]],"*"&amp;'Palabra no opera'!$A$2&amp;"*"))</f>
        <v>0</v>
      </c>
      <c r="T118" s="150">
        <f>+$W$5-Tabla2[[#This Row],[FECHA DE FACTURACIÓN]]</f>
        <v>91</v>
      </c>
      <c r="U118" t="str">
        <f>+IF(Tabla2[[#This Row],[dias de credito]]&gt;=Tabla2[[#This Row],[PLAZO Días]],"venc", "No venc")</f>
        <v>venc</v>
      </c>
      <c r="V118" t="str">
        <f>+IF(Tabla2[[#This Row],[FECHA DE PAGO]]&gt;0,"pagada","por pagar")</f>
        <v>pagada</v>
      </c>
      <c r="W118" s="152" t="str">
        <f>+IF(AND(Tabla2[[#This Row],[venc]]="venc",Tabla2[[#This Row],[Columna1]]="por pagar"),"vencida","no")</f>
        <v>no</v>
      </c>
    </row>
    <row r="119" spans="1:23" x14ac:dyDescent="0.3">
      <c r="A119">
        <v>30</v>
      </c>
      <c r="B119">
        <v>4656887.12</v>
      </c>
      <c r="D119" t="s">
        <v>170</v>
      </c>
      <c r="E119" s="156">
        <v>44799</v>
      </c>
      <c r="F119" t="s">
        <v>20</v>
      </c>
      <c r="G119" s="156">
        <v>44741</v>
      </c>
      <c r="H119">
        <v>7283</v>
      </c>
      <c r="I119">
        <v>1919422</v>
      </c>
      <c r="K119">
        <v>364690.18</v>
      </c>
      <c r="M119">
        <v>0</v>
      </c>
      <c r="N119">
        <v>2.5000000000000001E-2</v>
      </c>
      <c r="O119">
        <v>47985.55</v>
      </c>
      <c r="P119" s="117">
        <v>2236126.6300000004</v>
      </c>
      <c r="Q119" s="117" t="s">
        <v>1021</v>
      </c>
      <c r="R119" s="150">
        <v>0</v>
      </c>
      <c r="S119" s="117" t="b">
        <f>OR(COUNTIF(Tabla2[[#This Row],[PROVEEDOR]],"*"&amp;'Palabra no opera'!$A$2&amp;"*"))</f>
        <v>0</v>
      </c>
      <c r="T119" s="150">
        <f>+$W$5-Tabla2[[#This Row],[FECHA DE FACTURACIÓN]]</f>
        <v>93</v>
      </c>
      <c r="U119" t="str">
        <f>+IF(Tabla2[[#This Row],[dias de credito]]&gt;=Tabla2[[#This Row],[PLAZO Días]],"venc", "No venc")</f>
        <v>venc</v>
      </c>
      <c r="V119" t="str">
        <f>+IF(Tabla2[[#This Row],[FECHA DE PAGO]]&gt;0,"pagada","por pagar")</f>
        <v>pagada</v>
      </c>
      <c r="W119" s="152" t="str">
        <f>+IF(AND(Tabla2[[#This Row],[venc]]="venc",Tabla2[[#This Row],[Columna1]]="por pagar"),"vencida","no")</f>
        <v>no</v>
      </c>
    </row>
    <row r="120" spans="1:23" x14ac:dyDescent="0.3">
      <c r="A120">
        <v>30</v>
      </c>
      <c r="B120">
        <v>0</v>
      </c>
      <c r="D120" t="s">
        <v>261</v>
      </c>
      <c r="E120" s="156">
        <v>44799</v>
      </c>
      <c r="F120" t="s">
        <v>746</v>
      </c>
      <c r="G120" s="156">
        <v>44728</v>
      </c>
      <c r="H120">
        <v>2396</v>
      </c>
      <c r="I120">
        <v>1458823.53</v>
      </c>
      <c r="K120">
        <v>277176.47070000001</v>
      </c>
      <c r="M120">
        <v>0</v>
      </c>
      <c r="N120">
        <v>2.5000000000000001E-2</v>
      </c>
      <c r="O120">
        <v>36470.588250000001</v>
      </c>
      <c r="P120" s="117">
        <v>1699529.4124499999</v>
      </c>
      <c r="Q120" s="117" t="s">
        <v>1021</v>
      </c>
      <c r="R120" s="150">
        <v>0</v>
      </c>
      <c r="S120" s="117" t="b">
        <f>OR(COUNTIF(Tabla2[[#This Row],[PROVEEDOR]],"*"&amp;'Palabra no opera'!$A$2&amp;"*"))</f>
        <v>0</v>
      </c>
      <c r="T120" s="150">
        <f>+$W$5-Tabla2[[#This Row],[FECHA DE FACTURACIÓN]]</f>
        <v>106</v>
      </c>
      <c r="U120" t="str">
        <f>+IF(Tabla2[[#This Row],[dias de credito]]&gt;=Tabla2[[#This Row],[PLAZO Días]],"venc", "No venc")</f>
        <v>venc</v>
      </c>
      <c r="V120" t="str">
        <f>+IF(Tabla2[[#This Row],[FECHA DE PAGO]]&gt;0,"pagada","por pagar")</f>
        <v>pagada</v>
      </c>
      <c r="W120" s="152" t="str">
        <f>+IF(AND(Tabla2[[#This Row],[venc]]="venc",Tabla2[[#This Row],[Columna1]]="por pagar"),"vencida","no")</f>
        <v>no</v>
      </c>
    </row>
    <row r="121" spans="1:23" x14ac:dyDescent="0.3">
      <c r="A121">
        <v>30</v>
      </c>
      <c r="B121">
        <v>0</v>
      </c>
      <c r="C121" t="s">
        <v>1058</v>
      </c>
      <c r="D121" t="s">
        <v>261</v>
      </c>
      <c r="E121" s="156">
        <v>44799</v>
      </c>
      <c r="F121" t="s">
        <v>746</v>
      </c>
      <c r="G121" s="156">
        <v>44718</v>
      </c>
      <c r="H121" t="s">
        <v>1057</v>
      </c>
      <c r="I121">
        <v>4845</v>
      </c>
      <c r="K121">
        <v>920.55</v>
      </c>
      <c r="M121">
        <v>0</v>
      </c>
      <c r="N121">
        <v>0</v>
      </c>
      <c r="O121">
        <v>0</v>
      </c>
      <c r="P121" s="117">
        <v>5765.55</v>
      </c>
      <c r="Q121" s="117" t="s">
        <v>1021</v>
      </c>
      <c r="R121" s="150">
        <v>0</v>
      </c>
      <c r="S121" s="117" t="b">
        <f>OR(COUNTIF(Tabla2[[#This Row],[PROVEEDOR]],"*"&amp;'Palabra no opera'!$A$2&amp;"*"))</f>
        <v>0</v>
      </c>
      <c r="T121" s="150">
        <f>+$W$5-Tabla2[[#This Row],[FECHA DE FACTURACIÓN]]</f>
        <v>116</v>
      </c>
      <c r="U121" t="str">
        <f>+IF(Tabla2[[#This Row],[dias de credito]]&gt;=Tabla2[[#This Row],[PLAZO Días]],"venc", "No venc")</f>
        <v>venc</v>
      </c>
      <c r="V121" t="str">
        <f>+IF(Tabla2[[#This Row],[FECHA DE PAGO]]&gt;0,"pagada","por pagar")</f>
        <v>pagada</v>
      </c>
      <c r="W121" s="152" t="str">
        <f>+IF(AND(Tabla2[[#This Row],[venc]]="venc",Tabla2[[#This Row],[Columna1]]="por pagar"),"vencida","no")</f>
        <v>no</v>
      </c>
    </row>
    <row r="122" spans="1:23" x14ac:dyDescent="0.3">
      <c r="A122">
        <v>0</v>
      </c>
      <c r="B122">
        <v>0</v>
      </c>
      <c r="D122" t="s">
        <v>178</v>
      </c>
      <c r="E122" s="156">
        <v>44797</v>
      </c>
      <c r="F122" t="s">
        <v>1633</v>
      </c>
      <c r="G122" s="156">
        <v>44797</v>
      </c>
      <c r="H122" t="s">
        <v>1634</v>
      </c>
      <c r="I122">
        <v>238655.46</v>
      </c>
      <c r="K122">
        <v>45344.537400000001</v>
      </c>
      <c r="M122">
        <v>0</v>
      </c>
      <c r="N122">
        <v>0</v>
      </c>
      <c r="O122">
        <v>0</v>
      </c>
      <c r="P122" s="117">
        <v>283999.99739999999</v>
      </c>
      <c r="Q122" s="117" t="s">
        <v>1021</v>
      </c>
      <c r="R122" s="150">
        <v>0</v>
      </c>
      <c r="S122" s="117" t="b">
        <f>OR(COUNTIF(Tabla2[[#This Row],[PROVEEDOR]],"*"&amp;'Palabra no opera'!$A$2&amp;"*"))</f>
        <v>1</v>
      </c>
      <c r="T122" s="150">
        <f>+$W$5-Tabla2[[#This Row],[FECHA DE FACTURACIÓN]]</f>
        <v>37</v>
      </c>
      <c r="U122" t="str">
        <f>+IF(Tabla2[[#This Row],[dias de credito]]&gt;=Tabla2[[#This Row],[PLAZO Días]],"venc", "No venc")</f>
        <v>venc</v>
      </c>
      <c r="V122" t="str">
        <f>+IF(Tabla2[[#This Row],[FECHA DE PAGO]]&gt;0,"pagada","por pagar")</f>
        <v>pagada</v>
      </c>
      <c r="W122" s="152" t="str">
        <f>+IF(AND(Tabla2[[#This Row],[venc]]="venc",Tabla2[[#This Row],[Columna1]]="por pagar"),"vencida","no")</f>
        <v>no</v>
      </c>
    </row>
    <row r="123" spans="1:23" x14ac:dyDescent="0.3">
      <c r="A123">
        <v>10</v>
      </c>
      <c r="B123">
        <v>0</v>
      </c>
      <c r="D123" t="s">
        <v>139</v>
      </c>
      <c r="E123" s="156">
        <v>44797</v>
      </c>
      <c r="F123" t="s">
        <v>23</v>
      </c>
      <c r="G123" s="156">
        <v>44796</v>
      </c>
      <c r="H123">
        <v>293703</v>
      </c>
      <c r="I123">
        <v>15669538</v>
      </c>
      <c r="K123">
        <v>0</v>
      </c>
      <c r="M123">
        <v>0</v>
      </c>
      <c r="N123">
        <v>0</v>
      </c>
      <c r="O123">
        <v>0</v>
      </c>
      <c r="P123" s="117">
        <v>15669538</v>
      </c>
      <c r="Q123" s="117" t="s">
        <v>1021</v>
      </c>
      <c r="R123" s="150">
        <v>0</v>
      </c>
      <c r="S123" s="117" t="b">
        <f>OR(COUNTIF(Tabla2[[#This Row],[PROVEEDOR]],"*"&amp;'Palabra no opera'!$A$2&amp;"*"))</f>
        <v>0</v>
      </c>
      <c r="T123" s="150">
        <f>+$W$5-Tabla2[[#This Row],[FECHA DE FACTURACIÓN]]</f>
        <v>38</v>
      </c>
      <c r="U123" t="str">
        <f>+IF(Tabla2[[#This Row],[dias de credito]]&gt;=Tabla2[[#This Row],[PLAZO Días]],"venc", "No venc")</f>
        <v>venc</v>
      </c>
      <c r="V123" t="str">
        <f>+IF(Tabla2[[#This Row],[FECHA DE PAGO]]&gt;0,"pagada","por pagar")</f>
        <v>pagada</v>
      </c>
      <c r="W123" s="152" t="str">
        <f>+IF(AND(Tabla2[[#This Row],[venc]]="venc",Tabla2[[#This Row],[Columna1]]="por pagar"),"vencida","no")</f>
        <v>no</v>
      </c>
    </row>
    <row r="124" spans="1:23" x14ac:dyDescent="0.3">
      <c r="A124">
        <v>30</v>
      </c>
      <c r="B124">
        <v>0</v>
      </c>
      <c r="D124" t="s">
        <v>139</v>
      </c>
      <c r="E124" s="156">
        <v>44796</v>
      </c>
      <c r="F124" t="s">
        <v>1130</v>
      </c>
      <c r="G124" s="156">
        <v>44795</v>
      </c>
      <c r="H124" t="s">
        <v>1408</v>
      </c>
      <c r="I124">
        <v>146790</v>
      </c>
      <c r="K124">
        <v>0</v>
      </c>
      <c r="M124">
        <v>0</v>
      </c>
      <c r="N124">
        <v>0</v>
      </c>
      <c r="O124">
        <v>0</v>
      </c>
      <c r="P124" s="117">
        <v>146790</v>
      </c>
      <c r="Q124" s="117" t="s">
        <v>1021</v>
      </c>
      <c r="R124" s="150">
        <v>0</v>
      </c>
      <c r="S124" s="117" t="b">
        <f>OR(COUNTIF(Tabla2[[#This Row],[PROVEEDOR]],"*"&amp;'Palabra no opera'!$A$2&amp;"*"))</f>
        <v>1</v>
      </c>
      <c r="T124" s="150">
        <f>+$W$5-Tabla2[[#This Row],[FECHA DE FACTURACIÓN]]</f>
        <v>39</v>
      </c>
      <c r="U124" t="str">
        <f>+IF(Tabla2[[#This Row],[dias de credito]]&gt;=Tabla2[[#This Row],[PLAZO Días]],"venc", "No venc")</f>
        <v>venc</v>
      </c>
      <c r="V124" t="str">
        <f>+IF(Tabla2[[#This Row],[FECHA DE PAGO]]&gt;0,"pagada","por pagar")</f>
        <v>pagada</v>
      </c>
      <c r="W124" s="152" t="str">
        <f>+IF(AND(Tabla2[[#This Row],[venc]]="venc",Tabla2[[#This Row],[Columna1]]="por pagar"),"vencida","no")</f>
        <v>no</v>
      </c>
    </row>
    <row r="125" spans="1:23" x14ac:dyDescent="0.3">
      <c r="A125">
        <v>30</v>
      </c>
      <c r="B125">
        <v>0</v>
      </c>
      <c r="D125" t="s">
        <v>1420</v>
      </c>
      <c r="E125" s="156">
        <v>44796</v>
      </c>
      <c r="F125" t="s">
        <v>1127</v>
      </c>
      <c r="G125" s="156">
        <v>44795</v>
      </c>
      <c r="H125" t="s">
        <v>1428</v>
      </c>
      <c r="I125">
        <v>1259000</v>
      </c>
      <c r="K125">
        <v>0</v>
      </c>
      <c r="M125">
        <v>0</v>
      </c>
      <c r="N125">
        <v>2.5000000000000001E-2</v>
      </c>
      <c r="O125">
        <v>31475</v>
      </c>
      <c r="P125" s="117">
        <v>1227525</v>
      </c>
      <c r="Q125" s="117" t="s">
        <v>1021</v>
      </c>
      <c r="R125" s="150">
        <v>0</v>
      </c>
      <c r="S125" s="117" t="b">
        <f>OR(COUNTIF(Tabla2[[#This Row],[PROVEEDOR]],"*"&amp;'Palabra no opera'!$A$2&amp;"*"))</f>
        <v>1</v>
      </c>
      <c r="T125" s="150">
        <f>+$W$5-Tabla2[[#This Row],[FECHA DE FACTURACIÓN]]</f>
        <v>39</v>
      </c>
      <c r="U125" t="str">
        <f>+IF(Tabla2[[#This Row],[dias de credito]]&gt;=Tabla2[[#This Row],[PLAZO Días]],"venc", "No venc")</f>
        <v>venc</v>
      </c>
      <c r="V125" t="str">
        <f>+IF(Tabla2[[#This Row],[FECHA DE PAGO]]&gt;0,"pagada","por pagar")</f>
        <v>pagada</v>
      </c>
      <c r="W125" s="152" t="str">
        <f>+IF(AND(Tabla2[[#This Row],[venc]]="venc",Tabla2[[#This Row],[Columna1]]="por pagar"),"vencida","no")</f>
        <v>no</v>
      </c>
    </row>
    <row r="126" spans="1:23" x14ac:dyDescent="0.3">
      <c r="A126">
        <v>30</v>
      </c>
      <c r="B126">
        <v>0</v>
      </c>
      <c r="D126" t="s">
        <v>139</v>
      </c>
      <c r="E126" s="156">
        <v>44796</v>
      </c>
      <c r="F126" t="s">
        <v>1130</v>
      </c>
      <c r="G126" s="156">
        <v>44793</v>
      </c>
      <c r="H126" t="s">
        <v>1407</v>
      </c>
      <c r="I126">
        <v>101400</v>
      </c>
      <c r="K126">
        <v>0</v>
      </c>
      <c r="M126">
        <v>0</v>
      </c>
      <c r="N126">
        <v>0</v>
      </c>
      <c r="O126">
        <v>0</v>
      </c>
      <c r="P126" s="117">
        <v>101400</v>
      </c>
      <c r="Q126" s="117" t="s">
        <v>1021</v>
      </c>
      <c r="R126" s="150">
        <v>0</v>
      </c>
      <c r="S126" s="117" t="b">
        <f>OR(COUNTIF(Tabla2[[#This Row],[PROVEEDOR]],"*"&amp;'Palabra no opera'!$A$2&amp;"*"))</f>
        <v>1</v>
      </c>
      <c r="T126" s="150">
        <f>+$W$5-Tabla2[[#This Row],[FECHA DE FACTURACIÓN]]</f>
        <v>41</v>
      </c>
      <c r="U126" t="str">
        <f>+IF(Tabla2[[#This Row],[dias de credito]]&gt;=Tabla2[[#This Row],[PLAZO Días]],"venc", "No venc")</f>
        <v>venc</v>
      </c>
      <c r="V126" t="str">
        <f>+IF(Tabla2[[#This Row],[FECHA DE PAGO]]&gt;0,"pagada","por pagar")</f>
        <v>pagada</v>
      </c>
      <c r="W126" s="152" t="str">
        <f>+IF(AND(Tabla2[[#This Row],[venc]]="venc",Tabla2[[#This Row],[Columna1]]="por pagar"),"vencida","no")</f>
        <v>no</v>
      </c>
    </row>
    <row r="127" spans="1:23" x14ac:dyDescent="0.3">
      <c r="A127">
        <v>30</v>
      </c>
      <c r="B127">
        <v>0</v>
      </c>
      <c r="C127" t="s">
        <v>1396</v>
      </c>
      <c r="D127" t="s">
        <v>139</v>
      </c>
      <c r="E127" s="156">
        <v>44796</v>
      </c>
      <c r="F127" t="s">
        <v>1130</v>
      </c>
      <c r="G127" s="156">
        <v>44790</v>
      </c>
      <c r="H127" t="s">
        <v>1160</v>
      </c>
      <c r="I127">
        <v>-120000</v>
      </c>
      <c r="K127">
        <v>0</v>
      </c>
      <c r="M127">
        <v>0</v>
      </c>
      <c r="N127">
        <v>0</v>
      </c>
      <c r="O127">
        <v>0</v>
      </c>
      <c r="P127" s="117">
        <v>-120000</v>
      </c>
      <c r="Q127" s="117" t="s">
        <v>1021</v>
      </c>
      <c r="R127" s="150">
        <v>0</v>
      </c>
      <c r="S127" s="117" t="b">
        <f>OR(COUNTIF(Tabla2[[#This Row],[PROVEEDOR]],"*"&amp;'Palabra no opera'!$A$2&amp;"*"))</f>
        <v>1</v>
      </c>
      <c r="T127" s="150">
        <f>+$W$5-Tabla2[[#This Row],[FECHA DE FACTURACIÓN]]</f>
        <v>44</v>
      </c>
      <c r="U127" t="str">
        <f>+IF(Tabla2[[#This Row],[dias de credito]]&gt;=Tabla2[[#This Row],[PLAZO Días]],"venc", "No venc")</f>
        <v>venc</v>
      </c>
      <c r="V127" t="str">
        <f>+IF(Tabla2[[#This Row],[FECHA DE PAGO]]&gt;0,"pagada","por pagar")</f>
        <v>pagada</v>
      </c>
      <c r="W127" s="152" t="str">
        <f>+IF(AND(Tabla2[[#This Row],[venc]]="venc",Tabla2[[#This Row],[Columna1]]="por pagar"),"vencida","no")</f>
        <v>no</v>
      </c>
    </row>
    <row r="128" spans="1:23" x14ac:dyDescent="0.3">
      <c r="A128">
        <v>30</v>
      </c>
      <c r="B128">
        <v>0</v>
      </c>
      <c r="D128" t="s">
        <v>139</v>
      </c>
      <c r="E128" s="156">
        <v>44796</v>
      </c>
      <c r="F128" t="s">
        <v>1130</v>
      </c>
      <c r="G128" s="156">
        <v>44790</v>
      </c>
      <c r="H128" t="s">
        <v>1160</v>
      </c>
      <c r="I128">
        <v>293580</v>
      </c>
      <c r="K128">
        <v>0</v>
      </c>
      <c r="M128">
        <v>0</v>
      </c>
      <c r="N128">
        <v>0</v>
      </c>
      <c r="O128">
        <v>0</v>
      </c>
      <c r="P128" s="117">
        <v>293580</v>
      </c>
      <c r="Q128" s="117" t="s">
        <v>1021</v>
      </c>
      <c r="R128" s="150">
        <v>0</v>
      </c>
      <c r="S128" s="117" t="b">
        <f>OR(COUNTIF(Tabla2[[#This Row],[PROVEEDOR]],"*"&amp;'Palabra no opera'!$A$2&amp;"*"))</f>
        <v>1</v>
      </c>
      <c r="T128" s="150">
        <f>+$W$5-Tabla2[[#This Row],[FECHA DE FACTURACIÓN]]</f>
        <v>44</v>
      </c>
      <c r="U128" t="str">
        <f>+IF(Tabla2[[#This Row],[dias de credito]]&gt;=Tabla2[[#This Row],[PLAZO Días]],"venc", "No venc")</f>
        <v>venc</v>
      </c>
      <c r="V128" t="str">
        <f>+IF(Tabla2[[#This Row],[FECHA DE PAGO]]&gt;0,"pagada","por pagar")</f>
        <v>pagada</v>
      </c>
      <c r="W128" s="152" t="str">
        <f>+IF(AND(Tabla2[[#This Row],[venc]]="venc",Tabla2[[#This Row],[Columna1]]="por pagar"),"vencida","no")</f>
        <v>no</v>
      </c>
    </row>
    <row r="129" spans="1:23" x14ac:dyDescent="0.3">
      <c r="A129">
        <v>30</v>
      </c>
      <c r="B129">
        <v>0</v>
      </c>
      <c r="D129" t="s">
        <v>139</v>
      </c>
      <c r="E129" s="156">
        <v>44796</v>
      </c>
      <c r="F129" t="s">
        <v>1130</v>
      </c>
      <c r="G129" s="156">
        <v>44790</v>
      </c>
      <c r="H129" t="s">
        <v>1401</v>
      </c>
      <c r="I129">
        <v>178500</v>
      </c>
      <c r="K129">
        <v>0</v>
      </c>
      <c r="M129">
        <v>0</v>
      </c>
      <c r="N129">
        <v>0</v>
      </c>
      <c r="O129">
        <v>0</v>
      </c>
      <c r="P129" s="117">
        <v>178500</v>
      </c>
      <c r="Q129" s="117" t="s">
        <v>1021</v>
      </c>
      <c r="R129" s="150">
        <v>0</v>
      </c>
      <c r="S129" s="117" t="b">
        <f>OR(COUNTIF(Tabla2[[#This Row],[PROVEEDOR]],"*"&amp;'Palabra no opera'!$A$2&amp;"*"))</f>
        <v>1</v>
      </c>
      <c r="T129" s="150">
        <f>+$W$5-Tabla2[[#This Row],[FECHA DE FACTURACIÓN]]</f>
        <v>44</v>
      </c>
      <c r="U129" t="str">
        <f>+IF(Tabla2[[#This Row],[dias de credito]]&gt;=Tabla2[[#This Row],[PLAZO Días]],"venc", "No venc")</f>
        <v>venc</v>
      </c>
      <c r="V129" t="str">
        <f>+IF(Tabla2[[#This Row],[FECHA DE PAGO]]&gt;0,"pagada","por pagar")</f>
        <v>pagada</v>
      </c>
      <c r="W129" s="152" t="str">
        <f>+IF(AND(Tabla2[[#This Row],[venc]]="venc",Tabla2[[#This Row],[Columna1]]="por pagar"),"vencida","no")</f>
        <v>no</v>
      </c>
    </row>
    <row r="130" spans="1:23" x14ac:dyDescent="0.3">
      <c r="A130">
        <v>30</v>
      </c>
      <c r="B130">
        <v>0</v>
      </c>
      <c r="D130" t="s">
        <v>268</v>
      </c>
      <c r="E130" s="156">
        <v>44796</v>
      </c>
      <c r="F130" t="s">
        <v>930</v>
      </c>
      <c r="G130" s="156">
        <v>44783</v>
      </c>
      <c r="H130" t="s">
        <v>1178</v>
      </c>
      <c r="I130">
        <v>1070000</v>
      </c>
      <c r="K130">
        <v>0</v>
      </c>
      <c r="M130">
        <v>0</v>
      </c>
      <c r="N130">
        <v>0</v>
      </c>
      <c r="O130">
        <v>0</v>
      </c>
      <c r="P130" s="117">
        <v>1070000</v>
      </c>
      <c r="Q130" s="117" t="s">
        <v>1021</v>
      </c>
      <c r="R130" s="150">
        <v>0</v>
      </c>
      <c r="S130" s="117" t="b">
        <f>OR(COUNTIF(Tabla2[[#This Row],[PROVEEDOR]],"*"&amp;'Palabra no opera'!$A$2&amp;"*"))</f>
        <v>1</v>
      </c>
      <c r="T130" s="150">
        <f>+$W$5-Tabla2[[#This Row],[FECHA DE FACTURACIÓN]]</f>
        <v>51</v>
      </c>
      <c r="U130" t="str">
        <f>+IF(Tabla2[[#This Row],[dias de credito]]&gt;=Tabla2[[#This Row],[PLAZO Días]],"venc", "No venc")</f>
        <v>venc</v>
      </c>
      <c r="V130" t="str">
        <f>+IF(Tabla2[[#This Row],[FECHA DE PAGO]]&gt;0,"pagada","por pagar")</f>
        <v>pagada</v>
      </c>
      <c r="W130" s="152" t="str">
        <f>+IF(AND(Tabla2[[#This Row],[venc]]="venc",Tabla2[[#This Row],[Columna1]]="por pagar"),"vencida","no")</f>
        <v>no</v>
      </c>
    </row>
    <row r="131" spans="1:23" x14ac:dyDescent="0.3">
      <c r="A131">
        <v>30</v>
      </c>
      <c r="B131">
        <v>0</v>
      </c>
      <c r="D131">
        <v>0</v>
      </c>
      <c r="E131" s="156">
        <v>44796</v>
      </c>
      <c r="F131" t="s">
        <v>700</v>
      </c>
      <c r="G131" s="156">
        <v>44767</v>
      </c>
      <c r="H131" t="s">
        <v>1154</v>
      </c>
      <c r="I131">
        <v>1170000</v>
      </c>
      <c r="K131">
        <v>0</v>
      </c>
      <c r="M131">
        <v>0</v>
      </c>
      <c r="N131">
        <v>0</v>
      </c>
      <c r="O131">
        <v>0</v>
      </c>
      <c r="P131" s="117">
        <v>1170000</v>
      </c>
      <c r="Q131" s="117" t="s">
        <v>1021</v>
      </c>
      <c r="R131" s="150">
        <v>0</v>
      </c>
      <c r="S131" s="117" t="b">
        <f>OR(COUNTIF(Tabla2[[#This Row],[PROVEEDOR]],"*"&amp;'Palabra no opera'!$A$2&amp;"*"))</f>
        <v>0</v>
      </c>
      <c r="T131" s="150">
        <f>+$W$5-Tabla2[[#This Row],[FECHA DE FACTURACIÓN]]</f>
        <v>67</v>
      </c>
      <c r="U131" t="str">
        <f>+IF(Tabla2[[#This Row],[dias de credito]]&gt;=Tabla2[[#This Row],[PLAZO Días]],"venc", "No venc")</f>
        <v>venc</v>
      </c>
      <c r="V131" t="str">
        <f>+IF(Tabla2[[#This Row],[FECHA DE PAGO]]&gt;0,"pagada","por pagar")</f>
        <v>pagada</v>
      </c>
      <c r="W131" s="152" t="str">
        <f>+IF(AND(Tabla2[[#This Row],[venc]]="venc",Tabla2[[#This Row],[Columna1]]="por pagar"),"vencida","no")</f>
        <v>no</v>
      </c>
    </row>
    <row r="132" spans="1:23" x14ac:dyDescent="0.3">
      <c r="A132">
        <v>45</v>
      </c>
      <c r="B132">
        <v>30078253.170000002</v>
      </c>
      <c r="D132" t="s">
        <v>884</v>
      </c>
      <c r="E132" s="156">
        <v>44796</v>
      </c>
      <c r="F132" t="s">
        <v>19</v>
      </c>
      <c r="G132" s="156">
        <v>44740</v>
      </c>
      <c r="H132" t="s">
        <v>1101</v>
      </c>
      <c r="I132">
        <v>1122560</v>
      </c>
      <c r="K132">
        <v>213286.39999999999</v>
      </c>
      <c r="M132">
        <v>0</v>
      </c>
      <c r="N132">
        <v>0</v>
      </c>
      <c r="O132">
        <v>0</v>
      </c>
      <c r="P132" s="117">
        <v>1335846.3999999999</v>
      </c>
      <c r="Q132" s="117" t="s">
        <v>1021</v>
      </c>
      <c r="R132" s="150">
        <v>0</v>
      </c>
      <c r="S132" s="117" t="b">
        <f>OR(COUNTIF(Tabla2[[#This Row],[PROVEEDOR]],"*"&amp;'Palabra no opera'!$A$2&amp;"*"))</f>
        <v>0</v>
      </c>
      <c r="T132" s="150">
        <f>+$W$5-Tabla2[[#This Row],[FECHA DE FACTURACIÓN]]</f>
        <v>94</v>
      </c>
      <c r="U132" t="str">
        <f>+IF(Tabla2[[#This Row],[dias de credito]]&gt;=Tabla2[[#This Row],[PLAZO Días]],"venc", "No venc")</f>
        <v>venc</v>
      </c>
      <c r="V132" t="str">
        <f>+IF(Tabla2[[#This Row],[FECHA DE PAGO]]&gt;0,"pagada","por pagar")</f>
        <v>pagada</v>
      </c>
      <c r="W132" s="152" t="str">
        <f>+IF(AND(Tabla2[[#This Row],[venc]]="venc",Tabla2[[#This Row],[Columna1]]="por pagar"),"vencida","no")</f>
        <v>no</v>
      </c>
    </row>
    <row r="133" spans="1:23" x14ac:dyDescent="0.3">
      <c r="A133">
        <v>45</v>
      </c>
      <c r="B133">
        <v>30078253.170000002</v>
      </c>
      <c r="D133" t="s">
        <v>884</v>
      </c>
      <c r="E133" s="156">
        <v>44796</v>
      </c>
      <c r="F133" t="s">
        <v>19</v>
      </c>
      <c r="G133" s="156">
        <v>44734</v>
      </c>
      <c r="H133" t="s">
        <v>1060</v>
      </c>
      <c r="I133">
        <v>14080000</v>
      </c>
      <c r="K133">
        <v>2675200</v>
      </c>
      <c r="M133">
        <v>0</v>
      </c>
      <c r="N133">
        <v>0</v>
      </c>
      <c r="O133">
        <v>0</v>
      </c>
      <c r="P133" s="117">
        <v>16755200</v>
      </c>
      <c r="Q133" s="117" t="s">
        <v>1021</v>
      </c>
      <c r="R133" s="150">
        <v>0</v>
      </c>
      <c r="S133" s="117" t="b">
        <f>OR(COUNTIF(Tabla2[[#This Row],[PROVEEDOR]],"*"&amp;'Palabra no opera'!$A$2&amp;"*"))</f>
        <v>0</v>
      </c>
      <c r="T133" s="150">
        <f>+$W$5-Tabla2[[#This Row],[FECHA DE FACTURACIÓN]]</f>
        <v>100</v>
      </c>
      <c r="U133" t="str">
        <f>+IF(Tabla2[[#This Row],[dias de credito]]&gt;=Tabla2[[#This Row],[PLAZO Días]],"venc", "No venc")</f>
        <v>venc</v>
      </c>
      <c r="V133" t="str">
        <f>+IF(Tabla2[[#This Row],[FECHA DE PAGO]]&gt;0,"pagada","por pagar")</f>
        <v>pagada</v>
      </c>
      <c r="W133" s="152" t="str">
        <f>+IF(AND(Tabla2[[#This Row],[venc]]="venc",Tabla2[[#This Row],[Columna1]]="por pagar"),"vencida","no")</f>
        <v>no</v>
      </c>
    </row>
    <row r="134" spans="1:23" x14ac:dyDescent="0.3">
      <c r="A134">
        <v>30</v>
      </c>
      <c r="B134">
        <v>0</v>
      </c>
      <c r="D134" t="s">
        <v>622</v>
      </c>
      <c r="E134" s="156">
        <v>44795</v>
      </c>
      <c r="F134" t="s">
        <v>623</v>
      </c>
      <c r="G134" s="156">
        <v>44743</v>
      </c>
      <c r="H134" t="s">
        <v>1614</v>
      </c>
      <c r="I134">
        <v>2659000</v>
      </c>
      <c r="K134">
        <v>0</v>
      </c>
      <c r="M134">
        <v>0</v>
      </c>
      <c r="N134">
        <v>0</v>
      </c>
      <c r="O134">
        <v>0</v>
      </c>
      <c r="P134" s="117">
        <v>2659000</v>
      </c>
      <c r="Q134" s="117" t="s">
        <v>1021</v>
      </c>
      <c r="R134" s="150">
        <v>0</v>
      </c>
      <c r="S134" s="117" t="b">
        <f>OR(COUNTIF(Tabla2[[#This Row],[PROVEEDOR]],"*"&amp;'Palabra no opera'!$A$2&amp;"*"))</f>
        <v>0</v>
      </c>
      <c r="T134" s="150">
        <f>+$W$5-Tabla2[[#This Row],[FECHA DE FACTURACIÓN]]</f>
        <v>91</v>
      </c>
      <c r="U134" t="str">
        <f>+IF(Tabla2[[#This Row],[dias de credito]]&gt;=Tabla2[[#This Row],[PLAZO Días]],"venc", "No venc")</f>
        <v>venc</v>
      </c>
      <c r="V134" t="str">
        <f>+IF(Tabla2[[#This Row],[FECHA DE PAGO]]&gt;0,"pagada","por pagar")</f>
        <v>pagada</v>
      </c>
      <c r="W134" s="152" t="str">
        <f>+IF(AND(Tabla2[[#This Row],[venc]]="venc",Tabla2[[#This Row],[Columna1]]="por pagar"),"vencida","no")</f>
        <v>no</v>
      </c>
    </row>
    <row r="135" spans="1:23" x14ac:dyDescent="0.3">
      <c r="A135">
        <v>30</v>
      </c>
      <c r="B135">
        <v>9756105</v>
      </c>
      <c r="D135" t="s">
        <v>476</v>
      </c>
      <c r="E135" s="156">
        <v>44795</v>
      </c>
      <c r="F135" t="s">
        <v>670</v>
      </c>
      <c r="G135" s="156">
        <v>44716</v>
      </c>
      <c r="H135" t="s">
        <v>1069</v>
      </c>
      <c r="I135">
        <v>258000</v>
      </c>
      <c r="K135">
        <v>0</v>
      </c>
      <c r="M135">
        <v>0</v>
      </c>
      <c r="N135">
        <v>0</v>
      </c>
      <c r="O135">
        <v>0</v>
      </c>
      <c r="P135" s="117">
        <v>258000</v>
      </c>
      <c r="Q135" s="117" t="s">
        <v>1021</v>
      </c>
      <c r="R135" s="150">
        <v>0</v>
      </c>
      <c r="S135" s="117" t="b">
        <f>OR(COUNTIF(Tabla2[[#This Row],[PROVEEDOR]],"*"&amp;'Palabra no opera'!$A$2&amp;"*"))</f>
        <v>0</v>
      </c>
      <c r="T135" s="150">
        <f>+$W$5-Tabla2[[#This Row],[FECHA DE FACTURACIÓN]]</f>
        <v>118</v>
      </c>
      <c r="U135" t="str">
        <f>+IF(Tabla2[[#This Row],[dias de credito]]&gt;=Tabla2[[#This Row],[PLAZO Días]],"venc", "No venc")</f>
        <v>venc</v>
      </c>
      <c r="V135" t="str">
        <f>+IF(Tabla2[[#This Row],[FECHA DE PAGO]]&gt;0,"pagada","por pagar")</f>
        <v>pagada</v>
      </c>
      <c r="W135" s="152" t="str">
        <f>+IF(AND(Tabla2[[#This Row],[venc]]="venc",Tabla2[[#This Row],[Columna1]]="por pagar"),"vencida","no")</f>
        <v>no</v>
      </c>
    </row>
    <row r="136" spans="1:23" x14ac:dyDescent="0.3">
      <c r="A136">
        <v>30</v>
      </c>
      <c r="B136">
        <v>9756105</v>
      </c>
      <c r="D136" t="s">
        <v>476</v>
      </c>
      <c r="E136" s="156">
        <v>44795</v>
      </c>
      <c r="F136" t="s">
        <v>670</v>
      </c>
      <c r="G136" s="156">
        <v>44716</v>
      </c>
      <c r="H136" t="s">
        <v>1074</v>
      </c>
      <c r="I136">
        <v>4213300</v>
      </c>
      <c r="K136">
        <v>0</v>
      </c>
      <c r="M136">
        <v>0</v>
      </c>
      <c r="N136">
        <v>0</v>
      </c>
      <c r="O136">
        <v>0</v>
      </c>
      <c r="P136" s="117">
        <v>4213300</v>
      </c>
      <c r="Q136" s="117" t="s">
        <v>1021</v>
      </c>
      <c r="R136" s="150">
        <v>0</v>
      </c>
      <c r="S136" s="117" t="b">
        <f>OR(COUNTIF(Tabla2[[#This Row],[PROVEEDOR]],"*"&amp;'Palabra no opera'!$A$2&amp;"*"))</f>
        <v>0</v>
      </c>
      <c r="T136" s="150">
        <f>+$W$5-Tabla2[[#This Row],[FECHA DE FACTURACIÓN]]</f>
        <v>118</v>
      </c>
      <c r="U136" t="str">
        <f>+IF(Tabla2[[#This Row],[dias de credito]]&gt;=Tabla2[[#This Row],[PLAZO Días]],"venc", "No venc")</f>
        <v>venc</v>
      </c>
      <c r="V136" t="str">
        <f>+IF(Tabla2[[#This Row],[FECHA DE PAGO]]&gt;0,"pagada","por pagar")</f>
        <v>pagada</v>
      </c>
      <c r="W136" s="152" t="str">
        <f>+IF(AND(Tabla2[[#This Row],[venc]]="venc",Tabla2[[#This Row],[Columna1]]="por pagar"),"vencida","no")</f>
        <v>no</v>
      </c>
    </row>
    <row r="137" spans="1:23" x14ac:dyDescent="0.3">
      <c r="A137">
        <v>30</v>
      </c>
      <c r="B137">
        <v>0</v>
      </c>
      <c r="D137" t="s">
        <v>139</v>
      </c>
      <c r="E137" s="156">
        <v>44793</v>
      </c>
      <c r="F137" t="s">
        <v>673</v>
      </c>
      <c r="G137" s="156">
        <v>44793</v>
      </c>
      <c r="I137">
        <v>888000</v>
      </c>
      <c r="K137">
        <v>0</v>
      </c>
      <c r="M137">
        <v>0</v>
      </c>
      <c r="N137">
        <v>0</v>
      </c>
      <c r="O137">
        <v>0</v>
      </c>
      <c r="P137" s="117">
        <v>888000</v>
      </c>
      <c r="Q137" s="117" t="s">
        <v>1021</v>
      </c>
      <c r="R137" s="150">
        <v>0</v>
      </c>
      <c r="S137" s="117" t="b">
        <f>OR(COUNTIF(Tabla2[[#This Row],[PROVEEDOR]],"*"&amp;'Palabra no opera'!$A$2&amp;"*"))</f>
        <v>0</v>
      </c>
      <c r="T137" s="150">
        <f>+$W$5-Tabla2[[#This Row],[FECHA DE FACTURACIÓN]]</f>
        <v>41</v>
      </c>
      <c r="U137" t="str">
        <f>+IF(Tabla2[[#This Row],[dias de credito]]&gt;=Tabla2[[#This Row],[PLAZO Días]],"venc", "No venc")</f>
        <v>venc</v>
      </c>
      <c r="V137" t="str">
        <f>+IF(Tabla2[[#This Row],[FECHA DE PAGO]]&gt;0,"pagada","por pagar")</f>
        <v>pagada</v>
      </c>
      <c r="W137" s="152" t="str">
        <f>+IF(AND(Tabla2[[#This Row],[venc]]="venc",Tabla2[[#This Row],[Columna1]]="por pagar"),"vencida","no")</f>
        <v>no</v>
      </c>
    </row>
    <row r="138" spans="1:23" x14ac:dyDescent="0.3">
      <c r="A138">
        <v>30</v>
      </c>
      <c r="B138">
        <v>0</v>
      </c>
      <c r="D138" t="s">
        <v>139</v>
      </c>
      <c r="E138" s="156">
        <v>44793</v>
      </c>
      <c r="F138" t="s">
        <v>638</v>
      </c>
      <c r="G138" s="156">
        <v>44785</v>
      </c>
      <c r="H138" t="s">
        <v>1425</v>
      </c>
      <c r="I138">
        <v>1708000</v>
      </c>
      <c r="K138">
        <v>0</v>
      </c>
      <c r="M138">
        <v>0</v>
      </c>
      <c r="N138">
        <v>0</v>
      </c>
      <c r="O138">
        <v>0</v>
      </c>
      <c r="P138" s="117">
        <v>1708000</v>
      </c>
      <c r="Q138" s="117" t="s">
        <v>1021</v>
      </c>
      <c r="R138" s="150">
        <v>0</v>
      </c>
      <c r="S138" s="117" t="b">
        <f>OR(COUNTIF(Tabla2[[#This Row],[PROVEEDOR]],"*"&amp;'Palabra no opera'!$A$2&amp;"*"))</f>
        <v>0</v>
      </c>
      <c r="T138" s="150">
        <f>+$W$5-Tabla2[[#This Row],[FECHA DE FACTURACIÓN]]</f>
        <v>49</v>
      </c>
      <c r="U138" t="str">
        <f>+IF(Tabla2[[#This Row],[dias de credito]]&gt;=Tabla2[[#This Row],[PLAZO Días]],"venc", "No venc")</f>
        <v>venc</v>
      </c>
      <c r="V138" t="str">
        <f>+IF(Tabla2[[#This Row],[FECHA DE PAGO]]&gt;0,"pagada","por pagar")</f>
        <v>pagada</v>
      </c>
      <c r="W138" s="152" t="str">
        <f>+IF(AND(Tabla2[[#This Row],[venc]]="venc",Tabla2[[#This Row],[Columna1]]="por pagar"),"vencida","no")</f>
        <v>no</v>
      </c>
    </row>
    <row r="139" spans="1:23" x14ac:dyDescent="0.3">
      <c r="A139">
        <v>30</v>
      </c>
      <c r="B139">
        <v>0</v>
      </c>
      <c r="D139">
        <v>0</v>
      </c>
      <c r="E139" s="156">
        <v>44792</v>
      </c>
      <c r="F139" t="s">
        <v>1073</v>
      </c>
      <c r="G139" s="156">
        <v>44792</v>
      </c>
      <c r="H139" t="s">
        <v>1391</v>
      </c>
      <c r="I139">
        <v>-5070000</v>
      </c>
      <c r="K139">
        <v>0</v>
      </c>
      <c r="M139">
        <v>0</v>
      </c>
      <c r="N139">
        <v>0</v>
      </c>
      <c r="O139">
        <v>0</v>
      </c>
      <c r="P139" s="117">
        <v>0</v>
      </c>
      <c r="Q139" s="117" t="s">
        <v>1021</v>
      </c>
      <c r="R139" s="150">
        <v>0</v>
      </c>
      <c r="S139" s="117" t="b">
        <f>OR(COUNTIF(Tabla2[[#This Row],[PROVEEDOR]],"*"&amp;'Palabra no opera'!$A$2&amp;"*"))</f>
        <v>0</v>
      </c>
      <c r="T139" s="150">
        <f>+$W$5-Tabla2[[#This Row],[FECHA DE FACTURACIÓN]]</f>
        <v>42</v>
      </c>
      <c r="U139" t="str">
        <f>+IF(Tabla2[[#This Row],[dias de credito]]&gt;=Tabla2[[#This Row],[PLAZO Días]],"venc", "No venc")</f>
        <v>venc</v>
      </c>
      <c r="V139" t="str">
        <f>+IF(Tabla2[[#This Row],[FECHA DE PAGO]]&gt;0,"pagada","por pagar")</f>
        <v>pagada</v>
      </c>
      <c r="W139" s="152" t="str">
        <f>+IF(AND(Tabla2[[#This Row],[venc]]="venc",Tabla2[[#This Row],[Columna1]]="por pagar"),"vencida","no")</f>
        <v>no</v>
      </c>
    </row>
    <row r="140" spans="1:23" x14ac:dyDescent="0.3">
      <c r="A140">
        <v>0</v>
      </c>
      <c r="B140">
        <v>0</v>
      </c>
      <c r="D140" t="s">
        <v>1135</v>
      </c>
      <c r="E140" s="156">
        <v>44792</v>
      </c>
      <c r="F140" t="s">
        <v>1136</v>
      </c>
      <c r="G140" s="156">
        <v>44791</v>
      </c>
      <c r="H140" t="s">
        <v>1405</v>
      </c>
      <c r="I140">
        <v>130000</v>
      </c>
      <c r="K140">
        <v>24700</v>
      </c>
      <c r="M140">
        <v>0</v>
      </c>
      <c r="N140">
        <v>0</v>
      </c>
      <c r="O140">
        <v>0</v>
      </c>
      <c r="P140" s="117">
        <v>154700</v>
      </c>
      <c r="Q140" s="117" t="s">
        <v>1021</v>
      </c>
      <c r="R140" s="150">
        <v>0</v>
      </c>
      <c r="S140" s="117" t="b">
        <f>OR(COUNTIF(Tabla2[[#This Row],[PROVEEDOR]],"*"&amp;'Palabra no opera'!$A$2&amp;"*"))</f>
        <v>1</v>
      </c>
      <c r="T140" s="150">
        <f>+$W$5-Tabla2[[#This Row],[FECHA DE FACTURACIÓN]]</f>
        <v>43</v>
      </c>
      <c r="U140" t="str">
        <f>+IF(Tabla2[[#This Row],[dias de credito]]&gt;=Tabla2[[#This Row],[PLAZO Días]],"venc", "No venc")</f>
        <v>venc</v>
      </c>
      <c r="V140" t="str">
        <f>+IF(Tabla2[[#This Row],[FECHA DE PAGO]]&gt;0,"pagada","por pagar")</f>
        <v>pagada</v>
      </c>
      <c r="W140" s="152" t="str">
        <f>+IF(AND(Tabla2[[#This Row],[venc]]="venc",Tabla2[[#This Row],[Columna1]]="por pagar"),"vencida","no")</f>
        <v>no</v>
      </c>
    </row>
    <row r="141" spans="1:23" x14ac:dyDescent="0.3">
      <c r="A141">
        <v>30</v>
      </c>
      <c r="B141">
        <v>0</v>
      </c>
      <c r="D141" t="s">
        <v>139</v>
      </c>
      <c r="E141" s="156">
        <v>44792</v>
      </c>
      <c r="F141" t="s">
        <v>638</v>
      </c>
      <c r="G141" s="156">
        <v>44785</v>
      </c>
      <c r="H141" t="s">
        <v>1424</v>
      </c>
      <c r="I141">
        <v>4294000</v>
      </c>
      <c r="K141">
        <v>0</v>
      </c>
      <c r="M141">
        <v>0</v>
      </c>
      <c r="N141">
        <v>0</v>
      </c>
      <c r="O141">
        <v>0</v>
      </c>
      <c r="P141" s="117">
        <v>4294000</v>
      </c>
      <c r="Q141" s="117" t="s">
        <v>1021</v>
      </c>
      <c r="R141" s="150">
        <v>0</v>
      </c>
      <c r="S141" s="117" t="b">
        <f>OR(COUNTIF(Tabla2[[#This Row],[PROVEEDOR]],"*"&amp;'Palabra no opera'!$A$2&amp;"*"))</f>
        <v>0</v>
      </c>
      <c r="T141" s="150">
        <f>+$W$5-Tabla2[[#This Row],[FECHA DE FACTURACIÓN]]</f>
        <v>49</v>
      </c>
      <c r="U141" t="str">
        <f>+IF(Tabla2[[#This Row],[dias de credito]]&gt;=Tabla2[[#This Row],[PLAZO Días]],"venc", "No venc")</f>
        <v>venc</v>
      </c>
      <c r="V141" t="str">
        <f>+IF(Tabla2[[#This Row],[FECHA DE PAGO]]&gt;0,"pagada","por pagar")</f>
        <v>pagada</v>
      </c>
      <c r="W141" s="152" t="str">
        <f>+IF(AND(Tabla2[[#This Row],[venc]]="venc",Tabla2[[#This Row],[Columna1]]="por pagar"),"vencida","no")</f>
        <v>no</v>
      </c>
    </row>
    <row r="142" spans="1:23" x14ac:dyDescent="0.3">
      <c r="A142">
        <v>30</v>
      </c>
      <c r="B142">
        <v>0</v>
      </c>
      <c r="D142" t="s">
        <v>431</v>
      </c>
      <c r="E142" s="156">
        <v>44792</v>
      </c>
      <c r="F142" t="s">
        <v>677</v>
      </c>
      <c r="G142" s="156">
        <v>44781</v>
      </c>
      <c r="H142" t="s">
        <v>1625</v>
      </c>
      <c r="I142">
        <v>1890000</v>
      </c>
      <c r="K142">
        <v>0</v>
      </c>
      <c r="M142">
        <v>0</v>
      </c>
      <c r="N142">
        <v>0</v>
      </c>
      <c r="O142">
        <v>0</v>
      </c>
      <c r="P142" s="117">
        <v>1890000</v>
      </c>
      <c r="Q142" s="117" t="s">
        <v>1021</v>
      </c>
      <c r="R142" s="150">
        <v>0</v>
      </c>
      <c r="S142" s="117" t="b">
        <f>OR(COUNTIF(Tabla2[[#This Row],[PROVEEDOR]],"*"&amp;'Palabra no opera'!$A$2&amp;"*"))</f>
        <v>0</v>
      </c>
      <c r="T142" s="150">
        <f>+$W$5-Tabla2[[#This Row],[FECHA DE FACTURACIÓN]]</f>
        <v>53</v>
      </c>
      <c r="U142" t="str">
        <f>+IF(Tabla2[[#This Row],[dias de credito]]&gt;=Tabla2[[#This Row],[PLAZO Días]],"venc", "No venc")</f>
        <v>venc</v>
      </c>
      <c r="V142" t="str">
        <f>+IF(Tabla2[[#This Row],[FECHA DE PAGO]]&gt;0,"pagada","por pagar")</f>
        <v>pagada</v>
      </c>
      <c r="W142" s="152" t="str">
        <f>+IF(AND(Tabla2[[#This Row],[venc]]="venc",Tabla2[[#This Row],[Columna1]]="por pagar"),"vencida","no")</f>
        <v>no</v>
      </c>
    </row>
    <row r="143" spans="1:23" x14ac:dyDescent="0.3">
      <c r="A143">
        <v>0</v>
      </c>
      <c r="B143">
        <v>0</v>
      </c>
      <c r="D143" t="s">
        <v>1135</v>
      </c>
      <c r="E143" s="156">
        <v>44792</v>
      </c>
      <c r="F143" t="s">
        <v>1136</v>
      </c>
      <c r="G143" s="156">
        <v>44764</v>
      </c>
      <c r="H143" t="s">
        <v>1402</v>
      </c>
      <c r="I143">
        <v>470000</v>
      </c>
      <c r="K143">
        <v>89300</v>
      </c>
      <c r="M143">
        <v>0</v>
      </c>
      <c r="N143">
        <v>0.04</v>
      </c>
      <c r="O143">
        <v>18800</v>
      </c>
      <c r="P143" s="117">
        <v>540500</v>
      </c>
      <c r="Q143" s="117" t="s">
        <v>1021</v>
      </c>
      <c r="R143" s="150">
        <v>0</v>
      </c>
      <c r="S143" s="117" t="b">
        <f>OR(COUNTIF(Tabla2[[#This Row],[PROVEEDOR]],"*"&amp;'Palabra no opera'!$A$2&amp;"*"))</f>
        <v>1</v>
      </c>
      <c r="T143" s="150">
        <f>+$W$5-Tabla2[[#This Row],[FECHA DE FACTURACIÓN]]</f>
        <v>70</v>
      </c>
      <c r="U143" t="str">
        <f>+IF(Tabla2[[#This Row],[dias de credito]]&gt;=Tabla2[[#This Row],[PLAZO Días]],"venc", "No venc")</f>
        <v>venc</v>
      </c>
      <c r="V143" t="str">
        <f>+IF(Tabla2[[#This Row],[FECHA DE PAGO]]&gt;0,"pagada","por pagar")</f>
        <v>pagada</v>
      </c>
      <c r="W143" s="152" t="str">
        <f>+IF(AND(Tabla2[[#This Row],[venc]]="venc",Tabla2[[#This Row],[Columna1]]="por pagar"),"vencida","no")</f>
        <v>no</v>
      </c>
    </row>
    <row r="144" spans="1:23" x14ac:dyDescent="0.3">
      <c r="A144">
        <v>0</v>
      </c>
      <c r="B144">
        <v>0</v>
      </c>
      <c r="D144" t="s">
        <v>1135</v>
      </c>
      <c r="E144" s="156">
        <v>44792</v>
      </c>
      <c r="F144" t="s">
        <v>1136</v>
      </c>
      <c r="G144" s="156">
        <v>44764</v>
      </c>
      <c r="H144" t="s">
        <v>1403</v>
      </c>
      <c r="I144">
        <v>-279650</v>
      </c>
      <c r="K144">
        <v>-53133.5</v>
      </c>
      <c r="M144">
        <v>0</v>
      </c>
      <c r="N144">
        <v>0</v>
      </c>
      <c r="O144">
        <v>0</v>
      </c>
      <c r="P144" s="117">
        <v>0</v>
      </c>
      <c r="Q144" s="117" t="s">
        <v>1021</v>
      </c>
      <c r="R144" s="150">
        <v>0</v>
      </c>
      <c r="S144" s="117" t="b">
        <f>OR(COUNTIF(Tabla2[[#This Row],[PROVEEDOR]],"*"&amp;'Palabra no opera'!$A$2&amp;"*"))</f>
        <v>1</v>
      </c>
      <c r="T144" s="150">
        <f>+$W$5-Tabla2[[#This Row],[FECHA DE FACTURACIÓN]]</f>
        <v>70</v>
      </c>
      <c r="U144" t="str">
        <f>+IF(Tabla2[[#This Row],[dias de credito]]&gt;=Tabla2[[#This Row],[PLAZO Días]],"venc", "No venc")</f>
        <v>venc</v>
      </c>
      <c r="V144" t="str">
        <f>+IF(Tabla2[[#This Row],[FECHA DE PAGO]]&gt;0,"pagada","por pagar")</f>
        <v>pagada</v>
      </c>
      <c r="W144" s="152" t="str">
        <f>+IF(AND(Tabla2[[#This Row],[venc]]="venc",Tabla2[[#This Row],[Columna1]]="por pagar"),"vencida","no")</f>
        <v>no</v>
      </c>
    </row>
    <row r="145" spans="1:23" x14ac:dyDescent="0.3">
      <c r="A145">
        <v>0</v>
      </c>
      <c r="B145">
        <v>0</v>
      </c>
      <c r="D145" t="s">
        <v>1135</v>
      </c>
      <c r="E145" s="156">
        <v>44792</v>
      </c>
      <c r="F145" t="s">
        <v>1136</v>
      </c>
      <c r="G145" s="156">
        <v>44764</v>
      </c>
      <c r="H145" t="s">
        <v>1403</v>
      </c>
      <c r="I145">
        <v>-260850</v>
      </c>
      <c r="K145">
        <v>-49561.5</v>
      </c>
      <c r="M145">
        <v>0</v>
      </c>
      <c r="N145">
        <v>0</v>
      </c>
      <c r="O145">
        <v>0</v>
      </c>
      <c r="P145" s="117">
        <v>0</v>
      </c>
      <c r="Q145" s="117" t="s">
        <v>1021</v>
      </c>
      <c r="R145" s="150">
        <v>0</v>
      </c>
      <c r="S145" s="117" t="b">
        <f>OR(COUNTIF(Tabla2[[#This Row],[PROVEEDOR]],"*"&amp;'Palabra no opera'!$A$2&amp;"*"))</f>
        <v>1</v>
      </c>
      <c r="T145" s="150">
        <f>+$W$5-Tabla2[[#This Row],[FECHA DE FACTURACIÓN]]</f>
        <v>70</v>
      </c>
      <c r="U145" t="str">
        <f>+IF(Tabla2[[#This Row],[dias de credito]]&gt;=Tabla2[[#This Row],[PLAZO Días]],"venc", "No venc")</f>
        <v>venc</v>
      </c>
      <c r="V145" t="str">
        <f>+IF(Tabla2[[#This Row],[FECHA DE PAGO]]&gt;0,"pagada","por pagar")</f>
        <v>pagada</v>
      </c>
      <c r="W145" s="152" t="str">
        <f>+IF(AND(Tabla2[[#This Row],[venc]]="venc",Tabla2[[#This Row],[Columna1]]="por pagar"),"vencida","no")</f>
        <v>no</v>
      </c>
    </row>
    <row r="146" spans="1:23" x14ac:dyDescent="0.3">
      <c r="A146">
        <v>2</v>
      </c>
      <c r="B146">
        <v>0</v>
      </c>
      <c r="D146">
        <v>0</v>
      </c>
      <c r="E146" s="156">
        <v>44792</v>
      </c>
      <c r="F146" t="s">
        <v>1073</v>
      </c>
      <c r="G146" s="156">
        <v>44760</v>
      </c>
      <c r="H146" t="s">
        <v>1391</v>
      </c>
      <c r="I146">
        <v>-3000000</v>
      </c>
      <c r="K146">
        <v>0</v>
      </c>
      <c r="M146">
        <v>0</v>
      </c>
      <c r="N146">
        <v>0</v>
      </c>
      <c r="O146">
        <v>0</v>
      </c>
      <c r="P146" s="117">
        <v>0</v>
      </c>
      <c r="Q146" s="117" t="s">
        <v>1021</v>
      </c>
      <c r="R146" s="150">
        <v>0</v>
      </c>
      <c r="S146" s="117" t="b">
        <f>OR(COUNTIF(Tabla2[[#This Row],[PROVEEDOR]],"*"&amp;'Palabra no opera'!$A$2&amp;"*"))</f>
        <v>0</v>
      </c>
      <c r="T146" s="150">
        <f>+$W$5-Tabla2[[#This Row],[FECHA DE FACTURACIÓN]]</f>
        <v>74</v>
      </c>
      <c r="U146" t="str">
        <f>+IF(Tabla2[[#This Row],[dias de credito]]&gt;=Tabla2[[#This Row],[PLAZO Días]],"venc", "No venc")</f>
        <v>venc</v>
      </c>
      <c r="V146" t="str">
        <f>+IF(Tabla2[[#This Row],[FECHA DE PAGO]]&gt;0,"pagada","por pagar")</f>
        <v>pagada</v>
      </c>
      <c r="W146" s="152" t="str">
        <f>+IF(AND(Tabla2[[#This Row],[venc]]="venc",Tabla2[[#This Row],[Columna1]]="por pagar"),"vencida","no")</f>
        <v>no</v>
      </c>
    </row>
    <row r="147" spans="1:23" x14ac:dyDescent="0.3">
      <c r="A147">
        <v>30</v>
      </c>
      <c r="B147">
        <v>19675613.1195</v>
      </c>
      <c r="D147" t="s">
        <v>256</v>
      </c>
      <c r="E147" s="156">
        <v>44792</v>
      </c>
      <c r="F147" t="s">
        <v>18</v>
      </c>
      <c r="G147" s="156">
        <v>44753</v>
      </c>
      <c r="H147">
        <v>1056159</v>
      </c>
      <c r="I147">
        <v>1079969.04</v>
      </c>
      <c r="K147">
        <v>205194.1176</v>
      </c>
      <c r="M147">
        <v>0</v>
      </c>
      <c r="N147">
        <v>2.5000000000000001E-2</v>
      </c>
      <c r="O147">
        <v>26999.226000000002</v>
      </c>
      <c r="P147" s="117">
        <v>1258163.9316</v>
      </c>
      <c r="Q147" s="117" t="s">
        <v>1021</v>
      </c>
      <c r="R147" s="150">
        <v>0</v>
      </c>
      <c r="S147" s="117" t="b">
        <f>OR(COUNTIF(Tabla2[[#This Row],[PROVEEDOR]],"*"&amp;'Palabra no opera'!$A$2&amp;"*"))</f>
        <v>0</v>
      </c>
      <c r="T147" s="150">
        <f>+$W$5-Tabla2[[#This Row],[FECHA DE FACTURACIÓN]]</f>
        <v>81</v>
      </c>
      <c r="U147" t="str">
        <f>+IF(Tabla2[[#This Row],[dias de credito]]&gt;=Tabla2[[#This Row],[PLAZO Días]],"venc", "No venc")</f>
        <v>venc</v>
      </c>
      <c r="V147" t="str">
        <f>+IF(Tabla2[[#This Row],[FECHA DE PAGO]]&gt;0,"pagada","por pagar")</f>
        <v>pagada</v>
      </c>
      <c r="W147" s="152" t="str">
        <f>+IF(AND(Tabla2[[#This Row],[venc]]="venc",Tabla2[[#This Row],[Columna1]]="por pagar"),"vencida","no")</f>
        <v>no</v>
      </c>
    </row>
    <row r="148" spans="1:23" x14ac:dyDescent="0.3">
      <c r="A148">
        <v>30</v>
      </c>
      <c r="B148">
        <v>19675613.1195</v>
      </c>
      <c r="D148" t="s">
        <v>256</v>
      </c>
      <c r="E148" s="156">
        <v>44792</v>
      </c>
      <c r="F148" t="s">
        <v>18</v>
      </c>
      <c r="G148" s="156">
        <v>44749</v>
      </c>
      <c r="H148">
        <v>1055982</v>
      </c>
      <c r="I148">
        <v>3877233.52</v>
      </c>
      <c r="K148">
        <v>736674.36880000005</v>
      </c>
      <c r="M148">
        <v>0</v>
      </c>
      <c r="N148">
        <v>2.5000000000000001E-2</v>
      </c>
      <c r="O148">
        <v>96930.838000000003</v>
      </c>
      <c r="P148" s="117">
        <v>4516977.0507999994</v>
      </c>
      <c r="Q148" s="117" t="s">
        <v>1021</v>
      </c>
      <c r="R148" s="150">
        <v>0</v>
      </c>
      <c r="S148" s="117" t="b">
        <f>OR(COUNTIF(Tabla2[[#This Row],[PROVEEDOR]],"*"&amp;'Palabra no opera'!$A$2&amp;"*"))</f>
        <v>0</v>
      </c>
      <c r="T148" s="150">
        <f>+$W$5-Tabla2[[#This Row],[FECHA DE FACTURACIÓN]]</f>
        <v>85</v>
      </c>
      <c r="U148" t="str">
        <f>+IF(Tabla2[[#This Row],[dias de credito]]&gt;=Tabla2[[#This Row],[PLAZO Días]],"venc", "No venc")</f>
        <v>venc</v>
      </c>
      <c r="V148" t="str">
        <f>+IF(Tabla2[[#This Row],[FECHA DE PAGO]]&gt;0,"pagada","por pagar")</f>
        <v>pagada</v>
      </c>
      <c r="W148" s="152" t="str">
        <f>+IF(AND(Tabla2[[#This Row],[venc]]="venc",Tabla2[[#This Row],[Columna1]]="por pagar"),"vencida","no")</f>
        <v>no</v>
      </c>
    </row>
    <row r="149" spans="1:23" x14ac:dyDescent="0.3">
      <c r="A149">
        <v>30</v>
      </c>
      <c r="B149">
        <v>0</v>
      </c>
      <c r="D149">
        <v>0</v>
      </c>
      <c r="E149" s="156">
        <v>44792</v>
      </c>
      <c r="F149" t="s">
        <v>1073</v>
      </c>
      <c r="G149" s="156">
        <v>44733</v>
      </c>
      <c r="H149" t="s">
        <v>1387</v>
      </c>
      <c r="I149">
        <v>8070000</v>
      </c>
      <c r="K149">
        <v>0</v>
      </c>
      <c r="M149">
        <v>0</v>
      </c>
      <c r="N149">
        <v>0</v>
      </c>
      <c r="O149">
        <v>0</v>
      </c>
      <c r="P149" s="117">
        <v>8070000</v>
      </c>
      <c r="Q149" s="117" t="s">
        <v>1021</v>
      </c>
      <c r="R149" s="150">
        <v>0</v>
      </c>
      <c r="S149" s="117" t="b">
        <f>OR(COUNTIF(Tabla2[[#This Row],[PROVEEDOR]],"*"&amp;'Palabra no opera'!$A$2&amp;"*"))</f>
        <v>0</v>
      </c>
      <c r="T149" s="150">
        <f>+$W$5-Tabla2[[#This Row],[FECHA DE FACTURACIÓN]]</f>
        <v>101</v>
      </c>
      <c r="U149" t="str">
        <f>+IF(Tabla2[[#This Row],[dias de credito]]&gt;=Tabla2[[#This Row],[PLAZO Días]],"venc", "No venc")</f>
        <v>venc</v>
      </c>
      <c r="V149" t="str">
        <f>+IF(Tabla2[[#This Row],[FECHA DE PAGO]]&gt;0,"pagada","por pagar")</f>
        <v>pagada</v>
      </c>
      <c r="W149" s="152" t="str">
        <f>+IF(AND(Tabla2[[#This Row],[venc]]="venc",Tabla2[[#This Row],[Columna1]]="por pagar"),"vencida","no")</f>
        <v>no</v>
      </c>
    </row>
    <row r="150" spans="1:23" x14ac:dyDescent="0.3">
      <c r="A150">
        <v>30</v>
      </c>
      <c r="B150">
        <v>0</v>
      </c>
      <c r="D150" t="s">
        <v>547</v>
      </c>
      <c r="E150" s="156">
        <v>44792</v>
      </c>
      <c r="F150" t="s">
        <v>510</v>
      </c>
      <c r="G150" s="156">
        <v>44726</v>
      </c>
      <c r="H150" t="s">
        <v>1049</v>
      </c>
      <c r="I150">
        <v>2578500</v>
      </c>
      <c r="K150">
        <v>489915</v>
      </c>
      <c r="M150">
        <v>0</v>
      </c>
      <c r="N150">
        <v>0</v>
      </c>
      <c r="O150">
        <v>0</v>
      </c>
      <c r="P150" s="117">
        <v>3068415</v>
      </c>
      <c r="Q150" s="117" t="s">
        <v>1021</v>
      </c>
      <c r="R150" s="150">
        <v>0</v>
      </c>
      <c r="S150" s="117" t="b">
        <f>OR(COUNTIF(Tabla2[[#This Row],[PROVEEDOR]],"*"&amp;'Palabra no opera'!$A$2&amp;"*"))</f>
        <v>0</v>
      </c>
      <c r="T150" s="150">
        <f>+$W$5-Tabla2[[#This Row],[FECHA DE FACTURACIÓN]]</f>
        <v>108</v>
      </c>
      <c r="U150" t="str">
        <f>+IF(Tabla2[[#This Row],[dias de credito]]&gt;=Tabla2[[#This Row],[PLAZO Días]],"venc", "No venc")</f>
        <v>venc</v>
      </c>
      <c r="V150" t="str">
        <f>+IF(Tabla2[[#This Row],[FECHA DE PAGO]]&gt;0,"pagada","por pagar")</f>
        <v>pagada</v>
      </c>
      <c r="W150" s="152" t="str">
        <f>+IF(AND(Tabla2[[#This Row],[venc]]="venc",Tabla2[[#This Row],[Columna1]]="por pagar"),"vencida","no")</f>
        <v>no</v>
      </c>
    </row>
    <row r="151" spans="1:23" x14ac:dyDescent="0.3">
      <c r="A151">
        <v>30</v>
      </c>
      <c r="B151">
        <v>527800</v>
      </c>
      <c r="D151" t="s">
        <v>139</v>
      </c>
      <c r="E151" s="156">
        <v>44791</v>
      </c>
      <c r="F151" t="s">
        <v>624</v>
      </c>
      <c r="G151" s="156">
        <v>44741</v>
      </c>
      <c r="H151" t="s">
        <v>1612</v>
      </c>
      <c r="I151">
        <v>130000</v>
      </c>
      <c r="K151">
        <v>0</v>
      </c>
      <c r="M151">
        <v>0</v>
      </c>
      <c r="N151">
        <v>0</v>
      </c>
      <c r="O151">
        <v>0</v>
      </c>
      <c r="P151" s="117">
        <v>130000</v>
      </c>
      <c r="Q151" s="117" t="s">
        <v>1021</v>
      </c>
      <c r="R151" s="150">
        <v>0</v>
      </c>
      <c r="S151" s="117" t="b">
        <f>OR(COUNTIF(Tabla2[[#This Row],[PROVEEDOR]],"*"&amp;'Palabra no opera'!$A$2&amp;"*"))</f>
        <v>0</v>
      </c>
      <c r="T151" s="150">
        <f>+$W$5-Tabla2[[#This Row],[FECHA DE FACTURACIÓN]]</f>
        <v>93</v>
      </c>
      <c r="U151" t="str">
        <f>+IF(Tabla2[[#This Row],[dias de credito]]&gt;=Tabla2[[#This Row],[PLAZO Días]],"venc", "No venc")</f>
        <v>venc</v>
      </c>
      <c r="V151" t="str">
        <f>+IF(Tabla2[[#This Row],[FECHA DE PAGO]]&gt;0,"pagada","por pagar")</f>
        <v>pagada</v>
      </c>
      <c r="W151" s="152" t="str">
        <f>+IF(AND(Tabla2[[#This Row],[venc]]="venc",Tabla2[[#This Row],[Columna1]]="por pagar"),"vencida","no")</f>
        <v>no</v>
      </c>
    </row>
    <row r="152" spans="1:23" x14ac:dyDescent="0.3">
      <c r="A152">
        <v>30</v>
      </c>
      <c r="B152">
        <v>0</v>
      </c>
      <c r="D152" t="s">
        <v>139</v>
      </c>
      <c r="E152" s="156">
        <v>44790</v>
      </c>
      <c r="F152" t="s">
        <v>1130</v>
      </c>
      <c r="G152" s="156">
        <v>44778</v>
      </c>
      <c r="H152" t="s">
        <v>1160</v>
      </c>
      <c r="I152">
        <v>697250</v>
      </c>
      <c r="K152">
        <v>0</v>
      </c>
      <c r="M152">
        <v>0</v>
      </c>
      <c r="N152">
        <v>0</v>
      </c>
      <c r="O152">
        <v>0</v>
      </c>
      <c r="P152" s="117">
        <v>697250</v>
      </c>
      <c r="Q152" s="117" t="s">
        <v>1021</v>
      </c>
      <c r="R152" s="150">
        <v>0</v>
      </c>
      <c r="S152" s="117" t="b">
        <f>OR(COUNTIF(Tabla2[[#This Row],[PROVEEDOR]],"*"&amp;'Palabra no opera'!$A$2&amp;"*"))</f>
        <v>1</v>
      </c>
      <c r="T152" s="150">
        <f>+$W$5-Tabla2[[#This Row],[FECHA DE FACTURACIÓN]]</f>
        <v>56</v>
      </c>
      <c r="U152" t="str">
        <f>+IF(Tabla2[[#This Row],[dias de credito]]&gt;=Tabla2[[#This Row],[PLAZO Días]],"venc", "No venc")</f>
        <v>venc</v>
      </c>
      <c r="V152" t="str">
        <f>+IF(Tabla2[[#This Row],[FECHA DE PAGO]]&gt;0,"pagada","por pagar")</f>
        <v>pagada</v>
      </c>
      <c r="W152" s="152" t="str">
        <f>+IF(AND(Tabla2[[#This Row],[venc]]="venc",Tabla2[[#This Row],[Columna1]]="por pagar"),"vencida","no")</f>
        <v>no</v>
      </c>
    </row>
    <row r="153" spans="1:23" x14ac:dyDescent="0.3">
      <c r="A153">
        <v>30</v>
      </c>
      <c r="B153">
        <v>0</v>
      </c>
      <c r="D153" t="s">
        <v>139</v>
      </c>
      <c r="E153" s="156">
        <v>44790</v>
      </c>
      <c r="F153" t="s">
        <v>1130</v>
      </c>
      <c r="G153" s="156">
        <v>44778</v>
      </c>
      <c r="H153" t="s">
        <v>1160</v>
      </c>
      <c r="I153">
        <v>120000</v>
      </c>
      <c r="K153">
        <v>0</v>
      </c>
      <c r="M153">
        <v>0</v>
      </c>
      <c r="N153">
        <v>0</v>
      </c>
      <c r="O153">
        <v>0</v>
      </c>
      <c r="P153" s="117">
        <v>120000</v>
      </c>
      <c r="Q153" s="117" t="s">
        <v>1021</v>
      </c>
      <c r="R153" s="150">
        <v>0</v>
      </c>
      <c r="S153" s="117" t="b">
        <f>OR(COUNTIF(Tabla2[[#This Row],[PROVEEDOR]],"*"&amp;'Palabra no opera'!$A$2&amp;"*"))</f>
        <v>1</v>
      </c>
      <c r="T153" s="150">
        <f>+$W$5-Tabla2[[#This Row],[FECHA DE FACTURACIÓN]]</f>
        <v>56</v>
      </c>
      <c r="U153" t="str">
        <f>+IF(Tabla2[[#This Row],[dias de credito]]&gt;=Tabla2[[#This Row],[PLAZO Días]],"venc", "No venc")</f>
        <v>venc</v>
      </c>
      <c r="V153" t="str">
        <f>+IF(Tabla2[[#This Row],[FECHA DE PAGO]]&gt;0,"pagada","por pagar")</f>
        <v>pagada</v>
      </c>
      <c r="W153" s="152" t="str">
        <f>+IF(AND(Tabla2[[#This Row],[venc]]="venc",Tabla2[[#This Row],[Columna1]]="por pagar"),"vencida","no")</f>
        <v>no</v>
      </c>
    </row>
    <row r="154" spans="1:23" x14ac:dyDescent="0.3">
      <c r="A154">
        <v>30</v>
      </c>
      <c r="B154">
        <v>0</v>
      </c>
      <c r="D154" t="s">
        <v>139</v>
      </c>
      <c r="E154" s="156">
        <v>44790</v>
      </c>
      <c r="F154" t="s">
        <v>1130</v>
      </c>
      <c r="G154" s="156">
        <v>44778</v>
      </c>
      <c r="H154" t="s">
        <v>1160</v>
      </c>
      <c r="I154">
        <v>240000</v>
      </c>
      <c r="K154">
        <v>0</v>
      </c>
      <c r="M154">
        <v>0</v>
      </c>
      <c r="N154">
        <v>0</v>
      </c>
      <c r="O154">
        <v>0</v>
      </c>
      <c r="P154" s="117">
        <v>240000</v>
      </c>
      <c r="Q154" s="117" t="s">
        <v>1021</v>
      </c>
      <c r="R154" s="150">
        <v>0</v>
      </c>
      <c r="S154" s="117" t="b">
        <f>OR(COUNTIF(Tabla2[[#This Row],[PROVEEDOR]],"*"&amp;'Palabra no opera'!$A$2&amp;"*"))</f>
        <v>1</v>
      </c>
      <c r="T154" s="150">
        <f>+$W$5-Tabla2[[#This Row],[FECHA DE FACTURACIÓN]]</f>
        <v>56</v>
      </c>
      <c r="U154" t="str">
        <f>+IF(Tabla2[[#This Row],[dias de credito]]&gt;=Tabla2[[#This Row],[PLAZO Días]],"venc", "No venc")</f>
        <v>venc</v>
      </c>
      <c r="V154" t="str">
        <f>+IF(Tabla2[[#This Row],[FECHA DE PAGO]]&gt;0,"pagada","por pagar")</f>
        <v>pagada</v>
      </c>
      <c r="W154" s="152" t="str">
        <f>+IF(AND(Tabla2[[#This Row],[venc]]="venc",Tabla2[[#This Row],[Columna1]]="por pagar"),"vencida","no")</f>
        <v>no</v>
      </c>
    </row>
    <row r="155" spans="1:23" x14ac:dyDescent="0.3">
      <c r="A155">
        <v>30</v>
      </c>
      <c r="B155">
        <v>0</v>
      </c>
      <c r="D155" t="s">
        <v>139</v>
      </c>
      <c r="E155" s="156">
        <v>44790</v>
      </c>
      <c r="F155" t="s">
        <v>680</v>
      </c>
      <c r="G155" s="156">
        <v>44776</v>
      </c>
      <c r="I155">
        <v>480000</v>
      </c>
      <c r="K155">
        <v>0</v>
      </c>
      <c r="M155">
        <v>0</v>
      </c>
      <c r="N155">
        <v>0</v>
      </c>
      <c r="O155">
        <v>0</v>
      </c>
      <c r="P155" s="117">
        <v>480000</v>
      </c>
      <c r="Q155" s="117" t="s">
        <v>1021</v>
      </c>
      <c r="R155" s="150">
        <v>0</v>
      </c>
      <c r="S155" s="117" t="b">
        <f>OR(COUNTIF(Tabla2[[#This Row],[PROVEEDOR]],"*"&amp;'Palabra no opera'!$A$2&amp;"*"))</f>
        <v>0</v>
      </c>
      <c r="T155" s="150">
        <f>+$W$5-Tabla2[[#This Row],[FECHA DE FACTURACIÓN]]</f>
        <v>58</v>
      </c>
      <c r="U155" t="str">
        <f>+IF(Tabla2[[#This Row],[dias de credito]]&gt;=Tabla2[[#This Row],[PLAZO Días]],"venc", "No venc")</f>
        <v>venc</v>
      </c>
      <c r="V155" t="str">
        <f>+IF(Tabla2[[#This Row],[FECHA DE PAGO]]&gt;0,"pagada","por pagar")</f>
        <v>pagada</v>
      </c>
      <c r="W155" s="152" t="str">
        <f>+IF(AND(Tabla2[[#This Row],[venc]]="venc",Tabla2[[#This Row],[Columna1]]="por pagar"),"vencida","no")</f>
        <v>no</v>
      </c>
    </row>
    <row r="156" spans="1:23" x14ac:dyDescent="0.3">
      <c r="A156">
        <v>30</v>
      </c>
      <c r="B156">
        <v>0</v>
      </c>
      <c r="D156" t="s">
        <v>258</v>
      </c>
      <c r="E156" s="156">
        <v>44790</v>
      </c>
      <c r="F156" t="s">
        <v>667</v>
      </c>
      <c r="G156" s="156">
        <v>44714</v>
      </c>
      <c r="H156" t="s">
        <v>1626</v>
      </c>
      <c r="I156">
        <v>475000</v>
      </c>
      <c r="K156">
        <v>0</v>
      </c>
      <c r="M156">
        <v>0</v>
      </c>
      <c r="N156">
        <v>0</v>
      </c>
      <c r="O156">
        <v>0</v>
      </c>
      <c r="P156" s="117">
        <v>475000</v>
      </c>
      <c r="Q156" s="117" t="s">
        <v>1021</v>
      </c>
      <c r="R156" s="150">
        <v>0</v>
      </c>
      <c r="S156" s="117" t="b">
        <f>OR(COUNTIF(Tabla2[[#This Row],[PROVEEDOR]],"*"&amp;'Palabra no opera'!$A$2&amp;"*"))</f>
        <v>0</v>
      </c>
      <c r="T156" s="150">
        <f>+$W$5-Tabla2[[#This Row],[FECHA DE FACTURACIÓN]]</f>
        <v>120</v>
      </c>
      <c r="U156" t="str">
        <f>+IF(Tabla2[[#This Row],[dias de credito]]&gt;=Tabla2[[#This Row],[PLAZO Días]],"venc", "No venc")</f>
        <v>venc</v>
      </c>
      <c r="V156" t="str">
        <f>+IF(Tabla2[[#This Row],[FECHA DE PAGO]]&gt;0,"pagada","por pagar")</f>
        <v>pagada</v>
      </c>
      <c r="W156" s="152" t="str">
        <f>+IF(AND(Tabla2[[#This Row],[venc]]="venc",Tabla2[[#This Row],[Columna1]]="por pagar"),"vencida","no")</f>
        <v>no</v>
      </c>
    </row>
    <row r="157" spans="1:23" x14ac:dyDescent="0.3">
      <c r="A157">
        <v>30</v>
      </c>
      <c r="B157">
        <v>0</v>
      </c>
      <c r="D157" t="s">
        <v>250</v>
      </c>
      <c r="E157" s="156">
        <v>44789</v>
      </c>
      <c r="F157" t="s">
        <v>1451</v>
      </c>
      <c r="G157" s="156">
        <v>44781</v>
      </c>
      <c r="H157">
        <v>257</v>
      </c>
      <c r="I157">
        <v>423000</v>
      </c>
      <c r="K157">
        <v>0</v>
      </c>
      <c r="M157">
        <v>0</v>
      </c>
      <c r="N157">
        <v>0.01</v>
      </c>
      <c r="O157">
        <v>4230</v>
      </c>
      <c r="P157" s="117">
        <v>418770</v>
      </c>
      <c r="Q157" s="117" t="s">
        <v>1021</v>
      </c>
      <c r="R157" s="150">
        <v>0</v>
      </c>
      <c r="S157" s="117" t="b">
        <f>OR(COUNTIF(Tabla2[[#This Row],[PROVEEDOR]],"*"&amp;'Palabra no opera'!$A$2&amp;"*"))</f>
        <v>0</v>
      </c>
      <c r="T157" s="150">
        <f>+$W$5-Tabla2[[#This Row],[FECHA DE FACTURACIÓN]]</f>
        <v>53</v>
      </c>
      <c r="U157" t="str">
        <f>+IF(Tabla2[[#This Row],[dias de credito]]&gt;=Tabla2[[#This Row],[PLAZO Días]],"venc", "No venc")</f>
        <v>venc</v>
      </c>
      <c r="V157" t="str">
        <f>+IF(Tabla2[[#This Row],[FECHA DE PAGO]]&gt;0,"pagada","por pagar")</f>
        <v>pagada</v>
      </c>
      <c r="W157" s="152" t="str">
        <f>+IF(AND(Tabla2[[#This Row],[venc]]="venc",Tabla2[[#This Row],[Columna1]]="por pagar"),"vencida","no")</f>
        <v>no</v>
      </c>
    </row>
    <row r="158" spans="1:23" x14ac:dyDescent="0.3">
      <c r="A158">
        <v>30</v>
      </c>
      <c r="B158">
        <v>0</v>
      </c>
      <c r="D158" t="s">
        <v>259</v>
      </c>
      <c r="E158" s="156">
        <v>44789</v>
      </c>
      <c r="F158" t="s">
        <v>918</v>
      </c>
      <c r="G158" s="156">
        <v>44774</v>
      </c>
      <c r="H158">
        <v>11167</v>
      </c>
      <c r="I158">
        <v>1649859</v>
      </c>
      <c r="K158">
        <v>0</v>
      </c>
      <c r="M158">
        <v>272331</v>
      </c>
      <c r="N158">
        <v>0</v>
      </c>
      <c r="O158">
        <v>0</v>
      </c>
      <c r="P158" s="117">
        <v>1377528</v>
      </c>
      <c r="Q158" s="117" t="s">
        <v>1021</v>
      </c>
      <c r="R158" s="150">
        <v>0</v>
      </c>
      <c r="S158" s="117" t="b">
        <f>OR(COUNTIF(Tabla2[[#This Row],[PROVEEDOR]],"*"&amp;'Palabra no opera'!$A$2&amp;"*"))</f>
        <v>1</v>
      </c>
      <c r="T158" s="150">
        <f>+$W$5-Tabla2[[#This Row],[FECHA DE FACTURACIÓN]]</f>
        <v>60</v>
      </c>
      <c r="U158" t="str">
        <f>+IF(Tabla2[[#This Row],[dias de credito]]&gt;=Tabla2[[#This Row],[PLAZO Días]],"venc", "No venc")</f>
        <v>venc</v>
      </c>
      <c r="V158" t="str">
        <f>+IF(Tabla2[[#This Row],[FECHA DE PAGO]]&gt;0,"pagada","por pagar")</f>
        <v>pagada</v>
      </c>
      <c r="W158" s="152" t="str">
        <f>+IF(AND(Tabla2[[#This Row],[venc]]="venc",Tabla2[[#This Row],[Columna1]]="por pagar"),"vencida","no")</f>
        <v>no</v>
      </c>
    </row>
    <row r="159" spans="1:23" x14ac:dyDescent="0.3">
      <c r="A159">
        <v>30</v>
      </c>
      <c r="B159">
        <v>0</v>
      </c>
      <c r="D159" t="s">
        <v>139</v>
      </c>
      <c r="E159" s="156">
        <v>44788</v>
      </c>
      <c r="F159" t="s">
        <v>638</v>
      </c>
      <c r="G159" s="156">
        <v>44781</v>
      </c>
      <c r="H159" t="s">
        <v>1427</v>
      </c>
      <c r="I159">
        <v>6240000</v>
      </c>
      <c r="K159">
        <v>0</v>
      </c>
      <c r="M159">
        <v>0</v>
      </c>
      <c r="N159">
        <v>0</v>
      </c>
      <c r="O159">
        <v>0</v>
      </c>
      <c r="P159" s="117">
        <v>6240000</v>
      </c>
      <c r="Q159" s="117" t="s">
        <v>1021</v>
      </c>
      <c r="R159" s="150">
        <v>0</v>
      </c>
      <c r="S159" s="117" t="b">
        <f>OR(COUNTIF(Tabla2[[#This Row],[PROVEEDOR]],"*"&amp;'Palabra no opera'!$A$2&amp;"*"))</f>
        <v>0</v>
      </c>
      <c r="T159" s="150">
        <f>+$W$5-Tabla2[[#This Row],[FECHA DE FACTURACIÓN]]</f>
        <v>53</v>
      </c>
      <c r="U159" t="str">
        <f>+IF(Tabla2[[#This Row],[dias de credito]]&gt;=Tabla2[[#This Row],[PLAZO Días]],"venc", "No venc")</f>
        <v>venc</v>
      </c>
      <c r="V159" t="str">
        <f>+IF(Tabla2[[#This Row],[FECHA DE PAGO]]&gt;0,"pagada","por pagar")</f>
        <v>pagada</v>
      </c>
      <c r="W159" s="152" t="str">
        <f>+IF(AND(Tabla2[[#This Row],[venc]]="venc",Tabla2[[#This Row],[Columna1]]="por pagar"),"vencida","no")</f>
        <v>no</v>
      </c>
    </row>
    <row r="160" spans="1:23" x14ac:dyDescent="0.3">
      <c r="A160">
        <v>30</v>
      </c>
      <c r="B160">
        <v>0</v>
      </c>
      <c r="D160" t="s">
        <v>861</v>
      </c>
      <c r="E160" s="156">
        <v>44786</v>
      </c>
      <c r="F160" t="s">
        <v>633</v>
      </c>
      <c r="G160" s="156">
        <v>44751</v>
      </c>
      <c r="H160" t="s">
        <v>1615</v>
      </c>
      <c r="I160">
        <v>1492400</v>
      </c>
      <c r="K160">
        <v>0</v>
      </c>
      <c r="M160">
        <v>0</v>
      </c>
      <c r="N160">
        <v>0</v>
      </c>
      <c r="O160">
        <v>0</v>
      </c>
      <c r="P160" s="117">
        <v>1492400</v>
      </c>
      <c r="Q160" s="117" t="s">
        <v>1021</v>
      </c>
      <c r="R160" s="150">
        <v>0</v>
      </c>
      <c r="S160" s="117" t="b">
        <f>OR(COUNTIF(Tabla2[[#This Row],[PROVEEDOR]],"*"&amp;'Palabra no opera'!$A$2&amp;"*"))</f>
        <v>0</v>
      </c>
      <c r="T160" s="150">
        <f>+$W$5-Tabla2[[#This Row],[FECHA DE FACTURACIÓN]]</f>
        <v>83</v>
      </c>
      <c r="U160" t="str">
        <f>+IF(Tabla2[[#This Row],[dias de credito]]&gt;=Tabla2[[#This Row],[PLAZO Días]],"venc", "No venc")</f>
        <v>venc</v>
      </c>
      <c r="V160" t="str">
        <f>+IF(Tabla2[[#This Row],[FECHA DE PAGO]]&gt;0,"pagada","por pagar")</f>
        <v>pagada</v>
      </c>
      <c r="W160" s="152" t="str">
        <f>+IF(AND(Tabla2[[#This Row],[venc]]="venc",Tabla2[[#This Row],[Columna1]]="por pagar"),"vencida","no")</f>
        <v>no</v>
      </c>
    </row>
    <row r="161" spans="1:23" x14ac:dyDescent="0.3">
      <c r="A161">
        <v>30</v>
      </c>
      <c r="B161">
        <v>0</v>
      </c>
      <c r="D161" t="s">
        <v>139</v>
      </c>
      <c r="E161" s="156">
        <v>44785</v>
      </c>
      <c r="F161" t="s">
        <v>673</v>
      </c>
      <c r="G161" s="156">
        <v>44785</v>
      </c>
      <c r="I161">
        <v>1000000</v>
      </c>
      <c r="K161">
        <v>0</v>
      </c>
      <c r="M161">
        <v>0</v>
      </c>
      <c r="N161">
        <v>0</v>
      </c>
      <c r="O161">
        <v>0</v>
      </c>
      <c r="P161" s="117">
        <v>1000000</v>
      </c>
      <c r="Q161" s="117" t="s">
        <v>1021</v>
      </c>
      <c r="R161" s="150">
        <v>0</v>
      </c>
      <c r="S161" s="117" t="b">
        <f>OR(COUNTIF(Tabla2[[#This Row],[PROVEEDOR]],"*"&amp;'Palabra no opera'!$A$2&amp;"*"))</f>
        <v>0</v>
      </c>
      <c r="T161" s="150">
        <f>+$W$5-Tabla2[[#This Row],[FECHA DE FACTURACIÓN]]</f>
        <v>49</v>
      </c>
      <c r="U161" t="str">
        <f>+IF(Tabla2[[#This Row],[dias de credito]]&gt;=Tabla2[[#This Row],[PLAZO Días]],"venc", "No venc")</f>
        <v>venc</v>
      </c>
      <c r="V161" t="str">
        <f>+IF(Tabla2[[#This Row],[FECHA DE PAGO]]&gt;0,"pagada","por pagar")</f>
        <v>pagada</v>
      </c>
      <c r="W161" s="152" t="str">
        <f>+IF(AND(Tabla2[[#This Row],[venc]]="venc",Tabla2[[#This Row],[Columna1]]="por pagar"),"vencida","no")</f>
        <v>no</v>
      </c>
    </row>
    <row r="162" spans="1:23" x14ac:dyDescent="0.3">
      <c r="A162">
        <v>30</v>
      </c>
      <c r="B162">
        <v>5225000</v>
      </c>
      <c r="D162" t="s">
        <v>139</v>
      </c>
      <c r="E162" s="156">
        <v>44785</v>
      </c>
      <c r="F162" t="s">
        <v>629</v>
      </c>
      <c r="G162" s="156">
        <v>44741</v>
      </c>
      <c r="H162" t="s">
        <v>1389</v>
      </c>
      <c r="I162">
        <v>2368000</v>
      </c>
      <c r="K162">
        <v>0</v>
      </c>
      <c r="M162">
        <v>0</v>
      </c>
      <c r="N162">
        <v>0</v>
      </c>
      <c r="O162">
        <v>0</v>
      </c>
      <c r="P162" s="117">
        <v>2368000</v>
      </c>
      <c r="Q162" s="117" t="s">
        <v>1021</v>
      </c>
      <c r="R162" s="150">
        <v>0</v>
      </c>
      <c r="S162" s="117" t="b">
        <f>OR(COUNTIF(Tabla2[[#This Row],[PROVEEDOR]],"*"&amp;'Palabra no opera'!$A$2&amp;"*"))</f>
        <v>0</v>
      </c>
      <c r="T162" s="150">
        <f>+$W$5-Tabla2[[#This Row],[FECHA DE FACTURACIÓN]]</f>
        <v>93</v>
      </c>
      <c r="U162" t="str">
        <f>+IF(Tabla2[[#This Row],[dias de credito]]&gt;=Tabla2[[#This Row],[PLAZO Días]],"venc", "No venc")</f>
        <v>venc</v>
      </c>
      <c r="V162" t="str">
        <f>+IF(Tabla2[[#This Row],[FECHA DE PAGO]]&gt;0,"pagada","por pagar")</f>
        <v>pagada</v>
      </c>
      <c r="W162" s="152" t="str">
        <f>+IF(AND(Tabla2[[#This Row],[venc]]="venc",Tabla2[[#This Row],[Columna1]]="por pagar"),"vencida","no")</f>
        <v>no</v>
      </c>
    </row>
    <row r="163" spans="1:23" x14ac:dyDescent="0.3">
      <c r="A163">
        <v>30</v>
      </c>
      <c r="B163">
        <v>0</v>
      </c>
      <c r="D163" t="s">
        <v>676</v>
      </c>
      <c r="E163" s="156">
        <v>44784</v>
      </c>
      <c r="F163" t="s">
        <v>940</v>
      </c>
      <c r="G163" s="156">
        <v>44774</v>
      </c>
      <c r="H163">
        <v>68476</v>
      </c>
      <c r="I163">
        <v>284467</v>
      </c>
      <c r="K163">
        <v>0</v>
      </c>
      <c r="M163">
        <v>8522.67</v>
      </c>
      <c r="N163">
        <v>0</v>
      </c>
      <c r="O163">
        <v>0</v>
      </c>
      <c r="P163" s="117">
        <v>275944.33</v>
      </c>
      <c r="Q163" s="117" t="s">
        <v>1021</v>
      </c>
      <c r="R163" s="150">
        <v>0</v>
      </c>
      <c r="S163" s="117" t="b">
        <f>OR(COUNTIF(Tabla2[[#This Row],[PROVEEDOR]],"*"&amp;'Palabra no opera'!$A$2&amp;"*"))</f>
        <v>1</v>
      </c>
      <c r="T163" s="150">
        <f>+$W$5-Tabla2[[#This Row],[FECHA DE FACTURACIÓN]]</f>
        <v>60</v>
      </c>
      <c r="U163" t="str">
        <f>+IF(Tabla2[[#This Row],[dias de credito]]&gt;=Tabla2[[#This Row],[PLAZO Días]],"venc", "No venc")</f>
        <v>venc</v>
      </c>
      <c r="V163" t="str">
        <f>+IF(Tabla2[[#This Row],[FECHA DE PAGO]]&gt;0,"pagada","por pagar")</f>
        <v>pagada</v>
      </c>
      <c r="W163" s="152" t="str">
        <f>+IF(AND(Tabla2[[#This Row],[venc]]="venc",Tabla2[[#This Row],[Columna1]]="por pagar"),"vencida","no")</f>
        <v>no</v>
      </c>
    </row>
    <row r="164" spans="1:23" x14ac:dyDescent="0.3">
      <c r="A164">
        <v>13</v>
      </c>
      <c r="B164">
        <v>0</v>
      </c>
      <c r="D164">
        <v>0</v>
      </c>
      <c r="E164" s="156">
        <v>44784</v>
      </c>
      <c r="F164" t="s">
        <v>934</v>
      </c>
      <c r="G164" s="156">
        <v>44774</v>
      </c>
      <c r="I164">
        <v>1104931</v>
      </c>
      <c r="K164">
        <v>0</v>
      </c>
      <c r="M164">
        <v>0</v>
      </c>
      <c r="N164">
        <v>0</v>
      </c>
      <c r="O164">
        <v>0</v>
      </c>
      <c r="P164" s="117">
        <v>1104931</v>
      </c>
      <c r="Q164" s="117" t="s">
        <v>1021</v>
      </c>
      <c r="R164" s="150">
        <v>0</v>
      </c>
      <c r="S164" s="117" t="b">
        <f>OR(COUNTIF(Tabla2[[#This Row],[PROVEEDOR]],"*"&amp;'Palabra no opera'!$A$2&amp;"*"))</f>
        <v>1</v>
      </c>
      <c r="T164" s="150">
        <f>+$W$5-Tabla2[[#This Row],[FECHA DE FACTURACIÓN]]</f>
        <v>60</v>
      </c>
      <c r="U164" t="str">
        <f>+IF(Tabla2[[#This Row],[dias de credito]]&gt;=Tabla2[[#This Row],[PLAZO Días]],"venc", "No venc")</f>
        <v>venc</v>
      </c>
      <c r="V164" t="str">
        <f>+IF(Tabla2[[#This Row],[FECHA DE PAGO]]&gt;0,"pagada","por pagar")</f>
        <v>pagada</v>
      </c>
      <c r="W164" s="152" t="str">
        <f>+IF(AND(Tabla2[[#This Row],[venc]]="venc",Tabla2[[#This Row],[Columna1]]="por pagar"),"vencida","no")</f>
        <v>no</v>
      </c>
    </row>
    <row r="165" spans="1:23" x14ac:dyDescent="0.3">
      <c r="A165">
        <v>0</v>
      </c>
      <c r="B165">
        <v>0</v>
      </c>
      <c r="D165" t="s">
        <v>1132</v>
      </c>
      <c r="E165" s="156">
        <v>44783</v>
      </c>
      <c r="F165" t="s">
        <v>1133</v>
      </c>
      <c r="G165" s="156">
        <v>44783</v>
      </c>
      <c r="H165" t="s">
        <v>1168</v>
      </c>
      <c r="K165">
        <v>380000</v>
      </c>
      <c r="M165">
        <v>0</v>
      </c>
      <c r="N165">
        <v>0</v>
      </c>
      <c r="O165">
        <v>0</v>
      </c>
      <c r="P165" s="117">
        <v>380000</v>
      </c>
      <c r="Q165" s="117" t="s">
        <v>1021</v>
      </c>
      <c r="R165" s="150">
        <v>0</v>
      </c>
      <c r="S165" s="117" t="b">
        <f>OR(COUNTIF(Tabla2[[#This Row],[PROVEEDOR]],"*"&amp;'Palabra no opera'!$A$2&amp;"*"))</f>
        <v>1</v>
      </c>
      <c r="T165" s="150">
        <f>+$W$5-Tabla2[[#This Row],[FECHA DE FACTURACIÓN]]</f>
        <v>51</v>
      </c>
      <c r="U165" t="str">
        <f>+IF(Tabla2[[#This Row],[dias de credito]]&gt;=Tabla2[[#This Row],[PLAZO Días]],"venc", "No venc")</f>
        <v>venc</v>
      </c>
      <c r="V165" t="str">
        <f>+IF(Tabla2[[#This Row],[FECHA DE PAGO]]&gt;0,"pagada","por pagar")</f>
        <v>pagada</v>
      </c>
      <c r="W165" s="152" t="str">
        <f>+IF(AND(Tabla2[[#This Row],[venc]]="venc",Tabla2[[#This Row],[Columna1]]="por pagar"),"vencida","no")</f>
        <v>no</v>
      </c>
    </row>
    <row r="166" spans="1:23" x14ac:dyDescent="0.3">
      <c r="A166">
        <v>10</v>
      </c>
      <c r="B166">
        <v>0</v>
      </c>
      <c r="D166" t="s">
        <v>1166</v>
      </c>
      <c r="E166" s="156">
        <v>44783</v>
      </c>
      <c r="F166" t="s">
        <v>1167</v>
      </c>
      <c r="G166" s="156">
        <v>44781</v>
      </c>
      <c r="H166">
        <v>337</v>
      </c>
      <c r="I166">
        <v>300000</v>
      </c>
      <c r="K166">
        <v>57000</v>
      </c>
      <c r="M166">
        <v>0</v>
      </c>
      <c r="N166">
        <v>0.04</v>
      </c>
      <c r="O166">
        <v>12000</v>
      </c>
      <c r="P166" s="117">
        <v>345000</v>
      </c>
      <c r="Q166" s="117" t="s">
        <v>1021</v>
      </c>
      <c r="R166" s="150">
        <v>0</v>
      </c>
      <c r="S166" s="117" t="b">
        <f>OR(COUNTIF(Tabla2[[#This Row],[PROVEEDOR]],"*"&amp;'Palabra no opera'!$A$2&amp;"*"))</f>
        <v>1</v>
      </c>
      <c r="T166" s="150">
        <f>+$W$5-Tabla2[[#This Row],[FECHA DE FACTURACIÓN]]</f>
        <v>53</v>
      </c>
      <c r="U166" t="str">
        <f>+IF(Tabla2[[#This Row],[dias de credito]]&gt;=Tabla2[[#This Row],[PLAZO Días]],"venc", "No venc")</f>
        <v>venc</v>
      </c>
      <c r="V166" t="str">
        <f>+IF(Tabla2[[#This Row],[FECHA DE PAGO]]&gt;0,"pagada","por pagar")</f>
        <v>pagada</v>
      </c>
      <c r="W166" s="152" t="str">
        <f>+IF(AND(Tabla2[[#This Row],[venc]]="venc",Tabla2[[#This Row],[Columna1]]="por pagar"),"vencida","no")</f>
        <v>no</v>
      </c>
    </row>
    <row r="167" spans="1:23" x14ac:dyDescent="0.3">
      <c r="A167">
        <v>30</v>
      </c>
      <c r="B167">
        <v>0</v>
      </c>
      <c r="D167" t="s">
        <v>650</v>
      </c>
      <c r="E167" s="156">
        <v>44783</v>
      </c>
      <c r="F167" t="s">
        <v>913</v>
      </c>
      <c r="G167" s="156">
        <v>44774</v>
      </c>
      <c r="H167" t="s">
        <v>1145</v>
      </c>
      <c r="I167">
        <v>3294426</v>
      </c>
      <c r="K167">
        <v>625940.94000000006</v>
      </c>
      <c r="M167">
        <v>0</v>
      </c>
      <c r="N167">
        <v>0</v>
      </c>
      <c r="O167">
        <v>0</v>
      </c>
      <c r="P167" s="117">
        <v>3920366.94</v>
      </c>
      <c r="Q167" s="117" t="s">
        <v>1021</v>
      </c>
      <c r="R167" s="150">
        <v>0</v>
      </c>
      <c r="S167" s="117" t="b">
        <f>OR(COUNTIF(Tabla2[[#This Row],[PROVEEDOR]],"*"&amp;'Palabra no opera'!$A$2&amp;"*"))</f>
        <v>1</v>
      </c>
      <c r="T167" s="150">
        <f>+$W$5-Tabla2[[#This Row],[FECHA DE FACTURACIÓN]]</f>
        <v>60</v>
      </c>
      <c r="U167" t="str">
        <f>+IF(Tabla2[[#This Row],[dias de credito]]&gt;=Tabla2[[#This Row],[PLAZO Días]],"venc", "No venc")</f>
        <v>venc</v>
      </c>
      <c r="V167" t="str">
        <f>+IF(Tabla2[[#This Row],[FECHA DE PAGO]]&gt;0,"pagada","por pagar")</f>
        <v>pagada</v>
      </c>
      <c r="W167" s="152" t="str">
        <f>+IF(AND(Tabla2[[#This Row],[venc]]="venc",Tabla2[[#This Row],[Columna1]]="por pagar"),"vencida","no")</f>
        <v>no</v>
      </c>
    </row>
    <row r="168" spans="1:23" x14ac:dyDescent="0.3">
      <c r="A168">
        <v>30</v>
      </c>
      <c r="B168">
        <v>0</v>
      </c>
      <c r="D168" t="s">
        <v>650</v>
      </c>
      <c r="E168" s="156">
        <v>44783</v>
      </c>
      <c r="F168" t="s">
        <v>913</v>
      </c>
      <c r="G168" s="156">
        <v>44774</v>
      </c>
      <c r="H168" t="s">
        <v>1146</v>
      </c>
      <c r="I168">
        <v>791781</v>
      </c>
      <c r="K168">
        <v>150438.39000000001</v>
      </c>
      <c r="M168">
        <v>0</v>
      </c>
      <c r="N168">
        <v>0</v>
      </c>
      <c r="O168">
        <v>0</v>
      </c>
      <c r="P168" s="117">
        <v>942219.39</v>
      </c>
      <c r="Q168" s="117" t="s">
        <v>1021</v>
      </c>
      <c r="R168" s="150">
        <v>0</v>
      </c>
      <c r="S168" s="117" t="b">
        <f>OR(COUNTIF(Tabla2[[#This Row],[PROVEEDOR]],"*"&amp;'Palabra no opera'!$A$2&amp;"*"))</f>
        <v>1</v>
      </c>
      <c r="T168" s="150">
        <f>+$W$5-Tabla2[[#This Row],[FECHA DE FACTURACIÓN]]</f>
        <v>60</v>
      </c>
      <c r="U168" t="str">
        <f>+IF(Tabla2[[#This Row],[dias de credito]]&gt;=Tabla2[[#This Row],[PLAZO Días]],"venc", "No venc")</f>
        <v>venc</v>
      </c>
      <c r="V168" t="str">
        <f>+IF(Tabla2[[#This Row],[FECHA DE PAGO]]&gt;0,"pagada","por pagar")</f>
        <v>pagada</v>
      </c>
      <c r="W168" s="152" t="str">
        <f>+IF(AND(Tabla2[[#This Row],[venc]]="venc",Tabla2[[#This Row],[Columna1]]="por pagar"),"vencida","no")</f>
        <v>no</v>
      </c>
    </row>
    <row r="169" spans="1:23" x14ac:dyDescent="0.3">
      <c r="A169">
        <v>30</v>
      </c>
      <c r="B169">
        <v>0</v>
      </c>
      <c r="D169">
        <v>0</v>
      </c>
      <c r="E169" s="156">
        <v>44783</v>
      </c>
      <c r="F169" t="s">
        <v>932</v>
      </c>
      <c r="G169" s="156">
        <v>44774</v>
      </c>
      <c r="H169" t="s">
        <v>307</v>
      </c>
      <c r="I169">
        <v>455823</v>
      </c>
      <c r="K169">
        <v>0</v>
      </c>
      <c r="M169">
        <v>0</v>
      </c>
      <c r="N169">
        <v>0</v>
      </c>
      <c r="O169">
        <v>0</v>
      </c>
      <c r="P169" s="117">
        <v>455823</v>
      </c>
      <c r="Q169" s="117" t="s">
        <v>1021</v>
      </c>
      <c r="R169" s="150">
        <v>0</v>
      </c>
      <c r="S169" s="117" t="b">
        <f>OR(COUNTIF(Tabla2[[#This Row],[PROVEEDOR]],"*"&amp;'Palabra no opera'!$A$2&amp;"*"))</f>
        <v>1</v>
      </c>
      <c r="T169" s="150">
        <f>+$W$5-Tabla2[[#This Row],[FECHA DE FACTURACIÓN]]</f>
        <v>60</v>
      </c>
      <c r="U169" t="str">
        <f>+IF(Tabla2[[#This Row],[dias de credito]]&gt;=Tabla2[[#This Row],[PLAZO Días]],"venc", "No venc")</f>
        <v>venc</v>
      </c>
      <c r="V169" t="str">
        <f>+IF(Tabla2[[#This Row],[FECHA DE PAGO]]&gt;0,"pagada","por pagar")</f>
        <v>pagada</v>
      </c>
      <c r="W169" s="152" t="str">
        <f>+IF(AND(Tabla2[[#This Row],[venc]]="venc",Tabla2[[#This Row],[Columna1]]="por pagar"),"vencida","no")</f>
        <v>no</v>
      </c>
    </row>
    <row r="170" spans="1:23" x14ac:dyDescent="0.3">
      <c r="A170">
        <v>30</v>
      </c>
      <c r="B170">
        <v>6259125.5999999996</v>
      </c>
      <c r="D170" t="s">
        <v>264</v>
      </c>
      <c r="E170" s="156">
        <v>44783</v>
      </c>
      <c r="F170" t="s">
        <v>1448</v>
      </c>
      <c r="G170" s="156">
        <v>44753</v>
      </c>
      <c r="H170">
        <v>33069</v>
      </c>
      <c r="I170">
        <v>1965400</v>
      </c>
      <c r="K170">
        <v>373426</v>
      </c>
      <c r="M170">
        <v>0</v>
      </c>
      <c r="N170">
        <v>2.5000000000000001E-2</v>
      </c>
      <c r="O170">
        <v>49135</v>
      </c>
      <c r="P170" s="117">
        <v>2289691</v>
      </c>
      <c r="Q170" s="117" t="s">
        <v>1021</v>
      </c>
      <c r="R170" s="150">
        <v>0</v>
      </c>
      <c r="S170" s="117" t="b">
        <f>OR(COUNTIF(Tabla2[[#This Row],[PROVEEDOR]],"*"&amp;'Palabra no opera'!$A$2&amp;"*"))</f>
        <v>0</v>
      </c>
      <c r="T170" s="150">
        <f>+$W$5-Tabla2[[#This Row],[FECHA DE FACTURACIÓN]]</f>
        <v>81</v>
      </c>
      <c r="U170" t="str">
        <f>+IF(Tabla2[[#This Row],[dias de credito]]&gt;=Tabla2[[#This Row],[PLAZO Días]],"venc", "No venc")</f>
        <v>venc</v>
      </c>
      <c r="V170" t="str">
        <f>+IF(Tabla2[[#This Row],[FECHA DE PAGO]]&gt;0,"pagada","por pagar")</f>
        <v>pagada</v>
      </c>
      <c r="W170" s="152" t="str">
        <f>+IF(AND(Tabla2[[#This Row],[venc]]="venc",Tabla2[[#This Row],[Columna1]]="por pagar"),"vencida","no")</f>
        <v>no</v>
      </c>
    </row>
    <row r="171" spans="1:23" x14ac:dyDescent="0.3">
      <c r="A171">
        <v>30</v>
      </c>
      <c r="B171">
        <v>0</v>
      </c>
      <c r="D171" t="s">
        <v>505</v>
      </c>
      <c r="E171" s="156">
        <v>44783</v>
      </c>
      <c r="F171" t="s">
        <v>408</v>
      </c>
      <c r="G171" s="156">
        <v>44751</v>
      </c>
      <c r="H171" t="s">
        <v>1122</v>
      </c>
      <c r="I171">
        <v>2562110.2599999998</v>
      </c>
      <c r="K171">
        <v>486800.94939999998</v>
      </c>
      <c r="M171">
        <v>0</v>
      </c>
      <c r="N171">
        <v>0</v>
      </c>
      <c r="O171">
        <v>0</v>
      </c>
      <c r="P171" s="117">
        <v>3048911.2093999996</v>
      </c>
      <c r="Q171" s="117" t="s">
        <v>1021</v>
      </c>
      <c r="R171" s="150">
        <v>0</v>
      </c>
      <c r="S171" s="117" t="b">
        <f>OR(COUNTIF(Tabla2[[#This Row],[PROVEEDOR]],"*"&amp;'Palabra no opera'!$A$2&amp;"*"))</f>
        <v>0</v>
      </c>
      <c r="T171" s="150">
        <f>+$W$5-Tabla2[[#This Row],[FECHA DE FACTURACIÓN]]</f>
        <v>83</v>
      </c>
      <c r="U171" t="str">
        <f>+IF(Tabla2[[#This Row],[dias de credito]]&gt;=Tabla2[[#This Row],[PLAZO Días]],"venc", "No venc")</f>
        <v>venc</v>
      </c>
      <c r="V171" t="str">
        <f>+IF(Tabla2[[#This Row],[FECHA DE PAGO]]&gt;0,"pagada","por pagar")</f>
        <v>pagada</v>
      </c>
      <c r="W171" s="152" t="str">
        <f>+IF(AND(Tabla2[[#This Row],[venc]]="venc",Tabla2[[#This Row],[Columna1]]="por pagar"),"vencida","no")</f>
        <v>no</v>
      </c>
    </row>
    <row r="172" spans="1:23" x14ac:dyDescent="0.3">
      <c r="A172">
        <v>30</v>
      </c>
      <c r="B172">
        <v>0</v>
      </c>
      <c r="D172" t="s">
        <v>1024</v>
      </c>
      <c r="E172" s="156">
        <v>44783</v>
      </c>
      <c r="F172" t="s">
        <v>32</v>
      </c>
      <c r="G172" s="156">
        <v>44749</v>
      </c>
      <c r="H172" t="s">
        <v>1151</v>
      </c>
      <c r="I172">
        <v>368487.39</v>
      </c>
      <c r="K172">
        <v>70012.604099999997</v>
      </c>
      <c r="M172">
        <v>0</v>
      </c>
      <c r="N172">
        <v>0</v>
      </c>
      <c r="O172">
        <v>0</v>
      </c>
      <c r="P172" s="117">
        <v>438499.99410000001</v>
      </c>
      <c r="Q172" s="117" t="s">
        <v>1021</v>
      </c>
      <c r="R172" s="150">
        <v>0</v>
      </c>
      <c r="S172" s="117" t="b">
        <f>OR(COUNTIF(Tabla2[[#This Row],[PROVEEDOR]],"*"&amp;'Palabra no opera'!$A$2&amp;"*"))</f>
        <v>0</v>
      </c>
      <c r="T172" s="150">
        <f>+$W$5-Tabla2[[#This Row],[FECHA DE FACTURACIÓN]]</f>
        <v>85</v>
      </c>
      <c r="U172" t="str">
        <f>+IF(Tabla2[[#This Row],[dias de credito]]&gt;=Tabla2[[#This Row],[PLAZO Días]],"venc", "No venc")</f>
        <v>venc</v>
      </c>
      <c r="V172" t="str">
        <f>+IF(Tabla2[[#This Row],[FECHA DE PAGO]]&gt;0,"pagada","por pagar")</f>
        <v>pagada</v>
      </c>
      <c r="W172" s="152" t="str">
        <f>+IF(AND(Tabla2[[#This Row],[venc]]="venc",Tabla2[[#This Row],[Columna1]]="por pagar"),"vencida","no")</f>
        <v>no</v>
      </c>
    </row>
    <row r="173" spans="1:23" x14ac:dyDescent="0.3">
      <c r="A173">
        <v>30</v>
      </c>
      <c r="B173">
        <v>0</v>
      </c>
      <c r="D173" t="s">
        <v>1165</v>
      </c>
      <c r="E173" s="156">
        <v>44783</v>
      </c>
      <c r="F173" t="s">
        <v>1059</v>
      </c>
      <c r="G173" s="156">
        <v>44735</v>
      </c>
      <c r="H173">
        <v>362</v>
      </c>
      <c r="I173">
        <v>1900000</v>
      </c>
      <c r="K173">
        <v>361000</v>
      </c>
      <c r="M173">
        <v>0</v>
      </c>
      <c r="N173">
        <v>2.5000000000000001E-2</v>
      </c>
      <c r="O173">
        <v>47500</v>
      </c>
      <c r="P173" s="117">
        <v>2213500</v>
      </c>
      <c r="Q173" s="117" t="s">
        <v>1021</v>
      </c>
      <c r="R173" s="150">
        <v>0</v>
      </c>
      <c r="S173" s="117" t="b">
        <f>OR(COUNTIF(Tabla2[[#This Row],[PROVEEDOR]],"*"&amp;'Palabra no opera'!$A$2&amp;"*"))</f>
        <v>0</v>
      </c>
      <c r="T173" s="150">
        <f>+$W$5-Tabla2[[#This Row],[FECHA DE FACTURACIÓN]]</f>
        <v>99</v>
      </c>
      <c r="U173" t="str">
        <f>+IF(Tabla2[[#This Row],[dias de credito]]&gt;=Tabla2[[#This Row],[PLAZO Días]],"venc", "No venc")</f>
        <v>venc</v>
      </c>
      <c r="V173" t="str">
        <f>+IF(Tabla2[[#This Row],[FECHA DE PAGO]]&gt;0,"pagada","por pagar")</f>
        <v>pagada</v>
      </c>
      <c r="W173" s="152" t="str">
        <f>+IF(AND(Tabla2[[#This Row],[venc]]="venc",Tabla2[[#This Row],[Columna1]]="por pagar"),"vencida","no")</f>
        <v>no</v>
      </c>
    </row>
    <row r="174" spans="1:23" x14ac:dyDescent="0.3">
      <c r="A174">
        <v>30</v>
      </c>
      <c r="B174">
        <v>10689112</v>
      </c>
      <c r="D174" t="s">
        <v>976</v>
      </c>
      <c r="E174" s="156">
        <v>44783</v>
      </c>
      <c r="F174" t="s">
        <v>79</v>
      </c>
      <c r="G174" s="156">
        <v>44725</v>
      </c>
      <c r="H174" t="s">
        <v>1065</v>
      </c>
      <c r="I174">
        <v>277311</v>
      </c>
      <c r="K174">
        <v>52689.090000000004</v>
      </c>
      <c r="M174">
        <v>0</v>
      </c>
      <c r="N174">
        <v>0</v>
      </c>
      <c r="O174">
        <v>0</v>
      </c>
      <c r="P174" s="117">
        <v>330000.09000000003</v>
      </c>
      <c r="Q174" s="117" t="s">
        <v>1021</v>
      </c>
      <c r="R174" s="150">
        <v>0</v>
      </c>
      <c r="S174" s="117" t="b">
        <f>OR(COUNTIF(Tabla2[[#This Row],[PROVEEDOR]],"*"&amp;'Palabra no opera'!$A$2&amp;"*"))</f>
        <v>0</v>
      </c>
      <c r="T174" s="150">
        <f>+$W$5-Tabla2[[#This Row],[FECHA DE FACTURACIÓN]]</f>
        <v>109</v>
      </c>
      <c r="U174" t="str">
        <f>+IF(Tabla2[[#This Row],[dias de credito]]&gt;=Tabla2[[#This Row],[PLAZO Días]],"venc", "No venc")</f>
        <v>venc</v>
      </c>
      <c r="V174" t="str">
        <f>+IF(Tabla2[[#This Row],[FECHA DE PAGO]]&gt;0,"pagada","por pagar")</f>
        <v>pagada</v>
      </c>
      <c r="W174" s="152" t="str">
        <f>+IF(AND(Tabla2[[#This Row],[venc]]="venc",Tabla2[[#This Row],[Columna1]]="por pagar"),"vencida","no")</f>
        <v>no</v>
      </c>
    </row>
    <row r="175" spans="1:23" x14ac:dyDescent="0.3">
      <c r="A175">
        <v>30</v>
      </c>
      <c r="B175">
        <v>9032827.5</v>
      </c>
      <c r="D175" t="s">
        <v>432</v>
      </c>
      <c r="E175" s="156">
        <v>44783</v>
      </c>
      <c r="F175" t="s">
        <v>33</v>
      </c>
      <c r="G175" s="156">
        <v>44718</v>
      </c>
      <c r="H175">
        <v>2730</v>
      </c>
      <c r="I175">
        <v>2006000</v>
      </c>
      <c r="K175">
        <v>381140</v>
      </c>
      <c r="M175">
        <v>0</v>
      </c>
      <c r="N175">
        <v>2.5000000000000001E-2</v>
      </c>
      <c r="O175">
        <v>50150</v>
      </c>
      <c r="P175" s="117">
        <v>2336990</v>
      </c>
      <c r="Q175" s="117" t="s">
        <v>1021</v>
      </c>
      <c r="R175" s="150">
        <v>0</v>
      </c>
      <c r="S175" s="117" t="b">
        <f>OR(COUNTIF(Tabla2[[#This Row],[PROVEEDOR]],"*"&amp;'Palabra no opera'!$A$2&amp;"*"))</f>
        <v>0</v>
      </c>
      <c r="T175" s="150">
        <f>+$W$5-Tabla2[[#This Row],[FECHA DE FACTURACIÓN]]</f>
        <v>116</v>
      </c>
      <c r="U175" t="str">
        <f>+IF(Tabla2[[#This Row],[dias de credito]]&gt;=Tabla2[[#This Row],[PLAZO Días]],"venc", "No venc")</f>
        <v>venc</v>
      </c>
      <c r="V175" t="str">
        <f>+IF(Tabla2[[#This Row],[FECHA DE PAGO]]&gt;0,"pagada","por pagar")</f>
        <v>pagada</v>
      </c>
      <c r="W175" s="152" t="str">
        <f>+IF(AND(Tabla2[[#This Row],[venc]]="venc",Tabla2[[#This Row],[Columna1]]="por pagar"),"vencida","no")</f>
        <v>no</v>
      </c>
    </row>
    <row r="176" spans="1:23" x14ac:dyDescent="0.3">
      <c r="A176">
        <v>30</v>
      </c>
      <c r="B176">
        <v>0</v>
      </c>
      <c r="C176" t="s">
        <v>1164</v>
      </c>
      <c r="D176" t="s">
        <v>139</v>
      </c>
      <c r="E176" s="156">
        <v>44782</v>
      </c>
      <c r="F176" t="s">
        <v>679</v>
      </c>
      <c r="G176" s="156">
        <v>44674</v>
      </c>
      <c r="H176" t="s">
        <v>892</v>
      </c>
      <c r="I176">
        <v>180000</v>
      </c>
      <c r="K176">
        <v>0</v>
      </c>
      <c r="M176">
        <v>0</v>
      </c>
      <c r="N176">
        <v>0</v>
      </c>
      <c r="O176">
        <v>0</v>
      </c>
      <c r="P176" s="117">
        <v>180000</v>
      </c>
      <c r="Q176" s="117" t="s">
        <v>1021</v>
      </c>
      <c r="R176" s="150">
        <v>0</v>
      </c>
      <c r="S176" s="117" t="b">
        <f>OR(COUNTIF(Tabla2[[#This Row],[PROVEEDOR]],"*"&amp;'Palabra no opera'!$A$2&amp;"*"))</f>
        <v>0</v>
      </c>
      <c r="T176" s="150">
        <f>+$W$5-Tabla2[[#This Row],[FECHA DE FACTURACIÓN]]</f>
        <v>160</v>
      </c>
      <c r="U176" t="str">
        <f>+IF(Tabla2[[#This Row],[dias de credito]]&gt;=Tabla2[[#This Row],[PLAZO Días]],"venc", "No venc")</f>
        <v>venc</v>
      </c>
      <c r="V176" t="str">
        <f>+IF(Tabla2[[#This Row],[FECHA DE PAGO]]&gt;0,"pagada","por pagar")</f>
        <v>pagada</v>
      </c>
      <c r="W176" s="152" t="str">
        <f>+IF(AND(Tabla2[[#This Row],[venc]]="venc",Tabla2[[#This Row],[Columna1]]="por pagar"),"vencida","no")</f>
        <v>no</v>
      </c>
    </row>
    <row r="177" spans="1:23" x14ac:dyDescent="0.3">
      <c r="A177">
        <v>0</v>
      </c>
      <c r="B177">
        <v>0</v>
      </c>
      <c r="D177">
        <v>0</v>
      </c>
      <c r="E177" s="156">
        <v>44781</v>
      </c>
      <c r="F177" t="s">
        <v>1050</v>
      </c>
      <c r="G177" s="156">
        <v>44781</v>
      </c>
      <c r="H177" t="s">
        <v>1385</v>
      </c>
      <c r="I177">
        <v>3765900</v>
      </c>
      <c r="K177">
        <v>0</v>
      </c>
      <c r="M177">
        <v>0</v>
      </c>
      <c r="N177">
        <v>0</v>
      </c>
      <c r="O177">
        <v>0</v>
      </c>
      <c r="P177" s="117">
        <v>3765900</v>
      </c>
      <c r="Q177" s="117" t="s">
        <v>1021</v>
      </c>
      <c r="R177" s="150">
        <v>0</v>
      </c>
      <c r="S177" s="117" t="b">
        <f>OR(COUNTIF(Tabla2[[#This Row],[PROVEEDOR]],"*"&amp;'Palabra no opera'!$A$2&amp;"*"))</f>
        <v>1</v>
      </c>
      <c r="T177" s="150">
        <f>+$W$5-Tabla2[[#This Row],[FECHA DE FACTURACIÓN]]</f>
        <v>53</v>
      </c>
      <c r="U177" t="str">
        <f>+IF(Tabla2[[#This Row],[dias de credito]]&gt;=Tabla2[[#This Row],[PLAZO Días]],"venc", "No venc")</f>
        <v>venc</v>
      </c>
      <c r="V177" t="str">
        <f>+IF(Tabla2[[#This Row],[FECHA DE PAGO]]&gt;0,"pagada","por pagar")</f>
        <v>pagada</v>
      </c>
      <c r="W177" s="152" t="str">
        <f>+IF(AND(Tabla2[[#This Row],[venc]]="venc",Tabla2[[#This Row],[Columna1]]="por pagar"),"vencida","no")</f>
        <v>no</v>
      </c>
    </row>
    <row r="178" spans="1:23" x14ac:dyDescent="0.3">
      <c r="A178">
        <v>30</v>
      </c>
      <c r="B178">
        <v>0</v>
      </c>
      <c r="D178" t="s">
        <v>139</v>
      </c>
      <c r="E178" s="156">
        <v>44780</v>
      </c>
      <c r="F178" t="s">
        <v>661</v>
      </c>
      <c r="G178" s="156">
        <v>44780</v>
      </c>
      <c r="H178" t="s">
        <v>1179</v>
      </c>
      <c r="I178">
        <v>710000</v>
      </c>
      <c r="K178">
        <v>0</v>
      </c>
      <c r="M178">
        <v>0</v>
      </c>
      <c r="N178">
        <v>0</v>
      </c>
      <c r="O178">
        <v>0</v>
      </c>
      <c r="P178" s="117">
        <v>710000</v>
      </c>
      <c r="Q178" s="117" t="s">
        <v>1021</v>
      </c>
      <c r="R178" s="150">
        <v>0</v>
      </c>
      <c r="S178" s="117" t="b">
        <f>OR(COUNTIF(Tabla2[[#This Row],[PROVEEDOR]],"*"&amp;'Palabra no opera'!$A$2&amp;"*"))</f>
        <v>0</v>
      </c>
      <c r="T178" s="150">
        <f>+$W$5-Tabla2[[#This Row],[FECHA DE FACTURACIÓN]]</f>
        <v>54</v>
      </c>
      <c r="U178" t="str">
        <f>+IF(Tabla2[[#This Row],[dias de credito]]&gt;=Tabla2[[#This Row],[PLAZO Días]],"venc", "No venc")</f>
        <v>venc</v>
      </c>
      <c r="V178" t="str">
        <f>+IF(Tabla2[[#This Row],[FECHA DE PAGO]]&gt;0,"pagada","por pagar")</f>
        <v>pagada</v>
      </c>
      <c r="W178" s="152" t="str">
        <f>+IF(AND(Tabla2[[#This Row],[venc]]="venc",Tabla2[[#This Row],[Columna1]]="por pagar"),"vencida","no")</f>
        <v>no</v>
      </c>
    </row>
    <row r="179" spans="1:23" x14ac:dyDescent="0.3">
      <c r="A179">
        <v>30</v>
      </c>
      <c r="B179">
        <v>0</v>
      </c>
      <c r="D179" t="s">
        <v>139</v>
      </c>
      <c r="E179" s="156">
        <v>44778</v>
      </c>
      <c r="F179" t="s">
        <v>673</v>
      </c>
      <c r="G179" s="156">
        <v>44778</v>
      </c>
      <c r="I179">
        <v>1000000</v>
      </c>
      <c r="K179">
        <v>0</v>
      </c>
      <c r="M179">
        <v>0</v>
      </c>
      <c r="N179">
        <v>0</v>
      </c>
      <c r="O179">
        <v>0</v>
      </c>
      <c r="P179" s="117">
        <v>1000000</v>
      </c>
      <c r="Q179" s="117" t="s">
        <v>1021</v>
      </c>
      <c r="R179" s="150">
        <v>0</v>
      </c>
      <c r="S179" s="117" t="b">
        <f>OR(COUNTIF(Tabla2[[#This Row],[PROVEEDOR]],"*"&amp;'Palabra no opera'!$A$2&amp;"*"))</f>
        <v>0</v>
      </c>
      <c r="T179" s="150">
        <f>+$W$5-Tabla2[[#This Row],[FECHA DE FACTURACIÓN]]</f>
        <v>56</v>
      </c>
      <c r="U179" t="str">
        <f>+IF(Tabla2[[#This Row],[dias de credito]]&gt;=Tabla2[[#This Row],[PLAZO Días]],"venc", "No venc")</f>
        <v>venc</v>
      </c>
      <c r="V179" t="str">
        <f>+IF(Tabla2[[#This Row],[FECHA DE PAGO]]&gt;0,"pagada","por pagar")</f>
        <v>pagada</v>
      </c>
      <c r="W179" s="152" t="str">
        <f>+IF(AND(Tabla2[[#This Row],[venc]]="venc",Tabla2[[#This Row],[Columna1]]="por pagar"),"vencida","no")</f>
        <v>no</v>
      </c>
    </row>
    <row r="180" spans="1:23" x14ac:dyDescent="0.3">
      <c r="A180">
        <v>30</v>
      </c>
      <c r="B180">
        <v>0</v>
      </c>
      <c r="D180" t="s">
        <v>139</v>
      </c>
      <c r="E180" s="156">
        <v>44778</v>
      </c>
      <c r="F180" t="s">
        <v>1130</v>
      </c>
      <c r="G180" s="156">
        <v>44768</v>
      </c>
      <c r="H180" t="s">
        <v>1158</v>
      </c>
      <c r="I180">
        <v>1021603</v>
      </c>
      <c r="K180">
        <v>0</v>
      </c>
      <c r="M180">
        <v>0</v>
      </c>
      <c r="N180">
        <v>0</v>
      </c>
      <c r="O180">
        <v>0</v>
      </c>
      <c r="P180" s="117">
        <v>1021603</v>
      </c>
      <c r="Q180" s="117" t="s">
        <v>1021</v>
      </c>
      <c r="R180" s="150">
        <v>0</v>
      </c>
      <c r="S180" s="117" t="b">
        <f>OR(COUNTIF(Tabla2[[#This Row],[PROVEEDOR]],"*"&amp;'Palabra no opera'!$A$2&amp;"*"))</f>
        <v>1</v>
      </c>
      <c r="T180" s="150">
        <f>+$W$5-Tabla2[[#This Row],[FECHA DE FACTURACIÓN]]</f>
        <v>66</v>
      </c>
      <c r="U180" t="str">
        <f>+IF(Tabla2[[#This Row],[dias de credito]]&gt;=Tabla2[[#This Row],[PLAZO Días]],"venc", "No venc")</f>
        <v>venc</v>
      </c>
      <c r="V180" t="str">
        <f>+IF(Tabla2[[#This Row],[FECHA DE PAGO]]&gt;0,"pagada","por pagar")</f>
        <v>pagada</v>
      </c>
      <c r="W180" s="152" t="str">
        <f>+IF(AND(Tabla2[[#This Row],[venc]]="venc",Tabla2[[#This Row],[Columna1]]="por pagar"),"vencida","no")</f>
        <v>no</v>
      </c>
    </row>
    <row r="181" spans="1:23" x14ac:dyDescent="0.3">
      <c r="A181">
        <v>30</v>
      </c>
      <c r="B181">
        <v>0</v>
      </c>
      <c r="D181" t="s">
        <v>139</v>
      </c>
      <c r="E181" s="156">
        <v>44777</v>
      </c>
      <c r="F181" t="s">
        <v>638</v>
      </c>
      <c r="G181" s="156">
        <v>44774</v>
      </c>
      <c r="H181" t="s">
        <v>1170</v>
      </c>
      <c r="I181">
        <v>1955000</v>
      </c>
      <c r="K181">
        <v>0</v>
      </c>
      <c r="M181">
        <v>0</v>
      </c>
      <c r="N181">
        <v>0</v>
      </c>
      <c r="O181">
        <v>0</v>
      </c>
      <c r="P181" s="117">
        <v>1955000</v>
      </c>
      <c r="Q181" s="117" t="s">
        <v>1021</v>
      </c>
      <c r="R181" s="150">
        <v>0</v>
      </c>
      <c r="S181" s="117" t="b">
        <f>OR(COUNTIF(Tabla2[[#This Row],[PROVEEDOR]],"*"&amp;'Palabra no opera'!$A$2&amp;"*"))</f>
        <v>0</v>
      </c>
      <c r="T181" s="150">
        <f>+$W$5-Tabla2[[#This Row],[FECHA DE FACTURACIÓN]]</f>
        <v>60</v>
      </c>
      <c r="U181" t="str">
        <f>+IF(Tabla2[[#This Row],[dias de credito]]&gt;=Tabla2[[#This Row],[PLAZO Días]],"venc", "No venc")</f>
        <v>venc</v>
      </c>
      <c r="V181" t="str">
        <f>+IF(Tabla2[[#This Row],[FECHA DE PAGO]]&gt;0,"pagada","por pagar")</f>
        <v>pagada</v>
      </c>
      <c r="W181" s="152" t="str">
        <f>+IF(AND(Tabla2[[#This Row],[venc]]="venc",Tabla2[[#This Row],[Columna1]]="por pagar"),"vencida","no")</f>
        <v>no</v>
      </c>
    </row>
    <row r="182" spans="1:23" x14ac:dyDescent="0.3">
      <c r="A182">
        <v>0</v>
      </c>
      <c r="B182">
        <v>0</v>
      </c>
      <c r="C182" t="s">
        <v>1159</v>
      </c>
      <c r="D182">
        <v>0</v>
      </c>
      <c r="E182" s="156">
        <v>44776</v>
      </c>
      <c r="F182" t="s">
        <v>1050</v>
      </c>
      <c r="G182" s="156">
        <v>44776</v>
      </c>
      <c r="H182" t="s">
        <v>1385</v>
      </c>
      <c r="I182">
        <v>8000000</v>
      </c>
      <c r="K182">
        <v>0</v>
      </c>
      <c r="M182">
        <v>0</v>
      </c>
      <c r="N182">
        <v>0</v>
      </c>
      <c r="O182">
        <v>0</v>
      </c>
      <c r="P182" s="117">
        <v>8000000</v>
      </c>
      <c r="Q182" s="117" t="s">
        <v>1021</v>
      </c>
      <c r="R182" s="150">
        <v>0</v>
      </c>
      <c r="S182" s="117" t="b">
        <f>OR(COUNTIF(Tabla2[[#This Row],[PROVEEDOR]],"*"&amp;'Palabra no opera'!$A$2&amp;"*"))</f>
        <v>1</v>
      </c>
      <c r="T182" s="150">
        <f>+$W$5-Tabla2[[#This Row],[FECHA DE FACTURACIÓN]]</f>
        <v>58</v>
      </c>
      <c r="U182" t="str">
        <f>+IF(Tabla2[[#This Row],[dias de credito]]&gt;=Tabla2[[#This Row],[PLAZO Días]],"venc", "No venc")</f>
        <v>venc</v>
      </c>
      <c r="V182" t="str">
        <f>+IF(Tabla2[[#This Row],[FECHA DE PAGO]]&gt;0,"pagada","por pagar")</f>
        <v>pagada</v>
      </c>
      <c r="W182" s="152" t="str">
        <f>+IF(AND(Tabla2[[#This Row],[venc]]="venc",Tabla2[[#This Row],[Columna1]]="por pagar"),"vencida","no")</f>
        <v>no</v>
      </c>
    </row>
    <row r="183" spans="1:23" x14ac:dyDescent="0.3">
      <c r="A183">
        <v>30</v>
      </c>
      <c r="B183">
        <v>0</v>
      </c>
      <c r="D183" t="s">
        <v>139</v>
      </c>
      <c r="E183" s="156">
        <v>44776</v>
      </c>
      <c r="F183" t="s">
        <v>680</v>
      </c>
      <c r="G183" s="156">
        <v>44769</v>
      </c>
      <c r="I183">
        <v>480000</v>
      </c>
      <c r="K183">
        <v>0</v>
      </c>
      <c r="M183">
        <v>0</v>
      </c>
      <c r="N183">
        <v>0</v>
      </c>
      <c r="O183">
        <v>0</v>
      </c>
      <c r="P183" s="117">
        <v>480000</v>
      </c>
      <c r="Q183" s="117" t="s">
        <v>1021</v>
      </c>
      <c r="R183" s="150">
        <v>0</v>
      </c>
      <c r="S183" s="117" t="b">
        <f>OR(COUNTIF(Tabla2[[#This Row],[PROVEEDOR]],"*"&amp;'Palabra no opera'!$A$2&amp;"*"))</f>
        <v>0</v>
      </c>
      <c r="T183" s="150">
        <f>+$W$5-Tabla2[[#This Row],[FECHA DE FACTURACIÓN]]</f>
        <v>65</v>
      </c>
      <c r="U183" t="str">
        <f>+IF(Tabla2[[#This Row],[dias de credito]]&gt;=Tabla2[[#This Row],[PLAZO Días]],"venc", "No venc")</f>
        <v>venc</v>
      </c>
      <c r="V183" t="str">
        <f>+IF(Tabla2[[#This Row],[FECHA DE PAGO]]&gt;0,"pagada","por pagar")</f>
        <v>pagada</v>
      </c>
      <c r="W183" s="152" t="str">
        <f>+IF(AND(Tabla2[[#This Row],[venc]]="venc",Tabla2[[#This Row],[Columna1]]="por pagar"),"vencida","no")</f>
        <v>no</v>
      </c>
    </row>
    <row r="184" spans="1:23" x14ac:dyDescent="0.3">
      <c r="A184">
        <v>30</v>
      </c>
      <c r="B184">
        <v>0</v>
      </c>
      <c r="D184" t="s">
        <v>139</v>
      </c>
      <c r="E184" s="156">
        <v>44776</v>
      </c>
      <c r="F184" t="s">
        <v>1130</v>
      </c>
      <c r="G184" s="156">
        <v>44763</v>
      </c>
      <c r="H184" t="s">
        <v>1129</v>
      </c>
      <c r="I184">
        <v>569900</v>
      </c>
      <c r="K184">
        <v>0</v>
      </c>
      <c r="M184">
        <v>0</v>
      </c>
      <c r="N184">
        <v>0</v>
      </c>
      <c r="O184">
        <v>0</v>
      </c>
      <c r="P184" s="117">
        <v>569900</v>
      </c>
      <c r="Q184" s="117" t="s">
        <v>1021</v>
      </c>
      <c r="R184" s="150">
        <v>0</v>
      </c>
      <c r="S184" s="117" t="b">
        <f>OR(COUNTIF(Tabla2[[#This Row],[PROVEEDOR]],"*"&amp;'Palabra no opera'!$A$2&amp;"*"))</f>
        <v>1</v>
      </c>
      <c r="T184" s="150">
        <f>+$W$5-Tabla2[[#This Row],[FECHA DE FACTURACIÓN]]</f>
        <v>71</v>
      </c>
      <c r="U184" t="str">
        <f>+IF(Tabla2[[#This Row],[dias de credito]]&gt;=Tabla2[[#This Row],[PLAZO Días]],"venc", "No venc")</f>
        <v>venc</v>
      </c>
      <c r="V184" t="str">
        <f>+IF(Tabla2[[#This Row],[FECHA DE PAGO]]&gt;0,"pagada","por pagar")</f>
        <v>pagada</v>
      </c>
      <c r="W184" s="152" t="str">
        <f>+IF(AND(Tabla2[[#This Row],[venc]]="venc",Tabla2[[#This Row],[Columna1]]="por pagar"),"vencida","no")</f>
        <v>no</v>
      </c>
    </row>
    <row r="185" spans="1:23" x14ac:dyDescent="0.3">
      <c r="A185">
        <v>30</v>
      </c>
      <c r="B185">
        <v>0</v>
      </c>
      <c r="D185" t="s">
        <v>267</v>
      </c>
      <c r="E185" s="156">
        <v>44776</v>
      </c>
      <c r="F185" t="s">
        <v>941</v>
      </c>
      <c r="G185" s="156">
        <v>44743</v>
      </c>
      <c r="H185">
        <v>5476</v>
      </c>
      <c r="I185">
        <v>215356</v>
      </c>
      <c r="K185">
        <v>40917.64</v>
      </c>
      <c r="M185">
        <v>0</v>
      </c>
      <c r="N185">
        <v>3.5000000000000003E-2</v>
      </c>
      <c r="O185">
        <v>7537.4600000000009</v>
      </c>
      <c r="P185" s="117">
        <v>248736.18000000002</v>
      </c>
      <c r="Q185" s="117" t="s">
        <v>1021</v>
      </c>
      <c r="R185" s="150">
        <v>0</v>
      </c>
      <c r="S185" s="117" t="b">
        <f>OR(COUNTIF(Tabla2[[#This Row],[PROVEEDOR]],"*"&amp;'Palabra no opera'!$A$2&amp;"*"))</f>
        <v>1</v>
      </c>
      <c r="T185" s="150">
        <f>+$W$5-Tabla2[[#This Row],[FECHA DE FACTURACIÓN]]</f>
        <v>91</v>
      </c>
      <c r="U185" t="str">
        <f>+IF(Tabla2[[#This Row],[dias de credito]]&gt;=Tabla2[[#This Row],[PLAZO Días]],"venc", "No venc")</f>
        <v>venc</v>
      </c>
      <c r="V185" t="str">
        <f>+IF(Tabla2[[#This Row],[FECHA DE PAGO]]&gt;0,"pagada","por pagar")</f>
        <v>pagada</v>
      </c>
      <c r="W185" s="152" t="str">
        <f>+IF(AND(Tabla2[[#This Row],[venc]]="venc",Tabla2[[#This Row],[Columna1]]="por pagar"),"vencida","no")</f>
        <v>no</v>
      </c>
    </row>
    <row r="186" spans="1:23" x14ac:dyDescent="0.3">
      <c r="A186">
        <v>30</v>
      </c>
      <c r="B186">
        <v>8457900</v>
      </c>
      <c r="D186" t="s">
        <v>1027</v>
      </c>
      <c r="E186" s="156">
        <v>44776</v>
      </c>
      <c r="F186" t="s">
        <v>11</v>
      </c>
      <c r="G186" s="156">
        <v>44742</v>
      </c>
      <c r="H186" t="s">
        <v>1092</v>
      </c>
      <c r="I186">
        <v>4086050</v>
      </c>
      <c r="K186">
        <v>776349.5</v>
      </c>
      <c r="M186">
        <v>0</v>
      </c>
      <c r="N186">
        <v>2.5000000000000001E-2</v>
      </c>
      <c r="O186">
        <v>102151.25</v>
      </c>
      <c r="P186" s="117">
        <v>4760248.25</v>
      </c>
      <c r="Q186" s="117" t="s">
        <v>1021</v>
      </c>
      <c r="R186" s="150">
        <v>0</v>
      </c>
      <c r="S186" s="117" t="b">
        <f>OR(COUNTIF(Tabla2[[#This Row],[PROVEEDOR]],"*"&amp;'Palabra no opera'!$A$2&amp;"*"))</f>
        <v>0</v>
      </c>
      <c r="T186" s="150">
        <f>+$W$5-Tabla2[[#This Row],[FECHA DE FACTURACIÓN]]</f>
        <v>92</v>
      </c>
      <c r="U186" t="str">
        <f>+IF(Tabla2[[#This Row],[dias de credito]]&gt;=Tabla2[[#This Row],[PLAZO Días]],"venc", "No venc")</f>
        <v>venc</v>
      </c>
      <c r="V186" t="str">
        <f>+IF(Tabla2[[#This Row],[FECHA DE PAGO]]&gt;0,"pagada","por pagar")</f>
        <v>pagada</v>
      </c>
      <c r="W186" s="152" t="str">
        <f>+IF(AND(Tabla2[[#This Row],[venc]]="venc",Tabla2[[#This Row],[Columna1]]="por pagar"),"vencida","no")</f>
        <v>no</v>
      </c>
    </row>
    <row r="187" spans="1:23" x14ac:dyDescent="0.3">
      <c r="A187">
        <v>30</v>
      </c>
      <c r="B187">
        <v>2192943.5750000002</v>
      </c>
      <c r="D187" t="s">
        <v>273</v>
      </c>
      <c r="E187" s="156">
        <v>44776</v>
      </c>
      <c r="F187" t="s">
        <v>1638</v>
      </c>
      <c r="G187" s="156">
        <v>44741</v>
      </c>
      <c r="H187" t="s">
        <v>1095</v>
      </c>
      <c r="I187">
        <v>605043</v>
      </c>
      <c r="K187">
        <v>114958.17</v>
      </c>
      <c r="M187">
        <v>0</v>
      </c>
      <c r="N187">
        <v>0</v>
      </c>
      <c r="O187">
        <v>0</v>
      </c>
      <c r="P187" s="117">
        <v>720001.17</v>
      </c>
      <c r="Q187" s="117" t="s">
        <v>1021</v>
      </c>
      <c r="R187" s="150">
        <v>0</v>
      </c>
      <c r="S187" s="117" t="b">
        <f>OR(COUNTIF(Tabla2[[#This Row],[PROVEEDOR]],"*"&amp;'Palabra no opera'!$A$2&amp;"*"))</f>
        <v>0</v>
      </c>
      <c r="T187" s="150">
        <f>+$W$5-Tabla2[[#This Row],[FECHA DE FACTURACIÓN]]</f>
        <v>93</v>
      </c>
      <c r="U187" t="str">
        <f>+IF(Tabla2[[#This Row],[dias de credito]]&gt;=Tabla2[[#This Row],[PLAZO Días]],"venc", "No venc")</f>
        <v>venc</v>
      </c>
      <c r="V187" t="str">
        <f>+IF(Tabla2[[#This Row],[FECHA DE PAGO]]&gt;0,"pagada","por pagar")</f>
        <v>pagada</v>
      </c>
      <c r="W187" s="152" t="str">
        <f>+IF(AND(Tabla2[[#This Row],[venc]]="venc",Tabla2[[#This Row],[Columna1]]="por pagar"),"vencida","no")</f>
        <v>no</v>
      </c>
    </row>
    <row r="188" spans="1:23" x14ac:dyDescent="0.3">
      <c r="A188">
        <v>30</v>
      </c>
      <c r="B188">
        <v>19675613.1195</v>
      </c>
      <c r="D188" t="s">
        <v>256</v>
      </c>
      <c r="E188" s="156">
        <v>44776</v>
      </c>
      <c r="F188" t="s">
        <v>18</v>
      </c>
      <c r="G188" s="156">
        <v>44740</v>
      </c>
      <c r="H188">
        <v>1055541</v>
      </c>
      <c r="I188">
        <v>1213324</v>
      </c>
      <c r="K188">
        <v>230531.56</v>
      </c>
      <c r="M188">
        <v>0</v>
      </c>
      <c r="N188">
        <v>2.5000000000000001E-2</v>
      </c>
      <c r="O188">
        <v>30333.100000000002</v>
      </c>
      <c r="P188" s="117">
        <v>1413522.46</v>
      </c>
      <c r="Q188" s="117" t="s">
        <v>1021</v>
      </c>
      <c r="R188" s="150">
        <v>0</v>
      </c>
      <c r="S188" s="117" t="b">
        <f>OR(COUNTIF(Tabla2[[#This Row],[PROVEEDOR]],"*"&amp;'Palabra no opera'!$A$2&amp;"*"))</f>
        <v>0</v>
      </c>
      <c r="T188" s="150">
        <f>+$W$5-Tabla2[[#This Row],[FECHA DE FACTURACIÓN]]</f>
        <v>94</v>
      </c>
      <c r="U188" t="str">
        <f>+IF(Tabla2[[#This Row],[dias de credito]]&gt;=Tabla2[[#This Row],[PLAZO Días]],"venc", "No venc")</f>
        <v>venc</v>
      </c>
      <c r="V188" t="str">
        <f>+IF(Tabla2[[#This Row],[FECHA DE PAGO]]&gt;0,"pagada","por pagar")</f>
        <v>pagada</v>
      </c>
      <c r="W188" s="152" t="str">
        <f>+IF(AND(Tabla2[[#This Row],[venc]]="venc",Tabla2[[#This Row],[Columna1]]="por pagar"),"vencida","no")</f>
        <v>no</v>
      </c>
    </row>
    <row r="189" spans="1:23" x14ac:dyDescent="0.3">
      <c r="A189">
        <v>30</v>
      </c>
      <c r="B189">
        <v>19675613.1195</v>
      </c>
      <c r="D189" t="s">
        <v>256</v>
      </c>
      <c r="E189" s="156">
        <v>44776</v>
      </c>
      <c r="F189" t="s">
        <v>18</v>
      </c>
      <c r="G189" s="156">
        <v>44740</v>
      </c>
      <c r="H189">
        <v>1055540</v>
      </c>
      <c r="I189">
        <v>685746</v>
      </c>
      <c r="K189">
        <v>130291.74</v>
      </c>
      <c r="M189">
        <v>0</v>
      </c>
      <c r="N189">
        <v>0</v>
      </c>
      <c r="O189">
        <v>0</v>
      </c>
      <c r="P189" s="117">
        <v>816037.74</v>
      </c>
      <c r="Q189" s="117" t="s">
        <v>1021</v>
      </c>
      <c r="R189" s="150">
        <v>0</v>
      </c>
      <c r="S189" s="117" t="b">
        <f>OR(COUNTIF(Tabla2[[#This Row],[PROVEEDOR]],"*"&amp;'Palabra no opera'!$A$2&amp;"*"))</f>
        <v>0</v>
      </c>
      <c r="T189" s="150">
        <f>+$W$5-Tabla2[[#This Row],[FECHA DE FACTURACIÓN]]</f>
        <v>94</v>
      </c>
      <c r="U189" t="str">
        <f>+IF(Tabla2[[#This Row],[dias de credito]]&gt;=Tabla2[[#This Row],[PLAZO Días]],"venc", "No venc")</f>
        <v>venc</v>
      </c>
      <c r="V189" t="str">
        <f>+IF(Tabla2[[#This Row],[FECHA DE PAGO]]&gt;0,"pagada","por pagar")</f>
        <v>pagada</v>
      </c>
      <c r="W189" s="152" t="str">
        <f>+IF(AND(Tabla2[[#This Row],[venc]]="venc",Tabla2[[#This Row],[Columna1]]="por pagar"),"vencida","no")</f>
        <v>no</v>
      </c>
    </row>
    <row r="190" spans="1:23" x14ac:dyDescent="0.3">
      <c r="A190">
        <v>30</v>
      </c>
      <c r="B190">
        <v>8190204</v>
      </c>
      <c r="D190" t="s">
        <v>263</v>
      </c>
      <c r="E190" s="156">
        <v>44776</v>
      </c>
      <c r="F190" t="s">
        <v>1637</v>
      </c>
      <c r="G190" s="156">
        <v>44740</v>
      </c>
      <c r="H190">
        <v>26319</v>
      </c>
      <c r="I190">
        <v>617200</v>
      </c>
      <c r="J190">
        <v>20400</v>
      </c>
      <c r="K190">
        <v>113392</v>
      </c>
      <c r="M190">
        <v>0</v>
      </c>
      <c r="N190">
        <v>0</v>
      </c>
      <c r="O190">
        <v>0</v>
      </c>
      <c r="P190" s="117">
        <v>710192</v>
      </c>
      <c r="Q190" s="117" t="s">
        <v>1021</v>
      </c>
      <c r="R190" s="150">
        <v>0</v>
      </c>
      <c r="S190" s="117" t="b">
        <f>OR(COUNTIF(Tabla2[[#This Row],[PROVEEDOR]],"*"&amp;'Palabra no opera'!$A$2&amp;"*"))</f>
        <v>0</v>
      </c>
      <c r="T190" s="150">
        <f>+$W$5-Tabla2[[#This Row],[FECHA DE FACTURACIÓN]]</f>
        <v>94</v>
      </c>
      <c r="U190" t="str">
        <f>+IF(Tabla2[[#This Row],[dias de credito]]&gt;=Tabla2[[#This Row],[PLAZO Días]],"venc", "No venc")</f>
        <v>venc</v>
      </c>
      <c r="V190" t="str">
        <f>+IF(Tabla2[[#This Row],[FECHA DE PAGO]]&gt;0,"pagada","por pagar")</f>
        <v>pagada</v>
      </c>
      <c r="W190" s="152" t="str">
        <f>+IF(AND(Tabla2[[#This Row],[venc]]="venc",Tabla2[[#This Row],[Columna1]]="por pagar"),"vencida","no")</f>
        <v>no</v>
      </c>
    </row>
    <row r="191" spans="1:23" x14ac:dyDescent="0.3">
      <c r="A191">
        <v>30</v>
      </c>
      <c r="B191">
        <v>0</v>
      </c>
      <c r="D191" t="s">
        <v>290</v>
      </c>
      <c r="E191" s="156">
        <v>44776</v>
      </c>
      <c r="F191" t="s">
        <v>47</v>
      </c>
      <c r="G191" s="156">
        <v>44733</v>
      </c>
      <c r="H191" t="s">
        <v>1061</v>
      </c>
      <c r="I191">
        <v>384350</v>
      </c>
      <c r="K191">
        <v>73026.5</v>
      </c>
      <c r="M191">
        <v>0</v>
      </c>
      <c r="N191">
        <v>0</v>
      </c>
      <c r="O191">
        <v>0</v>
      </c>
      <c r="P191" s="117">
        <v>457376.5</v>
      </c>
      <c r="Q191" s="117" t="s">
        <v>1021</v>
      </c>
      <c r="R191" s="150">
        <v>0</v>
      </c>
      <c r="S191" s="117" t="b">
        <f>OR(COUNTIF(Tabla2[[#This Row],[PROVEEDOR]],"*"&amp;'Palabra no opera'!$A$2&amp;"*"))</f>
        <v>0</v>
      </c>
      <c r="T191" s="150">
        <f>+$W$5-Tabla2[[#This Row],[FECHA DE FACTURACIÓN]]</f>
        <v>101</v>
      </c>
      <c r="U191" t="str">
        <f>+IF(Tabla2[[#This Row],[dias de credito]]&gt;=Tabla2[[#This Row],[PLAZO Días]],"venc", "No venc")</f>
        <v>venc</v>
      </c>
      <c r="V191" t="str">
        <f>+IF(Tabla2[[#This Row],[FECHA DE PAGO]]&gt;0,"pagada","por pagar")</f>
        <v>pagada</v>
      </c>
      <c r="W191" s="152" t="str">
        <f>+IF(AND(Tabla2[[#This Row],[venc]]="venc",Tabla2[[#This Row],[Columna1]]="por pagar"),"vencida","no")</f>
        <v>no</v>
      </c>
    </row>
    <row r="192" spans="1:23" x14ac:dyDescent="0.3">
      <c r="A192">
        <v>30</v>
      </c>
      <c r="B192">
        <v>1513031.5174999998</v>
      </c>
      <c r="D192" t="s">
        <v>266</v>
      </c>
      <c r="E192" s="156">
        <v>44776</v>
      </c>
      <c r="F192" t="s">
        <v>16</v>
      </c>
      <c r="G192" s="156">
        <v>44733</v>
      </c>
      <c r="H192">
        <v>4622</v>
      </c>
      <c r="I192">
        <v>749579.83</v>
      </c>
      <c r="K192">
        <v>142420.16769999999</v>
      </c>
      <c r="M192">
        <v>0</v>
      </c>
      <c r="N192">
        <v>0</v>
      </c>
      <c r="O192">
        <v>0</v>
      </c>
      <c r="P192" s="117">
        <v>891999.99769999995</v>
      </c>
      <c r="Q192" s="117" t="s">
        <v>1021</v>
      </c>
      <c r="R192" s="150">
        <v>0</v>
      </c>
      <c r="S192" s="117" t="b">
        <f>OR(COUNTIF(Tabla2[[#This Row],[PROVEEDOR]],"*"&amp;'Palabra no opera'!$A$2&amp;"*"))</f>
        <v>0</v>
      </c>
      <c r="T192" s="150">
        <f>+$W$5-Tabla2[[#This Row],[FECHA DE FACTURACIÓN]]</f>
        <v>101</v>
      </c>
      <c r="U192" t="str">
        <f>+IF(Tabla2[[#This Row],[dias de credito]]&gt;=Tabla2[[#This Row],[PLAZO Días]],"venc", "No venc")</f>
        <v>venc</v>
      </c>
      <c r="V192" t="str">
        <f>+IF(Tabla2[[#This Row],[FECHA DE PAGO]]&gt;0,"pagada","por pagar")</f>
        <v>pagada</v>
      </c>
      <c r="W192" s="152" t="str">
        <f>+IF(AND(Tabla2[[#This Row],[venc]]="venc",Tabla2[[#This Row],[Columna1]]="por pagar"),"vencida","no")</f>
        <v>no</v>
      </c>
    </row>
    <row r="193" spans="1:23" x14ac:dyDescent="0.3">
      <c r="A193">
        <v>30</v>
      </c>
      <c r="B193">
        <v>660000.18000000005</v>
      </c>
      <c r="D193" t="s">
        <v>1156</v>
      </c>
      <c r="E193" s="156">
        <v>44776</v>
      </c>
      <c r="F193" t="s">
        <v>1155</v>
      </c>
      <c r="G193" s="156">
        <v>44729</v>
      </c>
      <c r="H193" t="s">
        <v>1076</v>
      </c>
      <c r="I193">
        <v>1447478</v>
      </c>
      <c r="K193">
        <v>275020.82</v>
      </c>
      <c r="M193">
        <v>0</v>
      </c>
      <c r="N193">
        <v>2.5000000000000001E-2</v>
      </c>
      <c r="O193">
        <v>36186.950000000004</v>
      </c>
      <c r="P193" s="117">
        <v>1686311.87</v>
      </c>
      <c r="Q193" s="117" t="s">
        <v>1021</v>
      </c>
      <c r="R193" s="150">
        <v>0</v>
      </c>
      <c r="S193" s="117" t="b">
        <f>OR(COUNTIF(Tabla2[[#This Row],[PROVEEDOR]],"*"&amp;'Palabra no opera'!$A$2&amp;"*"))</f>
        <v>0</v>
      </c>
      <c r="T193" s="150">
        <f>+$W$5-Tabla2[[#This Row],[FECHA DE FACTURACIÓN]]</f>
        <v>105</v>
      </c>
      <c r="U193" t="str">
        <f>+IF(Tabla2[[#This Row],[dias de credito]]&gt;=Tabla2[[#This Row],[PLAZO Días]],"venc", "No venc")</f>
        <v>venc</v>
      </c>
      <c r="V193" t="str">
        <f>+IF(Tabla2[[#This Row],[FECHA DE PAGO]]&gt;0,"pagada","por pagar")</f>
        <v>pagada</v>
      </c>
      <c r="W193" s="152" t="str">
        <f>+IF(AND(Tabla2[[#This Row],[venc]]="venc",Tabla2[[#This Row],[Columna1]]="por pagar"),"vencida","no")</f>
        <v>no</v>
      </c>
    </row>
    <row r="194" spans="1:23" x14ac:dyDescent="0.3">
      <c r="A194">
        <v>30</v>
      </c>
      <c r="B194">
        <v>19675613.1195</v>
      </c>
      <c r="D194" t="s">
        <v>256</v>
      </c>
      <c r="E194" s="156">
        <v>44776</v>
      </c>
      <c r="F194" t="s">
        <v>18</v>
      </c>
      <c r="G194" s="156">
        <v>44727</v>
      </c>
      <c r="H194">
        <v>1054981</v>
      </c>
      <c r="I194">
        <v>685746</v>
      </c>
      <c r="K194">
        <v>130291.74</v>
      </c>
      <c r="M194">
        <v>0</v>
      </c>
      <c r="N194">
        <v>0</v>
      </c>
      <c r="O194">
        <v>0</v>
      </c>
      <c r="P194" s="117">
        <v>816037.74</v>
      </c>
      <c r="Q194" s="117" t="s">
        <v>1021</v>
      </c>
      <c r="R194" s="150">
        <v>0</v>
      </c>
      <c r="S194" s="117" t="b">
        <f>OR(COUNTIF(Tabla2[[#This Row],[PROVEEDOR]],"*"&amp;'Palabra no opera'!$A$2&amp;"*"))</f>
        <v>0</v>
      </c>
      <c r="T194" s="150">
        <f>+$W$5-Tabla2[[#This Row],[FECHA DE FACTURACIÓN]]</f>
        <v>107</v>
      </c>
      <c r="U194" t="str">
        <f>+IF(Tabla2[[#This Row],[dias de credito]]&gt;=Tabla2[[#This Row],[PLAZO Días]],"venc", "No venc")</f>
        <v>venc</v>
      </c>
      <c r="V194" t="str">
        <f>+IF(Tabla2[[#This Row],[FECHA DE PAGO]]&gt;0,"pagada","por pagar")</f>
        <v>pagada</v>
      </c>
      <c r="W194" s="152" t="str">
        <f>+IF(AND(Tabla2[[#This Row],[venc]]="venc",Tabla2[[#This Row],[Columna1]]="por pagar"),"vencida","no")</f>
        <v>no</v>
      </c>
    </row>
    <row r="195" spans="1:23" x14ac:dyDescent="0.3">
      <c r="A195">
        <v>45</v>
      </c>
      <c r="B195">
        <v>7497238</v>
      </c>
      <c r="D195" t="s">
        <v>272</v>
      </c>
      <c r="E195" s="156">
        <v>44776</v>
      </c>
      <c r="F195" t="s">
        <v>10</v>
      </c>
      <c r="G195" s="156">
        <v>44727</v>
      </c>
      <c r="H195" t="s">
        <v>1041</v>
      </c>
      <c r="I195">
        <v>735000</v>
      </c>
      <c r="K195">
        <v>139650</v>
      </c>
      <c r="M195">
        <v>0</v>
      </c>
      <c r="N195">
        <v>0</v>
      </c>
      <c r="O195">
        <v>0</v>
      </c>
      <c r="P195" s="117">
        <v>874650</v>
      </c>
      <c r="Q195" s="117" t="s">
        <v>1021</v>
      </c>
      <c r="R195" s="150">
        <v>0</v>
      </c>
      <c r="S195" s="117" t="b">
        <f>OR(COUNTIF(Tabla2[[#This Row],[PROVEEDOR]],"*"&amp;'Palabra no opera'!$A$2&amp;"*"))</f>
        <v>0</v>
      </c>
      <c r="T195" s="150">
        <f>+$W$5-Tabla2[[#This Row],[FECHA DE FACTURACIÓN]]</f>
        <v>107</v>
      </c>
      <c r="U195" t="str">
        <f>+IF(Tabla2[[#This Row],[dias de credito]]&gt;=Tabla2[[#This Row],[PLAZO Días]],"venc", "No venc")</f>
        <v>venc</v>
      </c>
      <c r="V195" t="str">
        <f>+IF(Tabla2[[#This Row],[FECHA DE PAGO]]&gt;0,"pagada","por pagar")</f>
        <v>pagada</v>
      </c>
      <c r="W195" s="152" t="str">
        <f>+IF(AND(Tabla2[[#This Row],[venc]]="venc",Tabla2[[#This Row],[Columna1]]="por pagar"),"vencida","no")</f>
        <v>no</v>
      </c>
    </row>
    <row r="196" spans="1:23" x14ac:dyDescent="0.3">
      <c r="A196">
        <v>45</v>
      </c>
      <c r="B196">
        <v>7497238</v>
      </c>
      <c r="D196" t="s">
        <v>272</v>
      </c>
      <c r="E196" s="156">
        <v>44776</v>
      </c>
      <c r="F196" t="s">
        <v>10</v>
      </c>
      <c r="G196" s="156">
        <v>44727</v>
      </c>
      <c r="H196" t="s">
        <v>1042</v>
      </c>
      <c r="I196">
        <v>1790000</v>
      </c>
      <c r="K196">
        <v>340100</v>
      </c>
      <c r="M196">
        <v>0</v>
      </c>
      <c r="N196">
        <v>0</v>
      </c>
      <c r="O196">
        <v>0</v>
      </c>
      <c r="P196" s="117">
        <v>2130100</v>
      </c>
      <c r="Q196" s="117" t="s">
        <v>1021</v>
      </c>
      <c r="R196" s="150">
        <v>0</v>
      </c>
      <c r="S196" s="117" t="b">
        <f>OR(COUNTIF(Tabla2[[#This Row],[PROVEEDOR]],"*"&amp;'Palabra no opera'!$A$2&amp;"*"))</f>
        <v>0</v>
      </c>
      <c r="T196" s="150">
        <f>+$W$5-Tabla2[[#This Row],[FECHA DE FACTURACIÓN]]</f>
        <v>107</v>
      </c>
      <c r="U196" t="str">
        <f>+IF(Tabla2[[#This Row],[dias de credito]]&gt;=Tabla2[[#This Row],[PLAZO Días]],"venc", "No venc")</f>
        <v>venc</v>
      </c>
      <c r="V196" t="str">
        <f>+IF(Tabla2[[#This Row],[FECHA DE PAGO]]&gt;0,"pagada","por pagar")</f>
        <v>pagada</v>
      </c>
      <c r="W196" s="152" t="str">
        <f>+IF(AND(Tabla2[[#This Row],[venc]]="venc",Tabla2[[#This Row],[Columna1]]="por pagar"),"vencida","no")</f>
        <v>no</v>
      </c>
    </row>
    <row r="197" spans="1:23" x14ac:dyDescent="0.3">
      <c r="A197">
        <v>45</v>
      </c>
      <c r="B197">
        <v>7497238</v>
      </c>
      <c r="D197" t="s">
        <v>272</v>
      </c>
      <c r="E197" s="156">
        <v>44776</v>
      </c>
      <c r="F197" t="s">
        <v>10</v>
      </c>
      <c r="G197" s="156">
        <v>44726</v>
      </c>
      <c r="H197" t="s">
        <v>1043</v>
      </c>
      <c r="I197">
        <v>87000</v>
      </c>
      <c r="K197">
        <v>16530</v>
      </c>
      <c r="M197">
        <v>0</v>
      </c>
      <c r="N197">
        <v>0</v>
      </c>
      <c r="O197">
        <v>0</v>
      </c>
      <c r="P197" s="117">
        <v>103530</v>
      </c>
      <c r="Q197" s="117" t="s">
        <v>1021</v>
      </c>
      <c r="R197" s="150">
        <v>0</v>
      </c>
      <c r="S197" s="117" t="b">
        <f>OR(COUNTIF(Tabla2[[#This Row],[PROVEEDOR]],"*"&amp;'Palabra no opera'!$A$2&amp;"*"))</f>
        <v>0</v>
      </c>
      <c r="T197" s="150">
        <f>+$W$5-Tabla2[[#This Row],[FECHA DE FACTURACIÓN]]</f>
        <v>108</v>
      </c>
      <c r="U197" t="str">
        <f>+IF(Tabla2[[#This Row],[dias de credito]]&gt;=Tabla2[[#This Row],[PLAZO Días]],"venc", "No venc")</f>
        <v>venc</v>
      </c>
      <c r="V197" t="str">
        <f>+IF(Tabla2[[#This Row],[FECHA DE PAGO]]&gt;0,"pagada","por pagar")</f>
        <v>pagada</v>
      </c>
      <c r="W197" s="152" t="str">
        <f>+IF(AND(Tabla2[[#This Row],[venc]]="venc",Tabla2[[#This Row],[Columna1]]="por pagar"),"vencida","no")</f>
        <v>no</v>
      </c>
    </row>
    <row r="198" spans="1:23" x14ac:dyDescent="0.3">
      <c r="A198">
        <v>30</v>
      </c>
      <c r="B198">
        <v>8457900</v>
      </c>
      <c r="D198" t="s">
        <v>1027</v>
      </c>
      <c r="E198" s="156">
        <v>44776</v>
      </c>
      <c r="F198" t="s">
        <v>11</v>
      </c>
      <c r="G198" s="156">
        <v>44724</v>
      </c>
      <c r="H198" t="s">
        <v>1044</v>
      </c>
      <c r="I198">
        <v>2640000</v>
      </c>
      <c r="K198">
        <v>501600</v>
      </c>
      <c r="M198">
        <v>0</v>
      </c>
      <c r="N198">
        <v>2.5000000000000001E-2</v>
      </c>
      <c r="O198">
        <v>66000</v>
      </c>
      <c r="P198" s="117">
        <v>3075600</v>
      </c>
      <c r="Q198" s="117" t="s">
        <v>1021</v>
      </c>
      <c r="R198" s="150">
        <v>0</v>
      </c>
      <c r="S198" s="117" t="b">
        <f>OR(COUNTIF(Tabla2[[#This Row],[PROVEEDOR]],"*"&amp;'Palabra no opera'!$A$2&amp;"*"))</f>
        <v>0</v>
      </c>
      <c r="T198" s="150">
        <f>+$W$5-Tabla2[[#This Row],[FECHA DE FACTURACIÓN]]</f>
        <v>110</v>
      </c>
      <c r="U198" t="str">
        <f>+IF(Tabla2[[#This Row],[dias de credito]]&gt;=Tabla2[[#This Row],[PLAZO Días]],"venc", "No venc")</f>
        <v>venc</v>
      </c>
      <c r="V198" t="str">
        <f>+IF(Tabla2[[#This Row],[FECHA DE PAGO]]&gt;0,"pagada","por pagar")</f>
        <v>pagada</v>
      </c>
      <c r="W198" s="152" t="str">
        <f>+IF(AND(Tabla2[[#This Row],[venc]]="venc",Tabla2[[#This Row],[Columna1]]="por pagar"),"vencida","no")</f>
        <v>no</v>
      </c>
    </row>
    <row r="199" spans="1:23" x14ac:dyDescent="0.3">
      <c r="A199">
        <v>30</v>
      </c>
      <c r="B199">
        <v>19675613.1195</v>
      </c>
      <c r="D199" t="s">
        <v>256</v>
      </c>
      <c r="E199" s="156">
        <v>44776</v>
      </c>
      <c r="F199" t="s">
        <v>18</v>
      </c>
      <c r="G199" s="156">
        <v>44721</v>
      </c>
      <c r="H199">
        <v>1054749</v>
      </c>
      <c r="I199">
        <v>514263.6</v>
      </c>
      <c r="K199">
        <v>97710.084000000003</v>
      </c>
      <c r="M199">
        <v>0</v>
      </c>
      <c r="N199">
        <v>0</v>
      </c>
      <c r="O199">
        <v>0</v>
      </c>
      <c r="P199" s="117">
        <v>611973.68400000001</v>
      </c>
      <c r="Q199" s="117" t="s">
        <v>1021</v>
      </c>
      <c r="R199" s="150">
        <v>0</v>
      </c>
      <c r="S199" s="117" t="b">
        <f>OR(COUNTIF(Tabla2[[#This Row],[PROVEEDOR]],"*"&amp;'Palabra no opera'!$A$2&amp;"*"))</f>
        <v>0</v>
      </c>
      <c r="T199" s="150">
        <f>+$W$5-Tabla2[[#This Row],[FECHA DE FACTURACIÓN]]</f>
        <v>113</v>
      </c>
      <c r="U199" t="str">
        <f>+IF(Tabla2[[#This Row],[dias de credito]]&gt;=Tabla2[[#This Row],[PLAZO Días]],"venc", "No venc")</f>
        <v>venc</v>
      </c>
      <c r="V199" t="str">
        <f>+IF(Tabla2[[#This Row],[FECHA DE PAGO]]&gt;0,"pagada","por pagar")</f>
        <v>pagada</v>
      </c>
      <c r="W199" s="152" t="str">
        <f>+IF(AND(Tabla2[[#This Row],[venc]]="venc",Tabla2[[#This Row],[Columna1]]="por pagar"),"vencida","no")</f>
        <v>no</v>
      </c>
    </row>
    <row r="200" spans="1:23" x14ac:dyDescent="0.3">
      <c r="A200">
        <v>30</v>
      </c>
      <c r="B200">
        <v>8190204</v>
      </c>
      <c r="D200" t="s">
        <v>263</v>
      </c>
      <c r="E200" s="156">
        <v>44776</v>
      </c>
      <c r="F200" t="s">
        <v>1637</v>
      </c>
      <c r="G200" s="156">
        <v>44721</v>
      </c>
      <c r="H200">
        <v>26161</v>
      </c>
      <c r="I200">
        <v>3457080</v>
      </c>
      <c r="J200">
        <v>314280</v>
      </c>
      <c r="K200">
        <v>597132</v>
      </c>
      <c r="M200">
        <v>0</v>
      </c>
      <c r="N200">
        <v>2.5000000000000001E-2</v>
      </c>
      <c r="O200">
        <v>78570</v>
      </c>
      <c r="P200" s="117">
        <v>3661362</v>
      </c>
      <c r="Q200" s="117" t="s">
        <v>1021</v>
      </c>
      <c r="R200" s="150">
        <v>0</v>
      </c>
      <c r="S200" s="117" t="b">
        <f>OR(COUNTIF(Tabla2[[#This Row],[PROVEEDOR]],"*"&amp;'Palabra no opera'!$A$2&amp;"*"))</f>
        <v>0</v>
      </c>
      <c r="T200" s="150">
        <f>+$W$5-Tabla2[[#This Row],[FECHA DE FACTURACIÓN]]</f>
        <v>113</v>
      </c>
      <c r="U200" t="str">
        <f>+IF(Tabla2[[#This Row],[dias de credito]]&gt;=Tabla2[[#This Row],[PLAZO Días]],"venc", "No venc")</f>
        <v>venc</v>
      </c>
      <c r="V200" t="str">
        <f>+IF(Tabla2[[#This Row],[FECHA DE PAGO]]&gt;0,"pagada","por pagar")</f>
        <v>pagada</v>
      </c>
      <c r="W200" s="152" t="str">
        <f>+IF(AND(Tabla2[[#This Row],[venc]]="venc",Tabla2[[#This Row],[Columna1]]="por pagar"),"vencida","no")</f>
        <v>no</v>
      </c>
    </row>
    <row r="201" spans="1:23" x14ac:dyDescent="0.3">
      <c r="A201">
        <v>30</v>
      </c>
      <c r="B201">
        <v>8190204</v>
      </c>
      <c r="D201" t="s">
        <v>263</v>
      </c>
      <c r="E201" s="156">
        <v>44776</v>
      </c>
      <c r="F201" t="s">
        <v>1637</v>
      </c>
      <c r="G201" s="156">
        <v>44720</v>
      </c>
      <c r="H201">
        <v>26146</v>
      </c>
      <c r="I201">
        <v>128000</v>
      </c>
      <c r="K201">
        <v>24320</v>
      </c>
      <c r="M201">
        <v>0</v>
      </c>
      <c r="N201">
        <v>0</v>
      </c>
      <c r="O201">
        <v>0</v>
      </c>
      <c r="P201" s="117">
        <v>152320</v>
      </c>
      <c r="Q201" s="117" t="s">
        <v>1021</v>
      </c>
      <c r="R201" s="150">
        <v>0</v>
      </c>
      <c r="S201" s="117" t="b">
        <f>OR(COUNTIF(Tabla2[[#This Row],[PROVEEDOR]],"*"&amp;'Palabra no opera'!$A$2&amp;"*"))</f>
        <v>0</v>
      </c>
      <c r="T201" s="150">
        <f>+$W$5-Tabla2[[#This Row],[FECHA DE FACTURACIÓN]]</f>
        <v>114</v>
      </c>
      <c r="U201" t="str">
        <f>+IF(Tabla2[[#This Row],[dias de credito]]&gt;=Tabla2[[#This Row],[PLAZO Días]],"venc", "No venc")</f>
        <v>venc</v>
      </c>
      <c r="V201" t="str">
        <f>+IF(Tabla2[[#This Row],[FECHA DE PAGO]]&gt;0,"pagada","por pagar")</f>
        <v>pagada</v>
      </c>
      <c r="W201" s="152" t="str">
        <f>+IF(AND(Tabla2[[#This Row],[venc]]="venc",Tabla2[[#This Row],[Columna1]]="por pagar"),"vencida","no")</f>
        <v>no</v>
      </c>
    </row>
    <row r="202" spans="1:23" x14ac:dyDescent="0.3">
      <c r="A202">
        <v>45</v>
      </c>
      <c r="B202">
        <v>7497238</v>
      </c>
      <c r="D202" t="s">
        <v>272</v>
      </c>
      <c r="E202" s="156">
        <v>44776</v>
      </c>
      <c r="F202" t="s">
        <v>10</v>
      </c>
      <c r="G202" s="156">
        <v>44718</v>
      </c>
      <c r="H202" t="s">
        <v>1035</v>
      </c>
      <c r="I202">
        <v>1440000</v>
      </c>
      <c r="K202">
        <v>273600</v>
      </c>
      <c r="M202">
        <v>0</v>
      </c>
      <c r="N202">
        <v>0</v>
      </c>
      <c r="O202">
        <v>0</v>
      </c>
      <c r="P202" s="117">
        <v>1713600</v>
      </c>
      <c r="Q202" s="117" t="s">
        <v>1021</v>
      </c>
      <c r="R202" s="150">
        <v>0</v>
      </c>
      <c r="S202" s="117" t="b">
        <f>OR(COUNTIF(Tabla2[[#This Row],[PROVEEDOR]],"*"&amp;'Palabra no opera'!$A$2&amp;"*"))</f>
        <v>0</v>
      </c>
      <c r="T202" s="150">
        <f>+$W$5-Tabla2[[#This Row],[FECHA DE FACTURACIÓN]]</f>
        <v>116</v>
      </c>
      <c r="U202" t="str">
        <f>+IF(Tabla2[[#This Row],[dias de credito]]&gt;=Tabla2[[#This Row],[PLAZO Días]],"venc", "No venc")</f>
        <v>venc</v>
      </c>
      <c r="V202" t="str">
        <f>+IF(Tabla2[[#This Row],[FECHA DE PAGO]]&gt;0,"pagada","por pagar")</f>
        <v>pagada</v>
      </c>
      <c r="W202" s="152" t="str">
        <f>+IF(AND(Tabla2[[#This Row],[venc]]="venc",Tabla2[[#This Row],[Columna1]]="por pagar"),"vencida","no")</f>
        <v>no</v>
      </c>
    </row>
    <row r="203" spans="1:23" x14ac:dyDescent="0.3">
      <c r="A203">
        <v>30</v>
      </c>
      <c r="B203">
        <v>660000.18000000005</v>
      </c>
      <c r="D203" t="s">
        <v>1156</v>
      </c>
      <c r="E203" s="156">
        <v>44776</v>
      </c>
      <c r="F203" t="s">
        <v>1155</v>
      </c>
      <c r="G203" s="156">
        <v>44701</v>
      </c>
      <c r="H203" t="s">
        <v>988</v>
      </c>
      <c r="I203">
        <v>731092</v>
      </c>
      <c r="K203">
        <v>138907.48000000001</v>
      </c>
      <c r="M203">
        <v>0</v>
      </c>
      <c r="N203">
        <v>0</v>
      </c>
      <c r="O203">
        <v>0</v>
      </c>
      <c r="P203" s="117">
        <v>869999.48</v>
      </c>
      <c r="Q203" s="117" t="s">
        <v>1021</v>
      </c>
      <c r="R203" s="150">
        <v>0</v>
      </c>
      <c r="S203" s="117" t="b">
        <f>OR(COUNTIF(Tabla2[[#This Row],[PROVEEDOR]],"*"&amp;'Palabra no opera'!$A$2&amp;"*"))</f>
        <v>0</v>
      </c>
      <c r="T203" s="150">
        <f>+$W$5-Tabla2[[#This Row],[FECHA DE FACTURACIÓN]]</f>
        <v>133</v>
      </c>
      <c r="U203" t="str">
        <f>+IF(Tabla2[[#This Row],[dias de credito]]&gt;=Tabla2[[#This Row],[PLAZO Días]],"venc", "No venc")</f>
        <v>venc</v>
      </c>
      <c r="V203" t="str">
        <f>+IF(Tabla2[[#This Row],[FECHA DE PAGO]]&gt;0,"pagada","por pagar")</f>
        <v>pagada</v>
      </c>
      <c r="W203" s="152" t="str">
        <f>+IF(AND(Tabla2[[#This Row],[venc]]="venc",Tabla2[[#This Row],[Columna1]]="por pagar"),"vencida","no")</f>
        <v>no</v>
      </c>
    </row>
    <row r="204" spans="1:23" x14ac:dyDescent="0.3">
      <c r="A204">
        <v>0</v>
      </c>
      <c r="B204">
        <v>0</v>
      </c>
      <c r="D204">
        <v>0</v>
      </c>
      <c r="E204" s="156">
        <v>44775</v>
      </c>
      <c r="F204" t="s">
        <v>1050</v>
      </c>
      <c r="G204" s="156">
        <v>44775</v>
      </c>
      <c r="H204" t="s">
        <v>1395</v>
      </c>
      <c r="I204">
        <v>600000</v>
      </c>
      <c r="K204">
        <v>0</v>
      </c>
      <c r="M204">
        <v>0</v>
      </c>
      <c r="N204">
        <v>0</v>
      </c>
      <c r="O204">
        <v>0</v>
      </c>
      <c r="P204" s="117">
        <v>600000</v>
      </c>
      <c r="Q204" s="117" t="s">
        <v>1021</v>
      </c>
      <c r="R204" s="150">
        <v>0</v>
      </c>
      <c r="S204" s="117" t="b">
        <f>OR(COUNTIF(Tabla2[[#This Row],[PROVEEDOR]],"*"&amp;'Palabra no opera'!$A$2&amp;"*"))</f>
        <v>1</v>
      </c>
      <c r="T204" s="150">
        <f>+$W$5-Tabla2[[#This Row],[FECHA DE FACTURACIÓN]]</f>
        <v>59</v>
      </c>
      <c r="U204" t="str">
        <f>+IF(Tabla2[[#This Row],[dias de credito]]&gt;=Tabla2[[#This Row],[PLAZO Días]],"venc", "No venc")</f>
        <v>venc</v>
      </c>
      <c r="V204" t="str">
        <f>+IF(Tabla2[[#This Row],[FECHA DE PAGO]]&gt;0,"pagada","por pagar")</f>
        <v>pagada</v>
      </c>
      <c r="W204" s="152" t="str">
        <f>+IF(AND(Tabla2[[#This Row],[venc]]="venc",Tabla2[[#This Row],[Columna1]]="por pagar"),"vencida","no")</f>
        <v>no</v>
      </c>
    </row>
    <row r="205" spans="1:23" x14ac:dyDescent="0.3">
      <c r="A205">
        <v>30</v>
      </c>
      <c r="B205">
        <v>527800</v>
      </c>
      <c r="D205" t="s">
        <v>139</v>
      </c>
      <c r="E205" s="156">
        <v>44775</v>
      </c>
      <c r="F205" t="s">
        <v>624</v>
      </c>
      <c r="G205" s="156">
        <v>44740</v>
      </c>
      <c r="H205" t="s">
        <v>1610</v>
      </c>
      <c r="I205">
        <v>265000</v>
      </c>
      <c r="K205">
        <v>0</v>
      </c>
      <c r="M205">
        <v>0</v>
      </c>
      <c r="N205">
        <v>0</v>
      </c>
      <c r="O205">
        <v>0</v>
      </c>
      <c r="P205" s="117">
        <v>265000</v>
      </c>
      <c r="Q205" s="117" t="s">
        <v>1021</v>
      </c>
      <c r="R205" s="150">
        <v>0</v>
      </c>
      <c r="S205" s="117" t="b">
        <f>OR(COUNTIF(Tabla2[[#This Row],[PROVEEDOR]],"*"&amp;'Palabra no opera'!$A$2&amp;"*"))</f>
        <v>0</v>
      </c>
      <c r="T205" s="150">
        <f>+$W$5-Tabla2[[#This Row],[FECHA DE FACTURACIÓN]]</f>
        <v>94</v>
      </c>
      <c r="U205" t="str">
        <f>+IF(Tabla2[[#This Row],[dias de credito]]&gt;=Tabla2[[#This Row],[PLAZO Días]],"venc", "No venc")</f>
        <v>venc</v>
      </c>
      <c r="V205" t="str">
        <f>+IF(Tabla2[[#This Row],[FECHA DE PAGO]]&gt;0,"pagada","por pagar")</f>
        <v>pagada</v>
      </c>
      <c r="W205" s="152" t="str">
        <f>+IF(AND(Tabla2[[#This Row],[venc]]="venc",Tabla2[[#This Row],[Columna1]]="por pagar"),"vencida","no")</f>
        <v>no</v>
      </c>
    </row>
    <row r="206" spans="1:23" x14ac:dyDescent="0.3">
      <c r="A206">
        <v>30</v>
      </c>
      <c r="B206">
        <v>0</v>
      </c>
      <c r="D206" t="s">
        <v>139</v>
      </c>
      <c r="E206" s="156">
        <v>44775</v>
      </c>
      <c r="F206" t="s">
        <v>625</v>
      </c>
      <c r="G206" s="156">
        <v>44702</v>
      </c>
      <c r="H206" t="s">
        <v>1600</v>
      </c>
      <c r="I206">
        <v>2272000</v>
      </c>
      <c r="K206">
        <v>0</v>
      </c>
      <c r="M206">
        <v>0</v>
      </c>
      <c r="N206">
        <v>0</v>
      </c>
      <c r="O206">
        <v>0</v>
      </c>
      <c r="P206" s="117">
        <v>2272000</v>
      </c>
      <c r="Q206" s="117" t="s">
        <v>1021</v>
      </c>
      <c r="R206" s="150">
        <v>0</v>
      </c>
      <c r="S206" s="117" t="b">
        <f>OR(COUNTIF(Tabla2[[#This Row],[PROVEEDOR]],"*"&amp;'Palabra no opera'!$A$2&amp;"*"))</f>
        <v>0</v>
      </c>
      <c r="T206" s="150">
        <f>+$W$5-Tabla2[[#This Row],[FECHA DE FACTURACIÓN]]</f>
        <v>132</v>
      </c>
      <c r="U206" t="str">
        <f>+IF(Tabla2[[#This Row],[dias de credito]]&gt;=Tabla2[[#This Row],[PLAZO Días]],"venc", "No venc")</f>
        <v>venc</v>
      </c>
      <c r="V206" t="str">
        <f>+IF(Tabla2[[#This Row],[FECHA DE PAGO]]&gt;0,"pagada","por pagar")</f>
        <v>pagada</v>
      </c>
      <c r="W206" s="152" t="str">
        <f>+IF(AND(Tabla2[[#This Row],[venc]]="venc",Tabla2[[#This Row],[Columna1]]="por pagar"),"vencida","no")</f>
        <v>no</v>
      </c>
    </row>
    <row r="207" spans="1:23" x14ac:dyDescent="0.3">
      <c r="A207">
        <v>30</v>
      </c>
      <c r="B207">
        <v>2324000</v>
      </c>
      <c r="D207" t="s">
        <v>251</v>
      </c>
      <c r="E207" s="156">
        <v>44775</v>
      </c>
      <c r="F207" t="s">
        <v>699</v>
      </c>
      <c r="G207" s="156">
        <v>44700</v>
      </c>
      <c r="H207" t="s">
        <v>1598</v>
      </c>
      <c r="I207">
        <v>260000</v>
      </c>
      <c r="K207">
        <v>0</v>
      </c>
      <c r="M207">
        <v>0</v>
      </c>
      <c r="N207">
        <v>0</v>
      </c>
      <c r="O207">
        <v>0</v>
      </c>
      <c r="P207" s="117">
        <v>260000</v>
      </c>
      <c r="Q207" s="117" t="s">
        <v>1021</v>
      </c>
      <c r="R207" s="150">
        <v>0</v>
      </c>
      <c r="S207" s="117" t="b">
        <f>OR(COUNTIF(Tabla2[[#This Row],[PROVEEDOR]],"*"&amp;'Palabra no opera'!$A$2&amp;"*"))</f>
        <v>0</v>
      </c>
      <c r="T207" s="150">
        <f>+$W$5-Tabla2[[#This Row],[FECHA DE FACTURACIÓN]]</f>
        <v>134</v>
      </c>
      <c r="U207" t="str">
        <f>+IF(Tabla2[[#This Row],[dias de credito]]&gt;=Tabla2[[#This Row],[PLAZO Días]],"venc", "No venc")</f>
        <v>venc</v>
      </c>
      <c r="V207" t="str">
        <f>+IF(Tabla2[[#This Row],[FECHA DE PAGO]]&gt;0,"pagada","por pagar")</f>
        <v>pagada</v>
      </c>
      <c r="W207" s="152" t="str">
        <f>+IF(AND(Tabla2[[#This Row],[venc]]="venc",Tabla2[[#This Row],[Columna1]]="por pagar"),"vencida","no")</f>
        <v>no</v>
      </c>
    </row>
    <row r="208" spans="1:23" x14ac:dyDescent="0.3">
      <c r="A208">
        <v>30</v>
      </c>
      <c r="B208">
        <v>2324000</v>
      </c>
      <c r="D208" t="s">
        <v>251</v>
      </c>
      <c r="E208" s="156">
        <v>44775</v>
      </c>
      <c r="F208" t="s">
        <v>699</v>
      </c>
      <c r="G208" s="156">
        <v>44700</v>
      </c>
      <c r="H208" t="s">
        <v>1599</v>
      </c>
      <c r="I208">
        <v>624000</v>
      </c>
      <c r="K208">
        <v>0</v>
      </c>
      <c r="M208">
        <v>0</v>
      </c>
      <c r="N208">
        <v>0</v>
      </c>
      <c r="O208">
        <v>0</v>
      </c>
      <c r="P208" s="117">
        <v>624000</v>
      </c>
      <c r="Q208" s="117" t="s">
        <v>1021</v>
      </c>
      <c r="R208" s="150">
        <v>0</v>
      </c>
      <c r="S208" s="117" t="b">
        <f>OR(COUNTIF(Tabla2[[#This Row],[PROVEEDOR]],"*"&amp;'Palabra no opera'!$A$2&amp;"*"))</f>
        <v>0</v>
      </c>
      <c r="T208" s="150">
        <f>+$W$5-Tabla2[[#This Row],[FECHA DE FACTURACIÓN]]</f>
        <v>134</v>
      </c>
      <c r="U208" t="str">
        <f>+IF(Tabla2[[#This Row],[dias de credito]]&gt;=Tabla2[[#This Row],[PLAZO Días]],"venc", "No venc")</f>
        <v>venc</v>
      </c>
      <c r="V208" t="str">
        <f>+IF(Tabla2[[#This Row],[FECHA DE PAGO]]&gt;0,"pagada","por pagar")</f>
        <v>pagada</v>
      </c>
      <c r="W208" s="152" t="str">
        <f>+IF(AND(Tabla2[[#This Row],[venc]]="venc",Tabla2[[#This Row],[Columna1]]="por pagar"),"vencida","no")</f>
        <v>no</v>
      </c>
    </row>
    <row r="209" spans="1:23" x14ac:dyDescent="0.3">
      <c r="A209">
        <v>30</v>
      </c>
      <c r="B209">
        <v>0</v>
      </c>
      <c r="D209" t="s">
        <v>1653</v>
      </c>
      <c r="E209" s="156">
        <v>44774</v>
      </c>
      <c r="F209" t="s">
        <v>24</v>
      </c>
      <c r="G209" s="156">
        <v>44722</v>
      </c>
      <c r="H209" t="s">
        <v>1063</v>
      </c>
      <c r="I209">
        <v>806050</v>
      </c>
      <c r="K209">
        <v>153149.5</v>
      </c>
      <c r="M209">
        <v>0</v>
      </c>
      <c r="N209">
        <v>0</v>
      </c>
      <c r="O209">
        <v>0</v>
      </c>
      <c r="P209" s="117">
        <v>959199.5</v>
      </c>
      <c r="Q209" s="117" t="s">
        <v>1021</v>
      </c>
      <c r="R209" s="150">
        <v>0</v>
      </c>
      <c r="S209" s="117" t="b">
        <f>OR(COUNTIF(Tabla2[[#This Row],[PROVEEDOR]],"*"&amp;'Palabra no opera'!$A$2&amp;"*"))</f>
        <v>0</v>
      </c>
      <c r="T209" s="150">
        <f>+$W$5-Tabla2[[#This Row],[FECHA DE FACTURACIÓN]]</f>
        <v>112</v>
      </c>
      <c r="U209" t="str">
        <f>+IF(Tabla2[[#This Row],[dias de credito]]&gt;=Tabla2[[#This Row],[PLAZO Días]],"venc", "No venc")</f>
        <v>venc</v>
      </c>
      <c r="V209" t="str">
        <f>+IF(Tabla2[[#This Row],[FECHA DE PAGO]]&gt;0,"pagada","por pagar")</f>
        <v>pagada</v>
      </c>
      <c r="W209" s="152" t="str">
        <f>+IF(AND(Tabla2[[#This Row],[venc]]="venc",Tabla2[[#This Row],[Columna1]]="por pagar"),"vencida","no")</f>
        <v>no</v>
      </c>
    </row>
    <row r="210" spans="1:23" x14ac:dyDescent="0.3">
      <c r="A210">
        <v>30</v>
      </c>
      <c r="B210">
        <v>0</v>
      </c>
      <c r="D210" t="s">
        <v>1653</v>
      </c>
      <c r="E210" s="156">
        <v>44774</v>
      </c>
      <c r="F210" t="s">
        <v>24</v>
      </c>
      <c r="G210" s="156">
        <v>44720</v>
      </c>
      <c r="H210" t="s">
        <v>1064</v>
      </c>
      <c r="I210">
        <v>1909610</v>
      </c>
      <c r="K210">
        <v>362825.9</v>
      </c>
      <c r="M210">
        <v>0</v>
      </c>
      <c r="N210">
        <v>2.5000000000000001E-2</v>
      </c>
      <c r="O210">
        <v>47740.25</v>
      </c>
      <c r="P210" s="117">
        <v>2224695.65</v>
      </c>
      <c r="Q210" s="117" t="s">
        <v>1021</v>
      </c>
      <c r="R210" s="150">
        <v>0</v>
      </c>
      <c r="S210" s="117" t="b">
        <f>OR(COUNTIF(Tabla2[[#This Row],[PROVEEDOR]],"*"&amp;'Palabra no opera'!$A$2&amp;"*"))</f>
        <v>0</v>
      </c>
      <c r="T210" s="150">
        <f>+$W$5-Tabla2[[#This Row],[FECHA DE FACTURACIÓN]]</f>
        <v>114</v>
      </c>
      <c r="U210" t="str">
        <f>+IF(Tabla2[[#This Row],[dias de credito]]&gt;=Tabla2[[#This Row],[PLAZO Días]],"venc", "No venc")</f>
        <v>venc</v>
      </c>
      <c r="V210" t="str">
        <f>+IF(Tabla2[[#This Row],[FECHA DE PAGO]]&gt;0,"pagada","por pagar")</f>
        <v>pagada</v>
      </c>
      <c r="W210" s="152" t="str">
        <f>+IF(AND(Tabla2[[#This Row],[venc]]="venc",Tabla2[[#This Row],[Columna1]]="por pagar"),"vencida","no")</f>
        <v>no</v>
      </c>
    </row>
    <row r="211" spans="1:23" x14ac:dyDescent="0.3">
      <c r="A211">
        <v>30</v>
      </c>
      <c r="B211">
        <v>0</v>
      </c>
      <c r="D211" t="s">
        <v>139</v>
      </c>
      <c r="E211" s="156">
        <v>44773</v>
      </c>
      <c r="F211" t="s">
        <v>644</v>
      </c>
      <c r="G211" s="156">
        <v>44773</v>
      </c>
      <c r="H211" t="s">
        <v>174</v>
      </c>
      <c r="I211">
        <v>986500</v>
      </c>
      <c r="K211">
        <v>0</v>
      </c>
      <c r="M211">
        <v>0</v>
      </c>
      <c r="N211">
        <v>0</v>
      </c>
      <c r="O211">
        <v>0</v>
      </c>
      <c r="P211" s="117">
        <v>986500</v>
      </c>
      <c r="Q211" s="117" t="s">
        <v>1021</v>
      </c>
      <c r="R211" s="150">
        <v>0</v>
      </c>
      <c r="S211" s="117" t="b">
        <f>OR(COUNTIF(Tabla2[[#This Row],[PROVEEDOR]],"*"&amp;'Palabra no opera'!$A$2&amp;"*"))</f>
        <v>0</v>
      </c>
      <c r="T211" s="150">
        <f>+$W$5-Tabla2[[#This Row],[FECHA DE FACTURACIÓN]]</f>
        <v>61</v>
      </c>
      <c r="U211" t="str">
        <f>+IF(Tabla2[[#This Row],[dias de credito]]&gt;=Tabla2[[#This Row],[PLAZO Días]],"venc", "No venc")</f>
        <v>venc</v>
      </c>
      <c r="V211" t="str">
        <f>+IF(Tabla2[[#This Row],[FECHA DE PAGO]]&gt;0,"pagada","por pagar")</f>
        <v>pagada</v>
      </c>
      <c r="W211" s="152" t="str">
        <f>+IF(AND(Tabla2[[#This Row],[venc]]="venc",Tabla2[[#This Row],[Columna1]]="por pagar"),"vencida","no")</f>
        <v>no</v>
      </c>
    </row>
    <row r="212" spans="1:23" x14ac:dyDescent="0.3">
      <c r="A212">
        <v>30</v>
      </c>
      <c r="B212">
        <v>0</v>
      </c>
      <c r="D212" t="s">
        <v>139</v>
      </c>
      <c r="E212" s="156">
        <v>44773</v>
      </c>
      <c r="F212" t="s">
        <v>644</v>
      </c>
      <c r="G212" s="156">
        <v>44773</v>
      </c>
      <c r="H212" t="s">
        <v>596</v>
      </c>
      <c r="I212">
        <v>65800</v>
      </c>
      <c r="K212">
        <v>0</v>
      </c>
      <c r="M212">
        <v>0</v>
      </c>
      <c r="N212">
        <v>0</v>
      </c>
      <c r="O212">
        <v>0</v>
      </c>
      <c r="P212" s="117">
        <v>65800</v>
      </c>
      <c r="Q212" s="117" t="s">
        <v>1021</v>
      </c>
      <c r="R212" s="150">
        <v>0</v>
      </c>
      <c r="S212" s="117" t="b">
        <f>OR(COUNTIF(Tabla2[[#This Row],[PROVEEDOR]],"*"&amp;'Palabra no opera'!$A$2&amp;"*"))</f>
        <v>0</v>
      </c>
      <c r="T212" s="150">
        <f>+$W$5-Tabla2[[#This Row],[FECHA DE FACTURACIÓN]]</f>
        <v>61</v>
      </c>
      <c r="U212" t="str">
        <f>+IF(Tabla2[[#This Row],[dias de credito]]&gt;=Tabla2[[#This Row],[PLAZO Días]],"venc", "No venc")</f>
        <v>venc</v>
      </c>
      <c r="V212" t="str">
        <f>+IF(Tabla2[[#This Row],[FECHA DE PAGO]]&gt;0,"pagada","por pagar")</f>
        <v>pagada</v>
      </c>
      <c r="W212" s="152" t="str">
        <f>+IF(AND(Tabla2[[#This Row],[venc]]="venc",Tabla2[[#This Row],[Columna1]]="por pagar"),"vencida","no")</f>
        <v>no</v>
      </c>
    </row>
    <row r="213" spans="1:23" x14ac:dyDescent="0.3">
      <c r="A213">
        <v>30</v>
      </c>
      <c r="B213">
        <v>0</v>
      </c>
      <c r="D213" t="s">
        <v>139</v>
      </c>
      <c r="E213" s="156">
        <v>44773</v>
      </c>
      <c r="F213" t="s">
        <v>644</v>
      </c>
      <c r="G213" s="156">
        <v>44773</v>
      </c>
      <c r="H213" t="s">
        <v>595</v>
      </c>
      <c r="I213">
        <v>2950000</v>
      </c>
      <c r="K213">
        <v>0</v>
      </c>
      <c r="M213">
        <v>0</v>
      </c>
      <c r="N213">
        <v>0</v>
      </c>
      <c r="O213">
        <v>0</v>
      </c>
      <c r="P213" s="117">
        <v>2950000</v>
      </c>
      <c r="Q213" s="117" t="s">
        <v>1021</v>
      </c>
      <c r="R213" s="150">
        <v>0</v>
      </c>
      <c r="S213" s="117" t="b">
        <f>OR(COUNTIF(Tabla2[[#This Row],[PROVEEDOR]],"*"&amp;'Palabra no opera'!$A$2&amp;"*"))</f>
        <v>0</v>
      </c>
      <c r="T213" s="150">
        <f>+$W$5-Tabla2[[#This Row],[FECHA DE FACTURACIÓN]]</f>
        <v>61</v>
      </c>
      <c r="U213" t="str">
        <f>+IF(Tabla2[[#This Row],[dias de credito]]&gt;=Tabla2[[#This Row],[PLAZO Días]],"venc", "No venc")</f>
        <v>venc</v>
      </c>
      <c r="V213" t="str">
        <f>+IF(Tabla2[[#This Row],[FECHA DE PAGO]]&gt;0,"pagada","por pagar")</f>
        <v>pagada</v>
      </c>
      <c r="W213" s="152" t="str">
        <f>+IF(AND(Tabla2[[#This Row],[venc]]="venc",Tabla2[[#This Row],[Columna1]]="por pagar"),"vencida","no")</f>
        <v>no</v>
      </c>
    </row>
    <row r="214" spans="1:23" x14ac:dyDescent="0.3">
      <c r="A214">
        <v>30</v>
      </c>
      <c r="B214">
        <v>0</v>
      </c>
      <c r="D214" t="s">
        <v>139</v>
      </c>
      <c r="E214" s="156">
        <v>44773</v>
      </c>
      <c r="F214" t="s">
        <v>644</v>
      </c>
      <c r="G214" s="156">
        <v>44773</v>
      </c>
      <c r="H214" t="s">
        <v>945</v>
      </c>
      <c r="I214">
        <v>127000</v>
      </c>
      <c r="K214">
        <v>0</v>
      </c>
      <c r="M214">
        <v>0</v>
      </c>
      <c r="N214">
        <v>0</v>
      </c>
      <c r="O214">
        <v>0</v>
      </c>
      <c r="P214" s="117">
        <v>127000</v>
      </c>
      <c r="Q214" s="117" t="s">
        <v>1021</v>
      </c>
      <c r="R214" s="150">
        <v>0</v>
      </c>
      <c r="S214" s="117" t="b">
        <f>OR(COUNTIF(Tabla2[[#This Row],[PROVEEDOR]],"*"&amp;'Palabra no opera'!$A$2&amp;"*"))</f>
        <v>0</v>
      </c>
      <c r="T214" s="150">
        <f>+$W$5-Tabla2[[#This Row],[FECHA DE FACTURACIÓN]]</f>
        <v>61</v>
      </c>
      <c r="U214" t="str">
        <f>+IF(Tabla2[[#This Row],[dias de credito]]&gt;=Tabla2[[#This Row],[PLAZO Días]],"venc", "No venc")</f>
        <v>venc</v>
      </c>
      <c r="V214" t="str">
        <f>+IF(Tabla2[[#This Row],[FECHA DE PAGO]]&gt;0,"pagada","por pagar")</f>
        <v>pagada</v>
      </c>
      <c r="W214" s="152" t="str">
        <f>+IF(AND(Tabla2[[#This Row],[venc]]="venc",Tabla2[[#This Row],[Columna1]]="por pagar"),"vencida","no")</f>
        <v>no</v>
      </c>
    </row>
    <row r="215" spans="1:23" x14ac:dyDescent="0.3">
      <c r="A215">
        <v>30</v>
      </c>
      <c r="B215">
        <v>0</v>
      </c>
      <c r="D215" t="s">
        <v>139</v>
      </c>
      <c r="E215" s="156">
        <v>44773</v>
      </c>
      <c r="F215" t="s">
        <v>644</v>
      </c>
      <c r="G215" s="156">
        <v>44773</v>
      </c>
      <c r="H215" t="s">
        <v>597</v>
      </c>
      <c r="I215">
        <v>728200</v>
      </c>
      <c r="K215">
        <v>0</v>
      </c>
      <c r="M215">
        <v>0</v>
      </c>
      <c r="N215">
        <v>0</v>
      </c>
      <c r="O215">
        <v>0</v>
      </c>
      <c r="P215" s="117">
        <v>728200</v>
      </c>
      <c r="Q215" s="117" t="s">
        <v>1021</v>
      </c>
      <c r="R215" s="150">
        <v>0</v>
      </c>
      <c r="S215" s="117" t="b">
        <f>OR(COUNTIF(Tabla2[[#This Row],[PROVEEDOR]],"*"&amp;'Palabra no opera'!$A$2&amp;"*"))</f>
        <v>0</v>
      </c>
      <c r="T215" s="150">
        <f>+$W$5-Tabla2[[#This Row],[FECHA DE FACTURACIÓN]]</f>
        <v>61</v>
      </c>
      <c r="U215" t="str">
        <f>+IF(Tabla2[[#This Row],[dias de credito]]&gt;=Tabla2[[#This Row],[PLAZO Días]],"venc", "No venc")</f>
        <v>venc</v>
      </c>
      <c r="V215" t="str">
        <f>+IF(Tabla2[[#This Row],[FECHA DE PAGO]]&gt;0,"pagada","por pagar")</f>
        <v>pagada</v>
      </c>
      <c r="W215" s="152" t="str">
        <f>+IF(AND(Tabla2[[#This Row],[venc]]="venc",Tabla2[[#This Row],[Columna1]]="por pagar"),"vencida","no")</f>
        <v>no</v>
      </c>
    </row>
    <row r="216" spans="1:23" x14ac:dyDescent="0.3">
      <c r="A216">
        <v>30</v>
      </c>
      <c r="B216">
        <v>0</v>
      </c>
      <c r="D216" t="s">
        <v>139</v>
      </c>
      <c r="E216" s="156">
        <v>44773</v>
      </c>
      <c r="F216" t="s">
        <v>644</v>
      </c>
      <c r="G216" s="156">
        <v>44773</v>
      </c>
      <c r="H216" t="s">
        <v>598</v>
      </c>
      <c r="I216">
        <v>671000</v>
      </c>
      <c r="K216">
        <v>0</v>
      </c>
      <c r="M216">
        <v>0</v>
      </c>
      <c r="N216">
        <v>0</v>
      </c>
      <c r="O216">
        <v>0</v>
      </c>
      <c r="P216" s="117">
        <v>671000</v>
      </c>
      <c r="Q216" s="117" t="s">
        <v>1021</v>
      </c>
      <c r="R216" s="150">
        <v>0</v>
      </c>
      <c r="S216" s="117" t="b">
        <f>OR(COUNTIF(Tabla2[[#This Row],[PROVEEDOR]],"*"&amp;'Palabra no opera'!$A$2&amp;"*"))</f>
        <v>0</v>
      </c>
      <c r="T216" s="150">
        <f>+$W$5-Tabla2[[#This Row],[FECHA DE FACTURACIÓN]]</f>
        <v>61</v>
      </c>
      <c r="U216" t="str">
        <f>+IF(Tabla2[[#This Row],[dias de credito]]&gt;=Tabla2[[#This Row],[PLAZO Días]],"venc", "No venc")</f>
        <v>venc</v>
      </c>
      <c r="V216" t="str">
        <f>+IF(Tabla2[[#This Row],[FECHA DE PAGO]]&gt;0,"pagada","por pagar")</f>
        <v>pagada</v>
      </c>
      <c r="W216" s="152" t="str">
        <f>+IF(AND(Tabla2[[#This Row],[venc]]="venc",Tabla2[[#This Row],[Columna1]]="por pagar"),"vencida","no")</f>
        <v>no</v>
      </c>
    </row>
    <row r="217" spans="1:23" x14ac:dyDescent="0.3">
      <c r="A217">
        <v>30</v>
      </c>
      <c r="B217">
        <v>0</v>
      </c>
      <c r="D217" t="s">
        <v>139</v>
      </c>
      <c r="E217" s="156">
        <v>44772</v>
      </c>
      <c r="F217" t="s">
        <v>661</v>
      </c>
      <c r="G217" s="156">
        <v>44772</v>
      </c>
      <c r="H217" t="s">
        <v>1148</v>
      </c>
      <c r="I217">
        <v>750000</v>
      </c>
      <c r="K217">
        <v>0</v>
      </c>
      <c r="M217">
        <v>0</v>
      </c>
      <c r="N217">
        <v>0</v>
      </c>
      <c r="O217">
        <v>0</v>
      </c>
      <c r="P217" s="117">
        <v>750000</v>
      </c>
      <c r="Q217" s="117" t="s">
        <v>1021</v>
      </c>
      <c r="R217" s="150">
        <v>0</v>
      </c>
      <c r="S217" s="117" t="b">
        <f>OR(COUNTIF(Tabla2[[#This Row],[PROVEEDOR]],"*"&amp;'Palabra no opera'!$A$2&amp;"*"))</f>
        <v>0</v>
      </c>
      <c r="T217" s="150">
        <f>+$W$5-Tabla2[[#This Row],[FECHA DE FACTURACIÓN]]</f>
        <v>62</v>
      </c>
      <c r="U217" t="str">
        <f>+IF(Tabla2[[#This Row],[dias de credito]]&gt;=Tabla2[[#This Row],[PLAZO Días]],"venc", "No venc")</f>
        <v>venc</v>
      </c>
      <c r="V217" t="str">
        <f>+IF(Tabla2[[#This Row],[FECHA DE PAGO]]&gt;0,"pagada","por pagar")</f>
        <v>pagada</v>
      </c>
      <c r="W217" s="152" t="str">
        <f>+IF(AND(Tabla2[[#This Row],[venc]]="venc",Tabla2[[#This Row],[Columna1]]="por pagar"),"vencida","no")</f>
        <v>no</v>
      </c>
    </row>
    <row r="218" spans="1:23" x14ac:dyDescent="0.3">
      <c r="A218">
        <v>30</v>
      </c>
      <c r="B218">
        <v>0</v>
      </c>
      <c r="D218" t="s">
        <v>139</v>
      </c>
      <c r="E218" s="156">
        <v>44772</v>
      </c>
      <c r="F218" t="s">
        <v>638</v>
      </c>
      <c r="G218" s="156">
        <v>44771</v>
      </c>
      <c r="H218" t="s">
        <v>1149</v>
      </c>
      <c r="I218">
        <v>3992000</v>
      </c>
      <c r="K218">
        <v>0</v>
      </c>
      <c r="M218">
        <v>0</v>
      </c>
      <c r="N218">
        <v>0</v>
      </c>
      <c r="O218">
        <v>0</v>
      </c>
      <c r="P218" s="117">
        <v>3992000</v>
      </c>
      <c r="Q218" s="117" t="s">
        <v>1021</v>
      </c>
      <c r="R218" s="150">
        <v>0</v>
      </c>
      <c r="S218" s="117" t="b">
        <f>OR(COUNTIF(Tabla2[[#This Row],[PROVEEDOR]],"*"&amp;'Palabra no opera'!$A$2&amp;"*"))</f>
        <v>0</v>
      </c>
      <c r="T218" s="150">
        <f>+$W$5-Tabla2[[#This Row],[FECHA DE FACTURACIÓN]]</f>
        <v>63</v>
      </c>
      <c r="U218" t="str">
        <f>+IF(Tabla2[[#This Row],[dias de credito]]&gt;=Tabla2[[#This Row],[PLAZO Días]],"venc", "No venc")</f>
        <v>venc</v>
      </c>
      <c r="V218" t="str">
        <f>+IF(Tabla2[[#This Row],[FECHA DE PAGO]]&gt;0,"pagada","por pagar")</f>
        <v>pagada</v>
      </c>
      <c r="W218" s="152" t="str">
        <f>+IF(AND(Tabla2[[#This Row],[venc]]="venc",Tabla2[[#This Row],[Columna1]]="por pagar"),"vencida","no")</f>
        <v>no</v>
      </c>
    </row>
    <row r="219" spans="1:23" x14ac:dyDescent="0.3">
      <c r="A219">
        <v>30</v>
      </c>
      <c r="B219">
        <v>0</v>
      </c>
      <c r="D219" t="s">
        <v>1141</v>
      </c>
      <c r="E219" s="156">
        <v>44772</v>
      </c>
      <c r="F219" t="s">
        <v>1106</v>
      </c>
      <c r="G219" s="156">
        <v>44743</v>
      </c>
      <c r="H219">
        <v>2507</v>
      </c>
      <c r="I219">
        <v>4690900</v>
      </c>
      <c r="K219">
        <v>891271</v>
      </c>
      <c r="L219">
        <v>0.1</v>
      </c>
      <c r="M219">
        <v>469090</v>
      </c>
      <c r="N219">
        <v>2.5000000000000001E-2</v>
      </c>
      <c r="O219">
        <v>117272.5</v>
      </c>
      <c r="P219" s="117">
        <v>4995808.5</v>
      </c>
      <c r="Q219" s="117" t="s">
        <v>1021</v>
      </c>
      <c r="R219" s="150">
        <v>0</v>
      </c>
      <c r="S219" s="117" t="b">
        <f>OR(COUNTIF(Tabla2[[#This Row],[PROVEEDOR]],"*"&amp;'Palabra no opera'!$A$2&amp;"*"))</f>
        <v>0</v>
      </c>
      <c r="T219" s="150">
        <f>+$W$5-Tabla2[[#This Row],[FECHA DE FACTURACIÓN]]</f>
        <v>91</v>
      </c>
      <c r="U219" t="str">
        <f>+IF(Tabla2[[#This Row],[dias de credito]]&gt;=Tabla2[[#This Row],[PLAZO Días]],"venc", "No venc")</f>
        <v>venc</v>
      </c>
      <c r="V219" t="str">
        <f>+IF(Tabla2[[#This Row],[FECHA DE PAGO]]&gt;0,"pagada","por pagar")</f>
        <v>pagada</v>
      </c>
      <c r="W219" s="152" t="str">
        <f>+IF(AND(Tabla2[[#This Row],[venc]]="venc",Tabla2[[#This Row],[Columna1]]="por pagar"),"vencida","no")</f>
        <v>no</v>
      </c>
    </row>
    <row r="220" spans="1:23" x14ac:dyDescent="0.3">
      <c r="A220">
        <v>90</v>
      </c>
      <c r="B220">
        <v>0</v>
      </c>
      <c r="D220" t="s">
        <v>139</v>
      </c>
      <c r="E220" s="156">
        <v>44772</v>
      </c>
      <c r="F220" t="s">
        <v>651</v>
      </c>
      <c r="G220" s="156">
        <v>44685</v>
      </c>
      <c r="H220" t="s">
        <v>1591</v>
      </c>
      <c r="I220">
        <v>3044000</v>
      </c>
      <c r="K220">
        <v>0</v>
      </c>
      <c r="M220">
        <v>0</v>
      </c>
      <c r="N220">
        <v>0</v>
      </c>
      <c r="O220">
        <v>0</v>
      </c>
      <c r="P220" s="117">
        <v>3044000</v>
      </c>
      <c r="Q220" s="117" t="s">
        <v>1021</v>
      </c>
      <c r="R220" s="150">
        <v>0</v>
      </c>
      <c r="S220" s="117" t="b">
        <f>OR(COUNTIF(Tabla2[[#This Row],[PROVEEDOR]],"*"&amp;'Palabra no opera'!$A$2&amp;"*"))</f>
        <v>0</v>
      </c>
      <c r="T220" s="150">
        <f>+$W$5-Tabla2[[#This Row],[FECHA DE FACTURACIÓN]]</f>
        <v>149</v>
      </c>
      <c r="U220" t="str">
        <f>+IF(Tabla2[[#This Row],[dias de credito]]&gt;=Tabla2[[#This Row],[PLAZO Días]],"venc", "No venc")</f>
        <v>venc</v>
      </c>
      <c r="V220" t="str">
        <f>+IF(Tabla2[[#This Row],[FECHA DE PAGO]]&gt;0,"pagada","por pagar")</f>
        <v>pagada</v>
      </c>
      <c r="W220" s="152" t="str">
        <f>+IF(AND(Tabla2[[#This Row],[venc]]="venc",Tabla2[[#This Row],[Columna1]]="por pagar"),"vencida","no")</f>
        <v>no</v>
      </c>
    </row>
    <row r="221" spans="1:23" x14ac:dyDescent="0.3">
      <c r="A221">
        <v>30</v>
      </c>
      <c r="B221">
        <v>0</v>
      </c>
      <c r="D221">
        <v>0</v>
      </c>
      <c r="E221" s="156">
        <v>44771</v>
      </c>
      <c r="F221" t="s">
        <v>932</v>
      </c>
      <c r="G221" s="156">
        <v>44743</v>
      </c>
      <c r="H221" t="s">
        <v>307</v>
      </c>
      <c r="I221">
        <v>455823</v>
      </c>
      <c r="K221">
        <v>0</v>
      </c>
      <c r="M221">
        <v>0</v>
      </c>
      <c r="N221">
        <v>0</v>
      </c>
      <c r="O221">
        <v>0</v>
      </c>
      <c r="P221" s="117">
        <v>455823</v>
      </c>
      <c r="Q221" s="117" t="s">
        <v>1021</v>
      </c>
      <c r="R221" s="150">
        <v>0</v>
      </c>
      <c r="S221" s="117" t="b">
        <f>OR(COUNTIF(Tabla2[[#This Row],[PROVEEDOR]],"*"&amp;'Palabra no opera'!$A$2&amp;"*"))</f>
        <v>1</v>
      </c>
      <c r="T221" s="150">
        <f>+$W$5-Tabla2[[#This Row],[FECHA DE FACTURACIÓN]]</f>
        <v>91</v>
      </c>
      <c r="U221" t="str">
        <f>+IF(Tabla2[[#This Row],[dias de credito]]&gt;=Tabla2[[#This Row],[PLAZO Días]],"venc", "No venc")</f>
        <v>venc</v>
      </c>
      <c r="V221" t="str">
        <f>+IF(Tabla2[[#This Row],[FECHA DE PAGO]]&gt;0,"pagada","por pagar")</f>
        <v>pagada</v>
      </c>
      <c r="W221" s="152" t="str">
        <f>+IF(AND(Tabla2[[#This Row],[venc]]="venc",Tabla2[[#This Row],[Columna1]]="por pagar"),"vencida","no")</f>
        <v>no</v>
      </c>
    </row>
    <row r="222" spans="1:23" x14ac:dyDescent="0.3">
      <c r="A222">
        <v>30</v>
      </c>
      <c r="B222">
        <v>0</v>
      </c>
      <c r="D222" t="s">
        <v>431</v>
      </c>
      <c r="E222" s="156">
        <v>44771</v>
      </c>
      <c r="F222" t="s">
        <v>677</v>
      </c>
      <c r="G222" s="156">
        <v>44740</v>
      </c>
      <c r="H222" t="s">
        <v>1388</v>
      </c>
      <c r="I222">
        <v>1927500</v>
      </c>
      <c r="K222">
        <v>0</v>
      </c>
      <c r="M222">
        <v>0</v>
      </c>
      <c r="N222">
        <v>0</v>
      </c>
      <c r="O222">
        <v>0</v>
      </c>
      <c r="P222" s="117">
        <v>1927500</v>
      </c>
      <c r="Q222" s="117" t="s">
        <v>1021</v>
      </c>
      <c r="R222" s="150">
        <v>0</v>
      </c>
      <c r="S222" s="117" t="b">
        <f>OR(COUNTIF(Tabla2[[#This Row],[PROVEEDOR]],"*"&amp;'Palabra no opera'!$A$2&amp;"*"))</f>
        <v>0</v>
      </c>
      <c r="T222" s="150">
        <f>+$W$5-Tabla2[[#This Row],[FECHA DE FACTURACIÓN]]</f>
        <v>94</v>
      </c>
      <c r="U222" t="str">
        <f>+IF(Tabla2[[#This Row],[dias de credito]]&gt;=Tabla2[[#This Row],[PLAZO Días]],"venc", "No venc")</f>
        <v>venc</v>
      </c>
      <c r="V222" t="str">
        <f>+IF(Tabla2[[#This Row],[FECHA DE PAGO]]&gt;0,"pagada","por pagar")</f>
        <v>pagada</v>
      </c>
      <c r="W222" s="152" t="str">
        <f>+IF(AND(Tabla2[[#This Row],[venc]]="venc",Tabla2[[#This Row],[Columna1]]="por pagar"),"vencida","no")</f>
        <v>no</v>
      </c>
    </row>
    <row r="223" spans="1:23" x14ac:dyDescent="0.3">
      <c r="A223">
        <v>30</v>
      </c>
      <c r="B223">
        <v>0</v>
      </c>
      <c r="D223" t="s">
        <v>139</v>
      </c>
      <c r="E223" s="156">
        <v>44770</v>
      </c>
      <c r="F223" t="s">
        <v>1134</v>
      </c>
      <c r="G223" s="156">
        <v>44770</v>
      </c>
      <c r="I223">
        <v>1000000</v>
      </c>
      <c r="K223">
        <v>0</v>
      </c>
      <c r="M223">
        <v>0</v>
      </c>
      <c r="N223">
        <v>0</v>
      </c>
      <c r="O223">
        <v>0</v>
      </c>
      <c r="P223" s="117">
        <v>1000000</v>
      </c>
      <c r="Q223" s="117" t="s">
        <v>1021</v>
      </c>
      <c r="R223" s="150">
        <v>0</v>
      </c>
      <c r="S223" s="117" t="b">
        <f>OR(COUNTIF(Tabla2[[#This Row],[PROVEEDOR]],"*"&amp;'Palabra no opera'!$A$2&amp;"*"))</f>
        <v>0</v>
      </c>
      <c r="T223" s="150">
        <f>+$W$5-Tabla2[[#This Row],[FECHA DE FACTURACIÓN]]</f>
        <v>64</v>
      </c>
      <c r="U223" t="str">
        <f>+IF(Tabla2[[#This Row],[dias de credito]]&gt;=Tabla2[[#This Row],[PLAZO Días]],"venc", "No venc")</f>
        <v>venc</v>
      </c>
      <c r="V223" t="str">
        <f>+IF(Tabla2[[#This Row],[FECHA DE PAGO]]&gt;0,"pagada","por pagar")</f>
        <v>pagada</v>
      </c>
      <c r="W223" s="152" t="str">
        <f>+IF(AND(Tabla2[[#This Row],[venc]]="venc",Tabla2[[#This Row],[Columna1]]="por pagar"),"vencida","no")</f>
        <v>no</v>
      </c>
    </row>
    <row r="224" spans="1:23" x14ac:dyDescent="0.3">
      <c r="A224">
        <v>30</v>
      </c>
      <c r="B224">
        <v>-101001.25</v>
      </c>
      <c r="D224" t="s">
        <v>274</v>
      </c>
      <c r="E224" s="156">
        <v>44770</v>
      </c>
      <c r="F224" t="s">
        <v>14</v>
      </c>
      <c r="G224" s="156">
        <v>44722</v>
      </c>
      <c r="H224" t="s">
        <v>1040</v>
      </c>
      <c r="I224">
        <v>116471</v>
      </c>
      <c r="K224">
        <v>22129.49</v>
      </c>
      <c r="M224">
        <v>0</v>
      </c>
      <c r="N224">
        <v>0</v>
      </c>
      <c r="O224">
        <v>0</v>
      </c>
      <c r="P224" s="117">
        <v>138600.49</v>
      </c>
      <c r="Q224" s="117" t="s">
        <v>1021</v>
      </c>
      <c r="R224" s="150">
        <v>0</v>
      </c>
      <c r="S224" s="117" t="b">
        <f>OR(COUNTIF(Tabla2[[#This Row],[PROVEEDOR]],"*"&amp;'Palabra no opera'!$A$2&amp;"*"))</f>
        <v>0</v>
      </c>
      <c r="T224" s="150">
        <f>+$W$5-Tabla2[[#This Row],[FECHA DE FACTURACIÓN]]</f>
        <v>112</v>
      </c>
      <c r="U224" t="str">
        <f>+IF(Tabla2[[#This Row],[dias de credito]]&gt;=Tabla2[[#This Row],[PLAZO Días]],"venc", "No venc")</f>
        <v>venc</v>
      </c>
      <c r="V224" t="str">
        <f>+IF(Tabla2[[#This Row],[FECHA DE PAGO]]&gt;0,"pagada","por pagar")</f>
        <v>pagada</v>
      </c>
      <c r="W224" s="152" t="str">
        <f>+IF(AND(Tabla2[[#This Row],[venc]]="venc",Tabla2[[#This Row],[Columna1]]="por pagar"),"vencida","no")</f>
        <v>no</v>
      </c>
    </row>
    <row r="225" spans="1:23" x14ac:dyDescent="0.3">
      <c r="A225">
        <v>30</v>
      </c>
      <c r="B225">
        <v>-101001.25</v>
      </c>
      <c r="D225" t="s">
        <v>274</v>
      </c>
      <c r="E225" s="156">
        <v>44770</v>
      </c>
      <c r="F225" t="s">
        <v>14</v>
      </c>
      <c r="G225" s="156">
        <v>44706</v>
      </c>
      <c r="H225" t="s">
        <v>995</v>
      </c>
      <c r="I225">
        <v>-67900</v>
      </c>
      <c r="K225">
        <v>-12901</v>
      </c>
      <c r="M225">
        <v>0</v>
      </c>
      <c r="N225">
        <v>0</v>
      </c>
      <c r="O225">
        <v>0</v>
      </c>
      <c r="P225" s="117">
        <v>-80801</v>
      </c>
      <c r="Q225" s="117" t="s">
        <v>1021</v>
      </c>
      <c r="R225" s="150">
        <v>0</v>
      </c>
      <c r="S225" s="117" t="b">
        <f>OR(COUNTIF(Tabla2[[#This Row],[PROVEEDOR]],"*"&amp;'Palabra no opera'!$A$2&amp;"*"))</f>
        <v>0</v>
      </c>
      <c r="T225" s="150">
        <f>+$W$5-Tabla2[[#This Row],[FECHA DE FACTURACIÓN]]</f>
        <v>128</v>
      </c>
      <c r="U225" t="str">
        <f>+IF(Tabla2[[#This Row],[dias de credito]]&gt;=Tabla2[[#This Row],[PLAZO Días]],"venc", "No venc")</f>
        <v>venc</v>
      </c>
      <c r="V225" t="str">
        <f>+IF(Tabla2[[#This Row],[FECHA DE PAGO]]&gt;0,"pagada","por pagar")</f>
        <v>pagada</v>
      </c>
      <c r="W225" s="152" t="str">
        <f>+IF(AND(Tabla2[[#This Row],[venc]]="venc",Tabla2[[#This Row],[Columna1]]="por pagar"),"vencida","no")</f>
        <v>no</v>
      </c>
    </row>
    <row r="226" spans="1:23" x14ac:dyDescent="0.3">
      <c r="A226">
        <v>30</v>
      </c>
      <c r="B226">
        <v>0</v>
      </c>
      <c r="D226" t="s">
        <v>139</v>
      </c>
      <c r="E226" s="156">
        <v>44769</v>
      </c>
      <c r="F226" t="s">
        <v>55</v>
      </c>
      <c r="G226" s="156">
        <v>44768</v>
      </c>
      <c r="H226">
        <v>57126</v>
      </c>
      <c r="I226">
        <v>16214000</v>
      </c>
      <c r="K226">
        <v>0</v>
      </c>
      <c r="M226">
        <v>0</v>
      </c>
      <c r="N226">
        <v>0</v>
      </c>
      <c r="O226">
        <v>0</v>
      </c>
      <c r="P226" s="117">
        <v>16214000</v>
      </c>
      <c r="Q226" s="117" t="s">
        <v>1021</v>
      </c>
      <c r="R226" s="150">
        <v>0</v>
      </c>
      <c r="S226" s="117" t="b">
        <f>OR(COUNTIF(Tabla2[[#This Row],[PROVEEDOR]],"*"&amp;'Palabra no opera'!$A$2&amp;"*"))</f>
        <v>0</v>
      </c>
      <c r="T226" s="150">
        <f>+$W$5-Tabla2[[#This Row],[FECHA DE FACTURACIÓN]]</f>
        <v>66</v>
      </c>
      <c r="U226" t="str">
        <f>+IF(Tabla2[[#This Row],[dias de credito]]&gt;=Tabla2[[#This Row],[PLAZO Días]],"venc", "No venc")</f>
        <v>venc</v>
      </c>
      <c r="V226" t="str">
        <f>+IF(Tabla2[[#This Row],[FECHA DE PAGO]]&gt;0,"pagada","por pagar")</f>
        <v>pagada</v>
      </c>
      <c r="W226" s="152" t="str">
        <f>+IF(AND(Tabla2[[#This Row],[venc]]="venc",Tabla2[[#This Row],[Columna1]]="por pagar"),"vencida","no")</f>
        <v>no</v>
      </c>
    </row>
    <row r="227" spans="1:23" x14ac:dyDescent="0.3">
      <c r="A227">
        <v>30</v>
      </c>
      <c r="B227">
        <v>0</v>
      </c>
      <c r="D227" t="s">
        <v>139</v>
      </c>
      <c r="E227" s="156">
        <v>44769</v>
      </c>
      <c r="F227" t="s">
        <v>55</v>
      </c>
      <c r="G227" s="156">
        <v>44768</v>
      </c>
      <c r="H227">
        <v>57126</v>
      </c>
      <c r="I227">
        <v>9000</v>
      </c>
      <c r="K227">
        <v>0</v>
      </c>
      <c r="M227">
        <v>0</v>
      </c>
      <c r="N227">
        <v>0</v>
      </c>
      <c r="O227">
        <v>0</v>
      </c>
      <c r="P227" s="117">
        <v>9000</v>
      </c>
      <c r="Q227" s="117" t="s">
        <v>1021</v>
      </c>
      <c r="R227" s="150">
        <v>0</v>
      </c>
      <c r="S227" s="117" t="b">
        <f>OR(COUNTIF(Tabla2[[#This Row],[PROVEEDOR]],"*"&amp;'Palabra no opera'!$A$2&amp;"*"))</f>
        <v>0</v>
      </c>
      <c r="T227" s="150">
        <f>+$W$5-Tabla2[[#This Row],[FECHA DE FACTURACIÓN]]</f>
        <v>66</v>
      </c>
      <c r="U227" t="str">
        <f>+IF(Tabla2[[#This Row],[dias de credito]]&gt;=Tabla2[[#This Row],[PLAZO Días]],"venc", "No venc")</f>
        <v>venc</v>
      </c>
      <c r="V227" t="str">
        <f>+IF(Tabla2[[#This Row],[FECHA DE PAGO]]&gt;0,"pagada","por pagar")</f>
        <v>pagada</v>
      </c>
      <c r="W227" s="152" t="str">
        <f>+IF(AND(Tabla2[[#This Row],[venc]]="venc",Tabla2[[#This Row],[Columna1]]="por pagar"),"vencida","no")</f>
        <v>no</v>
      </c>
    </row>
    <row r="228" spans="1:23" x14ac:dyDescent="0.3">
      <c r="A228">
        <v>30</v>
      </c>
      <c r="B228">
        <v>27452.91</v>
      </c>
      <c r="D228" t="s">
        <v>949</v>
      </c>
      <c r="E228" s="156">
        <v>44769</v>
      </c>
      <c r="F228" t="s">
        <v>118</v>
      </c>
      <c r="G228" s="156">
        <v>44768</v>
      </c>
      <c r="H228" t="s">
        <v>1162</v>
      </c>
      <c r="I228">
        <v>1793000</v>
      </c>
      <c r="K228">
        <v>0</v>
      </c>
      <c r="M228">
        <v>0</v>
      </c>
      <c r="N228">
        <v>0</v>
      </c>
      <c r="O228">
        <v>0</v>
      </c>
      <c r="P228" s="117">
        <v>1793000</v>
      </c>
      <c r="Q228" s="117" t="s">
        <v>1021</v>
      </c>
      <c r="R228" s="150">
        <v>0</v>
      </c>
      <c r="S228" s="117" t="b">
        <f>OR(COUNTIF(Tabla2[[#This Row],[PROVEEDOR]],"*"&amp;'Palabra no opera'!$A$2&amp;"*"))</f>
        <v>0</v>
      </c>
      <c r="T228" s="150">
        <f>+$W$5-Tabla2[[#This Row],[FECHA DE FACTURACIÓN]]</f>
        <v>66</v>
      </c>
      <c r="U228" t="str">
        <f>+IF(Tabla2[[#This Row],[dias de credito]]&gt;=Tabla2[[#This Row],[PLAZO Días]],"venc", "No venc")</f>
        <v>venc</v>
      </c>
      <c r="V228" t="str">
        <f>+IF(Tabla2[[#This Row],[FECHA DE PAGO]]&gt;0,"pagada","por pagar")</f>
        <v>pagada</v>
      </c>
      <c r="W228" s="152" t="str">
        <f>+IF(AND(Tabla2[[#This Row],[venc]]="venc",Tabla2[[#This Row],[Columna1]]="por pagar"),"vencida","no")</f>
        <v>no</v>
      </c>
    </row>
    <row r="229" spans="1:23" x14ac:dyDescent="0.3">
      <c r="A229">
        <v>0</v>
      </c>
      <c r="B229">
        <v>0</v>
      </c>
      <c r="D229" t="s">
        <v>1132</v>
      </c>
      <c r="E229" s="156">
        <v>44768</v>
      </c>
      <c r="F229" t="s">
        <v>1133</v>
      </c>
      <c r="G229" s="156">
        <v>44764</v>
      </c>
      <c r="H229" t="s">
        <v>1394</v>
      </c>
      <c r="I229">
        <v>1000000</v>
      </c>
      <c r="K229">
        <v>0</v>
      </c>
      <c r="M229">
        <v>0</v>
      </c>
      <c r="N229">
        <v>0</v>
      </c>
      <c r="O229">
        <v>0</v>
      </c>
      <c r="P229" s="117">
        <v>1000000</v>
      </c>
      <c r="Q229" s="117" t="s">
        <v>1021</v>
      </c>
      <c r="R229" s="150">
        <v>0</v>
      </c>
      <c r="S229" s="117" t="b">
        <f>OR(COUNTIF(Tabla2[[#This Row],[PROVEEDOR]],"*"&amp;'Palabra no opera'!$A$2&amp;"*"))</f>
        <v>1</v>
      </c>
      <c r="T229" s="150">
        <f>+$W$5-Tabla2[[#This Row],[FECHA DE FACTURACIÓN]]</f>
        <v>70</v>
      </c>
      <c r="U229" t="str">
        <f>+IF(Tabla2[[#This Row],[dias de credito]]&gt;=Tabla2[[#This Row],[PLAZO Días]],"venc", "No venc")</f>
        <v>venc</v>
      </c>
      <c r="V229" t="str">
        <f>+IF(Tabla2[[#This Row],[FECHA DE PAGO]]&gt;0,"pagada","por pagar")</f>
        <v>pagada</v>
      </c>
      <c r="W229" s="152" t="str">
        <f>+IF(AND(Tabla2[[#This Row],[venc]]="venc",Tabla2[[#This Row],[Columna1]]="por pagar"),"vencida","no")</f>
        <v>no</v>
      </c>
    </row>
    <row r="230" spans="1:23" x14ac:dyDescent="0.3">
      <c r="A230">
        <v>30</v>
      </c>
      <c r="B230">
        <v>0</v>
      </c>
      <c r="D230" t="s">
        <v>1688</v>
      </c>
      <c r="E230" s="156">
        <v>44768</v>
      </c>
      <c r="F230" t="s">
        <v>928</v>
      </c>
      <c r="G230" s="156">
        <v>44763</v>
      </c>
      <c r="H230" t="s">
        <v>1137</v>
      </c>
      <c r="I230">
        <v>-2162</v>
      </c>
      <c r="K230">
        <v>0</v>
      </c>
      <c r="M230">
        <v>0</v>
      </c>
      <c r="N230">
        <v>0</v>
      </c>
      <c r="O230">
        <v>0</v>
      </c>
      <c r="P230" s="117">
        <v>-2162</v>
      </c>
      <c r="Q230" s="117" t="s">
        <v>1021</v>
      </c>
      <c r="R230" s="150">
        <v>0</v>
      </c>
      <c r="S230" s="117" t="b">
        <f>OR(COUNTIF(Tabla2[[#This Row],[PROVEEDOR]],"*"&amp;'Palabra no opera'!$A$2&amp;"*"))</f>
        <v>1</v>
      </c>
      <c r="T230" s="150">
        <f>+$W$5-Tabla2[[#This Row],[FECHA DE FACTURACIÓN]]</f>
        <v>71</v>
      </c>
      <c r="U230" t="str">
        <f>+IF(Tabla2[[#This Row],[dias de credito]]&gt;=Tabla2[[#This Row],[PLAZO Días]],"venc", "No venc")</f>
        <v>venc</v>
      </c>
      <c r="V230" t="str">
        <f>+IF(Tabla2[[#This Row],[FECHA DE PAGO]]&gt;0,"pagada","por pagar")</f>
        <v>pagada</v>
      </c>
      <c r="W230" s="152" t="str">
        <f>+IF(AND(Tabla2[[#This Row],[venc]]="venc",Tabla2[[#This Row],[Columna1]]="por pagar"),"vencida","no")</f>
        <v>no</v>
      </c>
    </row>
    <row r="231" spans="1:23" x14ac:dyDescent="0.3">
      <c r="A231">
        <v>30</v>
      </c>
      <c r="B231">
        <v>0</v>
      </c>
      <c r="D231" t="s">
        <v>433</v>
      </c>
      <c r="E231" s="156">
        <v>44768</v>
      </c>
      <c r="F231" t="s">
        <v>925</v>
      </c>
      <c r="G231" s="156">
        <v>44743</v>
      </c>
      <c r="H231">
        <v>3724</v>
      </c>
      <c r="I231">
        <v>3002200</v>
      </c>
      <c r="K231">
        <v>0</v>
      </c>
      <c r="M231">
        <v>0</v>
      </c>
      <c r="N231">
        <v>3.5000000000000003E-2</v>
      </c>
      <c r="O231">
        <v>105077.00000000001</v>
      </c>
      <c r="P231" s="117">
        <v>2897123</v>
      </c>
      <c r="Q231" s="117" t="s">
        <v>1021</v>
      </c>
      <c r="R231" s="150">
        <v>0</v>
      </c>
      <c r="S231" s="117" t="b">
        <f>OR(COUNTIF(Tabla2[[#This Row],[PROVEEDOR]],"*"&amp;'Palabra no opera'!$A$2&amp;"*"))</f>
        <v>1</v>
      </c>
      <c r="T231" s="150">
        <f>+$W$5-Tabla2[[#This Row],[FECHA DE FACTURACIÓN]]</f>
        <v>91</v>
      </c>
      <c r="U231" t="str">
        <f>+IF(Tabla2[[#This Row],[dias de credito]]&gt;=Tabla2[[#This Row],[PLAZO Días]],"venc", "No venc")</f>
        <v>venc</v>
      </c>
      <c r="V231" t="str">
        <f>+IF(Tabla2[[#This Row],[FECHA DE PAGO]]&gt;0,"pagada","por pagar")</f>
        <v>pagada</v>
      </c>
      <c r="W231" s="152" t="str">
        <f>+IF(AND(Tabla2[[#This Row],[venc]]="venc",Tabla2[[#This Row],[Columna1]]="por pagar"),"vencida","no")</f>
        <v>no</v>
      </c>
    </row>
    <row r="232" spans="1:23" x14ac:dyDescent="0.3">
      <c r="A232">
        <v>30</v>
      </c>
      <c r="B232">
        <v>0</v>
      </c>
      <c r="D232" t="s">
        <v>1688</v>
      </c>
      <c r="E232" s="156">
        <v>44768</v>
      </c>
      <c r="F232" t="s">
        <v>928</v>
      </c>
      <c r="G232" s="156">
        <v>44743</v>
      </c>
      <c r="H232" t="s">
        <v>1085</v>
      </c>
      <c r="I232">
        <v>3963422</v>
      </c>
      <c r="K232">
        <v>0</v>
      </c>
      <c r="M232">
        <v>0</v>
      </c>
      <c r="N232">
        <v>3.5000000000000003E-2</v>
      </c>
      <c r="O232">
        <v>138719.77000000002</v>
      </c>
      <c r="P232" s="117">
        <v>3824702.23</v>
      </c>
      <c r="Q232" s="117" t="s">
        <v>1021</v>
      </c>
      <c r="R232" s="150">
        <v>0</v>
      </c>
      <c r="S232" s="117" t="b">
        <f>OR(COUNTIF(Tabla2[[#This Row],[PROVEEDOR]],"*"&amp;'Palabra no opera'!$A$2&amp;"*"))</f>
        <v>1</v>
      </c>
      <c r="T232" s="150">
        <f>+$W$5-Tabla2[[#This Row],[FECHA DE FACTURACIÓN]]</f>
        <v>91</v>
      </c>
      <c r="U232" t="str">
        <f>+IF(Tabla2[[#This Row],[dias de credito]]&gt;=Tabla2[[#This Row],[PLAZO Días]],"venc", "No venc")</f>
        <v>venc</v>
      </c>
      <c r="V232" t="str">
        <f>+IF(Tabla2[[#This Row],[FECHA DE PAGO]]&gt;0,"pagada","por pagar")</f>
        <v>pagada</v>
      </c>
      <c r="W232" s="152" t="str">
        <f>+IF(AND(Tabla2[[#This Row],[venc]]="venc",Tabla2[[#This Row],[Columna1]]="por pagar"),"vencida","no")</f>
        <v>no</v>
      </c>
    </row>
    <row r="233" spans="1:23" x14ac:dyDescent="0.3">
      <c r="A233">
        <v>20</v>
      </c>
      <c r="B233">
        <v>0</v>
      </c>
      <c r="D233" t="s">
        <v>275</v>
      </c>
      <c r="E233" s="156">
        <v>44768</v>
      </c>
      <c r="F233" t="s">
        <v>942</v>
      </c>
      <c r="G233" s="156">
        <v>44743</v>
      </c>
      <c r="H233">
        <v>43701</v>
      </c>
      <c r="I233">
        <v>4730000</v>
      </c>
      <c r="K233">
        <v>898700</v>
      </c>
      <c r="M233">
        <v>0</v>
      </c>
      <c r="N233">
        <v>3.5000000000000003E-2</v>
      </c>
      <c r="O233">
        <v>165550.00000000003</v>
      </c>
      <c r="P233" s="117">
        <v>5463150</v>
      </c>
      <c r="Q233" s="117" t="s">
        <v>1021</v>
      </c>
      <c r="R233" s="150">
        <v>0</v>
      </c>
      <c r="S233" s="117" t="b">
        <f>OR(COUNTIF(Tabla2[[#This Row],[PROVEEDOR]],"*"&amp;'Palabra no opera'!$A$2&amp;"*"))</f>
        <v>1</v>
      </c>
      <c r="T233" s="150">
        <f>+$W$5-Tabla2[[#This Row],[FECHA DE FACTURACIÓN]]</f>
        <v>91</v>
      </c>
      <c r="U233" t="str">
        <f>+IF(Tabla2[[#This Row],[dias de credito]]&gt;=Tabla2[[#This Row],[PLAZO Días]],"venc", "No venc")</f>
        <v>venc</v>
      </c>
      <c r="V233" t="str">
        <f>+IF(Tabla2[[#This Row],[FECHA DE PAGO]]&gt;0,"pagada","por pagar")</f>
        <v>pagada</v>
      </c>
      <c r="W233" s="152" t="str">
        <f>+IF(AND(Tabla2[[#This Row],[venc]]="venc",Tabla2[[#This Row],[Columna1]]="por pagar"),"vencida","no")</f>
        <v>no</v>
      </c>
    </row>
    <row r="234" spans="1:23" x14ac:dyDescent="0.3">
      <c r="A234">
        <v>30</v>
      </c>
      <c r="B234">
        <v>0</v>
      </c>
      <c r="D234" t="s">
        <v>687</v>
      </c>
      <c r="E234" s="156">
        <v>44767</v>
      </c>
      <c r="F234" t="s">
        <v>688</v>
      </c>
      <c r="G234" s="156">
        <v>44767</v>
      </c>
      <c r="H234" t="s">
        <v>1617</v>
      </c>
      <c r="I234">
        <v>-1403000</v>
      </c>
      <c r="K234">
        <v>0</v>
      </c>
      <c r="M234">
        <v>0</v>
      </c>
      <c r="N234">
        <v>0</v>
      </c>
      <c r="O234">
        <v>0</v>
      </c>
      <c r="P234" s="117">
        <v>0</v>
      </c>
      <c r="Q234" s="117" t="s">
        <v>1021</v>
      </c>
      <c r="R234" s="150">
        <v>0</v>
      </c>
      <c r="S234" s="117" t="b">
        <f>OR(COUNTIF(Tabla2[[#This Row],[PROVEEDOR]],"*"&amp;'Palabra no opera'!$A$2&amp;"*"))</f>
        <v>0</v>
      </c>
      <c r="T234" s="150">
        <f>+$W$5-Tabla2[[#This Row],[FECHA DE FACTURACIÓN]]</f>
        <v>67</v>
      </c>
      <c r="U234" t="str">
        <f>+IF(Tabla2[[#This Row],[dias de credito]]&gt;=Tabla2[[#This Row],[PLAZO Días]],"venc", "No venc")</f>
        <v>venc</v>
      </c>
      <c r="V234" t="str">
        <f>+IF(Tabla2[[#This Row],[FECHA DE PAGO]]&gt;0,"pagada","por pagar")</f>
        <v>pagada</v>
      </c>
      <c r="W234" s="152" t="str">
        <f>+IF(AND(Tabla2[[#This Row],[venc]]="venc",Tabla2[[#This Row],[Columna1]]="por pagar"),"vencida","no")</f>
        <v>no</v>
      </c>
    </row>
    <row r="235" spans="1:23" x14ac:dyDescent="0.3">
      <c r="A235">
        <v>-1</v>
      </c>
      <c r="B235">
        <v>0</v>
      </c>
      <c r="D235" t="s">
        <v>687</v>
      </c>
      <c r="E235" s="156">
        <v>44767</v>
      </c>
      <c r="F235" t="s">
        <v>688</v>
      </c>
      <c r="G235" s="156">
        <v>44754</v>
      </c>
      <c r="H235" t="s">
        <v>1617</v>
      </c>
      <c r="I235">
        <v>-1300000</v>
      </c>
      <c r="K235">
        <v>0</v>
      </c>
      <c r="M235">
        <v>0</v>
      </c>
      <c r="N235">
        <v>0</v>
      </c>
      <c r="O235">
        <v>0</v>
      </c>
      <c r="P235" s="117">
        <v>0</v>
      </c>
      <c r="Q235" s="117" t="s">
        <v>1021</v>
      </c>
      <c r="R235" s="150">
        <v>0</v>
      </c>
      <c r="S235" s="117" t="b">
        <f>OR(COUNTIF(Tabla2[[#This Row],[PROVEEDOR]],"*"&amp;'Palabra no opera'!$A$2&amp;"*"))</f>
        <v>0</v>
      </c>
      <c r="T235" s="150">
        <f>+$W$5-Tabla2[[#This Row],[FECHA DE FACTURACIÓN]]</f>
        <v>80</v>
      </c>
      <c r="U235" t="str">
        <f>+IF(Tabla2[[#This Row],[dias de credito]]&gt;=Tabla2[[#This Row],[PLAZO Días]],"venc", "No venc")</f>
        <v>venc</v>
      </c>
      <c r="V235" t="str">
        <f>+IF(Tabla2[[#This Row],[FECHA DE PAGO]]&gt;0,"pagada","por pagar")</f>
        <v>pagada</v>
      </c>
      <c r="W235" s="152" t="str">
        <f>+IF(AND(Tabla2[[#This Row],[venc]]="venc",Tabla2[[#This Row],[Columna1]]="por pagar"),"vencida","no")</f>
        <v>no</v>
      </c>
    </row>
    <row r="236" spans="1:23" x14ac:dyDescent="0.3">
      <c r="A236">
        <v>30</v>
      </c>
      <c r="B236">
        <v>1580500</v>
      </c>
      <c r="D236" t="s">
        <v>139</v>
      </c>
      <c r="E236" s="156">
        <v>44767</v>
      </c>
      <c r="F236" t="s">
        <v>686</v>
      </c>
      <c r="G236" s="156">
        <v>44735</v>
      </c>
      <c r="H236" t="s">
        <v>1093</v>
      </c>
      <c r="I236">
        <v>725000</v>
      </c>
      <c r="K236">
        <v>0</v>
      </c>
      <c r="M236">
        <v>0</v>
      </c>
      <c r="N236">
        <v>0</v>
      </c>
      <c r="O236">
        <v>0</v>
      </c>
      <c r="P236" s="117">
        <v>725000</v>
      </c>
      <c r="Q236" s="117" t="s">
        <v>1021</v>
      </c>
      <c r="R236" s="150">
        <v>0</v>
      </c>
      <c r="S236" s="117" t="b">
        <f>OR(COUNTIF(Tabla2[[#This Row],[PROVEEDOR]],"*"&amp;'Palabra no opera'!$A$2&amp;"*"))</f>
        <v>0</v>
      </c>
      <c r="T236" s="150">
        <f>+$W$5-Tabla2[[#This Row],[FECHA DE FACTURACIÓN]]</f>
        <v>99</v>
      </c>
      <c r="U236" t="str">
        <f>+IF(Tabla2[[#This Row],[dias de credito]]&gt;=Tabla2[[#This Row],[PLAZO Días]],"venc", "No venc")</f>
        <v>venc</v>
      </c>
      <c r="V236" t="str">
        <f>+IF(Tabla2[[#This Row],[FECHA DE PAGO]]&gt;0,"pagada","por pagar")</f>
        <v>pagada</v>
      </c>
      <c r="W236" s="152" t="str">
        <f>+IF(AND(Tabla2[[#This Row],[venc]]="venc",Tabla2[[#This Row],[Columna1]]="por pagar"),"vencida","no")</f>
        <v>no</v>
      </c>
    </row>
    <row r="237" spans="1:23" x14ac:dyDescent="0.3">
      <c r="A237">
        <v>30</v>
      </c>
      <c r="B237">
        <v>0</v>
      </c>
      <c r="D237" t="s">
        <v>687</v>
      </c>
      <c r="E237" s="156">
        <v>44767</v>
      </c>
      <c r="F237" t="s">
        <v>688</v>
      </c>
      <c r="G237" s="156">
        <v>44713</v>
      </c>
      <c r="H237" t="s">
        <v>1609</v>
      </c>
      <c r="I237">
        <v>2703000</v>
      </c>
      <c r="K237">
        <v>0</v>
      </c>
      <c r="M237">
        <v>0</v>
      </c>
      <c r="N237">
        <v>0</v>
      </c>
      <c r="O237">
        <v>0</v>
      </c>
      <c r="P237" s="117">
        <v>2703000</v>
      </c>
      <c r="Q237" s="117" t="s">
        <v>1021</v>
      </c>
      <c r="R237" s="150">
        <v>0</v>
      </c>
      <c r="S237" s="117" t="b">
        <f>OR(COUNTIF(Tabla2[[#This Row],[PROVEEDOR]],"*"&amp;'Palabra no opera'!$A$2&amp;"*"))</f>
        <v>0</v>
      </c>
      <c r="T237" s="150">
        <f>+$W$5-Tabla2[[#This Row],[FECHA DE FACTURACIÓN]]</f>
        <v>121</v>
      </c>
      <c r="U237" t="str">
        <f>+IF(Tabla2[[#This Row],[dias de credito]]&gt;=Tabla2[[#This Row],[PLAZO Días]],"venc", "No venc")</f>
        <v>venc</v>
      </c>
      <c r="V237" t="str">
        <f>+IF(Tabla2[[#This Row],[FECHA DE PAGO]]&gt;0,"pagada","por pagar")</f>
        <v>pagada</v>
      </c>
      <c r="W237" s="152" t="str">
        <f>+IF(AND(Tabla2[[#This Row],[venc]]="venc",Tabla2[[#This Row],[Columna1]]="por pagar"),"vencida","no")</f>
        <v>no</v>
      </c>
    </row>
    <row r="238" spans="1:23" x14ac:dyDescent="0.3">
      <c r="A238">
        <v>30</v>
      </c>
      <c r="B238">
        <v>0</v>
      </c>
      <c r="D238" t="s">
        <v>547</v>
      </c>
      <c r="E238" s="156">
        <v>44766</v>
      </c>
      <c r="F238" t="s">
        <v>905</v>
      </c>
      <c r="G238" s="156">
        <v>44705</v>
      </c>
      <c r="H238" t="s">
        <v>993</v>
      </c>
      <c r="I238">
        <v>6739831</v>
      </c>
      <c r="K238">
        <v>1280567.8900000001</v>
      </c>
      <c r="M238">
        <v>0</v>
      </c>
      <c r="N238">
        <v>0</v>
      </c>
      <c r="O238">
        <v>0</v>
      </c>
      <c r="P238" s="117">
        <v>8020398.8900000006</v>
      </c>
      <c r="Q238" s="117" t="s">
        <v>1021</v>
      </c>
      <c r="R238" s="150">
        <v>0</v>
      </c>
      <c r="S238" s="117" t="b">
        <f>OR(COUNTIF(Tabla2[[#This Row],[PROVEEDOR]],"*"&amp;'Palabra no opera'!$A$2&amp;"*"))</f>
        <v>1</v>
      </c>
      <c r="T238" s="150">
        <f>+$W$5-Tabla2[[#This Row],[FECHA DE FACTURACIÓN]]</f>
        <v>129</v>
      </c>
      <c r="U238" t="str">
        <f>+IF(Tabla2[[#This Row],[dias de credito]]&gt;=Tabla2[[#This Row],[PLAZO Días]],"venc", "No venc")</f>
        <v>venc</v>
      </c>
      <c r="V238" t="str">
        <f>+IF(Tabla2[[#This Row],[FECHA DE PAGO]]&gt;0,"pagada","por pagar")</f>
        <v>pagada</v>
      </c>
      <c r="W238" s="152" t="str">
        <f>+IF(AND(Tabla2[[#This Row],[venc]]="venc",Tabla2[[#This Row],[Columna1]]="por pagar"),"vencida","no")</f>
        <v>no</v>
      </c>
    </row>
    <row r="239" spans="1:23" x14ac:dyDescent="0.3">
      <c r="A239">
        <v>30</v>
      </c>
      <c r="B239">
        <v>0</v>
      </c>
      <c r="D239" t="s">
        <v>139</v>
      </c>
      <c r="E239" s="156">
        <v>44764</v>
      </c>
      <c r="F239" t="s">
        <v>1134</v>
      </c>
      <c r="G239" s="156">
        <v>44764</v>
      </c>
      <c r="I239">
        <v>1000000</v>
      </c>
      <c r="K239">
        <v>0</v>
      </c>
      <c r="M239">
        <v>0</v>
      </c>
      <c r="N239">
        <v>0</v>
      </c>
      <c r="O239">
        <v>0</v>
      </c>
      <c r="P239" s="117">
        <v>1000000</v>
      </c>
      <c r="Q239" s="117" t="s">
        <v>1021</v>
      </c>
      <c r="R239" s="150">
        <v>0</v>
      </c>
      <c r="S239" s="117" t="b">
        <f>OR(COUNTIF(Tabla2[[#This Row],[PROVEEDOR]],"*"&amp;'Palabra no opera'!$A$2&amp;"*"))</f>
        <v>0</v>
      </c>
      <c r="T239" s="150">
        <f>+$W$5-Tabla2[[#This Row],[FECHA DE FACTURACIÓN]]</f>
        <v>70</v>
      </c>
      <c r="U239" t="str">
        <f>+IF(Tabla2[[#This Row],[dias de credito]]&gt;=Tabla2[[#This Row],[PLAZO Días]],"venc", "No venc")</f>
        <v>venc</v>
      </c>
      <c r="V239" t="str">
        <f>+IF(Tabla2[[#This Row],[FECHA DE PAGO]]&gt;0,"pagada","por pagar")</f>
        <v>pagada</v>
      </c>
      <c r="W239" s="152" t="str">
        <f>+IF(AND(Tabla2[[#This Row],[venc]]="venc",Tabla2[[#This Row],[Columna1]]="por pagar"),"vencida","no")</f>
        <v>no</v>
      </c>
    </row>
    <row r="240" spans="1:23" x14ac:dyDescent="0.3">
      <c r="A240">
        <v>30</v>
      </c>
      <c r="B240">
        <v>0</v>
      </c>
      <c r="D240" t="s">
        <v>1420</v>
      </c>
      <c r="E240" s="156">
        <v>44764</v>
      </c>
      <c r="F240" t="s">
        <v>21</v>
      </c>
      <c r="G240" s="156">
        <v>44764</v>
      </c>
      <c r="H240">
        <v>22710</v>
      </c>
      <c r="I240">
        <v>188235</v>
      </c>
      <c r="K240">
        <v>35764.65</v>
      </c>
      <c r="M240">
        <v>0</v>
      </c>
      <c r="N240">
        <v>0</v>
      </c>
      <c r="O240">
        <v>0</v>
      </c>
      <c r="P240" s="117">
        <v>223999.65</v>
      </c>
      <c r="Q240" s="117" t="s">
        <v>1021</v>
      </c>
      <c r="R240" s="150">
        <v>0</v>
      </c>
      <c r="S240" s="117" t="b">
        <f>OR(COUNTIF(Tabla2[[#This Row],[PROVEEDOR]],"*"&amp;'Palabra no opera'!$A$2&amp;"*"))</f>
        <v>0</v>
      </c>
      <c r="T240" s="150">
        <f>+$W$5-Tabla2[[#This Row],[FECHA DE FACTURACIÓN]]</f>
        <v>70</v>
      </c>
      <c r="U240" t="str">
        <f>+IF(Tabla2[[#This Row],[dias de credito]]&gt;=Tabla2[[#This Row],[PLAZO Días]],"venc", "No venc")</f>
        <v>venc</v>
      </c>
      <c r="V240" t="str">
        <f>+IF(Tabla2[[#This Row],[FECHA DE PAGO]]&gt;0,"pagada","por pagar")</f>
        <v>pagada</v>
      </c>
      <c r="W240" s="152" t="str">
        <f>+IF(AND(Tabla2[[#This Row],[venc]]="venc",Tabla2[[#This Row],[Columna1]]="por pagar"),"vencida","no")</f>
        <v>no</v>
      </c>
    </row>
    <row r="241" spans="1:23" x14ac:dyDescent="0.3">
      <c r="A241">
        <v>90</v>
      </c>
      <c r="B241">
        <v>5541947.6899999995</v>
      </c>
      <c r="D241" t="s">
        <v>253</v>
      </c>
      <c r="E241" s="156">
        <v>44764</v>
      </c>
      <c r="F241" t="s">
        <v>12</v>
      </c>
      <c r="G241" s="156">
        <v>44764</v>
      </c>
      <c r="H241" t="s">
        <v>1121</v>
      </c>
      <c r="I241">
        <v>-17364244</v>
      </c>
      <c r="K241">
        <v>0</v>
      </c>
      <c r="M241">
        <v>0</v>
      </c>
      <c r="N241">
        <v>0</v>
      </c>
      <c r="O241">
        <v>0</v>
      </c>
      <c r="P241" s="117">
        <v>0</v>
      </c>
      <c r="Q241" s="117" t="s">
        <v>1021</v>
      </c>
      <c r="R241" s="150">
        <v>0</v>
      </c>
      <c r="S241" s="117" t="b">
        <f>OR(COUNTIF(Tabla2[[#This Row],[PROVEEDOR]],"*"&amp;'Palabra no opera'!$A$2&amp;"*"))</f>
        <v>0</v>
      </c>
      <c r="T241" s="150">
        <f>+$W$5-Tabla2[[#This Row],[FECHA DE FACTURACIÓN]]</f>
        <v>70</v>
      </c>
      <c r="U241" t="str">
        <f>+IF(Tabla2[[#This Row],[dias de credito]]&gt;=Tabla2[[#This Row],[PLAZO Días]],"venc", "No venc")</f>
        <v>No venc</v>
      </c>
      <c r="V241" t="str">
        <f>+IF(Tabla2[[#This Row],[FECHA DE PAGO]]&gt;0,"pagada","por pagar")</f>
        <v>pagada</v>
      </c>
      <c r="W241" s="152" t="str">
        <f>+IF(AND(Tabla2[[#This Row],[venc]]="venc",Tabla2[[#This Row],[Columna1]]="por pagar"),"vencida","no")</f>
        <v>no</v>
      </c>
    </row>
    <row r="242" spans="1:23" x14ac:dyDescent="0.3">
      <c r="A242">
        <v>0</v>
      </c>
      <c r="B242">
        <v>0</v>
      </c>
      <c r="D242" t="s">
        <v>1132</v>
      </c>
      <c r="E242" s="156">
        <v>44764</v>
      </c>
      <c r="F242" t="s">
        <v>1133</v>
      </c>
      <c r="G242" s="156">
        <v>44764</v>
      </c>
      <c r="H242" t="s">
        <v>1393</v>
      </c>
      <c r="I242">
        <v>1000000</v>
      </c>
      <c r="K242">
        <v>0</v>
      </c>
      <c r="M242">
        <v>0</v>
      </c>
      <c r="N242">
        <v>0</v>
      </c>
      <c r="O242">
        <v>0</v>
      </c>
      <c r="P242" s="117">
        <v>1000000</v>
      </c>
      <c r="Q242" s="117" t="s">
        <v>1021</v>
      </c>
      <c r="R242" s="150">
        <v>0</v>
      </c>
      <c r="S242" s="117" t="b">
        <f>OR(COUNTIF(Tabla2[[#This Row],[PROVEEDOR]],"*"&amp;'Palabra no opera'!$A$2&amp;"*"))</f>
        <v>1</v>
      </c>
      <c r="T242" s="150">
        <f>+$W$5-Tabla2[[#This Row],[FECHA DE FACTURACIÓN]]</f>
        <v>70</v>
      </c>
      <c r="U242" t="str">
        <f>+IF(Tabla2[[#This Row],[dias de credito]]&gt;=Tabla2[[#This Row],[PLAZO Días]],"venc", "No venc")</f>
        <v>venc</v>
      </c>
      <c r="V242" t="str">
        <f>+IF(Tabla2[[#This Row],[FECHA DE PAGO]]&gt;0,"pagada","por pagar")</f>
        <v>pagada</v>
      </c>
      <c r="W242" s="152" t="str">
        <f>+IF(AND(Tabla2[[#This Row],[venc]]="venc",Tabla2[[#This Row],[Columna1]]="por pagar"),"vencida","no")</f>
        <v>no</v>
      </c>
    </row>
    <row r="243" spans="1:23" x14ac:dyDescent="0.3">
      <c r="A243">
        <v>30</v>
      </c>
      <c r="B243">
        <v>0</v>
      </c>
      <c r="D243" t="s">
        <v>380</v>
      </c>
      <c r="E243" s="156">
        <v>44764</v>
      </c>
      <c r="F243" t="s">
        <v>56</v>
      </c>
      <c r="G243" s="156">
        <v>44763</v>
      </c>
      <c r="H243">
        <v>12047</v>
      </c>
      <c r="I243">
        <v>482447</v>
      </c>
      <c r="K243">
        <v>91664.930000000008</v>
      </c>
      <c r="M243">
        <v>0</v>
      </c>
      <c r="N243">
        <v>0</v>
      </c>
      <c r="O243">
        <v>0</v>
      </c>
      <c r="P243" s="117">
        <v>574111.93000000005</v>
      </c>
      <c r="Q243" s="117" t="s">
        <v>1021</v>
      </c>
      <c r="R243" s="150">
        <v>0</v>
      </c>
      <c r="S243" s="117" t="b">
        <f>OR(COUNTIF(Tabla2[[#This Row],[PROVEEDOR]],"*"&amp;'Palabra no opera'!$A$2&amp;"*"))</f>
        <v>0</v>
      </c>
      <c r="T243" s="150">
        <f>+$W$5-Tabla2[[#This Row],[FECHA DE FACTURACIÓN]]</f>
        <v>71</v>
      </c>
      <c r="U243" t="str">
        <f>+IF(Tabla2[[#This Row],[dias de credito]]&gt;=Tabla2[[#This Row],[PLAZO Días]],"venc", "No venc")</f>
        <v>venc</v>
      </c>
      <c r="V243" t="str">
        <f>+IF(Tabla2[[#This Row],[FECHA DE PAGO]]&gt;0,"pagada","por pagar")</f>
        <v>pagada</v>
      </c>
      <c r="W243" s="152" t="str">
        <f>+IF(AND(Tabla2[[#This Row],[venc]]="venc",Tabla2[[#This Row],[Columna1]]="por pagar"),"vencida","no")</f>
        <v>no</v>
      </c>
    </row>
    <row r="244" spans="1:23" x14ac:dyDescent="0.3">
      <c r="A244">
        <v>-1</v>
      </c>
      <c r="B244">
        <v>5541947.6899999995</v>
      </c>
      <c r="D244" t="s">
        <v>253</v>
      </c>
      <c r="E244" s="156">
        <v>44764</v>
      </c>
      <c r="F244" t="s">
        <v>12</v>
      </c>
      <c r="G244" s="156">
        <v>44758</v>
      </c>
      <c r="H244" t="s">
        <v>1121</v>
      </c>
      <c r="I244">
        <v>-9000000</v>
      </c>
      <c r="K244">
        <v>0</v>
      </c>
      <c r="M244">
        <v>0</v>
      </c>
      <c r="N244">
        <v>0</v>
      </c>
      <c r="O244">
        <v>0</v>
      </c>
      <c r="P244" s="117">
        <v>0</v>
      </c>
      <c r="Q244" s="117" t="s">
        <v>1021</v>
      </c>
      <c r="R244" s="150">
        <v>0</v>
      </c>
      <c r="S244" s="117" t="b">
        <f>OR(COUNTIF(Tabla2[[#This Row],[PROVEEDOR]],"*"&amp;'Palabra no opera'!$A$2&amp;"*"))</f>
        <v>0</v>
      </c>
      <c r="T244" s="150">
        <f>+$W$5-Tabla2[[#This Row],[FECHA DE FACTURACIÓN]]</f>
        <v>76</v>
      </c>
      <c r="U244" t="str">
        <f>+IF(Tabla2[[#This Row],[dias de credito]]&gt;=Tabla2[[#This Row],[PLAZO Días]],"venc", "No venc")</f>
        <v>venc</v>
      </c>
      <c r="V244" t="str">
        <f>+IF(Tabla2[[#This Row],[FECHA DE PAGO]]&gt;0,"pagada","por pagar")</f>
        <v>pagada</v>
      </c>
      <c r="W244" s="152" t="str">
        <f>+IF(AND(Tabla2[[#This Row],[venc]]="venc",Tabla2[[#This Row],[Columna1]]="por pagar"),"vencida","no")</f>
        <v>no</v>
      </c>
    </row>
    <row r="245" spans="1:23" x14ac:dyDescent="0.3">
      <c r="A245">
        <v>30</v>
      </c>
      <c r="B245">
        <v>0</v>
      </c>
      <c r="D245" t="s">
        <v>250</v>
      </c>
      <c r="E245" s="156">
        <v>44764</v>
      </c>
      <c r="F245" t="s">
        <v>1450</v>
      </c>
      <c r="G245" s="156">
        <v>44754</v>
      </c>
      <c r="H245">
        <v>354</v>
      </c>
      <c r="I245">
        <v>303000</v>
      </c>
      <c r="K245">
        <v>0</v>
      </c>
      <c r="M245">
        <v>0</v>
      </c>
      <c r="N245">
        <v>0</v>
      </c>
      <c r="O245">
        <v>0</v>
      </c>
      <c r="P245" s="117">
        <v>303000</v>
      </c>
      <c r="Q245" s="117" t="s">
        <v>1021</v>
      </c>
      <c r="R245" s="150">
        <v>0</v>
      </c>
      <c r="S245" s="117" t="b">
        <f>OR(COUNTIF(Tabla2[[#This Row],[PROVEEDOR]],"*"&amp;'Palabra no opera'!$A$2&amp;"*"))</f>
        <v>0</v>
      </c>
      <c r="T245" s="150">
        <f>+$W$5-Tabla2[[#This Row],[FECHA DE FACTURACIÓN]]</f>
        <v>80</v>
      </c>
      <c r="U245" t="str">
        <f>+IF(Tabla2[[#This Row],[dias de credito]]&gt;=Tabla2[[#This Row],[PLAZO Días]],"venc", "No venc")</f>
        <v>venc</v>
      </c>
      <c r="V245" t="str">
        <f>+IF(Tabla2[[#This Row],[FECHA DE PAGO]]&gt;0,"pagada","por pagar")</f>
        <v>pagada</v>
      </c>
      <c r="W245" s="152" t="str">
        <f>+IF(AND(Tabla2[[#This Row],[venc]]="venc",Tabla2[[#This Row],[Columna1]]="por pagar"),"vencida","no")</f>
        <v>no</v>
      </c>
    </row>
    <row r="246" spans="1:23" x14ac:dyDescent="0.3">
      <c r="A246">
        <v>30</v>
      </c>
      <c r="B246">
        <v>0</v>
      </c>
      <c r="D246" t="s">
        <v>250</v>
      </c>
      <c r="E246" s="156">
        <v>44764</v>
      </c>
      <c r="F246" t="s">
        <v>1451</v>
      </c>
      <c r="G246" s="156">
        <v>44754</v>
      </c>
      <c r="H246">
        <v>247</v>
      </c>
      <c r="I246">
        <v>300000</v>
      </c>
      <c r="K246">
        <v>0</v>
      </c>
      <c r="M246">
        <v>0</v>
      </c>
      <c r="N246">
        <v>0.01</v>
      </c>
      <c r="O246">
        <v>3000</v>
      </c>
      <c r="P246" s="117">
        <v>297000</v>
      </c>
      <c r="Q246" s="117" t="s">
        <v>1021</v>
      </c>
      <c r="R246" s="150">
        <v>0</v>
      </c>
      <c r="S246" s="117" t="b">
        <f>OR(COUNTIF(Tabla2[[#This Row],[PROVEEDOR]],"*"&amp;'Palabra no opera'!$A$2&amp;"*"))</f>
        <v>0</v>
      </c>
      <c r="T246" s="150">
        <f>+$W$5-Tabla2[[#This Row],[FECHA DE FACTURACIÓN]]</f>
        <v>80</v>
      </c>
      <c r="U246" t="str">
        <f>+IF(Tabla2[[#This Row],[dias de credito]]&gt;=Tabla2[[#This Row],[PLAZO Días]],"venc", "No venc")</f>
        <v>venc</v>
      </c>
      <c r="V246" t="str">
        <f>+IF(Tabla2[[#This Row],[FECHA DE PAGO]]&gt;0,"pagada","por pagar")</f>
        <v>pagada</v>
      </c>
      <c r="W246" s="152" t="str">
        <f>+IF(AND(Tabla2[[#This Row],[venc]]="venc",Tabla2[[#This Row],[Columna1]]="por pagar"),"vencida","no")</f>
        <v>no</v>
      </c>
    </row>
    <row r="247" spans="1:23" x14ac:dyDescent="0.3">
      <c r="A247">
        <v>30</v>
      </c>
      <c r="B247">
        <v>146262.9</v>
      </c>
      <c r="D247" t="s">
        <v>262</v>
      </c>
      <c r="E247" s="156">
        <v>44764</v>
      </c>
      <c r="F247" t="s">
        <v>17</v>
      </c>
      <c r="G247" s="156">
        <v>44748</v>
      </c>
      <c r="H247">
        <v>1936697</v>
      </c>
      <c r="I247">
        <v>978238</v>
      </c>
      <c r="K247">
        <v>185865.22</v>
      </c>
      <c r="M247">
        <v>0</v>
      </c>
      <c r="N247">
        <v>0</v>
      </c>
      <c r="O247">
        <v>0</v>
      </c>
      <c r="P247" s="117">
        <v>1164103.22</v>
      </c>
      <c r="Q247" s="117" t="s">
        <v>1021</v>
      </c>
      <c r="R247" s="150">
        <v>0</v>
      </c>
      <c r="S247" s="117" t="b">
        <f>OR(COUNTIF(Tabla2[[#This Row],[PROVEEDOR]],"*"&amp;'Palabra no opera'!$A$2&amp;"*"))</f>
        <v>0</v>
      </c>
      <c r="T247" s="150">
        <f>+$W$5-Tabla2[[#This Row],[FECHA DE FACTURACIÓN]]</f>
        <v>86</v>
      </c>
      <c r="U247" t="str">
        <f>+IF(Tabla2[[#This Row],[dias de credito]]&gt;=Tabla2[[#This Row],[PLAZO Días]],"venc", "No venc")</f>
        <v>venc</v>
      </c>
      <c r="V247" t="str">
        <f>+IF(Tabla2[[#This Row],[FECHA DE PAGO]]&gt;0,"pagada","por pagar")</f>
        <v>pagada</v>
      </c>
      <c r="W247" s="152" t="str">
        <f>+IF(AND(Tabla2[[#This Row],[venc]]="venc",Tabla2[[#This Row],[Columna1]]="por pagar"),"vencida","no")</f>
        <v>no</v>
      </c>
    </row>
    <row r="248" spans="1:23" x14ac:dyDescent="0.3">
      <c r="A248">
        <v>30</v>
      </c>
      <c r="B248">
        <v>0</v>
      </c>
      <c r="D248" t="s">
        <v>250</v>
      </c>
      <c r="E248" s="156">
        <v>44764</v>
      </c>
      <c r="F248" t="s">
        <v>1451</v>
      </c>
      <c r="G248" s="156">
        <v>44729</v>
      </c>
      <c r="H248" t="s">
        <v>1055</v>
      </c>
      <c r="I248">
        <v>-78000</v>
      </c>
      <c r="K248">
        <v>0</v>
      </c>
      <c r="M248">
        <v>0</v>
      </c>
      <c r="N248">
        <v>0</v>
      </c>
      <c r="O248">
        <v>0</v>
      </c>
      <c r="P248" s="117">
        <v>-78000</v>
      </c>
      <c r="Q248" s="117" t="s">
        <v>1021</v>
      </c>
      <c r="R248" s="150">
        <v>0</v>
      </c>
      <c r="S248" s="117" t="b">
        <f>OR(COUNTIF(Tabla2[[#This Row],[PROVEEDOR]],"*"&amp;'Palabra no opera'!$A$2&amp;"*"))</f>
        <v>0</v>
      </c>
      <c r="T248" s="150">
        <f>+$W$5-Tabla2[[#This Row],[FECHA DE FACTURACIÓN]]</f>
        <v>105</v>
      </c>
      <c r="U248" t="str">
        <f>+IF(Tabla2[[#This Row],[dias de credito]]&gt;=Tabla2[[#This Row],[PLAZO Días]],"venc", "No venc")</f>
        <v>venc</v>
      </c>
      <c r="V248" t="str">
        <f>+IF(Tabla2[[#This Row],[FECHA DE PAGO]]&gt;0,"pagada","por pagar")</f>
        <v>pagada</v>
      </c>
      <c r="W248" s="152" t="str">
        <f>+IF(AND(Tabla2[[#This Row],[venc]]="venc",Tabla2[[#This Row],[Columna1]]="por pagar"),"vencida","no")</f>
        <v>no</v>
      </c>
    </row>
    <row r="249" spans="1:23" x14ac:dyDescent="0.3">
      <c r="A249">
        <v>30</v>
      </c>
      <c r="B249">
        <v>6259125.5999999996</v>
      </c>
      <c r="D249" t="s">
        <v>264</v>
      </c>
      <c r="E249" s="156">
        <v>44764</v>
      </c>
      <c r="F249" t="s">
        <v>1448</v>
      </c>
      <c r="G249" s="156">
        <v>44728</v>
      </c>
      <c r="H249">
        <v>32033</v>
      </c>
      <c r="I249">
        <v>1841400</v>
      </c>
      <c r="K249">
        <v>349866</v>
      </c>
      <c r="M249">
        <v>0</v>
      </c>
      <c r="N249">
        <v>2.5000000000000001E-2</v>
      </c>
      <c r="O249">
        <v>46035</v>
      </c>
      <c r="P249" s="117">
        <v>2145231</v>
      </c>
      <c r="Q249" s="117" t="s">
        <v>1021</v>
      </c>
      <c r="R249" s="150">
        <v>0</v>
      </c>
      <c r="S249" s="117" t="b">
        <f>OR(COUNTIF(Tabla2[[#This Row],[PROVEEDOR]],"*"&amp;'Palabra no opera'!$A$2&amp;"*"))</f>
        <v>0</v>
      </c>
      <c r="T249" s="150">
        <f>+$W$5-Tabla2[[#This Row],[FECHA DE FACTURACIÓN]]</f>
        <v>106</v>
      </c>
      <c r="U249" t="str">
        <f>+IF(Tabla2[[#This Row],[dias de credito]]&gt;=Tabla2[[#This Row],[PLAZO Días]],"venc", "No venc")</f>
        <v>venc</v>
      </c>
      <c r="V249" t="str">
        <f>+IF(Tabla2[[#This Row],[FECHA DE PAGO]]&gt;0,"pagada","por pagar")</f>
        <v>pagada</v>
      </c>
      <c r="W249" s="152" t="str">
        <f>+IF(AND(Tabla2[[#This Row],[venc]]="venc",Tabla2[[#This Row],[Columna1]]="por pagar"),"vencida","no")</f>
        <v>no</v>
      </c>
    </row>
    <row r="250" spans="1:23" x14ac:dyDescent="0.3">
      <c r="A250">
        <v>30</v>
      </c>
      <c r="B250">
        <v>0</v>
      </c>
      <c r="D250" t="s">
        <v>250</v>
      </c>
      <c r="E250" s="156">
        <v>44764</v>
      </c>
      <c r="F250" t="s">
        <v>1450</v>
      </c>
      <c r="G250" s="156">
        <v>44727</v>
      </c>
      <c r="H250" t="s">
        <v>1052</v>
      </c>
      <c r="I250">
        <v>5000</v>
      </c>
      <c r="K250">
        <v>0</v>
      </c>
      <c r="M250">
        <v>0</v>
      </c>
      <c r="N250">
        <v>0</v>
      </c>
      <c r="O250">
        <v>0</v>
      </c>
      <c r="P250" s="117">
        <v>5000</v>
      </c>
      <c r="Q250" s="117" t="s">
        <v>1021</v>
      </c>
      <c r="R250" s="150">
        <v>0</v>
      </c>
      <c r="S250" s="117" t="b">
        <f>OR(COUNTIF(Tabla2[[#This Row],[PROVEEDOR]],"*"&amp;'Palabra no opera'!$A$2&amp;"*"))</f>
        <v>0</v>
      </c>
      <c r="T250" s="150">
        <f>+$W$5-Tabla2[[#This Row],[FECHA DE FACTURACIÓN]]</f>
        <v>107</v>
      </c>
      <c r="U250" t="str">
        <f>+IF(Tabla2[[#This Row],[dias de credito]]&gt;=Tabla2[[#This Row],[PLAZO Días]],"venc", "No venc")</f>
        <v>venc</v>
      </c>
      <c r="V250" t="str">
        <f>+IF(Tabla2[[#This Row],[FECHA DE PAGO]]&gt;0,"pagada","por pagar")</f>
        <v>pagada</v>
      </c>
      <c r="W250" s="152" t="str">
        <f>+IF(AND(Tabla2[[#This Row],[venc]]="venc",Tabla2[[#This Row],[Columna1]]="por pagar"),"vencida","no")</f>
        <v>no</v>
      </c>
    </row>
    <row r="251" spans="1:23" x14ac:dyDescent="0.3">
      <c r="A251">
        <v>30</v>
      </c>
      <c r="B251">
        <v>749999.88</v>
      </c>
      <c r="D251" t="s">
        <v>249</v>
      </c>
      <c r="E251" s="156">
        <v>44764</v>
      </c>
      <c r="F251" t="s">
        <v>49</v>
      </c>
      <c r="G251" s="156">
        <v>44726</v>
      </c>
      <c r="H251">
        <v>7440</v>
      </c>
      <c r="I251">
        <v>546218</v>
      </c>
      <c r="K251">
        <v>103781.42</v>
      </c>
      <c r="M251">
        <v>0</v>
      </c>
      <c r="N251">
        <v>0</v>
      </c>
      <c r="O251">
        <v>0</v>
      </c>
      <c r="P251" s="117">
        <v>649999.42000000004</v>
      </c>
      <c r="Q251" s="117" t="s">
        <v>1021</v>
      </c>
      <c r="R251" s="150">
        <v>0</v>
      </c>
      <c r="S251" s="117" t="b">
        <f>OR(COUNTIF(Tabla2[[#This Row],[PROVEEDOR]],"*"&amp;'Palabra no opera'!$A$2&amp;"*"))</f>
        <v>0</v>
      </c>
      <c r="T251" s="150">
        <f>+$W$5-Tabla2[[#This Row],[FECHA DE FACTURACIÓN]]</f>
        <v>108</v>
      </c>
      <c r="U251" t="str">
        <f>+IF(Tabla2[[#This Row],[dias de credito]]&gt;=Tabla2[[#This Row],[PLAZO Días]],"venc", "No venc")</f>
        <v>venc</v>
      </c>
      <c r="V251" t="str">
        <f>+IF(Tabla2[[#This Row],[FECHA DE PAGO]]&gt;0,"pagada","por pagar")</f>
        <v>pagada</v>
      </c>
      <c r="W251" s="152" t="str">
        <f>+IF(AND(Tabla2[[#This Row],[venc]]="venc",Tabla2[[#This Row],[Columna1]]="por pagar"),"vencida","no")</f>
        <v>no</v>
      </c>
    </row>
    <row r="252" spans="1:23" x14ac:dyDescent="0.3">
      <c r="A252">
        <v>90</v>
      </c>
      <c r="B252">
        <v>5541947.6899999995</v>
      </c>
      <c r="D252" t="s">
        <v>253</v>
      </c>
      <c r="E252" s="156">
        <v>44764</v>
      </c>
      <c r="F252" t="s">
        <v>12</v>
      </c>
      <c r="G252" s="156">
        <v>44648</v>
      </c>
      <c r="H252" t="s">
        <v>712</v>
      </c>
      <c r="I252">
        <v>22630252.07</v>
      </c>
      <c r="K252">
        <v>4299747.8932999996</v>
      </c>
      <c r="M252">
        <v>0</v>
      </c>
      <c r="N252">
        <v>2.5000000000000001E-2</v>
      </c>
      <c r="O252">
        <v>565756.30174999998</v>
      </c>
      <c r="P252" s="117">
        <v>26364243.66155</v>
      </c>
      <c r="Q252" s="117" t="s">
        <v>1021</v>
      </c>
      <c r="R252" s="150">
        <v>0</v>
      </c>
      <c r="S252" s="117" t="b">
        <f>OR(COUNTIF(Tabla2[[#This Row],[PROVEEDOR]],"*"&amp;'Palabra no opera'!$A$2&amp;"*"))</f>
        <v>0</v>
      </c>
      <c r="T252" s="150">
        <f>+$W$5-Tabla2[[#This Row],[FECHA DE FACTURACIÓN]]</f>
        <v>186</v>
      </c>
      <c r="U252" t="str">
        <f>+IF(Tabla2[[#This Row],[dias de credito]]&gt;=Tabla2[[#This Row],[PLAZO Días]],"venc", "No venc")</f>
        <v>venc</v>
      </c>
      <c r="V252" t="str">
        <f>+IF(Tabla2[[#This Row],[FECHA DE PAGO]]&gt;0,"pagada","por pagar")</f>
        <v>pagada</v>
      </c>
      <c r="W252" s="152" t="str">
        <f>+IF(AND(Tabla2[[#This Row],[venc]]="venc",Tabla2[[#This Row],[Columna1]]="por pagar"),"vencida","no")</f>
        <v>no</v>
      </c>
    </row>
    <row r="253" spans="1:23" x14ac:dyDescent="0.3">
      <c r="A253">
        <v>30</v>
      </c>
      <c r="B253">
        <v>0</v>
      </c>
      <c r="D253" t="s">
        <v>139</v>
      </c>
      <c r="E253" s="156">
        <v>44762</v>
      </c>
      <c r="F253" t="s">
        <v>635</v>
      </c>
      <c r="G253" s="156">
        <v>44762</v>
      </c>
      <c r="H253" t="s">
        <v>1621</v>
      </c>
      <c r="I253">
        <v>600000</v>
      </c>
      <c r="K253">
        <v>0</v>
      </c>
      <c r="M253">
        <v>0</v>
      </c>
      <c r="N253">
        <v>0</v>
      </c>
      <c r="O253">
        <v>0</v>
      </c>
      <c r="P253" s="117">
        <v>600000</v>
      </c>
      <c r="Q253" s="117" t="s">
        <v>1021</v>
      </c>
      <c r="R253" s="150">
        <v>0</v>
      </c>
      <c r="S253" s="117" t="b">
        <f>OR(COUNTIF(Tabla2[[#This Row],[PROVEEDOR]],"*"&amp;'Palabra no opera'!$A$2&amp;"*"))</f>
        <v>0</v>
      </c>
      <c r="T253" s="150">
        <f>+$W$5-Tabla2[[#This Row],[FECHA DE FACTURACIÓN]]</f>
        <v>72</v>
      </c>
      <c r="U253" t="str">
        <f>+IF(Tabla2[[#This Row],[dias de credito]]&gt;=Tabla2[[#This Row],[PLAZO Días]],"venc", "No venc")</f>
        <v>venc</v>
      </c>
      <c r="V253" t="str">
        <f>+IF(Tabla2[[#This Row],[FECHA DE PAGO]]&gt;0,"pagada","por pagar")</f>
        <v>pagada</v>
      </c>
      <c r="W253" s="152" t="str">
        <f>+IF(AND(Tabla2[[#This Row],[venc]]="venc",Tabla2[[#This Row],[Columna1]]="por pagar"),"vencida","no")</f>
        <v>no</v>
      </c>
    </row>
    <row r="254" spans="1:23" x14ac:dyDescent="0.3">
      <c r="A254">
        <v>30</v>
      </c>
      <c r="B254">
        <v>0</v>
      </c>
      <c r="D254" t="s">
        <v>1036</v>
      </c>
      <c r="E254" s="156">
        <v>44761</v>
      </c>
      <c r="F254" t="s">
        <v>927</v>
      </c>
      <c r="G254" s="156">
        <v>44743</v>
      </c>
      <c r="H254" t="s">
        <v>313</v>
      </c>
      <c r="I254">
        <v>818875</v>
      </c>
      <c r="K254">
        <v>0</v>
      </c>
      <c r="M254">
        <v>0</v>
      </c>
      <c r="N254">
        <v>0</v>
      </c>
      <c r="O254">
        <v>0</v>
      </c>
      <c r="P254" s="117">
        <v>818875</v>
      </c>
      <c r="Q254" s="117" t="s">
        <v>1021</v>
      </c>
      <c r="R254" s="150">
        <v>0</v>
      </c>
      <c r="S254" s="117" t="b">
        <f>OR(COUNTIF(Tabla2[[#This Row],[PROVEEDOR]],"*"&amp;'Palabra no opera'!$A$2&amp;"*"))</f>
        <v>1</v>
      </c>
      <c r="T254" s="150">
        <f>+$W$5-Tabla2[[#This Row],[FECHA DE FACTURACIÓN]]</f>
        <v>91</v>
      </c>
      <c r="U254" t="str">
        <f>+IF(Tabla2[[#This Row],[dias de credito]]&gt;=Tabla2[[#This Row],[PLAZO Días]],"venc", "No venc")</f>
        <v>venc</v>
      </c>
      <c r="V254" t="str">
        <f>+IF(Tabla2[[#This Row],[FECHA DE PAGO]]&gt;0,"pagada","por pagar")</f>
        <v>pagada</v>
      </c>
      <c r="W254" s="152" t="str">
        <f>+IF(AND(Tabla2[[#This Row],[venc]]="venc",Tabla2[[#This Row],[Columna1]]="por pagar"),"vencida","no")</f>
        <v>no</v>
      </c>
    </row>
    <row r="255" spans="1:23" x14ac:dyDescent="0.3">
      <c r="A255">
        <v>30</v>
      </c>
      <c r="B255">
        <v>0</v>
      </c>
      <c r="D255" t="s">
        <v>1036</v>
      </c>
      <c r="E255" s="156">
        <v>44761</v>
      </c>
      <c r="F255" t="s">
        <v>927</v>
      </c>
      <c r="G255" s="156">
        <v>44743</v>
      </c>
      <c r="H255" t="s">
        <v>312</v>
      </c>
      <c r="I255">
        <v>825349</v>
      </c>
      <c r="K255">
        <v>0</v>
      </c>
      <c r="M255">
        <v>0</v>
      </c>
      <c r="N255">
        <v>0</v>
      </c>
      <c r="O255">
        <v>0</v>
      </c>
      <c r="P255" s="117">
        <v>825349</v>
      </c>
      <c r="Q255" s="117" t="s">
        <v>1021</v>
      </c>
      <c r="R255" s="150">
        <v>0</v>
      </c>
      <c r="S255" s="117" t="b">
        <f>OR(COUNTIF(Tabla2[[#This Row],[PROVEEDOR]],"*"&amp;'Palabra no opera'!$A$2&amp;"*"))</f>
        <v>1</v>
      </c>
      <c r="T255" s="150">
        <f>+$W$5-Tabla2[[#This Row],[FECHA DE FACTURACIÓN]]</f>
        <v>91</v>
      </c>
      <c r="U255" t="str">
        <f>+IF(Tabla2[[#This Row],[dias de credito]]&gt;=Tabla2[[#This Row],[PLAZO Días]],"venc", "No venc")</f>
        <v>venc</v>
      </c>
      <c r="V255" t="str">
        <f>+IF(Tabla2[[#This Row],[FECHA DE PAGO]]&gt;0,"pagada","por pagar")</f>
        <v>pagada</v>
      </c>
      <c r="W255" s="152" t="str">
        <f>+IF(AND(Tabla2[[#This Row],[venc]]="venc",Tabla2[[#This Row],[Columna1]]="por pagar"),"vencida","no")</f>
        <v>no</v>
      </c>
    </row>
    <row r="256" spans="1:23" x14ac:dyDescent="0.3">
      <c r="A256">
        <v>30</v>
      </c>
      <c r="B256">
        <v>0</v>
      </c>
      <c r="D256" t="s">
        <v>1036</v>
      </c>
      <c r="E256" s="156">
        <v>44761</v>
      </c>
      <c r="F256" t="s">
        <v>927</v>
      </c>
      <c r="G256" s="156">
        <v>44743</v>
      </c>
      <c r="H256" t="s">
        <v>313</v>
      </c>
      <c r="I256">
        <v>68166</v>
      </c>
      <c r="K256">
        <v>0</v>
      </c>
      <c r="M256">
        <v>0</v>
      </c>
      <c r="N256">
        <v>0</v>
      </c>
      <c r="O256">
        <v>0</v>
      </c>
      <c r="P256" s="117">
        <v>68166</v>
      </c>
      <c r="Q256" s="117" t="s">
        <v>1021</v>
      </c>
      <c r="R256" s="150">
        <v>0</v>
      </c>
      <c r="S256" s="117" t="b">
        <f>OR(COUNTIF(Tabla2[[#This Row],[PROVEEDOR]],"*"&amp;'Palabra no opera'!$A$2&amp;"*"))</f>
        <v>1</v>
      </c>
      <c r="T256" s="150">
        <f>+$W$5-Tabla2[[#This Row],[FECHA DE FACTURACIÓN]]</f>
        <v>91</v>
      </c>
      <c r="U256" t="str">
        <f>+IF(Tabla2[[#This Row],[dias de credito]]&gt;=Tabla2[[#This Row],[PLAZO Días]],"venc", "No venc")</f>
        <v>venc</v>
      </c>
      <c r="V256" t="str">
        <f>+IF(Tabla2[[#This Row],[FECHA DE PAGO]]&gt;0,"pagada","por pagar")</f>
        <v>pagada</v>
      </c>
      <c r="W256" s="152" t="str">
        <f>+IF(AND(Tabla2[[#This Row],[venc]]="venc",Tabla2[[#This Row],[Columna1]]="por pagar"),"vencida","no")</f>
        <v>no</v>
      </c>
    </row>
    <row r="257" spans="1:23" x14ac:dyDescent="0.3">
      <c r="A257">
        <v>30</v>
      </c>
      <c r="B257">
        <v>0</v>
      </c>
      <c r="D257" t="s">
        <v>1036</v>
      </c>
      <c r="E257" s="156">
        <v>44761</v>
      </c>
      <c r="F257" t="s">
        <v>927</v>
      </c>
      <c r="G257" s="156">
        <v>44743</v>
      </c>
      <c r="H257" t="s">
        <v>312</v>
      </c>
      <c r="I257">
        <v>59583</v>
      </c>
      <c r="K257">
        <v>0</v>
      </c>
      <c r="M257">
        <v>0</v>
      </c>
      <c r="N257">
        <v>0</v>
      </c>
      <c r="O257">
        <v>0</v>
      </c>
      <c r="P257" s="117">
        <v>59583</v>
      </c>
      <c r="Q257" s="117" t="s">
        <v>1021</v>
      </c>
      <c r="R257" s="150">
        <v>0</v>
      </c>
      <c r="S257" s="117" t="b">
        <f>OR(COUNTIF(Tabla2[[#This Row],[PROVEEDOR]],"*"&amp;'Palabra no opera'!$A$2&amp;"*"))</f>
        <v>1</v>
      </c>
      <c r="T257" s="150">
        <f>+$W$5-Tabla2[[#This Row],[FECHA DE FACTURACIÓN]]</f>
        <v>91</v>
      </c>
      <c r="U257" t="str">
        <f>+IF(Tabla2[[#This Row],[dias de credito]]&gt;=Tabla2[[#This Row],[PLAZO Días]],"venc", "No venc")</f>
        <v>venc</v>
      </c>
      <c r="V257" t="str">
        <f>+IF(Tabla2[[#This Row],[FECHA DE PAGO]]&gt;0,"pagada","por pagar")</f>
        <v>pagada</v>
      </c>
      <c r="W257" s="152" t="str">
        <f>+IF(AND(Tabla2[[#This Row],[venc]]="venc",Tabla2[[#This Row],[Columna1]]="por pagar"),"vencida","no")</f>
        <v>no</v>
      </c>
    </row>
    <row r="258" spans="1:23" x14ac:dyDescent="0.3">
      <c r="A258">
        <v>30</v>
      </c>
      <c r="B258">
        <v>0</v>
      </c>
      <c r="D258" t="s">
        <v>141</v>
      </c>
      <c r="E258" s="156">
        <v>44761</v>
      </c>
      <c r="F258" t="s">
        <v>935</v>
      </c>
      <c r="G258" s="156">
        <v>44743</v>
      </c>
      <c r="I258">
        <v>326243</v>
      </c>
      <c r="K258">
        <v>0</v>
      </c>
      <c r="M258">
        <v>0</v>
      </c>
      <c r="N258">
        <v>0</v>
      </c>
      <c r="O258">
        <v>0</v>
      </c>
      <c r="P258" s="117">
        <v>326243</v>
      </c>
      <c r="Q258" s="117" t="s">
        <v>1021</v>
      </c>
      <c r="R258" s="150">
        <v>0</v>
      </c>
      <c r="S258" s="117" t="b">
        <f>OR(COUNTIF(Tabla2[[#This Row],[PROVEEDOR]],"*"&amp;'Palabra no opera'!$A$2&amp;"*"))</f>
        <v>1</v>
      </c>
      <c r="T258" s="150">
        <f>+$W$5-Tabla2[[#This Row],[FECHA DE FACTURACIÓN]]</f>
        <v>91</v>
      </c>
      <c r="U258" t="str">
        <f>+IF(Tabla2[[#This Row],[dias de credito]]&gt;=Tabla2[[#This Row],[PLAZO Días]],"venc", "No venc")</f>
        <v>venc</v>
      </c>
      <c r="V258" t="str">
        <f>+IF(Tabla2[[#This Row],[FECHA DE PAGO]]&gt;0,"pagada","por pagar")</f>
        <v>pagada</v>
      </c>
      <c r="W258" s="152" t="str">
        <f>+IF(AND(Tabla2[[#This Row],[venc]]="venc",Tabla2[[#This Row],[Columna1]]="por pagar"),"vencida","no")</f>
        <v>no</v>
      </c>
    </row>
    <row r="259" spans="1:23" x14ac:dyDescent="0.3">
      <c r="A259">
        <v>60</v>
      </c>
      <c r="B259">
        <v>0</v>
      </c>
      <c r="D259" t="s">
        <v>631</v>
      </c>
      <c r="E259" s="156">
        <v>44761</v>
      </c>
      <c r="F259" t="s">
        <v>528</v>
      </c>
      <c r="G259" s="156">
        <v>44742</v>
      </c>
      <c r="H259" t="s">
        <v>1613</v>
      </c>
      <c r="I259">
        <v>208152</v>
      </c>
      <c r="K259">
        <v>0</v>
      </c>
      <c r="M259">
        <v>0</v>
      </c>
      <c r="N259">
        <v>0</v>
      </c>
      <c r="O259">
        <v>0</v>
      </c>
      <c r="P259" s="117">
        <v>208152</v>
      </c>
      <c r="Q259" s="117" t="s">
        <v>1021</v>
      </c>
      <c r="R259" s="150">
        <v>0</v>
      </c>
      <c r="S259" s="117" t="b">
        <f>OR(COUNTIF(Tabla2[[#This Row],[PROVEEDOR]],"*"&amp;'Palabra no opera'!$A$2&amp;"*"))</f>
        <v>0</v>
      </c>
      <c r="T259" s="150">
        <f>+$W$5-Tabla2[[#This Row],[FECHA DE FACTURACIÓN]]</f>
        <v>92</v>
      </c>
      <c r="U259" t="str">
        <f>+IF(Tabla2[[#This Row],[dias de credito]]&gt;=Tabla2[[#This Row],[PLAZO Días]],"venc", "No venc")</f>
        <v>venc</v>
      </c>
      <c r="V259" t="str">
        <f>+IF(Tabla2[[#This Row],[FECHA DE PAGO]]&gt;0,"pagada","por pagar")</f>
        <v>pagada</v>
      </c>
      <c r="W259" s="152" t="str">
        <f>+IF(AND(Tabla2[[#This Row],[venc]]="venc",Tabla2[[#This Row],[Columna1]]="por pagar"),"vencida","no")</f>
        <v>no</v>
      </c>
    </row>
    <row r="260" spans="1:23" x14ac:dyDescent="0.3">
      <c r="A260">
        <v>45</v>
      </c>
      <c r="B260">
        <v>0</v>
      </c>
      <c r="D260" t="s">
        <v>631</v>
      </c>
      <c r="E260" s="156">
        <v>44761</v>
      </c>
      <c r="F260" t="s">
        <v>530</v>
      </c>
      <c r="G260" s="156">
        <v>44733</v>
      </c>
      <c r="H260" t="s">
        <v>1066</v>
      </c>
      <c r="I260">
        <v>329574</v>
      </c>
      <c r="K260">
        <v>0</v>
      </c>
      <c r="M260">
        <v>0</v>
      </c>
      <c r="N260">
        <v>0</v>
      </c>
      <c r="O260">
        <v>0</v>
      </c>
      <c r="P260" s="117">
        <v>329574</v>
      </c>
      <c r="Q260" s="117" t="s">
        <v>1021</v>
      </c>
      <c r="R260" s="150">
        <v>0</v>
      </c>
      <c r="S260" s="117" t="b">
        <f>OR(COUNTIF(Tabla2[[#This Row],[PROVEEDOR]],"*"&amp;'Palabra no opera'!$A$2&amp;"*"))</f>
        <v>0</v>
      </c>
      <c r="T260" s="150">
        <f>+$W$5-Tabla2[[#This Row],[FECHA DE FACTURACIÓN]]</f>
        <v>101</v>
      </c>
      <c r="U260" t="str">
        <f>+IF(Tabla2[[#This Row],[dias de credito]]&gt;=Tabla2[[#This Row],[PLAZO Días]],"venc", "No venc")</f>
        <v>venc</v>
      </c>
      <c r="V260" t="str">
        <f>+IF(Tabla2[[#This Row],[FECHA DE PAGO]]&gt;0,"pagada","por pagar")</f>
        <v>pagada</v>
      </c>
      <c r="W260" s="152" t="str">
        <f>+IF(AND(Tabla2[[#This Row],[venc]]="venc",Tabla2[[#This Row],[Columna1]]="por pagar"),"vencida","no")</f>
        <v>no</v>
      </c>
    </row>
    <row r="261" spans="1:23" x14ac:dyDescent="0.3">
      <c r="A261">
        <v>45</v>
      </c>
      <c r="B261">
        <v>0</v>
      </c>
      <c r="D261" t="s">
        <v>631</v>
      </c>
      <c r="E261" s="156">
        <v>44761</v>
      </c>
      <c r="F261" t="s">
        <v>530</v>
      </c>
      <c r="G261" s="156">
        <v>44733</v>
      </c>
      <c r="H261" t="s">
        <v>1067</v>
      </c>
      <c r="I261">
        <v>3209010</v>
      </c>
      <c r="K261">
        <v>0</v>
      </c>
      <c r="M261">
        <v>0</v>
      </c>
      <c r="N261">
        <v>0</v>
      </c>
      <c r="O261">
        <v>0</v>
      </c>
      <c r="P261" s="117">
        <v>3209010</v>
      </c>
      <c r="Q261" s="117" t="s">
        <v>1021</v>
      </c>
      <c r="R261" s="150">
        <v>0</v>
      </c>
      <c r="S261" s="117" t="b">
        <f>OR(COUNTIF(Tabla2[[#This Row],[PROVEEDOR]],"*"&amp;'Palabra no opera'!$A$2&amp;"*"))</f>
        <v>0</v>
      </c>
      <c r="T261" s="150">
        <f>+$W$5-Tabla2[[#This Row],[FECHA DE FACTURACIÓN]]</f>
        <v>101</v>
      </c>
      <c r="U261" t="str">
        <f>+IF(Tabla2[[#This Row],[dias de credito]]&gt;=Tabla2[[#This Row],[PLAZO Días]],"venc", "No venc")</f>
        <v>venc</v>
      </c>
      <c r="V261" t="str">
        <f>+IF(Tabla2[[#This Row],[FECHA DE PAGO]]&gt;0,"pagada","por pagar")</f>
        <v>pagada</v>
      </c>
      <c r="W261" s="152" t="str">
        <f>+IF(AND(Tabla2[[#This Row],[venc]]="venc",Tabla2[[#This Row],[Columna1]]="por pagar"),"vencida","no")</f>
        <v>no</v>
      </c>
    </row>
    <row r="262" spans="1:23" x14ac:dyDescent="0.3">
      <c r="A262">
        <v>45</v>
      </c>
      <c r="B262">
        <v>0</v>
      </c>
      <c r="D262" t="s">
        <v>631</v>
      </c>
      <c r="E262" s="156">
        <v>44761</v>
      </c>
      <c r="F262" t="s">
        <v>530</v>
      </c>
      <c r="G262" s="156">
        <v>44726</v>
      </c>
      <c r="H262" t="s">
        <v>1031</v>
      </c>
      <c r="I262">
        <v>1669986.1500000001</v>
      </c>
      <c r="K262">
        <v>0</v>
      </c>
      <c r="M262">
        <v>0</v>
      </c>
      <c r="N262">
        <v>0</v>
      </c>
      <c r="O262">
        <v>0</v>
      </c>
      <c r="P262" s="117">
        <v>1669986.1500000001</v>
      </c>
      <c r="Q262" s="117" t="s">
        <v>1021</v>
      </c>
      <c r="R262" s="150">
        <v>0</v>
      </c>
      <c r="S262" s="117" t="b">
        <f>OR(COUNTIF(Tabla2[[#This Row],[PROVEEDOR]],"*"&amp;'Palabra no opera'!$A$2&amp;"*"))</f>
        <v>0</v>
      </c>
      <c r="T262" s="150">
        <f>+$W$5-Tabla2[[#This Row],[FECHA DE FACTURACIÓN]]</f>
        <v>108</v>
      </c>
      <c r="U262" t="str">
        <f>+IF(Tabla2[[#This Row],[dias de credito]]&gt;=Tabla2[[#This Row],[PLAZO Días]],"venc", "No venc")</f>
        <v>venc</v>
      </c>
      <c r="V262" t="str">
        <f>+IF(Tabla2[[#This Row],[FECHA DE PAGO]]&gt;0,"pagada","por pagar")</f>
        <v>pagada</v>
      </c>
      <c r="W262" s="152" t="str">
        <f>+IF(AND(Tabla2[[#This Row],[venc]]="venc",Tabla2[[#This Row],[Columna1]]="por pagar"),"vencida","no")</f>
        <v>no</v>
      </c>
    </row>
    <row r="263" spans="1:23" x14ac:dyDescent="0.3">
      <c r="A263">
        <v>60</v>
      </c>
      <c r="B263">
        <v>0</v>
      </c>
      <c r="D263" t="s">
        <v>631</v>
      </c>
      <c r="E263" s="156">
        <v>44761</v>
      </c>
      <c r="F263" t="s">
        <v>528</v>
      </c>
      <c r="G263" s="156">
        <v>44712</v>
      </c>
      <c r="H263" t="s">
        <v>1607</v>
      </c>
      <c r="I263">
        <v>364266</v>
      </c>
      <c r="K263">
        <v>0</v>
      </c>
      <c r="M263">
        <v>0</v>
      </c>
      <c r="N263">
        <v>0</v>
      </c>
      <c r="O263">
        <v>0</v>
      </c>
      <c r="P263" s="117">
        <v>364266</v>
      </c>
      <c r="Q263" s="117" t="s">
        <v>1021</v>
      </c>
      <c r="R263" s="150">
        <v>0</v>
      </c>
      <c r="S263" s="117" t="b">
        <f>OR(COUNTIF(Tabla2[[#This Row],[PROVEEDOR]],"*"&amp;'Palabra no opera'!$A$2&amp;"*"))</f>
        <v>0</v>
      </c>
      <c r="T263" s="150">
        <f>+$W$5-Tabla2[[#This Row],[FECHA DE FACTURACIÓN]]</f>
        <v>122</v>
      </c>
      <c r="U263" t="str">
        <f>+IF(Tabla2[[#This Row],[dias de credito]]&gt;=Tabla2[[#This Row],[PLAZO Días]],"venc", "No venc")</f>
        <v>venc</v>
      </c>
      <c r="V263" t="str">
        <f>+IF(Tabla2[[#This Row],[FECHA DE PAGO]]&gt;0,"pagada","por pagar")</f>
        <v>pagada</v>
      </c>
      <c r="W263" s="152" t="str">
        <f>+IF(AND(Tabla2[[#This Row],[venc]]="venc",Tabla2[[#This Row],[Columna1]]="por pagar"),"vencida","no")</f>
        <v>no</v>
      </c>
    </row>
    <row r="264" spans="1:23" x14ac:dyDescent="0.3">
      <c r="A264">
        <v>60</v>
      </c>
      <c r="B264">
        <v>0</v>
      </c>
      <c r="D264" t="s">
        <v>631</v>
      </c>
      <c r="E264" s="156">
        <v>44761</v>
      </c>
      <c r="F264" t="s">
        <v>528</v>
      </c>
      <c r="G264" s="156">
        <v>44712</v>
      </c>
      <c r="H264" t="s">
        <v>1608</v>
      </c>
      <c r="I264">
        <v>381612</v>
      </c>
      <c r="K264">
        <v>0</v>
      </c>
      <c r="M264">
        <v>0</v>
      </c>
      <c r="N264">
        <v>0</v>
      </c>
      <c r="O264">
        <v>0</v>
      </c>
      <c r="P264" s="117">
        <v>381612</v>
      </c>
      <c r="Q264" s="117" t="s">
        <v>1021</v>
      </c>
      <c r="R264" s="150">
        <v>0</v>
      </c>
      <c r="S264" s="117" t="b">
        <f>OR(COUNTIF(Tabla2[[#This Row],[PROVEEDOR]],"*"&amp;'Palabra no opera'!$A$2&amp;"*"))</f>
        <v>0</v>
      </c>
      <c r="T264" s="150">
        <f>+$W$5-Tabla2[[#This Row],[FECHA DE FACTURACIÓN]]</f>
        <v>122</v>
      </c>
      <c r="U264" t="str">
        <f>+IF(Tabla2[[#This Row],[dias de credito]]&gt;=Tabla2[[#This Row],[PLAZO Días]],"venc", "No venc")</f>
        <v>venc</v>
      </c>
      <c r="V264" t="str">
        <f>+IF(Tabla2[[#This Row],[FECHA DE PAGO]]&gt;0,"pagada","por pagar")</f>
        <v>pagada</v>
      </c>
      <c r="W264" s="152" t="str">
        <f>+IF(AND(Tabla2[[#This Row],[venc]]="venc",Tabla2[[#This Row],[Columna1]]="por pagar"),"vencida","no")</f>
        <v>no</v>
      </c>
    </row>
    <row r="265" spans="1:23" x14ac:dyDescent="0.3">
      <c r="A265">
        <v>60</v>
      </c>
      <c r="B265">
        <v>0</v>
      </c>
      <c r="D265" t="s">
        <v>631</v>
      </c>
      <c r="E265" s="156">
        <v>44761</v>
      </c>
      <c r="F265" t="s">
        <v>528</v>
      </c>
      <c r="G265" s="156">
        <v>44676</v>
      </c>
      <c r="H265" t="s">
        <v>893</v>
      </c>
      <c r="I265">
        <v>173460</v>
      </c>
      <c r="K265">
        <v>0</v>
      </c>
      <c r="M265">
        <v>0</v>
      </c>
      <c r="N265">
        <v>0</v>
      </c>
      <c r="O265">
        <v>0</v>
      </c>
      <c r="P265" s="117">
        <v>173460</v>
      </c>
      <c r="Q265" s="117" t="s">
        <v>1021</v>
      </c>
      <c r="R265" s="150">
        <v>0</v>
      </c>
      <c r="S265" s="117" t="b">
        <f>OR(COUNTIF(Tabla2[[#This Row],[PROVEEDOR]],"*"&amp;'Palabra no opera'!$A$2&amp;"*"))</f>
        <v>0</v>
      </c>
      <c r="T265" s="150">
        <f>+$W$5-Tabla2[[#This Row],[FECHA DE FACTURACIÓN]]</f>
        <v>158</v>
      </c>
      <c r="U265" t="str">
        <f>+IF(Tabla2[[#This Row],[dias de credito]]&gt;=Tabla2[[#This Row],[PLAZO Días]],"venc", "No venc")</f>
        <v>venc</v>
      </c>
      <c r="V265" t="str">
        <f>+IF(Tabla2[[#This Row],[FECHA DE PAGO]]&gt;0,"pagada","por pagar")</f>
        <v>pagada</v>
      </c>
      <c r="W265" s="152" t="str">
        <f>+IF(AND(Tabla2[[#This Row],[venc]]="venc",Tabla2[[#This Row],[Columna1]]="por pagar"),"vencida","no")</f>
        <v>no</v>
      </c>
    </row>
    <row r="266" spans="1:23" x14ac:dyDescent="0.3">
      <c r="A266">
        <v>45</v>
      </c>
      <c r="B266">
        <v>0</v>
      </c>
      <c r="D266" t="s">
        <v>631</v>
      </c>
      <c r="E266" s="156">
        <v>44761</v>
      </c>
      <c r="F266" t="s">
        <v>530</v>
      </c>
      <c r="G266" s="156">
        <v>44656</v>
      </c>
      <c r="H266" t="s">
        <v>632</v>
      </c>
      <c r="I266">
        <v>1515606.75</v>
      </c>
      <c r="K266">
        <v>0</v>
      </c>
      <c r="M266">
        <v>0</v>
      </c>
      <c r="N266">
        <v>0</v>
      </c>
      <c r="O266">
        <v>0</v>
      </c>
      <c r="P266" s="117">
        <v>1515606.75</v>
      </c>
      <c r="Q266" s="117" t="s">
        <v>1021</v>
      </c>
      <c r="R266" s="150">
        <v>0</v>
      </c>
      <c r="S266" s="117" t="b">
        <f>OR(COUNTIF(Tabla2[[#This Row],[PROVEEDOR]],"*"&amp;'Palabra no opera'!$A$2&amp;"*"))</f>
        <v>0</v>
      </c>
      <c r="T266" s="150">
        <f>+$W$5-Tabla2[[#This Row],[FECHA DE FACTURACIÓN]]</f>
        <v>178</v>
      </c>
      <c r="U266" t="str">
        <f>+IF(Tabla2[[#This Row],[dias de credito]]&gt;=Tabla2[[#This Row],[PLAZO Días]],"venc", "No venc")</f>
        <v>venc</v>
      </c>
      <c r="V266" t="str">
        <f>+IF(Tabla2[[#This Row],[FECHA DE PAGO]]&gt;0,"pagada","por pagar")</f>
        <v>pagada</v>
      </c>
      <c r="W266" s="152" t="str">
        <f>+IF(AND(Tabla2[[#This Row],[venc]]="venc",Tabla2[[#This Row],[Columna1]]="por pagar"),"vencida","no")</f>
        <v>no</v>
      </c>
    </row>
    <row r="267" spans="1:23" x14ac:dyDescent="0.3">
      <c r="A267">
        <v>60</v>
      </c>
      <c r="B267">
        <v>0</v>
      </c>
      <c r="D267" t="s">
        <v>631</v>
      </c>
      <c r="E267" s="156">
        <v>44761</v>
      </c>
      <c r="F267" t="s">
        <v>528</v>
      </c>
      <c r="G267" s="156">
        <v>44643</v>
      </c>
      <c r="H267" t="s">
        <v>1580</v>
      </c>
      <c r="I267">
        <v>485688</v>
      </c>
      <c r="K267">
        <v>0</v>
      </c>
      <c r="M267">
        <v>0</v>
      </c>
      <c r="N267">
        <v>0</v>
      </c>
      <c r="O267">
        <v>0</v>
      </c>
      <c r="P267" s="117">
        <v>485688</v>
      </c>
      <c r="Q267" s="117" t="s">
        <v>1021</v>
      </c>
      <c r="R267" s="150">
        <v>0</v>
      </c>
      <c r="S267" s="117" t="b">
        <f>OR(COUNTIF(Tabla2[[#This Row],[PROVEEDOR]],"*"&amp;'Palabra no opera'!$A$2&amp;"*"))</f>
        <v>0</v>
      </c>
      <c r="T267" s="150">
        <f>+$W$5-Tabla2[[#This Row],[FECHA DE FACTURACIÓN]]</f>
        <v>191</v>
      </c>
      <c r="U267" t="str">
        <f>+IF(Tabla2[[#This Row],[dias de credito]]&gt;=Tabla2[[#This Row],[PLAZO Días]],"venc", "No venc")</f>
        <v>venc</v>
      </c>
      <c r="V267" t="str">
        <f>+IF(Tabla2[[#This Row],[FECHA DE PAGO]]&gt;0,"pagada","por pagar")</f>
        <v>pagada</v>
      </c>
      <c r="W267" s="152" t="str">
        <f>+IF(AND(Tabla2[[#This Row],[venc]]="venc",Tabla2[[#This Row],[Columna1]]="por pagar"),"vencida","no")</f>
        <v>no</v>
      </c>
    </row>
    <row r="268" spans="1:23" x14ac:dyDescent="0.3">
      <c r="A268">
        <v>60</v>
      </c>
      <c r="B268">
        <v>0</v>
      </c>
      <c r="D268" t="s">
        <v>631</v>
      </c>
      <c r="E268" s="156">
        <v>44761</v>
      </c>
      <c r="F268" t="s">
        <v>528</v>
      </c>
      <c r="G268" s="156">
        <v>44617</v>
      </c>
      <c r="H268" t="s">
        <v>1575</v>
      </c>
      <c r="I268">
        <v>225498</v>
      </c>
      <c r="K268">
        <v>0</v>
      </c>
      <c r="M268">
        <v>0</v>
      </c>
      <c r="N268">
        <v>0</v>
      </c>
      <c r="O268">
        <v>0</v>
      </c>
      <c r="P268" s="117">
        <v>225498</v>
      </c>
      <c r="Q268" s="117" t="s">
        <v>1021</v>
      </c>
      <c r="R268" s="150">
        <v>0</v>
      </c>
      <c r="S268" s="117" t="b">
        <f>OR(COUNTIF(Tabla2[[#This Row],[PROVEEDOR]],"*"&amp;'Palabra no opera'!$A$2&amp;"*"))</f>
        <v>0</v>
      </c>
      <c r="T268" s="150">
        <f>+$W$5-Tabla2[[#This Row],[FECHA DE FACTURACIÓN]]</f>
        <v>217</v>
      </c>
      <c r="U268" t="str">
        <f>+IF(Tabla2[[#This Row],[dias de credito]]&gt;=Tabla2[[#This Row],[PLAZO Días]],"venc", "No venc")</f>
        <v>venc</v>
      </c>
      <c r="V268" t="str">
        <f>+IF(Tabla2[[#This Row],[FECHA DE PAGO]]&gt;0,"pagada","por pagar")</f>
        <v>pagada</v>
      </c>
      <c r="W268" s="152" t="str">
        <f>+IF(AND(Tabla2[[#This Row],[venc]]="venc",Tabla2[[#This Row],[Columna1]]="por pagar"),"vencida","no")</f>
        <v>no</v>
      </c>
    </row>
    <row r="269" spans="1:23" x14ac:dyDescent="0.3">
      <c r="A269">
        <v>60</v>
      </c>
      <c r="B269">
        <v>0</v>
      </c>
      <c r="D269" t="s">
        <v>631</v>
      </c>
      <c r="E269" s="156">
        <v>44761</v>
      </c>
      <c r="F269" t="s">
        <v>528</v>
      </c>
      <c r="G269" s="156">
        <v>44607</v>
      </c>
      <c r="H269" t="s">
        <v>1572</v>
      </c>
      <c r="I269">
        <v>208152</v>
      </c>
      <c r="K269">
        <v>0</v>
      </c>
      <c r="M269">
        <v>0</v>
      </c>
      <c r="N269">
        <v>0</v>
      </c>
      <c r="O269">
        <v>0</v>
      </c>
      <c r="P269" s="117">
        <v>208152</v>
      </c>
      <c r="Q269" s="117" t="s">
        <v>1021</v>
      </c>
      <c r="R269" s="150">
        <v>0</v>
      </c>
      <c r="S269" s="117" t="b">
        <f>OR(COUNTIF(Tabla2[[#This Row],[PROVEEDOR]],"*"&amp;'Palabra no opera'!$A$2&amp;"*"))</f>
        <v>0</v>
      </c>
      <c r="T269" s="150">
        <f>+$W$5-Tabla2[[#This Row],[FECHA DE FACTURACIÓN]]</f>
        <v>227</v>
      </c>
      <c r="U269" t="str">
        <f>+IF(Tabla2[[#This Row],[dias de credito]]&gt;=Tabla2[[#This Row],[PLAZO Días]],"venc", "No venc")</f>
        <v>venc</v>
      </c>
      <c r="V269" t="str">
        <f>+IF(Tabla2[[#This Row],[FECHA DE PAGO]]&gt;0,"pagada","por pagar")</f>
        <v>pagada</v>
      </c>
      <c r="W269" s="152" t="str">
        <f>+IF(AND(Tabla2[[#This Row],[venc]]="venc",Tabla2[[#This Row],[Columna1]]="por pagar"),"vencida","no")</f>
        <v>no</v>
      </c>
    </row>
    <row r="270" spans="1:23" x14ac:dyDescent="0.3">
      <c r="A270">
        <v>60</v>
      </c>
      <c r="B270">
        <v>0</v>
      </c>
      <c r="D270" t="s">
        <v>631</v>
      </c>
      <c r="E270" s="156">
        <v>44761</v>
      </c>
      <c r="F270" t="s">
        <v>528</v>
      </c>
      <c r="G270" s="156">
        <v>44539</v>
      </c>
      <c r="H270" t="s">
        <v>818</v>
      </c>
      <c r="I270">
        <v>247180.5</v>
      </c>
      <c r="K270">
        <v>0</v>
      </c>
      <c r="M270">
        <v>0</v>
      </c>
      <c r="N270">
        <v>0</v>
      </c>
      <c r="O270">
        <v>0</v>
      </c>
      <c r="P270" s="117">
        <v>247180.5</v>
      </c>
      <c r="Q270" s="117" t="s">
        <v>1021</v>
      </c>
      <c r="R270" s="150">
        <v>0</v>
      </c>
      <c r="S270" s="117" t="b">
        <f>OR(COUNTIF(Tabla2[[#This Row],[PROVEEDOR]],"*"&amp;'Palabra no opera'!$A$2&amp;"*"))</f>
        <v>0</v>
      </c>
      <c r="T270" s="150">
        <f>+$W$5-Tabla2[[#This Row],[FECHA DE FACTURACIÓN]]</f>
        <v>295</v>
      </c>
      <c r="U270" t="str">
        <f>+IF(Tabla2[[#This Row],[dias de credito]]&gt;=Tabla2[[#This Row],[PLAZO Días]],"venc", "No venc")</f>
        <v>venc</v>
      </c>
      <c r="V270" t="str">
        <f>+IF(Tabla2[[#This Row],[FECHA DE PAGO]]&gt;0,"pagada","por pagar")</f>
        <v>pagada</v>
      </c>
      <c r="W270" s="152" t="str">
        <f>+IF(AND(Tabla2[[#This Row],[venc]]="venc",Tabla2[[#This Row],[Columna1]]="por pagar"),"vencida","no")</f>
        <v>no</v>
      </c>
    </row>
    <row r="271" spans="1:23" x14ac:dyDescent="0.3">
      <c r="A271">
        <v>30</v>
      </c>
      <c r="B271">
        <v>0</v>
      </c>
      <c r="D271" t="s">
        <v>1126</v>
      </c>
      <c r="E271" s="156">
        <v>44760</v>
      </c>
      <c r="F271" t="s">
        <v>1125</v>
      </c>
      <c r="G271" s="156">
        <v>44760</v>
      </c>
      <c r="H271">
        <v>527</v>
      </c>
      <c r="I271">
        <v>501681</v>
      </c>
      <c r="K271">
        <v>95319.39</v>
      </c>
      <c r="M271">
        <v>0</v>
      </c>
      <c r="N271">
        <v>0</v>
      </c>
      <c r="O271">
        <v>0</v>
      </c>
      <c r="P271" s="117">
        <v>597000.39</v>
      </c>
      <c r="Q271" s="117" t="s">
        <v>1021</v>
      </c>
      <c r="R271" s="150">
        <v>0</v>
      </c>
      <c r="S271" s="117" t="b">
        <f>OR(COUNTIF(Tabla2[[#This Row],[PROVEEDOR]],"*"&amp;'Palabra no opera'!$A$2&amp;"*"))</f>
        <v>0</v>
      </c>
      <c r="T271" s="150">
        <f>+$W$5-Tabla2[[#This Row],[FECHA DE FACTURACIÓN]]</f>
        <v>74</v>
      </c>
      <c r="U271" t="str">
        <f>+IF(Tabla2[[#This Row],[dias de credito]]&gt;=Tabla2[[#This Row],[PLAZO Días]],"venc", "No venc")</f>
        <v>venc</v>
      </c>
      <c r="V271" t="str">
        <f>+IF(Tabla2[[#This Row],[FECHA DE PAGO]]&gt;0,"pagada","por pagar")</f>
        <v>pagada</v>
      </c>
      <c r="W271" s="152" t="str">
        <f>+IF(AND(Tabla2[[#This Row],[venc]]="venc",Tabla2[[#This Row],[Columna1]]="por pagar"),"vencida","no")</f>
        <v>no</v>
      </c>
    </row>
    <row r="272" spans="1:23" x14ac:dyDescent="0.3">
      <c r="A272">
        <v>30</v>
      </c>
      <c r="B272">
        <v>0</v>
      </c>
      <c r="D272" t="s">
        <v>622</v>
      </c>
      <c r="E272" s="156">
        <v>44760</v>
      </c>
      <c r="F272" t="s">
        <v>623</v>
      </c>
      <c r="G272" s="156">
        <v>44705</v>
      </c>
      <c r="H272" t="s">
        <v>1602</v>
      </c>
      <c r="I272">
        <v>1030000</v>
      </c>
      <c r="K272">
        <v>0</v>
      </c>
      <c r="M272">
        <v>0</v>
      </c>
      <c r="N272">
        <v>0</v>
      </c>
      <c r="O272">
        <v>0</v>
      </c>
      <c r="P272" s="117">
        <v>1030000</v>
      </c>
      <c r="Q272" s="117" t="s">
        <v>1021</v>
      </c>
      <c r="R272" s="150">
        <v>0</v>
      </c>
      <c r="S272" s="117" t="b">
        <f>OR(COUNTIF(Tabla2[[#This Row],[PROVEEDOR]],"*"&amp;'Palabra no opera'!$A$2&amp;"*"))</f>
        <v>0</v>
      </c>
      <c r="T272" s="150">
        <f>+$W$5-Tabla2[[#This Row],[FECHA DE FACTURACIÓN]]</f>
        <v>129</v>
      </c>
      <c r="U272" t="str">
        <f>+IF(Tabla2[[#This Row],[dias de credito]]&gt;=Tabla2[[#This Row],[PLAZO Días]],"venc", "No venc")</f>
        <v>venc</v>
      </c>
      <c r="V272" t="str">
        <f>+IF(Tabla2[[#This Row],[FECHA DE PAGO]]&gt;0,"pagada","por pagar")</f>
        <v>pagada</v>
      </c>
      <c r="W272" s="152" t="str">
        <f>+IF(AND(Tabla2[[#This Row],[venc]]="venc",Tabla2[[#This Row],[Columna1]]="por pagar"),"vencida","no")</f>
        <v>no</v>
      </c>
    </row>
    <row r="273" spans="1:23" x14ac:dyDescent="0.3">
      <c r="A273">
        <v>30</v>
      </c>
      <c r="B273">
        <v>2192943.5750000002</v>
      </c>
      <c r="D273" t="s">
        <v>273</v>
      </c>
      <c r="E273" s="156">
        <v>44758</v>
      </c>
      <c r="F273" t="s">
        <v>1638</v>
      </c>
      <c r="G273" s="156">
        <v>44727</v>
      </c>
      <c r="H273" t="s">
        <v>1039</v>
      </c>
      <c r="I273">
        <v>1012608</v>
      </c>
      <c r="K273">
        <v>192395.51999999999</v>
      </c>
      <c r="M273">
        <v>0</v>
      </c>
      <c r="N273">
        <v>0</v>
      </c>
      <c r="O273">
        <v>0</v>
      </c>
      <c r="P273" s="117">
        <v>1205003.52</v>
      </c>
      <c r="Q273" s="117" t="s">
        <v>1021</v>
      </c>
      <c r="R273" s="150">
        <v>0</v>
      </c>
      <c r="S273" s="117" t="b">
        <f>OR(COUNTIF(Tabla2[[#This Row],[PROVEEDOR]],"*"&amp;'Palabra no opera'!$A$2&amp;"*"))</f>
        <v>0</v>
      </c>
      <c r="T273" s="150">
        <f>+$W$5-Tabla2[[#This Row],[FECHA DE FACTURACIÓN]]</f>
        <v>107</v>
      </c>
      <c r="U273" t="str">
        <f>+IF(Tabla2[[#This Row],[dias de credito]]&gt;=Tabla2[[#This Row],[PLAZO Días]],"venc", "No venc")</f>
        <v>venc</v>
      </c>
      <c r="V273" t="str">
        <f>+IF(Tabla2[[#This Row],[FECHA DE PAGO]]&gt;0,"pagada","por pagar")</f>
        <v>pagada</v>
      </c>
      <c r="W273" s="152" t="str">
        <f>+IF(AND(Tabla2[[#This Row],[venc]]="venc",Tabla2[[#This Row],[Columna1]]="por pagar"),"vencida","no")</f>
        <v>no</v>
      </c>
    </row>
    <row r="274" spans="1:23" x14ac:dyDescent="0.3">
      <c r="A274">
        <v>30</v>
      </c>
      <c r="B274">
        <v>19675613.1195</v>
      </c>
      <c r="D274" t="s">
        <v>256</v>
      </c>
      <c r="E274" s="156">
        <v>44758</v>
      </c>
      <c r="F274" t="s">
        <v>18</v>
      </c>
      <c r="G274" s="156">
        <v>44713</v>
      </c>
      <c r="H274">
        <v>1054375</v>
      </c>
      <c r="I274">
        <v>4853296</v>
      </c>
      <c r="K274">
        <v>922126.24</v>
      </c>
      <c r="M274">
        <v>0</v>
      </c>
      <c r="N274">
        <v>2.5000000000000001E-2</v>
      </c>
      <c r="O274">
        <v>121332.40000000001</v>
      </c>
      <c r="P274" s="117">
        <v>5654089.8399999999</v>
      </c>
      <c r="Q274" s="117" t="s">
        <v>1021</v>
      </c>
      <c r="R274" s="150">
        <v>0</v>
      </c>
      <c r="S274" s="117" t="b">
        <f>OR(COUNTIF(Tabla2[[#This Row],[PROVEEDOR]],"*"&amp;'Palabra no opera'!$A$2&amp;"*"))</f>
        <v>0</v>
      </c>
      <c r="T274" s="150">
        <f>+$W$5-Tabla2[[#This Row],[FECHA DE FACTURACIÓN]]</f>
        <v>121</v>
      </c>
      <c r="U274" t="str">
        <f>+IF(Tabla2[[#This Row],[dias de credito]]&gt;=Tabla2[[#This Row],[PLAZO Días]],"venc", "No venc")</f>
        <v>venc</v>
      </c>
      <c r="V274" t="str">
        <f>+IF(Tabla2[[#This Row],[FECHA DE PAGO]]&gt;0,"pagada","por pagar")</f>
        <v>pagada</v>
      </c>
      <c r="W274" s="152" t="str">
        <f>+IF(AND(Tabla2[[#This Row],[venc]]="venc",Tabla2[[#This Row],[Columna1]]="por pagar"),"vencida","no")</f>
        <v>no</v>
      </c>
    </row>
    <row r="275" spans="1:23" x14ac:dyDescent="0.3">
      <c r="A275">
        <v>30</v>
      </c>
      <c r="B275">
        <v>0</v>
      </c>
      <c r="D275" t="s">
        <v>554</v>
      </c>
      <c r="E275" s="156">
        <v>44758</v>
      </c>
      <c r="F275" t="s">
        <v>422</v>
      </c>
      <c r="G275" s="156">
        <v>44708</v>
      </c>
      <c r="H275">
        <v>11789</v>
      </c>
      <c r="I275">
        <v>395000</v>
      </c>
      <c r="K275">
        <v>75050</v>
      </c>
      <c r="M275">
        <v>0</v>
      </c>
      <c r="N275">
        <v>0</v>
      </c>
      <c r="O275">
        <v>0</v>
      </c>
      <c r="P275" s="117">
        <v>470050</v>
      </c>
      <c r="Q275" s="117" t="s">
        <v>1021</v>
      </c>
      <c r="R275" s="150">
        <v>0</v>
      </c>
      <c r="S275" s="117" t="b">
        <f>OR(COUNTIF(Tabla2[[#This Row],[PROVEEDOR]],"*"&amp;'Palabra no opera'!$A$2&amp;"*"))</f>
        <v>0</v>
      </c>
      <c r="T275" s="150">
        <f>+$W$5-Tabla2[[#This Row],[FECHA DE FACTURACIÓN]]</f>
        <v>126</v>
      </c>
      <c r="U275" t="str">
        <f>+IF(Tabla2[[#This Row],[dias de credito]]&gt;=Tabla2[[#This Row],[PLAZO Días]],"venc", "No venc")</f>
        <v>venc</v>
      </c>
      <c r="V275" t="str">
        <f>+IF(Tabla2[[#This Row],[FECHA DE PAGO]]&gt;0,"pagada","por pagar")</f>
        <v>pagada</v>
      </c>
      <c r="W275" s="152" t="str">
        <f>+IF(AND(Tabla2[[#This Row],[venc]]="venc",Tabla2[[#This Row],[Columna1]]="por pagar"),"vencida","no")</f>
        <v>no</v>
      </c>
    </row>
    <row r="276" spans="1:23" x14ac:dyDescent="0.3">
      <c r="A276">
        <v>30</v>
      </c>
      <c r="B276">
        <v>0</v>
      </c>
      <c r="D276" t="s">
        <v>261</v>
      </c>
      <c r="E276" s="156">
        <v>44758</v>
      </c>
      <c r="F276" t="s">
        <v>746</v>
      </c>
      <c r="G276" s="156">
        <v>44686</v>
      </c>
      <c r="H276">
        <v>2204</v>
      </c>
      <c r="I276">
        <v>3560168.07</v>
      </c>
      <c r="K276">
        <v>676431.93330000003</v>
      </c>
      <c r="M276">
        <v>0</v>
      </c>
      <c r="N276">
        <v>2.5000000000000001E-2</v>
      </c>
      <c r="O276">
        <v>89004.201750000007</v>
      </c>
      <c r="P276" s="117">
        <v>4147595.80155</v>
      </c>
      <c r="Q276" s="117" t="s">
        <v>1021</v>
      </c>
      <c r="R276" s="150">
        <v>0</v>
      </c>
      <c r="S276" s="117" t="b">
        <f>OR(COUNTIF(Tabla2[[#This Row],[PROVEEDOR]],"*"&amp;'Palabra no opera'!$A$2&amp;"*"))</f>
        <v>0</v>
      </c>
      <c r="T276" s="150">
        <f>+$W$5-Tabla2[[#This Row],[FECHA DE FACTURACIÓN]]</f>
        <v>148</v>
      </c>
      <c r="U276" t="str">
        <f>+IF(Tabla2[[#This Row],[dias de credito]]&gt;=Tabla2[[#This Row],[PLAZO Días]],"venc", "No venc")</f>
        <v>venc</v>
      </c>
      <c r="V276" t="str">
        <f>+IF(Tabla2[[#This Row],[FECHA DE PAGO]]&gt;0,"pagada","por pagar")</f>
        <v>pagada</v>
      </c>
      <c r="W276" s="152" t="str">
        <f>+IF(AND(Tabla2[[#This Row],[venc]]="venc",Tabla2[[#This Row],[Columna1]]="por pagar"),"vencida","no")</f>
        <v>no</v>
      </c>
    </row>
    <row r="277" spans="1:23" x14ac:dyDescent="0.3">
      <c r="A277">
        <v>45</v>
      </c>
      <c r="B277">
        <v>30078253.170000002</v>
      </c>
      <c r="D277" t="s">
        <v>884</v>
      </c>
      <c r="E277" s="156">
        <v>44757</v>
      </c>
      <c r="F277" t="s">
        <v>19</v>
      </c>
      <c r="G277" s="156">
        <v>44698</v>
      </c>
      <c r="H277" t="s">
        <v>971</v>
      </c>
      <c r="I277">
        <v>17616000</v>
      </c>
      <c r="K277">
        <v>3347040</v>
      </c>
      <c r="M277">
        <v>0</v>
      </c>
      <c r="N277">
        <v>0</v>
      </c>
      <c r="O277">
        <v>0</v>
      </c>
      <c r="P277" s="117">
        <v>20963040</v>
      </c>
      <c r="Q277" s="117" t="s">
        <v>1021</v>
      </c>
      <c r="R277" s="150">
        <v>0</v>
      </c>
      <c r="S277" s="117" t="b">
        <f>OR(COUNTIF(Tabla2[[#This Row],[PROVEEDOR]],"*"&amp;'Palabra no opera'!$A$2&amp;"*"))</f>
        <v>0</v>
      </c>
      <c r="T277" s="150">
        <f>+$W$5-Tabla2[[#This Row],[FECHA DE FACTURACIÓN]]</f>
        <v>136</v>
      </c>
      <c r="U277" t="str">
        <f>+IF(Tabla2[[#This Row],[dias de credito]]&gt;=Tabla2[[#This Row],[PLAZO Días]],"venc", "No venc")</f>
        <v>venc</v>
      </c>
      <c r="V277" t="str">
        <f>+IF(Tabla2[[#This Row],[FECHA DE PAGO]]&gt;0,"pagada","por pagar")</f>
        <v>pagada</v>
      </c>
      <c r="W277" s="152" t="str">
        <f>+IF(AND(Tabla2[[#This Row],[venc]]="venc",Tabla2[[#This Row],[Columna1]]="por pagar"),"vencida","no")</f>
        <v>no</v>
      </c>
    </row>
    <row r="278" spans="1:23" x14ac:dyDescent="0.3">
      <c r="A278">
        <v>30</v>
      </c>
      <c r="B278">
        <v>0</v>
      </c>
      <c r="D278" t="s">
        <v>139</v>
      </c>
      <c r="E278" s="156">
        <v>44756</v>
      </c>
      <c r="F278" t="s">
        <v>673</v>
      </c>
      <c r="G278" s="156">
        <v>44756</v>
      </c>
      <c r="I278">
        <v>1000000</v>
      </c>
      <c r="K278">
        <v>0</v>
      </c>
      <c r="M278">
        <v>0</v>
      </c>
      <c r="N278">
        <v>0</v>
      </c>
      <c r="O278">
        <v>0</v>
      </c>
      <c r="P278" s="117">
        <v>1000000</v>
      </c>
      <c r="Q278" s="117" t="s">
        <v>1021</v>
      </c>
      <c r="R278" s="150">
        <v>0</v>
      </c>
      <c r="S278" s="117" t="b">
        <f>OR(COUNTIF(Tabla2[[#This Row],[PROVEEDOR]],"*"&amp;'Palabra no opera'!$A$2&amp;"*"))</f>
        <v>0</v>
      </c>
      <c r="T278" s="150">
        <f>+$W$5-Tabla2[[#This Row],[FECHA DE FACTURACIÓN]]</f>
        <v>78</v>
      </c>
      <c r="U278" t="str">
        <f>+IF(Tabla2[[#This Row],[dias de credito]]&gt;=Tabla2[[#This Row],[PLAZO Días]],"venc", "No venc")</f>
        <v>venc</v>
      </c>
      <c r="V278" t="str">
        <f>+IF(Tabla2[[#This Row],[FECHA DE PAGO]]&gt;0,"pagada","por pagar")</f>
        <v>pagada</v>
      </c>
      <c r="W278" s="152" t="str">
        <f>+IF(AND(Tabla2[[#This Row],[venc]]="venc",Tabla2[[#This Row],[Columna1]]="por pagar"),"vencida","no")</f>
        <v>no</v>
      </c>
    </row>
    <row r="279" spans="1:23" x14ac:dyDescent="0.3">
      <c r="A279">
        <v>30</v>
      </c>
      <c r="B279">
        <v>0</v>
      </c>
      <c r="D279" t="s">
        <v>1420</v>
      </c>
      <c r="E279" s="156">
        <v>44756</v>
      </c>
      <c r="F279" t="s">
        <v>1127</v>
      </c>
      <c r="G279" s="156">
        <v>44756</v>
      </c>
      <c r="H279" t="s">
        <v>1128</v>
      </c>
      <c r="I279">
        <v>53782</v>
      </c>
      <c r="K279">
        <v>10218.58</v>
      </c>
      <c r="M279">
        <v>0</v>
      </c>
      <c r="N279">
        <v>0</v>
      </c>
      <c r="O279">
        <v>0</v>
      </c>
      <c r="P279" s="117">
        <v>64000.58</v>
      </c>
      <c r="Q279" s="117" t="s">
        <v>1021</v>
      </c>
      <c r="R279" s="150">
        <v>0</v>
      </c>
      <c r="S279" s="117" t="b">
        <f>OR(COUNTIF(Tabla2[[#This Row],[PROVEEDOR]],"*"&amp;'Palabra no opera'!$A$2&amp;"*"))</f>
        <v>1</v>
      </c>
      <c r="T279" s="150">
        <f>+$W$5-Tabla2[[#This Row],[FECHA DE FACTURACIÓN]]</f>
        <v>78</v>
      </c>
      <c r="U279" t="str">
        <f>+IF(Tabla2[[#This Row],[dias de credito]]&gt;=Tabla2[[#This Row],[PLAZO Días]],"venc", "No venc")</f>
        <v>venc</v>
      </c>
      <c r="V279" t="str">
        <f>+IF(Tabla2[[#This Row],[FECHA DE PAGO]]&gt;0,"pagada","por pagar")</f>
        <v>pagada</v>
      </c>
      <c r="W279" s="152" t="str">
        <f>+IF(AND(Tabla2[[#This Row],[venc]]="venc",Tabla2[[#This Row],[Columna1]]="por pagar"),"vencida","no")</f>
        <v>no</v>
      </c>
    </row>
    <row r="280" spans="1:23" x14ac:dyDescent="0.3">
      <c r="A280">
        <v>30</v>
      </c>
      <c r="B280">
        <v>0</v>
      </c>
      <c r="D280" t="s">
        <v>431</v>
      </c>
      <c r="E280" s="156">
        <v>44756</v>
      </c>
      <c r="F280" t="s">
        <v>677</v>
      </c>
      <c r="G280" s="156">
        <v>44725</v>
      </c>
      <c r="H280" t="s">
        <v>1068</v>
      </c>
      <c r="I280">
        <v>1020000</v>
      </c>
      <c r="K280">
        <v>0</v>
      </c>
      <c r="M280">
        <v>0</v>
      </c>
      <c r="N280">
        <v>0</v>
      </c>
      <c r="O280">
        <v>0</v>
      </c>
      <c r="P280" s="117">
        <v>1020000</v>
      </c>
      <c r="Q280" s="117" t="s">
        <v>1021</v>
      </c>
      <c r="R280" s="150">
        <v>0</v>
      </c>
      <c r="S280" s="117" t="b">
        <f>OR(COUNTIF(Tabla2[[#This Row],[PROVEEDOR]],"*"&amp;'Palabra no opera'!$A$2&amp;"*"))</f>
        <v>0</v>
      </c>
      <c r="T280" s="150">
        <f>+$W$5-Tabla2[[#This Row],[FECHA DE FACTURACIÓN]]</f>
        <v>109</v>
      </c>
      <c r="U280" t="str">
        <f>+IF(Tabla2[[#This Row],[dias de credito]]&gt;=Tabla2[[#This Row],[PLAZO Días]],"venc", "No venc")</f>
        <v>venc</v>
      </c>
      <c r="V280" t="str">
        <f>+IF(Tabla2[[#This Row],[FECHA DE PAGO]]&gt;0,"pagada","por pagar")</f>
        <v>pagada</v>
      </c>
      <c r="W280" s="152" t="str">
        <f>+IF(AND(Tabla2[[#This Row],[venc]]="venc",Tabla2[[#This Row],[Columna1]]="por pagar"),"vencida","no")</f>
        <v>no</v>
      </c>
    </row>
    <row r="281" spans="1:23" x14ac:dyDescent="0.3">
      <c r="A281">
        <v>30</v>
      </c>
      <c r="B281">
        <v>0</v>
      </c>
      <c r="D281" t="s">
        <v>270</v>
      </c>
      <c r="E281" s="156">
        <v>44756</v>
      </c>
      <c r="F281" t="s">
        <v>39</v>
      </c>
      <c r="G281" s="156">
        <v>44714</v>
      </c>
      <c r="H281">
        <v>1322</v>
      </c>
      <c r="I281">
        <v>577750</v>
      </c>
      <c r="K281">
        <v>109772.5</v>
      </c>
      <c r="M281">
        <v>0</v>
      </c>
      <c r="N281">
        <v>0</v>
      </c>
      <c r="O281">
        <v>0</v>
      </c>
      <c r="P281" s="117">
        <v>687522.5</v>
      </c>
      <c r="Q281" s="117" t="s">
        <v>1021</v>
      </c>
      <c r="R281" s="150">
        <v>0</v>
      </c>
      <c r="S281" s="117" t="b">
        <f>OR(COUNTIF(Tabla2[[#This Row],[PROVEEDOR]],"*"&amp;'Palabra no opera'!$A$2&amp;"*"))</f>
        <v>0</v>
      </c>
      <c r="T281" s="150">
        <f>+$W$5-Tabla2[[#This Row],[FECHA DE FACTURACIÓN]]</f>
        <v>120</v>
      </c>
      <c r="U281" t="str">
        <f>+IF(Tabla2[[#This Row],[dias de credito]]&gt;=Tabla2[[#This Row],[PLAZO Días]],"venc", "No venc")</f>
        <v>venc</v>
      </c>
      <c r="V281" t="str">
        <f>+IF(Tabla2[[#This Row],[FECHA DE PAGO]]&gt;0,"pagada","por pagar")</f>
        <v>pagada</v>
      </c>
      <c r="W281" s="152" t="str">
        <f>+IF(AND(Tabla2[[#This Row],[venc]]="venc",Tabla2[[#This Row],[Columna1]]="por pagar"),"vencida","no")</f>
        <v>no</v>
      </c>
    </row>
    <row r="282" spans="1:23" x14ac:dyDescent="0.3">
      <c r="A282">
        <v>30</v>
      </c>
      <c r="B282">
        <v>0</v>
      </c>
      <c r="D282" t="s">
        <v>1126</v>
      </c>
      <c r="E282" s="156">
        <v>44755</v>
      </c>
      <c r="F282" t="s">
        <v>1125</v>
      </c>
      <c r="G282" s="156">
        <v>44755</v>
      </c>
      <c r="H282">
        <v>524</v>
      </c>
      <c r="I282">
        <v>420168</v>
      </c>
      <c r="K282">
        <v>79831.92</v>
      </c>
      <c r="M282">
        <v>0</v>
      </c>
      <c r="N282">
        <v>0</v>
      </c>
      <c r="O282">
        <v>0</v>
      </c>
      <c r="P282" s="117">
        <v>499999.92</v>
      </c>
      <c r="Q282" s="117" t="s">
        <v>1021</v>
      </c>
      <c r="R282" s="150">
        <v>0</v>
      </c>
      <c r="S282" s="117" t="b">
        <f>OR(COUNTIF(Tabla2[[#This Row],[PROVEEDOR]],"*"&amp;'Palabra no opera'!$A$2&amp;"*"))</f>
        <v>0</v>
      </c>
      <c r="T282" s="150">
        <f>+$W$5-Tabla2[[#This Row],[FECHA DE FACTURACIÓN]]</f>
        <v>79</v>
      </c>
      <c r="U282" t="str">
        <f>+IF(Tabla2[[#This Row],[dias de credito]]&gt;=Tabla2[[#This Row],[PLAZO Días]],"venc", "No venc")</f>
        <v>venc</v>
      </c>
      <c r="V282" t="str">
        <f>+IF(Tabla2[[#This Row],[FECHA DE PAGO]]&gt;0,"pagada","por pagar")</f>
        <v>pagada</v>
      </c>
      <c r="W282" s="152" t="str">
        <f>+IF(AND(Tabla2[[#This Row],[venc]]="venc",Tabla2[[#This Row],[Columna1]]="por pagar"),"vencida","no")</f>
        <v>no</v>
      </c>
    </row>
    <row r="283" spans="1:23" x14ac:dyDescent="0.3">
      <c r="A283">
        <v>30</v>
      </c>
      <c r="B283">
        <v>0</v>
      </c>
      <c r="D283" t="s">
        <v>139</v>
      </c>
      <c r="E283" s="156">
        <v>44755</v>
      </c>
      <c r="F283" t="s">
        <v>81</v>
      </c>
      <c r="G283" s="156">
        <v>44741</v>
      </c>
      <c r="H283">
        <v>8313</v>
      </c>
      <c r="I283">
        <v>849316.78</v>
      </c>
      <c r="K283">
        <v>161370.1882</v>
      </c>
      <c r="M283">
        <v>0</v>
      </c>
      <c r="N283">
        <v>0</v>
      </c>
      <c r="O283">
        <v>0</v>
      </c>
      <c r="P283" s="117">
        <v>1010686.9682</v>
      </c>
      <c r="Q283" s="117" t="s">
        <v>1021</v>
      </c>
      <c r="R283" s="150">
        <v>0</v>
      </c>
      <c r="S283" s="117" t="b">
        <f>OR(COUNTIF(Tabla2[[#This Row],[PROVEEDOR]],"*"&amp;'Palabra no opera'!$A$2&amp;"*"))</f>
        <v>0</v>
      </c>
      <c r="T283" s="150">
        <f>+$W$5-Tabla2[[#This Row],[FECHA DE FACTURACIÓN]]</f>
        <v>93</v>
      </c>
      <c r="U283" t="str">
        <f>+IF(Tabla2[[#This Row],[dias de credito]]&gt;=Tabla2[[#This Row],[PLAZO Días]],"venc", "No venc")</f>
        <v>venc</v>
      </c>
      <c r="V283" t="str">
        <f>+IF(Tabla2[[#This Row],[FECHA DE PAGO]]&gt;0,"pagada","por pagar")</f>
        <v>pagada</v>
      </c>
      <c r="W283" s="152" t="str">
        <f>+IF(AND(Tabla2[[#This Row],[venc]]="venc",Tabla2[[#This Row],[Columna1]]="por pagar"),"vencida","no")</f>
        <v>no</v>
      </c>
    </row>
    <row r="284" spans="1:23" x14ac:dyDescent="0.3">
      <c r="A284">
        <v>30</v>
      </c>
      <c r="B284">
        <v>146262.9</v>
      </c>
      <c r="D284" t="s">
        <v>262</v>
      </c>
      <c r="E284" s="156">
        <v>44754</v>
      </c>
      <c r="F284" t="s">
        <v>17</v>
      </c>
      <c r="G284" s="156">
        <v>44722</v>
      </c>
      <c r="H284" t="s">
        <v>1046</v>
      </c>
      <c r="I284">
        <v>491000</v>
      </c>
      <c r="K284">
        <v>93290</v>
      </c>
      <c r="M284">
        <v>0</v>
      </c>
      <c r="N284">
        <v>0</v>
      </c>
      <c r="O284">
        <v>0</v>
      </c>
      <c r="P284" s="117">
        <v>584290</v>
      </c>
      <c r="Q284" s="117" t="s">
        <v>1021</v>
      </c>
      <c r="R284" s="150">
        <v>0</v>
      </c>
      <c r="S284" s="117" t="b">
        <f>OR(COUNTIF(Tabla2[[#This Row],[PROVEEDOR]],"*"&amp;'Palabra no opera'!$A$2&amp;"*"))</f>
        <v>0</v>
      </c>
      <c r="T284" s="150">
        <f>+$W$5-Tabla2[[#This Row],[FECHA DE FACTURACIÓN]]</f>
        <v>112</v>
      </c>
      <c r="U284" t="str">
        <f>+IF(Tabla2[[#This Row],[dias de credito]]&gt;=Tabla2[[#This Row],[PLAZO Días]],"venc", "No venc")</f>
        <v>venc</v>
      </c>
      <c r="V284" t="str">
        <f>+IF(Tabla2[[#This Row],[FECHA DE PAGO]]&gt;0,"pagada","por pagar")</f>
        <v>pagada</v>
      </c>
      <c r="W284" s="152" t="str">
        <f>+IF(AND(Tabla2[[#This Row],[venc]]="venc",Tabla2[[#This Row],[Columna1]]="por pagar"),"vencida","no")</f>
        <v>no</v>
      </c>
    </row>
    <row r="285" spans="1:23" x14ac:dyDescent="0.3">
      <c r="A285">
        <v>30</v>
      </c>
      <c r="B285">
        <v>146262.9</v>
      </c>
      <c r="D285" t="s">
        <v>262</v>
      </c>
      <c r="E285" s="156">
        <v>44754</v>
      </c>
      <c r="F285" t="s">
        <v>17</v>
      </c>
      <c r="G285" s="156">
        <v>44720</v>
      </c>
      <c r="H285">
        <v>1923991</v>
      </c>
      <c r="I285">
        <v>1190000</v>
      </c>
      <c r="K285">
        <v>226100</v>
      </c>
      <c r="M285">
        <v>0</v>
      </c>
      <c r="N285">
        <v>0</v>
      </c>
      <c r="O285">
        <v>0</v>
      </c>
      <c r="P285" s="117">
        <v>1416100</v>
      </c>
      <c r="Q285" s="117" t="s">
        <v>1021</v>
      </c>
      <c r="R285" s="150">
        <v>0</v>
      </c>
      <c r="S285" s="117" t="b">
        <f>OR(COUNTIF(Tabla2[[#This Row],[PROVEEDOR]],"*"&amp;'Palabra no opera'!$A$2&amp;"*"))</f>
        <v>0</v>
      </c>
      <c r="T285" s="150">
        <f>+$W$5-Tabla2[[#This Row],[FECHA DE FACTURACIÓN]]</f>
        <v>114</v>
      </c>
      <c r="U285" t="str">
        <f>+IF(Tabla2[[#This Row],[dias de credito]]&gt;=Tabla2[[#This Row],[PLAZO Días]],"venc", "No venc")</f>
        <v>venc</v>
      </c>
      <c r="V285" t="str">
        <f>+IF(Tabla2[[#This Row],[FECHA DE PAGO]]&gt;0,"pagada","por pagar")</f>
        <v>pagada</v>
      </c>
      <c r="W285" s="152" t="str">
        <f>+IF(AND(Tabla2[[#This Row],[venc]]="venc",Tabla2[[#This Row],[Columna1]]="por pagar"),"vencida","no")</f>
        <v>no</v>
      </c>
    </row>
    <row r="286" spans="1:23" x14ac:dyDescent="0.3">
      <c r="A286">
        <v>45</v>
      </c>
      <c r="B286">
        <v>7497238</v>
      </c>
      <c r="C286" t="s">
        <v>1056</v>
      </c>
      <c r="D286" t="s">
        <v>272</v>
      </c>
      <c r="E286" s="156">
        <v>44754</v>
      </c>
      <c r="F286" t="s">
        <v>10</v>
      </c>
      <c r="G286" s="156">
        <v>44718</v>
      </c>
      <c r="H286" t="s">
        <v>1645</v>
      </c>
      <c r="I286">
        <v>-72804.2</v>
      </c>
      <c r="M286">
        <v>0</v>
      </c>
      <c r="N286">
        <v>0</v>
      </c>
      <c r="O286">
        <v>0</v>
      </c>
      <c r="P286" s="117">
        <v>-72804.2</v>
      </c>
      <c r="Q286" s="117" t="s">
        <v>1021</v>
      </c>
      <c r="R286" s="150">
        <v>0</v>
      </c>
      <c r="S286" s="117" t="b">
        <f>OR(COUNTIF(Tabla2[[#This Row],[PROVEEDOR]],"*"&amp;'Palabra no opera'!$A$2&amp;"*"))</f>
        <v>0</v>
      </c>
      <c r="T286" s="150">
        <f>+$W$5-Tabla2[[#This Row],[FECHA DE FACTURACIÓN]]</f>
        <v>116</v>
      </c>
      <c r="U286" t="str">
        <f>+IF(Tabla2[[#This Row],[dias de credito]]&gt;=Tabla2[[#This Row],[PLAZO Días]],"venc", "No venc")</f>
        <v>venc</v>
      </c>
      <c r="V286" t="str">
        <f>+IF(Tabla2[[#This Row],[FECHA DE PAGO]]&gt;0,"pagada","por pagar")</f>
        <v>pagada</v>
      </c>
      <c r="W286" s="152" t="str">
        <f>+IF(AND(Tabla2[[#This Row],[venc]]="venc",Tabla2[[#This Row],[Columna1]]="por pagar"),"vencida","no")</f>
        <v>no</v>
      </c>
    </row>
    <row r="287" spans="1:23" x14ac:dyDescent="0.3">
      <c r="A287">
        <v>30</v>
      </c>
      <c r="B287">
        <v>5225000</v>
      </c>
      <c r="D287" t="s">
        <v>139</v>
      </c>
      <c r="E287" s="156">
        <v>44754</v>
      </c>
      <c r="F287" t="s">
        <v>629</v>
      </c>
      <c r="G287" s="156">
        <v>44714</v>
      </c>
      <c r="H287" t="s">
        <v>1113</v>
      </c>
      <c r="I287">
        <v>1370000</v>
      </c>
      <c r="K287">
        <v>0</v>
      </c>
      <c r="M287">
        <v>0</v>
      </c>
      <c r="N287">
        <v>0</v>
      </c>
      <c r="O287">
        <v>0</v>
      </c>
      <c r="P287" s="117">
        <v>1370000</v>
      </c>
      <c r="Q287" s="117" t="s">
        <v>1021</v>
      </c>
      <c r="R287" s="150">
        <v>0</v>
      </c>
      <c r="S287" s="117" t="b">
        <f>OR(COUNTIF(Tabla2[[#This Row],[PROVEEDOR]],"*"&amp;'Palabra no opera'!$A$2&amp;"*"))</f>
        <v>0</v>
      </c>
      <c r="T287" s="150">
        <f>+$W$5-Tabla2[[#This Row],[FECHA DE FACTURACIÓN]]</f>
        <v>120</v>
      </c>
      <c r="U287" t="str">
        <f>+IF(Tabla2[[#This Row],[dias de credito]]&gt;=Tabla2[[#This Row],[PLAZO Días]],"venc", "No venc")</f>
        <v>venc</v>
      </c>
      <c r="V287" t="str">
        <f>+IF(Tabla2[[#This Row],[FECHA DE PAGO]]&gt;0,"pagada","por pagar")</f>
        <v>pagada</v>
      </c>
      <c r="W287" s="152" t="str">
        <f>+IF(AND(Tabla2[[#This Row],[venc]]="venc",Tabla2[[#This Row],[Columna1]]="por pagar"),"vencida","no")</f>
        <v>no</v>
      </c>
    </row>
    <row r="288" spans="1:23" x14ac:dyDescent="0.3">
      <c r="A288">
        <v>45</v>
      </c>
      <c r="B288">
        <v>7497238</v>
      </c>
      <c r="D288" t="s">
        <v>272</v>
      </c>
      <c r="E288" s="156">
        <v>44754</v>
      </c>
      <c r="F288" t="s">
        <v>10</v>
      </c>
      <c r="G288" s="156">
        <v>44704</v>
      </c>
      <c r="H288" t="s">
        <v>983</v>
      </c>
      <c r="I288">
        <v>779000</v>
      </c>
      <c r="K288">
        <v>148010</v>
      </c>
      <c r="M288">
        <v>0</v>
      </c>
      <c r="N288">
        <v>0</v>
      </c>
      <c r="O288">
        <v>0</v>
      </c>
      <c r="P288" s="117">
        <v>927010</v>
      </c>
      <c r="Q288" s="117" t="s">
        <v>1021</v>
      </c>
      <c r="R288" s="150">
        <v>0</v>
      </c>
      <c r="S288" s="117" t="b">
        <f>OR(COUNTIF(Tabla2[[#This Row],[PROVEEDOR]],"*"&amp;'Palabra no opera'!$A$2&amp;"*"))</f>
        <v>0</v>
      </c>
      <c r="T288" s="150">
        <f>+$W$5-Tabla2[[#This Row],[FECHA DE FACTURACIÓN]]</f>
        <v>130</v>
      </c>
      <c r="U288" t="str">
        <f>+IF(Tabla2[[#This Row],[dias de credito]]&gt;=Tabla2[[#This Row],[PLAZO Días]],"venc", "No venc")</f>
        <v>venc</v>
      </c>
      <c r="V288" t="str">
        <f>+IF(Tabla2[[#This Row],[FECHA DE PAGO]]&gt;0,"pagada","por pagar")</f>
        <v>pagada</v>
      </c>
      <c r="W288" s="152" t="str">
        <f>+IF(AND(Tabla2[[#This Row],[venc]]="venc",Tabla2[[#This Row],[Columna1]]="por pagar"),"vencida","no")</f>
        <v>no</v>
      </c>
    </row>
    <row r="289" spans="1:23" x14ac:dyDescent="0.3">
      <c r="A289">
        <v>30</v>
      </c>
      <c r="B289">
        <v>0</v>
      </c>
      <c r="D289" t="s">
        <v>687</v>
      </c>
      <c r="E289" s="156">
        <v>44754</v>
      </c>
      <c r="F289" t="s">
        <v>688</v>
      </c>
      <c r="G289" s="156">
        <v>44688</v>
      </c>
      <c r="H289" t="s">
        <v>1592</v>
      </c>
      <c r="I289">
        <v>1300000</v>
      </c>
      <c r="K289">
        <v>0</v>
      </c>
      <c r="M289">
        <v>0</v>
      </c>
      <c r="N289">
        <v>0</v>
      </c>
      <c r="O289">
        <v>0</v>
      </c>
      <c r="P289" s="117">
        <v>1300000</v>
      </c>
      <c r="Q289" s="117" t="s">
        <v>1021</v>
      </c>
      <c r="R289" s="150">
        <v>0</v>
      </c>
      <c r="S289" s="117" t="b">
        <f>OR(COUNTIF(Tabla2[[#This Row],[PROVEEDOR]],"*"&amp;'Palabra no opera'!$A$2&amp;"*"))</f>
        <v>0</v>
      </c>
      <c r="T289" s="150">
        <f>+$W$5-Tabla2[[#This Row],[FECHA DE FACTURACIÓN]]</f>
        <v>146</v>
      </c>
      <c r="U289" t="str">
        <f>+IF(Tabla2[[#This Row],[dias de credito]]&gt;=Tabla2[[#This Row],[PLAZO Días]],"venc", "No venc")</f>
        <v>venc</v>
      </c>
      <c r="V289" t="str">
        <f>+IF(Tabla2[[#This Row],[FECHA DE PAGO]]&gt;0,"pagada","por pagar")</f>
        <v>pagada</v>
      </c>
      <c r="W289" s="152" t="str">
        <f>+IF(AND(Tabla2[[#This Row],[venc]]="venc",Tabla2[[#This Row],[Columna1]]="por pagar"),"vencida","no")</f>
        <v>no</v>
      </c>
    </row>
    <row r="290" spans="1:23" x14ac:dyDescent="0.3">
      <c r="A290">
        <v>45</v>
      </c>
      <c r="B290">
        <v>7497238</v>
      </c>
      <c r="D290" t="s">
        <v>272</v>
      </c>
      <c r="E290" s="156">
        <v>44754</v>
      </c>
      <c r="F290" t="s">
        <v>10</v>
      </c>
      <c r="G290" s="156">
        <v>44673</v>
      </c>
      <c r="H290" t="s">
        <v>886</v>
      </c>
      <c r="I290">
        <v>592500</v>
      </c>
      <c r="K290">
        <v>112575</v>
      </c>
      <c r="M290">
        <v>0</v>
      </c>
      <c r="N290">
        <v>0</v>
      </c>
      <c r="O290">
        <v>0</v>
      </c>
      <c r="P290" s="117">
        <v>705075</v>
      </c>
      <c r="Q290" s="117" t="s">
        <v>1021</v>
      </c>
      <c r="R290" s="150">
        <v>0</v>
      </c>
      <c r="S290" s="117" t="b">
        <f>OR(COUNTIF(Tabla2[[#This Row],[PROVEEDOR]],"*"&amp;'Palabra no opera'!$A$2&amp;"*"))</f>
        <v>0</v>
      </c>
      <c r="T290" s="150">
        <f>+$W$5-Tabla2[[#This Row],[FECHA DE FACTURACIÓN]]</f>
        <v>161</v>
      </c>
      <c r="U290" t="str">
        <f>+IF(Tabla2[[#This Row],[dias de credito]]&gt;=Tabla2[[#This Row],[PLAZO Días]],"venc", "No venc")</f>
        <v>venc</v>
      </c>
      <c r="V290" t="str">
        <f>+IF(Tabla2[[#This Row],[FECHA DE PAGO]]&gt;0,"pagada","por pagar")</f>
        <v>pagada</v>
      </c>
      <c r="W290" s="152" t="str">
        <f>+IF(AND(Tabla2[[#This Row],[venc]]="venc",Tabla2[[#This Row],[Columna1]]="por pagar"),"vencida","no")</f>
        <v>no</v>
      </c>
    </row>
    <row r="291" spans="1:23" x14ac:dyDescent="0.3">
      <c r="A291">
        <v>45</v>
      </c>
      <c r="B291">
        <v>7497238</v>
      </c>
      <c r="D291" t="s">
        <v>272</v>
      </c>
      <c r="E291" s="156">
        <v>44754</v>
      </c>
      <c r="F291" t="s">
        <v>10</v>
      </c>
      <c r="G291" s="156">
        <v>44672</v>
      </c>
      <c r="H291" t="s">
        <v>887</v>
      </c>
      <c r="I291">
        <v>1376000</v>
      </c>
      <c r="K291">
        <v>261440</v>
      </c>
      <c r="M291">
        <v>0</v>
      </c>
      <c r="N291">
        <v>0</v>
      </c>
      <c r="O291">
        <v>0</v>
      </c>
      <c r="P291" s="117">
        <v>1637440</v>
      </c>
      <c r="Q291" s="117" t="s">
        <v>1021</v>
      </c>
      <c r="R291" s="150">
        <v>0</v>
      </c>
      <c r="S291" s="117" t="b">
        <f>OR(COUNTIF(Tabla2[[#This Row],[PROVEEDOR]],"*"&amp;'Palabra no opera'!$A$2&amp;"*"))</f>
        <v>0</v>
      </c>
      <c r="T291" s="150">
        <f>+$W$5-Tabla2[[#This Row],[FECHA DE FACTURACIÓN]]</f>
        <v>162</v>
      </c>
      <c r="U291" t="str">
        <f>+IF(Tabla2[[#This Row],[dias de credito]]&gt;=Tabla2[[#This Row],[PLAZO Días]],"venc", "No venc")</f>
        <v>venc</v>
      </c>
      <c r="V291" t="str">
        <f>+IF(Tabla2[[#This Row],[FECHA DE PAGO]]&gt;0,"pagada","por pagar")</f>
        <v>pagada</v>
      </c>
      <c r="W291" s="152" t="str">
        <f>+IF(AND(Tabla2[[#This Row],[venc]]="venc",Tabla2[[#This Row],[Columna1]]="por pagar"),"vencida","no")</f>
        <v>no</v>
      </c>
    </row>
    <row r="292" spans="1:23" x14ac:dyDescent="0.3">
      <c r="A292">
        <v>30</v>
      </c>
      <c r="B292">
        <v>0</v>
      </c>
      <c r="D292" t="s">
        <v>676</v>
      </c>
      <c r="E292" s="156">
        <v>44751</v>
      </c>
      <c r="F292" t="s">
        <v>940</v>
      </c>
      <c r="G292" s="156">
        <v>44743</v>
      </c>
      <c r="H292">
        <v>68089</v>
      </c>
      <c r="I292">
        <v>284467</v>
      </c>
      <c r="K292">
        <v>0</v>
      </c>
      <c r="M292">
        <v>0</v>
      </c>
      <c r="N292">
        <v>0</v>
      </c>
      <c r="O292">
        <v>0</v>
      </c>
      <c r="P292" s="117">
        <v>284467</v>
      </c>
      <c r="Q292" s="117" t="s">
        <v>1021</v>
      </c>
      <c r="R292" s="150">
        <v>0</v>
      </c>
      <c r="S292" s="117" t="b">
        <f>OR(COUNTIF(Tabla2[[#This Row],[PROVEEDOR]],"*"&amp;'Palabra no opera'!$A$2&amp;"*"))</f>
        <v>1</v>
      </c>
      <c r="T292" s="150">
        <f>+$W$5-Tabla2[[#This Row],[FECHA DE FACTURACIÓN]]</f>
        <v>91</v>
      </c>
      <c r="U292" t="str">
        <f>+IF(Tabla2[[#This Row],[dias de credito]]&gt;=Tabla2[[#This Row],[PLAZO Días]],"venc", "No venc")</f>
        <v>venc</v>
      </c>
      <c r="V292" t="str">
        <f>+IF(Tabla2[[#This Row],[FECHA DE PAGO]]&gt;0,"pagada","por pagar")</f>
        <v>pagada</v>
      </c>
      <c r="W292" s="152" t="str">
        <f>+IF(AND(Tabla2[[#This Row],[venc]]="venc",Tabla2[[#This Row],[Columna1]]="por pagar"),"vencida","no")</f>
        <v>no</v>
      </c>
    </row>
    <row r="293" spans="1:23" x14ac:dyDescent="0.3">
      <c r="A293">
        <v>30</v>
      </c>
      <c r="B293">
        <v>0</v>
      </c>
      <c r="D293" t="s">
        <v>139</v>
      </c>
      <c r="E293" s="156">
        <v>44750</v>
      </c>
      <c r="F293" t="s">
        <v>673</v>
      </c>
      <c r="G293" s="156">
        <v>44750</v>
      </c>
      <c r="I293">
        <v>1000000</v>
      </c>
      <c r="K293">
        <v>0</v>
      </c>
      <c r="M293">
        <v>0</v>
      </c>
      <c r="N293">
        <v>0</v>
      </c>
      <c r="O293">
        <v>0</v>
      </c>
      <c r="P293" s="117">
        <v>1000000</v>
      </c>
      <c r="Q293" s="117" t="s">
        <v>1021</v>
      </c>
      <c r="R293" s="150">
        <v>0</v>
      </c>
      <c r="S293" s="117" t="b">
        <f>OR(COUNTIF(Tabla2[[#This Row],[PROVEEDOR]],"*"&amp;'Palabra no opera'!$A$2&amp;"*"))</f>
        <v>0</v>
      </c>
      <c r="T293" s="150">
        <f>+$W$5-Tabla2[[#This Row],[FECHA DE FACTURACIÓN]]</f>
        <v>84</v>
      </c>
      <c r="U293" t="str">
        <f>+IF(Tabla2[[#This Row],[dias de credito]]&gt;=Tabla2[[#This Row],[PLAZO Días]],"venc", "No venc")</f>
        <v>venc</v>
      </c>
      <c r="V293" t="str">
        <f>+IF(Tabla2[[#This Row],[FECHA DE PAGO]]&gt;0,"pagada","por pagar")</f>
        <v>pagada</v>
      </c>
      <c r="W293" s="152" t="str">
        <f>+IF(AND(Tabla2[[#This Row],[venc]]="venc",Tabla2[[#This Row],[Columna1]]="por pagar"),"vencida","no")</f>
        <v>no</v>
      </c>
    </row>
    <row r="294" spans="1:23" x14ac:dyDescent="0.3">
      <c r="A294">
        <v>30</v>
      </c>
      <c r="B294">
        <v>0</v>
      </c>
      <c r="D294" t="s">
        <v>969</v>
      </c>
      <c r="E294" s="156">
        <v>44750</v>
      </c>
      <c r="F294" t="s">
        <v>1112</v>
      </c>
      <c r="G294" s="156">
        <v>44750</v>
      </c>
      <c r="H294">
        <v>17198</v>
      </c>
      <c r="I294">
        <v>252825</v>
      </c>
      <c r="K294">
        <v>48036.75</v>
      </c>
      <c r="M294">
        <v>0</v>
      </c>
      <c r="N294">
        <v>0</v>
      </c>
      <c r="O294">
        <v>0</v>
      </c>
      <c r="P294" s="117">
        <v>300861.75</v>
      </c>
      <c r="Q294" s="117" t="s">
        <v>1021</v>
      </c>
      <c r="R294" s="150">
        <v>0</v>
      </c>
      <c r="S294" s="117" t="b">
        <f>OR(COUNTIF(Tabla2[[#This Row],[PROVEEDOR]],"*"&amp;'Palabra no opera'!$A$2&amp;"*"))</f>
        <v>1</v>
      </c>
      <c r="T294" s="150">
        <f>+$W$5-Tabla2[[#This Row],[FECHA DE FACTURACIÓN]]</f>
        <v>84</v>
      </c>
      <c r="U294" t="str">
        <f>+IF(Tabla2[[#This Row],[dias de credito]]&gt;=Tabla2[[#This Row],[PLAZO Días]],"venc", "No venc")</f>
        <v>venc</v>
      </c>
      <c r="V294" t="str">
        <f>+IF(Tabla2[[#This Row],[FECHA DE PAGO]]&gt;0,"pagada","por pagar")</f>
        <v>pagada</v>
      </c>
      <c r="W294" s="152" t="str">
        <f>+IF(AND(Tabla2[[#This Row],[venc]]="venc",Tabla2[[#This Row],[Columna1]]="por pagar"),"vencida","no")</f>
        <v>no</v>
      </c>
    </row>
    <row r="295" spans="1:23" x14ac:dyDescent="0.3">
      <c r="A295">
        <v>30</v>
      </c>
      <c r="B295">
        <v>0</v>
      </c>
      <c r="D295" t="s">
        <v>259</v>
      </c>
      <c r="E295" s="156">
        <v>44750</v>
      </c>
      <c r="F295" t="s">
        <v>918</v>
      </c>
      <c r="G295" s="156">
        <v>44743</v>
      </c>
      <c r="H295">
        <v>10958</v>
      </c>
      <c r="I295">
        <v>1649859</v>
      </c>
      <c r="K295">
        <v>0</v>
      </c>
      <c r="M295">
        <v>0</v>
      </c>
      <c r="N295">
        <v>0</v>
      </c>
      <c r="O295">
        <v>0</v>
      </c>
      <c r="P295" s="117">
        <v>1649859</v>
      </c>
      <c r="Q295" s="117" t="s">
        <v>1021</v>
      </c>
      <c r="R295" s="150">
        <v>0</v>
      </c>
      <c r="S295" s="117" t="b">
        <f>OR(COUNTIF(Tabla2[[#This Row],[PROVEEDOR]],"*"&amp;'Palabra no opera'!$A$2&amp;"*"))</f>
        <v>1</v>
      </c>
      <c r="T295" s="150">
        <f>+$W$5-Tabla2[[#This Row],[FECHA DE FACTURACIÓN]]</f>
        <v>91</v>
      </c>
      <c r="U295" t="str">
        <f>+IF(Tabla2[[#This Row],[dias de credito]]&gt;=Tabla2[[#This Row],[PLAZO Días]],"venc", "No venc")</f>
        <v>venc</v>
      </c>
      <c r="V295" t="str">
        <f>+IF(Tabla2[[#This Row],[FECHA DE PAGO]]&gt;0,"pagada","por pagar")</f>
        <v>pagada</v>
      </c>
      <c r="W295" s="152" t="str">
        <f>+IF(AND(Tabla2[[#This Row],[venc]]="venc",Tabla2[[#This Row],[Columna1]]="por pagar"),"vencida","no")</f>
        <v>no</v>
      </c>
    </row>
    <row r="296" spans="1:23" x14ac:dyDescent="0.3">
      <c r="A296">
        <v>30</v>
      </c>
      <c r="B296">
        <v>0</v>
      </c>
      <c r="D296" t="s">
        <v>650</v>
      </c>
      <c r="E296" s="156">
        <v>44750</v>
      </c>
      <c r="F296" t="s">
        <v>913</v>
      </c>
      <c r="G296" s="156">
        <v>44743</v>
      </c>
      <c r="H296" t="s">
        <v>1086</v>
      </c>
      <c r="I296">
        <v>15373</v>
      </c>
      <c r="K296">
        <v>2920.87</v>
      </c>
      <c r="M296">
        <v>0</v>
      </c>
      <c r="N296">
        <v>0</v>
      </c>
      <c r="O296">
        <v>0</v>
      </c>
      <c r="P296" s="117">
        <v>18293.87</v>
      </c>
      <c r="Q296" s="117" t="s">
        <v>1021</v>
      </c>
      <c r="R296" s="150">
        <v>0</v>
      </c>
      <c r="S296" s="117" t="b">
        <f>OR(COUNTIF(Tabla2[[#This Row],[PROVEEDOR]],"*"&amp;'Palabra no opera'!$A$2&amp;"*"))</f>
        <v>1</v>
      </c>
      <c r="T296" s="150">
        <f>+$W$5-Tabla2[[#This Row],[FECHA DE FACTURACIÓN]]</f>
        <v>91</v>
      </c>
      <c r="U296" t="str">
        <f>+IF(Tabla2[[#This Row],[dias de credito]]&gt;=Tabla2[[#This Row],[PLAZO Días]],"venc", "No venc")</f>
        <v>venc</v>
      </c>
      <c r="V296" t="str">
        <f>+IF(Tabla2[[#This Row],[FECHA DE PAGO]]&gt;0,"pagada","por pagar")</f>
        <v>pagada</v>
      </c>
      <c r="W296" s="152" t="str">
        <f>+IF(AND(Tabla2[[#This Row],[venc]]="venc",Tabla2[[#This Row],[Columna1]]="por pagar"),"vencida","no")</f>
        <v>no</v>
      </c>
    </row>
    <row r="297" spans="1:23" x14ac:dyDescent="0.3">
      <c r="A297">
        <v>30</v>
      </c>
      <c r="B297">
        <v>0</v>
      </c>
      <c r="D297" t="s">
        <v>650</v>
      </c>
      <c r="E297" s="156">
        <v>44750</v>
      </c>
      <c r="F297" t="s">
        <v>913</v>
      </c>
      <c r="G297" s="156">
        <v>44743</v>
      </c>
      <c r="H297" t="s">
        <v>1087</v>
      </c>
      <c r="I297">
        <v>3694</v>
      </c>
      <c r="K297">
        <v>701.86</v>
      </c>
      <c r="M297">
        <v>0</v>
      </c>
      <c r="N297">
        <v>0</v>
      </c>
      <c r="O297">
        <v>0</v>
      </c>
      <c r="P297" s="117">
        <v>4395.8599999999997</v>
      </c>
      <c r="Q297" s="117" t="s">
        <v>1021</v>
      </c>
      <c r="R297" s="150">
        <v>0</v>
      </c>
      <c r="S297" s="117" t="b">
        <f>OR(COUNTIF(Tabla2[[#This Row],[PROVEEDOR]],"*"&amp;'Palabra no opera'!$A$2&amp;"*"))</f>
        <v>1</v>
      </c>
      <c r="T297" s="150">
        <f>+$W$5-Tabla2[[#This Row],[FECHA DE FACTURACIÓN]]</f>
        <v>91</v>
      </c>
      <c r="U297" t="str">
        <f>+IF(Tabla2[[#This Row],[dias de credito]]&gt;=Tabla2[[#This Row],[PLAZO Días]],"venc", "No venc")</f>
        <v>venc</v>
      </c>
      <c r="V297" t="str">
        <f>+IF(Tabla2[[#This Row],[FECHA DE PAGO]]&gt;0,"pagada","por pagar")</f>
        <v>pagada</v>
      </c>
      <c r="W297" s="152" t="str">
        <f>+IF(AND(Tabla2[[#This Row],[venc]]="venc",Tabla2[[#This Row],[Columna1]]="por pagar"),"vencida","no")</f>
        <v>no</v>
      </c>
    </row>
    <row r="298" spans="1:23" x14ac:dyDescent="0.3">
      <c r="A298">
        <v>30</v>
      </c>
      <c r="B298">
        <v>0</v>
      </c>
      <c r="D298" t="s">
        <v>650</v>
      </c>
      <c r="E298" s="156">
        <v>44750</v>
      </c>
      <c r="F298" t="s">
        <v>913</v>
      </c>
      <c r="G298" s="156">
        <v>44743</v>
      </c>
      <c r="H298" t="s">
        <v>1088</v>
      </c>
      <c r="I298">
        <v>3294426</v>
      </c>
      <c r="K298">
        <v>625940.94000000006</v>
      </c>
      <c r="M298">
        <v>0</v>
      </c>
      <c r="N298">
        <v>0</v>
      </c>
      <c r="O298">
        <v>0</v>
      </c>
      <c r="P298" s="117">
        <v>3920366.94</v>
      </c>
      <c r="Q298" s="117" t="s">
        <v>1021</v>
      </c>
      <c r="R298" s="150">
        <v>0</v>
      </c>
      <c r="S298" s="117" t="b">
        <f>OR(COUNTIF(Tabla2[[#This Row],[PROVEEDOR]],"*"&amp;'Palabra no opera'!$A$2&amp;"*"))</f>
        <v>1</v>
      </c>
      <c r="T298" s="150">
        <f>+$W$5-Tabla2[[#This Row],[FECHA DE FACTURACIÓN]]</f>
        <v>91</v>
      </c>
      <c r="U298" t="str">
        <f>+IF(Tabla2[[#This Row],[dias de credito]]&gt;=Tabla2[[#This Row],[PLAZO Días]],"venc", "No venc")</f>
        <v>venc</v>
      </c>
      <c r="V298" t="str">
        <f>+IF(Tabla2[[#This Row],[FECHA DE PAGO]]&gt;0,"pagada","por pagar")</f>
        <v>pagada</v>
      </c>
      <c r="W298" s="152" t="str">
        <f>+IF(AND(Tabla2[[#This Row],[venc]]="venc",Tabla2[[#This Row],[Columna1]]="por pagar"),"vencida","no")</f>
        <v>no</v>
      </c>
    </row>
    <row r="299" spans="1:23" x14ac:dyDescent="0.3">
      <c r="A299">
        <v>30</v>
      </c>
      <c r="B299">
        <v>0</v>
      </c>
      <c r="D299" t="s">
        <v>650</v>
      </c>
      <c r="E299" s="156">
        <v>44750</v>
      </c>
      <c r="F299" t="s">
        <v>913</v>
      </c>
      <c r="G299" s="156">
        <v>44743</v>
      </c>
      <c r="H299" t="s">
        <v>1089</v>
      </c>
      <c r="I299">
        <v>791781</v>
      </c>
      <c r="K299">
        <v>150438.39000000001</v>
      </c>
      <c r="M299">
        <v>0</v>
      </c>
      <c r="N299">
        <v>0</v>
      </c>
      <c r="O299">
        <v>0</v>
      </c>
      <c r="P299" s="117">
        <v>942219.39</v>
      </c>
      <c r="Q299" s="117" t="s">
        <v>1021</v>
      </c>
      <c r="R299" s="150">
        <v>0</v>
      </c>
      <c r="S299" s="117" t="b">
        <f>OR(COUNTIF(Tabla2[[#This Row],[PROVEEDOR]],"*"&amp;'Palabra no opera'!$A$2&amp;"*"))</f>
        <v>1</v>
      </c>
      <c r="T299" s="150">
        <f>+$W$5-Tabla2[[#This Row],[FECHA DE FACTURACIÓN]]</f>
        <v>91</v>
      </c>
      <c r="U299" t="str">
        <f>+IF(Tabla2[[#This Row],[dias de credito]]&gt;=Tabla2[[#This Row],[PLAZO Días]],"venc", "No venc")</f>
        <v>venc</v>
      </c>
      <c r="V299" t="str">
        <f>+IF(Tabla2[[#This Row],[FECHA DE PAGO]]&gt;0,"pagada","por pagar")</f>
        <v>pagada</v>
      </c>
      <c r="W299" s="152" t="str">
        <f>+IF(AND(Tabla2[[#This Row],[venc]]="venc",Tabla2[[#This Row],[Columna1]]="por pagar"),"vencida","no")</f>
        <v>no</v>
      </c>
    </row>
    <row r="300" spans="1:23" x14ac:dyDescent="0.3">
      <c r="A300">
        <v>13</v>
      </c>
      <c r="B300">
        <v>0</v>
      </c>
      <c r="D300">
        <v>0</v>
      </c>
      <c r="E300" s="156">
        <v>44750</v>
      </c>
      <c r="F300" t="s">
        <v>934</v>
      </c>
      <c r="G300" s="156">
        <v>44743</v>
      </c>
      <c r="I300">
        <v>1055464</v>
      </c>
      <c r="K300">
        <v>0</v>
      </c>
      <c r="M300">
        <v>0</v>
      </c>
      <c r="N300">
        <v>0</v>
      </c>
      <c r="O300">
        <v>0</v>
      </c>
      <c r="P300" s="117">
        <v>1055464</v>
      </c>
      <c r="Q300" s="117" t="s">
        <v>1021</v>
      </c>
      <c r="R300" s="150">
        <v>0</v>
      </c>
      <c r="S300" s="117" t="b">
        <f>OR(COUNTIF(Tabla2[[#This Row],[PROVEEDOR]],"*"&amp;'Palabra no opera'!$A$2&amp;"*"))</f>
        <v>1</v>
      </c>
      <c r="T300" s="150">
        <f>+$W$5-Tabla2[[#This Row],[FECHA DE FACTURACIÓN]]</f>
        <v>91</v>
      </c>
      <c r="U300" t="str">
        <f>+IF(Tabla2[[#This Row],[dias de credito]]&gt;=Tabla2[[#This Row],[PLAZO Días]],"venc", "No venc")</f>
        <v>venc</v>
      </c>
      <c r="V300" t="str">
        <f>+IF(Tabla2[[#This Row],[FECHA DE PAGO]]&gt;0,"pagada","por pagar")</f>
        <v>pagada</v>
      </c>
      <c r="W300" s="152" t="str">
        <f>+IF(AND(Tabla2[[#This Row],[venc]]="venc",Tabla2[[#This Row],[Columna1]]="por pagar"),"vencida","no")</f>
        <v>no</v>
      </c>
    </row>
    <row r="301" spans="1:23" x14ac:dyDescent="0.3">
      <c r="A301">
        <v>30</v>
      </c>
      <c r="B301">
        <v>8457900</v>
      </c>
      <c r="D301" t="s">
        <v>1027</v>
      </c>
      <c r="E301" s="156">
        <v>44750</v>
      </c>
      <c r="F301" t="s">
        <v>11</v>
      </c>
      <c r="G301" s="156">
        <v>44715</v>
      </c>
      <c r="H301" t="s">
        <v>1026</v>
      </c>
      <c r="I301">
        <v>2640000</v>
      </c>
      <c r="K301">
        <v>501600</v>
      </c>
      <c r="M301">
        <v>0</v>
      </c>
      <c r="N301">
        <v>2.5000000000000001E-2</v>
      </c>
      <c r="O301">
        <v>66000</v>
      </c>
      <c r="P301" s="117">
        <v>3075600</v>
      </c>
      <c r="Q301" s="117" t="s">
        <v>1021</v>
      </c>
      <c r="R301" s="150">
        <v>0</v>
      </c>
      <c r="S301" s="117" t="b">
        <f>OR(COUNTIF(Tabla2[[#This Row],[PROVEEDOR]],"*"&amp;'Palabra no opera'!$A$2&amp;"*"))</f>
        <v>0</v>
      </c>
      <c r="T301" s="150">
        <f>+$W$5-Tabla2[[#This Row],[FECHA DE FACTURACIÓN]]</f>
        <v>119</v>
      </c>
      <c r="U301" t="str">
        <f>+IF(Tabla2[[#This Row],[dias de credito]]&gt;=Tabla2[[#This Row],[PLAZO Días]],"venc", "No venc")</f>
        <v>venc</v>
      </c>
      <c r="V301" t="str">
        <f>+IF(Tabla2[[#This Row],[FECHA DE PAGO]]&gt;0,"pagada","por pagar")</f>
        <v>pagada</v>
      </c>
      <c r="W301" s="152" t="str">
        <f>+IF(AND(Tabla2[[#This Row],[venc]]="venc",Tabla2[[#This Row],[Columna1]]="por pagar"),"vencida","no")</f>
        <v>no</v>
      </c>
    </row>
    <row r="302" spans="1:23" x14ac:dyDescent="0.3">
      <c r="A302">
        <v>45</v>
      </c>
      <c r="B302">
        <v>30078253.170000002</v>
      </c>
      <c r="D302" t="s">
        <v>884</v>
      </c>
      <c r="E302" s="156">
        <v>44750</v>
      </c>
      <c r="F302" t="s">
        <v>19</v>
      </c>
      <c r="G302" s="156">
        <v>44694</v>
      </c>
      <c r="H302" t="s">
        <v>970</v>
      </c>
      <c r="I302">
        <v>11010000</v>
      </c>
      <c r="K302">
        <v>2091900</v>
      </c>
      <c r="M302">
        <v>0</v>
      </c>
      <c r="N302">
        <v>0</v>
      </c>
      <c r="O302">
        <v>0</v>
      </c>
      <c r="P302" s="117">
        <v>13101900</v>
      </c>
      <c r="Q302" s="117" t="s">
        <v>1021</v>
      </c>
      <c r="R302" s="150">
        <v>0</v>
      </c>
      <c r="S302" s="117" t="b">
        <f>OR(COUNTIF(Tabla2[[#This Row],[PROVEEDOR]],"*"&amp;'Palabra no opera'!$A$2&amp;"*"))</f>
        <v>0</v>
      </c>
      <c r="T302" s="150">
        <f>+$W$5-Tabla2[[#This Row],[FECHA DE FACTURACIÓN]]</f>
        <v>140</v>
      </c>
      <c r="U302" t="str">
        <f>+IF(Tabla2[[#This Row],[dias de credito]]&gt;=Tabla2[[#This Row],[PLAZO Días]],"venc", "No venc")</f>
        <v>venc</v>
      </c>
      <c r="V302" t="str">
        <f>+IF(Tabla2[[#This Row],[FECHA DE PAGO]]&gt;0,"pagada","por pagar")</f>
        <v>pagada</v>
      </c>
      <c r="W302" s="152" t="str">
        <f>+IF(AND(Tabla2[[#This Row],[venc]]="venc",Tabla2[[#This Row],[Columna1]]="por pagar"),"vencida","no")</f>
        <v>no</v>
      </c>
    </row>
    <row r="303" spans="1:23" x14ac:dyDescent="0.3">
      <c r="A303">
        <v>30</v>
      </c>
      <c r="B303">
        <v>8190204</v>
      </c>
      <c r="D303" t="s">
        <v>263</v>
      </c>
      <c r="E303" s="156">
        <v>44750</v>
      </c>
      <c r="F303" t="s">
        <v>1637</v>
      </c>
      <c r="G303" s="156">
        <v>44688</v>
      </c>
      <c r="H303">
        <v>25703</v>
      </c>
      <c r="I303">
        <v>1728540</v>
      </c>
      <c r="J303">
        <v>157140</v>
      </c>
      <c r="K303">
        <v>298566</v>
      </c>
      <c r="M303">
        <v>0</v>
      </c>
      <c r="N303">
        <v>2.5000000000000001E-2</v>
      </c>
      <c r="O303">
        <v>39285</v>
      </c>
      <c r="P303" s="117">
        <v>1830681</v>
      </c>
      <c r="Q303" s="117" t="s">
        <v>1021</v>
      </c>
      <c r="R303" s="150">
        <v>0</v>
      </c>
      <c r="S303" s="117" t="b">
        <f>OR(COUNTIF(Tabla2[[#This Row],[PROVEEDOR]],"*"&amp;'Palabra no opera'!$A$2&amp;"*"))</f>
        <v>0</v>
      </c>
      <c r="T303" s="150">
        <f>+$W$5-Tabla2[[#This Row],[FECHA DE FACTURACIÓN]]</f>
        <v>146</v>
      </c>
      <c r="U303" t="str">
        <f>+IF(Tabla2[[#This Row],[dias de credito]]&gt;=Tabla2[[#This Row],[PLAZO Días]],"venc", "No venc")</f>
        <v>venc</v>
      </c>
      <c r="V303" t="str">
        <f>+IF(Tabla2[[#This Row],[FECHA DE PAGO]]&gt;0,"pagada","por pagar")</f>
        <v>pagada</v>
      </c>
      <c r="W303" s="152" t="str">
        <f>+IF(AND(Tabla2[[#This Row],[venc]]="venc",Tabla2[[#This Row],[Columna1]]="por pagar"),"vencida","no")</f>
        <v>no</v>
      </c>
    </row>
    <row r="304" spans="1:23" x14ac:dyDescent="0.3">
      <c r="A304">
        <v>90</v>
      </c>
      <c r="B304">
        <v>64586412</v>
      </c>
      <c r="D304" t="s">
        <v>368</v>
      </c>
      <c r="E304" s="156">
        <v>44750</v>
      </c>
      <c r="F304" t="s">
        <v>31</v>
      </c>
      <c r="G304" s="156">
        <v>44664</v>
      </c>
      <c r="H304">
        <v>56405</v>
      </c>
      <c r="I304">
        <v>64348400</v>
      </c>
      <c r="K304">
        <v>0</v>
      </c>
      <c r="M304">
        <v>0</v>
      </c>
      <c r="N304">
        <v>0</v>
      </c>
      <c r="O304">
        <v>0</v>
      </c>
      <c r="P304" s="117">
        <v>64348400</v>
      </c>
      <c r="Q304" s="117" t="s">
        <v>1021</v>
      </c>
      <c r="R304" s="150">
        <v>0</v>
      </c>
      <c r="S304" s="117" t="b">
        <f>OR(COUNTIF(Tabla2[[#This Row],[PROVEEDOR]],"*"&amp;'Palabra no opera'!$A$2&amp;"*"))</f>
        <v>0</v>
      </c>
      <c r="T304" s="150">
        <f>+$W$5-Tabla2[[#This Row],[FECHA DE FACTURACIÓN]]</f>
        <v>170</v>
      </c>
      <c r="U304" t="str">
        <f>+IF(Tabla2[[#This Row],[dias de credito]]&gt;=Tabla2[[#This Row],[PLAZO Días]],"venc", "No venc")</f>
        <v>venc</v>
      </c>
      <c r="V304" t="str">
        <f>+IF(Tabla2[[#This Row],[FECHA DE PAGO]]&gt;0,"pagada","por pagar")</f>
        <v>pagada</v>
      </c>
      <c r="W304" s="152" t="str">
        <f>+IF(AND(Tabla2[[#This Row],[venc]]="venc",Tabla2[[#This Row],[Columna1]]="por pagar"),"vencida","no")</f>
        <v>no</v>
      </c>
    </row>
    <row r="305" spans="1:23" x14ac:dyDescent="0.3">
      <c r="A305">
        <v>30</v>
      </c>
      <c r="B305">
        <v>146262.9</v>
      </c>
      <c r="D305" t="s">
        <v>262</v>
      </c>
      <c r="E305" s="156">
        <v>44749</v>
      </c>
      <c r="F305" t="s">
        <v>17</v>
      </c>
      <c r="G305" s="156">
        <v>44705</v>
      </c>
      <c r="H305" t="s">
        <v>985</v>
      </c>
      <c r="I305">
        <v>1899899.7</v>
      </c>
      <c r="K305">
        <v>360980.94299999997</v>
      </c>
      <c r="M305">
        <v>0</v>
      </c>
      <c r="N305">
        <v>0</v>
      </c>
      <c r="O305">
        <v>0</v>
      </c>
      <c r="P305" s="117">
        <v>2260880.6430000002</v>
      </c>
      <c r="Q305" s="117" t="s">
        <v>1021</v>
      </c>
      <c r="R305" s="150">
        <v>0</v>
      </c>
      <c r="S305" s="117" t="b">
        <f>OR(COUNTIF(Tabla2[[#This Row],[PROVEEDOR]],"*"&amp;'Palabra no opera'!$A$2&amp;"*"))</f>
        <v>0</v>
      </c>
      <c r="T305" s="150">
        <f>+$W$5-Tabla2[[#This Row],[FECHA DE FACTURACIÓN]]</f>
        <v>129</v>
      </c>
      <c r="U305" t="str">
        <f>+IF(Tabla2[[#This Row],[dias de credito]]&gt;=Tabla2[[#This Row],[PLAZO Días]],"venc", "No venc")</f>
        <v>venc</v>
      </c>
      <c r="V305" t="str">
        <f>+IF(Tabla2[[#This Row],[FECHA DE PAGO]]&gt;0,"pagada","por pagar")</f>
        <v>pagada</v>
      </c>
      <c r="W305" s="152" t="str">
        <f>+IF(AND(Tabla2[[#This Row],[venc]]="venc",Tabla2[[#This Row],[Columna1]]="por pagar"),"vencida","no")</f>
        <v>no</v>
      </c>
    </row>
    <row r="306" spans="1:23" x14ac:dyDescent="0.3">
      <c r="A306">
        <v>30</v>
      </c>
      <c r="B306">
        <v>0</v>
      </c>
      <c r="D306" t="s">
        <v>547</v>
      </c>
      <c r="E306" s="156">
        <v>44749</v>
      </c>
      <c r="F306" t="s">
        <v>510</v>
      </c>
      <c r="G306" s="156">
        <v>44705</v>
      </c>
      <c r="H306" t="s">
        <v>992</v>
      </c>
      <c r="I306">
        <v>6120000</v>
      </c>
      <c r="K306">
        <v>306000</v>
      </c>
      <c r="M306">
        <v>0</v>
      </c>
      <c r="N306">
        <v>0</v>
      </c>
      <c r="O306">
        <v>0</v>
      </c>
      <c r="P306" s="117">
        <v>6426000</v>
      </c>
      <c r="Q306" s="117" t="s">
        <v>1021</v>
      </c>
      <c r="R306" s="150">
        <v>0</v>
      </c>
      <c r="S306" s="117" t="b">
        <f>OR(COUNTIF(Tabla2[[#This Row],[PROVEEDOR]],"*"&amp;'Palabra no opera'!$A$2&amp;"*"))</f>
        <v>0</v>
      </c>
      <c r="T306" s="150">
        <f>+$W$5-Tabla2[[#This Row],[FECHA DE FACTURACIÓN]]</f>
        <v>129</v>
      </c>
      <c r="U306" t="str">
        <f>+IF(Tabla2[[#This Row],[dias de credito]]&gt;=Tabla2[[#This Row],[PLAZO Días]],"venc", "No venc")</f>
        <v>venc</v>
      </c>
      <c r="V306" t="str">
        <f>+IF(Tabla2[[#This Row],[FECHA DE PAGO]]&gt;0,"pagada","por pagar")</f>
        <v>pagada</v>
      </c>
      <c r="W306" s="152" t="str">
        <f>+IF(AND(Tabla2[[#This Row],[venc]]="venc",Tabla2[[#This Row],[Columna1]]="por pagar"),"vencida","no")</f>
        <v>no</v>
      </c>
    </row>
    <row r="307" spans="1:23" x14ac:dyDescent="0.3">
      <c r="A307">
        <v>30</v>
      </c>
      <c r="B307">
        <v>19675613.1195</v>
      </c>
      <c r="D307" t="s">
        <v>256</v>
      </c>
      <c r="E307" s="156">
        <v>44749</v>
      </c>
      <c r="F307" t="s">
        <v>18</v>
      </c>
      <c r="G307" s="156">
        <v>44701</v>
      </c>
      <c r="H307">
        <v>1053888</v>
      </c>
      <c r="I307">
        <v>1029010</v>
      </c>
      <c r="K307">
        <v>195511.9</v>
      </c>
      <c r="M307">
        <v>0</v>
      </c>
      <c r="N307">
        <v>2.5000000000000001E-2</v>
      </c>
      <c r="O307">
        <v>25725.25</v>
      </c>
      <c r="P307" s="117">
        <v>1198796.6499999999</v>
      </c>
      <c r="Q307" s="117" t="s">
        <v>1021</v>
      </c>
      <c r="R307" s="150">
        <v>0</v>
      </c>
      <c r="S307" s="117" t="b">
        <f>OR(COUNTIF(Tabla2[[#This Row],[PROVEEDOR]],"*"&amp;'Palabra no opera'!$A$2&amp;"*"))</f>
        <v>0</v>
      </c>
      <c r="T307" s="150">
        <f>+$W$5-Tabla2[[#This Row],[FECHA DE FACTURACIÓN]]</f>
        <v>133</v>
      </c>
      <c r="U307" t="str">
        <f>+IF(Tabla2[[#This Row],[dias de credito]]&gt;=Tabla2[[#This Row],[PLAZO Días]],"venc", "No venc")</f>
        <v>venc</v>
      </c>
      <c r="V307" t="str">
        <f>+IF(Tabla2[[#This Row],[FECHA DE PAGO]]&gt;0,"pagada","por pagar")</f>
        <v>pagada</v>
      </c>
      <c r="W307" s="152" t="str">
        <f>+IF(AND(Tabla2[[#This Row],[venc]]="venc",Tabla2[[#This Row],[Columna1]]="por pagar"),"vencida","no")</f>
        <v>no</v>
      </c>
    </row>
    <row r="308" spans="1:23" x14ac:dyDescent="0.3">
      <c r="A308">
        <v>30</v>
      </c>
      <c r="B308">
        <v>19675613.1195</v>
      </c>
      <c r="D308" t="s">
        <v>256</v>
      </c>
      <c r="E308" s="156">
        <v>44749</v>
      </c>
      <c r="F308" t="s">
        <v>18</v>
      </c>
      <c r="G308" s="156">
        <v>44701</v>
      </c>
      <c r="H308">
        <v>1053889</v>
      </c>
      <c r="I308">
        <v>617136.72</v>
      </c>
      <c r="K308">
        <v>117255.97679999999</v>
      </c>
      <c r="M308">
        <v>0</v>
      </c>
      <c r="N308">
        <v>0</v>
      </c>
      <c r="O308">
        <v>0</v>
      </c>
      <c r="P308" s="117">
        <v>734392.69679999992</v>
      </c>
      <c r="Q308" s="117" t="s">
        <v>1021</v>
      </c>
      <c r="R308" s="150">
        <v>0</v>
      </c>
      <c r="S308" s="117" t="b">
        <f>OR(COUNTIF(Tabla2[[#This Row],[PROVEEDOR]],"*"&amp;'Palabra no opera'!$A$2&amp;"*"))</f>
        <v>0</v>
      </c>
      <c r="T308" s="150">
        <f>+$W$5-Tabla2[[#This Row],[FECHA DE FACTURACIÓN]]</f>
        <v>133</v>
      </c>
      <c r="U308" t="str">
        <f>+IF(Tabla2[[#This Row],[dias de credito]]&gt;=Tabla2[[#This Row],[PLAZO Días]],"venc", "No venc")</f>
        <v>venc</v>
      </c>
      <c r="V308" t="str">
        <f>+IF(Tabla2[[#This Row],[FECHA DE PAGO]]&gt;0,"pagada","por pagar")</f>
        <v>pagada</v>
      </c>
      <c r="W308" s="152" t="str">
        <f>+IF(AND(Tabla2[[#This Row],[venc]]="venc",Tabla2[[#This Row],[Columna1]]="por pagar"),"vencida","no")</f>
        <v>no</v>
      </c>
    </row>
    <row r="309" spans="1:23" x14ac:dyDescent="0.3">
      <c r="A309">
        <v>60</v>
      </c>
      <c r="B309">
        <v>8889300</v>
      </c>
      <c r="D309">
        <v>0</v>
      </c>
      <c r="E309" s="156">
        <v>44749</v>
      </c>
      <c r="F309" t="s">
        <v>1429</v>
      </c>
      <c r="G309" s="156">
        <v>44687</v>
      </c>
      <c r="H309" t="s">
        <v>962</v>
      </c>
      <c r="I309">
        <v>4374000</v>
      </c>
      <c r="K309">
        <v>831060</v>
      </c>
      <c r="M309">
        <v>0</v>
      </c>
      <c r="N309">
        <v>0</v>
      </c>
      <c r="O309">
        <v>0</v>
      </c>
      <c r="P309" s="117">
        <v>5205060</v>
      </c>
      <c r="Q309" s="117" t="s">
        <v>1021</v>
      </c>
      <c r="R309" s="150">
        <v>0</v>
      </c>
      <c r="S309" s="117" t="b">
        <f>OR(COUNTIF(Tabla2[[#This Row],[PROVEEDOR]],"*"&amp;'Palabra no opera'!$A$2&amp;"*"))</f>
        <v>1</v>
      </c>
      <c r="T309" s="150">
        <f>+$W$5-Tabla2[[#This Row],[FECHA DE FACTURACIÓN]]</f>
        <v>147</v>
      </c>
      <c r="U309" t="str">
        <f>+IF(Tabla2[[#This Row],[dias de credito]]&gt;=Tabla2[[#This Row],[PLAZO Días]],"venc", "No venc")</f>
        <v>venc</v>
      </c>
      <c r="V309" t="str">
        <f>+IF(Tabla2[[#This Row],[FECHA DE PAGO]]&gt;0,"pagada","por pagar")</f>
        <v>pagada</v>
      </c>
      <c r="W309" s="152" t="str">
        <f>+IF(AND(Tabla2[[#This Row],[venc]]="venc",Tabla2[[#This Row],[Columna1]]="por pagar"),"vencida","no")</f>
        <v>no</v>
      </c>
    </row>
    <row r="310" spans="1:23" x14ac:dyDescent="0.3">
      <c r="A310">
        <v>60</v>
      </c>
      <c r="B310">
        <v>8889300</v>
      </c>
      <c r="D310">
        <v>0</v>
      </c>
      <c r="E310" s="156">
        <v>44749</v>
      </c>
      <c r="F310" t="s">
        <v>1429</v>
      </c>
      <c r="G310" s="156">
        <v>44676</v>
      </c>
      <c r="H310" t="s">
        <v>902</v>
      </c>
      <c r="I310">
        <v>4374000</v>
      </c>
      <c r="K310">
        <v>831060</v>
      </c>
      <c r="M310">
        <v>0</v>
      </c>
      <c r="N310">
        <v>0</v>
      </c>
      <c r="O310">
        <v>0</v>
      </c>
      <c r="P310" s="117">
        <v>5205060</v>
      </c>
      <c r="Q310" s="117" t="s">
        <v>1021</v>
      </c>
      <c r="R310" s="150">
        <v>0</v>
      </c>
      <c r="S310" s="117" t="b">
        <f>OR(COUNTIF(Tabla2[[#This Row],[PROVEEDOR]],"*"&amp;'Palabra no opera'!$A$2&amp;"*"))</f>
        <v>1</v>
      </c>
      <c r="T310" s="150">
        <f>+$W$5-Tabla2[[#This Row],[FECHA DE FACTURACIÓN]]</f>
        <v>158</v>
      </c>
      <c r="U310" t="str">
        <f>+IF(Tabla2[[#This Row],[dias de credito]]&gt;=Tabla2[[#This Row],[PLAZO Días]],"venc", "No venc")</f>
        <v>venc</v>
      </c>
      <c r="V310" t="str">
        <f>+IF(Tabla2[[#This Row],[FECHA DE PAGO]]&gt;0,"pagada","por pagar")</f>
        <v>pagada</v>
      </c>
      <c r="W310" s="152" t="str">
        <f>+IF(AND(Tabla2[[#This Row],[venc]]="venc",Tabla2[[#This Row],[Columna1]]="por pagar"),"vencida","no")</f>
        <v>no</v>
      </c>
    </row>
    <row r="311" spans="1:23" x14ac:dyDescent="0.3">
      <c r="A311">
        <v>30</v>
      </c>
      <c r="B311">
        <v>0</v>
      </c>
      <c r="D311" t="s">
        <v>622</v>
      </c>
      <c r="E311" s="156">
        <v>44748</v>
      </c>
      <c r="F311" t="s">
        <v>623</v>
      </c>
      <c r="G311" s="156">
        <v>44677</v>
      </c>
      <c r="H311" t="s">
        <v>1590</v>
      </c>
      <c r="I311">
        <v>1039000</v>
      </c>
      <c r="K311">
        <v>0</v>
      </c>
      <c r="M311">
        <v>0</v>
      </c>
      <c r="N311">
        <v>0</v>
      </c>
      <c r="O311">
        <v>0</v>
      </c>
      <c r="P311" s="117">
        <v>1039000</v>
      </c>
      <c r="Q311" s="117" t="s">
        <v>1021</v>
      </c>
      <c r="R311" s="150">
        <v>0</v>
      </c>
      <c r="S311" s="117" t="b">
        <f>OR(COUNTIF(Tabla2[[#This Row],[PROVEEDOR]],"*"&amp;'Palabra no opera'!$A$2&amp;"*"))</f>
        <v>0</v>
      </c>
      <c r="T311" s="150">
        <f>+$W$5-Tabla2[[#This Row],[FECHA DE FACTURACIÓN]]</f>
        <v>157</v>
      </c>
      <c r="U311" t="str">
        <f>+IF(Tabla2[[#This Row],[dias de credito]]&gt;=Tabla2[[#This Row],[PLAZO Días]],"venc", "No venc")</f>
        <v>venc</v>
      </c>
      <c r="V311" t="str">
        <f>+IF(Tabla2[[#This Row],[FECHA DE PAGO]]&gt;0,"pagada","por pagar")</f>
        <v>pagada</v>
      </c>
      <c r="W311" s="152" t="str">
        <f>+IF(AND(Tabla2[[#This Row],[venc]]="venc",Tabla2[[#This Row],[Columna1]]="por pagar"),"vencida","no")</f>
        <v>no</v>
      </c>
    </row>
    <row r="312" spans="1:23" x14ac:dyDescent="0.3">
      <c r="A312">
        <v>0</v>
      </c>
      <c r="B312">
        <v>0</v>
      </c>
      <c r="D312">
        <v>0</v>
      </c>
      <c r="E312" s="156">
        <v>44747</v>
      </c>
      <c r="F312" t="s">
        <v>1050</v>
      </c>
      <c r="G312" s="156">
        <v>44743</v>
      </c>
      <c r="H312" t="s">
        <v>1385</v>
      </c>
      <c r="I312">
        <v>3000000</v>
      </c>
      <c r="K312">
        <v>0</v>
      </c>
      <c r="M312">
        <v>0</v>
      </c>
      <c r="N312">
        <v>0</v>
      </c>
      <c r="O312">
        <v>0</v>
      </c>
      <c r="P312" s="117">
        <v>3000000</v>
      </c>
      <c r="Q312" s="117" t="s">
        <v>1021</v>
      </c>
      <c r="R312" s="150">
        <v>0</v>
      </c>
      <c r="S312" s="117" t="b">
        <f>OR(COUNTIF(Tabla2[[#This Row],[PROVEEDOR]],"*"&amp;'Palabra no opera'!$A$2&amp;"*"))</f>
        <v>1</v>
      </c>
      <c r="T312" s="150">
        <f>+$W$5-Tabla2[[#This Row],[FECHA DE FACTURACIÓN]]</f>
        <v>91</v>
      </c>
      <c r="U312" t="str">
        <f>+IF(Tabla2[[#This Row],[dias de credito]]&gt;=Tabla2[[#This Row],[PLAZO Días]],"venc", "No venc")</f>
        <v>venc</v>
      </c>
      <c r="V312" t="str">
        <f>+IF(Tabla2[[#This Row],[FECHA DE PAGO]]&gt;0,"pagada","por pagar")</f>
        <v>pagada</v>
      </c>
      <c r="W312" s="152" t="str">
        <f>+IF(AND(Tabla2[[#This Row],[venc]]="venc",Tabla2[[#This Row],[Columna1]]="por pagar"),"vencida","no")</f>
        <v>no</v>
      </c>
    </row>
    <row r="313" spans="1:23" x14ac:dyDescent="0.3">
      <c r="A313">
        <v>0</v>
      </c>
      <c r="B313">
        <v>0</v>
      </c>
      <c r="D313">
        <v>0</v>
      </c>
      <c r="E313" s="156">
        <v>44747</v>
      </c>
      <c r="F313" t="s">
        <v>1050</v>
      </c>
      <c r="G313" s="156">
        <v>44743</v>
      </c>
      <c r="H313" t="s">
        <v>1385</v>
      </c>
      <c r="I313">
        <v>552100</v>
      </c>
      <c r="K313">
        <v>0</v>
      </c>
      <c r="M313">
        <v>0</v>
      </c>
      <c r="N313">
        <v>0</v>
      </c>
      <c r="O313">
        <v>0</v>
      </c>
      <c r="P313" s="117">
        <v>552100</v>
      </c>
      <c r="Q313" s="117" t="s">
        <v>1021</v>
      </c>
      <c r="R313" s="150">
        <v>0</v>
      </c>
      <c r="S313" s="117" t="b">
        <f>OR(COUNTIF(Tabla2[[#This Row],[PROVEEDOR]],"*"&amp;'Palabra no opera'!$A$2&amp;"*"))</f>
        <v>1</v>
      </c>
      <c r="T313" s="150">
        <f>+$W$5-Tabla2[[#This Row],[FECHA DE FACTURACIÓN]]</f>
        <v>91</v>
      </c>
      <c r="U313" t="str">
        <f>+IF(Tabla2[[#This Row],[dias de credito]]&gt;=Tabla2[[#This Row],[PLAZO Días]],"venc", "No venc")</f>
        <v>venc</v>
      </c>
      <c r="V313" t="str">
        <f>+IF(Tabla2[[#This Row],[FECHA DE PAGO]]&gt;0,"pagada","por pagar")</f>
        <v>pagada</v>
      </c>
      <c r="W313" s="152" t="str">
        <f>+IF(AND(Tabla2[[#This Row],[venc]]="venc",Tabla2[[#This Row],[Columna1]]="por pagar"),"vencida","no")</f>
        <v>no</v>
      </c>
    </row>
    <row r="314" spans="1:23" x14ac:dyDescent="0.3">
      <c r="A314">
        <v>0</v>
      </c>
      <c r="B314">
        <v>0</v>
      </c>
      <c r="D314">
        <v>0</v>
      </c>
      <c r="E314" s="156">
        <v>44747</v>
      </c>
      <c r="F314" t="s">
        <v>1050</v>
      </c>
      <c r="G314" s="156">
        <v>44743</v>
      </c>
      <c r="H314" t="s">
        <v>1385</v>
      </c>
      <c r="I314">
        <v>3000000</v>
      </c>
      <c r="K314">
        <v>0</v>
      </c>
      <c r="M314">
        <v>0</v>
      </c>
      <c r="N314">
        <v>0</v>
      </c>
      <c r="O314">
        <v>0</v>
      </c>
      <c r="P314" s="117">
        <v>3000000</v>
      </c>
      <c r="Q314" s="117" t="s">
        <v>1021</v>
      </c>
      <c r="R314" s="150">
        <v>0</v>
      </c>
      <c r="S314" s="117" t="b">
        <f>OR(COUNTIF(Tabla2[[#This Row],[PROVEEDOR]],"*"&amp;'Palabra no opera'!$A$2&amp;"*"))</f>
        <v>1</v>
      </c>
      <c r="T314" s="150">
        <f>+$W$5-Tabla2[[#This Row],[FECHA DE FACTURACIÓN]]</f>
        <v>91</v>
      </c>
      <c r="U314" t="str">
        <f>+IF(Tabla2[[#This Row],[dias de credito]]&gt;=Tabla2[[#This Row],[PLAZO Días]],"venc", "No venc")</f>
        <v>venc</v>
      </c>
      <c r="V314" t="str">
        <f>+IF(Tabla2[[#This Row],[FECHA DE PAGO]]&gt;0,"pagada","por pagar")</f>
        <v>pagada</v>
      </c>
      <c r="W314" s="152" t="str">
        <f>+IF(AND(Tabla2[[#This Row],[venc]]="venc",Tabla2[[#This Row],[Columna1]]="por pagar"),"vencida","no")</f>
        <v>no</v>
      </c>
    </row>
    <row r="315" spans="1:23" x14ac:dyDescent="0.3">
      <c r="A315">
        <v>0</v>
      </c>
      <c r="B315">
        <v>0</v>
      </c>
      <c r="D315">
        <v>0</v>
      </c>
      <c r="E315" s="156">
        <v>44747</v>
      </c>
      <c r="F315" t="s">
        <v>1050</v>
      </c>
      <c r="G315" s="156">
        <v>44743</v>
      </c>
      <c r="H315" t="s">
        <v>1385</v>
      </c>
      <c r="I315">
        <v>2182000</v>
      </c>
      <c r="K315">
        <v>0</v>
      </c>
      <c r="M315">
        <v>0</v>
      </c>
      <c r="N315">
        <v>0</v>
      </c>
      <c r="O315">
        <v>0</v>
      </c>
      <c r="P315" s="117">
        <v>2182000</v>
      </c>
      <c r="Q315" s="117" t="s">
        <v>1021</v>
      </c>
      <c r="R315" s="150">
        <v>0</v>
      </c>
      <c r="S315" s="117" t="b">
        <f>OR(COUNTIF(Tabla2[[#This Row],[PROVEEDOR]],"*"&amp;'Palabra no opera'!$A$2&amp;"*"))</f>
        <v>1</v>
      </c>
      <c r="T315" s="150">
        <f>+$W$5-Tabla2[[#This Row],[FECHA DE FACTURACIÓN]]</f>
        <v>91</v>
      </c>
      <c r="U315" t="str">
        <f>+IF(Tabla2[[#This Row],[dias de credito]]&gt;=Tabla2[[#This Row],[PLAZO Días]],"venc", "No venc")</f>
        <v>venc</v>
      </c>
      <c r="V315" t="str">
        <f>+IF(Tabla2[[#This Row],[FECHA DE PAGO]]&gt;0,"pagada","por pagar")</f>
        <v>pagada</v>
      </c>
      <c r="W315" s="152" t="str">
        <f>+IF(AND(Tabla2[[#This Row],[venc]]="venc",Tabla2[[#This Row],[Columna1]]="por pagar"),"vencida","no")</f>
        <v>no</v>
      </c>
    </row>
    <row r="316" spans="1:23" x14ac:dyDescent="0.3">
      <c r="A316">
        <v>30</v>
      </c>
      <c r="B316">
        <v>9756105</v>
      </c>
      <c r="D316" t="s">
        <v>476</v>
      </c>
      <c r="E316" s="156">
        <v>44747</v>
      </c>
      <c r="F316" t="s">
        <v>670</v>
      </c>
      <c r="G316" s="156">
        <v>44713</v>
      </c>
      <c r="H316" t="s">
        <v>1028</v>
      </c>
      <c r="I316">
        <v>1476500</v>
      </c>
      <c r="K316">
        <v>0</v>
      </c>
      <c r="M316">
        <v>0</v>
      </c>
      <c r="N316">
        <v>0</v>
      </c>
      <c r="O316">
        <v>0</v>
      </c>
      <c r="P316" s="117">
        <v>1476500</v>
      </c>
      <c r="Q316" s="117" t="s">
        <v>1021</v>
      </c>
      <c r="R316" s="150">
        <v>0</v>
      </c>
      <c r="S316" s="117" t="b">
        <f>OR(COUNTIF(Tabla2[[#This Row],[PROVEEDOR]],"*"&amp;'Palabra no opera'!$A$2&amp;"*"))</f>
        <v>0</v>
      </c>
      <c r="T316" s="150">
        <f>+$W$5-Tabla2[[#This Row],[FECHA DE FACTURACIÓN]]</f>
        <v>121</v>
      </c>
      <c r="U316" t="str">
        <f>+IF(Tabla2[[#This Row],[dias de credito]]&gt;=Tabla2[[#This Row],[PLAZO Días]],"venc", "No venc")</f>
        <v>venc</v>
      </c>
      <c r="V316" t="str">
        <f>+IF(Tabla2[[#This Row],[FECHA DE PAGO]]&gt;0,"pagada","por pagar")</f>
        <v>pagada</v>
      </c>
      <c r="W316" s="152" t="str">
        <f>+IF(AND(Tabla2[[#This Row],[venc]]="venc",Tabla2[[#This Row],[Columna1]]="por pagar"),"vencida","no")</f>
        <v>no</v>
      </c>
    </row>
    <row r="317" spans="1:23" x14ac:dyDescent="0.3">
      <c r="A317">
        <v>30</v>
      </c>
      <c r="B317">
        <v>0</v>
      </c>
      <c r="D317" t="s">
        <v>139</v>
      </c>
      <c r="E317" s="156">
        <v>44744</v>
      </c>
      <c r="F317" t="s">
        <v>661</v>
      </c>
      <c r="G317" s="156">
        <v>44744</v>
      </c>
      <c r="H317" t="s">
        <v>1097</v>
      </c>
      <c r="I317">
        <v>720000</v>
      </c>
      <c r="K317">
        <v>0</v>
      </c>
      <c r="M317">
        <v>0</v>
      </c>
      <c r="N317">
        <v>0</v>
      </c>
      <c r="O317">
        <v>0</v>
      </c>
      <c r="P317" s="117">
        <v>720000</v>
      </c>
      <c r="Q317" s="117" t="s">
        <v>1021</v>
      </c>
      <c r="R317" s="150">
        <v>0</v>
      </c>
      <c r="S317" s="117" t="b">
        <f>OR(COUNTIF(Tabla2[[#This Row],[PROVEEDOR]],"*"&amp;'Palabra no opera'!$A$2&amp;"*"))</f>
        <v>0</v>
      </c>
      <c r="T317" s="150">
        <f>+$W$5-Tabla2[[#This Row],[FECHA DE FACTURACIÓN]]</f>
        <v>90</v>
      </c>
      <c r="U317" t="str">
        <f>+IF(Tabla2[[#This Row],[dias de credito]]&gt;=Tabla2[[#This Row],[PLAZO Días]],"venc", "No venc")</f>
        <v>venc</v>
      </c>
      <c r="V317" t="str">
        <f>+IF(Tabla2[[#This Row],[FECHA DE PAGO]]&gt;0,"pagada","por pagar")</f>
        <v>pagada</v>
      </c>
      <c r="W317" s="152" t="str">
        <f>+IF(AND(Tabla2[[#This Row],[venc]]="venc",Tabla2[[#This Row],[Columna1]]="por pagar"),"vencida","no")</f>
        <v>no</v>
      </c>
    </row>
    <row r="318" spans="1:23" x14ac:dyDescent="0.3">
      <c r="A318">
        <v>30</v>
      </c>
      <c r="B318">
        <v>0</v>
      </c>
      <c r="D318" t="s">
        <v>139</v>
      </c>
      <c r="E318" s="156">
        <v>44743</v>
      </c>
      <c r="F318" t="s">
        <v>673</v>
      </c>
      <c r="G318" s="156">
        <v>44743</v>
      </c>
      <c r="I318">
        <v>1000000</v>
      </c>
      <c r="K318">
        <v>0</v>
      </c>
      <c r="M318">
        <v>0</v>
      </c>
      <c r="N318">
        <v>0</v>
      </c>
      <c r="O318">
        <v>0</v>
      </c>
      <c r="P318" s="117">
        <v>1000000</v>
      </c>
      <c r="Q318" s="117" t="s">
        <v>1021</v>
      </c>
      <c r="R318" s="150">
        <v>0</v>
      </c>
      <c r="S318" s="117" t="b">
        <f>OR(COUNTIF(Tabla2[[#This Row],[PROVEEDOR]],"*"&amp;'Palabra no opera'!$A$2&amp;"*"))</f>
        <v>0</v>
      </c>
      <c r="T318" s="150">
        <f>+$W$5-Tabla2[[#This Row],[FECHA DE FACTURACIÓN]]</f>
        <v>91</v>
      </c>
      <c r="U318" t="str">
        <f>+IF(Tabla2[[#This Row],[dias de credito]]&gt;=Tabla2[[#This Row],[PLAZO Días]],"venc", "No venc")</f>
        <v>venc</v>
      </c>
      <c r="V318" t="str">
        <f>+IF(Tabla2[[#This Row],[FECHA DE PAGO]]&gt;0,"pagada","por pagar")</f>
        <v>pagada</v>
      </c>
      <c r="W318" s="152" t="str">
        <f>+IF(AND(Tabla2[[#This Row],[venc]]="venc",Tabla2[[#This Row],[Columna1]]="por pagar"),"vencida","no")</f>
        <v>no</v>
      </c>
    </row>
    <row r="319" spans="1:23" x14ac:dyDescent="0.3">
      <c r="A319">
        <v>30</v>
      </c>
      <c r="B319">
        <v>450000</v>
      </c>
      <c r="D319" t="s">
        <v>291</v>
      </c>
      <c r="E319" s="156">
        <v>44743</v>
      </c>
      <c r="F319" t="s">
        <v>685</v>
      </c>
      <c r="G319" s="156">
        <v>44707</v>
      </c>
      <c r="H319" t="s">
        <v>1605</v>
      </c>
      <c r="I319">
        <v>270000</v>
      </c>
      <c r="K319">
        <v>0</v>
      </c>
      <c r="M319">
        <v>0</v>
      </c>
      <c r="N319">
        <v>0</v>
      </c>
      <c r="O319">
        <v>0</v>
      </c>
      <c r="P319" s="117">
        <v>270000</v>
      </c>
      <c r="Q319" s="117" t="s">
        <v>1021</v>
      </c>
      <c r="R319" s="150">
        <v>0</v>
      </c>
      <c r="S319" s="117" t="b">
        <f>OR(COUNTIF(Tabla2[[#This Row],[PROVEEDOR]],"*"&amp;'Palabra no opera'!$A$2&amp;"*"))</f>
        <v>0</v>
      </c>
      <c r="T319" s="150">
        <f>+$W$5-Tabla2[[#This Row],[FECHA DE FACTURACIÓN]]</f>
        <v>127</v>
      </c>
      <c r="U319" t="str">
        <f>+IF(Tabla2[[#This Row],[dias de credito]]&gt;=Tabla2[[#This Row],[PLAZO Días]],"venc", "No venc")</f>
        <v>venc</v>
      </c>
      <c r="V319" t="str">
        <f>+IF(Tabla2[[#This Row],[FECHA DE PAGO]]&gt;0,"pagada","por pagar")</f>
        <v>pagada</v>
      </c>
      <c r="W319" s="152" t="str">
        <f>+IF(AND(Tabla2[[#This Row],[venc]]="venc",Tabla2[[#This Row],[Columna1]]="por pagar"),"vencida","no")</f>
        <v>no</v>
      </c>
    </row>
    <row r="320" spans="1:23" x14ac:dyDescent="0.3">
      <c r="A320">
        <v>30</v>
      </c>
      <c r="B320">
        <v>450000</v>
      </c>
      <c r="D320" t="s">
        <v>291</v>
      </c>
      <c r="E320" s="156">
        <v>44743</v>
      </c>
      <c r="F320" t="s">
        <v>685</v>
      </c>
      <c r="G320" s="156">
        <v>44694</v>
      </c>
      <c r="H320" t="s">
        <v>1597</v>
      </c>
      <c r="I320">
        <v>862000</v>
      </c>
      <c r="K320">
        <v>0</v>
      </c>
      <c r="M320">
        <v>0</v>
      </c>
      <c r="N320">
        <v>0</v>
      </c>
      <c r="O320">
        <v>0</v>
      </c>
      <c r="P320" s="117">
        <v>862000</v>
      </c>
      <c r="Q320" s="117" t="s">
        <v>1021</v>
      </c>
      <c r="R320" s="150">
        <v>0</v>
      </c>
      <c r="S320" s="117" t="b">
        <f>OR(COUNTIF(Tabla2[[#This Row],[PROVEEDOR]],"*"&amp;'Palabra no opera'!$A$2&amp;"*"))</f>
        <v>0</v>
      </c>
      <c r="T320" s="150">
        <f>+$W$5-Tabla2[[#This Row],[FECHA DE FACTURACIÓN]]</f>
        <v>140</v>
      </c>
      <c r="U320" t="str">
        <f>+IF(Tabla2[[#This Row],[dias de credito]]&gt;=Tabla2[[#This Row],[PLAZO Días]],"venc", "No venc")</f>
        <v>venc</v>
      </c>
      <c r="V320" t="str">
        <f>+IF(Tabla2[[#This Row],[FECHA DE PAGO]]&gt;0,"pagada","por pagar")</f>
        <v>pagada</v>
      </c>
      <c r="W320" s="152" t="str">
        <f>+IF(AND(Tabla2[[#This Row],[venc]]="venc",Tabla2[[#This Row],[Columna1]]="por pagar"),"vencida","no")</f>
        <v>no</v>
      </c>
    </row>
    <row r="321" spans="1:23" x14ac:dyDescent="0.3">
      <c r="A321">
        <v>30</v>
      </c>
      <c r="B321">
        <v>0</v>
      </c>
      <c r="D321" t="s">
        <v>139</v>
      </c>
      <c r="E321" s="156">
        <v>44742</v>
      </c>
      <c r="F321" t="s">
        <v>644</v>
      </c>
      <c r="G321" s="156">
        <v>44742</v>
      </c>
      <c r="H321" t="s">
        <v>945</v>
      </c>
      <c r="I321">
        <v>40460</v>
      </c>
      <c r="K321">
        <v>0</v>
      </c>
      <c r="M321">
        <v>0</v>
      </c>
      <c r="N321">
        <v>0</v>
      </c>
      <c r="O321">
        <v>0</v>
      </c>
      <c r="P321" s="117">
        <v>40460</v>
      </c>
      <c r="Q321" s="117" t="s">
        <v>1021</v>
      </c>
      <c r="R321" s="150">
        <v>0</v>
      </c>
      <c r="S321" s="117" t="b">
        <f>OR(COUNTIF(Tabla2[[#This Row],[PROVEEDOR]],"*"&amp;'Palabra no opera'!$A$2&amp;"*"))</f>
        <v>0</v>
      </c>
      <c r="T321" s="150">
        <f>+$W$5-Tabla2[[#This Row],[FECHA DE FACTURACIÓN]]</f>
        <v>92</v>
      </c>
      <c r="U321" t="str">
        <f>+IF(Tabla2[[#This Row],[dias de credito]]&gt;=Tabla2[[#This Row],[PLAZO Días]],"venc", "No venc")</f>
        <v>venc</v>
      </c>
      <c r="V321" t="str">
        <f>+IF(Tabla2[[#This Row],[FECHA DE PAGO]]&gt;0,"pagada","por pagar")</f>
        <v>pagada</v>
      </c>
      <c r="W321" s="152" t="str">
        <f>+IF(AND(Tabla2[[#This Row],[venc]]="venc",Tabla2[[#This Row],[Columna1]]="por pagar"),"vencida","no")</f>
        <v>no</v>
      </c>
    </row>
    <row r="322" spans="1:23" x14ac:dyDescent="0.3">
      <c r="A322">
        <v>30</v>
      </c>
      <c r="B322">
        <v>0</v>
      </c>
      <c r="D322" t="s">
        <v>139</v>
      </c>
      <c r="E322" s="156">
        <v>44742</v>
      </c>
      <c r="F322" t="s">
        <v>644</v>
      </c>
      <c r="G322" s="156">
        <v>44742</v>
      </c>
      <c r="H322" t="s">
        <v>598</v>
      </c>
      <c r="I322">
        <v>159000</v>
      </c>
      <c r="K322">
        <v>0</v>
      </c>
      <c r="M322">
        <v>0</v>
      </c>
      <c r="N322">
        <v>0</v>
      </c>
      <c r="O322">
        <v>0</v>
      </c>
      <c r="P322" s="117">
        <v>159000</v>
      </c>
      <c r="Q322" s="117" t="s">
        <v>1021</v>
      </c>
      <c r="R322" s="150">
        <v>0</v>
      </c>
      <c r="S322" s="117" t="b">
        <f>OR(COUNTIF(Tabla2[[#This Row],[PROVEEDOR]],"*"&amp;'Palabra no opera'!$A$2&amp;"*"))</f>
        <v>0</v>
      </c>
      <c r="T322" s="150">
        <f>+$W$5-Tabla2[[#This Row],[FECHA DE FACTURACIÓN]]</f>
        <v>92</v>
      </c>
      <c r="U322" t="str">
        <f>+IF(Tabla2[[#This Row],[dias de credito]]&gt;=Tabla2[[#This Row],[PLAZO Días]],"venc", "No venc")</f>
        <v>venc</v>
      </c>
      <c r="V322" t="str">
        <f>+IF(Tabla2[[#This Row],[FECHA DE PAGO]]&gt;0,"pagada","por pagar")</f>
        <v>pagada</v>
      </c>
      <c r="W322" s="152" t="str">
        <f>+IF(AND(Tabla2[[#This Row],[venc]]="venc",Tabla2[[#This Row],[Columna1]]="por pagar"),"vencida","no")</f>
        <v>no</v>
      </c>
    </row>
    <row r="323" spans="1:23" x14ac:dyDescent="0.3">
      <c r="A323">
        <v>30</v>
      </c>
      <c r="B323">
        <v>0</v>
      </c>
      <c r="D323" t="s">
        <v>139</v>
      </c>
      <c r="E323" s="156">
        <v>44742</v>
      </c>
      <c r="F323" t="s">
        <v>644</v>
      </c>
      <c r="G323" s="156">
        <v>44742</v>
      </c>
      <c r="H323" t="s">
        <v>596</v>
      </c>
      <c r="I323">
        <v>65000</v>
      </c>
      <c r="K323">
        <v>0</v>
      </c>
      <c r="M323">
        <v>0</v>
      </c>
      <c r="N323">
        <v>0</v>
      </c>
      <c r="O323">
        <v>0</v>
      </c>
      <c r="P323" s="117">
        <v>65000</v>
      </c>
      <c r="Q323" s="117" t="s">
        <v>1021</v>
      </c>
      <c r="R323" s="150">
        <v>0</v>
      </c>
      <c r="S323" s="117" t="b">
        <f>OR(COUNTIF(Tabla2[[#This Row],[PROVEEDOR]],"*"&amp;'Palabra no opera'!$A$2&amp;"*"))</f>
        <v>0</v>
      </c>
      <c r="T323" s="150">
        <f>+$W$5-Tabla2[[#This Row],[FECHA DE FACTURACIÓN]]</f>
        <v>92</v>
      </c>
      <c r="U323" t="str">
        <f>+IF(Tabla2[[#This Row],[dias de credito]]&gt;=Tabla2[[#This Row],[PLAZO Días]],"venc", "No venc")</f>
        <v>venc</v>
      </c>
      <c r="V323" t="str">
        <f>+IF(Tabla2[[#This Row],[FECHA DE PAGO]]&gt;0,"pagada","por pagar")</f>
        <v>pagada</v>
      </c>
      <c r="W323" s="152" t="str">
        <f>+IF(AND(Tabla2[[#This Row],[venc]]="venc",Tabla2[[#This Row],[Columna1]]="por pagar"),"vencida","no")</f>
        <v>no</v>
      </c>
    </row>
    <row r="324" spans="1:23" x14ac:dyDescent="0.3">
      <c r="A324">
        <v>30</v>
      </c>
      <c r="B324">
        <v>0</v>
      </c>
      <c r="D324" t="s">
        <v>139</v>
      </c>
      <c r="E324" s="156">
        <v>44742</v>
      </c>
      <c r="F324" t="s">
        <v>644</v>
      </c>
      <c r="G324" s="156">
        <v>44742</v>
      </c>
      <c r="H324" t="s">
        <v>595</v>
      </c>
      <c r="I324">
        <v>1859600</v>
      </c>
      <c r="K324">
        <v>0</v>
      </c>
      <c r="M324">
        <v>0</v>
      </c>
      <c r="N324">
        <v>0</v>
      </c>
      <c r="O324">
        <v>0</v>
      </c>
      <c r="P324" s="117">
        <v>1859600</v>
      </c>
      <c r="Q324" s="117" t="s">
        <v>1021</v>
      </c>
      <c r="R324" s="150">
        <v>0</v>
      </c>
      <c r="S324" s="117" t="b">
        <f>OR(COUNTIF(Tabla2[[#This Row],[PROVEEDOR]],"*"&amp;'Palabra no opera'!$A$2&amp;"*"))</f>
        <v>0</v>
      </c>
      <c r="T324" s="150">
        <f>+$W$5-Tabla2[[#This Row],[FECHA DE FACTURACIÓN]]</f>
        <v>92</v>
      </c>
      <c r="U324" t="str">
        <f>+IF(Tabla2[[#This Row],[dias de credito]]&gt;=Tabla2[[#This Row],[PLAZO Días]],"venc", "No venc")</f>
        <v>venc</v>
      </c>
      <c r="V324" t="str">
        <f>+IF(Tabla2[[#This Row],[FECHA DE PAGO]]&gt;0,"pagada","por pagar")</f>
        <v>pagada</v>
      </c>
      <c r="W324" s="152" t="str">
        <f>+IF(AND(Tabla2[[#This Row],[venc]]="venc",Tabla2[[#This Row],[Columna1]]="por pagar"),"vencida","no")</f>
        <v>no</v>
      </c>
    </row>
    <row r="325" spans="1:23" x14ac:dyDescent="0.3">
      <c r="A325">
        <v>30</v>
      </c>
      <c r="B325">
        <v>0</v>
      </c>
      <c r="D325" t="s">
        <v>139</v>
      </c>
      <c r="E325" s="156">
        <v>44742</v>
      </c>
      <c r="F325" t="s">
        <v>644</v>
      </c>
      <c r="G325" s="156">
        <v>44742</v>
      </c>
      <c r="H325" t="s">
        <v>597</v>
      </c>
      <c r="I325">
        <v>670000</v>
      </c>
      <c r="K325">
        <v>0</v>
      </c>
      <c r="M325">
        <v>0</v>
      </c>
      <c r="N325">
        <v>0</v>
      </c>
      <c r="O325">
        <v>0</v>
      </c>
      <c r="P325" s="117">
        <v>670000</v>
      </c>
      <c r="Q325" s="117" t="s">
        <v>1021</v>
      </c>
      <c r="R325" s="150">
        <v>0</v>
      </c>
      <c r="S325" s="117" t="b">
        <f>OR(COUNTIF(Tabla2[[#This Row],[PROVEEDOR]],"*"&amp;'Palabra no opera'!$A$2&amp;"*"))</f>
        <v>0</v>
      </c>
      <c r="T325" s="150">
        <f>+$W$5-Tabla2[[#This Row],[FECHA DE FACTURACIÓN]]</f>
        <v>92</v>
      </c>
      <c r="U325" t="str">
        <f>+IF(Tabla2[[#This Row],[dias de credito]]&gt;=Tabla2[[#This Row],[PLAZO Días]],"venc", "No venc")</f>
        <v>venc</v>
      </c>
      <c r="V325" t="str">
        <f>+IF(Tabla2[[#This Row],[FECHA DE PAGO]]&gt;0,"pagada","por pagar")</f>
        <v>pagada</v>
      </c>
      <c r="W325" s="152" t="str">
        <f>+IF(AND(Tabla2[[#This Row],[venc]]="venc",Tabla2[[#This Row],[Columna1]]="por pagar"),"vencida","no")</f>
        <v>no</v>
      </c>
    </row>
    <row r="326" spans="1:23" x14ac:dyDescent="0.3">
      <c r="A326">
        <v>30</v>
      </c>
      <c r="B326">
        <v>0</v>
      </c>
      <c r="D326" t="s">
        <v>139</v>
      </c>
      <c r="E326" s="156">
        <v>44742</v>
      </c>
      <c r="F326" t="s">
        <v>644</v>
      </c>
      <c r="G326" s="156">
        <v>44742</v>
      </c>
      <c r="H326" t="s">
        <v>174</v>
      </c>
      <c r="I326">
        <v>1283400</v>
      </c>
      <c r="K326">
        <v>0</v>
      </c>
      <c r="M326">
        <v>0</v>
      </c>
      <c r="N326">
        <v>0</v>
      </c>
      <c r="O326">
        <v>0</v>
      </c>
      <c r="P326" s="117">
        <v>1283400</v>
      </c>
      <c r="Q326" s="117" t="s">
        <v>1021</v>
      </c>
      <c r="R326" s="150">
        <v>0</v>
      </c>
      <c r="S326" s="117" t="b">
        <f>OR(COUNTIF(Tabla2[[#This Row],[PROVEEDOR]],"*"&amp;'Palabra no opera'!$A$2&amp;"*"))</f>
        <v>0</v>
      </c>
      <c r="T326" s="150">
        <f>+$W$5-Tabla2[[#This Row],[FECHA DE FACTURACIÓN]]</f>
        <v>92</v>
      </c>
      <c r="U326" t="str">
        <f>+IF(Tabla2[[#This Row],[dias de credito]]&gt;=Tabla2[[#This Row],[PLAZO Días]],"venc", "No venc")</f>
        <v>venc</v>
      </c>
      <c r="V326" t="str">
        <f>+IF(Tabla2[[#This Row],[FECHA DE PAGO]]&gt;0,"pagada","por pagar")</f>
        <v>pagada</v>
      </c>
      <c r="W326" s="152" t="str">
        <f>+IF(AND(Tabla2[[#This Row],[venc]]="venc",Tabla2[[#This Row],[Columna1]]="por pagar"),"vencida","no")</f>
        <v>no</v>
      </c>
    </row>
    <row r="327" spans="1:23" x14ac:dyDescent="0.3">
      <c r="A327">
        <v>30</v>
      </c>
      <c r="B327">
        <v>0</v>
      </c>
      <c r="D327" t="s">
        <v>139</v>
      </c>
      <c r="E327" s="156">
        <v>44742</v>
      </c>
      <c r="F327" t="s">
        <v>638</v>
      </c>
      <c r="G327" s="156">
        <v>44737</v>
      </c>
      <c r="H327" t="s">
        <v>1099</v>
      </c>
      <c r="I327">
        <v>2218000</v>
      </c>
      <c r="K327">
        <v>0</v>
      </c>
      <c r="M327">
        <v>0</v>
      </c>
      <c r="N327">
        <v>0</v>
      </c>
      <c r="O327">
        <v>0</v>
      </c>
      <c r="P327" s="117">
        <v>2218000</v>
      </c>
      <c r="Q327" s="117" t="s">
        <v>1021</v>
      </c>
      <c r="R327" s="150">
        <v>0</v>
      </c>
      <c r="S327" s="117" t="b">
        <f>OR(COUNTIF(Tabla2[[#This Row],[PROVEEDOR]],"*"&amp;'Palabra no opera'!$A$2&amp;"*"))</f>
        <v>0</v>
      </c>
      <c r="T327" s="150">
        <f>+$W$5-Tabla2[[#This Row],[FECHA DE FACTURACIÓN]]</f>
        <v>97</v>
      </c>
      <c r="U327" t="str">
        <f>+IF(Tabla2[[#This Row],[dias de credito]]&gt;=Tabla2[[#This Row],[PLAZO Días]],"venc", "No venc")</f>
        <v>venc</v>
      </c>
      <c r="V327" t="str">
        <f>+IF(Tabla2[[#This Row],[FECHA DE PAGO]]&gt;0,"pagada","por pagar")</f>
        <v>pagada</v>
      </c>
      <c r="W327" s="152" t="str">
        <f>+IF(AND(Tabla2[[#This Row],[venc]]="venc",Tabla2[[#This Row],[Columna1]]="por pagar"),"vencida","no")</f>
        <v>no</v>
      </c>
    </row>
    <row r="328" spans="1:23" x14ac:dyDescent="0.3">
      <c r="A328">
        <v>30</v>
      </c>
      <c r="B328">
        <v>0</v>
      </c>
      <c r="D328" t="s">
        <v>139</v>
      </c>
      <c r="E328" s="156">
        <v>44742</v>
      </c>
      <c r="F328" t="s">
        <v>689</v>
      </c>
      <c r="G328" s="156">
        <v>44717</v>
      </c>
      <c r="H328" t="s">
        <v>1096</v>
      </c>
      <c r="I328">
        <v>3239940</v>
      </c>
      <c r="K328">
        <v>0</v>
      </c>
      <c r="M328">
        <v>0</v>
      </c>
      <c r="N328">
        <v>0</v>
      </c>
      <c r="O328">
        <v>0</v>
      </c>
      <c r="P328" s="117">
        <v>3239940</v>
      </c>
      <c r="Q328" s="117" t="s">
        <v>1021</v>
      </c>
      <c r="R328" s="150">
        <v>0</v>
      </c>
      <c r="S328" s="117" t="b">
        <f>OR(COUNTIF(Tabla2[[#This Row],[PROVEEDOR]],"*"&amp;'Palabra no opera'!$A$2&amp;"*"))</f>
        <v>0</v>
      </c>
      <c r="T328" s="150">
        <f>+$W$5-Tabla2[[#This Row],[FECHA DE FACTURACIÓN]]</f>
        <v>117</v>
      </c>
      <c r="U328" t="str">
        <f>+IF(Tabla2[[#This Row],[dias de credito]]&gt;=Tabla2[[#This Row],[PLAZO Días]],"venc", "No venc")</f>
        <v>venc</v>
      </c>
      <c r="V328" t="str">
        <f>+IF(Tabla2[[#This Row],[FECHA DE PAGO]]&gt;0,"pagada","por pagar")</f>
        <v>pagada</v>
      </c>
      <c r="W328" s="152" t="str">
        <f>+IF(AND(Tabla2[[#This Row],[venc]]="venc",Tabla2[[#This Row],[Columna1]]="por pagar"),"vencida","no")</f>
        <v>no</v>
      </c>
    </row>
    <row r="329" spans="1:23" x14ac:dyDescent="0.3">
      <c r="A329">
        <v>30</v>
      </c>
      <c r="B329">
        <v>1865958.0154999997</v>
      </c>
      <c r="D329" t="s">
        <v>718</v>
      </c>
      <c r="E329" s="156">
        <v>44741</v>
      </c>
      <c r="F329" t="s">
        <v>508</v>
      </c>
      <c r="G329" s="156">
        <v>44733</v>
      </c>
      <c r="H329" t="s">
        <v>1083</v>
      </c>
      <c r="I329">
        <v>-317100</v>
      </c>
      <c r="K329">
        <v>-60249</v>
      </c>
      <c r="M329">
        <v>0</v>
      </c>
      <c r="N329">
        <v>0</v>
      </c>
      <c r="O329">
        <v>0</v>
      </c>
      <c r="P329" s="117">
        <v>-377349</v>
      </c>
      <c r="Q329" s="117" t="s">
        <v>1021</v>
      </c>
      <c r="R329" s="150">
        <v>0</v>
      </c>
      <c r="S329" s="117" t="b">
        <f>OR(COUNTIF(Tabla2[[#This Row],[PROVEEDOR]],"*"&amp;'Palabra no opera'!$A$2&amp;"*"))</f>
        <v>0</v>
      </c>
      <c r="T329" s="150">
        <f>+$W$5-Tabla2[[#This Row],[FECHA DE FACTURACIÓN]]</f>
        <v>101</v>
      </c>
      <c r="U329" t="str">
        <f>+IF(Tabla2[[#This Row],[dias de credito]]&gt;=Tabla2[[#This Row],[PLAZO Días]],"venc", "No venc")</f>
        <v>venc</v>
      </c>
      <c r="V329" t="str">
        <f>+IF(Tabla2[[#This Row],[FECHA DE PAGO]]&gt;0,"pagada","por pagar")</f>
        <v>pagada</v>
      </c>
      <c r="W329" s="152" t="str">
        <f>+IF(AND(Tabla2[[#This Row],[venc]]="venc",Tabla2[[#This Row],[Columna1]]="por pagar"),"vencida","no")</f>
        <v>no</v>
      </c>
    </row>
    <row r="330" spans="1:23" x14ac:dyDescent="0.3">
      <c r="A330">
        <v>30</v>
      </c>
      <c r="B330">
        <v>0</v>
      </c>
      <c r="D330" t="s">
        <v>1107</v>
      </c>
      <c r="E330" s="156">
        <v>44741</v>
      </c>
      <c r="F330" t="s">
        <v>1077</v>
      </c>
      <c r="G330" s="156">
        <v>44732</v>
      </c>
      <c r="H330" t="s">
        <v>1078</v>
      </c>
      <c r="I330">
        <v>96176</v>
      </c>
      <c r="K330">
        <v>0</v>
      </c>
      <c r="M330">
        <v>0</v>
      </c>
      <c r="N330">
        <v>0</v>
      </c>
      <c r="O330">
        <v>0</v>
      </c>
      <c r="P330" s="117">
        <v>96176</v>
      </c>
      <c r="Q330" s="117" t="s">
        <v>1021</v>
      </c>
      <c r="R330" s="150">
        <v>0</v>
      </c>
      <c r="S330" s="117" t="b">
        <f>OR(COUNTIF(Tabla2[[#This Row],[PROVEEDOR]],"*"&amp;'Palabra no opera'!$A$2&amp;"*"))</f>
        <v>1</v>
      </c>
      <c r="T330" s="150">
        <f>+$W$5-Tabla2[[#This Row],[FECHA DE FACTURACIÓN]]</f>
        <v>102</v>
      </c>
      <c r="U330" t="str">
        <f>+IF(Tabla2[[#This Row],[dias de credito]]&gt;=Tabla2[[#This Row],[PLAZO Días]],"venc", "No venc")</f>
        <v>venc</v>
      </c>
      <c r="V330" t="str">
        <f>+IF(Tabla2[[#This Row],[FECHA DE PAGO]]&gt;0,"pagada","por pagar")</f>
        <v>pagada</v>
      </c>
      <c r="W330" s="152" t="str">
        <f>+IF(AND(Tabla2[[#This Row],[venc]]="venc",Tabla2[[#This Row],[Columna1]]="por pagar"),"vencida","no")</f>
        <v>no</v>
      </c>
    </row>
    <row r="331" spans="1:23" x14ac:dyDescent="0.3">
      <c r="A331">
        <v>30</v>
      </c>
      <c r="B331">
        <v>0</v>
      </c>
      <c r="D331" t="s">
        <v>259</v>
      </c>
      <c r="E331" s="156">
        <v>44741</v>
      </c>
      <c r="F331" t="s">
        <v>918</v>
      </c>
      <c r="G331" s="156">
        <v>44713</v>
      </c>
      <c r="H331">
        <v>10747</v>
      </c>
      <c r="I331">
        <v>1649859</v>
      </c>
      <c r="K331">
        <v>0</v>
      </c>
      <c r="M331">
        <v>0</v>
      </c>
      <c r="N331">
        <v>0</v>
      </c>
      <c r="O331">
        <v>0</v>
      </c>
      <c r="P331" s="117">
        <v>1649859</v>
      </c>
      <c r="Q331" s="117" t="s">
        <v>1021</v>
      </c>
      <c r="R331" s="150">
        <v>0</v>
      </c>
      <c r="S331" s="117" t="b">
        <f>OR(COUNTIF(Tabla2[[#This Row],[PROVEEDOR]],"*"&amp;'Palabra no opera'!$A$2&amp;"*"))</f>
        <v>1</v>
      </c>
      <c r="T331" s="150">
        <f>+$W$5-Tabla2[[#This Row],[FECHA DE FACTURACIÓN]]</f>
        <v>121</v>
      </c>
      <c r="U331" t="str">
        <f>+IF(Tabla2[[#This Row],[dias de credito]]&gt;=Tabla2[[#This Row],[PLAZO Días]],"venc", "No venc")</f>
        <v>venc</v>
      </c>
      <c r="V331" t="str">
        <f>+IF(Tabla2[[#This Row],[FECHA DE PAGO]]&gt;0,"pagada","por pagar")</f>
        <v>pagada</v>
      </c>
      <c r="W331" s="152" t="str">
        <f>+IF(AND(Tabla2[[#This Row],[venc]]="venc",Tabla2[[#This Row],[Columna1]]="por pagar"),"vencida","no")</f>
        <v>no</v>
      </c>
    </row>
    <row r="332" spans="1:23" x14ac:dyDescent="0.3">
      <c r="A332">
        <v>30</v>
      </c>
      <c r="B332">
        <v>0</v>
      </c>
      <c r="D332" t="s">
        <v>433</v>
      </c>
      <c r="E332" s="156">
        <v>44741</v>
      </c>
      <c r="F332" t="s">
        <v>925</v>
      </c>
      <c r="G332" s="156">
        <v>44713</v>
      </c>
      <c r="H332">
        <v>3429</v>
      </c>
      <c r="I332">
        <v>3002200</v>
      </c>
      <c r="K332">
        <v>0</v>
      </c>
      <c r="M332">
        <v>0</v>
      </c>
      <c r="N332">
        <v>3.5000000000000003E-2</v>
      </c>
      <c r="O332">
        <v>105077.00000000001</v>
      </c>
      <c r="P332" s="117">
        <v>2897123</v>
      </c>
      <c r="Q332" s="117" t="s">
        <v>1021</v>
      </c>
      <c r="R332" s="150">
        <v>0</v>
      </c>
      <c r="S332" s="117" t="b">
        <f>OR(COUNTIF(Tabla2[[#This Row],[PROVEEDOR]],"*"&amp;'Palabra no opera'!$A$2&amp;"*"))</f>
        <v>1</v>
      </c>
      <c r="T332" s="150">
        <f>+$W$5-Tabla2[[#This Row],[FECHA DE FACTURACIÓN]]</f>
        <v>121</v>
      </c>
      <c r="U332" t="str">
        <f>+IF(Tabla2[[#This Row],[dias de credito]]&gt;=Tabla2[[#This Row],[PLAZO Días]],"venc", "No venc")</f>
        <v>venc</v>
      </c>
      <c r="V332" t="str">
        <f>+IF(Tabla2[[#This Row],[FECHA DE PAGO]]&gt;0,"pagada","por pagar")</f>
        <v>pagada</v>
      </c>
      <c r="W332" s="152" t="str">
        <f>+IF(AND(Tabla2[[#This Row],[venc]]="venc",Tabla2[[#This Row],[Columna1]]="por pagar"),"vencida","no")</f>
        <v>no</v>
      </c>
    </row>
    <row r="333" spans="1:23" x14ac:dyDescent="0.3">
      <c r="A333">
        <v>30</v>
      </c>
      <c r="B333">
        <v>0</v>
      </c>
      <c r="D333" t="s">
        <v>1688</v>
      </c>
      <c r="E333" s="156">
        <v>44741</v>
      </c>
      <c r="F333" t="s">
        <v>928</v>
      </c>
      <c r="G333" s="156">
        <v>44713</v>
      </c>
      <c r="H333" t="s">
        <v>999</v>
      </c>
      <c r="I333">
        <v>3963422</v>
      </c>
      <c r="K333">
        <v>0</v>
      </c>
      <c r="M333">
        <v>0</v>
      </c>
      <c r="N333">
        <v>3.5000000000000003E-2</v>
      </c>
      <c r="O333">
        <v>138719.77000000002</v>
      </c>
      <c r="P333" s="117">
        <v>3824702.23</v>
      </c>
      <c r="Q333" s="117" t="s">
        <v>1021</v>
      </c>
      <c r="R333" s="150">
        <v>0</v>
      </c>
      <c r="S333" s="117" t="b">
        <f>OR(COUNTIF(Tabla2[[#This Row],[PROVEEDOR]],"*"&amp;'Palabra no opera'!$A$2&amp;"*"))</f>
        <v>1</v>
      </c>
      <c r="T333" s="150">
        <f>+$W$5-Tabla2[[#This Row],[FECHA DE FACTURACIÓN]]</f>
        <v>121</v>
      </c>
      <c r="U333" t="str">
        <f>+IF(Tabla2[[#This Row],[dias de credito]]&gt;=Tabla2[[#This Row],[PLAZO Días]],"venc", "No venc")</f>
        <v>venc</v>
      </c>
      <c r="V333" t="str">
        <f>+IF(Tabla2[[#This Row],[FECHA DE PAGO]]&gt;0,"pagada","por pagar")</f>
        <v>pagada</v>
      </c>
      <c r="W333" s="152" t="str">
        <f>+IF(AND(Tabla2[[#This Row],[venc]]="venc",Tabla2[[#This Row],[Columna1]]="por pagar"),"vencida","no")</f>
        <v>no</v>
      </c>
    </row>
    <row r="334" spans="1:23" x14ac:dyDescent="0.3">
      <c r="A334">
        <v>30</v>
      </c>
      <c r="B334">
        <v>0</v>
      </c>
      <c r="D334" t="s">
        <v>267</v>
      </c>
      <c r="E334" s="156">
        <v>44741</v>
      </c>
      <c r="F334" t="s">
        <v>941</v>
      </c>
      <c r="G334" s="156">
        <v>44713</v>
      </c>
      <c r="H334">
        <v>5204</v>
      </c>
      <c r="I334">
        <v>215356</v>
      </c>
      <c r="K334">
        <v>40917.64</v>
      </c>
      <c r="M334">
        <v>0</v>
      </c>
      <c r="N334">
        <v>3.5000000000000003E-2</v>
      </c>
      <c r="O334">
        <v>7537.4600000000009</v>
      </c>
      <c r="P334" s="117">
        <v>248736.18000000002</v>
      </c>
      <c r="Q334" s="117" t="s">
        <v>1021</v>
      </c>
      <c r="R334" s="150">
        <v>0</v>
      </c>
      <c r="S334" s="117" t="b">
        <f>OR(COUNTIF(Tabla2[[#This Row],[PROVEEDOR]],"*"&amp;'Palabra no opera'!$A$2&amp;"*"))</f>
        <v>1</v>
      </c>
      <c r="T334" s="150">
        <f>+$W$5-Tabla2[[#This Row],[FECHA DE FACTURACIÓN]]</f>
        <v>121</v>
      </c>
      <c r="U334" t="str">
        <f>+IF(Tabla2[[#This Row],[dias de credito]]&gt;=Tabla2[[#This Row],[PLAZO Días]],"venc", "No venc")</f>
        <v>venc</v>
      </c>
      <c r="V334" t="str">
        <f>+IF(Tabla2[[#This Row],[FECHA DE PAGO]]&gt;0,"pagada","por pagar")</f>
        <v>pagada</v>
      </c>
      <c r="W334" s="152" t="str">
        <f>+IF(AND(Tabla2[[#This Row],[venc]]="venc",Tabla2[[#This Row],[Columna1]]="por pagar"),"vencida","no")</f>
        <v>no</v>
      </c>
    </row>
    <row r="335" spans="1:23" x14ac:dyDescent="0.3">
      <c r="A335">
        <v>20</v>
      </c>
      <c r="B335">
        <v>0</v>
      </c>
      <c r="D335" t="s">
        <v>275</v>
      </c>
      <c r="E335" s="156">
        <v>44741</v>
      </c>
      <c r="F335" t="s">
        <v>942</v>
      </c>
      <c r="G335" s="156">
        <v>44713</v>
      </c>
      <c r="H335">
        <v>43347</v>
      </c>
      <c r="I335">
        <v>4730000</v>
      </c>
      <c r="K335">
        <v>898700</v>
      </c>
      <c r="M335">
        <v>0</v>
      </c>
      <c r="N335">
        <v>3.5000000000000003E-2</v>
      </c>
      <c r="O335">
        <v>165550.00000000003</v>
      </c>
      <c r="P335" s="117">
        <v>5463150</v>
      </c>
      <c r="Q335" s="117" t="s">
        <v>1021</v>
      </c>
      <c r="R335" s="150">
        <v>0</v>
      </c>
      <c r="S335" s="117" t="b">
        <f>OR(COUNTIF(Tabla2[[#This Row],[PROVEEDOR]],"*"&amp;'Palabra no opera'!$A$2&amp;"*"))</f>
        <v>1</v>
      </c>
      <c r="T335" s="150">
        <f>+$W$5-Tabla2[[#This Row],[FECHA DE FACTURACIÓN]]</f>
        <v>121</v>
      </c>
      <c r="U335" t="str">
        <f>+IF(Tabla2[[#This Row],[dias de credito]]&gt;=Tabla2[[#This Row],[PLAZO Días]],"venc", "No venc")</f>
        <v>venc</v>
      </c>
      <c r="V335" t="str">
        <f>+IF(Tabla2[[#This Row],[FECHA DE PAGO]]&gt;0,"pagada","por pagar")</f>
        <v>pagada</v>
      </c>
      <c r="W335" s="152" t="str">
        <f>+IF(AND(Tabla2[[#This Row],[venc]]="venc",Tabla2[[#This Row],[Columna1]]="por pagar"),"vencida","no")</f>
        <v>no</v>
      </c>
    </row>
    <row r="336" spans="1:23" x14ac:dyDescent="0.3">
      <c r="A336">
        <v>30</v>
      </c>
      <c r="B336">
        <v>0</v>
      </c>
      <c r="C336" t="s">
        <v>997</v>
      </c>
      <c r="D336" t="s">
        <v>259</v>
      </c>
      <c r="E336" s="156">
        <v>44741</v>
      </c>
      <c r="F336" t="s">
        <v>918</v>
      </c>
      <c r="G336" s="156">
        <v>44708</v>
      </c>
      <c r="H336" t="s">
        <v>996</v>
      </c>
      <c r="I336">
        <v>80632</v>
      </c>
      <c r="K336">
        <v>0</v>
      </c>
      <c r="M336">
        <v>0</v>
      </c>
      <c r="N336">
        <v>0</v>
      </c>
      <c r="O336">
        <v>0</v>
      </c>
      <c r="P336" s="117">
        <v>80632</v>
      </c>
      <c r="Q336" s="117" t="s">
        <v>1021</v>
      </c>
      <c r="R336" s="150">
        <v>0</v>
      </c>
      <c r="S336" s="117" t="b">
        <f>OR(COUNTIF(Tabla2[[#This Row],[PROVEEDOR]],"*"&amp;'Palabra no opera'!$A$2&amp;"*"))</f>
        <v>1</v>
      </c>
      <c r="T336" s="150">
        <f>+$W$5-Tabla2[[#This Row],[FECHA DE FACTURACIÓN]]</f>
        <v>126</v>
      </c>
      <c r="U336" t="str">
        <f>+IF(Tabla2[[#This Row],[dias de credito]]&gt;=Tabla2[[#This Row],[PLAZO Días]],"venc", "No venc")</f>
        <v>venc</v>
      </c>
      <c r="V336" t="str">
        <f>+IF(Tabla2[[#This Row],[FECHA DE PAGO]]&gt;0,"pagada","por pagar")</f>
        <v>pagada</v>
      </c>
      <c r="W336" s="152" t="str">
        <f>+IF(AND(Tabla2[[#This Row],[venc]]="venc",Tabla2[[#This Row],[Columna1]]="por pagar"),"vencida","no")</f>
        <v>no</v>
      </c>
    </row>
    <row r="337" spans="1:23" x14ac:dyDescent="0.3">
      <c r="A337">
        <v>30</v>
      </c>
      <c r="B337">
        <v>1865958.0154999997</v>
      </c>
      <c r="D337" t="s">
        <v>718</v>
      </c>
      <c r="E337" s="156">
        <v>44741</v>
      </c>
      <c r="F337" t="s">
        <v>508</v>
      </c>
      <c r="G337" s="156">
        <v>44699</v>
      </c>
      <c r="H337" t="s">
        <v>984</v>
      </c>
      <c r="I337">
        <v>913109.22</v>
      </c>
      <c r="K337">
        <v>173490.7518</v>
      </c>
      <c r="M337">
        <v>0</v>
      </c>
      <c r="N337">
        <v>0</v>
      </c>
      <c r="O337">
        <v>0</v>
      </c>
      <c r="P337" s="117">
        <v>1086599.9717999999</v>
      </c>
      <c r="Q337" s="117" t="s">
        <v>1021</v>
      </c>
      <c r="R337" s="150">
        <v>0</v>
      </c>
      <c r="S337" s="117" t="b">
        <f>OR(COUNTIF(Tabla2[[#This Row],[PROVEEDOR]],"*"&amp;'Palabra no opera'!$A$2&amp;"*"))</f>
        <v>0</v>
      </c>
      <c r="T337" s="150">
        <f>+$W$5-Tabla2[[#This Row],[FECHA DE FACTURACIÓN]]</f>
        <v>135</v>
      </c>
      <c r="U337" t="str">
        <f>+IF(Tabla2[[#This Row],[dias de credito]]&gt;=Tabla2[[#This Row],[PLAZO Días]],"venc", "No venc")</f>
        <v>venc</v>
      </c>
      <c r="V337" t="str">
        <f>+IF(Tabla2[[#This Row],[FECHA DE PAGO]]&gt;0,"pagada","por pagar")</f>
        <v>pagada</v>
      </c>
      <c r="W337" s="152" t="str">
        <f>+IF(AND(Tabla2[[#This Row],[venc]]="venc",Tabla2[[#This Row],[Columna1]]="por pagar"),"vencida","no")</f>
        <v>no</v>
      </c>
    </row>
    <row r="338" spans="1:23" x14ac:dyDescent="0.3">
      <c r="A338">
        <v>30</v>
      </c>
      <c r="B338">
        <v>5225000</v>
      </c>
      <c r="D338" t="s">
        <v>139</v>
      </c>
      <c r="E338" s="156">
        <v>44741</v>
      </c>
      <c r="F338" t="s">
        <v>629</v>
      </c>
      <c r="G338" s="156">
        <v>44690</v>
      </c>
      <c r="H338" t="s">
        <v>963</v>
      </c>
      <c r="I338">
        <v>1860000</v>
      </c>
      <c r="K338">
        <v>0</v>
      </c>
      <c r="M338">
        <v>0</v>
      </c>
      <c r="N338">
        <v>0</v>
      </c>
      <c r="O338">
        <v>0</v>
      </c>
      <c r="P338" s="117">
        <v>1860000</v>
      </c>
      <c r="Q338" s="117" t="s">
        <v>1021</v>
      </c>
      <c r="R338" s="150">
        <v>0</v>
      </c>
      <c r="S338" s="117" t="b">
        <f>OR(COUNTIF(Tabla2[[#This Row],[PROVEEDOR]],"*"&amp;'Palabra no opera'!$A$2&amp;"*"))</f>
        <v>0</v>
      </c>
      <c r="T338" s="150">
        <f>+$W$5-Tabla2[[#This Row],[FECHA DE FACTURACIÓN]]</f>
        <v>144</v>
      </c>
      <c r="U338" t="str">
        <f>+IF(Tabla2[[#This Row],[dias de credito]]&gt;=Tabla2[[#This Row],[PLAZO Días]],"venc", "No venc")</f>
        <v>venc</v>
      </c>
      <c r="V338" t="str">
        <f>+IF(Tabla2[[#This Row],[FECHA DE PAGO]]&gt;0,"pagada","por pagar")</f>
        <v>pagada</v>
      </c>
      <c r="W338" s="152" t="str">
        <f>+IF(AND(Tabla2[[#This Row],[venc]]="venc",Tabla2[[#This Row],[Columna1]]="por pagar"),"vencida","no")</f>
        <v>no</v>
      </c>
    </row>
    <row r="339" spans="1:23" x14ac:dyDescent="0.3">
      <c r="A339">
        <v>30</v>
      </c>
      <c r="B339">
        <v>27452.91</v>
      </c>
      <c r="D339" t="s">
        <v>949</v>
      </c>
      <c r="E339" s="156">
        <v>44741</v>
      </c>
      <c r="F339" t="s">
        <v>118</v>
      </c>
      <c r="G339" s="156">
        <v>44680</v>
      </c>
      <c r="H339" t="s">
        <v>1082</v>
      </c>
      <c r="I339">
        <v>251093</v>
      </c>
      <c r="K339">
        <v>0</v>
      </c>
      <c r="M339">
        <v>0</v>
      </c>
      <c r="N339">
        <v>0</v>
      </c>
      <c r="O339">
        <v>0</v>
      </c>
      <c r="P339" s="117">
        <v>251093</v>
      </c>
      <c r="Q339" s="117" t="s">
        <v>1021</v>
      </c>
      <c r="R339" s="150">
        <v>0</v>
      </c>
      <c r="S339" s="117" t="b">
        <f>OR(COUNTIF(Tabla2[[#This Row],[PROVEEDOR]],"*"&amp;'Palabra no opera'!$A$2&amp;"*"))</f>
        <v>0</v>
      </c>
      <c r="T339" s="150">
        <f>+$W$5-Tabla2[[#This Row],[FECHA DE FACTURACIÓN]]</f>
        <v>154</v>
      </c>
      <c r="U339" t="str">
        <f>+IF(Tabla2[[#This Row],[dias de credito]]&gt;=Tabla2[[#This Row],[PLAZO Días]],"venc", "No venc")</f>
        <v>venc</v>
      </c>
      <c r="V339" t="str">
        <f>+IF(Tabla2[[#This Row],[FECHA DE PAGO]]&gt;0,"pagada","por pagar")</f>
        <v>pagada</v>
      </c>
      <c r="W339" s="152" t="str">
        <f>+IF(AND(Tabla2[[#This Row],[venc]]="venc",Tabla2[[#This Row],[Columna1]]="por pagar"),"vencida","no")</f>
        <v>no</v>
      </c>
    </row>
    <row r="340" spans="1:23" x14ac:dyDescent="0.3">
      <c r="A340">
        <v>30</v>
      </c>
      <c r="B340">
        <v>1957800</v>
      </c>
      <c r="D340">
        <v>0</v>
      </c>
      <c r="E340" s="156">
        <v>44740</v>
      </c>
      <c r="F340" t="s">
        <v>994</v>
      </c>
      <c r="G340" s="156">
        <v>44740</v>
      </c>
      <c r="H340" t="s">
        <v>1611</v>
      </c>
      <c r="I340">
        <v>904000</v>
      </c>
      <c r="K340">
        <v>0</v>
      </c>
      <c r="M340">
        <v>0</v>
      </c>
      <c r="N340">
        <v>0</v>
      </c>
      <c r="O340">
        <v>0</v>
      </c>
      <c r="P340" s="117">
        <v>904000</v>
      </c>
      <c r="Q340" s="117" t="s">
        <v>1021</v>
      </c>
      <c r="R340" s="150">
        <v>0</v>
      </c>
      <c r="S340" s="117" t="b">
        <f>OR(COUNTIF(Tabla2[[#This Row],[PROVEEDOR]],"*"&amp;'Palabra no opera'!$A$2&amp;"*"))</f>
        <v>0</v>
      </c>
      <c r="T340" s="150">
        <f>+$W$5-Tabla2[[#This Row],[FECHA DE FACTURACIÓN]]</f>
        <v>94</v>
      </c>
      <c r="U340" t="str">
        <f>+IF(Tabla2[[#This Row],[dias de credito]]&gt;=Tabla2[[#This Row],[PLAZO Días]],"venc", "No venc")</f>
        <v>venc</v>
      </c>
      <c r="V340" t="str">
        <f>+IF(Tabla2[[#This Row],[FECHA DE PAGO]]&gt;0,"pagada","por pagar")</f>
        <v>pagada</v>
      </c>
      <c r="W340" s="152" t="str">
        <f>+IF(AND(Tabla2[[#This Row],[venc]]="venc",Tabla2[[#This Row],[Columna1]]="por pagar"),"vencida","no")</f>
        <v>no</v>
      </c>
    </row>
    <row r="341" spans="1:23" x14ac:dyDescent="0.3">
      <c r="A341">
        <v>30</v>
      </c>
      <c r="B341">
        <v>0</v>
      </c>
      <c r="D341" t="s">
        <v>139</v>
      </c>
      <c r="E341" s="156">
        <v>44740</v>
      </c>
      <c r="F341" t="s">
        <v>638</v>
      </c>
      <c r="G341" s="156">
        <v>44737</v>
      </c>
      <c r="H341" t="s">
        <v>1100</v>
      </c>
      <c r="I341">
        <v>2749000</v>
      </c>
      <c r="K341">
        <v>0</v>
      </c>
      <c r="M341">
        <v>0</v>
      </c>
      <c r="N341">
        <v>0</v>
      </c>
      <c r="O341">
        <v>0</v>
      </c>
      <c r="P341" s="117">
        <v>2749000</v>
      </c>
      <c r="Q341" s="117" t="s">
        <v>1021</v>
      </c>
      <c r="R341" s="150">
        <v>0</v>
      </c>
      <c r="S341" s="117" t="b">
        <f>OR(COUNTIF(Tabla2[[#This Row],[PROVEEDOR]],"*"&amp;'Palabra no opera'!$A$2&amp;"*"))</f>
        <v>0</v>
      </c>
      <c r="T341" s="150">
        <f>+$W$5-Tabla2[[#This Row],[FECHA DE FACTURACIÓN]]</f>
        <v>97</v>
      </c>
      <c r="U341" t="str">
        <f>+IF(Tabla2[[#This Row],[dias de credito]]&gt;=Tabla2[[#This Row],[PLAZO Días]],"venc", "No venc")</f>
        <v>venc</v>
      </c>
      <c r="V341" t="str">
        <f>+IF(Tabla2[[#This Row],[FECHA DE PAGO]]&gt;0,"pagada","por pagar")</f>
        <v>pagada</v>
      </c>
      <c r="W341" s="152" t="str">
        <f>+IF(AND(Tabla2[[#This Row],[venc]]="venc",Tabla2[[#This Row],[Columna1]]="por pagar"),"vencida","no")</f>
        <v>no</v>
      </c>
    </row>
    <row r="342" spans="1:23" x14ac:dyDescent="0.3">
      <c r="A342">
        <v>30</v>
      </c>
      <c r="B342">
        <v>0</v>
      </c>
      <c r="D342" t="s">
        <v>139</v>
      </c>
      <c r="E342" s="156">
        <v>44736</v>
      </c>
      <c r="F342" t="s">
        <v>661</v>
      </c>
      <c r="G342" s="156">
        <v>44736</v>
      </c>
      <c r="H342" t="s">
        <v>1070</v>
      </c>
      <c r="I342">
        <v>1440000</v>
      </c>
      <c r="K342">
        <v>0</v>
      </c>
      <c r="M342">
        <v>0</v>
      </c>
      <c r="N342">
        <v>0</v>
      </c>
      <c r="O342">
        <v>0</v>
      </c>
      <c r="P342" s="117">
        <v>1440000</v>
      </c>
      <c r="Q342" s="117" t="s">
        <v>1021</v>
      </c>
      <c r="R342" s="150">
        <v>0</v>
      </c>
      <c r="S342" s="117" t="b">
        <f>OR(COUNTIF(Tabla2[[#This Row],[PROVEEDOR]],"*"&amp;'Palabra no opera'!$A$2&amp;"*"))</f>
        <v>0</v>
      </c>
      <c r="T342" s="150">
        <f>+$W$5-Tabla2[[#This Row],[FECHA DE FACTURACIÓN]]</f>
        <v>98</v>
      </c>
      <c r="U342" t="str">
        <f>+IF(Tabla2[[#This Row],[dias de credito]]&gt;=Tabla2[[#This Row],[PLAZO Días]],"venc", "No venc")</f>
        <v>venc</v>
      </c>
      <c r="V342" t="str">
        <f>+IF(Tabla2[[#This Row],[FECHA DE PAGO]]&gt;0,"pagada","por pagar")</f>
        <v>pagada</v>
      </c>
      <c r="W342" s="152" t="str">
        <f>+IF(AND(Tabla2[[#This Row],[venc]]="venc",Tabla2[[#This Row],[Columna1]]="por pagar"),"vencida","no")</f>
        <v>no</v>
      </c>
    </row>
    <row r="343" spans="1:23" x14ac:dyDescent="0.3">
      <c r="A343">
        <v>30</v>
      </c>
      <c r="B343">
        <v>0</v>
      </c>
      <c r="D343" t="s">
        <v>139</v>
      </c>
      <c r="E343" s="156">
        <v>44736</v>
      </c>
      <c r="F343" t="s">
        <v>673</v>
      </c>
      <c r="G343" s="156">
        <v>44736</v>
      </c>
      <c r="I343">
        <v>1000000</v>
      </c>
      <c r="K343">
        <v>0</v>
      </c>
      <c r="M343">
        <v>0</v>
      </c>
      <c r="N343">
        <v>0</v>
      </c>
      <c r="O343">
        <v>0</v>
      </c>
      <c r="P343" s="117">
        <v>1000000</v>
      </c>
      <c r="Q343" s="117" t="s">
        <v>1021</v>
      </c>
      <c r="R343" s="150">
        <v>0</v>
      </c>
      <c r="S343" s="117" t="b">
        <f>OR(COUNTIF(Tabla2[[#This Row],[PROVEEDOR]],"*"&amp;'Palabra no opera'!$A$2&amp;"*"))</f>
        <v>0</v>
      </c>
      <c r="T343" s="150">
        <f>+$W$5-Tabla2[[#This Row],[FECHA DE FACTURACIÓN]]</f>
        <v>98</v>
      </c>
      <c r="U343" t="str">
        <f>+IF(Tabla2[[#This Row],[dias de credito]]&gt;=Tabla2[[#This Row],[PLAZO Días]],"venc", "No venc")</f>
        <v>venc</v>
      </c>
      <c r="V343" t="str">
        <f>+IF(Tabla2[[#This Row],[FECHA DE PAGO]]&gt;0,"pagada","por pagar")</f>
        <v>pagada</v>
      </c>
      <c r="W343" s="152" t="str">
        <f>+IF(AND(Tabla2[[#This Row],[venc]]="venc",Tabla2[[#This Row],[Columna1]]="por pagar"),"vencida","no")</f>
        <v>no</v>
      </c>
    </row>
    <row r="344" spans="1:23" x14ac:dyDescent="0.3">
      <c r="A344">
        <v>30</v>
      </c>
      <c r="B344">
        <v>0</v>
      </c>
      <c r="D344" t="s">
        <v>139</v>
      </c>
      <c r="E344" s="156">
        <v>44735</v>
      </c>
      <c r="F344" t="s">
        <v>635</v>
      </c>
      <c r="G344" s="156">
        <v>44735</v>
      </c>
      <c r="H344" t="s">
        <v>1098</v>
      </c>
      <c r="I344">
        <v>350000</v>
      </c>
      <c r="K344">
        <v>0</v>
      </c>
      <c r="M344">
        <v>0</v>
      </c>
      <c r="N344">
        <v>0</v>
      </c>
      <c r="O344">
        <v>0</v>
      </c>
      <c r="P344" s="117">
        <v>350000</v>
      </c>
      <c r="Q344" s="117" t="s">
        <v>1021</v>
      </c>
      <c r="R344" s="150">
        <v>0</v>
      </c>
      <c r="S344" s="117" t="b">
        <f>OR(COUNTIF(Tabla2[[#This Row],[PROVEEDOR]],"*"&amp;'Palabra no opera'!$A$2&amp;"*"))</f>
        <v>0</v>
      </c>
      <c r="T344" s="150">
        <f>+$W$5-Tabla2[[#This Row],[FECHA DE FACTURACIÓN]]</f>
        <v>99</v>
      </c>
      <c r="U344" t="str">
        <f>+IF(Tabla2[[#This Row],[dias de credito]]&gt;=Tabla2[[#This Row],[PLAZO Días]],"venc", "No venc")</f>
        <v>venc</v>
      </c>
      <c r="V344" t="str">
        <f>+IF(Tabla2[[#This Row],[FECHA DE PAGO]]&gt;0,"pagada","por pagar")</f>
        <v>pagada</v>
      </c>
      <c r="W344" s="152" t="str">
        <f>+IF(AND(Tabla2[[#This Row],[venc]]="venc",Tabla2[[#This Row],[Columna1]]="por pagar"),"vencida","no")</f>
        <v>no</v>
      </c>
    </row>
    <row r="345" spans="1:23" x14ac:dyDescent="0.3">
      <c r="A345">
        <v>30</v>
      </c>
      <c r="B345">
        <v>0</v>
      </c>
      <c r="D345" t="s">
        <v>139</v>
      </c>
      <c r="E345" s="156">
        <v>44733</v>
      </c>
      <c r="F345" t="s">
        <v>644</v>
      </c>
      <c r="G345" s="156">
        <v>44733</v>
      </c>
      <c r="H345" t="s">
        <v>1072</v>
      </c>
      <c r="I345">
        <v>100000</v>
      </c>
      <c r="K345">
        <v>0</v>
      </c>
      <c r="M345">
        <v>0</v>
      </c>
      <c r="N345">
        <v>0</v>
      </c>
      <c r="O345">
        <v>0</v>
      </c>
      <c r="P345" s="117">
        <v>100000</v>
      </c>
      <c r="Q345" s="117" t="s">
        <v>1021</v>
      </c>
      <c r="R345" s="150">
        <v>0</v>
      </c>
      <c r="S345" s="117" t="b">
        <f>OR(COUNTIF(Tabla2[[#This Row],[PROVEEDOR]],"*"&amp;'Palabra no opera'!$A$2&amp;"*"))</f>
        <v>0</v>
      </c>
      <c r="T345" s="150">
        <f>+$W$5-Tabla2[[#This Row],[FECHA DE FACTURACIÓN]]</f>
        <v>101</v>
      </c>
      <c r="U345" t="str">
        <f>+IF(Tabla2[[#This Row],[dias de credito]]&gt;=Tabla2[[#This Row],[PLAZO Días]],"venc", "No venc")</f>
        <v>venc</v>
      </c>
      <c r="V345" t="str">
        <f>+IF(Tabla2[[#This Row],[FECHA DE PAGO]]&gt;0,"pagada","por pagar")</f>
        <v>pagada</v>
      </c>
      <c r="W345" s="152" t="str">
        <f>+IF(AND(Tabla2[[#This Row],[venc]]="venc",Tabla2[[#This Row],[Columna1]]="por pagar"),"vencida","no")</f>
        <v>no</v>
      </c>
    </row>
    <row r="346" spans="1:23" x14ac:dyDescent="0.3">
      <c r="A346">
        <v>30</v>
      </c>
      <c r="B346">
        <v>0</v>
      </c>
      <c r="D346" t="s">
        <v>250</v>
      </c>
      <c r="E346" s="156">
        <v>44733</v>
      </c>
      <c r="F346" t="s">
        <v>1450</v>
      </c>
      <c r="G346" s="156">
        <v>44727</v>
      </c>
      <c r="H346">
        <v>247</v>
      </c>
      <c r="I346">
        <v>370000</v>
      </c>
      <c r="K346">
        <v>0</v>
      </c>
      <c r="M346">
        <v>0</v>
      </c>
      <c r="N346">
        <v>0</v>
      </c>
      <c r="O346">
        <v>0</v>
      </c>
      <c r="P346" s="117">
        <v>370000</v>
      </c>
      <c r="Q346" s="117" t="s">
        <v>1021</v>
      </c>
      <c r="R346" s="150">
        <v>0</v>
      </c>
      <c r="S346" s="117" t="b">
        <f>OR(COUNTIF(Tabla2[[#This Row],[PROVEEDOR]],"*"&amp;'Palabra no opera'!$A$2&amp;"*"))</f>
        <v>0</v>
      </c>
      <c r="T346" s="150">
        <f>+$W$5-Tabla2[[#This Row],[FECHA DE FACTURACIÓN]]</f>
        <v>107</v>
      </c>
      <c r="U346" t="str">
        <f>+IF(Tabla2[[#This Row],[dias de credito]]&gt;=Tabla2[[#This Row],[PLAZO Días]],"venc", "No venc")</f>
        <v>venc</v>
      </c>
      <c r="V346" t="str">
        <f>+IF(Tabla2[[#This Row],[FECHA DE PAGO]]&gt;0,"pagada","por pagar")</f>
        <v>pagada</v>
      </c>
      <c r="W346" s="152" t="str">
        <f>+IF(AND(Tabla2[[#This Row],[venc]]="venc",Tabla2[[#This Row],[Columna1]]="por pagar"),"vencida","no")</f>
        <v>no</v>
      </c>
    </row>
    <row r="347" spans="1:23" x14ac:dyDescent="0.3">
      <c r="A347">
        <v>30</v>
      </c>
      <c r="B347">
        <v>0</v>
      </c>
      <c r="D347" t="s">
        <v>1033</v>
      </c>
      <c r="E347" s="156">
        <v>44733</v>
      </c>
      <c r="F347" t="s">
        <v>1032</v>
      </c>
      <c r="G347" s="156">
        <v>44727</v>
      </c>
      <c r="H347" t="s">
        <v>1034</v>
      </c>
      <c r="I347">
        <v>480000</v>
      </c>
      <c r="K347">
        <v>91200</v>
      </c>
      <c r="M347">
        <v>0</v>
      </c>
      <c r="N347">
        <v>0</v>
      </c>
      <c r="O347">
        <v>0</v>
      </c>
      <c r="P347" s="117">
        <v>571200</v>
      </c>
      <c r="Q347" s="117" t="s">
        <v>1021</v>
      </c>
      <c r="R347" s="150">
        <v>0</v>
      </c>
      <c r="S347" s="117" t="b">
        <f>OR(COUNTIF(Tabla2[[#This Row],[PROVEEDOR]],"*"&amp;'Palabra no opera'!$A$2&amp;"*"))</f>
        <v>0</v>
      </c>
      <c r="T347" s="150">
        <f>+$W$5-Tabla2[[#This Row],[FECHA DE FACTURACIÓN]]</f>
        <v>107</v>
      </c>
      <c r="U347" t="str">
        <f>+IF(Tabla2[[#This Row],[dias de credito]]&gt;=Tabla2[[#This Row],[PLAZO Días]],"venc", "No venc")</f>
        <v>venc</v>
      </c>
      <c r="V347" t="str">
        <f>+IF(Tabla2[[#This Row],[FECHA DE PAGO]]&gt;0,"pagada","por pagar")</f>
        <v>pagada</v>
      </c>
      <c r="W347" s="152" t="str">
        <f>+IF(AND(Tabla2[[#This Row],[venc]]="venc",Tabla2[[#This Row],[Columna1]]="por pagar"),"vencida","no")</f>
        <v>no</v>
      </c>
    </row>
    <row r="348" spans="1:23" x14ac:dyDescent="0.3">
      <c r="A348">
        <v>10</v>
      </c>
      <c r="B348">
        <v>0</v>
      </c>
      <c r="D348" t="s">
        <v>612</v>
      </c>
      <c r="E348" s="156">
        <v>44733</v>
      </c>
      <c r="F348" t="s">
        <v>904</v>
      </c>
      <c r="G348" s="156">
        <v>44726</v>
      </c>
      <c r="H348" t="s">
        <v>1037</v>
      </c>
      <c r="I348">
        <v>562500</v>
      </c>
      <c r="K348">
        <v>0</v>
      </c>
      <c r="M348">
        <v>0</v>
      </c>
      <c r="N348">
        <v>0</v>
      </c>
      <c r="O348">
        <v>0</v>
      </c>
      <c r="P348" s="117">
        <v>562500</v>
      </c>
      <c r="Q348" s="117" t="s">
        <v>1021</v>
      </c>
      <c r="R348" s="150">
        <v>0</v>
      </c>
      <c r="S348" s="117" t="b">
        <f>OR(COUNTIF(Tabla2[[#This Row],[PROVEEDOR]],"*"&amp;'Palabra no opera'!$A$2&amp;"*"))</f>
        <v>1</v>
      </c>
      <c r="T348" s="150">
        <f>+$W$5-Tabla2[[#This Row],[FECHA DE FACTURACIÓN]]</f>
        <v>108</v>
      </c>
      <c r="U348" t="str">
        <f>+IF(Tabla2[[#This Row],[dias de credito]]&gt;=Tabla2[[#This Row],[PLAZO Días]],"venc", "No venc")</f>
        <v>venc</v>
      </c>
      <c r="V348" t="str">
        <f>+IF(Tabla2[[#This Row],[FECHA DE PAGO]]&gt;0,"pagada","por pagar")</f>
        <v>pagada</v>
      </c>
      <c r="W348" s="152" t="str">
        <f>+IF(AND(Tabla2[[#This Row],[venc]]="venc",Tabla2[[#This Row],[Columna1]]="por pagar"),"vencida","no")</f>
        <v>no</v>
      </c>
    </row>
    <row r="349" spans="1:23" x14ac:dyDescent="0.3">
      <c r="A349">
        <v>30</v>
      </c>
      <c r="B349">
        <v>0</v>
      </c>
      <c r="D349" t="s">
        <v>139</v>
      </c>
      <c r="E349" s="156">
        <v>44733</v>
      </c>
      <c r="F349" t="s">
        <v>695</v>
      </c>
      <c r="G349" s="156">
        <v>44713</v>
      </c>
      <c r="H349" t="s">
        <v>1075</v>
      </c>
      <c r="I349">
        <v>1018500</v>
      </c>
      <c r="K349">
        <v>0</v>
      </c>
      <c r="M349">
        <v>0</v>
      </c>
      <c r="N349">
        <v>0</v>
      </c>
      <c r="O349">
        <v>0</v>
      </c>
      <c r="P349" s="117">
        <v>1018500</v>
      </c>
      <c r="Q349" s="117" t="s">
        <v>1021</v>
      </c>
      <c r="R349" s="150">
        <v>0</v>
      </c>
      <c r="S349" s="117" t="b">
        <f>OR(COUNTIF(Tabla2[[#This Row],[PROVEEDOR]],"*"&amp;'Palabra no opera'!$A$2&amp;"*"))</f>
        <v>0</v>
      </c>
      <c r="T349" s="150">
        <f>+$W$5-Tabla2[[#This Row],[FECHA DE FACTURACIÓN]]</f>
        <v>121</v>
      </c>
      <c r="U349" t="str">
        <f>+IF(Tabla2[[#This Row],[dias de credito]]&gt;=Tabla2[[#This Row],[PLAZO Días]],"venc", "No venc")</f>
        <v>venc</v>
      </c>
      <c r="V349" t="str">
        <f>+IF(Tabla2[[#This Row],[FECHA DE PAGO]]&gt;0,"pagada","por pagar")</f>
        <v>pagada</v>
      </c>
      <c r="W349" s="152" t="str">
        <f>+IF(AND(Tabla2[[#This Row],[venc]]="venc",Tabla2[[#This Row],[Columna1]]="por pagar"),"vencida","no")</f>
        <v>no</v>
      </c>
    </row>
    <row r="350" spans="1:23" x14ac:dyDescent="0.3">
      <c r="A350">
        <v>30</v>
      </c>
      <c r="B350">
        <v>2192943.5750000002</v>
      </c>
      <c r="D350" t="s">
        <v>273</v>
      </c>
      <c r="E350" s="156">
        <v>44733</v>
      </c>
      <c r="F350" t="s">
        <v>1638</v>
      </c>
      <c r="G350" s="156">
        <v>44705</v>
      </c>
      <c r="H350" t="s">
        <v>981</v>
      </c>
      <c r="I350">
        <v>499160.34</v>
      </c>
      <c r="K350">
        <v>94840.464600000007</v>
      </c>
      <c r="M350">
        <v>0</v>
      </c>
      <c r="N350">
        <v>0</v>
      </c>
      <c r="O350">
        <v>0</v>
      </c>
      <c r="P350" s="117">
        <v>594000.80460000003</v>
      </c>
      <c r="Q350" s="117" t="s">
        <v>1021</v>
      </c>
      <c r="R350" s="150">
        <v>0</v>
      </c>
      <c r="S350" s="117" t="b">
        <f>OR(COUNTIF(Tabla2[[#This Row],[PROVEEDOR]],"*"&amp;'Palabra no opera'!$A$2&amp;"*"))</f>
        <v>0</v>
      </c>
      <c r="T350" s="150">
        <f>+$W$5-Tabla2[[#This Row],[FECHA DE FACTURACIÓN]]</f>
        <v>129</v>
      </c>
      <c r="U350" t="str">
        <f>+IF(Tabla2[[#This Row],[dias de credito]]&gt;=Tabla2[[#This Row],[PLAZO Días]],"venc", "No venc")</f>
        <v>venc</v>
      </c>
      <c r="V350" t="str">
        <f>+IF(Tabla2[[#This Row],[FECHA DE PAGO]]&gt;0,"pagada","por pagar")</f>
        <v>pagada</v>
      </c>
      <c r="W350" s="152" t="str">
        <f>+IF(AND(Tabla2[[#This Row],[venc]]="venc",Tabla2[[#This Row],[Columna1]]="por pagar"),"vencida","no")</f>
        <v>no</v>
      </c>
    </row>
    <row r="351" spans="1:23" x14ac:dyDescent="0.3">
      <c r="A351">
        <v>30</v>
      </c>
      <c r="B351">
        <v>0</v>
      </c>
      <c r="D351" t="s">
        <v>505</v>
      </c>
      <c r="E351" s="156">
        <v>44733</v>
      </c>
      <c r="F351" t="s">
        <v>408</v>
      </c>
      <c r="G351" s="156">
        <v>44700</v>
      </c>
      <c r="H351" t="s">
        <v>987</v>
      </c>
      <c r="I351">
        <v>2800056</v>
      </c>
      <c r="K351">
        <v>532010.64</v>
      </c>
      <c r="M351">
        <v>0</v>
      </c>
      <c r="N351">
        <v>0</v>
      </c>
      <c r="O351">
        <v>0</v>
      </c>
      <c r="P351" s="117">
        <v>3332066.64</v>
      </c>
      <c r="Q351" s="117" t="s">
        <v>1021</v>
      </c>
      <c r="R351" s="150">
        <v>0</v>
      </c>
      <c r="S351" s="117" t="b">
        <f>OR(COUNTIF(Tabla2[[#This Row],[PROVEEDOR]],"*"&amp;'Palabra no opera'!$A$2&amp;"*"))</f>
        <v>0</v>
      </c>
      <c r="T351" s="150">
        <f>+$W$5-Tabla2[[#This Row],[FECHA DE FACTURACIÓN]]</f>
        <v>134</v>
      </c>
      <c r="U351" t="str">
        <f>+IF(Tabla2[[#This Row],[dias de credito]]&gt;=Tabla2[[#This Row],[PLAZO Días]],"venc", "No venc")</f>
        <v>venc</v>
      </c>
      <c r="V351" t="str">
        <f>+IF(Tabla2[[#This Row],[FECHA DE PAGO]]&gt;0,"pagada","por pagar")</f>
        <v>pagada</v>
      </c>
      <c r="W351" s="152" t="str">
        <f>+IF(AND(Tabla2[[#This Row],[venc]]="venc",Tabla2[[#This Row],[Columna1]]="por pagar"),"vencida","no")</f>
        <v>no</v>
      </c>
    </row>
    <row r="352" spans="1:23" x14ac:dyDescent="0.3">
      <c r="A352">
        <v>30</v>
      </c>
      <c r="B352">
        <v>1580500</v>
      </c>
      <c r="D352" t="s">
        <v>139</v>
      </c>
      <c r="E352" s="156">
        <v>44733</v>
      </c>
      <c r="F352" t="s">
        <v>686</v>
      </c>
      <c r="G352" s="156">
        <v>44698</v>
      </c>
      <c r="H352" t="s">
        <v>1010</v>
      </c>
      <c r="I352">
        <v>1440000</v>
      </c>
      <c r="K352">
        <v>0</v>
      </c>
      <c r="M352">
        <v>0</v>
      </c>
      <c r="N352">
        <v>0</v>
      </c>
      <c r="O352">
        <v>0</v>
      </c>
      <c r="P352" s="117">
        <v>1440000</v>
      </c>
      <c r="Q352" s="117" t="s">
        <v>1021</v>
      </c>
      <c r="R352" s="150">
        <v>0</v>
      </c>
      <c r="S352" s="117" t="b">
        <f>OR(COUNTIF(Tabla2[[#This Row],[PROVEEDOR]],"*"&amp;'Palabra no opera'!$A$2&amp;"*"))</f>
        <v>0</v>
      </c>
      <c r="T352" s="150">
        <f>+$W$5-Tabla2[[#This Row],[FECHA DE FACTURACIÓN]]</f>
        <v>136</v>
      </c>
      <c r="U352" t="str">
        <f>+IF(Tabla2[[#This Row],[dias de credito]]&gt;=Tabla2[[#This Row],[PLAZO Días]],"venc", "No venc")</f>
        <v>venc</v>
      </c>
      <c r="V352" t="str">
        <f>+IF(Tabla2[[#This Row],[FECHA DE PAGO]]&gt;0,"pagada","por pagar")</f>
        <v>pagada</v>
      </c>
      <c r="W352" s="152" t="str">
        <f>+IF(AND(Tabla2[[#This Row],[venc]]="venc",Tabla2[[#This Row],[Columna1]]="por pagar"),"vencida","no")</f>
        <v>no</v>
      </c>
    </row>
    <row r="353" spans="1:23" x14ac:dyDescent="0.3">
      <c r="A353">
        <v>30</v>
      </c>
      <c r="B353">
        <v>146262.9</v>
      </c>
      <c r="D353" t="s">
        <v>262</v>
      </c>
      <c r="E353" s="156">
        <v>44733</v>
      </c>
      <c r="F353" t="s">
        <v>17</v>
      </c>
      <c r="G353" s="156">
        <v>44698</v>
      </c>
      <c r="H353">
        <v>1914942</v>
      </c>
      <c r="I353">
        <v>836500</v>
      </c>
      <c r="K353">
        <v>158935</v>
      </c>
      <c r="M353">
        <v>0</v>
      </c>
      <c r="N353">
        <v>0</v>
      </c>
      <c r="O353">
        <v>0</v>
      </c>
      <c r="P353" s="117">
        <v>995435</v>
      </c>
      <c r="Q353" s="117" t="s">
        <v>1021</v>
      </c>
      <c r="R353" s="150">
        <v>0</v>
      </c>
      <c r="S353" s="117" t="b">
        <f>OR(COUNTIF(Tabla2[[#This Row],[PROVEEDOR]],"*"&amp;'Palabra no opera'!$A$2&amp;"*"))</f>
        <v>0</v>
      </c>
      <c r="T353" s="150">
        <f>+$W$5-Tabla2[[#This Row],[FECHA DE FACTURACIÓN]]</f>
        <v>136</v>
      </c>
      <c r="U353" t="str">
        <f>+IF(Tabla2[[#This Row],[dias de credito]]&gt;=Tabla2[[#This Row],[PLAZO Días]],"venc", "No venc")</f>
        <v>venc</v>
      </c>
      <c r="V353" t="str">
        <f>+IF(Tabla2[[#This Row],[FECHA DE PAGO]]&gt;0,"pagada","por pagar")</f>
        <v>pagada</v>
      </c>
      <c r="W353" s="152" t="str">
        <f>+IF(AND(Tabla2[[#This Row],[venc]]="venc",Tabla2[[#This Row],[Columna1]]="por pagar"),"vencida","no")</f>
        <v>no</v>
      </c>
    </row>
    <row r="354" spans="1:23" x14ac:dyDescent="0.3">
      <c r="A354">
        <v>30</v>
      </c>
      <c r="B354">
        <v>6259125.5999999996</v>
      </c>
      <c r="D354" t="s">
        <v>264</v>
      </c>
      <c r="E354" s="156">
        <v>44733</v>
      </c>
      <c r="F354" t="s">
        <v>1448</v>
      </c>
      <c r="G354" s="156">
        <v>44696</v>
      </c>
      <c r="H354">
        <v>30872</v>
      </c>
      <c r="I354">
        <v>4680000</v>
      </c>
      <c r="K354">
        <v>889200</v>
      </c>
      <c r="M354">
        <v>0</v>
      </c>
      <c r="N354">
        <v>2.5000000000000001E-2</v>
      </c>
      <c r="O354">
        <v>117000</v>
      </c>
      <c r="P354" s="117">
        <v>5452200</v>
      </c>
      <c r="Q354" s="117" t="s">
        <v>1021</v>
      </c>
      <c r="R354" s="150">
        <v>0</v>
      </c>
      <c r="S354" s="117" t="b">
        <f>OR(COUNTIF(Tabla2[[#This Row],[PROVEEDOR]],"*"&amp;'Palabra no opera'!$A$2&amp;"*"))</f>
        <v>0</v>
      </c>
      <c r="T354" s="150">
        <f>+$W$5-Tabla2[[#This Row],[FECHA DE FACTURACIÓN]]</f>
        <v>138</v>
      </c>
      <c r="U354" t="str">
        <f>+IF(Tabla2[[#This Row],[dias de credito]]&gt;=Tabla2[[#This Row],[PLAZO Días]],"venc", "No venc")</f>
        <v>venc</v>
      </c>
      <c r="V354" t="str">
        <f>+IF(Tabla2[[#This Row],[FECHA DE PAGO]]&gt;0,"pagada","por pagar")</f>
        <v>pagada</v>
      </c>
      <c r="W354" s="152" t="str">
        <f>+IF(AND(Tabla2[[#This Row],[venc]]="venc",Tabla2[[#This Row],[Columna1]]="por pagar"),"vencida","no")</f>
        <v>no</v>
      </c>
    </row>
    <row r="355" spans="1:23" x14ac:dyDescent="0.3">
      <c r="A355">
        <v>30</v>
      </c>
      <c r="B355">
        <v>4656887.12</v>
      </c>
      <c r="D355" t="s">
        <v>170</v>
      </c>
      <c r="E355" s="156">
        <v>44733</v>
      </c>
      <c r="F355" t="s">
        <v>20</v>
      </c>
      <c r="G355" s="156">
        <v>44694</v>
      </c>
      <c r="H355">
        <v>7001</v>
      </c>
      <c r="I355">
        <v>1999798</v>
      </c>
      <c r="K355">
        <v>379961.62</v>
      </c>
      <c r="M355">
        <v>0</v>
      </c>
      <c r="N355">
        <v>2.5000000000000001E-2</v>
      </c>
      <c r="O355">
        <v>49994.950000000004</v>
      </c>
      <c r="P355" s="117">
        <v>2329764.67</v>
      </c>
      <c r="Q355" s="117" t="s">
        <v>1021</v>
      </c>
      <c r="R355" s="150">
        <v>0</v>
      </c>
      <c r="S355" s="117" t="b">
        <f>OR(COUNTIF(Tabla2[[#This Row],[PROVEEDOR]],"*"&amp;'Palabra no opera'!$A$2&amp;"*"))</f>
        <v>0</v>
      </c>
      <c r="T355" s="150">
        <f>+$W$5-Tabla2[[#This Row],[FECHA DE FACTURACIÓN]]</f>
        <v>140</v>
      </c>
      <c r="U355" t="str">
        <f>+IF(Tabla2[[#This Row],[dias de credito]]&gt;=Tabla2[[#This Row],[PLAZO Días]],"venc", "No venc")</f>
        <v>venc</v>
      </c>
      <c r="V355" t="str">
        <f>+IF(Tabla2[[#This Row],[FECHA DE PAGO]]&gt;0,"pagada","por pagar")</f>
        <v>pagada</v>
      </c>
      <c r="W355" s="152" t="str">
        <f>+IF(AND(Tabla2[[#This Row],[venc]]="venc",Tabla2[[#This Row],[Columna1]]="por pagar"),"vencida","no")</f>
        <v>no</v>
      </c>
    </row>
    <row r="356" spans="1:23" x14ac:dyDescent="0.3">
      <c r="A356">
        <v>0</v>
      </c>
      <c r="B356">
        <v>0</v>
      </c>
      <c r="D356">
        <v>0</v>
      </c>
      <c r="E356" s="156">
        <v>44730</v>
      </c>
      <c r="F356" t="s">
        <v>1050</v>
      </c>
      <c r="G356" s="156">
        <v>44713</v>
      </c>
      <c r="H356" t="s">
        <v>1385</v>
      </c>
      <c r="I356">
        <v>3000000</v>
      </c>
      <c r="K356">
        <v>0</v>
      </c>
      <c r="M356">
        <v>0</v>
      </c>
      <c r="N356">
        <v>0</v>
      </c>
      <c r="O356">
        <v>0</v>
      </c>
      <c r="P356" s="117">
        <v>3000000</v>
      </c>
      <c r="Q356" s="117" t="s">
        <v>1021</v>
      </c>
      <c r="R356" s="150">
        <v>0</v>
      </c>
      <c r="S356" s="117" t="b">
        <f>OR(COUNTIF(Tabla2[[#This Row],[PROVEEDOR]],"*"&amp;'Palabra no opera'!$A$2&amp;"*"))</f>
        <v>1</v>
      </c>
      <c r="T356" s="150">
        <f>+$W$5-Tabla2[[#This Row],[FECHA DE FACTURACIÓN]]</f>
        <v>121</v>
      </c>
      <c r="U356" t="str">
        <f>+IF(Tabla2[[#This Row],[dias de credito]]&gt;=Tabla2[[#This Row],[PLAZO Días]],"venc", "No venc")</f>
        <v>venc</v>
      </c>
      <c r="V356" t="str">
        <f>+IF(Tabla2[[#This Row],[FECHA DE PAGO]]&gt;0,"pagada","por pagar")</f>
        <v>pagada</v>
      </c>
      <c r="W356" s="152" t="str">
        <f>+IF(AND(Tabla2[[#This Row],[venc]]="venc",Tabla2[[#This Row],[Columna1]]="por pagar"),"vencida","no")</f>
        <v>no</v>
      </c>
    </row>
    <row r="357" spans="1:23" x14ac:dyDescent="0.3">
      <c r="A357">
        <v>0</v>
      </c>
      <c r="B357">
        <v>0</v>
      </c>
      <c r="D357">
        <v>0</v>
      </c>
      <c r="E357" s="156">
        <v>44730</v>
      </c>
      <c r="F357" t="s">
        <v>1050</v>
      </c>
      <c r="G357" s="156">
        <v>44713</v>
      </c>
      <c r="H357" t="s">
        <v>1385</v>
      </c>
      <c r="I357">
        <v>1500000</v>
      </c>
      <c r="K357">
        <v>0</v>
      </c>
      <c r="M357">
        <v>0</v>
      </c>
      <c r="N357">
        <v>0</v>
      </c>
      <c r="O357">
        <v>0</v>
      </c>
      <c r="P357" s="117">
        <v>1500000</v>
      </c>
      <c r="Q357" s="117" t="s">
        <v>1021</v>
      </c>
      <c r="R357" s="150">
        <v>0</v>
      </c>
      <c r="S357" s="117" t="b">
        <f>OR(COUNTIF(Tabla2[[#This Row],[PROVEEDOR]],"*"&amp;'Palabra no opera'!$A$2&amp;"*"))</f>
        <v>1</v>
      </c>
      <c r="T357" s="150">
        <f>+$W$5-Tabla2[[#This Row],[FECHA DE FACTURACIÓN]]</f>
        <v>121</v>
      </c>
      <c r="U357" t="str">
        <f>+IF(Tabla2[[#This Row],[dias de credito]]&gt;=Tabla2[[#This Row],[PLAZO Días]],"venc", "No venc")</f>
        <v>venc</v>
      </c>
      <c r="V357" t="str">
        <f>+IF(Tabla2[[#This Row],[FECHA DE PAGO]]&gt;0,"pagada","por pagar")</f>
        <v>pagada</v>
      </c>
      <c r="W357" s="152" t="str">
        <f>+IF(AND(Tabla2[[#This Row],[venc]]="venc",Tabla2[[#This Row],[Columna1]]="por pagar"),"vencida","no")</f>
        <v>no</v>
      </c>
    </row>
    <row r="358" spans="1:23" x14ac:dyDescent="0.3">
      <c r="A358">
        <v>30</v>
      </c>
      <c r="B358">
        <v>0</v>
      </c>
      <c r="D358" t="s">
        <v>139</v>
      </c>
      <c r="E358" s="156">
        <v>44729</v>
      </c>
      <c r="F358" t="s">
        <v>673</v>
      </c>
      <c r="G358" s="156">
        <v>44729</v>
      </c>
      <c r="I358">
        <v>1000000</v>
      </c>
      <c r="K358">
        <v>0</v>
      </c>
      <c r="M358">
        <v>0</v>
      </c>
      <c r="N358">
        <v>0</v>
      </c>
      <c r="O358">
        <v>0</v>
      </c>
      <c r="P358" s="117">
        <v>1000000</v>
      </c>
      <c r="Q358" s="117" t="s">
        <v>1021</v>
      </c>
      <c r="R358" s="150">
        <v>0</v>
      </c>
      <c r="S358" s="117" t="b">
        <f>OR(COUNTIF(Tabla2[[#This Row],[PROVEEDOR]],"*"&amp;'Palabra no opera'!$A$2&amp;"*"))</f>
        <v>0</v>
      </c>
      <c r="T358" s="150">
        <f>+$W$5-Tabla2[[#This Row],[FECHA DE FACTURACIÓN]]</f>
        <v>105</v>
      </c>
      <c r="U358" t="str">
        <f>+IF(Tabla2[[#This Row],[dias de credito]]&gt;=Tabla2[[#This Row],[PLAZO Días]],"venc", "No venc")</f>
        <v>venc</v>
      </c>
      <c r="V358" t="str">
        <f>+IF(Tabla2[[#This Row],[FECHA DE PAGO]]&gt;0,"pagada","por pagar")</f>
        <v>pagada</v>
      </c>
      <c r="W358" s="152" t="str">
        <f>+IF(AND(Tabla2[[#This Row],[venc]]="venc",Tabla2[[#This Row],[Columna1]]="por pagar"),"vencida","no")</f>
        <v>no</v>
      </c>
    </row>
    <row r="359" spans="1:23" x14ac:dyDescent="0.3">
      <c r="A359">
        <v>30</v>
      </c>
      <c r="B359">
        <v>326474.88</v>
      </c>
      <c r="D359" t="s">
        <v>949</v>
      </c>
      <c r="E359" s="156">
        <v>44729</v>
      </c>
      <c r="F359" t="s">
        <v>345</v>
      </c>
      <c r="G359" s="156">
        <v>44729</v>
      </c>
      <c r="H359" t="s">
        <v>1103</v>
      </c>
      <c r="I359">
        <v>195297.47</v>
      </c>
      <c r="K359">
        <v>0</v>
      </c>
      <c r="M359">
        <v>0</v>
      </c>
      <c r="N359">
        <v>0</v>
      </c>
      <c r="O359">
        <v>0</v>
      </c>
      <c r="P359" s="117">
        <v>195297.47</v>
      </c>
      <c r="Q359" s="117" t="s">
        <v>1021</v>
      </c>
      <c r="R359" s="150">
        <v>0</v>
      </c>
      <c r="S359" s="117" t="b">
        <f>OR(COUNTIF(Tabla2[[#This Row],[PROVEEDOR]],"*"&amp;'Palabra no opera'!$A$2&amp;"*"))</f>
        <v>0</v>
      </c>
      <c r="T359" s="150">
        <f>+$W$5-Tabla2[[#This Row],[FECHA DE FACTURACIÓN]]</f>
        <v>105</v>
      </c>
      <c r="U359" t="str">
        <f>+IF(Tabla2[[#This Row],[dias de credito]]&gt;=Tabla2[[#This Row],[PLAZO Días]],"venc", "No venc")</f>
        <v>venc</v>
      </c>
      <c r="V359" t="str">
        <f>+IF(Tabla2[[#This Row],[FECHA DE PAGO]]&gt;0,"pagada","por pagar")</f>
        <v>pagada</v>
      </c>
      <c r="W359" s="152" t="str">
        <f>+IF(AND(Tabla2[[#This Row],[venc]]="venc",Tabla2[[#This Row],[Columna1]]="por pagar"),"vencida","no")</f>
        <v>no</v>
      </c>
    </row>
    <row r="360" spans="1:23" x14ac:dyDescent="0.3">
      <c r="A360">
        <v>30</v>
      </c>
      <c r="B360">
        <v>0</v>
      </c>
      <c r="D360" t="s">
        <v>250</v>
      </c>
      <c r="E360" s="156">
        <v>44729</v>
      </c>
      <c r="F360" t="s">
        <v>1451</v>
      </c>
      <c r="G360" s="156">
        <v>44727</v>
      </c>
      <c r="H360">
        <v>237</v>
      </c>
      <c r="I360">
        <v>300000</v>
      </c>
      <c r="K360">
        <v>0</v>
      </c>
      <c r="M360">
        <v>0</v>
      </c>
      <c r="N360">
        <v>0.01</v>
      </c>
      <c r="O360">
        <v>3000</v>
      </c>
      <c r="P360" s="117">
        <v>297000</v>
      </c>
      <c r="Q360" s="117" t="s">
        <v>1021</v>
      </c>
      <c r="R360" s="150">
        <v>0</v>
      </c>
      <c r="S360" s="117" t="b">
        <f>OR(COUNTIF(Tabla2[[#This Row],[PROVEEDOR]],"*"&amp;'Palabra no opera'!$A$2&amp;"*"))</f>
        <v>0</v>
      </c>
      <c r="T360" s="150">
        <f>+$W$5-Tabla2[[#This Row],[FECHA DE FACTURACIÓN]]</f>
        <v>107</v>
      </c>
      <c r="U360" t="str">
        <f>+IF(Tabla2[[#This Row],[dias de credito]]&gt;=Tabla2[[#This Row],[PLAZO Días]],"venc", "No venc")</f>
        <v>venc</v>
      </c>
      <c r="V360" t="str">
        <f>+IF(Tabla2[[#This Row],[FECHA DE PAGO]]&gt;0,"pagada","por pagar")</f>
        <v>pagada</v>
      </c>
      <c r="W360" s="152" t="str">
        <f>+IF(AND(Tabla2[[#This Row],[venc]]="venc",Tabla2[[#This Row],[Columna1]]="por pagar"),"vencida","no")</f>
        <v>no</v>
      </c>
    </row>
    <row r="361" spans="1:23" x14ac:dyDescent="0.3">
      <c r="A361">
        <v>30</v>
      </c>
      <c r="B361">
        <v>0</v>
      </c>
      <c r="D361" t="s">
        <v>676</v>
      </c>
      <c r="E361" s="156">
        <v>44729</v>
      </c>
      <c r="F361" t="s">
        <v>940</v>
      </c>
      <c r="G361" s="156">
        <v>44713</v>
      </c>
      <c r="H361">
        <v>67699</v>
      </c>
      <c r="I361">
        <v>284467</v>
      </c>
      <c r="K361">
        <v>0</v>
      </c>
      <c r="M361">
        <v>0</v>
      </c>
      <c r="N361">
        <v>0</v>
      </c>
      <c r="O361">
        <v>0</v>
      </c>
      <c r="P361" s="117">
        <v>284467</v>
      </c>
      <c r="Q361" s="117" t="s">
        <v>1021</v>
      </c>
      <c r="R361" s="150">
        <v>0</v>
      </c>
      <c r="S361" s="117" t="b">
        <f>OR(COUNTIF(Tabla2[[#This Row],[PROVEEDOR]],"*"&amp;'Palabra no opera'!$A$2&amp;"*"))</f>
        <v>1</v>
      </c>
      <c r="T361" s="150">
        <f>+$W$5-Tabla2[[#This Row],[FECHA DE FACTURACIÓN]]</f>
        <v>121</v>
      </c>
      <c r="U361" t="str">
        <f>+IF(Tabla2[[#This Row],[dias de credito]]&gt;=Tabla2[[#This Row],[PLAZO Días]],"venc", "No venc")</f>
        <v>venc</v>
      </c>
      <c r="V361" t="str">
        <f>+IF(Tabla2[[#This Row],[FECHA DE PAGO]]&gt;0,"pagada","por pagar")</f>
        <v>pagada</v>
      </c>
      <c r="W361" s="152" t="str">
        <f>+IF(AND(Tabla2[[#This Row],[venc]]="venc",Tabla2[[#This Row],[Columna1]]="por pagar"),"vencida","no")</f>
        <v>no</v>
      </c>
    </row>
    <row r="362" spans="1:23" x14ac:dyDescent="0.3">
      <c r="A362">
        <v>30</v>
      </c>
      <c r="B362">
        <v>0</v>
      </c>
      <c r="D362" t="s">
        <v>650</v>
      </c>
      <c r="E362" s="156">
        <v>44729</v>
      </c>
      <c r="F362" t="s">
        <v>913</v>
      </c>
      <c r="G362" s="156">
        <v>44713</v>
      </c>
      <c r="H362" t="s">
        <v>1004</v>
      </c>
      <c r="I362">
        <v>3294426</v>
      </c>
      <c r="K362">
        <v>625940.94000000006</v>
      </c>
      <c r="M362">
        <v>0</v>
      </c>
      <c r="N362">
        <v>0</v>
      </c>
      <c r="O362">
        <v>0</v>
      </c>
      <c r="P362" s="117">
        <v>3920366.94</v>
      </c>
      <c r="Q362" s="117" t="s">
        <v>1021</v>
      </c>
      <c r="R362" s="150">
        <v>0</v>
      </c>
      <c r="S362" s="117" t="b">
        <f>OR(COUNTIF(Tabla2[[#This Row],[PROVEEDOR]],"*"&amp;'Palabra no opera'!$A$2&amp;"*"))</f>
        <v>1</v>
      </c>
      <c r="T362" s="150">
        <f>+$W$5-Tabla2[[#This Row],[FECHA DE FACTURACIÓN]]</f>
        <v>121</v>
      </c>
      <c r="U362" t="str">
        <f>+IF(Tabla2[[#This Row],[dias de credito]]&gt;=Tabla2[[#This Row],[PLAZO Días]],"venc", "No venc")</f>
        <v>venc</v>
      </c>
      <c r="V362" t="str">
        <f>+IF(Tabla2[[#This Row],[FECHA DE PAGO]]&gt;0,"pagada","por pagar")</f>
        <v>pagada</v>
      </c>
      <c r="W362" s="152" t="str">
        <f>+IF(AND(Tabla2[[#This Row],[venc]]="venc",Tabla2[[#This Row],[Columna1]]="por pagar"),"vencida","no")</f>
        <v>no</v>
      </c>
    </row>
    <row r="363" spans="1:23" x14ac:dyDescent="0.3">
      <c r="A363">
        <v>30</v>
      </c>
      <c r="B363">
        <v>0</v>
      </c>
      <c r="D363" t="s">
        <v>650</v>
      </c>
      <c r="E363" s="156">
        <v>44729</v>
      </c>
      <c r="F363" t="s">
        <v>913</v>
      </c>
      <c r="G363" s="156">
        <v>44713</v>
      </c>
      <c r="H363" t="s">
        <v>1005</v>
      </c>
      <c r="I363">
        <v>791781</v>
      </c>
      <c r="K363">
        <v>150438.39000000001</v>
      </c>
      <c r="M363">
        <v>0</v>
      </c>
      <c r="N363">
        <v>0</v>
      </c>
      <c r="O363">
        <v>0</v>
      </c>
      <c r="P363" s="117">
        <v>942219.39</v>
      </c>
      <c r="Q363" s="117" t="s">
        <v>1021</v>
      </c>
      <c r="R363" s="150">
        <v>0</v>
      </c>
      <c r="S363" s="117" t="b">
        <f>OR(COUNTIF(Tabla2[[#This Row],[PROVEEDOR]],"*"&amp;'Palabra no opera'!$A$2&amp;"*"))</f>
        <v>1</v>
      </c>
      <c r="T363" s="150">
        <f>+$W$5-Tabla2[[#This Row],[FECHA DE FACTURACIÓN]]</f>
        <v>121</v>
      </c>
      <c r="U363" t="str">
        <f>+IF(Tabla2[[#This Row],[dias de credito]]&gt;=Tabla2[[#This Row],[PLAZO Días]],"venc", "No venc")</f>
        <v>venc</v>
      </c>
      <c r="V363" t="str">
        <f>+IF(Tabla2[[#This Row],[FECHA DE PAGO]]&gt;0,"pagada","por pagar")</f>
        <v>pagada</v>
      </c>
      <c r="W363" s="152" t="str">
        <f>+IF(AND(Tabla2[[#This Row],[venc]]="venc",Tabla2[[#This Row],[Columna1]]="por pagar"),"vencida","no")</f>
        <v>no</v>
      </c>
    </row>
    <row r="364" spans="1:23" x14ac:dyDescent="0.3">
      <c r="A364">
        <v>30</v>
      </c>
      <c r="B364">
        <v>0</v>
      </c>
      <c r="D364" t="s">
        <v>650</v>
      </c>
      <c r="E364" s="156">
        <v>44729</v>
      </c>
      <c r="F364" t="s">
        <v>913</v>
      </c>
      <c r="G364" s="156">
        <v>44713</v>
      </c>
      <c r="H364" t="s">
        <v>1006</v>
      </c>
      <c r="I364">
        <v>17570</v>
      </c>
      <c r="K364">
        <v>3338.3</v>
      </c>
      <c r="M364">
        <v>0</v>
      </c>
      <c r="N364">
        <v>0</v>
      </c>
      <c r="O364">
        <v>0</v>
      </c>
      <c r="P364" s="117">
        <v>20908.3</v>
      </c>
      <c r="Q364" s="117" t="s">
        <v>1021</v>
      </c>
      <c r="R364" s="150">
        <v>0</v>
      </c>
      <c r="S364" s="117" t="b">
        <f>OR(COUNTIF(Tabla2[[#This Row],[PROVEEDOR]],"*"&amp;'Palabra no opera'!$A$2&amp;"*"))</f>
        <v>1</v>
      </c>
      <c r="T364" s="150">
        <f>+$W$5-Tabla2[[#This Row],[FECHA DE FACTURACIÓN]]</f>
        <v>121</v>
      </c>
      <c r="U364" t="str">
        <f>+IF(Tabla2[[#This Row],[dias de credito]]&gt;=Tabla2[[#This Row],[PLAZO Días]],"venc", "No venc")</f>
        <v>venc</v>
      </c>
      <c r="V364" t="str">
        <f>+IF(Tabla2[[#This Row],[FECHA DE PAGO]]&gt;0,"pagada","por pagar")</f>
        <v>pagada</v>
      </c>
      <c r="W364" s="152" t="str">
        <f>+IF(AND(Tabla2[[#This Row],[venc]]="venc",Tabla2[[#This Row],[Columna1]]="por pagar"),"vencida","no")</f>
        <v>no</v>
      </c>
    </row>
    <row r="365" spans="1:23" x14ac:dyDescent="0.3">
      <c r="A365">
        <v>30</v>
      </c>
      <c r="B365">
        <v>0</v>
      </c>
      <c r="D365" t="s">
        <v>650</v>
      </c>
      <c r="E365" s="156">
        <v>44729</v>
      </c>
      <c r="F365" t="s">
        <v>913</v>
      </c>
      <c r="G365" s="156">
        <v>44713</v>
      </c>
      <c r="H365" t="s">
        <v>1003</v>
      </c>
      <c r="I365">
        <v>4222</v>
      </c>
      <c r="K365">
        <v>802.18000000000006</v>
      </c>
      <c r="M365">
        <v>0</v>
      </c>
      <c r="N365">
        <v>0</v>
      </c>
      <c r="O365">
        <v>0</v>
      </c>
      <c r="P365" s="117">
        <v>5024.18</v>
      </c>
      <c r="Q365" s="117" t="s">
        <v>1021</v>
      </c>
      <c r="R365" s="150">
        <v>0</v>
      </c>
      <c r="S365" s="117" t="b">
        <f>OR(COUNTIF(Tabla2[[#This Row],[PROVEEDOR]],"*"&amp;'Palabra no opera'!$A$2&amp;"*"))</f>
        <v>1</v>
      </c>
      <c r="T365" s="150">
        <f>+$W$5-Tabla2[[#This Row],[FECHA DE FACTURACIÓN]]</f>
        <v>121</v>
      </c>
      <c r="U365" t="str">
        <f>+IF(Tabla2[[#This Row],[dias de credito]]&gt;=Tabla2[[#This Row],[PLAZO Días]],"venc", "No venc")</f>
        <v>venc</v>
      </c>
      <c r="V365" t="str">
        <f>+IF(Tabla2[[#This Row],[FECHA DE PAGO]]&gt;0,"pagada","por pagar")</f>
        <v>pagada</v>
      </c>
      <c r="W365" s="152" t="str">
        <f>+IF(AND(Tabla2[[#This Row],[venc]]="venc",Tabla2[[#This Row],[Columna1]]="por pagar"),"vencida","no")</f>
        <v>no</v>
      </c>
    </row>
    <row r="366" spans="1:23" x14ac:dyDescent="0.3">
      <c r="A366">
        <v>30</v>
      </c>
      <c r="B366">
        <v>0</v>
      </c>
      <c r="D366" t="s">
        <v>1036</v>
      </c>
      <c r="E366" s="156">
        <v>44729</v>
      </c>
      <c r="F366" t="s">
        <v>927</v>
      </c>
      <c r="G366" s="156">
        <v>44713</v>
      </c>
      <c r="H366" t="s">
        <v>313</v>
      </c>
      <c r="I366">
        <v>818875</v>
      </c>
      <c r="K366">
        <v>0</v>
      </c>
      <c r="M366">
        <v>0</v>
      </c>
      <c r="N366">
        <v>0</v>
      </c>
      <c r="O366">
        <v>0</v>
      </c>
      <c r="P366" s="117">
        <v>818875</v>
      </c>
      <c r="Q366" s="117" t="s">
        <v>1021</v>
      </c>
      <c r="R366" s="150">
        <v>0</v>
      </c>
      <c r="S366" s="117" t="b">
        <f>OR(COUNTIF(Tabla2[[#This Row],[PROVEEDOR]],"*"&amp;'Palabra no opera'!$A$2&amp;"*"))</f>
        <v>1</v>
      </c>
      <c r="T366" s="150">
        <f>+$W$5-Tabla2[[#This Row],[FECHA DE FACTURACIÓN]]</f>
        <v>121</v>
      </c>
      <c r="U366" t="str">
        <f>+IF(Tabla2[[#This Row],[dias de credito]]&gt;=Tabla2[[#This Row],[PLAZO Días]],"venc", "No venc")</f>
        <v>venc</v>
      </c>
      <c r="V366" t="str">
        <f>+IF(Tabla2[[#This Row],[FECHA DE PAGO]]&gt;0,"pagada","por pagar")</f>
        <v>pagada</v>
      </c>
      <c r="W366" s="152" t="str">
        <f>+IF(AND(Tabla2[[#This Row],[venc]]="venc",Tabla2[[#This Row],[Columna1]]="por pagar"),"vencida","no")</f>
        <v>no</v>
      </c>
    </row>
    <row r="367" spans="1:23" x14ac:dyDescent="0.3">
      <c r="A367">
        <v>30</v>
      </c>
      <c r="B367">
        <v>0</v>
      </c>
      <c r="D367" t="s">
        <v>1036</v>
      </c>
      <c r="E367" s="156">
        <v>44729</v>
      </c>
      <c r="F367" t="s">
        <v>927</v>
      </c>
      <c r="G367" s="156">
        <v>44713</v>
      </c>
      <c r="H367" t="s">
        <v>312</v>
      </c>
      <c r="I367">
        <v>825349</v>
      </c>
      <c r="K367">
        <v>0</v>
      </c>
      <c r="M367">
        <v>0</v>
      </c>
      <c r="N367">
        <v>0</v>
      </c>
      <c r="O367">
        <v>0</v>
      </c>
      <c r="P367" s="117">
        <v>825349</v>
      </c>
      <c r="Q367" s="117" t="s">
        <v>1021</v>
      </c>
      <c r="R367" s="150">
        <v>0</v>
      </c>
      <c r="S367" s="117" t="b">
        <f>OR(COUNTIF(Tabla2[[#This Row],[PROVEEDOR]],"*"&amp;'Palabra no opera'!$A$2&amp;"*"))</f>
        <v>1</v>
      </c>
      <c r="T367" s="150">
        <f>+$W$5-Tabla2[[#This Row],[FECHA DE FACTURACIÓN]]</f>
        <v>121</v>
      </c>
      <c r="U367" t="str">
        <f>+IF(Tabla2[[#This Row],[dias de credito]]&gt;=Tabla2[[#This Row],[PLAZO Días]],"venc", "No venc")</f>
        <v>venc</v>
      </c>
      <c r="V367" t="str">
        <f>+IF(Tabla2[[#This Row],[FECHA DE PAGO]]&gt;0,"pagada","por pagar")</f>
        <v>pagada</v>
      </c>
      <c r="W367" s="152" t="str">
        <f>+IF(AND(Tabla2[[#This Row],[venc]]="venc",Tabla2[[#This Row],[Columna1]]="por pagar"),"vencida","no")</f>
        <v>no</v>
      </c>
    </row>
    <row r="368" spans="1:23" x14ac:dyDescent="0.3">
      <c r="A368">
        <v>30</v>
      </c>
      <c r="B368">
        <v>0</v>
      </c>
      <c r="D368" t="s">
        <v>1036</v>
      </c>
      <c r="E368" s="156">
        <v>44729</v>
      </c>
      <c r="F368" t="s">
        <v>927</v>
      </c>
      <c r="G368" s="156">
        <v>44713</v>
      </c>
      <c r="H368" t="s">
        <v>313</v>
      </c>
      <c r="I368">
        <v>68166</v>
      </c>
      <c r="K368">
        <v>0</v>
      </c>
      <c r="M368">
        <v>0</v>
      </c>
      <c r="N368">
        <v>0</v>
      </c>
      <c r="O368">
        <v>0</v>
      </c>
      <c r="P368" s="117">
        <v>68166</v>
      </c>
      <c r="Q368" s="117" t="s">
        <v>1021</v>
      </c>
      <c r="R368" s="150">
        <v>0</v>
      </c>
      <c r="S368" s="117" t="b">
        <f>OR(COUNTIF(Tabla2[[#This Row],[PROVEEDOR]],"*"&amp;'Palabra no opera'!$A$2&amp;"*"))</f>
        <v>1</v>
      </c>
      <c r="T368" s="150">
        <f>+$W$5-Tabla2[[#This Row],[FECHA DE FACTURACIÓN]]</f>
        <v>121</v>
      </c>
      <c r="U368" t="str">
        <f>+IF(Tabla2[[#This Row],[dias de credito]]&gt;=Tabla2[[#This Row],[PLAZO Días]],"venc", "No venc")</f>
        <v>venc</v>
      </c>
      <c r="V368" t="str">
        <f>+IF(Tabla2[[#This Row],[FECHA DE PAGO]]&gt;0,"pagada","por pagar")</f>
        <v>pagada</v>
      </c>
      <c r="W368" s="152" t="str">
        <f>+IF(AND(Tabla2[[#This Row],[venc]]="venc",Tabla2[[#This Row],[Columna1]]="por pagar"),"vencida","no")</f>
        <v>no</v>
      </c>
    </row>
    <row r="369" spans="1:23" x14ac:dyDescent="0.3">
      <c r="A369">
        <v>30</v>
      </c>
      <c r="B369">
        <v>0</v>
      </c>
      <c r="D369" t="s">
        <v>1036</v>
      </c>
      <c r="E369" s="156">
        <v>44729</v>
      </c>
      <c r="F369" t="s">
        <v>927</v>
      </c>
      <c r="G369" s="156">
        <v>44713</v>
      </c>
      <c r="H369" t="s">
        <v>312</v>
      </c>
      <c r="I369">
        <v>59583</v>
      </c>
      <c r="K369">
        <v>0</v>
      </c>
      <c r="M369">
        <v>0</v>
      </c>
      <c r="N369">
        <v>0</v>
      </c>
      <c r="O369">
        <v>0</v>
      </c>
      <c r="P369" s="117">
        <v>59583</v>
      </c>
      <c r="Q369" s="117" t="s">
        <v>1021</v>
      </c>
      <c r="R369" s="150">
        <v>0</v>
      </c>
      <c r="S369" s="117" t="b">
        <f>OR(COUNTIF(Tabla2[[#This Row],[PROVEEDOR]],"*"&amp;'Palabra no opera'!$A$2&amp;"*"))</f>
        <v>1</v>
      </c>
      <c r="T369" s="150">
        <f>+$W$5-Tabla2[[#This Row],[FECHA DE FACTURACIÓN]]</f>
        <v>121</v>
      </c>
      <c r="U369" t="str">
        <f>+IF(Tabla2[[#This Row],[dias de credito]]&gt;=Tabla2[[#This Row],[PLAZO Días]],"venc", "No venc")</f>
        <v>venc</v>
      </c>
      <c r="V369" t="str">
        <f>+IF(Tabla2[[#This Row],[FECHA DE PAGO]]&gt;0,"pagada","por pagar")</f>
        <v>pagada</v>
      </c>
      <c r="W369" s="152" t="str">
        <f>+IF(AND(Tabla2[[#This Row],[venc]]="venc",Tabla2[[#This Row],[Columna1]]="por pagar"),"vencida","no")</f>
        <v>no</v>
      </c>
    </row>
    <row r="370" spans="1:23" x14ac:dyDescent="0.3">
      <c r="A370">
        <v>30</v>
      </c>
      <c r="B370">
        <v>0</v>
      </c>
      <c r="D370">
        <v>0</v>
      </c>
      <c r="E370" s="156">
        <v>44729</v>
      </c>
      <c r="F370" t="s">
        <v>932</v>
      </c>
      <c r="G370" s="156">
        <v>44713</v>
      </c>
      <c r="H370" t="s">
        <v>306</v>
      </c>
      <c r="I370">
        <v>1527459</v>
      </c>
      <c r="K370">
        <v>0</v>
      </c>
      <c r="M370">
        <v>0</v>
      </c>
      <c r="N370">
        <v>0</v>
      </c>
      <c r="O370">
        <v>0</v>
      </c>
      <c r="P370" s="117">
        <v>1527459</v>
      </c>
      <c r="Q370" s="117" t="s">
        <v>1021</v>
      </c>
      <c r="R370" s="150">
        <v>0</v>
      </c>
      <c r="S370" s="117" t="b">
        <f>OR(COUNTIF(Tabla2[[#This Row],[PROVEEDOR]],"*"&amp;'Palabra no opera'!$A$2&amp;"*"))</f>
        <v>1</v>
      </c>
      <c r="T370" s="150">
        <f>+$W$5-Tabla2[[#This Row],[FECHA DE FACTURACIÓN]]</f>
        <v>121</v>
      </c>
      <c r="U370" t="str">
        <f>+IF(Tabla2[[#This Row],[dias de credito]]&gt;=Tabla2[[#This Row],[PLAZO Días]],"venc", "No venc")</f>
        <v>venc</v>
      </c>
      <c r="V370" t="str">
        <f>+IF(Tabla2[[#This Row],[FECHA DE PAGO]]&gt;0,"pagada","por pagar")</f>
        <v>pagada</v>
      </c>
      <c r="W370" s="152" t="str">
        <f>+IF(AND(Tabla2[[#This Row],[venc]]="venc",Tabla2[[#This Row],[Columna1]]="por pagar"),"vencida","no")</f>
        <v>no</v>
      </c>
    </row>
    <row r="371" spans="1:23" x14ac:dyDescent="0.3">
      <c r="A371">
        <v>30</v>
      </c>
      <c r="B371">
        <v>0</v>
      </c>
      <c r="D371" t="s">
        <v>141</v>
      </c>
      <c r="E371" s="156">
        <v>44729</v>
      </c>
      <c r="F371" t="s">
        <v>935</v>
      </c>
      <c r="G371" s="156">
        <v>44713</v>
      </c>
      <c r="I371">
        <v>326243</v>
      </c>
      <c r="K371">
        <v>0</v>
      </c>
      <c r="M371">
        <v>0</v>
      </c>
      <c r="N371">
        <v>0</v>
      </c>
      <c r="O371">
        <v>0</v>
      </c>
      <c r="P371" s="117">
        <v>326243</v>
      </c>
      <c r="Q371" s="117" t="s">
        <v>1021</v>
      </c>
      <c r="R371" s="150">
        <v>0</v>
      </c>
      <c r="S371" s="117" t="b">
        <f>OR(COUNTIF(Tabla2[[#This Row],[PROVEEDOR]],"*"&amp;'Palabra no opera'!$A$2&amp;"*"))</f>
        <v>1</v>
      </c>
      <c r="T371" s="150">
        <f>+$W$5-Tabla2[[#This Row],[FECHA DE FACTURACIÓN]]</f>
        <v>121</v>
      </c>
      <c r="U371" t="str">
        <f>+IF(Tabla2[[#This Row],[dias de credito]]&gt;=Tabla2[[#This Row],[PLAZO Días]],"venc", "No venc")</f>
        <v>venc</v>
      </c>
      <c r="V371" t="str">
        <f>+IF(Tabla2[[#This Row],[FECHA DE PAGO]]&gt;0,"pagada","por pagar")</f>
        <v>pagada</v>
      </c>
      <c r="W371" s="152" t="str">
        <f>+IF(AND(Tabla2[[#This Row],[venc]]="venc",Tabla2[[#This Row],[Columna1]]="por pagar"),"vencida","no")</f>
        <v>no</v>
      </c>
    </row>
    <row r="372" spans="1:23" x14ac:dyDescent="0.3">
      <c r="A372">
        <v>45</v>
      </c>
      <c r="B372">
        <v>30078253.170000002</v>
      </c>
      <c r="D372" t="s">
        <v>884</v>
      </c>
      <c r="E372" s="156">
        <v>44729</v>
      </c>
      <c r="F372" t="s">
        <v>19</v>
      </c>
      <c r="G372" s="156">
        <v>44679</v>
      </c>
      <c r="H372" t="s">
        <v>897</v>
      </c>
      <c r="I372">
        <v>146240</v>
      </c>
      <c r="K372">
        <v>27785.599999999999</v>
      </c>
      <c r="M372">
        <v>0</v>
      </c>
      <c r="N372">
        <v>0</v>
      </c>
      <c r="O372">
        <v>0</v>
      </c>
      <c r="P372" s="117">
        <v>174025.60000000001</v>
      </c>
      <c r="Q372" s="117" t="s">
        <v>1021</v>
      </c>
      <c r="R372" s="150">
        <v>0</v>
      </c>
      <c r="S372" s="117" t="b">
        <f>OR(COUNTIF(Tabla2[[#This Row],[PROVEEDOR]],"*"&amp;'Palabra no opera'!$A$2&amp;"*"))</f>
        <v>0</v>
      </c>
      <c r="T372" s="150">
        <f>+$W$5-Tabla2[[#This Row],[FECHA DE FACTURACIÓN]]</f>
        <v>155</v>
      </c>
      <c r="U372" t="str">
        <f>+IF(Tabla2[[#This Row],[dias de credito]]&gt;=Tabla2[[#This Row],[PLAZO Días]],"venc", "No venc")</f>
        <v>venc</v>
      </c>
      <c r="V372" t="str">
        <f>+IF(Tabla2[[#This Row],[FECHA DE PAGO]]&gt;0,"pagada","por pagar")</f>
        <v>pagada</v>
      </c>
      <c r="W372" s="152" t="str">
        <f>+IF(AND(Tabla2[[#This Row],[venc]]="venc",Tabla2[[#This Row],[Columna1]]="por pagar"),"vencida","no")</f>
        <v>no</v>
      </c>
    </row>
    <row r="373" spans="1:23" x14ac:dyDescent="0.3">
      <c r="A373">
        <v>45</v>
      </c>
      <c r="B373">
        <v>30078253.170000002</v>
      </c>
      <c r="D373" t="s">
        <v>884</v>
      </c>
      <c r="E373" s="156">
        <v>44729</v>
      </c>
      <c r="F373" t="s">
        <v>19</v>
      </c>
      <c r="G373" s="156">
        <v>44677</v>
      </c>
      <c r="H373" t="s">
        <v>896</v>
      </c>
      <c r="I373">
        <v>16175936</v>
      </c>
      <c r="K373">
        <v>3073427.84</v>
      </c>
      <c r="M373">
        <v>0</v>
      </c>
      <c r="N373">
        <v>0</v>
      </c>
      <c r="O373">
        <v>0</v>
      </c>
      <c r="P373" s="117">
        <v>19249363.84</v>
      </c>
      <c r="Q373" s="117" t="s">
        <v>1021</v>
      </c>
      <c r="R373" s="150">
        <v>0</v>
      </c>
      <c r="S373" s="117" t="b">
        <f>OR(COUNTIF(Tabla2[[#This Row],[PROVEEDOR]],"*"&amp;'Palabra no opera'!$A$2&amp;"*"))</f>
        <v>0</v>
      </c>
      <c r="T373" s="150">
        <f>+$W$5-Tabla2[[#This Row],[FECHA DE FACTURACIÓN]]</f>
        <v>157</v>
      </c>
      <c r="U373" t="str">
        <f>+IF(Tabla2[[#This Row],[dias de credito]]&gt;=Tabla2[[#This Row],[PLAZO Días]],"venc", "No venc")</f>
        <v>venc</v>
      </c>
      <c r="V373" t="str">
        <f>+IF(Tabla2[[#This Row],[FECHA DE PAGO]]&gt;0,"pagada","por pagar")</f>
        <v>pagada</v>
      </c>
      <c r="W373" s="152" t="str">
        <f>+IF(AND(Tabla2[[#This Row],[venc]]="venc",Tabla2[[#This Row],[Columna1]]="por pagar"),"vencida","no")</f>
        <v>no</v>
      </c>
    </row>
    <row r="374" spans="1:23" x14ac:dyDescent="0.3">
      <c r="A374">
        <v>30</v>
      </c>
      <c r="B374">
        <v>0</v>
      </c>
      <c r="D374" t="s">
        <v>139</v>
      </c>
      <c r="E374" s="156">
        <v>44728</v>
      </c>
      <c r="F374" t="s">
        <v>53</v>
      </c>
      <c r="G374" s="156">
        <v>44727</v>
      </c>
      <c r="H374">
        <v>291707</v>
      </c>
      <c r="I374">
        <v>2134000</v>
      </c>
      <c r="K374">
        <v>0</v>
      </c>
      <c r="M374">
        <v>0</v>
      </c>
      <c r="N374">
        <v>0</v>
      </c>
      <c r="O374">
        <v>0</v>
      </c>
      <c r="P374" s="117">
        <v>2134000</v>
      </c>
      <c r="Q374" s="117" t="s">
        <v>1021</v>
      </c>
      <c r="R374" s="150">
        <v>0</v>
      </c>
      <c r="S374" s="117" t="b">
        <f>OR(COUNTIF(Tabla2[[#This Row],[PROVEEDOR]],"*"&amp;'Palabra no opera'!$A$2&amp;"*"))</f>
        <v>0</v>
      </c>
      <c r="T374" s="150">
        <f>+$W$5-Tabla2[[#This Row],[FECHA DE FACTURACIÓN]]</f>
        <v>107</v>
      </c>
      <c r="U374" t="str">
        <f>+IF(Tabla2[[#This Row],[dias de credito]]&gt;=Tabla2[[#This Row],[PLAZO Días]],"venc", "No venc")</f>
        <v>venc</v>
      </c>
      <c r="V374" t="str">
        <f>+IF(Tabla2[[#This Row],[FECHA DE PAGO]]&gt;0,"pagada","por pagar")</f>
        <v>pagada</v>
      </c>
      <c r="W374" s="152" t="str">
        <f>+IF(AND(Tabla2[[#This Row],[venc]]="venc",Tabla2[[#This Row],[Columna1]]="por pagar"),"vencida","no")</f>
        <v>no</v>
      </c>
    </row>
    <row r="375" spans="1:23" x14ac:dyDescent="0.3">
      <c r="A375">
        <v>30</v>
      </c>
      <c r="B375">
        <v>326474.88</v>
      </c>
      <c r="D375" t="s">
        <v>949</v>
      </c>
      <c r="E375" s="156">
        <v>44728</v>
      </c>
      <c r="F375" t="s">
        <v>345</v>
      </c>
      <c r="G375" s="156">
        <v>44727</v>
      </c>
      <c r="H375" t="s">
        <v>1105</v>
      </c>
      <c r="I375">
        <v>1919000</v>
      </c>
      <c r="K375">
        <v>0</v>
      </c>
      <c r="M375">
        <v>0</v>
      </c>
      <c r="N375">
        <v>0</v>
      </c>
      <c r="O375">
        <v>0</v>
      </c>
      <c r="P375" s="117">
        <v>1919000</v>
      </c>
      <c r="Q375" s="117" t="s">
        <v>1021</v>
      </c>
      <c r="R375" s="150">
        <v>0</v>
      </c>
      <c r="S375" s="117" t="b">
        <f>OR(COUNTIF(Tabla2[[#This Row],[PROVEEDOR]],"*"&amp;'Palabra no opera'!$A$2&amp;"*"))</f>
        <v>0</v>
      </c>
      <c r="T375" s="150">
        <f>+$W$5-Tabla2[[#This Row],[FECHA DE FACTURACIÓN]]</f>
        <v>107</v>
      </c>
      <c r="U375" t="str">
        <f>+IF(Tabla2[[#This Row],[dias de credito]]&gt;=Tabla2[[#This Row],[PLAZO Días]],"venc", "No venc")</f>
        <v>venc</v>
      </c>
      <c r="V375" t="str">
        <f>+IF(Tabla2[[#This Row],[FECHA DE PAGO]]&gt;0,"pagada","por pagar")</f>
        <v>pagada</v>
      </c>
      <c r="W375" s="152" t="str">
        <f>+IF(AND(Tabla2[[#This Row],[venc]]="venc",Tabla2[[#This Row],[Columna1]]="por pagar"),"vencida","no")</f>
        <v>no</v>
      </c>
    </row>
    <row r="376" spans="1:23" x14ac:dyDescent="0.3">
      <c r="A376">
        <v>30</v>
      </c>
      <c r="B376">
        <v>0</v>
      </c>
      <c r="D376" t="s">
        <v>139</v>
      </c>
      <c r="E376" s="156">
        <v>44727</v>
      </c>
      <c r="F376" t="s">
        <v>1130</v>
      </c>
      <c r="G376" s="156">
        <v>44725</v>
      </c>
      <c r="H376" t="s">
        <v>1029</v>
      </c>
      <c r="I376">
        <v>128900</v>
      </c>
      <c r="K376">
        <v>0</v>
      </c>
      <c r="M376">
        <v>0</v>
      </c>
      <c r="N376">
        <v>0</v>
      </c>
      <c r="O376">
        <v>0</v>
      </c>
      <c r="P376" s="117">
        <v>128900</v>
      </c>
      <c r="Q376" s="117" t="s">
        <v>1021</v>
      </c>
      <c r="R376" s="150">
        <v>0</v>
      </c>
      <c r="S376" s="117" t="b">
        <f>OR(COUNTIF(Tabla2[[#This Row],[PROVEEDOR]],"*"&amp;'Palabra no opera'!$A$2&amp;"*"))</f>
        <v>1</v>
      </c>
      <c r="T376" s="150">
        <f>+$W$5-Tabla2[[#This Row],[FECHA DE FACTURACIÓN]]</f>
        <v>109</v>
      </c>
      <c r="U376" t="str">
        <f>+IF(Tabla2[[#This Row],[dias de credito]]&gt;=Tabla2[[#This Row],[PLAZO Días]],"venc", "No venc")</f>
        <v>venc</v>
      </c>
      <c r="V376" t="str">
        <f>+IF(Tabla2[[#This Row],[FECHA DE PAGO]]&gt;0,"pagada","por pagar")</f>
        <v>pagada</v>
      </c>
      <c r="W376" s="152" t="str">
        <f>+IF(AND(Tabla2[[#This Row],[venc]]="venc",Tabla2[[#This Row],[Columna1]]="por pagar"),"vencida","no")</f>
        <v>no</v>
      </c>
    </row>
    <row r="377" spans="1:23" x14ac:dyDescent="0.3">
      <c r="A377">
        <v>30</v>
      </c>
      <c r="B377">
        <v>0</v>
      </c>
      <c r="D377" t="s">
        <v>139</v>
      </c>
      <c r="E377" s="156">
        <v>44727</v>
      </c>
      <c r="F377" t="s">
        <v>1130</v>
      </c>
      <c r="G377" s="156">
        <v>44713</v>
      </c>
      <c r="H377" t="s">
        <v>1009</v>
      </c>
      <c r="I377">
        <v>239600</v>
      </c>
      <c r="K377">
        <v>0</v>
      </c>
      <c r="M377">
        <v>0</v>
      </c>
      <c r="N377">
        <v>0</v>
      </c>
      <c r="O377">
        <v>0</v>
      </c>
      <c r="P377" s="117">
        <v>239600</v>
      </c>
      <c r="Q377" s="117" t="s">
        <v>1021</v>
      </c>
      <c r="R377" s="150">
        <v>0</v>
      </c>
      <c r="S377" s="117" t="b">
        <f>OR(COUNTIF(Tabla2[[#This Row],[PROVEEDOR]],"*"&amp;'Palabra no opera'!$A$2&amp;"*"))</f>
        <v>1</v>
      </c>
      <c r="T377" s="150">
        <f>+$W$5-Tabla2[[#This Row],[FECHA DE FACTURACIÓN]]</f>
        <v>121</v>
      </c>
      <c r="U377" t="str">
        <f>+IF(Tabla2[[#This Row],[dias de credito]]&gt;=Tabla2[[#This Row],[PLAZO Días]],"venc", "No venc")</f>
        <v>venc</v>
      </c>
      <c r="V377" t="str">
        <f>+IF(Tabla2[[#This Row],[FECHA DE PAGO]]&gt;0,"pagada","por pagar")</f>
        <v>pagada</v>
      </c>
      <c r="W377" s="152" t="str">
        <f>+IF(AND(Tabla2[[#This Row],[venc]]="venc",Tabla2[[#This Row],[Columna1]]="por pagar"),"vencida","no")</f>
        <v>no</v>
      </c>
    </row>
    <row r="378" spans="1:23" x14ac:dyDescent="0.3">
      <c r="A378">
        <v>30</v>
      </c>
      <c r="B378">
        <v>0</v>
      </c>
      <c r="D378">
        <v>0</v>
      </c>
      <c r="E378" s="156">
        <v>44726</v>
      </c>
      <c r="F378" t="s">
        <v>1030</v>
      </c>
      <c r="G378" s="156">
        <v>44726</v>
      </c>
      <c r="H378" t="s">
        <v>1045</v>
      </c>
      <c r="I378">
        <v>499800</v>
      </c>
      <c r="K378">
        <v>94962</v>
      </c>
      <c r="M378">
        <v>0</v>
      </c>
      <c r="N378">
        <v>0</v>
      </c>
      <c r="O378">
        <v>0</v>
      </c>
      <c r="P378" s="117">
        <v>594762</v>
      </c>
      <c r="Q378" s="117" t="s">
        <v>1021</v>
      </c>
      <c r="R378" s="150">
        <v>0</v>
      </c>
      <c r="S378" s="117" t="b">
        <f>OR(COUNTIF(Tabla2[[#This Row],[PROVEEDOR]],"*"&amp;'Palabra no opera'!$A$2&amp;"*"))</f>
        <v>0</v>
      </c>
      <c r="T378" s="150">
        <f>+$W$5-Tabla2[[#This Row],[FECHA DE FACTURACIÓN]]</f>
        <v>108</v>
      </c>
      <c r="U378" t="str">
        <f>+IF(Tabla2[[#This Row],[dias de credito]]&gt;=Tabla2[[#This Row],[PLAZO Días]],"venc", "No venc")</f>
        <v>venc</v>
      </c>
      <c r="V378" t="str">
        <f>+IF(Tabla2[[#This Row],[FECHA DE PAGO]]&gt;0,"pagada","por pagar")</f>
        <v>pagada</v>
      </c>
      <c r="W378" s="152" t="str">
        <f>+IF(AND(Tabla2[[#This Row],[venc]]="venc",Tabla2[[#This Row],[Columna1]]="por pagar"),"vencida","no")</f>
        <v>no</v>
      </c>
    </row>
    <row r="379" spans="1:23" x14ac:dyDescent="0.3">
      <c r="A379">
        <v>30</v>
      </c>
      <c r="B379">
        <v>0</v>
      </c>
      <c r="D379" t="s">
        <v>139</v>
      </c>
      <c r="E379" s="156">
        <v>44726</v>
      </c>
      <c r="F379" t="s">
        <v>53</v>
      </c>
      <c r="G379" s="156">
        <v>44725</v>
      </c>
      <c r="H379">
        <v>291706</v>
      </c>
      <c r="I379">
        <v>2763000</v>
      </c>
      <c r="K379">
        <v>0</v>
      </c>
      <c r="M379">
        <v>0</v>
      </c>
      <c r="N379">
        <v>0</v>
      </c>
      <c r="O379">
        <v>0</v>
      </c>
      <c r="P379" s="117">
        <v>2763000</v>
      </c>
      <c r="Q379" s="117" t="s">
        <v>1021</v>
      </c>
      <c r="R379" s="150">
        <v>0</v>
      </c>
      <c r="S379" s="117" t="b">
        <f>OR(COUNTIF(Tabla2[[#This Row],[PROVEEDOR]],"*"&amp;'Palabra no opera'!$A$2&amp;"*"))</f>
        <v>0</v>
      </c>
      <c r="T379" s="150">
        <f>+$W$5-Tabla2[[#This Row],[FECHA DE FACTURACIÓN]]</f>
        <v>109</v>
      </c>
      <c r="U379" t="str">
        <f>+IF(Tabla2[[#This Row],[dias de credito]]&gt;=Tabla2[[#This Row],[PLAZO Días]],"venc", "No venc")</f>
        <v>venc</v>
      </c>
      <c r="V379" t="str">
        <f>+IF(Tabla2[[#This Row],[FECHA DE PAGO]]&gt;0,"pagada","por pagar")</f>
        <v>pagada</v>
      </c>
      <c r="W379" s="152" t="str">
        <f>+IF(AND(Tabla2[[#This Row],[venc]]="venc",Tabla2[[#This Row],[Columna1]]="por pagar"),"vencida","no")</f>
        <v>no</v>
      </c>
    </row>
    <row r="380" spans="1:23" x14ac:dyDescent="0.3">
      <c r="A380">
        <v>30</v>
      </c>
      <c r="B380">
        <v>326474.88</v>
      </c>
      <c r="D380" t="s">
        <v>949</v>
      </c>
      <c r="E380" s="156">
        <v>44726</v>
      </c>
      <c r="F380" t="s">
        <v>345</v>
      </c>
      <c r="G380" s="156">
        <v>44725</v>
      </c>
      <c r="H380" t="s">
        <v>1104</v>
      </c>
      <c r="I380">
        <v>1796000</v>
      </c>
      <c r="K380">
        <v>0</v>
      </c>
      <c r="M380">
        <v>0</v>
      </c>
      <c r="N380">
        <v>0</v>
      </c>
      <c r="O380">
        <v>0</v>
      </c>
      <c r="P380" s="117">
        <v>1796000</v>
      </c>
      <c r="Q380" s="117" t="s">
        <v>1021</v>
      </c>
      <c r="R380" s="150">
        <v>0</v>
      </c>
      <c r="S380" s="117" t="b">
        <f>OR(COUNTIF(Tabla2[[#This Row],[PROVEEDOR]],"*"&amp;'Palabra no opera'!$A$2&amp;"*"))</f>
        <v>0</v>
      </c>
      <c r="T380" s="150">
        <f>+$W$5-Tabla2[[#This Row],[FECHA DE FACTURACIÓN]]</f>
        <v>109</v>
      </c>
      <c r="U380" t="str">
        <f>+IF(Tabla2[[#This Row],[dias de credito]]&gt;=Tabla2[[#This Row],[PLAZO Días]],"venc", "No venc")</f>
        <v>venc</v>
      </c>
      <c r="V380" t="str">
        <f>+IF(Tabla2[[#This Row],[FECHA DE PAGO]]&gt;0,"pagada","por pagar")</f>
        <v>pagada</v>
      </c>
      <c r="W380" s="152" t="str">
        <f>+IF(AND(Tabla2[[#This Row],[venc]]="venc",Tabla2[[#This Row],[Columna1]]="por pagar"),"vencida","no")</f>
        <v>no</v>
      </c>
    </row>
    <row r="381" spans="1:23" x14ac:dyDescent="0.3">
      <c r="A381">
        <v>30</v>
      </c>
      <c r="B381">
        <v>6259125.5999999996</v>
      </c>
      <c r="D381" t="s">
        <v>264</v>
      </c>
      <c r="E381" s="156">
        <v>44726</v>
      </c>
      <c r="F381" t="s">
        <v>1448</v>
      </c>
      <c r="G381" s="156">
        <v>44692</v>
      </c>
      <c r="H381">
        <v>30587</v>
      </c>
      <c r="I381">
        <v>1872000</v>
      </c>
      <c r="K381">
        <v>355680</v>
      </c>
      <c r="M381">
        <v>0</v>
      </c>
      <c r="N381">
        <v>2.5000000000000001E-2</v>
      </c>
      <c r="O381">
        <v>46800</v>
      </c>
      <c r="P381" s="117">
        <v>2180880</v>
      </c>
      <c r="Q381" s="117" t="s">
        <v>1021</v>
      </c>
      <c r="R381" s="150">
        <v>0</v>
      </c>
      <c r="S381" s="117" t="b">
        <f>OR(COUNTIF(Tabla2[[#This Row],[PROVEEDOR]],"*"&amp;'Palabra no opera'!$A$2&amp;"*"))</f>
        <v>0</v>
      </c>
      <c r="T381" s="150">
        <f>+$W$5-Tabla2[[#This Row],[FECHA DE FACTURACIÓN]]</f>
        <v>142</v>
      </c>
      <c r="U381" t="str">
        <f>+IF(Tabla2[[#This Row],[dias de credito]]&gt;=Tabla2[[#This Row],[PLAZO Días]],"venc", "No venc")</f>
        <v>venc</v>
      </c>
      <c r="V381" t="str">
        <f>+IF(Tabla2[[#This Row],[FECHA DE PAGO]]&gt;0,"pagada","por pagar")</f>
        <v>pagada</v>
      </c>
      <c r="W381" s="152" t="str">
        <f>+IF(AND(Tabla2[[#This Row],[venc]]="venc",Tabla2[[#This Row],[Columna1]]="por pagar"),"vencida","no")</f>
        <v>no</v>
      </c>
    </row>
    <row r="382" spans="1:23" x14ac:dyDescent="0.3">
      <c r="A382">
        <v>30</v>
      </c>
      <c r="B382">
        <v>6259125.5999999996</v>
      </c>
      <c r="D382" t="s">
        <v>264</v>
      </c>
      <c r="E382" s="156">
        <v>44726</v>
      </c>
      <c r="F382" t="s">
        <v>1448</v>
      </c>
      <c r="G382" s="156">
        <v>44687</v>
      </c>
      <c r="H382">
        <v>30402</v>
      </c>
      <c r="I382">
        <v>3744000</v>
      </c>
      <c r="K382">
        <v>711360</v>
      </c>
      <c r="M382">
        <v>0</v>
      </c>
      <c r="N382">
        <v>2.5000000000000001E-2</v>
      </c>
      <c r="O382">
        <v>93600</v>
      </c>
      <c r="P382" s="117">
        <v>4361760</v>
      </c>
      <c r="Q382" s="117" t="s">
        <v>1021</v>
      </c>
      <c r="R382" s="150">
        <v>0</v>
      </c>
      <c r="S382" s="117" t="b">
        <f>OR(COUNTIF(Tabla2[[#This Row],[PROVEEDOR]],"*"&amp;'Palabra no opera'!$A$2&amp;"*"))</f>
        <v>0</v>
      </c>
      <c r="T382" s="150">
        <f>+$W$5-Tabla2[[#This Row],[FECHA DE FACTURACIÓN]]</f>
        <v>147</v>
      </c>
      <c r="U382" t="str">
        <f>+IF(Tabla2[[#This Row],[dias de credito]]&gt;=Tabla2[[#This Row],[PLAZO Días]],"venc", "No venc")</f>
        <v>venc</v>
      </c>
      <c r="V382" t="str">
        <f>+IF(Tabla2[[#This Row],[FECHA DE PAGO]]&gt;0,"pagada","por pagar")</f>
        <v>pagada</v>
      </c>
      <c r="W382" s="152" t="str">
        <f>+IF(AND(Tabla2[[#This Row],[venc]]="venc",Tabla2[[#This Row],[Columna1]]="por pagar"),"vencida","no")</f>
        <v>no</v>
      </c>
    </row>
    <row r="383" spans="1:23" x14ac:dyDescent="0.3">
      <c r="A383">
        <v>30</v>
      </c>
      <c r="B383">
        <v>0</v>
      </c>
      <c r="D383">
        <v>0</v>
      </c>
      <c r="E383" s="156">
        <v>44725</v>
      </c>
      <c r="F383" t="s">
        <v>932</v>
      </c>
      <c r="G383" s="156">
        <v>44713</v>
      </c>
      <c r="H383" t="s">
        <v>307</v>
      </c>
      <c r="I383">
        <v>455823</v>
      </c>
      <c r="K383">
        <v>0</v>
      </c>
      <c r="M383">
        <v>0</v>
      </c>
      <c r="N383">
        <v>0</v>
      </c>
      <c r="O383">
        <v>0</v>
      </c>
      <c r="P383" s="117">
        <v>455823</v>
      </c>
      <c r="Q383" s="117" t="s">
        <v>1021</v>
      </c>
      <c r="R383" s="150">
        <v>0</v>
      </c>
      <c r="S383" s="117" t="b">
        <f>OR(COUNTIF(Tabla2[[#This Row],[PROVEEDOR]],"*"&amp;'Palabra no opera'!$A$2&amp;"*"))</f>
        <v>1</v>
      </c>
      <c r="T383" s="150">
        <f>+$W$5-Tabla2[[#This Row],[FECHA DE FACTURACIÓN]]</f>
        <v>121</v>
      </c>
      <c r="U383" t="str">
        <f>+IF(Tabla2[[#This Row],[dias de credito]]&gt;=Tabla2[[#This Row],[PLAZO Días]],"venc", "No venc")</f>
        <v>venc</v>
      </c>
      <c r="V383" t="str">
        <f>+IF(Tabla2[[#This Row],[FECHA DE PAGO]]&gt;0,"pagada","por pagar")</f>
        <v>pagada</v>
      </c>
      <c r="W383" s="152" t="str">
        <f>+IF(AND(Tabla2[[#This Row],[venc]]="venc",Tabla2[[#This Row],[Columna1]]="por pagar"),"vencida","no")</f>
        <v>no</v>
      </c>
    </row>
    <row r="384" spans="1:23" x14ac:dyDescent="0.3">
      <c r="A384">
        <v>13</v>
      </c>
      <c r="B384">
        <v>0</v>
      </c>
      <c r="D384">
        <v>0</v>
      </c>
      <c r="E384" s="156">
        <v>44725</v>
      </c>
      <c r="F384" t="s">
        <v>934</v>
      </c>
      <c r="G384" s="156">
        <v>44713</v>
      </c>
      <c r="I384">
        <v>948924</v>
      </c>
      <c r="K384">
        <v>0</v>
      </c>
      <c r="M384">
        <v>0</v>
      </c>
      <c r="N384">
        <v>0</v>
      </c>
      <c r="O384">
        <v>0</v>
      </c>
      <c r="P384" s="117">
        <v>948924</v>
      </c>
      <c r="Q384" s="117" t="s">
        <v>1021</v>
      </c>
      <c r="R384" s="150">
        <v>0</v>
      </c>
      <c r="S384" s="117" t="b">
        <f>OR(COUNTIF(Tabla2[[#This Row],[PROVEEDOR]],"*"&amp;'Palabra no opera'!$A$2&amp;"*"))</f>
        <v>1</v>
      </c>
      <c r="T384" s="150">
        <f>+$W$5-Tabla2[[#This Row],[FECHA DE FACTURACIÓN]]</f>
        <v>121</v>
      </c>
      <c r="U384" t="str">
        <f>+IF(Tabla2[[#This Row],[dias de credito]]&gt;=Tabla2[[#This Row],[PLAZO Días]],"venc", "No venc")</f>
        <v>venc</v>
      </c>
      <c r="V384" t="str">
        <f>+IF(Tabla2[[#This Row],[FECHA DE PAGO]]&gt;0,"pagada","por pagar")</f>
        <v>pagada</v>
      </c>
      <c r="W384" s="152" t="str">
        <f>+IF(AND(Tabla2[[#This Row],[venc]]="venc",Tabla2[[#This Row],[Columna1]]="por pagar"),"vencida","no")</f>
        <v>no</v>
      </c>
    </row>
    <row r="385" spans="1:23" x14ac:dyDescent="0.3">
      <c r="A385">
        <v>30</v>
      </c>
      <c r="B385">
        <v>8457900</v>
      </c>
      <c r="D385" t="s">
        <v>1027</v>
      </c>
      <c r="E385" s="156">
        <v>44725</v>
      </c>
      <c r="F385" t="s">
        <v>11</v>
      </c>
      <c r="G385" s="156">
        <v>44693</v>
      </c>
      <c r="H385" t="s">
        <v>951</v>
      </c>
      <c r="I385">
        <v>1980000</v>
      </c>
      <c r="K385">
        <v>376200</v>
      </c>
      <c r="M385">
        <v>0</v>
      </c>
      <c r="N385">
        <v>2.5000000000000001E-2</v>
      </c>
      <c r="O385">
        <v>49500</v>
      </c>
      <c r="P385" s="117">
        <v>2306700</v>
      </c>
      <c r="Q385" s="117" t="s">
        <v>1021</v>
      </c>
      <c r="R385" s="150">
        <v>0</v>
      </c>
      <c r="S385" s="117"/>
    </row>
    <row r="386" spans="1:23" x14ac:dyDescent="0.3">
      <c r="A386">
        <v>30</v>
      </c>
      <c r="B386">
        <v>19675613.1195</v>
      </c>
      <c r="D386" t="s">
        <v>256</v>
      </c>
      <c r="E386" s="156">
        <v>44725</v>
      </c>
      <c r="F386" t="s">
        <v>18</v>
      </c>
      <c r="G386" s="156">
        <v>44691</v>
      </c>
      <c r="H386">
        <v>1053351</v>
      </c>
      <c r="I386">
        <v>1234232.6399999999</v>
      </c>
      <c r="K386">
        <v>234504.20159999997</v>
      </c>
      <c r="M386">
        <v>0</v>
      </c>
      <c r="N386">
        <v>2.5000000000000001E-2</v>
      </c>
      <c r="O386">
        <v>30855.815999999999</v>
      </c>
      <c r="P386" s="117">
        <v>1437881.0255999998</v>
      </c>
      <c r="Q386" s="117" t="s">
        <v>1021</v>
      </c>
      <c r="R386" s="150">
        <v>0</v>
      </c>
      <c r="S386" s="117" t="b">
        <f>OR(COUNTIF(Tabla2[[#This Row],[PROVEEDOR]],"*"&amp;'Palabra no opera'!$A$2&amp;"*"))</f>
        <v>0</v>
      </c>
      <c r="T386" s="150">
        <f>+$W$5-Tabla2[[#This Row],[FECHA DE FACTURACIÓN]]</f>
        <v>143</v>
      </c>
      <c r="U386" t="str">
        <f>+IF(Tabla2[[#This Row],[dias de credito]]&gt;=Tabla2[[#This Row],[PLAZO Días]],"venc", "No venc")</f>
        <v>venc</v>
      </c>
      <c r="V386" t="str">
        <f>+IF(Tabla2[[#This Row],[FECHA DE PAGO]]&gt;0,"pagada","por pagar")</f>
        <v>pagada</v>
      </c>
      <c r="W386" s="152" t="str">
        <f>+IF(AND(Tabla2[[#This Row],[venc]]="venc",Tabla2[[#This Row],[Columna1]]="por pagar"),"vencida","no")</f>
        <v>no</v>
      </c>
    </row>
    <row r="387" spans="1:23" x14ac:dyDescent="0.3">
      <c r="A387">
        <v>30</v>
      </c>
      <c r="B387">
        <v>0</v>
      </c>
      <c r="D387" t="s">
        <v>431</v>
      </c>
      <c r="E387" s="156">
        <v>44725</v>
      </c>
      <c r="F387" t="s">
        <v>677</v>
      </c>
      <c r="G387" s="156">
        <v>44690</v>
      </c>
      <c r="H387" t="s">
        <v>1593</v>
      </c>
      <c r="I387">
        <v>1735000</v>
      </c>
      <c r="K387">
        <v>0</v>
      </c>
      <c r="M387">
        <v>0</v>
      </c>
      <c r="N387">
        <v>0</v>
      </c>
      <c r="O387">
        <v>0</v>
      </c>
      <c r="P387" s="117">
        <v>1735000</v>
      </c>
      <c r="Q387" s="117" t="s">
        <v>1021</v>
      </c>
      <c r="R387" s="150">
        <v>0</v>
      </c>
      <c r="S387" s="117" t="b">
        <f>OR(COUNTIF(Tabla2[[#This Row],[PROVEEDOR]],"*"&amp;'Palabra no opera'!$A$2&amp;"*"))</f>
        <v>0</v>
      </c>
      <c r="T387" s="150">
        <f>+$W$5-Tabla2[[#This Row],[FECHA DE FACTURACIÓN]]</f>
        <v>144</v>
      </c>
      <c r="U387" t="str">
        <f>+IF(Tabla2[[#This Row],[dias de credito]]&gt;=Tabla2[[#This Row],[PLAZO Días]],"venc", "No venc")</f>
        <v>venc</v>
      </c>
      <c r="V387" t="str">
        <f>+IF(Tabla2[[#This Row],[FECHA DE PAGO]]&gt;0,"pagada","por pagar")</f>
        <v>pagada</v>
      </c>
      <c r="W387" s="152" t="str">
        <f>+IF(AND(Tabla2[[#This Row],[venc]]="venc",Tabla2[[#This Row],[Columna1]]="por pagar"),"vencida","no")</f>
        <v>no</v>
      </c>
    </row>
    <row r="388" spans="1:23" x14ac:dyDescent="0.3">
      <c r="A388">
        <v>30</v>
      </c>
      <c r="B388">
        <v>19675613.1195</v>
      </c>
      <c r="D388" t="s">
        <v>256</v>
      </c>
      <c r="E388" s="156">
        <v>44725</v>
      </c>
      <c r="F388" t="s">
        <v>18</v>
      </c>
      <c r="G388" s="156">
        <v>44685</v>
      </c>
      <c r="H388">
        <v>1053105</v>
      </c>
      <c r="I388">
        <v>1962124.48</v>
      </c>
      <c r="K388">
        <v>372803.65120000002</v>
      </c>
      <c r="M388">
        <v>0</v>
      </c>
      <c r="N388">
        <v>2.5000000000000001E-2</v>
      </c>
      <c r="O388">
        <v>49053.112000000001</v>
      </c>
      <c r="P388" s="117">
        <v>2285875.0192</v>
      </c>
      <c r="Q388" s="117" t="s">
        <v>1021</v>
      </c>
      <c r="R388" s="150">
        <v>0</v>
      </c>
      <c r="S388" s="117" t="b">
        <f>OR(COUNTIF(Tabla2[[#This Row],[PROVEEDOR]],"*"&amp;'Palabra no opera'!$A$2&amp;"*"))</f>
        <v>0</v>
      </c>
      <c r="T388" s="150">
        <f>+$W$5-Tabla2[[#This Row],[FECHA DE FACTURACIÓN]]</f>
        <v>149</v>
      </c>
      <c r="U388" t="str">
        <f>+IF(Tabla2[[#This Row],[dias de credito]]&gt;=Tabla2[[#This Row],[PLAZO Días]],"venc", "No venc")</f>
        <v>venc</v>
      </c>
      <c r="V388" t="str">
        <f>+IF(Tabla2[[#This Row],[FECHA DE PAGO]]&gt;0,"pagada","por pagar")</f>
        <v>pagada</v>
      </c>
      <c r="W388" s="152" t="str">
        <f>+IF(AND(Tabla2[[#This Row],[venc]]="venc",Tabla2[[#This Row],[Columna1]]="por pagar"),"vencida","no")</f>
        <v>no</v>
      </c>
    </row>
    <row r="389" spans="1:23" x14ac:dyDescent="0.3">
      <c r="A389">
        <v>30</v>
      </c>
      <c r="B389">
        <v>8457900</v>
      </c>
      <c r="D389" t="s">
        <v>1027</v>
      </c>
      <c r="E389" s="156">
        <v>44725</v>
      </c>
      <c r="F389" t="s">
        <v>11</v>
      </c>
      <c r="G389" s="156">
        <v>44685</v>
      </c>
      <c r="H389" t="s">
        <v>947</v>
      </c>
      <c r="I389">
        <v>660000</v>
      </c>
      <c r="K389">
        <v>125400</v>
      </c>
      <c r="M389">
        <v>0</v>
      </c>
      <c r="N389">
        <v>0</v>
      </c>
      <c r="O389">
        <v>0</v>
      </c>
      <c r="P389" s="117">
        <v>785400</v>
      </c>
      <c r="Q389" s="117" t="s">
        <v>1021</v>
      </c>
      <c r="R389" s="150">
        <v>0</v>
      </c>
      <c r="S389" s="117"/>
    </row>
    <row r="390" spans="1:23" x14ac:dyDescent="0.3">
      <c r="A390">
        <v>30</v>
      </c>
      <c r="B390">
        <v>8457900</v>
      </c>
      <c r="D390" t="s">
        <v>1027</v>
      </c>
      <c r="E390" s="156">
        <v>44725</v>
      </c>
      <c r="F390" t="s">
        <v>11</v>
      </c>
      <c r="G390" s="156">
        <v>44685</v>
      </c>
      <c r="H390" t="s">
        <v>950</v>
      </c>
      <c r="I390">
        <v>151261</v>
      </c>
      <c r="K390">
        <v>28739.59</v>
      </c>
      <c r="M390">
        <v>0</v>
      </c>
      <c r="N390">
        <v>0</v>
      </c>
      <c r="O390">
        <v>0</v>
      </c>
      <c r="P390" s="117">
        <v>180000.59</v>
      </c>
      <c r="Q390" s="117" t="s">
        <v>1021</v>
      </c>
      <c r="R390" s="150">
        <v>0</v>
      </c>
      <c r="S390" s="117"/>
    </row>
    <row r="391" spans="1:23" x14ac:dyDescent="0.3">
      <c r="A391">
        <v>30</v>
      </c>
      <c r="B391">
        <v>3450150</v>
      </c>
      <c r="D391" t="s">
        <v>402</v>
      </c>
      <c r="E391" s="156">
        <v>44725</v>
      </c>
      <c r="F391" t="s">
        <v>691</v>
      </c>
      <c r="G391" s="156">
        <v>44684</v>
      </c>
      <c r="H391" t="s">
        <v>1442</v>
      </c>
      <c r="I391">
        <v>233700</v>
      </c>
      <c r="K391">
        <v>0</v>
      </c>
      <c r="M391">
        <v>0</v>
      </c>
      <c r="N391">
        <v>0</v>
      </c>
      <c r="O391">
        <v>0</v>
      </c>
      <c r="P391" s="117">
        <v>233700</v>
      </c>
      <c r="Q391" s="117" t="s">
        <v>1021</v>
      </c>
      <c r="R391" s="150">
        <v>0</v>
      </c>
      <c r="S391" s="117" t="b">
        <f>OR(COUNTIF(Tabla2[[#This Row],[PROVEEDOR]],"*"&amp;'Palabra no opera'!$A$2&amp;"*"))</f>
        <v>0</v>
      </c>
      <c r="T391" s="150">
        <f>+$W$5-Tabla2[[#This Row],[FECHA DE FACTURACIÓN]]</f>
        <v>150</v>
      </c>
      <c r="U391" t="str">
        <f>+IF(Tabla2[[#This Row],[dias de credito]]&gt;=Tabla2[[#This Row],[PLAZO Días]],"venc", "No venc")</f>
        <v>venc</v>
      </c>
      <c r="V391" t="str">
        <f>+IF(Tabla2[[#This Row],[FECHA DE PAGO]]&gt;0,"pagada","por pagar")</f>
        <v>pagada</v>
      </c>
      <c r="W391" s="152" t="str">
        <f>+IF(AND(Tabla2[[#This Row],[venc]]="venc",Tabla2[[#This Row],[Columna1]]="por pagar"),"vencida","no")</f>
        <v>no</v>
      </c>
    </row>
    <row r="392" spans="1:23" x14ac:dyDescent="0.3">
      <c r="A392">
        <v>30</v>
      </c>
      <c r="B392">
        <v>3450150</v>
      </c>
      <c r="D392" t="s">
        <v>402</v>
      </c>
      <c r="E392" s="156">
        <v>44725</v>
      </c>
      <c r="F392" t="s">
        <v>691</v>
      </c>
      <c r="G392" s="156">
        <v>44684</v>
      </c>
      <c r="H392" t="s">
        <v>1443</v>
      </c>
      <c r="I392">
        <v>858500</v>
      </c>
      <c r="K392">
        <v>0</v>
      </c>
      <c r="M392">
        <v>0</v>
      </c>
      <c r="N392">
        <v>0</v>
      </c>
      <c r="O392">
        <v>0</v>
      </c>
      <c r="P392" s="117">
        <v>858500</v>
      </c>
      <c r="Q392" s="117" t="s">
        <v>1021</v>
      </c>
      <c r="R392" s="150">
        <v>0</v>
      </c>
      <c r="S392" s="117" t="b">
        <f>OR(COUNTIF(Tabla2[[#This Row],[PROVEEDOR]],"*"&amp;'Palabra no opera'!$A$2&amp;"*"))</f>
        <v>0</v>
      </c>
      <c r="T392" s="150">
        <f>+$W$5-Tabla2[[#This Row],[FECHA DE FACTURACIÓN]]</f>
        <v>150</v>
      </c>
      <c r="U392" t="str">
        <f>+IF(Tabla2[[#This Row],[dias de credito]]&gt;=Tabla2[[#This Row],[PLAZO Días]],"venc", "No venc")</f>
        <v>venc</v>
      </c>
      <c r="V392" t="str">
        <f>+IF(Tabla2[[#This Row],[FECHA DE PAGO]]&gt;0,"pagada","por pagar")</f>
        <v>pagada</v>
      </c>
      <c r="W392" s="152" t="str">
        <f>+IF(AND(Tabla2[[#This Row],[venc]]="venc",Tabla2[[#This Row],[Columna1]]="por pagar"),"vencida","no")</f>
        <v>no</v>
      </c>
    </row>
    <row r="393" spans="1:23" x14ac:dyDescent="0.3">
      <c r="A393">
        <v>30</v>
      </c>
      <c r="B393">
        <v>0</v>
      </c>
      <c r="D393">
        <v>0</v>
      </c>
      <c r="E393" s="156">
        <v>44725</v>
      </c>
      <c r="F393" t="s">
        <v>932</v>
      </c>
      <c r="G393" s="156">
        <v>44682</v>
      </c>
      <c r="H393" t="s">
        <v>982</v>
      </c>
      <c r="I393">
        <v>6054880</v>
      </c>
      <c r="K393">
        <v>0</v>
      </c>
      <c r="M393">
        <v>0</v>
      </c>
      <c r="N393">
        <v>0</v>
      </c>
      <c r="O393">
        <v>0</v>
      </c>
      <c r="P393" s="117">
        <v>6054880</v>
      </c>
      <c r="Q393" s="117" t="s">
        <v>1021</v>
      </c>
      <c r="R393" s="150">
        <v>0</v>
      </c>
      <c r="S393" s="117" t="b">
        <f>OR(COUNTIF(Tabla2[[#This Row],[PROVEEDOR]],"*"&amp;'Palabra no opera'!$A$2&amp;"*"))</f>
        <v>1</v>
      </c>
      <c r="T393" s="150">
        <f>+$W$5-Tabla2[[#This Row],[FECHA DE FACTURACIÓN]]</f>
        <v>152</v>
      </c>
      <c r="U393" t="str">
        <f>+IF(Tabla2[[#This Row],[dias de credito]]&gt;=Tabla2[[#This Row],[PLAZO Días]],"venc", "No venc")</f>
        <v>venc</v>
      </c>
      <c r="V393" t="str">
        <f>+IF(Tabla2[[#This Row],[FECHA DE PAGO]]&gt;0,"pagada","por pagar")</f>
        <v>pagada</v>
      </c>
      <c r="W393" s="152" t="str">
        <f>+IF(AND(Tabla2[[#This Row],[venc]]="venc",Tabla2[[#This Row],[Columna1]]="por pagar"),"vencida","no")</f>
        <v>no</v>
      </c>
    </row>
    <row r="394" spans="1:23" x14ac:dyDescent="0.3">
      <c r="A394">
        <v>30</v>
      </c>
      <c r="B394">
        <v>3450150</v>
      </c>
      <c r="D394" t="s">
        <v>402</v>
      </c>
      <c r="E394" s="156">
        <v>44725</v>
      </c>
      <c r="F394" t="s">
        <v>691</v>
      </c>
      <c r="G394" s="156">
        <v>44679</v>
      </c>
      <c r="H394" t="s">
        <v>1440</v>
      </c>
      <c r="I394">
        <v>144400</v>
      </c>
      <c r="K394">
        <v>0</v>
      </c>
      <c r="M394">
        <v>0</v>
      </c>
      <c r="N394">
        <v>0</v>
      </c>
      <c r="O394">
        <v>0</v>
      </c>
      <c r="P394" s="117">
        <v>144400</v>
      </c>
      <c r="Q394" s="117" t="s">
        <v>1021</v>
      </c>
      <c r="R394" s="150">
        <v>0</v>
      </c>
      <c r="S394" s="117" t="b">
        <f>OR(COUNTIF(Tabla2[[#This Row],[PROVEEDOR]],"*"&amp;'Palabra no opera'!$A$2&amp;"*"))</f>
        <v>0</v>
      </c>
      <c r="T394" s="150">
        <f>+$W$5-Tabla2[[#This Row],[FECHA DE FACTURACIÓN]]</f>
        <v>155</v>
      </c>
      <c r="U394" t="str">
        <f>+IF(Tabla2[[#This Row],[dias de credito]]&gt;=Tabla2[[#This Row],[PLAZO Días]],"venc", "No venc")</f>
        <v>venc</v>
      </c>
      <c r="V394" t="str">
        <f>+IF(Tabla2[[#This Row],[FECHA DE PAGO]]&gt;0,"pagada","por pagar")</f>
        <v>pagada</v>
      </c>
      <c r="W394" s="152" t="str">
        <f>+IF(AND(Tabla2[[#This Row],[venc]]="venc",Tabla2[[#This Row],[Columna1]]="por pagar"),"vencida","no")</f>
        <v>no</v>
      </c>
    </row>
    <row r="395" spans="1:23" x14ac:dyDescent="0.3">
      <c r="A395">
        <v>30</v>
      </c>
      <c r="B395">
        <v>3450150</v>
      </c>
      <c r="D395" t="s">
        <v>402</v>
      </c>
      <c r="E395" s="156">
        <v>44725</v>
      </c>
      <c r="F395" t="s">
        <v>691</v>
      </c>
      <c r="G395" s="156">
        <v>44679</v>
      </c>
      <c r="H395" t="s">
        <v>1441</v>
      </c>
      <c r="I395">
        <v>2905300</v>
      </c>
      <c r="K395">
        <v>0</v>
      </c>
      <c r="M395">
        <v>0</v>
      </c>
      <c r="N395">
        <v>0</v>
      </c>
      <c r="O395">
        <v>0</v>
      </c>
      <c r="P395" s="117">
        <v>2905300</v>
      </c>
      <c r="Q395" s="117" t="s">
        <v>1021</v>
      </c>
      <c r="R395" s="150">
        <v>0</v>
      </c>
      <c r="S395" s="117" t="b">
        <f>OR(COUNTIF(Tabla2[[#This Row],[PROVEEDOR]],"*"&amp;'Palabra no opera'!$A$2&amp;"*"))</f>
        <v>0</v>
      </c>
      <c r="T395" s="150">
        <f>+$W$5-Tabla2[[#This Row],[FECHA DE FACTURACIÓN]]</f>
        <v>155</v>
      </c>
      <c r="U395" t="str">
        <f>+IF(Tabla2[[#This Row],[dias de credito]]&gt;=Tabla2[[#This Row],[PLAZO Días]],"venc", "No venc")</f>
        <v>venc</v>
      </c>
      <c r="V395" t="str">
        <f>+IF(Tabla2[[#This Row],[FECHA DE PAGO]]&gt;0,"pagada","por pagar")</f>
        <v>pagada</v>
      </c>
      <c r="W395" s="152" t="str">
        <f>+IF(AND(Tabla2[[#This Row],[venc]]="venc",Tabla2[[#This Row],[Columna1]]="por pagar"),"vencida","no")</f>
        <v>no</v>
      </c>
    </row>
    <row r="396" spans="1:23" x14ac:dyDescent="0.3">
      <c r="A396">
        <v>90</v>
      </c>
      <c r="B396">
        <v>0</v>
      </c>
      <c r="D396">
        <v>0</v>
      </c>
      <c r="E396" s="156">
        <v>44725</v>
      </c>
      <c r="F396" t="s">
        <v>932</v>
      </c>
      <c r="G396" s="156">
        <v>44671</v>
      </c>
      <c r="H396" t="s">
        <v>885</v>
      </c>
      <c r="I396">
        <v>1527459</v>
      </c>
      <c r="K396">
        <v>0</v>
      </c>
      <c r="M396">
        <v>0</v>
      </c>
      <c r="N396">
        <v>0</v>
      </c>
      <c r="O396">
        <v>0</v>
      </c>
      <c r="P396" s="117">
        <v>1527459</v>
      </c>
      <c r="Q396" s="117" t="s">
        <v>1021</v>
      </c>
      <c r="R396" s="150">
        <v>0</v>
      </c>
      <c r="S396" s="117" t="b">
        <f>OR(COUNTIF(Tabla2[[#This Row],[PROVEEDOR]],"*"&amp;'Palabra no opera'!$A$2&amp;"*"))</f>
        <v>1</v>
      </c>
      <c r="T396" s="150">
        <f>+$W$5-Tabla2[[#This Row],[FECHA DE FACTURACIÓN]]</f>
        <v>163</v>
      </c>
      <c r="U396" t="str">
        <f>+IF(Tabla2[[#This Row],[dias de credito]]&gt;=Tabla2[[#This Row],[PLAZO Días]],"venc", "No venc")</f>
        <v>venc</v>
      </c>
      <c r="V396" t="str">
        <f>+IF(Tabla2[[#This Row],[FECHA DE PAGO]]&gt;0,"pagada","por pagar")</f>
        <v>pagada</v>
      </c>
      <c r="W396" s="152" t="str">
        <f>+IF(AND(Tabla2[[#This Row],[venc]]="venc",Tabla2[[#This Row],[Columna1]]="por pagar"),"vencida","no")</f>
        <v>no</v>
      </c>
    </row>
    <row r="397" spans="1:23" x14ac:dyDescent="0.3">
      <c r="A397">
        <v>90</v>
      </c>
      <c r="B397">
        <v>0</v>
      </c>
      <c r="D397">
        <v>0</v>
      </c>
      <c r="E397" s="156">
        <v>44725</v>
      </c>
      <c r="F397" t="s">
        <v>932</v>
      </c>
      <c r="G397" s="156">
        <v>44671</v>
      </c>
      <c r="H397" t="s">
        <v>885</v>
      </c>
      <c r="I397">
        <v>188646</v>
      </c>
      <c r="K397">
        <v>0</v>
      </c>
      <c r="M397">
        <v>0</v>
      </c>
      <c r="N397">
        <v>0</v>
      </c>
      <c r="O397">
        <v>0</v>
      </c>
      <c r="P397" s="117">
        <v>188646</v>
      </c>
      <c r="Q397" s="117" t="s">
        <v>1021</v>
      </c>
      <c r="R397" s="150">
        <v>0</v>
      </c>
      <c r="S397" s="117" t="b">
        <f>OR(COUNTIF(Tabla2[[#This Row],[PROVEEDOR]],"*"&amp;'Palabra no opera'!$A$2&amp;"*"))</f>
        <v>1</v>
      </c>
      <c r="T397" s="150">
        <f>+$W$5-Tabla2[[#This Row],[FECHA DE FACTURACIÓN]]</f>
        <v>163</v>
      </c>
      <c r="U397" t="str">
        <f>+IF(Tabla2[[#This Row],[dias de credito]]&gt;=Tabla2[[#This Row],[PLAZO Días]],"venc", "No venc")</f>
        <v>venc</v>
      </c>
      <c r="V397" t="str">
        <f>+IF(Tabla2[[#This Row],[FECHA DE PAGO]]&gt;0,"pagada","por pagar")</f>
        <v>pagada</v>
      </c>
      <c r="W397" s="152" t="str">
        <f>+IF(AND(Tabla2[[#This Row],[venc]]="venc",Tabla2[[#This Row],[Columna1]]="por pagar"),"vencida","no")</f>
        <v>no</v>
      </c>
    </row>
    <row r="398" spans="1:23" x14ac:dyDescent="0.3">
      <c r="A398">
        <v>30</v>
      </c>
      <c r="B398">
        <v>0</v>
      </c>
      <c r="D398" t="s">
        <v>139</v>
      </c>
      <c r="E398" s="156">
        <v>44722</v>
      </c>
      <c r="F398" t="s">
        <v>673</v>
      </c>
      <c r="G398" s="156">
        <v>44722</v>
      </c>
      <c r="I398">
        <v>782000</v>
      </c>
      <c r="K398">
        <v>0</v>
      </c>
      <c r="M398">
        <v>0</v>
      </c>
      <c r="N398">
        <v>0</v>
      </c>
      <c r="O398">
        <v>0</v>
      </c>
      <c r="P398" s="117">
        <v>782000</v>
      </c>
      <c r="Q398" s="117" t="s">
        <v>1021</v>
      </c>
      <c r="R398" s="150">
        <v>0</v>
      </c>
      <c r="S398" s="117" t="b">
        <f>OR(COUNTIF(Tabla2[[#This Row],[PROVEEDOR]],"*"&amp;'Palabra no opera'!$A$2&amp;"*"))</f>
        <v>0</v>
      </c>
      <c r="T398" s="150">
        <f>+$W$5-Tabla2[[#This Row],[FECHA DE FACTURACIÓN]]</f>
        <v>112</v>
      </c>
      <c r="U398" t="str">
        <f>+IF(Tabla2[[#This Row],[dias de credito]]&gt;=Tabla2[[#This Row],[PLAZO Días]],"venc", "No venc")</f>
        <v>venc</v>
      </c>
      <c r="V398" t="str">
        <f>+IF(Tabla2[[#This Row],[FECHA DE PAGO]]&gt;0,"pagada","por pagar")</f>
        <v>pagada</v>
      </c>
      <c r="W398" s="152" t="str">
        <f>+IF(AND(Tabla2[[#This Row],[venc]]="venc",Tabla2[[#This Row],[Columna1]]="por pagar"),"vencida","no")</f>
        <v>no</v>
      </c>
    </row>
    <row r="399" spans="1:23" x14ac:dyDescent="0.3">
      <c r="A399">
        <v>30</v>
      </c>
      <c r="B399">
        <v>5225000</v>
      </c>
      <c r="D399" t="s">
        <v>139</v>
      </c>
      <c r="E399" s="156">
        <v>44721</v>
      </c>
      <c r="F399" t="s">
        <v>629</v>
      </c>
      <c r="G399" s="156">
        <v>44690</v>
      </c>
      <c r="H399" t="s">
        <v>964</v>
      </c>
      <c r="I399">
        <v>2320000</v>
      </c>
      <c r="K399">
        <v>0</v>
      </c>
      <c r="M399">
        <v>0</v>
      </c>
      <c r="N399">
        <v>0</v>
      </c>
      <c r="O399">
        <v>0</v>
      </c>
      <c r="P399" s="117">
        <v>2320000</v>
      </c>
      <c r="Q399" s="117" t="s">
        <v>1021</v>
      </c>
      <c r="R399" s="150">
        <v>0</v>
      </c>
      <c r="S399" s="117" t="b">
        <f>OR(COUNTIF(Tabla2[[#This Row],[PROVEEDOR]],"*"&amp;'Palabra no opera'!$A$2&amp;"*"))</f>
        <v>0</v>
      </c>
      <c r="T399" s="150">
        <f>+$W$5-Tabla2[[#This Row],[FECHA DE FACTURACIÓN]]</f>
        <v>144</v>
      </c>
      <c r="U399" t="str">
        <f>+IF(Tabla2[[#This Row],[dias de credito]]&gt;=Tabla2[[#This Row],[PLAZO Días]],"venc", "No venc")</f>
        <v>venc</v>
      </c>
      <c r="V399" t="str">
        <f>+IF(Tabla2[[#This Row],[FECHA DE PAGO]]&gt;0,"pagada","por pagar")</f>
        <v>pagada</v>
      </c>
      <c r="W399" s="152" t="str">
        <f>+IF(AND(Tabla2[[#This Row],[venc]]="venc",Tabla2[[#This Row],[Columna1]]="por pagar"),"vencida","no")</f>
        <v>no</v>
      </c>
    </row>
    <row r="400" spans="1:23" x14ac:dyDescent="0.3">
      <c r="A400">
        <v>30</v>
      </c>
      <c r="B400">
        <v>0</v>
      </c>
      <c r="D400">
        <v>0</v>
      </c>
      <c r="E400" s="156">
        <v>44720</v>
      </c>
      <c r="F400" t="s">
        <v>700</v>
      </c>
      <c r="G400" s="156">
        <v>44720</v>
      </c>
      <c r="H400" t="s">
        <v>1071</v>
      </c>
      <c r="I400">
        <v>968000</v>
      </c>
      <c r="K400">
        <v>0</v>
      </c>
      <c r="M400">
        <v>0</v>
      </c>
      <c r="N400">
        <v>0</v>
      </c>
      <c r="O400">
        <v>0</v>
      </c>
      <c r="P400" s="117">
        <v>968000</v>
      </c>
      <c r="Q400" s="117" t="s">
        <v>1021</v>
      </c>
      <c r="R400" s="150">
        <v>0</v>
      </c>
      <c r="S400" s="117" t="b">
        <f>OR(COUNTIF(Tabla2[[#This Row],[PROVEEDOR]],"*"&amp;'Palabra no opera'!$A$2&amp;"*"))</f>
        <v>0</v>
      </c>
      <c r="T400" s="150">
        <f>+$W$5-Tabla2[[#This Row],[FECHA DE FACTURACIÓN]]</f>
        <v>114</v>
      </c>
      <c r="U400" t="str">
        <f>+IF(Tabla2[[#This Row],[dias de credito]]&gt;=Tabla2[[#This Row],[PLAZO Días]],"venc", "No venc")</f>
        <v>venc</v>
      </c>
      <c r="V400" t="str">
        <f>+IF(Tabla2[[#This Row],[FECHA DE PAGO]]&gt;0,"pagada","por pagar")</f>
        <v>pagada</v>
      </c>
      <c r="W400" s="152" t="str">
        <f>+IF(AND(Tabla2[[#This Row],[venc]]="venc",Tabla2[[#This Row],[Columna1]]="por pagar"),"vencida","no")</f>
        <v>no</v>
      </c>
    </row>
    <row r="401" spans="1:23" x14ac:dyDescent="0.3">
      <c r="A401">
        <v>90</v>
      </c>
      <c r="B401">
        <v>18086014.540000003</v>
      </c>
      <c r="D401" t="s">
        <v>271</v>
      </c>
      <c r="E401" s="156">
        <v>44718</v>
      </c>
      <c r="F401" t="s">
        <v>9</v>
      </c>
      <c r="G401" s="156">
        <v>44718</v>
      </c>
      <c r="H401" t="s">
        <v>1601</v>
      </c>
      <c r="I401">
        <v>-14832130</v>
      </c>
      <c r="K401">
        <v>-2818104.7</v>
      </c>
      <c r="M401">
        <v>0</v>
      </c>
      <c r="N401">
        <v>0</v>
      </c>
      <c r="O401">
        <v>0</v>
      </c>
      <c r="P401" s="117">
        <v>0</v>
      </c>
      <c r="Q401" s="117" t="s">
        <v>1021</v>
      </c>
      <c r="R401" s="150">
        <v>0</v>
      </c>
      <c r="S401" s="117" t="b">
        <f>OR(COUNTIF(Tabla2[[#This Row],[PROVEEDOR]],"*"&amp;'Palabra no opera'!$A$2&amp;"*"))</f>
        <v>0</v>
      </c>
      <c r="T401" s="150">
        <f>+$W$5-Tabla2[[#This Row],[FECHA DE FACTURACIÓN]]</f>
        <v>116</v>
      </c>
      <c r="U401" t="str">
        <f>+IF(Tabla2[[#This Row],[dias de credito]]&gt;=Tabla2[[#This Row],[PLAZO Días]],"venc", "No venc")</f>
        <v>venc</v>
      </c>
      <c r="V401" t="str">
        <f>+IF(Tabla2[[#This Row],[FECHA DE PAGO]]&gt;0,"pagada","por pagar")</f>
        <v>pagada</v>
      </c>
      <c r="W401" s="152" t="str">
        <f>+IF(AND(Tabla2[[#This Row],[venc]]="venc",Tabla2[[#This Row],[Columna1]]="por pagar"),"vencida","no")</f>
        <v>no</v>
      </c>
    </row>
    <row r="402" spans="1:23" x14ac:dyDescent="0.3">
      <c r="A402">
        <v>90</v>
      </c>
      <c r="B402">
        <v>18086014.540000003</v>
      </c>
      <c r="D402" t="s">
        <v>271</v>
      </c>
      <c r="E402" s="156">
        <v>44718</v>
      </c>
      <c r="F402" t="s">
        <v>9</v>
      </c>
      <c r="G402" s="156">
        <v>44704</v>
      </c>
      <c r="H402" t="s">
        <v>1601</v>
      </c>
      <c r="I402">
        <v>-7000000</v>
      </c>
      <c r="K402">
        <v>-1330000</v>
      </c>
      <c r="M402">
        <v>0</v>
      </c>
      <c r="N402">
        <v>0</v>
      </c>
      <c r="O402">
        <v>0</v>
      </c>
      <c r="P402" s="117">
        <v>0</v>
      </c>
      <c r="Q402" s="117" t="s">
        <v>1021</v>
      </c>
      <c r="R402" s="150">
        <v>0</v>
      </c>
      <c r="S402" s="117" t="b">
        <f>OR(COUNTIF(Tabla2[[#This Row],[PROVEEDOR]],"*"&amp;'Palabra no opera'!$A$2&amp;"*"))</f>
        <v>0</v>
      </c>
      <c r="T402" s="150">
        <f>+$W$5-Tabla2[[#This Row],[FECHA DE FACTURACIÓN]]</f>
        <v>130</v>
      </c>
      <c r="U402" t="str">
        <f>+IF(Tabla2[[#This Row],[dias de credito]]&gt;=Tabla2[[#This Row],[PLAZO Días]],"venc", "No venc")</f>
        <v>venc</v>
      </c>
      <c r="V402" t="str">
        <f>+IF(Tabla2[[#This Row],[FECHA DE PAGO]]&gt;0,"pagada","por pagar")</f>
        <v>pagada</v>
      </c>
      <c r="W402" s="152" t="str">
        <f>+IF(AND(Tabla2[[#This Row],[venc]]="venc",Tabla2[[#This Row],[Columna1]]="por pagar"),"vencida","no")</f>
        <v>no</v>
      </c>
    </row>
    <row r="403" spans="1:23" x14ac:dyDescent="0.3">
      <c r="A403">
        <v>30</v>
      </c>
      <c r="B403">
        <v>0</v>
      </c>
      <c r="D403" t="s">
        <v>1024</v>
      </c>
      <c r="E403" s="156">
        <v>44718</v>
      </c>
      <c r="F403" t="s">
        <v>32</v>
      </c>
      <c r="G403" s="156">
        <v>44697</v>
      </c>
      <c r="H403" t="s">
        <v>972</v>
      </c>
      <c r="I403">
        <v>149369.75</v>
      </c>
      <c r="K403">
        <v>28380.252499999999</v>
      </c>
      <c r="M403">
        <v>0</v>
      </c>
      <c r="N403">
        <v>0</v>
      </c>
      <c r="O403">
        <v>0</v>
      </c>
      <c r="P403" s="117">
        <v>177750.0025</v>
      </c>
      <c r="Q403" s="117" t="s">
        <v>1021</v>
      </c>
      <c r="R403" s="150">
        <v>0</v>
      </c>
      <c r="S403" s="117" t="b">
        <f>OR(COUNTIF(Tabla2[[#This Row],[PROVEEDOR]],"*"&amp;'Palabra no opera'!$A$2&amp;"*"))</f>
        <v>0</v>
      </c>
      <c r="T403" s="150">
        <f>+$W$5-Tabla2[[#This Row],[FECHA DE FACTURACIÓN]]</f>
        <v>137</v>
      </c>
      <c r="U403" t="str">
        <f>+IF(Tabla2[[#This Row],[dias de credito]]&gt;=Tabla2[[#This Row],[PLAZO Días]],"venc", "No venc")</f>
        <v>venc</v>
      </c>
      <c r="V403" t="str">
        <f>+IF(Tabla2[[#This Row],[FECHA DE PAGO]]&gt;0,"pagada","por pagar")</f>
        <v>pagada</v>
      </c>
      <c r="W403" s="152" t="str">
        <f>+IF(AND(Tabla2[[#This Row],[venc]]="venc",Tabla2[[#This Row],[Columna1]]="por pagar"),"vencida","no")</f>
        <v>no</v>
      </c>
    </row>
    <row r="404" spans="1:23" x14ac:dyDescent="0.3">
      <c r="A404">
        <v>30</v>
      </c>
      <c r="B404">
        <v>8457900</v>
      </c>
      <c r="D404" t="s">
        <v>1027</v>
      </c>
      <c r="E404" s="156">
        <v>44718</v>
      </c>
      <c r="F404" t="s">
        <v>11</v>
      </c>
      <c r="G404" s="156">
        <v>44683</v>
      </c>
      <c r="H404" t="s">
        <v>946</v>
      </c>
      <c r="I404">
        <v>1320000</v>
      </c>
      <c r="K404">
        <v>250800</v>
      </c>
      <c r="M404">
        <v>0</v>
      </c>
      <c r="N404">
        <v>2.5000000000000001E-2</v>
      </c>
      <c r="O404">
        <v>33000</v>
      </c>
      <c r="P404" s="117">
        <v>1537800</v>
      </c>
      <c r="Q404" s="117" t="s">
        <v>1021</v>
      </c>
      <c r="R404" s="150">
        <v>0</v>
      </c>
      <c r="S404" s="117"/>
    </row>
    <row r="405" spans="1:23" x14ac:dyDescent="0.3">
      <c r="A405">
        <v>30</v>
      </c>
      <c r="B405">
        <v>0</v>
      </c>
      <c r="D405" t="s">
        <v>290</v>
      </c>
      <c r="E405" s="156">
        <v>44718</v>
      </c>
      <c r="F405" t="s">
        <v>47</v>
      </c>
      <c r="G405" s="156">
        <v>44676</v>
      </c>
      <c r="H405" t="s">
        <v>900</v>
      </c>
      <c r="I405">
        <v>523580</v>
      </c>
      <c r="K405">
        <v>99480.2</v>
      </c>
      <c r="M405">
        <v>0</v>
      </c>
      <c r="N405">
        <v>0</v>
      </c>
      <c r="O405">
        <v>0</v>
      </c>
      <c r="P405" s="117">
        <v>623060.19999999995</v>
      </c>
      <c r="Q405" s="117" t="s">
        <v>1021</v>
      </c>
      <c r="R405" s="150">
        <v>0</v>
      </c>
      <c r="S405" s="117" t="b">
        <f>OR(COUNTIF(Tabla2[[#This Row],[PROVEEDOR]],"*"&amp;'Palabra no opera'!$A$2&amp;"*"))</f>
        <v>0</v>
      </c>
      <c r="T405" s="150">
        <f>+$W$5-Tabla2[[#This Row],[FECHA DE FACTURACIÓN]]</f>
        <v>158</v>
      </c>
      <c r="U405" t="str">
        <f>+IF(Tabla2[[#This Row],[dias de credito]]&gt;=Tabla2[[#This Row],[PLAZO Días]],"venc", "No venc")</f>
        <v>venc</v>
      </c>
      <c r="V405" t="str">
        <f>+IF(Tabla2[[#This Row],[FECHA DE PAGO]]&gt;0,"pagada","por pagar")</f>
        <v>pagada</v>
      </c>
      <c r="W405" s="152" t="str">
        <f>+IF(AND(Tabla2[[#This Row],[venc]]="venc",Tabla2[[#This Row],[Columna1]]="por pagar"),"vencida","no")</f>
        <v>no</v>
      </c>
    </row>
    <row r="406" spans="1:23" x14ac:dyDescent="0.3">
      <c r="A406">
        <v>30</v>
      </c>
      <c r="B406">
        <v>0</v>
      </c>
      <c r="D406" t="s">
        <v>261</v>
      </c>
      <c r="E406" s="156">
        <v>44718</v>
      </c>
      <c r="F406" t="s">
        <v>746</v>
      </c>
      <c r="G406" s="156">
        <v>44672</v>
      </c>
      <c r="H406">
        <v>2150</v>
      </c>
      <c r="I406">
        <v>428571.42</v>
      </c>
      <c r="K406">
        <v>81428.569799999997</v>
      </c>
      <c r="M406">
        <v>0</v>
      </c>
      <c r="N406">
        <v>0</v>
      </c>
      <c r="O406">
        <v>0</v>
      </c>
      <c r="P406" s="117">
        <v>509999.98979999998</v>
      </c>
      <c r="Q406" s="117" t="s">
        <v>1021</v>
      </c>
      <c r="R406" s="150">
        <v>0</v>
      </c>
      <c r="S406" s="117" t="b">
        <f>OR(COUNTIF(Tabla2[[#This Row],[PROVEEDOR]],"*"&amp;'Palabra no opera'!$A$2&amp;"*"))</f>
        <v>0</v>
      </c>
      <c r="T406" s="150">
        <f>+$W$5-Tabla2[[#This Row],[FECHA DE FACTURACIÓN]]</f>
        <v>162</v>
      </c>
      <c r="U406" t="str">
        <f>+IF(Tabla2[[#This Row],[dias de credito]]&gt;=Tabla2[[#This Row],[PLAZO Días]],"venc", "No venc")</f>
        <v>venc</v>
      </c>
      <c r="V406" t="str">
        <f>+IF(Tabla2[[#This Row],[FECHA DE PAGO]]&gt;0,"pagada","por pagar")</f>
        <v>pagada</v>
      </c>
      <c r="W406" s="152" t="str">
        <f>+IF(AND(Tabla2[[#This Row],[venc]]="venc",Tabla2[[#This Row],[Columna1]]="por pagar"),"vencida","no")</f>
        <v>no</v>
      </c>
    </row>
    <row r="407" spans="1:23" x14ac:dyDescent="0.3">
      <c r="A407">
        <v>45</v>
      </c>
      <c r="B407">
        <v>7497238</v>
      </c>
      <c r="D407" t="s">
        <v>272</v>
      </c>
      <c r="E407" s="156">
        <v>44718</v>
      </c>
      <c r="F407" t="s">
        <v>10</v>
      </c>
      <c r="G407" s="156">
        <v>44657</v>
      </c>
      <c r="H407" t="s">
        <v>857</v>
      </c>
      <c r="I407">
        <v>516000</v>
      </c>
      <c r="K407">
        <v>98040</v>
      </c>
      <c r="M407">
        <v>0</v>
      </c>
      <c r="N407">
        <v>0</v>
      </c>
      <c r="O407">
        <v>0</v>
      </c>
      <c r="P407" s="117">
        <v>614040</v>
      </c>
      <c r="Q407" s="117" t="s">
        <v>1021</v>
      </c>
      <c r="R407" s="150">
        <v>0</v>
      </c>
      <c r="S407" s="117" t="b">
        <f>OR(COUNTIF(Tabla2[[#This Row],[PROVEEDOR]],"*"&amp;'Palabra no opera'!$A$2&amp;"*"))</f>
        <v>0</v>
      </c>
      <c r="T407" s="150">
        <f>+$W$5-Tabla2[[#This Row],[FECHA DE FACTURACIÓN]]</f>
        <v>177</v>
      </c>
      <c r="U407" t="str">
        <f>+IF(Tabla2[[#This Row],[dias de credito]]&gt;=Tabla2[[#This Row],[PLAZO Días]],"venc", "No venc")</f>
        <v>venc</v>
      </c>
      <c r="V407" t="str">
        <f>+IF(Tabla2[[#This Row],[FECHA DE PAGO]]&gt;0,"pagada","por pagar")</f>
        <v>pagada</v>
      </c>
      <c r="W407" s="152" t="str">
        <f>+IF(AND(Tabla2[[#This Row],[venc]]="venc",Tabla2[[#This Row],[Columna1]]="por pagar"),"vencida","no")</f>
        <v>no</v>
      </c>
    </row>
    <row r="408" spans="1:23" x14ac:dyDescent="0.3">
      <c r="A408">
        <v>30</v>
      </c>
      <c r="B408">
        <v>0</v>
      </c>
      <c r="D408" t="s">
        <v>290</v>
      </c>
      <c r="E408" s="156">
        <v>44718</v>
      </c>
      <c r="F408" t="s">
        <v>47</v>
      </c>
      <c r="G408" s="156">
        <v>44655</v>
      </c>
      <c r="H408" t="s">
        <v>642</v>
      </c>
      <c r="I408">
        <v>3406</v>
      </c>
      <c r="K408">
        <v>647.14</v>
      </c>
      <c r="M408">
        <v>0</v>
      </c>
      <c r="N408">
        <v>0</v>
      </c>
      <c r="O408">
        <v>0</v>
      </c>
      <c r="P408" s="117">
        <v>4053.14</v>
      </c>
      <c r="Q408" s="117" t="s">
        <v>1021</v>
      </c>
      <c r="R408" s="150">
        <v>0</v>
      </c>
      <c r="S408" s="117" t="b">
        <f>OR(COUNTIF(Tabla2[[#This Row],[PROVEEDOR]],"*"&amp;'Palabra no opera'!$A$2&amp;"*"))</f>
        <v>0</v>
      </c>
      <c r="T408" s="150">
        <f>+$W$5-Tabla2[[#This Row],[FECHA DE FACTURACIÓN]]</f>
        <v>179</v>
      </c>
      <c r="U408" t="str">
        <f>+IF(Tabla2[[#This Row],[dias de credito]]&gt;=Tabla2[[#This Row],[PLAZO Días]],"venc", "No venc")</f>
        <v>venc</v>
      </c>
      <c r="V408" t="str">
        <f>+IF(Tabla2[[#This Row],[FECHA DE PAGO]]&gt;0,"pagada","por pagar")</f>
        <v>pagada</v>
      </c>
      <c r="W408" s="152" t="str">
        <f>+IF(AND(Tabla2[[#This Row],[venc]]="venc",Tabla2[[#This Row],[Columna1]]="por pagar"),"vencida","no")</f>
        <v>no</v>
      </c>
    </row>
    <row r="409" spans="1:23" x14ac:dyDescent="0.3">
      <c r="A409">
        <v>45</v>
      </c>
      <c r="B409">
        <v>7497238</v>
      </c>
      <c r="D409" t="s">
        <v>272</v>
      </c>
      <c r="E409" s="156">
        <v>44718</v>
      </c>
      <c r="F409" t="s">
        <v>10</v>
      </c>
      <c r="G409" s="156">
        <v>44650</v>
      </c>
      <c r="H409" t="s">
        <v>708</v>
      </c>
      <c r="I409">
        <v>322000</v>
      </c>
      <c r="K409">
        <v>61180</v>
      </c>
      <c r="M409">
        <v>0</v>
      </c>
      <c r="N409">
        <v>0</v>
      </c>
      <c r="O409">
        <v>0</v>
      </c>
      <c r="P409" s="117">
        <v>383180</v>
      </c>
      <c r="Q409" s="117" t="s">
        <v>1021</v>
      </c>
      <c r="R409" s="150">
        <v>0</v>
      </c>
      <c r="S409" s="117" t="b">
        <f>OR(COUNTIF(Tabla2[[#This Row],[PROVEEDOR]],"*"&amp;'Palabra no opera'!$A$2&amp;"*"))</f>
        <v>0</v>
      </c>
      <c r="T409" s="150">
        <f>+$W$5-Tabla2[[#This Row],[FECHA DE FACTURACIÓN]]</f>
        <v>184</v>
      </c>
      <c r="U409" t="str">
        <f>+IF(Tabla2[[#This Row],[dias de credito]]&gt;=Tabla2[[#This Row],[PLAZO Días]],"venc", "No venc")</f>
        <v>venc</v>
      </c>
      <c r="V409" t="str">
        <f>+IF(Tabla2[[#This Row],[FECHA DE PAGO]]&gt;0,"pagada","por pagar")</f>
        <v>pagada</v>
      </c>
      <c r="W409" s="152" t="str">
        <f>+IF(AND(Tabla2[[#This Row],[venc]]="venc",Tabla2[[#This Row],[Columna1]]="por pagar"),"vencida","no")</f>
        <v>no</v>
      </c>
    </row>
    <row r="410" spans="1:23" x14ac:dyDescent="0.3">
      <c r="A410">
        <v>90</v>
      </c>
      <c r="B410">
        <v>18086014.540000003</v>
      </c>
      <c r="D410" t="s">
        <v>271</v>
      </c>
      <c r="E410" s="156">
        <v>44718</v>
      </c>
      <c r="F410" t="s">
        <v>9</v>
      </c>
      <c r="G410" s="156">
        <v>44649</v>
      </c>
      <c r="H410">
        <v>75600</v>
      </c>
      <c r="I410">
        <v>19035762</v>
      </c>
      <c r="K410">
        <v>3616794.7800000003</v>
      </c>
      <c r="M410">
        <v>0</v>
      </c>
      <c r="N410">
        <v>2.5000000000000001E-2</v>
      </c>
      <c r="O410">
        <v>475894.05000000005</v>
      </c>
      <c r="P410" s="117">
        <v>22176662.73</v>
      </c>
      <c r="Q410" s="117" t="s">
        <v>1021</v>
      </c>
      <c r="R410" s="150">
        <v>0</v>
      </c>
      <c r="S410" s="117" t="b">
        <f>OR(COUNTIF(Tabla2[[#This Row],[PROVEEDOR]],"*"&amp;'Palabra no opera'!$A$2&amp;"*"))</f>
        <v>0</v>
      </c>
      <c r="T410" s="150">
        <f>+$W$5-Tabla2[[#This Row],[FECHA DE FACTURACIÓN]]</f>
        <v>185</v>
      </c>
      <c r="U410" t="str">
        <f>+IF(Tabla2[[#This Row],[dias de credito]]&gt;=Tabla2[[#This Row],[PLAZO Días]],"venc", "No venc")</f>
        <v>venc</v>
      </c>
      <c r="V410" t="str">
        <f>+IF(Tabla2[[#This Row],[FECHA DE PAGO]]&gt;0,"pagada","por pagar")</f>
        <v>pagada</v>
      </c>
      <c r="W410" s="152" t="str">
        <f>+IF(AND(Tabla2[[#This Row],[venc]]="venc",Tabla2[[#This Row],[Columna1]]="por pagar"),"vencida","no")</f>
        <v>no</v>
      </c>
    </row>
    <row r="411" spans="1:23" x14ac:dyDescent="0.3">
      <c r="A411">
        <v>90</v>
      </c>
      <c r="B411">
        <v>18086014.540000003</v>
      </c>
      <c r="D411" t="s">
        <v>271</v>
      </c>
      <c r="E411" s="156">
        <v>44718</v>
      </c>
      <c r="F411" t="s">
        <v>9</v>
      </c>
      <c r="G411" s="156">
        <v>44649</v>
      </c>
      <c r="H411" t="s">
        <v>855</v>
      </c>
      <c r="I411">
        <v>-344533</v>
      </c>
      <c r="K411">
        <v>-65461.270000000004</v>
      </c>
      <c r="M411">
        <v>0</v>
      </c>
      <c r="N411">
        <v>0</v>
      </c>
      <c r="O411">
        <v>0</v>
      </c>
      <c r="P411" s="117">
        <v>0</v>
      </c>
      <c r="Q411" s="117" t="s">
        <v>1021</v>
      </c>
      <c r="R411" s="150">
        <v>0</v>
      </c>
      <c r="S411" s="117" t="b">
        <f>OR(COUNTIF(Tabla2[[#This Row],[PROVEEDOR]],"*"&amp;'Palabra no opera'!$A$2&amp;"*"))</f>
        <v>0</v>
      </c>
      <c r="T411" s="150">
        <f>+$W$5-Tabla2[[#This Row],[FECHA DE FACTURACIÓN]]</f>
        <v>185</v>
      </c>
      <c r="U411" t="str">
        <f>+IF(Tabla2[[#This Row],[dias de credito]]&gt;=Tabla2[[#This Row],[PLAZO Días]],"venc", "No venc")</f>
        <v>venc</v>
      </c>
      <c r="V411" t="str">
        <f>+IF(Tabla2[[#This Row],[FECHA DE PAGO]]&gt;0,"pagada","por pagar")</f>
        <v>pagada</v>
      </c>
      <c r="W411" s="152" t="str">
        <f>+IF(AND(Tabla2[[#This Row],[venc]]="venc",Tabla2[[#This Row],[Columna1]]="por pagar"),"vencida","no")</f>
        <v>no</v>
      </c>
    </row>
    <row r="412" spans="1:23" x14ac:dyDescent="0.3">
      <c r="A412">
        <v>30</v>
      </c>
      <c r="B412">
        <v>2111011.8149999999</v>
      </c>
      <c r="D412" t="s">
        <v>251</v>
      </c>
      <c r="E412" s="156">
        <v>44718</v>
      </c>
      <c r="F412" t="s">
        <v>216</v>
      </c>
      <c r="G412" s="156">
        <v>44648</v>
      </c>
      <c r="H412">
        <v>556</v>
      </c>
      <c r="I412">
        <v>352941</v>
      </c>
      <c r="K412">
        <v>67058.789999999994</v>
      </c>
      <c r="M412">
        <v>0</v>
      </c>
      <c r="N412">
        <v>0</v>
      </c>
      <c r="O412">
        <v>0</v>
      </c>
      <c r="P412" s="117">
        <v>419999.79</v>
      </c>
      <c r="Q412" s="117" t="s">
        <v>1021</v>
      </c>
      <c r="R412" s="150">
        <v>0</v>
      </c>
      <c r="S412" s="117" t="b">
        <f>OR(COUNTIF(Tabla2[[#This Row],[PROVEEDOR]],"*"&amp;'Palabra no opera'!$A$2&amp;"*"))</f>
        <v>0</v>
      </c>
      <c r="T412" s="150">
        <f>+$W$5-Tabla2[[#This Row],[FECHA DE FACTURACIÓN]]</f>
        <v>186</v>
      </c>
      <c r="U412" t="str">
        <f>+IF(Tabla2[[#This Row],[dias de credito]]&gt;=Tabla2[[#This Row],[PLAZO Días]],"venc", "No venc")</f>
        <v>venc</v>
      </c>
      <c r="V412" t="str">
        <f>+IF(Tabla2[[#This Row],[FECHA DE PAGO]]&gt;0,"pagada","por pagar")</f>
        <v>pagada</v>
      </c>
      <c r="W412" s="152" t="str">
        <f>+IF(AND(Tabla2[[#This Row],[venc]]="venc",Tabla2[[#This Row],[Columna1]]="por pagar"),"vencida","no")</f>
        <v>no</v>
      </c>
    </row>
    <row r="413" spans="1:23" x14ac:dyDescent="0.3">
      <c r="A413">
        <v>30</v>
      </c>
      <c r="B413">
        <v>2111011.8149999999</v>
      </c>
      <c r="D413" t="s">
        <v>251</v>
      </c>
      <c r="E413" s="156">
        <v>44718</v>
      </c>
      <c r="F413" t="s">
        <v>216</v>
      </c>
      <c r="G413" s="156">
        <v>44636</v>
      </c>
      <c r="H413">
        <v>544</v>
      </c>
      <c r="I413">
        <v>2519329</v>
      </c>
      <c r="K413">
        <v>478672.51</v>
      </c>
      <c r="M413">
        <v>0</v>
      </c>
      <c r="N413">
        <v>2.5000000000000001E-2</v>
      </c>
      <c r="O413">
        <v>62983.225000000006</v>
      </c>
      <c r="P413" s="117">
        <v>2935018.2849999997</v>
      </c>
      <c r="Q413" s="117" t="s">
        <v>1021</v>
      </c>
      <c r="R413" s="150">
        <v>0</v>
      </c>
      <c r="S413" s="117" t="b">
        <f>OR(COUNTIF(Tabla2[[#This Row],[PROVEEDOR]],"*"&amp;'Palabra no opera'!$A$2&amp;"*"))</f>
        <v>0</v>
      </c>
      <c r="T413" s="150">
        <f>+$W$5-Tabla2[[#This Row],[FECHA DE FACTURACIÓN]]</f>
        <v>198</v>
      </c>
      <c r="U413" t="str">
        <f>+IF(Tabla2[[#This Row],[dias de credito]]&gt;=Tabla2[[#This Row],[PLAZO Días]],"venc", "No venc")</f>
        <v>venc</v>
      </c>
      <c r="V413" t="str">
        <f>+IF(Tabla2[[#This Row],[FECHA DE PAGO]]&gt;0,"pagada","por pagar")</f>
        <v>pagada</v>
      </c>
      <c r="W413" s="152" t="str">
        <f>+IF(AND(Tabla2[[#This Row],[venc]]="venc",Tabla2[[#This Row],[Columna1]]="por pagar"),"vencida","no")</f>
        <v>no</v>
      </c>
    </row>
    <row r="414" spans="1:23" x14ac:dyDescent="0.3">
      <c r="A414">
        <v>30</v>
      </c>
      <c r="B414">
        <v>0</v>
      </c>
      <c r="D414" t="s">
        <v>261</v>
      </c>
      <c r="E414" s="156">
        <v>44718</v>
      </c>
      <c r="F414" t="s">
        <v>746</v>
      </c>
      <c r="G414" s="156">
        <v>44592</v>
      </c>
      <c r="H414" t="s">
        <v>774</v>
      </c>
      <c r="I414">
        <v>-21428.57</v>
      </c>
      <c r="K414">
        <v>-4071.4283</v>
      </c>
      <c r="M414">
        <v>0</v>
      </c>
      <c r="N414">
        <v>0</v>
      </c>
      <c r="O414">
        <v>0</v>
      </c>
      <c r="P414" s="117">
        <v>-25499.998299999999</v>
      </c>
      <c r="Q414" s="117" t="s">
        <v>1021</v>
      </c>
      <c r="R414" s="150">
        <v>0</v>
      </c>
      <c r="S414" s="117" t="b">
        <f>OR(COUNTIF(Tabla2[[#This Row],[PROVEEDOR]],"*"&amp;'Palabra no opera'!$A$2&amp;"*"))</f>
        <v>0</v>
      </c>
      <c r="T414" s="150">
        <f>+$W$5-Tabla2[[#This Row],[FECHA DE FACTURACIÓN]]</f>
        <v>242</v>
      </c>
      <c r="U414" t="str">
        <f>+IF(Tabla2[[#This Row],[dias de credito]]&gt;=Tabla2[[#This Row],[PLAZO Días]],"venc", "No venc")</f>
        <v>venc</v>
      </c>
      <c r="V414" t="str">
        <f>+IF(Tabla2[[#This Row],[FECHA DE PAGO]]&gt;0,"pagada","por pagar")</f>
        <v>pagada</v>
      </c>
      <c r="W414" s="152" t="str">
        <f>+IF(AND(Tabla2[[#This Row],[venc]]="venc",Tabla2[[#This Row],[Columna1]]="por pagar"),"vencida","no")</f>
        <v>no</v>
      </c>
    </row>
    <row r="415" spans="1:23" x14ac:dyDescent="0.3">
      <c r="A415">
        <v>30</v>
      </c>
      <c r="B415">
        <v>0</v>
      </c>
      <c r="D415" t="s">
        <v>139</v>
      </c>
      <c r="E415" s="156">
        <v>44715</v>
      </c>
      <c r="F415" t="s">
        <v>673</v>
      </c>
      <c r="G415" s="156">
        <v>44715</v>
      </c>
      <c r="I415">
        <v>1000000</v>
      </c>
      <c r="K415">
        <v>0</v>
      </c>
      <c r="M415">
        <v>0</v>
      </c>
      <c r="N415">
        <v>0</v>
      </c>
      <c r="O415">
        <v>0</v>
      </c>
      <c r="P415" s="117">
        <v>1000000</v>
      </c>
      <c r="Q415" s="117" t="s">
        <v>1021</v>
      </c>
      <c r="R415" s="150">
        <v>0</v>
      </c>
      <c r="S415" s="117" t="b">
        <f>OR(COUNTIF(Tabla2[[#This Row],[PROVEEDOR]],"*"&amp;'Palabra no opera'!$A$2&amp;"*"))</f>
        <v>0</v>
      </c>
      <c r="T415" s="150">
        <f>+$W$5-Tabla2[[#This Row],[FECHA DE FACTURACIÓN]]</f>
        <v>119</v>
      </c>
      <c r="U415" t="str">
        <f>+IF(Tabla2[[#This Row],[dias de credito]]&gt;=Tabla2[[#This Row],[PLAZO Días]],"venc", "No venc")</f>
        <v>venc</v>
      </c>
      <c r="V415" t="str">
        <f>+IF(Tabla2[[#This Row],[FECHA DE PAGO]]&gt;0,"pagada","por pagar")</f>
        <v>pagada</v>
      </c>
      <c r="W415" s="152" t="str">
        <f>+IF(AND(Tabla2[[#This Row],[venc]]="venc",Tabla2[[#This Row],[Columna1]]="por pagar"),"vencida","no")</f>
        <v>no</v>
      </c>
    </row>
    <row r="416" spans="1:23" x14ac:dyDescent="0.3">
      <c r="A416">
        <v>10</v>
      </c>
      <c r="B416">
        <v>0</v>
      </c>
      <c r="D416" t="s">
        <v>139</v>
      </c>
      <c r="E416" s="156">
        <v>44714</v>
      </c>
      <c r="F416" t="s">
        <v>23</v>
      </c>
      <c r="G416" s="156">
        <v>44713</v>
      </c>
      <c r="H416">
        <v>291706</v>
      </c>
      <c r="I416">
        <v>11058911.52</v>
      </c>
      <c r="K416">
        <v>0</v>
      </c>
      <c r="M416">
        <v>0</v>
      </c>
      <c r="N416">
        <v>0</v>
      </c>
      <c r="O416">
        <v>0</v>
      </c>
      <c r="P416" s="117">
        <v>11058911.52</v>
      </c>
      <c r="Q416" s="117" t="s">
        <v>1021</v>
      </c>
      <c r="R416" s="150">
        <v>0</v>
      </c>
      <c r="S416" s="117" t="b">
        <f>OR(COUNTIF(Tabla2[[#This Row],[PROVEEDOR]],"*"&amp;'Palabra no opera'!$A$2&amp;"*"))</f>
        <v>0</v>
      </c>
      <c r="T416" s="150">
        <f>+$W$5-Tabla2[[#This Row],[FECHA DE FACTURACIÓN]]</f>
        <v>121</v>
      </c>
      <c r="U416" t="str">
        <f>+IF(Tabla2[[#This Row],[dias de credito]]&gt;=Tabla2[[#This Row],[PLAZO Días]],"venc", "No venc")</f>
        <v>venc</v>
      </c>
      <c r="V416" t="str">
        <f>+IF(Tabla2[[#This Row],[FECHA DE PAGO]]&gt;0,"pagada","por pagar")</f>
        <v>pagada</v>
      </c>
      <c r="W416" s="152" t="str">
        <f>+IF(AND(Tabla2[[#This Row],[venc]]="venc",Tabla2[[#This Row],[Columna1]]="por pagar"),"vencida","no")</f>
        <v>no</v>
      </c>
    </row>
    <row r="417" spans="1:23" x14ac:dyDescent="0.3">
      <c r="A417">
        <v>10</v>
      </c>
      <c r="B417">
        <v>0</v>
      </c>
      <c r="D417" t="s">
        <v>139</v>
      </c>
      <c r="E417" s="156">
        <v>44714</v>
      </c>
      <c r="F417" t="s">
        <v>23</v>
      </c>
      <c r="G417" s="156">
        <v>44713</v>
      </c>
      <c r="H417">
        <v>291707</v>
      </c>
      <c r="I417">
        <v>10303644</v>
      </c>
      <c r="K417">
        <v>0</v>
      </c>
      <c r="M417">
        <v>0</v>
      </c>
      <c r="N417">
        <v>0</v>
      </c>
      <c r="O417">
        <v>0</v>
      </c>
      <c r="P417" s="117">
        <v>10303644</v>
      </c>
      <c r="Q417" s="117" t="s">
        <v>1021</v>
      </c>
      <c r="R417" s="150">
        <v>0</v>
      </c>
      <c r="S417" s="117" t="b">
        <f>OR(COUNTIF(Tabla2[[#This Row],[PROVEEDOR]],"*"&amp;'Palabra no opera'!$A$2&amp;"*"))</f>
        <v>0</v>
      </c>
      <c r="T417" s="150">
        <f>+$W$5-Tabla2[[#This Row],[FECHA DE FACTURACIÓN]]</f>
        <v>121</v>
      </c>
      <c r="U417" t="str">
        <f>+IF(Tabla2[[#This Row],[dias de credito]]&gt;=Tabla2[[#This Row],[PLAZO Días]],"venc", "No venc")</f>
        <v>venc</v>
      </c>
      <c r="V417" t="str">
        <f>+IF(Tabla2[[#This Row],[FECHA DE PAGO]]&gt;0,"pagada","por pagar")</f>
        <v>pagada</v>
      </c>
      <c r="W417" s="152" t="str">
        <f>+IF(AND(Tabla2[[#This Row],[venc]]="venc",Tabla2[[#This Row],[Columna1]]="por pagar"),"vencida","no")</f>
        <v>no</v>
      </c>
    </row>
    <row r="418" spans="1:23" x14ac:dyDescent="0.3">
      <c r="A418">
        <v>0</v>
      </c>
      <c r="B418">
        <v>0</v>
      </c>
      <c r="D418">
        <v>0</v>
      </c>
      <c r="E418" s="156">
        <v>44713</v>
      </c>
      <c r="F418" t="s">
        <v>1002</v>
      </c>
      <c r="G418" s="156">
        <v>44713</v>
      </c>
      <c r="H418" t="s">
        <v>1386</v>
      </c>
      <c r="I418">
        <v>159663.87</v>
      </c>
      <c r="K418">
        <v>30336.135299999998</v>
      </c>
      <c r="M418">
        <v>0</v>
      </c>
      <c r="N418">
        <v>0</v>
      </c>
      <c r="O418">
        <v>0</v>
      </c>
      <c r="P418" s="117">
        <v>190000.00529999999</v>
      </c>
      <c r="Q418" s="117" t="s">
        <v>1021</v>
      </c>
      <c r="R418" s="150">
        <v>0</v>
      </c>
      <c r="S418" s="117" t="b">
        <f>OR(COUNTIF(Tabla2[[#This Row],[PROVEEDOR]],"*"&amp;'Palabra no opera'!$A$2&amp;"*"))</f>
        <v>1</v>
      </c>
      <c r="T418" s="150">
        <f>+$W$5-Tabla2[[#This Row],[FECHA DE FACTURACIÓN]]</f>
        <v>121</v>
      </c>
      <c r="U418" t="str">
        <f>+IF(Tabla2[[#This Row],[dias de credito]]&gt;=Tabla2[[#This Row],[PLAZO Días]],"venc", "No venc")</f>
        <v>venc</v>
      </c>
      <c r="V418" t="str">
        <f>+IF(Tabla2[[#This Row],[FECHA DE PAGO]]&gt;0,"pagada","por pagar")</f>
        <v>pagada</v>
      </c>
      <c r="W418" s="152" t="str">
        <f>+IF(AND(Tabla2[[#This Row],[venc]]="venc",Tabla2[[#This Row],[Columna1]]="por pagar"),"vencida","no")</f>
        <v>no</v>
      </c>
    </row>
    <row r="419" spans="1:23" x14ac:dyDescent="0.3">
      <c r="A419">
        <v>30</v>
      </c>
      <c r="B419">
        <v>2192943.5750000002</v>
      </c>
      <c r="D419" t="s">
        <v>273</v>
      </c>
      <c r="E419" s="156">
        <v>44713</v>
      </c>
      <c r="F419" t="s">
        <v>1638</v>
      </c>
      <c r="G419" s="156">
        <v>44691</v>
      </c>
      <c r="H419" t="s">
        <v>952</v>
      </c>
      <c r="I419">
        <v>142857.5</v>
      </c>
      <c r="K419">
        <v>27142.924999999999</v>
      </c>
      <c r="M419">
        <v>0</v>
      </c>
      <c r="N419">
        <v>0</v>
      </c>
      <c r="O419">
        <v>0</v>
      </c>
      <c r="P419" s="117">
        <v>170000.42499999999</v>
      </c>
      <c r="Q419" s="117" t="s">
        <v>1021</v>
      </c>
      <c r="R419" s="150">
        <v>0</v>
      </c>
      <c r="S419" s="117" t="b">
        <f>OR(COUNTIF(Tabla2[[#This Row],[PROVEEDOR]],"*"&amp;'Palabra no opera'!$A$2&amp;"*"))</f>
        <v>0</v>
      </c>
      <c r="T419" s="150">
        <f>+$W$5-Tabla2[[#This Row],[FECHA DE FACTURACIÓN]]</f>
        <v>143</v>
      </c>
      <c r="U419" t="str">
        <f>+IF(Tabla2[[#This Row],[dias de credito]]&gt;=Tabla2[[#This Row],[PLAZO Días]],"venc", "No venc")</f>
        <v>venc</v>
      </c>
      <c r="V419" t="str">
        <f>+IF(Tabla2[[#This Row],[FECHA DE PAGO]]&gt;0,"pagada","por pagar")</f>
        <v>pagada</v>
      </c>
      <c r="W419" s="152" t="str">
        <f>+IF(AND(Tabla2[[#This Row],[venc]]="venc",Tabla2[[#This Row],[Columna1]]="por pagar"),"vencida","no")</f>
        <v>no</v>
      </c>
    </row>
    <row r="420" spans="1:23" x14ac:dyDescent="0.3">
      <c r="A420">
        <v>30</v>
      </c>
      <c r="B420">
        <v>0</v>
      </c>
      <c r="D420" t="s">
        <v>258</v>
      </c>
      <c r="E420" s="156">
        <v>44713</v>
      </c>
      <c r="F420" t="s">
        <v>667</v>
      </c>
      <c r="G420" s="156">
        <v>44672</v>
      </c>
      <c r="H420" t="s">
        <v>1588</v>
      </c>
      <c r="I420">
        <v>750000</v>
      </c>
      <c r="K420">
        <v>0</v>
      </c>
      <c r="M420">
        <v>0</v>
      </c>
      <c r="N420">
        <v>0</v>
      </c>
      <c r="O420">
        <v>0</v>
      </c>
      <c r="P420" s="117">
        <v>750000</v>
      </c>
      <c r="Q420" s="117" t="s">
        <v>1021</v>
      </c>
      <c r="R420" s="150">
        <v>0</v>
      </c>
      <c r="S420" s="117" t="b">
        <f>OR(COUNTIF(Tabla2[[#This Row],[PROVEEDOR]],"*"&amp;'Palabra no opera'!$A$2&amp;"*"))</f>
        <v>0</v>
      </c>
      <c r="T420" s="150">
        <f>+$W$5-Tabla2[[#This Row],[FECHA DE FACTURACIÓN]]</f>
        <v>162</v>
      </c>
      <c r="U420" t="str">
        <f>+IF(Tabla2[[#This Row],[dias de credito]]&gt;=Tabla2[[#This Row],[PLAZO Días]],"venc", "No venc")</f>
        <v>venc</v>
      </c>
      <c r="V420" t="str">
        <f>+IF(Tabla2[[#This Row],[FECHA DE PAGO]]&gt;0,"pagada","por pagar")</f>
        <v>pagada</v>
      </c>
      <c r="W420" s="152" t="str">
        <f>+IF(AND(Tabla2[[#This Row],[venc]]="venc",Tabla2[[#This Row],[Columna1]]="por pagar"),"vencida","no")</f>
        <v>no</v>
      </c>
    </row>
    <row r="421" spans="1:23" x14ac:dyDescent="0.3">
      <c r="A421">
        <v>30</v>
      </c>
      <c r="B421">
        <v>0</v>
      </c>
      <c r="D421" t="s">
        <v>139</v>
      </c>
      <c r="E421" s="156">
        <v>44712</v>
      </c>
      <c r="F421" t="s">
        <v>644</v>
      </c>
      <c r="G421" s="156">
        <v>44712</v>
      </c>
      <c r="H421" t="s">
        <v>945</v>
      </c>
      <c r="I421">
        <v>60000</v>
      </c>
      <c r="K421">
        <v>0</v>
      </c>
      <c r="M421">
        <v>0</v>
      </c>
      <c r="N421">
        <v>0</v>
      </c>
      <c r="O421">
        <v>0</v>
      </c>
      <c r="P421" s="117">
        <v>60000</v>
      </c>
      <c r="Q421" s="117" t="s">
        <v>1021</v>
      </c>
      <c r="R421" s="150">
        <v>0</v>
      </c>
      <c r="S421" s="117" t="b">
        <f>OR(COUNTIF(Tabla2[[#This Row],[PROVEEDOR]],"*"&amp;'Palabra no opera'!$A$2&amp;"*"))</f>
        <v>0</v>
      </c>
      <c r="T421" s="150">
        <f>+$W$5-Tabla2[[#This Row],[FECHA DE FACTURACIÓN]]</f>
        <v>122</v>
      </c>
      <c r="U421" t="str">
        <f>+IF(Tabla2[[#This Row],[dias de credito]]&gt;=Tabla2[[#This Row],[PLAZO Días]],"venc", "No venc")</f>
        <v>venc</v>
      </c>
      <c r="V421" t="str">
        <f>+IF(Tabla2[[#This Row],[FECHA DE PAGO]]&gt;0,"pagada","por pagar")</f>
        <v>pagada</v>
      </c>
      <c r="W421" s="152" t="str">
        <f>+IF(AND(Tabla2[[#This Row],[venc]]="venc",Tabla2[[#This Row],[Columna1]]="por pagar"),"vencida","no")</f>
        <v>no</v>
      </c>
    </row>
    <row r="422" spans="1:23" x14ac:dyDescent="0.3">
      <c r="A422">
        <v>30</v>
      </c>
      <c r="B422">
        <v>0</v>
      </c>
      <c r="D422" t="s">
        <v>139</v>
      </c>
      <c r="E422" s="156">
        <v>44712</v>
      </c>
      <c r="F422" t="s">
        <v>644</v>
      </c>
      <c r="G422" s="156">
        <v>44712</v>
      </c>
      <c r="H422" t="s">
        <v>598</v>
      </c>
      <c r="I422">
        <v>45000</v>
      </c>
      <c r="K422">
        <v>0</v>
      </c>
      <c r="M422">
        <v>0</v>
      </c>
      <c r="N422">
        <v>0</v>
      </c>
      <c r="O422">
        <v>0</v>
      </c>
      <c r="P422" s="117">
        <v>45000</v>
      </c>
      <c r="Q422" s="117" t="s">
        <v>1021</v>
      </c>
      <c r="R422" s="150">
        <v>0</v>
      </c>
      <c r="S422" s="117" t="b">
        <f>OR(COUNTIF(Tabla2[[#This Row],[PROVEEDOR]],"*"&amp;'Palabra no opera'!$A$2&amp;"*"))</f>
        <v>0</v>
      </c>
      <c r="T422" s="150">
        <f>+$W$5-Tabla2[[#This Row],[FECHA DE FACTURACIÓN]]</f>
        <v>122</v>
      </c>
      <c r="U422" t="str">
        <f>+IF(Tabla2[[#This Row],[dias de credito]]&gt;=Tabla2[[#This Row],[PLAZO Días]],"venc", "No venc")</f>
        <v>venc</v>
      </c>
      <c r="V422" t="str">
        <f>+IF(Tabla2[[#This Row],[FECHA DE PAGO]]&gt;0,"pagada","por pagar")</f>
        <v>pagada</v>
      </c>
      <c r="W422" s="152" t="str">
        <f>+IF(AND(Tabla2[[#This Row],[venc]]="venc",Tabla2[[#This Row],[Columna1]]="por pagar"),"vencida","no")</f>
        <v>no</v>
      </c>
    </row>
    <row r="423" spans="1:23" x14ac:dyDescent="0.3">
      <c r="A423">
        <v>30</v>
      </c>
      <c r="B423">
        <v>0</v>
      </c>
      <c r="D423" t="s">
        <v>139</v>
      </c>
      <c r="E423" s="156">
        <v>44712</v>
      </c>
      <c r="F423" t="s">
        <v>644</v>
      </c>
      <c r="G423" s="156">
        <v>44712</v>
      </c>
      <c r="H423" t="s">
        <v>596</v>
      </c>
      <c r="I423">
        <v>79900</v>
      </c>
      <c r="K423">
        <v>0</v>
      </c>
      <c r="M423">
        <v>0</v>
      </c>
      <c r="N423">
        <v>0</v>
      </c>
      <c r="O423">
        <v>0</v>
      </c>
      <c r="P423" s="117">
        <v>79900</v>
      </c>
      <c r="Q423" s="117" t="s">
        <v>1021</v>
      </c>
      <c r="R423" s="150">
        <v>0</v>
      </c>
      <c r="S423" s="117" t="b">
        <f>OR(COUNTIF(Tabla2[[#This Row],[PROVEEDOR]],"*"&amp;'Palabra no opera'!$A$2&amp;"*"))</f>
        <v>0</v>
      </c>
      <c r="T423" s="150">
        <f>+$W$5-Tabla2[[#This Row],[FECHA DE FACTURACIÓN]]</f>
        <v>122</v>
      </c>
      <c r="U423" t="str">
        <f>+IF(Tabla2[[#This Row],[dias de credito]]&gt;=Tabla2[[#This Row],[PLAZO Días]],"venc", "No venc")</f>
        <v>venc</v>
      </c>
      <c r="V423" t="str">
        <f>+IF(Tabla2[[#This Row],[FECHA DE PAGO]]&gt;0,"pagada","por pagar")</f>
        <v>pagada</v>
      </c>
      <c r="W423" s="152" t="str">
        <f>+IF(AND(Tabla2[[#This Row],[venc]]="venc",Tabla2[[#This Row],[Columna1]]="por pagar"),"vencida","no")</f>
        <v>no</v>
      </c>
    </row>
    <row r="424" spans="1:23" x14ac:dyDescent="0.3">
      <c r="A424">
        <v>30</v>
      </c>
      <c r="B424">
        <v>0</v>
      </c>
      <c r="D424" t="s">
        <v>139</v>
      </c>
      <c r="E424" s="156">
        <v>44712</v>
      </c>
      <c r="F424" t="s">
        <v>644</v>
      </c>
      <c r="G424" s="156">
        <v>44712</v>
      </c>
      <c r="H424" t="s">
        <v>595</v>
      </c>
      <c r="I424">
        <v>2633897</v>
      </c>
      <c r="K424">
        <v>0</v>
      </c>
      <c r="M424">
        <v>0</v>
      </c>
      <c r="N424">
        <v>0</v>
      </c>
      <c r="O424">
        <v>0</v>
      </c>
      <c r="P424" s="117">
        <v>2633897</v>
      </c>
      <c r="Q424" s="117" t="s">
        <v>1021</v>
      </c>
      <c r="R424" s="150">
        <v>0</v>
      </c>
      <c r="S424" s="117" t="b">
        <f>OR(COUNTIF(Tabla2[[#This Row],[PROVEEDOR]],"*"&amp;'Palabra no opera'!$A$2&amp;"*"))</f>
        <v>0</v>
      </c>
      <c r="T424" s="150">
        <f>+$W$5-Tabla2[[#This Row],[FECHA DE FACTURACIÓN]]</f>
        <v>122</v>
      </c>
      <c r="U424" t="str">
        <f>+IF(Tabla2[[#This Row],[dias de credito]]&gt;=Tabla2[[#This Row],[PLAZO Días]],"venc", "No venc")</f>
        <v>venc</v>
      </c>
      <c r="V424" t="str">
        <f>+IF(Tabla2[[#This Row],[FECHA DE PAGO]]&gt;0,"pagada","por pagar")</f>
        <v>pagada</v>
      </c>
      <c r="W424" s="152" t="str">
        <f>+IF(AND(Tabla2[[#This Row],[venc]]="venc",Tabla2[[#This Row],[Columna1]]="por pagar"),"vencida","no")</f>
        <v>no</v>
      </c>
    </row>
    <row r="425" spans="1:23" x14ac:dyDescent="0.3">
      <c r="A425">
        <v>30</v>
      </c>
      <c r="B425">
        <v>0</v>
      </c>
      <c r="D425" t="s">
        <v>139</v>
      </c>
      <c r="E425" s="156">
        <v>44712</v>
      </c>
      <c r="F425" t="s">
        <v>644</v>
      </c>
      <c r="G425" s="156">
        <v>44712</v>
      </c>
      <c r="H425" t="s">
        <v>597</v>
      </c>
      <c r="I425">
        <v>274800</v>
      </c>
      <c r="K425">
        <v>0</v>
      </c>
      <c r="M425">
        <v>0</v>
      </c>
      <c r="N425">
        <v>0</v>
      </c>
      <c r="O425">
        <v>0</v>
      </c>
      <c r="P425" s="117">
        <v>274800</v>
      </c>
      <c r="Q425" s="117" t="s">
        <v>1021</v>
      </c>
      <c r="R425" s="150">
        <v>0</v>
      </c>
      <c r="S425" s="117" t="b">
        <f>OR(COUNTIF(Tabla2[[#This Row],[PROVEEDOR]],"*"&amp;'Palabra no opera'!$A$2&amp;"*"))</f>
        <v>0</v>
      </c>
      <c r="T425" s="150">
        <f>+$W$5-Tabla2[[#This Row],[FECHA DE FACTURACIÓN]]</f>
        <v>122</v>
      </c>
      <c r="U425" t="str">
        <f>+IF(Tabla2[[#This Row],[dias de credito]]&gt;=Tabla2[[#This Row],[PLAZO Días]],"venc", "No venc")</f>
        <v>venc</v>
      </c>
      <c r="V425" t="str">
        <f>+IF(Tabla2[[#This Row],[FECHA DE PAGO]]&gt;0,"pagada","por pagar")</f>
        <v>pagada</v>
      </c>
      <c r="W425" s="152" t="str">
        <f>+IF(AND(Tabla2[[#This Row],[venc]]="venc",Tabla2[[#This Row],[Columna1]]="por pagar"),"vencida","no")</f>
        <v>no</v>
      </c>
    </row>
    <row r="426" spans="1:23" x14ac:dyDescent="0.3">
      <c r="A426">
        <v>30</v>
      </c>
      <c r="B426">
        <v>0</v>
      </c>
      <c r="D426" t="s">
        <v>139</v>
      </c>
      <c r="E426" s="156">
        <v>44712</v>
      </c>
      <c r="F426" t="s">
        <v>644</v>
      </c>
      <c r="G426" s="156">
        <v>44712</v>
      </c>
      <c r="H426" t="s">
        <v>174</v>
      </c>
      <c r="I426">
        <v>594600</v>
      </c>
      <c r="K426">
        <v>0</v>
      </c>
      <c r="M426">
        <v>0</v>
      </c>
      <c r="N426">
        <v>0</v>
      </c>
      <c r="O426">
        <v>0</v>
      </c>
      <c r="P426" s="117">
        <v>594600</v>
      </c>
      <c r="Q426" s="117" t="s">
        <v>1021</v>
      </c>
      <c r="R426" s="150">
        <v>0</v>
      </c>
      <c r="S426" s="117" t="b">
        <f>OR(COUNTIF(Tabla2[[#This Row],[PROVEEDOR]],"*"&amp;'Palabra no opera'!$A$2&amp;"*"))</f>
        <v>0</v>
      </c>
      <c r="T426" s="150">
        <f>+$W$5-Tabla2[[#This Row],[FECHA DE FACTURACIÓN]]</f>
        <v>122</v>
      </c>
      <c r="U426" t="str">
        <f>+IF(Tabla2[[#This Row],[dias de credito]]&gt;=Tabla2[[#This Row],[PLAZO Días]],"venc", "No venc")</f>
        <v>venc</v>
      </c>
      <c r="V426" t="str">
        <f>+IF(Tabla2[[#This Row],[FECHA DE PAGO]]&gt;0,"pagada","por pagar")</f>
        <v>pagada</v>
      </c>
      <c r="W426" s="152" t="str">
        <f>+IF(AND(Tabla2[[#This Row],[venc]]="venc",Tabla2[[#This Row],[Columna1]]="por pagar"),"vencida","no")</f>
        <v>no</v>
      </c>
    </row>
    <row r="427" spans="1:23" x14ac:dyDescent="0.3">
      <c r="A427">
        <v>30</v>
      </c>
      <c r="B427">
        <v>0</v>
      </c>
      <c r="D427" t="s">
        <v>139</v>
      </c>
      <c r="E427" s="156">
        <v>44712</v>
      </c>
      <c r="F427" t="s">
        <v>638</v>
      </c>
      <c r="G427" s="156">
        <v>44711</v>
      </c>
      <c r="H427" t="s">
        <v>1001</v>
      </c>
      <c r="I427">
        <v>25376000</v>
      </c>
      <c r="K427">
        <v>0</v>
      </c>
      <c r="M427">
        <v>0</v>
      </c>
      <c r="N427">
        <v>0</v>
      </c>
      <c r="O427">
        <v>0</v>
      </c>
      <c r="P427" s="117">
        <v>25376000</v>
      </c>
      <c r="Q427" s="117" t="s">
        <v>1021</v>
      </c>
      <c r="R427" s="150">
        <v>0</v>
      </c>
      <c r="S427" s="117" t="b">
        <f>OR(COUNTIF(Tabla2[[#This Row],[PROVEEDOR]],"*"&amp;'Palabra no opera'!$A$2&amp;"*"))</f>
        <v>0</v>
      </c>
      <c r="T427" s="150">
        <f>+$W$5-Tabla2[[#This Row],[FECHA DE FACTURACIÓN]]</f>
        <v>123</v>
      </c>
      <c r="U427" t="str">
        <f>+IF(Tabla2[[#This Row],[dias de credito]]&gt;=Tabla2[[#This Row],[PLAZO Días]],"venc", "No venc")</f>
        <v>venc</v>
      </c>
      <c r="V427" t="str">
        <f>+IF(Tabla2[[#This Row],[FECHA DE PAGO]]&gt;0,"pagada","por pagar")</f>
        <v>pagada</v>
      </c>
      <c r="W427" s="152" t="str">
        <f>+IF(AND(Tabla2[[#This Row],[venc]]="venc",Tabla2[[#This Row],[Columna1]]="por pagar"),"vencida","no")</f>
        <v>no</v>
      </c>
    </row>
    <row r="428" spans="1:23" x14ac:dyDescent="0.3">
      <c r="A428">
        <v>90</v>
      </c>
      <c r="B428">
        <v>124999.98</v>
      </c>
      <c r="D428" t="s">
        <v>260</v>
      </c>
      <c r="E428" s="156">
        <v>44712</v>
      </c>
      <c r="F428" t="s">
        <v>77</v>
      </c>
      <c r="G428" s="156">
        <v>44669</v>
      </c>
      <c r="H428" t="s">
        <v>890</v>
      </c>
      <c r="I428">
        <v>2642854</v>
      </c>
      <c r="K428">
        <v>502142.26</v>
      </c>
      <c r="L428">
        <v>0.05</v>
      </c>
      <c r="M428">
        <v>132142.70000000001</v>
      </c>
      <c r="N428">
        <v>2.5000000000000001E-2</v>
      </c>
      <c r="O428">
        <v>66071.350000000006</v>
      </c>
      <c r="P428" s="117">
        <v>2946782.2099999995</v>
      </c>
      <c r="Q428" s="117" t="s">
        <v>1021</v>
      </c>
      <c r="R428" s="150">
        <v>0</v>
      </c>
      <c r="S428" s="117" t="b">
        <f>OR(COUNTIF(Tabla2[[#This Row],[PROVEEDOR]],"*"&amp;'Palabra no opera'!$A$2&amp;"*"))</f>
        <v>0</v>
      </c>
      <c r="T428" s="150">
        <f>+$W$5-Tabla2[[#This Row],[FECHA DE FACTURACIÓN]]</f>
        <v>165</v>
      </c>
      <c r="U428" t="str">
        <f>+IF(Tabla2[[#This Row],[dias de credito]]&gt;=Tabla2[[#This Row],[PLAZO Días]],"venc", "No venc")</f>
        <v>venc</v>
      </c>
      <c r="V428" t="str">
        <f>+IF(Tabla2[[#This Row],[FECHA DE PAGO]]&gt;0,"pagada","por pagar")</f>
        <v>pagada</v>
      </c>
      <c r="W428" s="152" t="str">
        <f>+IF(AND(Tabla2[[#This Row],[venc]]="venc",Tabla2[[#This Row],[Columna1]]="por pagar"),"vencida","no")</f>
        <v>no</v>
      </c>
    </row>
    <row r="429" spans="1:23" x14ac:dyDescent="0.3">
      <c r="A429">
        <v>90</v>
      </c>
      <c r="B429">
        <v>124999.98</v>
      </c>
      <c r="D429" t="s">
        <v>260</v>
      </c>
      <c r="E429" s="156">
        <v>44712</v>
      </c>
      <c r="F429" t="s">
        <v>77</v>
      </c>
      <c r="G429" s="156">
        <v>44651</v>
      </c>
      <c r="H429" t="s">
        <v>883</v>
      </c>
      <c r="I429">
        <v>-1920170</v>
      </c>
      <c r="K429">
        <v>-364832.3</v>
      </c>
      <c r="L429">
        <v>0.05</v>
      </c>
      <c r="M429">
        <v>-96008.5</v>
      </c>
      <c r="N429">
        <v>2.5000000000000001E-2</v>
      </c>
      <c r="O429">
        <v>-48004.25</v>
      </c>
      <c r="P429" s="117">
        <v>-2140989.5499999998</v>
      </c>
      <c r="Q429" s="117" t="s">
        <v>1021</v>
      </c>
      <c r="R429" s="150">
        <v>0</v>
      </c>
      <c r="S429" s="117" t="b">
        <f>OR(COUNTIF(Tabla2[[#This Row],[PROVEEDOR]],"*"&amp;'Palabra no opera'!$A$2&amp;"*"))</f>
        <v>0</v>
      </c>
      <c r="T429" s="150">
        <f>+$W$5-Tabla2[[#This Row],[FECHA DE FACTURACIÓN]]</f>
        <v>183</v>
      </c>
      <c r="U429" t="str">
        <f>+IF(Tabla2[[#This Row],[dias de credito]]&gt;=Tabla2[[#This Row],[PLAZO Días]],"venc", "No venc")</f>
        <v>venc</v>
      </c>
      <c r="V429" t="str">
        <f>+IF(Tabla2[[#This Row],[FECHA DE PAGO]]&gt;0,"pagada","por pagar")</f>
        <v>pagada</v>
      </c>
      <c r="W429" s="152" t="str">
        <f>+IF(AND(Tabla2[[#This Row],[venc]]="venc",Tabla2[[#This Row],[Columna1]]="por pagar"),"vencida","no")</f>
        <v>no</v>
      </c>
    </row>
    <row r="430" spans="1:23" x14ac:dyDescent="0.3">
      <c r="A430">
        <v>90</v>
      </c>
      <c r="B430">
        <v>124999.98</v>
      </c>
      <c r="D430" t="s">
        <v>260</v>
      </c>
      <c r="E430" s="156">
        <v>44712</v>
      </c>
      <c r="F430" t="s">
        <v>77</v>
      </c>
      <c r="G430" s="156">
        <v>44639</v>
      </c>
      <c r="H430" t="s">
        <v>729</v>
      </c>
      <c r="I430">
        <v>23357104</v>
      </c>
      <c r="K430">
        <v>4437849.76</v>
      </c>
      <c r="L430">
        <v>0.05</v>
      </c>
      <c r="M430">
        <v>1167855.2</v>
      </c>
      <c r="N430">
        <v>2.5000000000000001E-2</v>
      </c>
      <c r="O430">
        <v>583927.6</v>
      </c>
      <c r="P430" s="117">
        <v>26043170.959999997</v>
      </c>
      <c r="Q430" s="117" t="s">
        <v>1021</v>
      </c>
      <c r="R430" s="150">
        <v>0</v>
      </c>
      <c r="S430" s="117" t="b">
        <f>OR(COUNTIF(Tabla2[[#This Row],[PROVEEDOR]],"*"&amp;'Palabra no opera'!$A$2&amp;"*"))</f>
        <v>0</v>
      </c>
      <c r="T430" s="150">
        <f>+$W$5-Tabla2[[#This Row],[FECHA DE FACTURACIÓN]]</f>
        <v>195</v>
      </c>
      <c r="U430" t="str">
        <f>+IF(Tabla2[[#This Row],[dias de credito]]&gt;=Tabla2[[#This Row],[PLAZO Días]],"venc", "No venc")</f>
        <v>venc</v>
      </c>
      <c r="V430" t="str">
        <f>+IF(Tabla2[[#This Row],[FECHA DE PAGO]]&gt;0,"pagada","por pagar")</f>
        <v>pagada</v>
      </c>
      <c r="W430" s="152" t="str">
        <f>+IF(AND(Tabla2[[#This Row],[venc]]="venc",Tabla2[[#This Row],[Columna1]]="por pagar"),"vencida","no")</f>
        <v>no</v>
      </c>
    </row>
    <row r="431" spans="1:23" x14ac:dyDescent="0.3">
      <c r="A431">
        <v>30</v>
      </c>
      <c r="B431">
        <v>527800</v>
      </c>
      <c r="D431" t="s">
        <v>139</v>
      </c>
      <c r="E431" s="156">
        <v>44707</v>
      </c>
      <c r="F431" t="s">
        <v>624</v>
      </c>
      <c r="G431" s="156">
        <v>44707</v>
      </c>
      <c r="H431" t="s">
        <v>1604</v>
      </c>
      <c r="I431">
        <v>275500</v>
      </c>
      <c r="K431">
        <v>0</v>
      </c>
      <c r="M431">
        <v>0</v>
      </c>
      <c r="N431">
        <v>0</v>
      </c>
      <c r="O431">
        <v>0</v>
      </c>
      <c r="P431" s="117">
        <v>275500</v>
      </c>
      <c r="Q431" s="117" t="s">
        <v>1021</v>
      </c>
      <c r="R431" s="150">
        <v>0</v>
      </c>
      <c r="S431" s="117" t="b">
        <f>OR(COUNTIF(Tabla2[[#This Row],[PROVEEDOR]],"*"&amp;'Palabra no opera'!$A$2&amp;"*"))</f>
        <v>0</v>
      </c>
      <c r="T431" s="150">
        <f>+$W$5-Tabla2[[#This Row],[FECHA DE FACTURACIÓN]]</f>
        <v>127</v>
      </c>
      <c r="U431" t="str">
        <f>+IF(Tabla2[[#This Row],[dias de credito]]&gt;=Tabla2[[#This Row],[PLAZO Días]],"venc", "No venc")</f>
        <v>venc</v>
      </c>
      <c r="V431" t="str">
        <f>+IF(Tabla2[[#This Row],[FECHA DE PAGO]]&gt;0,"pagada","por pagar")</f>
        <v>pagada</v>
      </c>
      <c r="W431" s="152" t="str">
        <f>+IF(AND(Tabla2[[#This Row],[venc]]="venc",Tabla2[[#This Row],[Columna1]]="por pagar"),"vencida","no")</f>
        <v>no</v>
      </c>
    </row>
    <row r="432" spans="1:23" x14ac:dyDescent="0.3">
      <c r="A432">
        <v>30</v>
      </c>
      <c r="B432">
        <v>0</v>
      </c>
      <c r="D432" t="s">
        <v>139</v>
      </c>
      <c r="E432" s="156">
        <v>44707</v>
      </c>
      <c r="F432" t="s">
        <v>673</v>
      </c>
      <c r="G432" s="156">
        <v>44707</v>
      </c>
      <c r="I432">
        <v>1000000</v>
      </c>
      <c r="K432">
        <v>0</v>
      </c>
      <c r="M432">
        <v>0</v>
      </c>
      <c r="N432">
        <v>0</v>
      </c>
      <c r="O432">
        <v>0</v>
      </c>
      <c r="P432" s="117">
        <v>1000000</v>
      </c>
      <c r="Q432" s="117" t="s">
        <v>1021</v>
      </c>
      <c r="R432" s="150">
        <v>0</v>
      </c>
      <c r="S432" s="117" t="b">
        <f>OR(COUNTIF(Tabla2[[#This Row],[PROVEEDOR]],"*"&amp;'Palabra no opera'!$A$2&amp;"*"))</f>
        <v>0</v>
      </c>
      <c r="T432" s="150">
        <f>+$W$5-Tabla2[[#This Row],[FECHA DE FACTURACIÓN]]</f>
        <v>127</v>
      </c>
      <c r="U432" t="str">
        <f>+IF(Tabla2[[#This Row],[dias de credito]]&gt;=Tabla2[[#This Row],[PLAZO Días]],"venc", "No venc")</f>
        <v>venc</v>
      </c>
      <c r="V432" t="str">
        <f>+IF(Tabla2[[#This Row],[FECHA DE PAGO]]&gt;0,"pagada","por pagar")</f>
        <v>pagada</v>
      </c>
      <c r="W432" s="152" t="str">
        <f>+IF(AND(Tabla2[[#This Row],[venc]]="venc",Tabla2[[#This Row],[Columna1]]="por pagar"),"vencida","no")</f>
        <v>no</v>
      </c>
    </row>
    <row r="433" spans="1:23" x14ac:dyDescent="0.3">
      <c r="A433">
        <v>30</v>
      </c>
      <c r="B433">
        <v>0</v>
      </c>
      <c r="D433" t="s">
        <v>333</v>
      </c>
      <c r="E433" s="156">
        <v>44707</v>
      </c>
      <c r="F433" t="s">
        <v>926</v>
      </c>
      <c r="G433" s="156">
        <v>44704</v>
      </c>
      <c r="H433" t="s">
        <v>980</v>
      </c>
      <c r="I433">
        <v>1650000</v>
      </c>
      <c r="K433">
        <v>313500</v>
      </c>
      <c r="M433">
        <v>0</v>
      </c>
      <c r="N433">
        <v>0.11</v>
      </c>
      <c r="O433">
        <v>181500</v>
      </c>
      <c r="P433" s="117">
        <v>1782000</v>
      </c>
      <c r="Q433" s="117" t="s">
        <v>1021</v>
      </c>
      <c r="R433" s="150">
        <v>0</v>
      </c>
      <c r="S433" s="117" t="b">
        <f>OR(COUNTIF(Tabla2[[#This Row],[PROVEEDOR]],"*"&amp;'Palabra no opera'!$A$2&amp;"*"))</f>
        <v>1</v>
      </c>
      <c r="T433" s="150">
        <f>+$W$5-Tabla2[[#This Row],[FECHA DE FACTURACIÓN]]</f>
        <v>130</v>
      </c>
      <c r="U433" t="str">
        <f>+IF(Tabla2[[#This Row],[dias de credito]]&gt;=Tabla2[[#This Row],[PLAZO Días]],"venc", "No venc")</f>
        <v>venc</v>
      </c>
      <c r="V433" t="str">
        <f>+IF(Tabla2[[#This Row],[FECHA DE PAGO]]&gt;0,"pagada","por pagar")</f>
        <v>pagada</v>
      </c>
      <c r="W433" s="152" t="str">
        <f>+IF(AND(Tabla2[[#This Row],[venc]]="venc",Tabla2[[#This Row],[Columna1]]="por pagar"),"vencida","no")</f>
        <v>no</v>
      </c>
    </row>
    <row r="434" spans="1:23" x14ac:dyDescent="0.3">
      <c r="A434">
        <v>30</v>
      </c>
      <c r="B434">
        <v>0</v>
      </c>
      <c r="D434" t="s">
        <v>259</v>
      </c>
      <c r="E434" s="156">
        <v>44707</v>
      </c>
      <c r="F434" t="s">
        <v>918</v>
      </c>
      <c r="G434" s="156">
        <v>44682</v>
      </c>
      <c r="H434">
        <v>10533</v>
      </c>
      <c r="I434">
        <v>1649859</v>
      </c>
      <c r="K434">
        <v>0</v>
      </c>
      <c r="M434">
        <v>0</v>
      </c>
      <c r="N434">
        <v>0</v>
      </c>
      <c r="O434">
        <v>0</v>
      </c>
      <c r="P434" s="117">
        <v>1649859</v>
      </c>
      <c r="Q434" s="117" t="s">
        <v>1021</v>
      </c>
      <c r="R434" s="150">
        <v>0</v>
      </c>
      <c r="S434" s="117" t="b">
        <f>OR(COUNTIF(Tabla2[[#This Row],[PROVEEDOR]],"*"&amp;'Palabra no opera'!$A$2&amp;"*"))</f>
        <v>1</v>
      </c>
      <c r="T434" s="150">
        <f>+$W$5-Tabla2[[#This Row],[FECHA DE FACTURACIÓN]]</f>
        <v>152</v>
      </c>
      <c r="U434" t="str">
        <f>+IF(Tabla2[[#This Row],[dias de credito]]&gt;=Tabla2[[#This Row],[PLAZO Días]],"venc", "No venc")</f>
        <v>venc</v>
      </c>
      <c r="V434" t="str">
        <f>+IF(Tabla2[[#This Row],[FECHA DE PAGO]]&gt;0,"pagada","por pagar")</f>
        <v>pagada</v>
      </c>
      <c r="W434" s="152" t="str">
        <f>+IF(AND(Tabla2[[#This Row],[venc]]="venc",Tabla2[[#This Row],[Columna1]]="por pagar"),"vencida","no")</f>
        <v>no</v>
      </c>
    </row>
    <row r="435" spans="1:23" x14ac:dyDescent="0.3">
      <c r="A435">
        <v>30</v>
      </c>
      <c r="B435">
        <v>0</v>
      </c>
      <c r="D435" t="s">
        <v>1688</v>
      </c>
      <c r="E435" s="156">
        <v>44707</v>
      </c>
      <c r="F435" t="s">
        <v>928</v>
      </c>
      <c r="G435" s="156">
        <v>44682</v>
      </c>
      <c r="H435" t="s">
        <v>990</v>
      </c>
      <c r="I435">
        <v>3958317</v>
      </c>
      <c r="K435">
        <v>0</v>
      </c>
      <c r="M435">
        <v>0</v>
      </c>
      <c r="N435">
        <v>3.5000000000000003E-2</v>
      </c>
      <c r="O435">
        <v>138541.095</v>
      </c>
      <c r="P435" s="117">
        <v>3819775.9049999998</v>
      </c>
      <c r="Q435" s="117" t="s">
        <v>1021</v>
      </c>
      <c r="R435" s="150">
        <v>0</v>
      </c>
      <c r="S435" s="117" t="b">
        <f>OR(COUNTIF(Tabla2[[#This Row],[PROVEEDOR]],"*"&amp;'Palabra no opera'!$A$2&amp;"*"))</f>
        <v>1</v>
      </c>
      <c r="T435" s="150">
        <f>+$W$5-Tabla2[[#This Row],[FECHA DE FACTURACIÓN]]</f>
        <v>152</v>
      </c>
      <c r="U435" t="str">
        <f>+IF(Tabla2[[#This Row],[dias de credito]]&gt;=Tabla2[[#This Row],[PLAZO Días]],"venc", "No venc")</f>
        <v>venc</v>
      </c>
      <c r="V435" t="str">
        <f>+IF(Tabla2[[#This Row],[FECHA DE PAGO]]&gt;0,"pagada","por pagar")</f>
        <v>pagada</v>
      </c>
      <c r="W435" s="152" t="str">
        <f>+IF(AND(Tabla2[[#This Row],[venc]]="venc",Tabla2[[#This Row],[Columna1]]="por pagar"),"vencida","no")</f>
        <v>no</v>
      </c>
    </row>
    <row r="436" spans="1:23" x14ac:dyDescent="0.3">
      <c r="A436">
        <v>30</v>
      </c>
      <c r="B436">
        <v>0</v>
      </c>
      <c r="D436" t="s">
        <v>1688</v>
      </c>
      <c r="E436" s="156">
        <v>44707</v>
      </c>
      <c r="F436" t="s">
        <v>928</v>
      </c>
      <c r="G436" s="156">
        <v>44682</v>
      </c>
      <c r="H436" t="s">
        <v>986</v>
      </c>
      <c r="I436">
        <v>-12815</v>
      </c>
      <c r="K436">
        <v>0</v>
      </c>
      <c r="M436">
        <v>0</v>
      </c>
      <c r="N436">
        <v>0</v>
      </c>
      <c r="O436">
        <v>0</v>
      </c>
      <c r="P436" s="117">
        <v>-12815</v>
      </c>
      <c r="Q436" s="117" t="s">
        <v>1021</v>
      </c>
      <c r="R436" s="150">
        <v>0</v>
      </c>
      <c r="S436" s="117" t="b">
        <f>OR(COUNTIF(Tabla2[[#This Row],[PROVEEDOR]],"*"&amp;'Palabra no opera'!$A$2&amp;"*"))</f>
        <v>1</v>
      </c>
      <c r="T436" s="150">
        <f>+$W$5-Tabla2[[#This Row],[FECHA DE FACTURACIÓN]]</f>
        <v>152</v>
      </c>
      <c r="U436" t="str">
        <f>+IF(Tabla2[[#This Row],[dias de credito]]&gt;=Tabla2[[#This Row],[PLAZO Días]],"venc", "No venc")</f>
        <v>venc</v>
      </c>
      <c r="V436" t="str">
        <f>+IF(Tabla2[[#This Row],[FECHA DE PAGO]]&gt;0,"pagada","por pagar")</f>
        <v>pagada</v>
      </c>
      <c r="W436" s="152" t="str">
        <f>+IF(AND(Tabla2[[#This Row],[venc]]="venc",Tabla2[[#This Row],[Columna1]]="por pagar"),"vencida","no")</f>
        <v>no</v>
      </c>
    </row>
    <row r="437" spans="1:23" x14ac:dyDescent="0.3">
      <c r="A437">
        <v>30</v>
      </c>
      <c r="B437">
        <v>0</v>
      </c>
      <c r="D437" t="s">
        <v>1688</v>
      </c>
      <c r="E437" s="156">
        <v>44707</v>
      </c>
      <c r="F437" t="s">
        <v>928</v>
      </c>
      <c r="G437" s="156">
        <v>44682</v>
      </c>
      <c r="H437" t="s">
        <v>991</v>
      </c>
      <c r="I437">
        <v>5105</v>
      </c>
      <c r="K437">
        <v>0</v>
      </c>
      <c r="M437">
        <v>0</v>
      </c>
      <c r="N437">
        <v>3.5000000000000003E-2</v>
      </c>
      <c r="O437">
        <v>178.67500000000001</v>
      </c>
      <c r="P437" s="117">
        <v>4926.3249999999998</v>
      </c>
      <c r="Q437" s="117" t="s">
        <v>1021</v>
      </c>
      <c r="R437" s="150">
        <v>0</v>
      </c>
      <c r="S437" s="117" t="b">
        <f>OR(COUNTIF(Tabla2[[#This Row],[PROVEEDOR]],"*"&amp;'Palabra no opera'!$A$2&amp;"*"))</f>
        <v>1</v>
      </c>
      <c r="T437" s="150">
        <f>+$W$5-Tabla2[[#This Row],[FECHA DE FACTURACIÓN]]</f>
        <v>152</v>
      </c>
      <c r="U437" t="str">
        <f>+IF(Tabla2[[#This Row],[dias de credito]]&gt;=Tabla2[[#This Row],[PLAZO Días]],"venc", "No venc")</f>
        <v>venc</v>
      </c>
      <c r="V437" t="str">
        <f>+IF(Tabla2[[#This Row],[FECHA DE PAGO]]&gt;0,"pagada","por pagar")</f>
        <v>pagada</v>
      </c>
      <c r="W437" s="152" t="str">
        <f>+IF(AND(Tabla2[[#This Row],[venc]]="venc",Tabla2[[#This Row],[Columna1]]="por pagar"),"vencida","no")</f>
        <v>no</v>
      </c>
    </row>
    <row r="438" spans="1:23" x14ac:dyDescent="0.3">
      <c r="A438">
        <v>30</v>
      </c>
      <c r="B438">
        <v>0</v>
      </c>
      <c r="D438" t="s">
        <v>433</v>
      </c>
      <c r="E438" s="156">
        <v>44707</v>
      </c>
      <c r="F438" t="s">
        <v>925</v>
      </c>
      <c r="G438" s="156">
        <v>44682</v>
      </c>
      <c r="H438">
        <v>3118</v>
      </c>
      <c r="I438">
        <v>3002200</v>
      </c>
      <c r="K438">
        <v>0</v>
      </c>
      <c r="M438">
        <v>0</v>
      </c>
      <c r="N438">
        <v>3.5000000000000003E-2</v>
      </c>
      <c r="O438">
        <v>105077.00000000001</v>
      </c>
      <c r="P438" s="117">
        <v>2897123</v>
      </c>
      <c r="Q438" s="117" t="s">
        <v>1021</v>
      </c>
      <c r="R438" s="150">
        <v>0</v>
      </c>
      <c r="S438" s="117" t="b">
        <f>OR(COUNTIF(Tabla2[[#This Row],[PROVEEDOR]],"*"&amp;'Palabra no opera'!$A$2&amp;"*"))</f>
        <v>1</v>
      </c>
      <c r="T438" s="150">
        <f>+$W$5-Tabla2[[#This Row],[FECHA DE FACTURACIÓN]]</f>
        <v>152</v>
      </c>
      <c r="U438" t="str">
        <f>+IF(Tabla2[[#This Row],[dias de credito]]&gt;=Tabla2[[#This Row],[PLAZO Días]],"venc", "No venc")</f>
        <v>venc</v>
      </c>
      <c r="V438" t="str">
        <f>+IF(Tabla2[[#This Row],[FECHA DE PAGO]]&gt;0,"pagada","por pagar")</f>
        <v>pagada</v>
      </c>
      <c r="W438" s="152" t="str">
        <f>+IF(AND(Tabla2[[#This Row],[venc]]="venc",Tabla2[[#This Row],[Columna1]]="por pagar"),"vencida","no")</f>
        <v>no</v>
      </c>
    </row>
    <row r="439" spans="1:23" x14ac:dyDescent="0.3">
      <c r="A439">
        <v>30</v>
      </c>
      <c r="B439">
        <v>0</v>
      </c>
      <c r="D439" t="s">
        <v>267</v>
      </c>
      <c r="E439" s="156">
        <v>44707</v>
      </c>
      <c r="F439" t="s">
        <v>941</v>
      </c>
      <c r="G439" s="156">
        <v>44682</v>
      </c>
      <c r="H439">
        <v>4923</v>
      </c>
      <c r="I439">
        <v>215356</v>
      </c>
      <c r="K439">
        <v>40917.64</v>
      </c>
      <c r="M439">
        <v>0</v>
      </c>
      <c r="N439">
        <v>3.5000000000000003E-2</v>
      </c>
      <c r="O439">
        <v>7537.4600000000009</v>
      </c>
      <c r="P439" s="117">
        <v>248736.18000000002</v>
      </c>
      <c r="Q439" s="117" t="s">
        <v>1021</v>
      </c>
      <c r="R439" s="150">
        <v>0</v>
      </c>
      <c r="S439" s="117" t="b">
        <f>OR(COUNTIF(Tabla2[[#This Row],[PROVEEDOR]],"*"&amp;'Palabra no opera'!$A$2&amp;"*"))</f>
        <v>1</v>
      </c>
      <c r="T439" s="150">
        <f>+$W$5-Tabla2[[#This Row],[FECHA DE FACTURACIÓN]]</f>
        <v>152</v>
      </c>
      <c r="U439" t="str">
        <f>+IF(Tabla2[[#This Row],[dias de credito]]&gt;=Tabla2[[#This Row],[PLAZO Días]],"venc", "No venc")</f>
        <v>venc</v>
      </c>
      <c r="V439" t="str">
        <f>+IF(Tabla2[[#This Row],[FECHA DE PAGO]]&gt;0,"pagada","por pagar")</f>
        <v>pagada</v>
      </c>
      <c r="W439" s="152" t="str">
        <f>+IF(AND(Tabla2[[#This Row],[venc]]="venc",Tabla2[[#This Row],[Columna1]]="por pagar"),"vencida","no")</f>
        <v>no</v>
      </c>
    </row>
    <row r="440" spans="1:23" x14ac:dyDescent="0.3">
      <c r="A440">
        <v>20</v>
      </c>
      <c r="B440">
        <v>0</v>
      </c>
      <c r="D440" t="s">
        <v>275</v>
      </c>
      <c r="E440" s="156">
        <v>44707</v>
      </c>
      <c r="F440" t="s">
        <v>942</v>
      </c>
      <c r="G440" s="156">
        <v>44682</v>
      </c>
      <c r="H440">
        <v>43002</v>
      </c>
      <c r="I440">
        <v>4730000</v>
      </c>
      <c r="K440">
        <v>898700</v>
      </c>
      <c r="M440">
        <v>0</v>
      </c>
      <c r="N440">
        <v>3.5000000000000003E-2</v>
      </c>
      <c r="O440">
        <v>165550.00000000003</v>
      </c>
      <c r="P440" s="117">
        <v>5463150</v>
      </c>
      <c r="Q440" s="117" t="s">
        <v>1021</v>
      </c>
      <c r="R440" s="150">
        <v>0</v>
      </c>
      <c r="S440" s="117" t="b">
        <f>OR(COUNTIF(Tabla2[[#This Row],[PROVEEDOR]],"*"&amp;'Palabra no opera'!$A$2&amp;"*"))</f>
        <v>1</v>
      </c>
      <c r="T440" s="150">
        <f>+$W$5-Tabla2[[#This Row],[FECHA DE FACTURACIÓN]]</f>
        <v>152</v>
      </c>
      <c r="U440" t="str">
        <f>+IF(Tabla2[[#This Row],[dias de credito]]&gt;=Tabla2[[#This Row],[PLAZO Días]],"venc", "No venc")</f>
        <v>venc</v>
      </c>
      <c r="V440" t="str">
        <f>+IF(Tabla2[[#This Row],[FECHA DE PAGO]]&gt;0,"pagada","por pagar")</f>
        <v>pagada</v>
      </c>
      <c r="W440" s="152" t="str">
        <f>+IF(AND(Tabla2[[#This Row],[venc]]="venc",Tabla2[[#This Row],[Columna1]]="por pagar"),"vencida","no")</f>
        <v>no</v>
      </c>
    </row>
    <row r="441" spans="1:23" x14ac:dyDescent="0.3">
      <c r="A441">
        <v>30</v>
      </c>
      <c r="B441">
        <v>749999.88</v>
      </c>
      <c r="D441" t="s">
        <v>249</v>
      </c>
      <c r="E441" s="156">
        <v>44707</v>
      </c>
      <c r="F441" t="s">
        <v>49</v>
      </c>
      <c r="G441" s="156">
        <v>44678</v>
      </c>
      <c r="H441">
        <v>6844</v>
      </c>
      <c r="I441">
        <v>700840.2</v>
      </c>
      <c r="K441">
        <v>133159.63800000001</v>
      </c>
      <c r="M441">
        <v>0</v>
      </c>
      <c r="N441">
        <v>0</v>
      </c>
      <c r="O441">
        <v>0</v>
      </c>
      <c r="P441" s="117">
        <v>833999.83799999999</v>
      </c>
      <c r="Q441" s="117" t="s">
        <v>1021</v>
      </c>
      <c r="R441" s="150">
        <v>0</v>
      </c>
      <c r="S441" s="117" t="b">
        <f>OR(COUNTIF(Tabla2[[#This Row],[PROVEEDOR]],"*"&amp;'Palabra no opera'!$A$2&amp;"*"))</f>
        <v>0</v>
      </c>
      <c r="T441" s="150">
        <f>+$W$5-Tabla2[[#This Row],[FECHA DE FACTURACIÓN]]</f>
        <v>156</v>
      </c>
      <c r="U441" t="str">
        <f>+IF(Tabla2[[#This Row],[dias de credito]]&gt;=Tabla2[[#This Row],[PLAZO Días]],"venc", "No venc")</f>
        <v>venc</v>
      </c>
      <c r="V441" t="str">
        <f>+IF(Tabla2[[#This Row],[FECHA DE PAGO]]&gt;0,"pagada","por pagar")</f>
        <v>pagada</v>
      </c>
      <c r="W441" s="152" t="str">
        <f>+IF(AND(Tabla2[[#This Row],[venc]]="venc",Tabla2[[#This Row],[Columna1]]="por pagar"),"vencida","no")</f>
        <v>no</v>
      </c>
    </row>
    <row r="442" spans="1:23" x14ac:dyDescent="0.3">
      <c r="A442">
        <v>30</v>
      </c>
      <c r="B442">
        <v>27452.91</v>
      </c>
      <c r="D442" t="s">
        <v>949</v>
      </c>
      <c r="E442" s="156">
        <v>44707</v>
      </c>
      <c r="F442" t="s">
        <v>118</v>
      </c>
      <c r="G442" s="156">
        <v>44676</v>
      </c>
      <c r="H442" t="s">
        <v>1081</v>
      </c>
      <c r="I442">
        <v>1793000</v>
      </c>
      <c r="K442">
        <v>0</v>
      </c>
      <c r="M442">
        <v>0</v>
      </c>
      <c r="N442">
        <v>0</v>
      </c>
      <c r="O442">
        <v>0</v>
      </c>
      <c r="P442" s="117">
        <v>1793000</v>
      </c>
      <c r="Q442" s="117" t="s">
        <v>1021</v>
      </c>
      <c r="R442" s="150">
        <v>0</v>
      </c>
      <c r="S442" s="117" t="b">
        <f>OR(COUNTIF(Tabla2[[#This Row],[PROVEEDOR]],"*"&amp;'Palabra no opera'!$A$2&amp;"*"))</f>
        <v>0</v>
      </c>
      <c r="T442" s="150">
        <f>+$W$5-Tabla2[[#This Row],[FECHA DE FACTURACIÓN]]</f>
        <v>158</v>
      </c>
      <c r="U442" t="str">
        <f>+IF(Tabla2[[#This Row],[dias de credito]]&gt;=Tabla2[[#This Row],[PLAZO Días]],"venc", "No venc")</f>
        <v>venc</v>
      </c>
      <c r="V442" t="str">
        <f>+IF(Tabla2[[#This Row],[FECHA DE PAGO]]&gt;0,"pagada","por pagar")</f>
        <v>pagada</v>
      </c>
      <c r="W442" s="152" t="str">
        <f>+IF(AND(Tabla2[[#This Row],[venc]]="venc",Tabla2[[#This Row],[Columna1]]="por pagar"),"vencida","no")</f>
        <v>no</v>
      </c>
    </row>
    <row r="443" spans="1:23" x14ac:dyDescent="0.3">
      <c r="A443">
        <v>30</v>
      </c>
      <c r="B443">
        <v>1957800</v>
      </c>
      <c r="D443">
        <v>0</v>
      </c>
      <c r="E443" s="156">
        <v>44706</v>
      </c>
      <c r="F443" t="s">
        <v>994</v>
      </c>
      <c r="G443" s="156">
        <v>44706</v>
      </c>
      <c r="H443" t="s">
        <v>1603</v>
      </c>
      <c r="I443">
        <v>744000</v>
      </c>
      <c r="K443">
        <v>0</v>
      </c>
      <c r="M443">
        <v>0</v>
      </c>
      <c r="N443">
        <v>0</v>
      </c>
      <c r="O443">
        <v>0</v>
      </c>
      <c r="P443" s="117">
        <v>744000</v>
      </c>
      <c r="Q443" s="117" t="s">
        <v>1021</v>
      </c>
      <c r="R443" s="150">
        <v>0</v>
      </c>
      <c r="S443" s="117" t="b">
        <f>OR(COUNTIF(Tabla2[[#This Row],[PROVEEDOR]],"*"&amp;'Palabra no opera'!$A$2&amp;"*"))</f>
        <v>0</v>
      </c>
      <c r="T443" s="150">
        <f>+$W$5-Tabla2[[#This Row],[FECHA DE FACTURACIÓN]]</f>
        <v>128</v>
      </c>
      <c r="U443" t="str">
        <f>+IF(Tabla2[[#This Row],[dias de credito]]&gt;=Tabla2[[#This Row],[PLAZO Días]],"venc", "No venc")</f>
        <v>venc</v>
      </c>
      <c r="V443" t="str">
        <f>+IF(Tabla2[[#This Row],[FECHA DE PAGO]]&gt;0,"pagada","por pagar")</f>
        <v>pagada</v>
      </c>
      <c r="W443" s="152" t="str">
        <f>+IF(AND(Tabla2[[#This Row],[venc]]="venc",Tabla2[[#This Row],[Columna1]]="por pagar"),"vencida","no")</f>
        <v>no</v>
      </c>
    </row>
    <row r="444" spans="1:23" x14ac:dyDescent="0.3">
      <c r="A444">
        <v>30</v>
      </c>
      <c r="B444">
        <v>0</v>
      </c>
      <c r="D444" t="s">
        <v>1420</v>
      </c>
      <c r="E444" s="156">
        <v>44704</v>
      </c>
      <c r="F444" t="s">
        <v>1127</v>
      </c>
      <c r="G444" s="156">
        <v>44704</v>
      </c>
      <c r="H444" t="s">
        <v>977</v>
      </c>
      <c r="I444">
        <v>52100</v>
      </c>
      <c r="K444">
        <v>9899</v>
      </c>
      <c r="M444">
        <v>0</v>
      </c>
      <c r="N444">
        <v>0</v>
      </c>
      <c r="O444">
        <v>0</v>
      </c>
      <c r="P444" s="117">
        <v>61999</v>
      </c>
      <c r="Q444" s="117" t="s">
        <v>1021</v>
      </c>
      <c r="R444" s="150">
        <v>0</v>
      </c>
      <c r="S444" s="117" t="b">
        <f>OR(COUNTIF(Tabla2[[#This Row],[PROVEEDOR]],"*"&amp;'Palabra no opera'!$A$2&amp;"*"))</f>
        <v>1</v>
      </c>
      <c r="T444" s="150">
        <f>+$W$5-Tabla2[[#This Row],[FECHA DE FACTURACIÓN]]</f>
        <v>130</v>
      </c>
      <c r="U444" t="str">
        <f>+IF(Tabla2[[#This Row],[dias de credito]]&gt;=Tabla2[[#This Row],[PLAZO Días]],"venc", "No venc")</f>
        <v>venc</v>
      </c>
      <c r="V444" t="str">
        <f>+IF(Tabla2[[#This Row],[FECHA DE PAGO]]&gt;0,"pagada","por pagar")</f>
        <v>pagada</v>
      </c>
      <c r="W444" s="152" t="str">
        <f>+IF(AND(Tabla2[[#This Row],[venc]]="venc",Tabla2[[#This Row],[Columna1]]="por pagar"),"vencida","no")</f>
        <v>no</v>
      </c>
    </row>
    <row r="445" spans="1:23" x14ac:dyDescent="0.3">
      <c r="A445">
        <v>30</v>
      </c>
      <c r="B445">
        <v>0</v>
      </c>
      <c r="D445" t="s">
        <v>139</v>
      </c>
      <c r="E445" s="156">
        <v>44704</v>
      </c>
      <c r="F445" t="s">
        <v>638</v>
      </c>
      <c r="G445" s="156">
        <v>44703</v>
      </c>
      <c r="H445" t="s">
        <v>1000</v>
      </c>
      <c r="I445">
        <v>377597</v>
      </c>
      <c r="K445">
        <v>0</v>
      </c>
      <c r="M445">
        <v>0</v>
      </c>
      <c r="N445">
        <v>0</v>
      </c>
      <c r="O445">
        <v>0</v>
      </c>
      <c r="P445" s="117">
        <v>377597</v>
      </c>
      <c r="Q445" s="117" t="s">
        <v>1021</v>
      </c>
      <c r="R445" s="150">
        <v>0</v>
      </c>
      <c r="S445" s="117" t="b">
        <f>OR(COUNTIF(Tabla2[[#This Row],[PROVEEDOR]],"*"&amp;'Palabra no opera'!$A$2&amp;"*"))</f>
        <v>0</v>
      </c>
      <c r="T445" s="150">
        <f>+$W$5-Tabla2[[#This Row],[FECHA DE FACTURACIÓN]]</f>
        <v>131</v>
      </c>
      <c r="U445" t="str">
        <f>+IF(Tabla2[[#This Row],[dias de credito]]&gt;=Tabla2[[#This Row],[PLAZO Días]],"venc", "No venc")</f>
        <v>venc</v>
      </c>
      <c r="V445" t="str">
        <f>+IF(Tabla2[[#This Row],[FECHA DE PAGO]]&gt;0,"pagada","por pagar")</f>
        <v>pagada</v>
      </c>
      <c r="W445" s="152" t="str">
        <f>+IF(AND(Tabla2[[#This Row],[venc]]="venc",Tabla2[[#This Row],[Columna1]]="por pagar"),"vencida","no")</f>
        <v>no</v>
      </c>
    </row>
    <row r="446" spans="1:23" x14ac:dyDescent="0.3">
      <c r="A446">
        <v>30</v>
      </c>
      <c r="B446">
        <v>2192943.5750000002</v>
      </c>
      <c r="D446" t="s">
        <v>273</v>
      </c>
      <c r="E446" s="156">
        <v>44704</v>
      </c>
      <c r="F446" t="s">
        <v>1638</v>
      </c>
      <c r="G446" s="156">
        <v>44672</v>
      </c>
      <c r="H446" t="s">
        <v>888</v>
      </c>
      <c r="I446">
        <v>161344.56</v>
      </c>
      <c r="K446">
        <v>30655.466400000001</v>
      </c>
      <c r="M446">
        <v>0</v>
      </c>
      <c r="N446">
        <v>0</v>
      </c>
      <c r="O446">
        <v>0</v>
      </c>
      <c r="P446" s="117">
        <v>192000.0264</v>
      </c>
      <c r="Q446" s="117" t="s">
        <v>1021</v>
      </c>
      <c r="R446" s="150">
        <v>0</v>
      </c>
      <c r="S446" s="117" t="b">
        <f>OR(COUNTIF(Tabla2[[#This Row],[PROVEEDOR]],"*"&amp;'Palabra no opera'!$A$2&amp;"*"))</f>
        <v>0</v>
      </c>
      <c r="T446" s="150">
        <f>+$W$5-Tabla2[[#This Row],[FECHA DE FACTURACIÓN]]</f>
        <v>162</v>
      </c>
      <c r="U446" t="str">
        <f>+IF(Tabla2[[#This Row],[dias de credito]]&gt;=Tabla2[[#This Row],[PLAZO Días]],"venc", "No venc")</f>
        <v>venc</v>
      </c>
      <c r="V446" t="str">
        <f>+IF(Tabla2[[#This Row],[FECHA DE PAGO]]&gt;0,"pagada","por pagar")</f>
        <v>pagada</v>
      </c>
      <c r="W446" s="152" t="str">
        <f>+IF(AND(Tabla2[[#This Row],[venc]]="venc",Tabla2[[#This Row],[Columna1]]="por pagar"),"vencida","no")</f>
        <v>no</v>
      </c>
    </row>
    <row r="447" spans="1:23" x14ac:dyDescent="0.3">
      <c r="A447">
        <v>30</v>
      </c>
      <c r="B447">
        <v>19675613.1195</v>
      </c>
      <c r="D447" t="s">
        <v>256</v>
      </c>
      <c r="E447" s="156">
        <v>44704</v>
      </c>
      <c r="F447" t="s">
        <v>18</v>
      </c>
      <c r="G447" s="156">
        <v>44670</v>
      </c>
      <c r="H447">
        <v>1052292</v>
      </c>
      <c r="I447">
        <v>2216230.56</v>
      </c>
      <c r="K447">
        <v>421083.8064</v>
      </c>
      <c r="M447">
        <v>0</v>
      </c>
      <c r="N447">
        <v>2.5000000000000001E-2</v>
      </c>
      <c r="O447">
        <v>55405.764000000003</v>
      </c>
      <c r="P447" s="117">
        <v>2581908.6024000002</v>
      </c>
      <c r="Q447" s="117" t="s">
        <v>1021</v>
      </c>
      <c r="R447" s="150">
        <v>0</v>
      </c>
      <c r="S447" s="117" t="b">
        <f>OR(COUNTIF(Tabla2[[#This Row],[PROVEEDOR]],"*"&amp;'Palabra no opera'!$A$2&amp;"*"))</f>
        <v>0</v>
      </c>
      <c r="T447" s="150">
        <f>+$W$5-Tabla2[[#This Row],[FECHA DE FACTURACIÓN]]</f>
        <v>164</v>
      </c>
      <c r="U447" t="str">
        <f>+IF(Tabla2[[#This Row],[dias de credito]]&gt;=Tabla2[[#This Row],[PLAZO Días]],"venc", "No venc")</f>
        <v>venc</v>
      </c>
      <c r="V447" t="str">
        <f>+IF(Tabla2[[#This Row],[FECHA DE PAGO]]&gt;0,"pagada","por pagar")</f>
        <v>pagada</v>
      </c>
      <c r="W447" s="152" t="str">
        <f>+IF(AND(Tabla2[[#This Row],[venc]]="venc",Tabla2[[#This Row],[Columna1]]="por pagar"),"vencida","no")</f>
        <v>no</v>
      </c>
    </row>
    <row r="448" spans="1:23" x14ac:dyDescent="0.3">
      <c r="A448">
        <v>30</v>
      </c>
      <c r="B448">
        <v>146262.9</v>
      </c>
      <c r="D448" t="s">
        <v>262</v>
      </c>
      <c r="E448" s="156">
        <v>44704</v>
      </c>
      <c r="F448" t="s">
        <v>17</v>
      </c>
      <c r="G448" s="156">
        <v>44670</v>
      </c>
      <c r="H448">
        <v>1903629</v>
      </c>
      <c r="I448">
        <v>1663470</v>
      </c>
      <c r="K448">
        <v>316059.3</v>
      </c>
      <c r="M448">
        <v>0</v>
      </c>
      <c r="N448">
        <v>0</v>
      </c>
      <c r="O448">
        <v>0</v>
      </c>
      <c r="P448" s="117">
        <v>1979529.3</v>
      </c>
      <c r="Q448" s="117" t="s">
        <v>1021</v>
      </c>
      <c r="R448" s="150">
        <v>0</v>
      </c>
      <c r="S448" s="117" t="b">
        <f>OR(COUNTIF(Tabla2[[#This Row],[PROVEEDOR]],"*"&amp;'Palabra no opera'!$A$2&amp;"*"))</f>
        <v>0</v>
      </c>
      <c r="T448" s="150">
        <f>+$W$5-Tabla2[[#This Row],[FECHA DE FACTURACIÓN]]</f>
        <v>164</v>
      </c>
      <c r="U448" t="str">
        <f>+IF(Tabla2[[#This Row],[dias de credito]]&gt;=Tabla2[[#This Row],[PLAZO Días]],"venc", "No venc")</f>
        <v>venc</v>
      </c>
      <c r="V448" t="str">
        <f>+IF(Tabla2[[#This Row],[FECHA DE PAGO]]&gt;0,"pagada","por pagar")</f>
        <v>pagada</v>
      </c>
      <c r="W448" s="152" t="str">
        <f>+IF(AND(Tabla2[[#This Row],[venc]]="venc",Tabla2[[#This Row],[Columna1]]="por pagar"),"vencida","no")</f>
        <v>no</v>
      </c>
    </row>
    <row r="449" spans="1:23" x14ac:dyDescent="0.3">
      <c r="A449">
        <v>30</v>
      </c>
      <c r="B449">
        <v>8190204</v>
      </c>
      <c r="D449" t="s">
        <v>263</v>
      </c>
      <c r="E449" s="156">
        <v>44704</v>
      </c>
      <c r="F449" t="s">
        <v>1637</v>
      </c>
      <c r="G449" s="156">
        <v>44669</v>
      </c>
      <c r="H449">
        <v>25352</v>
      </c>
      <c r="I449">
        <v>640000</v>
      </c>
      <c r="K449">
        <v>121600</v>
      </c>
      <c r="M449">
        <v>0</v>
      </c>
      <c r="N449">
        <v>0</v>
      </c>
      <c r="O449">
        <v>0</v>
      </c>
      <c r="P449" s="117">
        <v>761600</v>
      </c>
      <c r="Q449" s="117" t="s">
        <v>1021</v>
      </c>
      <c r="R449" s="150">
        <v>0</v>
      </c>
      <c r="S449" s="117" t="b">
        <f>OR(COUNTIF(Tabla2[[#This Row],[PROVEEDOR]],"*"&amp;'Palabra no opera'!$A$2&amp;"*"))</f>
        <v>0</v>
      </c>
      <c r="T449" s="150">
        <f>+$W$5-Tabla2[[#This Row],[FECHA DE FACTURACIÓN]]</f>
        <v>165</v>
      </c>
      <c r="U449" t="str">
        <f>+IF(Tabla2[[#This Row],[dias de credito]]&gt;=Tabla2[[#This Row],[PLAZO Días]],"venc", "No venc")</f>
        <v>venc</v>
      </c>
      <c r="V449" t="str">
        <f>+IF(Tabla2[[#This Row],[FECHA DE PAGO]]&gt;0,"pagada","por pagar")</f>
        <v>pagada</v>
      </c>
      <c r="W449" s="152" t="str">
        <f>+IF(AND(Tabla2[[#This Row],[venc]]="venc",Tabla2[[#This Row],[Columna1]]="por pagar"),"vencida","no")</f>
        <v>no</v>
      </c>
    </row>
    <row r="450" spans="1:23" x14ac:dyDescent="0.3">
      <c r="A450">
        <v>30</v>
      </c>
      <c r="B450">
        <v>19675613.1195</v>
      </c>
      <c r="D450" t="s">
        <v>256</v>
      </c>
      <c r="E450" s="156">
        <v>44704</v>
      </c>
      <c r="F450" t="s">
        <v>18</v>
      </c>
      <c r="G450" s="156">
        <v>44660</v>
      </c>
      <c r="H450">
        <v>15</v>
      </c>
      <c r="I450">
        <v>1083711.5</v>
      </c>
      <c r="K450">
        <v>205905.185</v>
      </c>
      <c r="M450">
        <v>0</v>
      </c>
      <c r="N450">
        <v>2.5000000000000001E-2</v>
      </c>
      <c r="O450">
        <v>27092.787500000002</v>
      </c>
      <c r="P450" s="117">
        <v>1262523.8975</v>
      </c>
      <c r="Q450" s="117" t="s">
        <v>1021</v>
      </c>
      <c r="R450" s="150">
        <v>0</v>
      </c>
      <c r="S450" s="117" t="b">
        <f>OR(COUNTIF(Tabla2[[#This Row],[PROVEEDOR]],"*"&amp;'Palabra no opera'!$A$2&amp;"*"))</f>
        <v>0</v>
      </c>
      <c r="T450" s="150">
        <f>+$W$5-Tabla2[[#This Row],[FECHA DE FACTURACIÓN]]</f>
        <v>174</v>
      </c>
      <c r="U450" t="str">
        <f>+IF(Tabla2[[#This Row],[dias de credito]]&gt;=Tabla2[[#This Row],[PLAZO Días]],"venc", "No venc")</f>
        <v>venc</v>
      </c>
      <c r="V450" t="str">
        <f>+IF(Tabla2[[#This Row],[FECHA DE PAGO]]&gt;0,"pagada","por pagar")</f>
        <v>pagada</v>
      </c>
      <c r="W450" s="152" t="str">
        <f>+IF(AND(Tabla2[[#This Row],[venc]]="venc",Tabla2[[#This Row],[Columna1]]="por pagar"),"vencida","no")</f>
        <v>no</v>
      </c>
    </row>
    <row r="451" spans="1:23" x14ac:dyDescent="0.3">
      <c r="A451">
        <v>45</v>
      </c>
      <c r="B451">
        <v>30078253.170000002</v>
      </c>
      <c r="D451" t="s">
        <v>884</v>
      </c>
      <c r="E451" s="156">
        <v>44704</v>
      </c>
      <c r="F451" t="s">
        <v>19</v>
      </c>
      <c r="G451" s="156">
        <v>44658</v>
      </c>
      <c r="H451" t="s">
        <v>856</v>
      </c>
      <c r="I451">
        <v>1503180</v>
      </c>
      <c r="K451">
        <v>285604.2</v>
      </c>
      <c r="M451">
        <v>0</v>
      </c>
      <c r="N451">
        <v>0</v>
      </c>
      <c r="O451">
        <v>0</v>
      </c>
      <c r="P451" s="117">
        <v>1788784.2</v>
      </c>
      <c r="Q451" s="117" t="s">
        <v>1021</v>
      </c>
      <c r="R451" s="150">
        <v>0</v>
      </c>
      <c r="S451" s="117" t="b">
        <f>OR(COUNTIF(Tabla2[[#This Row],[PROVEEDOR]],"*"&amp;'Palabra no opera'!$A$2&amp;"*"))</f>
        <v>0</v>
      </c>
      <c r="T451" s="150">
        <f>+$W$5-Tabla2[[#This Row],[FECHA DE FACTURACIÓN]]</f>
        <v>176</v>
      </c>
      <c r="U451" t="str">
        <f>+IF(Tabla2[[#This Row],[dias de credito]]&gt;=Tabla2[[#This Row],[PLAZO Días]],"venc", "No venc")</f>
        <v>venc</v>
      </c>
      <c r="V451" t="str">
        <f>+IF(Tabla2[[#This Row],[FECHA DE PAGO]]&gt;0,"pagada","por pagar")</f>
        <v>pagada</v>
      </c>
      <c r="W451" s="152" t="str">
        <f>+IF(AND(Tabla2[[#This Row],[venc]]="venc",Tabla2[[#This Row],[Columna1]]="por pagar"),"vencida","no")</f>
        <v>no</v>
      </c>
    </row>
    <row r="452" spans="1:23" x14ac:dyDescent="0.3">
      <c r="A452">
        <v>30</v>
      </c>
      <c r="B452">
        <v>8457900</v>
      </c>
      <c r="D452" t="s">
        <v>1027</v>
      </c>
      <c r="E452" s="156">
        <v>44704</v>
      </c>
      <c r="F452" t="s">
        <v>11</v>
      </c>
      <c r="G452" s="156">
        <v>44657</v>
      </c>
      <c r="H452" t="s">
        <v>858</v>
      </c>
      <c r="I452">
        <v>5280000</v>
      </c>
      <c r="K452">
        <v>1003200</v>
      </c>
      <c r="M452">
        <v>0</v>
      </c>
      <c r="N452">
        <v>2.5000000000000001E-2</v>
      </c>
      <c r="O452">
        <v>132000</v>
      </c>
      <c r="P452" s="117">
        <v>6151200</v>
      </c>
      <c r="Q452" s="117" t="s">
        <v>1021</v>
      </c>
      <c r="R452" s="150">
        <v>0</v>
      </c>
      <c r="S452" s="117"/>
    </row>
    <row r="453" spans="1:23" x14ac:dyDescent="0.3">
      <c r="A453">
        <v>30</v>
      </c>
      <c r="B453">
        <v>8190204</v>
      </c>
      <c r="D453" t="s">
        <v>263</v>
      </c>
      <c r="E453" s="156">
        <v>44704</v>
      </c>
      <c r="F453" t="s">
        <v>1637</v>
      </c>
      <c r="G453" s="156">
        <v>44650</v>
      </c>
      <c r="H453">
        <v>25208</v>
      </c>
      <c r="I453">
        <v>1728540</v>
      </c>
      <c r="J453">
        <v>157140</v>
      </c>
      <c r="K453">
        <v>298566</v>
      </c>
      <c r="M453">
        <v>0</v>
      </c>
      <c r="N453">
        <v>2.5000000000000001E-2</v>
      </c>
      <c r="O453">
        <v>39285</v>
      </c>
      <c r="P453" s="117">
        <v>1830681</v>
      </c>
      <c r="Q453" s="117" t="s">
        <v>1021</v>
      </c>
      <c r="R453" s="150">
        <v>0</v>
      </c>
      <c r="S453" s="117" t="b">
        <f>OR(COUNTIF(Tabla2[[#This Row],[PROVEEDOR]],"*"&amp;'Palabra no opera'!$A$2&amp;"*"))</f>
        <v>0</v>
      </c>
      <c r="T453" s="150">
        <f>+$W$5-Tabla2[[#This Row],[FECHA DE FACTURACIÓN]]</f>
        <v>184</v>
      </c>
      <c r="U453" t="str">
        <f>+IF(Tabla2[[#This Row],[dias de credito]]&gt;=Tabla2[[#This Row],[PLAZO Días]],"venc", "No venc")</f>
        <v>venc</v>
      </c>
      <c r="V453" t="str">
        <f>+IF(Tabla2[[#This Row],[FECHA DE PAGO]]&gt;0,"pagada","por pagar")</f>
        <v>pagada</v>
      </c>
      <c r="W453" s="152" t="str">
        <f>+IF(AND(Tabla2[[#This Row],[venc]]="venc",Tabla2[[#This Row],[Columna1]]="por pagar"),"vencida","no")</f>
        <v>no</v>
      </c>
    </row>
    <row r="454" spans="1:23" x14ac:dyDescent="0.3">
      <c r="A454">
        <v>30</v>
      </c>
      <c r="B454">
        <v>3921000</v>
      </c>
      <c r="D454" t="s">
        <v>139</v>
      </c>
      <c r="E454" s="156">
        <v>44704</v>
      </c>
      <c r="F454" t="s">
        <v>671</v>
      </c>
      <c r="G454" s="156">
        <v>44624</v>
      </c>
      <c r="H454" t="s">
        <v>749</v>
      </c>
      <c r="I454">
        <v>6748000</v>
      </c>
      <c r="K454">
        <v>0</v>
      </c>
      <c r="M454">
        <v>0</v>
      </c>
      <c r="N454">
        <v>0</v>
      </c>
      <c r="O454">
        <v>0</v>
      </c>
      <c r="P454" s="117">
        <v>6748000</v>
      </c>
      <c r="Q454" s="117" t="s">
        <v>1021</v>
      </c>
      <c r="R454" s="150">
        <v>0</v>
      </c>
      <c r="S454" s="117" t="b">
        <f>OR(COUNTIF(Tabla2[[#This Row],[PROVEEDOR]],"*"&amp;'Palabra no opera'!$A$2&amp;"*"))</f>
        <v>0</v>
      </c>
      <c r="T454" s="150">
        <f>+$W$5-Tabla2[[#This Row],[FECHA DE FACTURACIÓN]]</f>
        <v>210</v>
      </c>
      <c r="U454" t="str">
        <f>+IF(Tabla2[[#This Row],[dias de credito]]&gt;=Tabla2[[#This Row],[PLAZO Días]],"venc", "No venc")</f>
        <v>venc</v>
      </c>
      <c r="V454" t="str">
        <f>+IF(Tabla2[[#This Row],[FECHA DE PAGO]]&gt;0,"pagada","por pagar")</f>
        <v>pagada</v>
      </c>
      <c r="W454" s="152" t="str">
        <f>+IF(AND(Tabla2[[#This Row],[venc]]="venc",Tabla2[[#This Row],[Columna1]]="por pagar"),"vencida","no")</f>
        <v>no</v>
      </c>
    </row>
    <row r="455" spans="1:23" x14ac:dyDescent="0.3">
      <c r="A455">
        <v>30</v>
      </c>
      <c r="B455">
        <v>3921000</v>
      </c>
      <c r="D455" t="s">
        <v>139</v>
      </c>
      <c r="E455" s="156">
        <v>44704</v>
      </c>
      <c r="F455" t="s">
        <v>671</v>
      </c>
      <c r="G455" s="156">
        <v>44607</v>
      </c>
      <c r="H455" t="s">
        <v>760</v>
      </c>
      <c r="I455">
        <v>710000</v>
      </c>
      <c r="K455">
        <v>0</v>
      </c>
      <c r="M455">
        <v>0</v>
      </c>
      <c r="N455">
        <v>0</v>
      </c>
      <c r="O455">
        <v>0</v>
      </c>
      <c r="P455" s="117">
        <v>710000</v>
      </c>
      <c r="Q455" s="117" t="s">
        <v>1021</v>
      </c>
      <c r="R455" s="150">
        <v>0</v>
      </c>
      <c r="S455" s="117" t="b">
        <f>OR(COUNTIF(Tabla2[[#This Row],[PROVEEDOR]],"*"&amp;'Palabra no opera'!$A$2&amp;"*"))</f>
        <v>0</v>
      </c>
      <c r="T455" s="150">
        <f>+$W$5-Tabla2[[#This Row],[FECHA DE FACTURACIÓN]]</f>
        <v>227</v>
      </c>
      <c r="U455" t="str">
        <f>+IF(Tabla2[[#This Row],[dias de credito]]&gt;=Tabla2[[#This Row],[PLAZO Días]],"venc", "No venc")</f>
        <v>venc</v>
      </c>
      <c r="V455" t="str">
        <f>+IF(Tabla2[[#This Row],[FECHA DE PAGO]]&gt;0,"pagada","por pagar")</f>
        <v>pagada</v>
      </c>
      <c r="W455" s="152" t="str">
        <f>+IF(AND(Tabla2[[#This Row],[venc]]="venc",Tabla2[[#This Row],[Columna1]]="por pagar"),"vencida","no")</f>
        <v>no</v>
      </c>
    </row>
    <row r="456" spans="1:23" x14ac:dyDescent="0.3">
      <c r="A456">
        <v>30</v>
      </c>
      <c r="B456">
        <v>0</v>
      </c>
      <c r="D456" t="s">
        <v>1420</v>
      </c>
      <c r="E456" s="156">
        <v>44704</v>
      </c>
      <c r="F456" t="s">
        <v>21</v>
      </c>
      <c r="G456" s="156">
        <v>44587</v>
      </c>
      <c r="H456" t="s">
        <v>776</v>
      </c>
      <c r="I456">
        <v>0</v>
      </c>
      <c r="K456">
        <v>0</v>
      </c>
      <c r="M456">
        <v>0</v>
      </c>
      <c r="N456">
        <v>0</v>
      </c>
      <c r="O456">
        <v>0</v>
      </c>
      <c r="P456" s="117">
        <v>-34393</v>
      </c>
      <c r="Q456" s="117" t="s">
        <v>1021</v>
      </c>
      <c r="R456" s="150">
        <v>0</v>
      </c>
      <c r="S456" s="117" t="b">
        <f>OR(COUNTIF(Tabla2[[#This Row],[PROVEEDOR]],"*"&amp;'Palabra no opera'!$A$2&amp;"*"))</f>
        <v>0</v>
      </c>
      <c r="T456" s="150">
        <f>+$W$5-Tabla2[[#This Row],[FECHA DE FACTURACIÓN]]</f>
        <v>247</v>
      </c>
      <c r="U456" t="str">
        <f>+IF(Tabla2[[#This Row],[dias de credito]]&gt;=Tabla2[[#This Row],[PLAZO Días]],"venc", "No venc")</f>
        <v>venc</v>
      </c>
      <c r="V456" t="str">
        <f>+IF(Tabla2[[#This Row],[FECHA DE PAGO]]&gt;0,"pagada","por pagar")</f>
        <v>pagada</v>
      </c>
      <c r="W456" s="152" t="str">
        <f>+IF(AND(Tabla2[[#This Row],[venc]]="venc",Tabla2[[#This Row],[Columna1]]="por pagar"),"vencida","no")</f>
        <v>no</v>
      </c>
    </row>
    <row r="457" spans="1:23" x14ac:dyDescent="0.3">
      <c r="A457">
        <v>30</v>
      </c>
      <c r="B457">
        <v>0</v>
      </c>
      <c r="D457" t="s">
        <v>139</v>
      </c>
      <c r="E457" s="156">
        <v>44701</v>
      </c>
      <c r="F457" t="s">
        <v>661</v>
      </c>
      <c r="G457" s="156">
        <v>44701</v>
      </c>
      <c r="H457" t="s">
        <v>1383</v>
      </c>
      <c r="I457">
        <v>1240000</v>
      </c>
      <c r="K457">
        <v>0</v>
      </c>
      <c r="M457">
        <v>0</v>
      </c>
      <c r="N457">
        <v>0</v>
      </c>
      <c r="O457">
        <v>0</v>
      </c>
      <c r="P457" s="117">
        <v>1240000</v>
      </c>
      <c r="Q457" s="117" t="s">
        <v>1021</v>
      </c>
      <c r="R457" s="150">
        <v>0</v>
      </c>
      <c r="S457" s="117" t="b">
        <f>OR(COUNTIF(Tabla2[[#This Row],[PROVEEDOR]],"*"&amp;'Palabra no opera'!$A$2&amp;"*"))</f>
        <v>0</v>
      </c>
      <c r="T457" s="150">
        <f>+$W$5-Tabla2[[#This Row],[FECHA DE FACTURACIÓN]]</f>
        <v>133</v>
      </c>
      <c r="U457" t="str">
        <f>+IF(Tabla2[[#This Row],[dias de credito]]&gt;=Tabla2[[#This Row],[PLAZO Días]],"venc", "No venc")</f>
        <v>venc</v>
      </c>
      <c r="V457" t="str">
        <f>+IF(Tabla2[[#This Row],[FECHA DE PAGO]]&gt;0,"pagada","por pagar")</f>
        <v>pagada</v>
      </c>
      <c r="W457" s="152" t="str">
        <f>+IF(AND(Tabla2[[#This Row],[venc]]="venc",Tabla2[[#This Row],[Columna1]]="por pagar"),"vencida","no")</f>
        <v>no</v>
      </c>
    </row>
    <row r="458" spans="1:23" x14ac:dyDescent="0.3">
      <c r="A458">
        <v>90</v>
      </c>
      <c r="B458">
        <v>64586412</v>
      </c>
      <c r="D458" t="s">
        <v>368</v>
      </c>
      <c r="E458" s="156">
        <v>44701</v>
      </c>
      <c r="F458" t="s">
        <v>31</v>
      </c>
      <c r="G458" s="156">
        <v>44629</v>
      </c>
      <c r="H458">
        <v>56143</v>
      </c>
      <c r="I458">
        <v>39058718</v>
      </c>
      <c r="K458">
        <v>0</v>
      </c>
      <c r="M458">
        <v>0</v>
      </c>
      <c r="N458">
        <v>0</v>
      </c>
      <c r="O458">
        <v>0</v>
      </c>
      <c r="P458" s="117">
        <v>39058718</v>
      </c>
      <c r="Q458" s="117" t="s">
        <v>1021</v>
      </c>
      <c r="R458" s="150">
        <v>0</v>
      </c>
      <c r="S458" s="117" t="b">
        <f>OR(COUNTIF(Tabla2[[#This Row],[PROVEEDOR]],"*"&amp;'Palabra no opera'!$A$2&amp;"*"))</f>
        <v>0</v>
      </c>
      <c r="T458" s="150">
        <f>+$W$5-Tabla2[[#This Row],[FECHA DE FACTURACIÓN]]</f>
        <v>205</v>
      </c>
      <c r="U458" t="str">
        <f>+IF(Tabla2[[#This Row],[dias de credito]]&gt;=Tabla2[[#This Row],[PLAZO Días]],"venc", "No venc")</f>
        <v>venc</v>
      </c>
      <c r="V458" t="str">
        <f>+IF(Tabla2[[#This Row],[FECHA DE PAGO]]&gt;0,"pagada","por pagar")</f>
        <v>pagada</v>
      </c>
      <c r="W458" s="152" t="str">
        <f>+IF(AND(Tabla2[[#This Row],[venc]]="venc",Tabla2[[#This Row],[Columna1]]="por pagar"),"vencida","no")</f>
        <v>no</v>
      </c>
    </row>
    <row r="459" spans="1:23" x14ac:dyDescent="0.3">
      <c r="A459">
        <v>30</v>
      </c>
      <c r="B459">
        <v>2324000</v>
      </c>
      <c r="D459" t="s">
        <v>251</v>
      </c>
      <c r="E459" s="156">
        <v>44700</v>
      </c>
      <c r="F459" t="s">
        <v>699</v>
      </c>
      <c r="G459" s="156">
        <v>44669</v>
      </c>
      <c r="H459" t="s">
        <v>1585</v>
      </c>
      <c r="I459">
        <v>703500</v>
      </c>
      <c r="K459">
        <v>0</v>
      </c>
      <c r="M459">
        <v>0</v>
      </c>
      <c r="N459">
        <v>0</v>
      </c>
      <c r="O459">
        <v>0</v>
      </c>
      <c r="P459" s="117">
        <v>703500</v>
      </c>
      <c r="Q459" s="117" t="s">
        <v>1021</v>
      </c>
      <c r="R459" s="150">
        <v>0</v>
      </c>
      <c r="S459" s="117" t="b">
        <f>OR(COUNTIF(Tabla2[[#This Row],[PROVEEDOR]],"*"&amp;'Palabra no opera'!$A$2&amp;"*"))</f>
        <v>0</v>
      </c>
      <c r="T459" s="150">
        <f>+$W$5-Tabla2[[#This Row],[FECHA DE FACTURACIÓN]]</f>
        <v>165</v>
      </c>
      <c r="U459" t="str">
        <f>+IF(Tabla2[[#This Row],[dias de credito]]&gt;=Tabla2[[#This Row],[PLAZO Días]],"venc", "No venc")</f>
        <v>venc</v>
      </c>
      <c r="V459" t="str">
        <f>+IF(Tabla2[[#This Row],[FECHA DE PAGO]]&gt;0,"pagada","por pagar")</f>
        <v>pagada</v>
      </c>
      <c r="W459" s="152" t="str">
        <f>+IF(AND(Tabla2[[#This Row],[venc]]="venc",Tabla2[[#This Row],[Columna1]]="por pagar"),"vencida","no")</f>
        <v>no</v>
      </c>
    </row>
    <row r="460" spans="1:23" x14ac:dyDescent="0.3">
      <c r="A460">
        <v>30</v>
      </c>
      <c r="B460">
        <v>2324000</v>
      </c>
      <c r="D460" t="s">
        <v>251</v>
      </c>
      <c r="E460" s="156">
        <v>44700</v>
      </c>
      <c r="F460" t="s">
        <v>699</v>
      </c>
      <c r="G460" s="156">
        <v>44669</v>
      </c>
      <c r="H460" t="s">
        <v>1586</v>
      </c>
      <c r="I460">
        <v>1341500</v>
      </c>
      <c r="K460">
        <v>0</v>
      </c>
      <c r="M460">
        <v>0</v>
      </c>
      <c r="N460">
        <v>0</v>
      </c>
      <c r="O460">
        <v>0</v>
      </c>
      <c r="P460" s="117">
        <v>1341500</v>
      </c>
      <c r="Q460" s="117" t="s">
        <v>1021</v>
      </c>
      <c r="R460" s="150">
        <v>0</v>
      </c>
      <c r="S460" s="117" t="b">
        <f>OR(COUNTIF(Tabla2[[#This Row],[PROVEEDOR]],"*"&amp;'Palabra no opera'!$A$2&amp;"*"))</f>
        <v>0</v>
      </c>
      <c r="T460" s="150">
        <f>+$W$5-Tabla2[[#This Row],[FECHA DE FACTURACIÓN]]</f>
        <v>165</v>
      </c>
      <c r="U460" t="str">
        <f>+IF(Tabla2[[#This Row],[dias de credito]]&gt;=Tabla2[[#This Row],[PLAZO Días]],"venc", "No venc")</f>
        <v>venc</v>
      </c>
      <c r="V460" t="str">
        <f>+IF(Tabla2[[#This Row],[FECHA DE PAGO]]&gt;0,"pagada","por pagar")</f>
        <v>pagada</v>
      </c>
      <c r="W460" s="152" t="str">
        <f>+IF(AND(Tabla2[[#This Row],[venc]]="venc",Tabla2[[#This Row],[Columna1]]="por pagar"),"vencida","no")</f>
        <v>no</v>
      </c>
    </row>
    <row r="461" spans="1:23" x14ac:dyDescent="0.3">
      <c r="A461">
        <v>30</v>
      </c>
      <c r="B461">
        <v>2324000</v>
      </c>
      <c r="D461" t="s">
        <v>251</v>
      </c>
      <c r="E461" s="156">
        <v>44700</v>
      </c>
      <c r="F461" t="s">
        <v>699</v>
      </c>
      <c r="G461" s="156">
        <v>44669</v>
      </c>
      <c r="H461" t="s">
        <v>1587</v>
      </c>
      <c r="I461">
        <v>1054000</v>
      </c>
      <c r="K461">
        <v>0</v>
      </c>
      <c r="M461">
        <v>0</v>
      </c>
      <c r="N461">
        <v>0</v>
      </c>
      <c r="O461">
        <v>0</v>
      </c>
      <c r="P461" s="117">
        <v>1054000</v>
      </c>
      <c r="Q461" s="117" t="s">
        <v>1021</v>
      </c>
      <c r="R461" s="150">
        <v>0</v>
      </c>
      <c r="S461" s="117" t="b">
        <f>OR(COUNTIF(Tabla2[[#This Row],[PROVEEDOR]],"*"&amp;'Palabra no opera'!$A$2&amp;"*"))</f>
        <v>0</v>
      </c>
      <c r="T461" s="150">
        <f>+$W$5-Tabla2[[#This Row],[FECHA DE FACTURACIÓN]]</f>
        <v>165</v>
      </c>
      <c r="U461" t="str">
        <f>+IF(Tabla2[[#This Row],[dias de credito]]&gt;=Tabla2[[#This Row],[PLAZO Días]],"venc", "No venc")</f>
        <v>venc</v>
      </c>
      <c r="V461" t="str">
        <f>+IF(Tabla2[[#This Row],[FECHA DE PAGO]]&gt;0,"pagada","por pagar")</f>
        <v>pagada</v>
      </c>
      <c r="W461" s="152" t="str">
        <f>+IF(AND(Tabla2[[#This Row],[venc]]="venc",Tabla2[[#This Row],[Columna1]]="por pagar"),"vencida","no")</f>
        <v>no</v>
      </c>
    </row>
    <row r="462" spans="1:23" x14ac:dyDescent="0.3">
      <c r="A462">
        <v>30</v>
      </c>
      <c r="B462">
        <v>10689112</v>
      </c>
      <c r="D462" t="s">
        <v>976</v>
      </c>
      <c r="E462" s="156">
        <v>44699</v>
      </c>
      <c r="F462" t="s">
        <v>79</v>
      </c>
      <c r="G462" s="156">
        <v>44692</v>
      </c>
      <c r="H462" t="s">
        <v>967</v>
      </c>
      <c r="I462">
        <v>4704300</v>
      </c>
      <c r="K462">
        <v>893817</v>
      </c>
      <c r="M462">
        <v>0</v>
      </c>
      <c r="N462">
        <v>2.5000000000000001E-2</v>
      </c>
      <c r="O462">
        <v>117607.5</v>
      </c>
      <c r="P462" s="117">
        <v>5480509.5</v>
      </c>
      <c r="Q462" s="117" t="s">
        <v>1021</v>
      </c>
      <c r="R462" s="150">
        <v>0</v>
      </c>
      <c r="S462" s="117" t="b">
        <f>OR(COUNTIF(Tabla2[[#This Row],[PROVEEDOR]],"*"&amp;'Palabra no opera'!$A$2&amp;"*"))</f>
        <v>0</v>
      </c>
      <c r="T462" s="150">
        <f>+$W$5-Tabla2[[#This Row],[FECHA DE FACTURACIÓN]]</f>
        <v>142</v>
      </c>
      <c r="U462" t="str">
        <f>+IF(Tabla2[[#This Row],[dias de credito]]&gt;=Tabla2[[#This Row],[PLAZO Días]],"venc", "No venc")</f>
        <v>venc</v>
      </c>
      <c r="V462" t="str">
        <f>+IF(Tabla2[[#This Row],[FECHA DE PAGO]]&gt;0,"pagada","por pagar")</f>
        <v>pagada</v>
      </c>
      <c r="W462" s="152" t="str">
        <f>+IF(AND(Tabla2[[#This Row],[venc]]="venc",Tabla2[[#This Row],[Columna1]]="por pagar"),"vencida","no")</f>
        <v>no</v>
      </c>
    </row>
    <row r="463" spans="1:23" x14ac:dyDescent="0.3">
      <c r="A463">
        <v>30</v>
      </c>
      <c r="B463">
        <v>0</v>
      </c>
      <c r="D463" t="s">
        <v>250</v>
      </c>
      <c r="E463" s="156">
        <v>44699</v>
      </c>
      <c r="F463" t="s">
        <v>1451</v>
      </c>
      <c r="G463" s="156">
        <v>44691</v>
      </c>
      <c r="H463">
        <v>339</v>
      </c>
      <c r="I463">
        <v>253000</v>
      </c>
      <c r="K463">
        <v>0</v>
      </c>
      <c r="M463">
        <v>0</v>
      </c>
      <c r="N463">
        <v>0.01</v>
      </c>
      <c r="O463">
        <v>2530</v>
      </c>
      <c r="P463" s="117">
        <v>250470</v>
      </c>
      <c r="Q463" s="117" t="s">
        <v>1021</v>
      </c>
      <c r="R463" s="150">
        <v>0</v>
      </c>
      <c r="S463" s="117" t="b">
        <f>OR(COUNTIF(Tabla2[[#This Row],[PROVEEDOR]],"*"&amp;'Palabra no opera'!$A$2&amp;"*"))</f>
        <v>0</v>
      </c>
      <c r="T463" s="150">
        <f>+$W$5-Tabla2[[#This Row],[FECHA DE FACTURACIÓN]]</f>
        <v>143</v>
      </c>
      <c r="U463" t="str">
        <f>+IF(Tabla2[[#This Row],[dias de credito]]&gt;=Tabla2[[#This Row],[PLAZO Días]],"venc", "No venc")</f>
        <v>venc</v>
      </c>
      <c r="V463" t="str">
        <f>+IF(Tabla2[[#This Row],[FECHA DE PAGO]]&gt;0,"pagada","por pagar")</f>
        <v>pagada</v>
      </c>
      <c r="W463" s="152" t="str">
        <f>+IF(AND(Tabla2[[#This Row],[venc]]="venc",Tabla2[[#This Row],[Columna1]]="por pagar"),"vencida","no")</f>
        <v>no</v>
      </c>
    </row>
    <row r="464" spans="1:23" x14ac:dyDescent="0.3">
      <c r="A464">
        <v>30</v>
      </c>
      <c r="B464">
        <v>0</v>
      </c>
      <c r="D464" t="s">
        <v>650</v>
      </c>
      <c r="E464" s="156">
        <v>44699</v>
      </c>
      <c r="F464" t="s">
        <v>913</v>
      </c>
      <c r="G464" s="156">
        <v>44682</v>
      </c>
      <c r="H464" t="s">
        <v>953</v>
      </c>
      <c r="I464">
        <v>3294426</v>
      </c>
      <c r="K464">
        <v>625940.94000000006</v>
      </c>
      <c r="M464">
        <v>0</v>
      </c>
      <c r="N464">
        <v>0</v>
      </c>
      <c r="O464">
        <v>0</v>
      </c>
      <c r="P464" s="117">
        <v>3920366.94</v>
      </c>
      <c r="Q464" s="117" t="s">
        <v>1021</v>
      </c>
      <c r="R464" s="150">
        <v>0</v>
      </c>
      <c r="S464" s="117" t="b">
        <f>OR(COUNTIF(Tabla2[[#This Row],[PROVEEDOR]],"*"&amp;'Palabra no opera'!$A$2&amp;"*"))</f>
        <v>1</v>
      </c>
      <c r="T464" s="150">
        <f>+$W$5-Tabla2[[#This Row],[FECHA DE FACTURACIÓN]]</f>
        <v>152</v>
      </c>
      <c r="U464" t="str">
        <f>+IF(Tabla2[[#This Row],[dias de credito]]&gt;=Tabla2[[#This Row],[PLAZO Días]],"venc", "No venc")</f>
        <v>venc</v>
      </c>
      <c r="V464" t="str">
        <f>+IF(Tabla2[[#This Row],[FECHA DE PAGO]]&gt;0,"pagada","por pagar")</f>
        <v>pagada</v>
      </c>
      <c r="W464" s="152" t="str">
        <f>+IF(AND(Tabla2[[#This Row],[venc]]="venc",Tabla2[[#This Row],[Columna1]]="por pagar"),"vencida","no")</f>
        <v>no</v>
      </c>
    </row>
    <row r="465" spans="1:23" x14ac:dyDescent="0.3">
      <c r="A465">
        <v>30</v>
      </c>
      <c r="B465">
        <v>0</v>
      </c>
      <c r="D465" t="s">
        <v>650</v>
      </c>
      <c r="E465" s="156">
        <v>44699</v>
      </c>
      <c r="F465" t="s">
        <v>913</v>
      </c>
      <c r="G465" s="156">
        <v>44682</v>
      </c>
      <c r="H465" t="s">
        <v>954</v>
      </c>
      <c r="I465">
        <v>791781</v>
      </c>
      <c r="K465">
        <v>150438.39000000001</v>
      </c>
      <c r="M465">
        <v>0</v>
      </c>
      <c r="N465">
        <v>0</v>
      </c>
      <c r="O465">
        <v>0</v>
      </c>
      <c r="P465" s="117">
        <v>942219.39</v>
      </c>
      <c r="Q465" s="117" t="s">
        <v>1021</v>
      </c>
      <c r="R465" s="150">
        <v>0</v>
      </c>
      <c r="S465" s="117" t="b">
        <f>OR(COUNTIF(Tabla2[[#This Row],[PROVEEDOR]],"*"&amp;'Palabra no opera'!$A$2&amp;"*"))</f>
        <v>1</v>
      </c>
      <c r="T465" s="150">
        <f>+$W$5-Tabla2[[#This Row],[FECHA DE FACTURACIÓN]]</f>
        <v>152</v>
      </c>
      <c r="U465" t="str">
        <f>+IF(Tabla2[[#This Row],[dias de credito]]&gt;=Tabla2[[#This Row],[PLAZO Días]],"venc", "No venc")</f>
        <v>venc</v>
      </c>
      <c r="V465" t="str">
        <f>+IF(Tabla2[[#This Row],[FECHA DE PAGO]]&gt;0,"pagada","por pagar")</f>
        <v>pagada</v>
      </c>
      <c r="W465" s="152" t="str">
        <f>+IF(AND(Tabla2[[#This Row],[venc]]="venc",Tabla2[[#This Row],[Columna1]]="por pagar"),"vencida","no")</f>
        <v>no</v>
      </c>
    </row>
    <row r="466" spans="1:23" x14ac:dyDescent="0.3">
      <c r="A466">
        <v>30</v>
      </c>
      <c r="B466">
        <v>0</v>
      </c>
      <c r="D466" t="s">
        <v>650</v>
      </c>
      <c r="E466" s="156">
        <v>44699</v>
      </c>
      <c r="F466" t="s">
        <v>913</v>
      </c>
      <c r="G466" s="156">
        <v>44682</v>
      </c>
      <c r="H466" t="s">
        <v>955</v>
      </c>
      <c r="I466">
        <v>39533</v>
      </c>
      <c r="K466">
        <v>7511.27</v>
      </c>
      <c r="M466">
        <v>0</v>
      </c>
      <c r="N466">
        <v>0</v>
      </c>
      <c r="O466">
        <v>0</v>
      </c>
      <c r="P466" s="117">
        <v>47044.270000000004</v>
      </c>
      <c r="Q466" s="117" t="s">
        <v>1021</v>
      </c>
      <c r="R466" s="150">
        <v>0</v>
      </c>
      <c r="S466" s="117" t="b">
        <f>OR(COUNTIF(Tabla2[[#This Row],[PROVEEDOR]],"*"&amp;'Palabra no opera'!$A$2&amp;"*"))</f>
        <v>1</v>
      </c>
      <c r="T466" s="150">
        <f>+$W$5-Tabla2[[#This Row],[FECHA DE FACTURACIÓN]]</f>
        <v>152</v>
      </c>
      <c r="U466" t="str">
        <f>+IF(Tabla2[[#This Row],[dias de credito]]&gt;=Tabla2[[#This Row],[PLAZO Días]],"venc", "No venc")</f>
        <v>venc</v>
      </c>
      <c r="V466" t="str">
        <f>+IF(Tabla2[[#This Row],[FECHA DE PAGO]]&gt;0,"pagada","por pagar")</f>
        <v>pagada</v>
      </c>
      <c r="W466" s="152" t="str">
        <f>+IF(AND(Tabla2[[#This Row],[venc]]="venc",Tabla2[[#This Row],[Columna1]]="por pagar"),"vencida","no")</f>
        <v>no</v>
      </c>
    </row>
    <row r="467" spans="1:23" x14ac:dyDescent="0.3">
      <c r="A467">
        <v>30</v>
      </c>
      <c r="B467">
        <v>0</v>
      </c>
      <c r="D467" t="s">
        <v>650</v>
      </c>
      <c r="E467" s="156">
        <v>44699</v>
      </c>
      <c r="F467" t="s">
        <v>913</v>
      </c>
      <c r="G467" s="156">
        <v>44682</v>
      </c>
      <c r="H467" t="s">
        <v>956</v>
      </c>
      <c r="I467">
        <v>9501</v>
      </c>
      <c r="K467">
        <v>1805.19</v>
      </c>
      <c r="M467">
        <v>0</v>
      </c>
      <c r="N467">
        <v>0</v>
      </c>
      <c r="O467">
        <v>0</v>
      </c>
      <c r="P467" s="117">
        <v>11306.19</v>
      </c>
      <c r="Q467" s="117" t="s">
        <v>1021</v>
      </c>
      <c r="R467" s="150">
        <v>0</v>
      </c>
      <c r="S467" s="117" t="b">
        <f>OR(COUNTIF(Tabla2[[#This Row],[PROVEEDOR]],"*"&amp;'Palabra no opera'!$A$2&amp;"*"))</f>
        <v>1</v>
      </c>
      <c r="T467" s="150">
        <f>+$W$5-Tabla2[[#This Row],[FECHA DE FACTURACIÓN]]</f>
        <v>152</v>
      </c>
      <c r="U467" t="str">
        <f>+IF(Tabla2[[#This Row],[dias de credito]]&gt;=Tabla2[[#This Row],[PLAZO Días]],"venc", "No venc")</f>
        <v>venc</v>
      </c>
      <c r="V467" t="str">
        <f>+IF(Tabla2[[#This Row],[FECHA DE PAGO]]&gt;0,"pagada","por pagar")</f>
        <v>pagada</v>
      </c>
      <c r="W467" s="152" t="str">
        <f>+IF(AND(Tabla2[[#This Row],[venc]]="venc",Tabla2[[#This Row],[Columna1]]="por pagar"),"vencida","no")</f>
        <v>no</v>
      </c>
    </row>
    <row r="468" spans="1:23" x14ac:dyDescent="0.3">
      <c r="A468">
        <v>30</v>
      </c>
      <c r="B468">
        <v>0</v>
      </c>
      <c r="D468" t="s">
        <v>505</v>
      </c>
      <c r="E468" s="156">
        <v>44699</v>
      </c>
      <c r="F468" t="s">
        <v>408</v>
      </c>
      <c r="G468" s="156">
        <v>44669</v>
      </c>
      <c r="H468" t="s">
        <v>889</v>
      </c>
      <c r="I468">
        <v>1887203.25</v>
      </c>
      <c r="K468">
        <v>358568.61749999999</v>
      </c>
      <c r="M468">
        <v>0</v>
      </c>
      <c r="N468">
        <v>0</v>
      </c>
      <c r="O468">
        <v>0</v>
      </c>
      <c r="P468" s="117">
        <v>2245771.8675000002</v>
      </c>
      <c r="Q468" s="117" t="s">
        <v>1021</v>
      </c>
      <c r="R468" s="150">
        <v>0</v>
      </c>
      <c r="S468" s="117" t="b">
        <f>OR(COUNTIF(Tabla2[[#This Row],[PROVEEDOR]],"*"&amp;'Palabra no opera'!$A$2&amp;"*"))</f>
        <v>0</v>
      </c>
      <c r="T468" s="150">
        <f>+$W$5-Tabla2[[#This Row],[FECHA DE FACTURACIÓN]]</f>
        <v>165</v>
      </c>
      <c r="U468" t="str">
        <f>+IF(Tabla2[[#This Row],[dias de credito]]&gt;=Tabla2[[#This Row],[PLAZO Días]],"venc", "No venc")</f>
        <v>venc</v>
      </c>
      <c r="V468" t="str">
        <f>+IF(Tabla2[[#This Row],[FECHA DE PAGO]]&gt;0,"pagada","por pagar")</f>
        <v>pagada</v>
      </c>
      <c r="W468" s="152" t="str">
        <f>+IF(AND(Tabla2[[#This Row],[venc]]="venc",Tabla2[[#This Row],[Columna1]]="por pagar"),"vencida","no")</f>
        <v>no</v>
      </c>
    </row>
    <row r="469" spans="1:23" x14ac:dyDescent="0.3">
      <c r="A469">
        <v>30</v>
      </c>
      <c r="B469">
        <v>27452.91</v>
      </c>
      <c r="D469" t="s">
        <v>949</v>
      </c>
      <c r="E469" s="156">
        <v>44699</v>
      </c>
      <c r="F469" t="s">
        <v>118</v>
      </c>
      <c r="G469" s="156">
        <v>44505</v>
      </c>
      <c r="H469" t="s">
        <v>899</v>
      </c>
      <c r="I469">
        <v>367873.4</v>
      </c>
      <c r="K469">
        <v>0</v>
      </c>
      <c r="M469">
        <v>0</v>
      </c>
      <c r="N469">
        <v>0</v>
      </c>
      <c r="O469">
        <v>0</v>
      </c>
      <c r="P469" s="117">
        <v>367873.4</v>
      </c>
      <c r="Q469" s="117" t="s">
        <v>1021</v>
      </c>
      <c r="R469" s="150">
        <v>0</v>
      </c>
      <c r="S469" s="117" t="b">
        <f>OR(COUNTIF(Tabla2[[#This Row],[PROVEEDOR]],"*"&amp;'Palabra no opera'!$A$2&amp;"*"))</f>
        <v>0</v>
      </c>
      <c r="T469" s="150">
        <f>+$W$5-Tabla2[[#This Row],[FECHA DE FACTURACIÓN]]</f>
        <v>329</v>
      </c>
      <c r="U469" t="str">
        <f>+IF(Tabla2[[#This Row],[dias de credito]]&gt;=Tabla2[[#This Row],[PLAZO Días]],"venc", "No venc")</f>
        <v>venc</v>
      </c>
      <c r="V469" t="str">
        <f>+IF(Tabla2[[#This Row],[FECHA DE PAGO]]&gt;0,"pagada","por pagar")</f>
        <v>pagada</v>
      </c>
      <c r="W469" s="152" t="str">
        <f>+IF(AND(Tabla2[[#This Row],[venc]]="venc",Tabla2[[#This Row],[Columna1]]="por pagar"),"vencida","no")</f>
        <v>no</v>
      </c>
    </row>
    <row r="470" spans="1:23" x14ac:dyDescent="0.3">
      <c r="A470">
        <v>30</v>
      </c>
      <c r="B470">
        <v>10689112</v>
      </c>
      <c r="D470" t="s">
        <v>976</v>
      </c>
      <c r="E470" s="156">
        <v>44699</v>
      </c>
      <c r="F470" t="s">
        <v>79</v>
      </c>
      <c r="G470" s="156">
        <v>44425</v>
      </c>
      <c r="H470" t="s">
        <v>452</v>
      </c>
      <c r="I470">
        <v>-358200</v>
      </c>
      <c r="K470">
        <v>-68058</v>
      </c>
      <c r="M470">
        <v>0</v>
      </c>
      <c r="N470">
        <v>0</v>
      </c>
      <c r="O470">
        <v>0</v>
      </c>
      <c r="P470" s="117">
        <v>-417303</v>
      </c>
      <c r="Q470" s="117" t="s">
        <v>1021</v>
      </c>
      <c r="R470" s="150">
        <v>0</v>
      </c>
      <c r="S470" s="117" t="b">
        <f>OR(COUNTIF(Tabla2[[#This Row],[PROVEEDOR]],"*"&amp;'Palabra no opera'!$A$2&amp;"*"))</f>
        <v>0</v>
      </c>
      <c r="T470" s="150">
        <f>+$W$5-Tabla2[[#This Row],[FECHA DE FACTURACIÓN]]</f>
        <v>409</v>
      </c>
      <c r="U470" t="str">
        <f>+IF(Tabla2[[#This Row],[dias de credito]]&gt;=Tabla2[[#This Row],[PLAZO Días]],"venc", "No venc")</f>
        <v>venc</v>
      </c>
      <c r="V470" t="str">
        <f>+IF(Tabla2[[#This Row],[FECHA DE PAGO]]&gt;0,"pagada","por pagar")</f>
        <v>pagada</v>
      </c>
      <c r="W470" s="152" t="str">
        <f>+IF(AND(Tabla2[[#This Row],[venc]]="venc",Tabla2[[#This Row],[Columna1]]="por pagar"),"vencida","no")</f>
        <v>no</v>
      </c>
    </row>
    <row r="471" spans="1:23" x14ac:dyDescent="0.3">
      <c r="A471">
        <v>8</v>
      </c>
      <c r="B471">
        <v>1814000</v>
      </c>
      <c r="D471">
        <v>0</v>
      </c>
      <c r="E471" s="156">
        <v>44698</v>
      </c>
      <c r="F471" t="s">
        <v>966</v>
      </c>
      <c r="G471" s="156">
        <v>44691</v>
      </c>
      <c r="H471" t="s">
        <v>1595</v>
      </c>
      <c r="I471">
        <v>608000</v>
      </c>
      <c r="K471">
        <v>0</v>
      </c>
      <c r="M471">
        <v>0</v>
      </c>
      <c r="N471">
        <v>0</v>
      </c>
      <c r="O471">
        <v>0</v>
      </c>
      <c r="P471" s="117">
        <v>608000</v>
      </c>
      <c r="Q471" s="117" t="s">
        <v>1021</v>
      </c>
      <c r="R471" s="150">
        <v>0</v>
      </c>
      <c r="S471" s="117" t="b">
        <f>OR(COUNTIF(Tabla2[[#This Row],[PROVEEDOR]],"*"&amp;'Palabra no opera'!$A$2&amp;"*"))</f>
        <v>0</v>
      </c>
      <c r="T471" s="150">
        <f>+$W$5-Tabla2[[#This Row],[FECHA DE FACTURACIÓN]]</f>
        <v>143</v>
      </c>
      <c r="U471" t="str">
        <f>+IF(Tabla2[[#This Row],[dias de credito]]&gt;=Tabla2[[#This Row],[PLAZO Días]],"venc", "No venc")</f>
        <v>venc</v>
      </c>
      <c r="V471" t="str">
        <f>+IF(Tabla2[[#This Row],[FECHA DE PAGO]]&gt;0,"pagada","por pagar")</f>
        <v>pagada</v>
      </c>
      <c r="W471" s="152" t="str">
        <f>+IF(AND(Tabla2[[#This Row],[venc]]="venc",Tabla2[[#This Row],[Columna1]]="por pagar"),"vencida","no")</f>
        <v>no</v>
      </c>
    </row>
    <row r="472" spans="1:23" x14ac:dyDescent="0.3">
      <c r="A472">
        <v>8</v>
      </c>
      <c r="B472">
        <v>1814000</v>
      </c>
      <c r="D472">
        <v>0</v>
      </c>
      <c r="E472" s="156">
        <v>44698</v>
      </c>
      <c r="F472" t="s">
        <v>966</v>
      </c>
      <c r="G472" s="156">
        <v>44691</v>
      </c>
      <c r="H472" t="s">
        <v>1596</v>
      </c>
      <c r="I472">
        <v>815000</v>
      </c>
      <c r="K472">
        <v>0</v>
      </c>
      <c r="M472">
        <v>0</v>
      </c>
      <c r="N472">
        <v>0</v>
      </c>
      <c r="O472">
        <v>0</v>
      </c>
      <c r="P472" s="117">
        <v>815000</v>
      </c>
      <c r="Q472" s="117" t="s">
        <v>1021</v>
      </c>
      <c r="R472" s="150">
        <v>0</v>
      </c>
      <c r="S472" s="117" t="b">
        <f>OR(COUNTIF(Tabla2[[#This Row],[PROVEEDOR]],"*"&amp;'Palabra no opera'!$A$2&amp;"*"))</f>
        <v>0</v>
      </c>
      <c r="T472" s="150">
        <f>+$W$5-Tabla2[[#This Row],[FECHA DE FACTURACIÓN]]</f>
        <v>143</v>
      </c>
      <c r="U472" t="str">
        <f>+IF(Tabla2[[#This Row],[dias de credito]]&gt;=Tabla2[[#This Row],[PLAZO Días]],"venc", "No venc")</f>
        <v>venc</v>
      </c>
      <c r="V472" t="str">
        <f>+IF(Tabla2[[#This Row],[FECHA DE PAGO]]&gt;0,"pagada","por pagar")</f>
        <v>pagada</v>
      </c>
      <c r="W472" s="152" t="str">
        <f>+IF(AND(Tabla2[[#This Row],[venc]]="venc",Tabla2[[#This Row],[Columna1]]="por pagar"),"vencida","no")</f>
        <v>no</v>
      </c>
    </row>
    <row r="473" spans="1:23" x14ac:dyDescent="0.3">
      <c r="A473">
        <v>8</v>
      </c>
      <c r="B473">
        <v>1814000</v>
      </c>
      <c r="D473">
        <v>0</v>
      </c>
      <c r="E473" s="156">
        <v>44698</v>
      </c>
      <c r="F473" t="s">
        <v>966</v>
      </c>
      <c r="G473" s="156">
        <v>44690</v>
      </c>
      <c r="H473" t="s">
        <v>1594</v>
      </c>
      <c r="I473">
        <v>111000</v>
      </c>
      <c r="K473">
        <v>0</v>
      </c>
      <c r="M473">
        <v>0</v>
      </c>
      <c r="N473">
        <v>0</v>
      </c>
      <c r="O473">
        <v>0</v>
      </c>
      <c r="P473" s="117">
        <v>111000</v>
      </c>
      <c r="Q473" s="117" t="s">
        <v>1021</v>
      </c>
      <c r="R473" s="150">
        <v>0</v>
      </c>
      <c r="S473" s="117" t="b">
        <f>OR(COUNTIF(Tabla2[[#This Row],[PROVEEDOR]],"*"&amp;'Palabra no opera'!$A$2&amp;"*"))</f>
        <v>0</v>
      </c>
      <c r="T473" s="150">
        <f>+$W$5-Tabla2[[#This Row],[FECHA DE FACTURACIÓN]]</f>
        <v>144</v>
      </c>
      <c r="U473" t="str">
        <f>+IF(Tabla2[[#This Row],[dias de credito]]&gt;=Tabla2[[#This Row],[PLAZO Días]],"venc", "No venc")</f>
        <v>venc</v>
      </c>
      <c r="V473" t="str">
        <f>+IF(Tabla2[[#This Row],[FECHA DE PAGO]]&gt;0,"pagada","por pagar")</f>
        <v>pagada</v>
      </c>
      <c r="W473" s="152" t="str">
        <f>+IF(AND(Tabla2[[#This Row],[venc]]="venc",Tabla2[[#This Row],[Columna1]]="por pagar"),"vencida","no")</f>
        <v>no</v>
      </c>
    </row>
    <row r="474" spans="1:23" x14ac:dyDescent="0.3">
      <c r="A474">
        <v>30</v>
      </c>
      <c r="B474">
        <v>0</v>
      </c>
      <c r="D474" t="s">
        <v>141</v>
      </c>
      <c r="E474" s="156">
        <v>44698</v>
      </c>
      <c r="F474" t="s">
        <v>935</v>
      </c>
      <c r="G474" s="156">
        <v>44682</v>
      </c>
      <c r="I474">
        <v>326243</v>
      </c>
      <c r="K474">
        <v>0</v>
      </c>
      <c r="M474">
        <v>0</v>
      </c>
      <c r="N474">
        <v>0</v>
      </c>
      <c r="O474">
        <v>0</v>
      </c>
      <c r="P474" s="117">
        <v>326243</v>
      </c>
      <c r="Q474" s="117" t="s">
        <v>1021</v>
      </c>
      <c r="R474" s="150">
        <v>0</v>
      </c>
      <c r="S474" s="117" t="b">
        <f>OR(COUNTIF(Tabla2[[#This Row],[PROVEEDOR]],"*"&amp;'Palabra no opera'!$A$2&amp;"*"))</f>
        <v>1</v>
      </c>
      <c r="T474" s="150">
        <f>+$W$5-Tabla2[[#This Row],[FECHA DE FACTURACIÓN]]</f>
        <v>152</v>
      </c>
      <c r="U474" t="str">
        <f>+IF(Tabla2[[#This Row],[dias de credito]]&gt;=Tabla2[[#This Row],[PLAZO Días]],"venc", "No venc")</f>
        <v>venc</v>
      </c>
      <c r="V474" t="str">
        <f>+IF(Tabla2[[#This Row],[FECHA DE PAGO]]&gt;0,"pagada","por pagar")</f>
        <v>pagada</v>
      </c>
      <c r="W474" s="152" t="str">
        <f>+IF(AND(Tabla2[[#This Row],[venc]]="venc",Tabla2[[#This Row],[Columna1]]="por pagar"),"vencida","no")</f>
        <v>no</v>
      </c>
    </row>
    <row r="475" spans="1:23" x14ac:dyDescent="0.3">
      <c r="A475">
        <v>30</v>
      </c>
      <c r="B475">
        <v>1865958.0154999997</v>
      </c>
      <c r="D475" t="s">
        <v>718</v>
      </c>
      <c r="E475" s="156">
        <v>44698</v>
      </c>
      <c r="F475" t="s">
        <v>508</v>
      </c>
      <c r="G475" s="156">
        <v>44646</v>
      </c>
      <c r="H475" t="s">
        <v>719</v>
      </c>
      <c r="I475">
        <v>1494455</v>
      </c>
      <c r="K475">
        <v>283946.45</v>
      </c>
      <c r="M475">
        <v>0</v>
      </c>
      <c r="N475">
        <v>2.5000000000000001E-2</v>
      </c>
      <c r="O475">
        <v>37361.375</v>
      </c>
      <c r="P475" s="117">
        <v>1741040.075</v>
      </c>
      <c r="Q475" s="117" t="s">
        <v>1021</v>
      </c>
      <c r="R475" s="150">
        <v>0</v>
      </c>
      <c r="S475" s="117" t="b">
        <f>OR(COUNTIF(Tabla2[[#This Row],[PROVEEDOR]],"*"&amp;'Palabra no opera'!$A$2&amp;"*"))</f>
        <v>0</v>
      </c>
      <c r="T475" s="150">
        <f>+$W$5-Tabla2[[#This Row],[FECHA DE FACTURACIÓN]]</f>
        <v>188</v>
      </c>
      <c r="U475" t="str">
        <f>+IF(Tabla2[[#This Row],[dias de credito]]&gt;=Tabla2[[#This Row],[PLAZO Días]],"venc", "No venc")</f>
        <v>venc</v>
      </c>
      <c r="V475" t="str">
        <f>+IF(Tabla2[[#This Row],[FECHA DE PAGO]]&gt;0,"pagada","por pagar")</f>
        <v>pagada</v>
      </c>
      <c r="W475" s="152" t="str">
        <f>+IF(AND(Tabla2[[#This Row],[venc]]="venc",Tabla2[[#This Row],[Columna1]]="por pagar"),"vencida","no")</f>
        <v>no</v>
      </c>
    </row>
    <row r="476" spans="1:23" x14ac:dyDescent="0.3">
      <c r="A476">
        <v>30</v>
      </c>
      <c r="B476">
        <v>0</v>
      </c>
      <c r="D476" t="s">
        <v>250</v>
      </c>
      <c r="E476" s="156">
        <v>44697</v>
      </c>
      <c r="F476" t="s">
        <v>1450</v>
      </c>
      <c r="G476" s="156">
        <v>44691</v>
      </c>
      <c r="H476">
        <v>229</v>
      </c>
      <c r="I476">
        <v>253000</v>
      </c>
      <c r="K476">
        <v>0</v>
      </c>
      <c r="M476">
        <v>0</v>
      </c>
      <c r="N476">
        <v>0</v>
      </c>
      <c r="O476">
        <v>0</v>
      </c>
      <c r="P476" s="117">
        <v>253000</v>
      </c>
      <c r="Q476" s="117" t="s">
        <v>1021</v>
      </c>
      <c r="R476" s="150">
        <v>0</v>
      </c>
      <c r="S476" s="117" t="b">
        <f>OR(COUNTIF(Tabla2[[#This Row],[PROVEEDOR]],"*"&amp;'Palabra no opera'!$A$2&amp;"*"))</f>
        <v>0</v>
      </c>
      <c r="T476" s="150">
        <f>+$W$5-Tabla2[[#This Row],[FECHA DE FACTURACIÓN]]</f>
        <v>143</v>
      </c>
      <c r="U476" t="str">
        <f>+IF(Tabla2[[#This Row],[dias de credito]]&gt;=Tabla2[[#This Row],[PLAZO Días]],"venc", "No venc")</f>
        <v>venc</v>
      </c>
      <c r="V476" t="str">
        <f>+IF(Tabla2[[#This Row],[FECHA DE PAGO]]&gt;0,"pagada","por pagar")</f>
        <v>pagada</v>
      </c>
      <c r="W476" s="152" t="str">
        <f>+IF(AND(Tabla2[[#This Row],[venc]]="venc",Tabla2[[#This Row],[Columna1]]="por pagar"),"vencida","no")</f>
        <v>no</v>
      </c>
    </row>
    <row r="477" spans="1:23" x14ac:dyDescent="0.3">
      <c r="A477">
        <v>30</v>
      </c>
      <c r="B477">
        <v>0</v>
      </c>
      <c r="D477" t="s">
        <v>139</v>
      </c>
      <c r="E477" s="156">
        <v>44695</v>
      </c>
      <c r="F477" t="s">
        <v>636</v>
      </c>
      <c r="G477" s="156">
        <v>44695</v>
      </c>
      <c r="H477">
        <v>2403</v>
      </c>
      <c r="I477">
        <v>600000</v>
      </c>
      <c r="K477">
        <v>0</v>
      </c>
      <c r="M477">
        <v>0</v>
      </c>
      <c r="N477">
        <v>0</v>
      </c>
      <c r="O477">
        <v>0</v>
      </c>
      <c r="P477" s="117">
        <v>600000</v>
      </c>
      <c r="Q477" s="117" t="s">
        <v>1021</v>
      </c>
      <c r="R477" s="150">
        <v>0</v>
      </c>
      <c r="S477" s="117" t="b">
        <f>OR(COUNTIF(Tabla2[[#This Row],[PROVEEDOR]],"*"&amp;'Palabra no opera'!$A$2&amp;"*"))</f>
        <v>0</v>
      </c>
      <c r="T477" s="150">
        <f>+$W$5-Tabla2[[#This Row],[FECHA DE FACTURACIÓN]]</f>
        <v>139</v>
      </c>
      <c r="U477" t="str">
        <f>+IF(Tabla2[[#This Row],[dias de credito]]&gt;=Tabla2[[#This Row],[PLAZO Días]],"venc", "No venc")</f>
        <v>venc</v>
      </c>
      <c r="V477" t="str">
        <f>+IF(Tabla2[[#This Row],[FECHA DE PAGO]]&gt;0,"pagada","por pagar")</f>
        <v>pagada</v>
      </c>
      <c r="W477" s="152" t="str">
        <f>+IF(AND(Tabla2[[#This Row],[venc]]="venc",Tabla2[[#This Row],[Columna1]]="por pagar"),"vencida","no")</f>
        <v>no</v>
      </c>
    </row>
    <row r="478" spans="1:23" x14ac:dyDescent="0.3">
      <c r="A478">
        <v>30</v>
      </c>
      <c r="B478">
        <v>0</v>
      </c>
      <c r="D478" t="s">
        <v>139</v>
      </c>
      <c r="E478" s="156">
        <v>44694</v>
      </c>
      <c r="F478" t="s">
        <v>673</v>
      </c>
      <c r="G478" s="156">
        <v>44694</v>
      </c>
      <c r="I478">
        <v>1000000</v>
      </c>
      <c r="K478">
        <v>0</v>
      </c>
      <c r="M478">
        <v>0</v>
      </c>
      <c r="N478">
        <v>0</v>
      </c>
      <c r="O478">
        <v>0</v>
      </c>
      <c r="P478" s="117">
        <v>1000000</v>
      </c>
      <c r="Q478" s="117" t="s">
        <v>1021</v>
      </c>
      <c r="R478" s="150">
        <v>0</v>
      </c>
      <c r="S478" s="117" t="b">
        <f>OR(COUNTIF(Tabla2[[#This Row],[PROVEEDOR]],"*"&amp;'Palabra no opera'!$A$2&amp;"*"))</f>
        <v>0</v>
      </c>
      <c r="T478" s="150">
        <f>+$W$5-Tabla2[[#This Row],[FECHA DE FACTURACIÓN]]</f>
        <v>140</v>
      </c>
      <c r="U478" t="str">
        <f>+IF(Tabla2[[#This Row],[dias de credito]]&gt;=Tabla2[[#This Row],[PLAZO Días]],"venc", "No venc")</f>
        <v>venc</v>
      </c>
      <c r="V478" t="str">
        <f>+IF(Tabla2[[#This Row],[FECHA DE PAGO]]&gt;0,"pagada","por pagar")</f>
        <v>pagada</v>
      </c>
      <c r="W478" s="152" t="str">
        <f>+IF(AND(Tabla2[[#This Row],[venc]]="venc",Tabla2[[#This Row],[Columna1]]="por pagar"),"vencida","no")</f>
        <v>no</v>
      </c>
    </row>
    <row r="479" spans="1:23" x14ac:dyDescent="0.3">
      <c r="A479">
        <v>30</v>
      </c>
      <c r="B479">
        <v>0</v>
      </c>
      <c r="D479" t="s">
        <v>861</v>
      </c>
      <c r="E479" s="156">
        <v>44693</v>
      </c>
      <c r="F479" t="s">
        <v>860</v>
      </c>
      <c r="G479" s="156">
        <v>44663</v>
      </c>
      <c r="H479" t="s">
        <v>862</v>
      </c>
      <c r="I479">
        <v>1013201</v>
      </c>
      <c r="K479">
        <v>192508.19</v>
      </c>
      <c r="M479">
        <v>0</v>
      </c>
      <c r="N479">
        <v>0</v>
      </c>
      <c r="O479">
        <v>0</v>
      </c>
      <c r="P479" s="117">
        <v>1205709.19</v>
      </c>
      <c r="Q479" s="117" t="s">
        <v>1021</v>
      </c>
      <c r="R479" s="150">
        <v>0</v>
      </c>
      <c r="S479" s="117" t="b">
        <f>OR(COUNTIF(Tabla2[[#This Row],[PROVEEDOR]],"*"&amp;'Palabra no opera'!$A$2&amp;"*"))</f>
        <v>0</v>
      </c>
      <c r="T479" s="150">
        <f>+$W$5-Tabla2[[#This Row],[FECHA DE FACTURACIÓN]]</f>
        <v>171</v>
      </c>
      <c r="U479" t="str">
        <f>+IF(Tabla2[[#This Row],[dias de credito]]&gt;=Tabla2[[#This Row],[PLAZO Días]],"venc", "No venc")</f>
        <v>venc</v>
      </c>
      <c r="V479" t="str">
        <f>+IF(Tabla2[[#This Row],[FECHA DE PAGO]]&gt;0,"pagada","por pagar")</f>
        <v>pagada</v>
      </c>
      <c r="W479" s="152" t="str">
        <f>+IF(AND(Tabla2[[#This Row],[venc]]="venc",Tabla2[[#This Row],[Columna1]]="por pagar"),"vencida","no")</f>
        <v>no</v>
      </c>
    </row>
    <row r="480" spans="1:23" x14ac:dyDescent="0.3">
      <c r="A480">
        <v>30</v>
      </c>
      <c r="B480">
        <v>0</v>
      </c>
      <c r="D480" t="s">
        <v>433</v>
      </c>
      <c r="E480" s="156">
        <v>44693</v>
      </c>
      <c r="F480" t="s">
        <v>925</v>
      </c>
      <c r="G480" s="156">
        <v>44652</v>
      </c>
      <c r="H480">
        <v>2784</v>
      </c>
      <c r="I480">
        <v>3002200</v>
      </c>
      <c r="K480">
        <v>0</v>
      </c>
      <c r="M480">
        <v>0</v>
      </c>
      <c r="N480">
        <v>3.5000000000000003E-2</v>
      </c>
      <c r="O480">
        <v>105077.00000000001</v>
      </c>
      <c r="P480" s="117">
        <v>2897123</v>
      </c>
      <c r="Q480" s="117" t="s">
        <v>1021</v>
      </c>
      <c r="R480" s="150">
        <v>0</v>
      </c>
      <c r="S480" s="117" t="b">
        <f>OR(COUNTIF(Tabla2[[#This Row],[PROVEEDOR]],"*"&amp;'Palabra no opera'!$A$2&amp;"*"))</f>
        <v>1</v>
      </c>
      <c r="T480" s="150">
        <f>+$W$5-Tabla2[[#This Row],[FECHA DE FACTURACIÓN]]</f>
        <v>182</v>
      </c>
      <c r="U480" t="str">
        <f>+IF(Tabla2[[#This Row],[dias de credito]]&gt;=Tabla2[[#This Row],[PLAZO Días]],"venc", "No venc")</f>
        <v>venc</v>
      </c>
      <c r="V480" t="str">
        <f>+IF(Tabla2[[#This Row],[FECHA DE PAGO]]&gt;0,"pagada","por pagar")</f>
        <v>pagada</v>
      </c>
      <c r="W480" s="152" t="str">
        <f>+IF(AND(Tabla2[[#This Row],[venc]]="venc",Tabla2[[#This Row],[Columna1]]="por pagar"),"vencida","no")</f>
        <v>no</v>
      </c>
    </row>
    <row r="481" spans="1:23" x14ac:dyDescent="0.3">
      <c r="A481">
        <v>30</v>
      </c>
      <c r="B481">
        <v>0</v>
      </c>
      <c r="D481" t="s">
        <v>676</v>
      </c>
      <c r="E481" s="156">
        <v>44691</v>
      </c>
      <c r="F481" t="s">
        <v>940</v>
      </c>
      <c r="G481" s="156">
        <v>44682</v>
      </c>
      <c r="H481">
        <v>67313</v>
      </c>
      <c r="I481">
        <v>284467</v>
      </c>
      <c r="K481">
        <v>0</v>
      </c>
      <c r="M481">
        <v>0</v>
      </c>
      <c r="N481">
        <v>0</v>
      </c>
      <c r="O481">
        <v>0</v>
      </c>
      <c r="P481" s="117">
        <v>284467</v>
      </c>
      <c r="Q481" s="117" t="s">
        <v>1021</v>
      </c>
      <c r="R481" s="150">
        <v>0</v>
      </c>
      <c r="S481" s="117" t="b">
        <f>OR(COUNTIF(Tabla2[[#This Row],[PROVEEDOR]],"*"&amp;'Palabra no opera'!$A$2&amp;"*"))</f>
        <v>1</v>
      </c>
      <c r="T481" s="150">
        <f>+$W$5-Tabla2[[#This Row],[FECHA DE FACTURACIÓN]]</f>
        <v>152</v>
      </c>
      <c r="U481" t="str">
        <f>+IF(Tabla2[[#This Row],[dias de credito]]&gt;=Tabla2[[#This Row],[PLAZO Días]],"venc", "No venc")</f>
        <v>venc</v>
      </c>
      <c r="V481" t="str">
        <f>+IF(Tabla2[[#This Row],[FECHA DE PAGO]]&gt;0,"pagada","por pagar")</f>
        <v>pagada</v>
      </c>
      <c r="W481" s="152" t="str">
        <f>+IF(AND(Tabla2[[#This Row],[venc]]="venc",Tabla2[[#This Row],[Columna1]]="por pagar"),"vencida","no")</f>
        <v>no</v>
      </c>
    </row>
    <row r="482" spans="1:23" x14ac:dyDescent="0.3">
      <c r="A482">
        <v>30</v>
      </c>
      <c r="B482">
        <v>0</v>
      </c>
      <c r="D482" t="s">
        <v>1036</v>
      </c>
      <c r="E482" s="156">
        <v>44691</v>
      </c>
      <c r="F482" t="s">
        <v>927</v>
      </c>
      <c r="G482" s="156">
        <v>44682</v>
      </c>
      <c r="H482" t="s">
        <v>313</v>
      </c>
      <c r="I482">
        <v>68166</v>
      </c>
      <c r="K482">
        <v>0</v>
      </c>
      <c r="M482">
        <v>0</v>
      </c>
      <c r="N482">
        <v>0</v>
      </c>
      <c r="O482">
        <v>0</v>
      </c>
      <c r="P482" s="117">
        <v>68166</v>
      </c>
      <c r="Q482" s="117" t="s">
        <v>1021</v>
      </c>
      <c r="R482" s="150">
        <v>0</v>
      </c>
      <c r="S482" s="117" t="b">
        <f>OR(COUNTIF(Tabla2[[#This Row],[PROVEEDOR]],"*"&amp;'Palabra no opera'!$A$2&amp;"*"))</f>
        <v>1</v>
      </c>
      <c r="T482" s="150">
        <f>+$W$5-Tabla2[[#This Row],[FECHA DE FACTURACIÓN]]</f>
        <v>152</v>
      </c>
      <c r="U482" t="str">
        <f>+IF(Tabla2[[#This Row],[dias de credito]]&gt;=Tabla2[[#This Row],[PLAZO Días]],"venc", "No venc")</f>
        <v>venc</v>
      </c>
      <c r="V482" t="str">
        <f>+IF(Tabla2[[#This Row],[FECHA DE PAGO]]&gt;0,"pagada","por pagar")</f>
        <v>pagada</v>
      </c>
      <c r="W482" s="152" t="str">
        <f>+IF(AND(Tabla2[[#This Row],[venc]]="venc",Tabla2[[#This Row],[Columna1]]="por pagar"),"vencida","no")</f>
        <v>no</v>
      </c>
    </row>
    <row r="483" spans="1:23" x14ac:dyDescent="0.3">
      <c r="A483">
        <v>30</v>
      </c>
      <c r="B483">
        <v>0</v>
      </c>
      <c r="D483" t="s">
        <v>1036</v>
      </c>
      <c r="E483" s="156">
        <v>44691</v>
      </c>
      <c r="F483" t="s">
        <v>927</v>
      </c>
      <c r="G483" s="156">
        <v>44682</v>
      </c>
      <c r="H483" t="s">
        <v>312</v>
      </c>
      <c r="I483">
        <v>59583</v>
      </c>
      <c r="K483">
        <v>0</v>
      </c>
      <c r="M483">
        <v>0</v>
      </c>
      <c r="N483">
        <v>0</v>
      </c>
      <c r="O483">
        <v>0</v>
      </c>
      <c r="P483" s="117">
        <v>59583</v>
      </c>
      <c r="Q483" s="117" t="s">
        <v>1021</v>
      </c>
      <c r="R483" s="150">
        <v>0</v>
      </c>
      <c r="S483" s="117" t="b">
        <f>OR(COUNTIF(Tabla2[[#This Row],[PROVEEDOR]],"*"&amp;'Palabra no opera'!$A$2&amp;"*"))</f>
        <v>1</v>
      </c>
      <c r="T483" s="150">
        <f>+$W$5-Tabla2[[#This Row],[FECHA DE FACTURACIÓN]]</f>
        <v>152</v>
      </c>
      <c r="U483" t="str">
        <f>+IF(Tabla2[[#This Row],[dias de credito]]&gt;=Tabla2[[#This Row],[PLAZO Días]],"venc", "No venc")</f>
        <v>venc</v>
      </c>
      <c r="V483" t="str">
        <f>+IF(Tabla2[[#This Row],[FECHA DE PAGO]]&gt;0,"pagada","por pagar")</f>
        <v>pagada</v>
      </c>
      <c r="W483" s="152" t="str">
        <f>+IF(AND(Tabla2[[#This Row],[venc]]="venc",Tabla2[[#This Row],[Columna1]]="por pagar"),"vencida","no")</f>
        <v>no</v>
      </c>
    </row>
    <row r="484" spans="1:23" x14ac:dyDescent="0.3">
      <c r="A484">
        <v>30</v>
      </c>
      <c r="B484">
        <v>0</v>
      </c>
      <c r="D484" t="s">
        <v>1036</v>
      </c>
      <c r="E484" s="156">
        <v>44691</v>
      </c>
      <c r="F484" t="s">
        <v>927</v>
      </c>
      <c r="G484" s="156">
        <v>44682</v>
      </c>
      <c r="H484" t="s">
        <v>313</v>
      </c>
      <c r="I484">
        <v>818874</v>
      </c>
      <c r="K484">
        <v>0</v>
      </c>
      <c r="M484">
        <v>0</v>
      </c>
      <c r="N484">
        <v>0</v>
      </c>
      <c r="O484">
        <v>0</v>
      </c>
      <c r="P484" s="117">
        <v>818874</v>
      </c>
      <c r="Q484" s="117" t="s">
        <v>1021</v>
      </c>
      <c r="R484" s="150">
        <v>0</v>
      </c>
      <c r="S484" s="117" t="b">
        <f>OR(COUNTIF(Tabla2[[#This Row],[PROVEEDOR]],"*"&amp;'Palabra no opera'!$A$2&amp;"*"))</f>
        <v>1</v>
      </c>
      <c r="T484" s="150">
        <f>+$W$5-Tabla2[[#This Row],[FECHA DE FACTURACIÓN]]</f>
        <v>152</v>
      </c>
      <c r="U484" t="str">
        <f>+IF(Tabla2[[#This Row],[dias de credito]]&gt;=Tabla2[[#This Row],[PLAZO Días]],"venc", "No venc")</f>
        <v>venc</v>
      </c>
      <c r="V484" t="str">
        <f>+IF(Tabla2[[#This Row],[FECHA DE PAGO]]&gt;0,"pagada","por pagar")</f>
        <v>pagada</v>
      </c>
      <c r="W484" s="152" t="str">
        <f>+IF(AND(Tabla2[[#This Row],[venc]]="venc",Tabla2[[#This Row],[Columna1]]="por pagar"),"vencida","no")</f>
        <v>no</v>
      </c>
    </row>
    <row r="485" spans="1:23" x14ac:dyDescent="0.3">
      <c r="A485">
        <v>30</v>
      </c>
      <c r="B485">
        <v>0</v>
      </c>
      <c r="D485" t="s">
        <v>1036</v>
      </c>
      <c r="E485" s="156">
        <v>44691</v>
      </c>
      <c r="F485" t="s">
        <v>927</v>
      </c>
      <c r="G485" s="156">
        <v>44682</v>
      </c>
      <c r="H485" t="s">
        <v>312</v>
      </c>
      <c r="I485">
        <v>825349</v>
      </c>
      <c r="K485">
        <v>0</v>
      </c>
      <c r="M485">
        <v>0</v>
      </c>
      <c r="N485">
        <v>0</v>
      </c>
      <c r="O485">
        <v>0</v>
      </c>
      <c r="P485" s="117">
        <v>825349</v>
      </c>
      <c r="Q485" s="117" t="s">
        <v>1021</v>
      </c>
      <c r="R485" s="150">
        <v>0</v>
      </c>
      <c r="S485" s="117" t="b">
        <f>OR(COUNTIF(Tabla2[[#This Row],[PROVEEDOR]],"*"&amp;'Palabra no opera'!$A$2&amp;"*"))</f>
        <v>1</v>
      </c>
      <c r="T485" s="150">
        <f>+$W$5-Tabla2[[#This Row],[FECHA DE FACTURACIÓN]]</f>
        <v>152</v>
      </c>
      <c r="U485" t="str">
        <f>+IF(Tabla2[[#This Row],[dias de credito]]&gt;=Tabla2[[#This Row],[PLAZO Días]],"venc", "No venc")</f>
        <v>venc</v>
      </c>
      <c r="V485" t="str">
        <f>+IF(Tabla2[[#This Row],[FECHA DE PAGO]]&gt;0,"pagada","por pagar")</f>
        <v>pagada</v>
      </c>
      <c r="W485" s="152" t="str">
        <f>+IF(AND(Tabla2[[#This Row],[venc]]="venc",Tabla2[[#This Row],[Columna1]]="por pagar"),"vencida","no")</f>
        <v>no</v>
      </c>
    </row>
    <row r="486" spans="1:23" x14ac:dyDescent="0.3">
      <c r="A486">
        <v>12</v>
      </c>
      <c r="B486">
        <v>0</v>
      </c>
      <c r="D486">
        <v>0</v>
      </c>
      <c r="E486" s="156">
        <v>44691</v>
      </c>
      <c r="F486" t="s">
        <v>931</v>
      </c>
      <c r="G486" s="156">
        <v>44682</v>
      </c>
      <c r="H486" t="s">
        <v>1382</v>
      </c>
      <c r="I486">
        <v>6445820</v>
      </c>
      <c r="K486">
        <v>1224705.8</v>
      </c>
      <c r="M486">
        <v>0</v>
      </c>
      <c r="N486">
        <v>3.5000000000000003E-2</v>
      </c>
      <c r="O486">
        <v>225603.7</v>
      </c>
      <c r="P486" s="117">
        <v>7444922.0999999996</v>
      </c>
      <c r="Q486" s="117" t="s">
        <v>1021</v>
      </c>
      <c r="R486" s="150">
        <v>0</v>
      </c>
      <c r="S486" s="117" t="b">
        <f>OR(COUNTIF(Tabla2[[#This Row],[PROVEEDOR]],"*"&amp;'Palabra no opera'!$A$2&amp;"*"))</f>
        <v>1</v>
      </c>
      <c r="T486" s="150">
        <f>+$W$5-Tabla2[[#This Row],[FECHA DE FACTURACIÓN]]</f>
        <v>152</v>
      </c>
      <c r="U486" t="str">
        <f>+IF(Tabla2[[#This Row],[dias de credito]]&gt;=Tabla2[[#This Row],[PLAZO Días]],"venc", "No venc")</f>
        <v>venc</v>
      </c>
      <c r="V486" t="str">
        <f>+IF(Tabla2[[#This Row],[FECHA DE PAGO]]&gt;0,"pagada","por pagar")</f>
        <v>pagada</v>
      </c>
      <c r="W486" s="152" t="str">
        <f>+IF(AND(Tabla2[[#This Row],[venc]]="venc",Tabla2[[#This Row],[Columna1]]="por pagar"),"vencida","no")</f>
        <v>no</v>
      </c>
    </row>
    <row r="487" spans="1:23" x14ac:dyDescent="0.3">
      <c r="A487">
        <v>30</v>
      </c>
      <c r="B487">
        <v>0</v>
      </c>
      <c r="D487">
        <v>0</v>
      </c>
      <c r="E487" s="156">
        <v>44691</v>
      </c>
      <c r="F487" t="s">
        <v>932</v>
      </c>
      <c r="G487" s="156">
        <v>44682</v>
      </c>
      <c r="H487" t="s">
        <v>307</v>
      </c>
      <c r="I487">
        <v>414178</v>
      </c>
      <c r="K487">
        <v>0</v>
      </c>
      <c r="M487">
        <v>0</v>
      </c>
      <c r="N487">
        <v>0</v>
      </c>
      <c r="O487">
        <v>0</v>
      </c>
      <c r="P487" s="117">
        <v>414178</v>
      </c>
      <c r="Q487" s="117" t="s">
        <v>1021</v>
      </c>
      <c r="R487" s="150">
        <v>0</v>
      </c>
      <c r="S487" s="117" t="b">
        <f>OR(COUNTIF(Tabla2[[#This Row],[PROVEEDOR]],"*"&amp;'Palabra no opera'!$A$2&amp;"*"))</f>
        <v>1</v>
      </c>
      <c r="T487" s="150">
        <f>+$W$5-Tabla2[[#This Row],[FECHA DE FACTURACIÓN]]</f>
        <v>152</v>
      </c>
      <c r="U487" t="str">
        <f>+IF(Tabla2[[#This Row],[dias de credito]]&gt;=Tabla2[[#This Row],[PLAZO Días]],"venc", "No venc")</f>
        <v>venc</v>
      </c>
      <c r="V487" t="str">
        <f>+IF(Tabla2[[#This Row],[FECHA DE PAGO]]&gt;0,"pagada","por pagar")</f>
        <v>pagada</v>
      </c>
      <c r="W487" s="152" t="str">
        <f>+IF(AND(Tabla2[[#This Row],[venc]]="venc",Tabla2[[#This Row],[Columna1]]="por pagar"),"vencida","no")</f>
        <v>no</v>
      </c>
    </row>
    <row r="488" spans="1:23" x14ac:dyDescent="0.3">
      <c r="A488">
        <v>13</v>
      </c>
      <c r="B488">
        <v>0</v>
      </c>
      <c r="D488">
        <v>0</v>
      </c>
      <c r="E488" s="156">
        <v>44691</v>
      </c>
      <c r="F488" t="s">
        <v>934</v>
      </c>
      <c r="G488" s="156">
        <v>44682</v>
      </c>
      <c r="I488">
        <v>948924</v>
      </c>
      <c r="K488">
        <v>0</v>
      </c>
      <c r="M488">
        <v>0</v>
      </c>
      <c r="N488">
        <v>0</v>
      </c>
      <c r="O488">
        <v>0</v>
      </c>
      <c r="P488" s="117">
        <v>948924</v>
      </c>
      <c r="Q488" s="117" t="s">
        <v>1021</v>
      </c>
      <c r="R488" s="150">
        <v>0</v>
      </c>
      <c r="S488" s="117" t="b">
        <f>OR(COUNTIF(Tabla2[[#This Row],[PROVEEDOR]],"*"&amp;'Palabra no opera'!$A$2&amp;"*"))</f>
        <v>1</v>
      </c>
      <c r="T488" s="150">
        <f>+$W$5-Tabla2[[#This Row],[FECHA DE FACTURACIÓN]]</f>
        <v>152</v>
      </c>
      <c r="U488" t="str">
        <f>+IF(Tabla2[[#This Row],[dias de credito]]&gt;=Tabla2[[#This Row],[PLAZO Días]],"venc", "No venc")</f>
        <v>venc</v>
      </c>
      <c r="V488" t="str">
        <f>+IF(Tabla2[[#This Row],[FECHA DE PAGO]]&gt;0,"pagada","por pagar")</f>
        <v>pagada</v>
      </c>
      <c r="W488" s="152" t="str">
        <f>+IF(AND(Tabla2[[#This Row],[venc]]="venc",Tabla2[[#This Row],[Columna1]]="por pagar"),"vencida","no")</f>
        <v>no</v>
      </c>
    </row>
    <row r="489" spans="1:23" x14ac:dyDescent="0.3">
      <c r="A489">
        <v>30</v>
      </c>
      <c r="B489">
        <v>4656887.12</v>
      </c>
      <c r="D489" t="s">
        <v>170</v>
      </c>
      <c r="E489" s="156">
        <v>44691</v>
      </c>
      <c r="F489" t="s">
        <v>20</v>
      </c>
      <c r="G489" s="156">
        <v>44658</v>
      </c>
      <c r="H489">
        <v>6737</v>
      </c>
      <c r="I489">
        <v>1065430</v>
      </c>
      <c r="K489">
        <v>202431.7</v>
      </c>
      <c r="M489">
        <v>0</v>
      </c>
      <c r="N489">
        <v>2.5000000000000001E-2</v>
      </c>
      <c r="O489">
        <v>26635.75</v>
      </c>
      <c r="P489" s="117">
        <v>1241225.95</v>
      </c>
      <c r="Q489" s="117" t="s">
        <v>1021</v>
      </c>
      <c r="R489" s="150">
        <v>0</v>
      </c>
      <c r="S489" s="117" t="b">
        <f>OR(COUNTIF(Tabla2[[#This Row],[PROVEEDOR]],"*"&amp;'Palabra no opera'!$A$2&amp;"*"))</f>
        <v>0</v>
      </c>
      <c r="T489" s="150">
        <f>+$W$5-Tabla2[[#This Row],[FECHA DE FACTURACIÓN]]</f>
        <v>176</v>
      </c>
      <c r="U489" t="str">
        <f>+IF(Tabla2[[#This Row],[dias de credito]]&gt;=Tabla2[[#This Row],[PLAZO Días]],"venc", "No venc")</f>
        <v>venc</v>
      </c>
      <c r="V489" t="str">
        <f>+IF(Tabla2[[#This Row],[FECHA DE PAGO]]&gt;0,"pagada","por pagar")</f>
        <v>pagada</v>
      </c>
      <c r="W489" s="152" t="str">
        <f>+IF(AND(Tabla2[[#This Row],[venc]]="venc",Tabla2[[#This Row],[Columna1]]="por pagar"),"vencida","no")</f>
        <v>no</v>
      </c>
    </row>
    <row r="490" spans="1:23" x14ac:dyDescent="0.3">
      <c r="A490">
        <v>30</v>
      </c>
      <c r="B490">
        <v>0</v>
      </c>
      <c r="D490">
        <v>0</v>
      </c>
      <c r="E490" s="156">
        <v>44691</v>
      </c>
      <c r="F490" t="s">
        <v>923</v>
      </c>
      <c r="G490" s="156">
        <v>44655</v>
      </c>
      <c r="H490" t="s">
        <v>1204</v>
      </c>
      <c r="I490">
        <v>264114</v>
      </c>
      <c r="K490">
        <v>0</v>
      </c>
      <c r="M490">
        <v>0</v>
      </c>
      <c r="N490">
        <v>0</v>
      </c>
      <c r="O490">
        <v>0</v>
      </c>
      <c r="P490" s="117">
        <v>264114</v>
      </c>
      <c r="Q490" s="117" t="s">
        <v>1021</v>
      </c>
      <c r="R490" s="150">
        <v>0</v>
      </c>
      <c r="S490" s="117" t="b">
        <f>OR(COUNTIF(Tabla2[[#This Row],[PROVEEDOR]],"*"&amp;'Palabra no opera'!$A$2&amp;"*"))</f>
        <v>1</v>
      </c>
      <c r="T490" s="150">
        <f>+$W$5-Tabla2[[#This Row],[FECHA DE FACTURACIÓN]]</f>
        <v>179</v>
      </c>
      <c r="U490" t="str">
        <f>+IF(Tabla2[[#This Row],[dias de credito]]&gt;=Tabla2[[#This Row],[PLAZO Días]],"venc", "No venc")</f>
        <v>venc</v>
      </c>
      <c r="V490" t="str">
        <f>+IF(Tabla2[[#This Row],[FECHA DE PAGO]]&gt;0,"pagada","por pagar")</f>
        <v>pagada</v>
      </c>
      <c r="W490" s="152" t="str">
        <f>+IF(AND(Tabla2[[#This Row],[venc]]="venc",Tabla2[[#This Row],[Columna1]]="por pagar"),"vencida","no")</f>
        <v>no</v>
      </c>
    </row>
    <row r="491" spans="1:23" x14ac:dyDescent="0.3">
      <c r="A491">
        <v>30</v>
      </c>
      <c r="B491">
        <v>0</v>
      </c>
      <c r="D491">
        <v>0</v>
      </c>
      <c r="E491" s="156">
        <v>44691</v>
      </c>
      <c r="F491" t="s">
        <v>923</v>
      </c>
      <c r="G491" s="156">
        <v>44655</v>
      </c>
      <c r="H491" t="s">
        <v>1205</v>
      </c>
      <c r="I491">
        <v>1592378</v>
      </c>
      <c r="K491">
        <v>0</v>
      </c>
      <c r="M491">
        <v>0</v>
      </c>
      <c r="N491">
        <v>0</v>
      </c>
      <c r="O491">
        <v>0</v>
      </c>
      <c r="P491" s="117">
        <v>1592378</v>
      </c>
      <c r="Q491" s="117" t="s">
        <v>1021</v>
      </c>
      <c r="R491" s="150">
        <v>0</v>
      </c>
      <c r="S491" s="117" t="b">
        <f>OR(COUNTIF(Tabla2[[#This Row],[PROVEEDOR]],"*"&amp;'Palabra no opera'!$A$2&amp;"*"))</f>
        <v>1</v>
      </c>
      <c r="T491" s="150">
        <f>+$W$5-Tabla2[[#This Row],[FECHA DE FACTURACIÓN]]</f>
        <v>179</v>
      </c>
      <c r="U491" t="str">
        <f>+IF(Tabla2[[#This Row],[dias de credito]]&gt;=Tabla2[[#This Row],[PLAZO Días]],"venc", "No venc")</f>
        <v>venc</v>
      </c>
      <c r="V491" t="str">
        <f>+IF(Tabla2[[#This Row],[FECHA DE PAGO]]&gt;0,"pagada","por pagar")</f>
        <v>pagada</v>
      </c>
      <c r="W491" s="152" t="str">
        <f>+IF(AND(Tabla2[[#This Row],[venc]]="venc",Tabla2[[#This Row],[Columna1]]="por pagar"),"vencida","no")</f>
        <v>no</v>
      </c>
    </row>
    <row r="492" spans="1:23" x14ac:dyDescent="0.3">
      <c r="A492">
        <v>30</v>
      </c>
      <c r="B492">
        <v>0</v>
      </c>
      <c r="D492" t="s">
        <v>270</v>
      </c>
      <c r="E492" s="156">
        <v>44690</v>
      </c>
      <c r="F492" t="s">
        <v>39</v>
      </c>
      <c r="G492" s="156">
        <v>44658</v>
      </c>
      <c r="H492">
        <v>1218</v>
      </c>
      <c r="I492">
        <v>380410</v>
      </c>
      <c r="K492">
        <v>72277.899999999994</v>
      </c>
      <c r="M492">
        <v>0</v>
      </c>
      <c r="N492">
        <v>0</v>
      </c>
      <c r="O492">
        <v>0</v>
      </c>
      <c r="P492" s="117">
        <v>452687.9</v>
      </c>
      <c r="Q492" s="117" t="s">
        <v>1021</v>
      </c>
      <c r="R492" s="150">
        <v>0</v>
      </c>
      <c r="S492" s="117" t="b">
        <f>OR(COUNTIF(Tabla2[[#This Row],[PROVEEDOR]],"*"&amp;'Palabra no opera'!$A$2&amp;"*"))</f>
        <v>0</v>
      </c>
      <c r="T492" s="150">
        <f>+$W$5-Tabla2[[#This Row],[FECHA DE FACTURACIÓN]]</f>
        <v>176</v>
      </c>
      <c r="U492" t="str">
        <f>+IF(Tabla2[[#This Row],[dias de credito]]&gt;=Tabla2[[#This Row],[PLAZO Días]],"venc", "No venc")</f>
        <v>venc</v>
      </c>
      <c r="V492" t="str">
        <f>+IF(Tabla2[[#This Row],[FECHA DE PAGO]]&gt;0,"pagada","por pagar")</f>
        <v>pagada</v>
      </c>
      <c r="W492" s="152" t="str">
        <f>+IF(AND(Tabla2[[#This Row],[venc]]="venc",Tabla2[[#This Row],[Columna1]]="por pagar"),"vencida","no")</f>
        <v>no</v>
      </c>
    </row>
    <row r="493" spans="1:23" x14ac:dyDescent="0.3">
      <c r="A493">
        <v>30</v>
      </c>
      <c r="B493">
        <v>0</v>
      </c>
      <c r="D493" t="s">
        <v>505</v>
      </c>
      <c r="E493" s="156">
        <v>44690</v>
      </c>
      <c r="F493" t="s">
        <v>408</v>
      </c>
      <c r="G493" s="156">
        <v>44650</v>
      </c>
      <c r="H493" t="s">
        <v>707</v>
      </c>
      <c r="I493">
        <v>2285686.25</v>
      </c>
      <c r="K493">
        <v>434280.38750000001</v>
      </c>
      <c r="M493">
        <v>0</v>
      </c>
      <c r="N493">
        <v>0</v>
      </c>
      <c r="O493">
        <v>0</v>
      </c>
      <c r="P493" s="117">
        <v>2719966.6375000002</v>
      </c>
      <c r="Q493" s="117" t="s">
        <v>1021</v>
      </c>
      <c r="R493" s="150">
        <v>0</v>
      </c>
      <c r="S493" s="117" t="b">
        <f>OR(COUNTIF(Tabla2[[#This Row],[PROVEEDOR]],"*"&amp;'Palabra no opera'!$A$2&amp;"*"))</f>
        <v>0</v>
      </c>
      <c r="T493" s="150">
        <f>+$W$5-Tabla2[[#This Row],[FECHA DE FACTURACIÓN]]</f>
        <v>184</v>
      </c>
      <c r="U493" t="str">
        <f>+IF(Tabla2[[#This Row],[dias de credito]]&gt;=Tabla2[[#This Row],[PLAZO Días]],"venc", "No venc")</f>
        <v>venc</v>
      </c>
      <c r="V493" t="str">
        <f>+IF(Tabla2[[#This Row],[FECHA DE PAGO]]&gt;0,"pagada","por pagar")</f>
        <v>pagada</v>
      </c>
      <c r="W493" s="152" t="str">
        <f>+IF(AND(Tabla2[[#This Row],[venc]]="venc",Tabla2[[#This Row],[Columna1]]="por pagar"),"vencida","no")</f>
        <v>no</v>
      </c>
    </row>
    <row r="494" spans="1:23" x14ac:dyDescent="0.3">
      <c r="A494">
        <v>30</v>
      </c>
      <c r="B494">
        <v>27452.91</v>
      </c>
      <c r="D494" t="s">
        <v>949</v>
      </c>
      <c r="E494" s="156">
        <v>44690</v>
      </c>
      <c r="F494" t="s">
        <v>118</v>
      </c>
      <c r="G494" s="156">
        <v>44645</v>
      </c>
      <c r="H494" t="s">
        <v>944</v>
      </c>
      <c r="I494">
        <v>51495</v>
      </c>
      <c r="K494">
        <v>0</v>
      </c>
      <c r="M494">
        <v>0</v>
      </c>
      <c r="N494">
        <v>0</v>
      </c>
      <c r="O494">
        <v>0</v>
      </c>
      <c r="P494" s="117">
        <v>51495</v>
      </c>
      <c r="Q494" s="117" t="s">
        <v>1021</v>
      </c>
      <c r="R494" s="150">
        <v>0</v>
      </c>
      <c r="S494" s="117" t="b">
        <f>OR(COUNTIF(Tabla2[[#This Row],[PROVEEDOR]],"*"&amp;'Palabra no opera'!$A$2&amp;"*"))</f>
        <v>0</v>
      </c>
      <c r="T494" s="150">
        <f>+$W$5-Tabla2[[#This Row],[FECHA DE FACTURACIÓN]]</f>
        <v>189</v>
      </c>
      <c r="U494" t="str">
        <f>+IF(Tabla2[[#This Row],[dias de credito]]&gt;=Tabla2[[#This Row],[PLAZO Días]],"venc", "No venc")</f>
        <v>venc</v>
      </c>
      <c r="V494" t="str">
        <f>+IF(Tabla2[[#This Row],[FECHA DE PAGO]]&gt;0,"pagada","por pagar")</f>
        <v>pagada</v>
      </c>
      <c r="W494" s="152" t="str">
        <f>+IF(AND(Tabla2[[#This Row],[venc]]="venc",Tabla2[[#This Row],[Columna1]]="por pagar"),"vencida","no")</f>
        <v>no</v>
      </c>
    </row>
    <row r="495" spans="1:23" x14ac:dyDescent="0.3">
      <c r="A495">
        <v>45</v>
      </c>
      <c r="B495">
        <v>30078253.170000002</v>
      </c>
      <c r="D495" t="s">
        <v>884</v>
      </c>
      <c r="E495" s="156">
        <v>44690</v>
      </c>
      <c r="F495" t="s">
        <v>19</v>
      </c>
      <c r="G495" s="156">
        <v>44638</v>
      </c>
      <c r="H495" t="s">
        <v>732</v>
      </c>
      <c r="I495">
        <v>10665600</v>
      </c>
      <c r="K495">
        <v>2026464</v>
      </c>
      <c r="M495">
        <v>0</v>
      </c>
      <c r="N495">
        <v>0</v>
      </c>
      <c r="O495">
        <v>0</v>
      </c>
      <c r="P495" s="117">
        <v>12692064</v>
      </c>
      <c r="Q495" s="117" t="s">
        <v>1021</v>
      </c>
      <c r="R495" s="150">
        <v>0</v>
      </c>
      <c r="S495" s="117" t="b">
        <f>OR(COUNTIF(Tabla2[[#This Row],[PROVEEDOR]],"*"&amp;'Palabra no opera'!$A$2&amp;"*"))</f>
        <v>0</v>
      </c>
      <c r="T495" s="150">
        <f>+$W$5-Tabla2[[#This Row],[FECHA DE FACTURACIÓN]]</f>
        <v>196</v>
      </c>
      <c r="U495" t="str">
        <f>+IF(Tabla2[[#This Row],[dias de credito]]&gt;=Tabla2[[#This Row],[PLAZO Días]],"venc", "No venc")</f>
        <v>venc</v>
      </c>
      <c r="V495" t="str">
        <f>+IF(Tabla2[[#This Row],[FECHA DE PAGO]]&gt;0,"pagada","por pagar")</f>
        <v>pagada</v>
      </c>
      <c r="W495" s="152" t="str">
        <f>+IF(AND(Tabla2[[#This Row],[venc]]="venc",Tabla2[[#This Row],[Columna1]]="por pagar"),"vencida","no")</f>
        <v>no</v>
      </c>
    </row>
    <row r="496" spans="1:23" x14ac:dyDescent="0.3">
      <c r="A496">
        <v>45</v>
      </c>
      <c r="B496">
        <v>30078253.170000002</v>
      </c>
      <c r="D496" t="s">
        <v>884</v>
      </c>
      <c r="E496" s="156">
        <v>44690</v>
      </c>
      <c r="F496" t="s">
        <v>19</v>
      </c>
      <c r="G496" s="156">
        <v>44638</v>
      </c>
      <c r="H496" t="s">
        <v>733</v>
      </c>
      <c r="I496">
        <v>2756160</v>
      </c>
      <c r="K496">
        <v>523670.4</v>
      </c>
      <c r="M496">
        <v>0</v>
      </c>
      <c r="N496">
        <v>0</v>
      </c>
      <c r="O496">
        <v>0</v>
      </c>
      <c r="P496" s="117">
        <v>3279830.4</v>
      </c>
      <c r="Q496" s="117" t="s">
        <v>1021</v>
      </c>
      <c r="R496" s="150">
        <v>0</v>
      </c>
      <c r="S496" s="117" t="b">
        <f>OR(COUNTIF(Tabla2[[#This Row],[PROVEEDOR]],"*"&amp;'Palabra no opera'!$A$2&amp;"*"))</f>
        <v>0</v>
      </c>
      <c r="T496" s="150">
        <f>+$W$5-Tabla2[[#This Row],[FECHA DE FACTURACIÓN]]</f>
        <v>196</v>
      </c>
      <c r="U496" t="str">
        <f>+IF(Tabla2[[#This Row],[dias de credito]]&gt;=Tabla2[[#This Row],[PLAZO Días]],"venc", "No venc")</f>
        <v>venc</v>
      </c>
      <c r="V496" t="str">
        <f>+IF(Tabla2[[#This Row],[FECHA DE PAGO]]&gt;0,"pagada","por pagar")</f>
        <v>pagada</v>
      </c>
      <c r="W496" s="152" t="str">
        <f>+IF(AND(Tabla2[[#This Row],[venc]]="venc",Tabla2[[#This Row],[Columna1]]="por pagar"),"vencida","no")</f>
        <v>no</v>
      </c>
    </row>
    <row r="497" spans="1:23" x14ac:dyDescent="0.3">
      <c r="A497">
        <v>30</v>
      </c>
      <c r="B497">
        <v>9032827.5</v>
      </c>
      <c r="D497" t="s">
        <v>432</v>
      </c>
      <c r="E497" s="156">
        <v>44690</v>
      </c>
      <c r="F497" t="s">
        <v>33</v>
      </c>
      <c r="G497" s="156">
        <v>44627</v>
      </c>
      <c r="H497">
        <v>2342</v>
      </c>
      <c r="I497">
        <v>93000</v>
      </c>
      <c r="K497">
        <v>17670</v>
      </c>
      <c r="M497">
        <v>0</v>
      </c>
      <c r="N497">
        <v>0</v>
      </c>
      <c r="O497">
        <v>0</v>
      </c>
      <c r="P497" s="117">
        <v>110670</v>
      </c>
      <c r="Q497" s="117" t="s">
        <v>1021</v>
      </c>
      <c r="R497" s="150">
        <v>0</v>
      </c>
      <c r="S497" s="117" t="b">
        <f>OR(COUNTIF(Tabla2[[#This Row],[PROVEEDOR]],"*"&amp;'Palabra no opera'!$A$2&amp;"*"))</f>
        <v>0</v>
      </c>
      <c r="T497" s="150">
        <f>+$W$5-Tabla2[[#This Row],[FECHA DE FACTURACIÓN]]</f>
        <v>207</v>
      </c>
      <c r="U497" t="str">
        <f>+IF(Tabla2[[#This Row],[dias de credito]]&gt;=Tabla2[[#This Row],[PLAZO Días]],"venc", "No venc")</f>
        <v>venc</v>
      </c>
      <c r="V497" t="str">
        <f>+IF(Tabla2[[#This Row],[FECHA DE PAGO]]&gt;0,"pagada","por pagar")</f>
        <v>pagada</v>
      </c>
      <c r="W497" s="152" t="str">
        <f>+IF(AND(Tabla2[[#This Row],[venc]]="venc",Tabla2[[#This Row],[Columna1]]="por pagar"),"vencida","no")</f>
        <v>no</v>
      </c>
    </row>
    <row r="498" spans="1:23" x14ac:dyDescent="0.3">
      <c r="A498">
        <v>30</v>
      </c>
      <c r="B498">
        <v>9032827.5</v>
      </c>
      <c r="D498" t="s">
        <v>432</v>
      </c>
      <c r="E498" s="156">
        <v>44690</v>
      </c>
      <c r="F498" t="s">
        <v>33</v>
      </c>
      <c r="G498" s="156">
        <v>44623</v>
      </c>
      <c r="H498">
        <v>2314</v>
      </c>
      <c r="I498">
        <v>5856000</v>
      </c>
      <c r="K498">
        <v>1112640</v>
      </c>
      <c r="M498">
        <v>0</v>
      </c>
      <c r="N498">
        <v>2.5000000000000001E-2</v>
      </c>
      <c r="O498">
        <v>146400</v>
      </c>
      <c r="P498" s="117">
        <v>6822240</v>
      </c>
      <c r="Q498" s="117" t="s">
        <v>1021</v>
      </c>
      <c r="R498" s="150">
        <v>0</v>
      </c>
      <c r="S498" s="117" t="b">
        <f>OR(COUNTIF(Tabla2[[#This Row],[PROVEEDOR]],"*"&amp;'Palabra no opera'!$A$2&amp;"*"))</f>
        <v>0</v>
      </c>
      <c r="T498" s="150">
        <f>+$W$5-Tabla2[[#This Row],[FECHA DE FACTURACIÓN]]</f>
        <v>211</v>
      </c>
      <c r="U498" t="str">
        <f>+IF(Tabla2[[#This Row],[dias de credito]]&gt;=Tabla2[[#This Row],[PLAZO Días]],"venc", "No venc")</f>
        <v>venc</v>
      </c>
      <c r="V498" t="str">
        <f>+IF(Tabla2[[#This Row],[FECHA DE PAGO]]&gt;0,"pagada","por pagar")</f>
        <v>pagada</v>
      </c>
      <c r="W498" s="152" t="str">
        <f>+IF(AND(Tabla2[[#This Row],[venc]]="venc",Tabla2[[#This Row],[Columna1]]="por pagar"),"vencida","no")</f>
        <v>no</v>
      </c>
    </row>
    <row r="499" spans="1:23" x14ac:dyDescent="0.3">
      <c r="A499">
        <v>60</v>
      </c>
      <c r="B499">
        <v>8889300</v>
      </c>
      <c r="D499">
        <v>0</v>
      </c>
      <c r="E499" s="156">
        <v>44689</v>
      </c>
      <c r="F499" t="s">
        <v>1429</v>
      </c>
      <c r="G499" s="156">
        <v>44688</v>
      </c>
      <c r="H499" t="s">
        <v>961</v>
      </c>
      <c r="I499">
        <v>-4374000</v>
      </c>
      <c r="K499">
        <v>-831060</v>
      </c>
      <c r="M499">
        <v>0</v>
      </c>
      <c r="N499">
        <v>0</v>
      </c>
      <c r="O499">
        <v>0</v>
      </c>
      <c r="P499" s="117">
        <v>-5205060</v>
      </c>
      <c r="Q499" s="117" t="s">
        <v>1021</v>
      </c>
      <c r="R499" s="150">
        <v>0</v>
      </c>
      <c r="S499" s="117" t="b">
        <f>OR(COUNTIF(Tabla2[[#This Row],[PROVEEDOR]],"*"&amp;'Palabra no opera'!$A$2&amp;"*"))</f>
        <v>1</v>
      </c>
      <c r="T499" s="150">
        <f>+$W$5-Tabla2[[#This Row],[FECHA DE FACTURACIÓN]]</f>
        <v>146</v>
      </c>
      <c r="U499" t="str">
        <f>+IF(Tabla2[[#This Row],[dias de credito]]&gt;=Tabla2[[#This Row],[PLAZO Días]],"venc", "No venc")</f>
        <v>venc</v>
      </c>
      <c r="V499" t="str">
        <f>+IF(Tabla2[[#This Row],[FECHA DE PAGO]]&gt;0,"pagada","por pagar")</f>
        <v>pagada</v>
      </c>
      <c r="W499" s="152" t="str">
        <f>+IF(AND(Tabla2[[#This Row],[venc]]="venc",Tabla2[[#This Row],[Columna1]]="por pagar"),"vencida","no")</f>
        <v>no</v>
      </c>
    </row>
    <row r="500" spans="1:23" x14ac:dyDescent="0.3">
      <c r="A500">
        <v>60</v>
      </c>
      <c r="B500">
        <v>8889300</v>
      </c>
      <c r="D500">
        <v>0</v>
      </c>
      <c r="E500" s="156">
        <v>44688</v>
      </c>
      <c r="F500" t="s">
        <v>1429</v>
      </c>
      <c r="G500" s="156">
        <v>44680</v>
      </c>
      <c r="H500" t="s">
        <v>901</v>
      </c>
      <c r="I500">
        <v>4374000</v>
      </c>
      <c r="K500">
        <v>831060</v>
      </c>
      <c r="M500">
        <v>0</v>
      </c>
      <c r="N500">
        <v>0</v>
      </c>
      <c r="O500">
        <v>0</v>
      </c>
      <c r="P500" s="117">
        <v>5205060</v>
      </c>
      <c r="Q500" s="117" t="s">
        <v>1021</v>
      </c>
      <c r="R500" s="150">
        <v>0</v>
      </c>
      <c r="S500" s="117" t="b">
        <f>OR(COUNTIF(Tabla2[[#This Row],[PROVEEDOR]],"*"&amp;'Palabra no opera'!$A$2&amp;"*"))</f>
        <v>1</v>
      </c>
      <c r="T500" s="150">
        <f>+$W$5-Tabla2[[#This Row],[FECHA DE FACTURACIÓN]]</f>
        <v>154</v>
      </c>
      <c r="U500" t="str">
        <f>+IF(Tabla2[[#This Row],[dias de credito]]&gt;=Tabla2[[#This Row],[PLAZO Días]],"venc", "No venc")</f>
        <v>venc</v>
      </c>
      <c r="V500" t="str">
        <f>+IF(Tabla2[[#This Row],[FECHA DE PAGO]]&gt;0,"pagada","por pagar")</f>
        <v>pagada</v>
      </c>
      <c r="W500" s="152" t="str">
        <f>+IF(AND(Tabla2[[#This Row],[venc]]="venc",Tabla2[[#This Row],[Columna1]]="por pagar"),"vencida","no")</f>
        <v>no</v>
      </c>
    </row>
    <row r="501" spans="1:23" x14ac:dyDescent="0.3">
      <c r="A501">
        <v>30</v>
      </c>
      <c r="B501">
        <v>450000</v>
      </c>
      <c r="D501" t="s">
        <v>291</v>
      </c>
      <c r="E501" s="156">
        <v>44688</v>
      </c>
      <c r="F501" t="s">
        <v>685</v>
      </c>
      <c r="G501" s="156">
        <v>44632</v>
      </c>
      <c r="H501" t="s">
        <v>740</v>
      </c>
      <c r="I501">
        <v>3320000</v>
      </c>
      <c r="K501">
        <v>0</v>
      </c>
      <c r="M501">
        <v>0</v>
      </c>
      <c r="N501">
        <v>0</v>
      </c>
      <c r="O501">
        <v>0</v>
      </c>
      <c r="P501" s="117">
        <v>3320000</v>
      </c>
      <c r="Q501" s="117" t="s">
        <v>1021</v>
      </c>
      <c r="R501" s="150">
        <v>0</v>
      </c>
      <c r="S501" s="117" t="b">
        <f>OR(COUNTIF(Tabla2[[#This Row],[PROVEEDOR]],"*"&amp;'Palabra no opera'!$A$2&amp;"*"))</f>
        <v>0</v>
      </c>
      <c r="T501" s="150">
        <f>+$W$5-Tabla2[[#This Row],[FECHA DE FACTURACIÓN]]</f>
        <v>202</v>
      </c>
      <c r="U501" t="str">
        <f>+IF(Tabla2[[#This Row],[dias de credito]]&gt;=Tabla2[[#This Row],[PLAZO Días]],"venc", "No venc")</f>
        <v>venc</v>
      </c>
      <c r="V501" t="str">
        <f>+IF(Tabla2[[#This Row],[FECHA DE PAGO]]&gt;0,"pagada","por pagar")</f>
        <v>pagada</v>
      </c>
      <c r="W501" s="152" t="str">
        <f>+IF(AND(Tabla2[[#This Row],[venc]]="venc",Tabla2[[#This Row],[Columna1]]="por pagar"),"vencida","no")</f>
        <v>no</v>
      </c>
    </row>
    <row r="502" spans="1:23" x14ac:dyDescent="0.3">
      <c r="A502">
        <v>30</v>
      </c>
      <c r="B502">
        <v>1580500</v>
      </c>
      <c r="D502" t="s">
        <v>139</v>
      </c>
      <c r="E502" s="156">
        <v>44687</v>
      </c>
      <c r="F502" t="s">
        <v>686</v>
      </c>
      <c r="G502" s="156">
        <v>44672</v>
      </c>
      <c r="H502" t="s">
        <v>1589</v>
      </c>
      <c r="I502">
        <v>215500</v>
      </c>
      <c r="K502">
        <v>0</v>
      </c>
      <c r="M502">
        <v>0</v>
      </c>
      <c r="N502">
        <v>0</v>
      </c>
      <c r="O502">
        <v>0</v>
      </c>
      <c r="P502" s="117">
        <v>215500</v>
      </c>
      <c r="Q502" s="117" t="s">
        <v>1021</v>
      </c>
      <c r="R502" s="150">
        <v>0</v>
      </c>
      <c r="S502" s="117" t="b">
        <f>OR(COUNTIF(Tabla2[[#This Row],[PROVEEDOR]],"*"&amp;'Palabra no opera'!$A$2&amp;"*"))</f>
        <v>0</v>
      </c>
      <c r="T502" s="150">
        <f>+$W$5-Tabla2[[#This Row],[FECHA DE FACTURACIÓN]]</f>
        <v>162</v>
      </c>
      <c r="U502" t="str">
        <f>+IF(Tabla2[[#This Row],[dias de credito]]&gt;=Tabla2[[#This Row],[PLAZO Días]],"venc", "No venc")</f>
        <v>venc</v>
      </c>
      <c r="V502" t="str">
        <f>+IF(Tabla2[[#This Row],[FECHA DE PAGO]]&gt;0,"pagada","por pagar")</f>
        <v>pagada</v>
      </c>
      <c r="W502" s="152" t="str">
        <f>+IF(AND(Tabla2[[#This Row],[venc]]="venc",Tabla2[[#This Row],[Columna1]]="por pagar"),"vencida","no")</f>
        <v>no</v>
      </c>
    </row>
    <row r="503" spans="1:23" x14ac:dyDescent="0.3">
      <c r="A503">
        <v>30</v>
      </c>
      <c r="B503">
        <v>1580500</v>
      </c>
      <c r="D503" t="s">
        <v>139</v>
      </c>
      <c r="E503" s="156">
        <v>44687</v>
      </c>
      <c r="F503" t="s">
        <v>686</v>
      </c>
      <c r="G503" s="156">
        <v>44644</v>
      </c>
      <c r="H503" t="s">
        <v>726</v>
      </c>
      <c r="I503">
        <v>1645000</v>
      </c>
      <c r="K503">
        <v>0</v>
      </c>
      <c r="M503">
        <v>0</v>
      </c>
      <c r="N503">
        <v>0</v>
      </c>
      <c r="O503">
        <v>0</v>
      </c>
      <c r="P503" s="117">
        <v>1645000</v>
      </c>
      <c r="Q503" s="117" t="s">
        <v>1021</v>
      </c>
      <c r="R503" s="150">
        <v>0</v>
      </c>
      <c r="S503" s="117" t="b">
        <f>OR(COUNTIF(Tabla2[[#This Row],[PROVEEDOR]],"*"&amp;'Palabra no opera'!$A$2&amp;"*"))</f>
        <v>0</v>
      </c>
      <c r="T503" s="150">
        <f>+$W$5-Tabla2[[#This Row],[FECHA DE FACTURACIÓN]]</f>
        <v>190</v>
      </c>
      <c r="U503" t="str">
        <f>+IF(Tabla2[[#This Row],[dias de credito]]&gt;=Tabla2[[#This Row],[PLAZO Días]],"venc", "No venc")</f>
        <v>venc</v>
      </c>
      <c r="V503" t="str">
        <f>+IF(Tabla2[[#This Row],[FECHA DE PAGO]]&gt;0,"pagada","por pagar")</f>
        <v>pagada</v>
      </c>
      <c r="W503" s="152" t="str">
        <f>+IF(AND(Tabla2[[#This Row],[venc]]="venc",Tabla2[[#This Row],[Columna1]]="por pagar"),"vencida","no")</f>
        <v>no</v>
      </c>
    </row>
    <row r="504" spans="1:23" x14ac:dyDescent="0.3">
      <c r="A504">
        <v>30</v>
      </c>
      <c r="B504">
        <v>0</v>
      </c>
      <c r="D504" t="s">
        <v>431</v>
      </c>
      <c r="E504" s="156">
        <v>44687</v>
      </c>
      <c r="F504" t="s">
        <v>677</v>
      </c>
      <c r="G504" s="156">
        <v>44623</v>
      </c>
      <c r="H504" t="s">
        <v>1576</v>
      </c>
      <c r="I504">
        <v>1850000</v>
      </c>
      <c r="K504">
        <v>0</v>
      </c>
      <c r="M504">
        <v>0</v>
      </c>
      <c r="N504">
        <v>0</v>
      </c>
      <c r="O504">
        <v>0</v>
      </c>
      <c r="P504" s="117">
        <v>1850000</v>
      </c>
      <c r="Q504" s="117" t="s">
        <v>1021</v>
      </c>
      <c r="R504" s="150">
        <v>0</v>
      </c>
      <c r="S504" s="117" t="b">
        <f>OR(COUNTIF(Tabla2[[#This Row],[PROVEEDOR]],"*"&amp;'Palabra no opera'!$A$2&amp;"*"))</f>
        <v>0</v>
      </c>
      <c r="T504" s="150">
        <f>+$W$5-Tabla2[[#This Row],[FECHA DE FACTURACIÓN]]</f>
        <v>211</v>
      </c>
      <c r="U504" t="str">
        <f>+IF(Tabla2[[#This Row],[dias de credito]]&gt;=Tabla2[[#This Row],[PLAZO Días]],"venc", "No venc")</f>
        <v>venc</v>
      </c>
      <c r="V504" t="str">
        <f>+IF(Tabla2[[#This Row],[FECHA DE PAGO]]&gt;0,"pagada","por pagar")</f>
        <v>pagada</v>
      </c>
      <c r="W504" s="152" t="str">
        <f>+IF(AND(Tabla2[[#This Row],[venc]]="venc",Tabla2[[#This Row],[Columna1]]="por pagar"),"vencida","no")</f>
        <v>no</v>
      </c>
    </row>
    <row r="505" spans="1:23" x14ac:dyDescent="0.3">
      <c r="A505">
        <v>30</v>
      </c>
      <c r="B505">
        <v>0</v>
      </c>
      <c r="D505" t="s">
        <v>139</v>
      </c>
      <c r="E505" s="156">
        <v>44686</v>
      </c>
      <c r="F505" t="s">
        <v>673</v>
      </c>
      <c r="G505" s="156">
        <v>44686</v>
      </c>
      <c r="I505">
        <v>1000000</v>
      </c>
      <c r="K505">
        <v>0</v>
      </c>
      <c r="M505">
        <v>0</v>
      </c>
      <c r="N505">
        <v>0</v>
      </c>
      <c r="O505">
        <v>0</v>
      </c>
      <c r="P505" s="117">
        <v>1000000</v>
      </c>
      <c r="Q505" s="117" t="s">
        <v>1021</v>
      </c>
      <c r="R505" s="150">
        <v>0</v>
      </c>
      <c r="S505" s="117" t="b">
        <f>OR(COUNTIF(Tabla2[[#This Row],[PROVEEDOR]],"*"&amp;'Palabra no opera'!$A$2&amp;"*"))</f>
        <v>0</v>
      </c>
      <c r="T505" s="150">
        <f>+$W$5-Tabla2[[#This Row],[FECHA DE FACTURACIÓN]]</f>
        <v>148</v>
      </c>
      <c r="U505" t="str">
        <f>+IF(Tabla2[[#This Row],[dias de credito]]&gt;=Tabla2[[#This Row],[PLAZO Días]],"venc", "No venc")</f>
        <v>venc</v>
      </c>
      <c r="V505" t="str">
        <f>+IF(Tabla2[[#This Row],[FECHA DE PAGO]]&gt;0,"pagada","por pagar")</f>
        <v>pagada</v>
      </c>
      <c r="W505" s="152" t="str">
        <f>+IF(AND(Tabla2[[#This Row],[venc]]="venc",Tabla2[[#This Row],[Columna1]]="por pagar"),"vencida","no")</f>
        <v>no</v>
      </c>
    </row>
    <row r="506" spans="1:23" x14ac:dyDescent="0.3">
      <c r="A506">
        <v>30</v>
      </c>
      <c r="B506">
        <v>5225000</v>
      </c>
      <c r="D506" t="s">
        <v>139</v>
      </c>
      <c r="E506" s="156">
        <v>44686</v>
      </c>
      <c r="F506" t="s">
        <v>629</v>
      </c>
      <c r="G506" s="156">
        <v>44649</v>
      </c>
      <c r="H506" t="s">
        <v>711</v>
      </c>
      <c r="I506">
        <v>3750700</v>
      </c>
      <c r="K506">
        <v>0</v>
      </c>
      <c r="M506">
        <v>0</v>
      </c>
      <c r="N506">
        <v>0</v>
      </c>
      <c r="O506">
        <v>0</v>
      </c>
      <c r="P506" s="117">
        <v>3750700</v>
      </c>
      <c r="Q506" s="117" t="s">
        <v>1021</v>
      </c>
      <c r="R506" s="150">
        <v>0</v>
      </c>
      <c r="S506" s="117" t="b">
        <f>OR(COUNTIF(Tabla2[[#This Row],[PROVEEDOR]],"*"&amp;'Palabra no opera'!$A$2&amp;"*"))</f>
        <v>0</v>
      </c>
      <c r="T506" s="150">
        <f>+$W$5-Tabla2[[#This Row],[FECHA DE FACTURACIÓN]]</f>
        <v>185</v>
      </c>
      <c r="U506" t="str">
        <f>+IF(Tabla2[[#This Row],[dias de credito]]&gt;=Tabla2[[#This Row],[PLAZO Días]],"venc", "No venc")</f>
        <v>venc</v>
      </c>
      <c r="V506" t="str">
        <f>+IF(Tabla2[[#This Row],[FECHA DE PAGO]]&gt;0,"pagada","por pagar")</f>
        <v>pagada</v>
      </c>
      <c r="W506" s="152" t="str">
        <f>+IF(AND(Tabla2[[#This Row],[venc]]="venc",Tabla2[[#This Row],[Columna1]]="por pagar"),"vencida","no")</f>
        <v>no</v>
      </c>
    </row>
    <row r="507" spans="1:23" x14ac:dyDescent="0.3">
      <c r="A507">
        <v>30</v>
      </c>
      <c r="B507">
        <v>0</v>
      </c>
      <c r="D507" t="s">
        <v>687</v>
      </c>
      <c r="E507" s="156">
        <v>44686</v>
      </c>
      <c r="F507" t="s">
        <v>688</v>
      </c>
      <c r="G507" s="156">
        <v>44649</v>
      </c>
      <c r="H507" t="s">
        <v>1582</v>
      </c>
      <c r="I507">
        <v>936000</v>
      </c>
      <c r="K507">
        <v>0</v>
      </c>
      <c r="M507">
        <v>0</v>
      </c>
      <c r="N507">
        <v>0</v>
      </c>
      <c r="O507">
        <v>0</v>
      </c>
      <c r="P507" s="117">
        <v>936000</v>
      </c>
      <c r="Q507" s="117" t="s">
        <v>1021</v>
      </c>
      <c r="R507" s="150">
        <v>0</v>
      </c>
      <c r="S507" s="117" t="b">
        <f>OR(COUNTIF(Tabla2[[#This Row],[PROVEEDOR]],"*"&amp;'Palabra no opera'!$A$2&amp;"*"))</f>
        <v>0</v>
      </c>
      <c r="T507" s="150">
        <f>+$W$5-Tabla2[[#This Row],[FECHA DE FACTURACIÓN]]</f>
        <v>185</v>
      </c>
      <c r="U507" t="str">
        <f>+IF(Tabla2[[#This Row],[dias de credito]]&gt;=Tabla2[[#This Row],[PLAZO Días]],"venc", "No venc")</f>
        <v>venc</v>
      </c>
      <c r="V507" t="str">
        <f>+IF(Tabla2[[#This Row],[FECHA DE PAGO]]&gt;0,"pagada","por pagar")</f>
        <v>pagada</v>
      </c>
      <c r="W507" s="152" t="str">
        <f>+IF(AND(Tabla2[[#This Row],[venc]]="venc",Tabla2[[#This Row],[Columna1]]="por pagar"),"vencida","no")</f>
        <v>no</v>
      </c>
    </row>
    <row r="508" spans="1:23" x14ac:dyDescent="0.3">
      <c r="A508">
        <v>30</v>
      </c>
      <c r="B508">
        <v>0</v>
      </c>
      <c r="D508" t="s">
        <v>687</v>
      </c>
      <c r="E508" s="156">
        <v>44686</v>
      </c>
      <c r="F508" t="s">
        <v>688</v>
      </c>
      <c r="G508" s="156">
        <v>44617</v>
      </c>
      <c r="H508" t="s">
        <v>1574</v>
      </c>
      <c r="I508">
        <v>2760000</v>
      </c>
      <c r="K508">
        <v>0</v>
      </c>
      <c r="M508">
        <v>0</v>
      </c>
      <c r="N508">
        <v>0</v>
      </c>
      <c r="O508">
        <v>0</v>
      </c>
      <c r="P508" s="117">
        <v>2760000</v>
      </c>
      <c r="Q508" s="117" t="s">
        <v>1021</v>
      </c>
      <c r="R508" s="150">
        <v>0</v>
      </c>
      <c r="S508" s="117" t="b">
        <f>OR(COUNTIF(Tabla2[[#This Row],[PROVEEDOR]],"*"&amp;'Palabra no opera'!$A$2&amp;"*"))</f>
        <v>0</v>
      </c>
      <c r="T508" s="150">
        <f>+$W$5-Tabla2[[#This Row],[FECHA DE FACTURACIÓN]]</f>
        <v>217</v>
      </c>
      <c r="U508" t="str">
        <f>+IF(Tabla2[[#This Row],[dias de credito]]&gt;=Tabla2[[#This Row],[PLAZO Días]],"venc", "No venc")</f>
        <v>venc</v>
      </c>
      <c r="V508" t="str">
        <f>+IF(Tabla2[[#This Row],[FECHA DE PAGO]]&gt;0,"pagada","por pagar")</f>
        <v>pagada</v>
      </c>
      <c r="W508" s="152" t="str">
        <f>+IF(AND(Tabla2[[#This Row],[venc]]="venc",Tabla2[[#This Row],[Columna1]]="por pagar"),"vencida","no")</f>
        <v>no</v>
      </c>
    </row>
    <row r="509" spans="1:23" x14ac:dyDescent="0.3">
      <c r="A509">
        <v>30</v>
      </c>
      <c r="B509">
        <v>0</v>
      </c>
      <c r="D509" t="s">
        <v>250</v>
      </c>
      <c r="E509" s="156">
        <v>44685</v>
      </c>
      <c r="F509" t="s">
        <v>1451</v>
      </c>
      <c r="G509" s="156">
        <v>44668</v>
      </c>
      <c r="H509">
        <v>220</v>
      </c>
      <c r="I509">
        <v>399000</v>
      </c>
      <c r="K509">
        <v>0</v>
      </c>
      <c r="M509">
        <v>0</v>
      </c>
      <c r="N509">
        <v>0.01</v>
      </c>
      <c r="O509">
        <v>3990</v>
      </c>
      <c r="P509" s="117">
        <v>395010</v>
      </c>
      <c r="Q509" s="117" t="s">
        <v>1021</v>
      </c>
      <c r="R509" s="150">
        <v>0</v>
      </c>
      <c r="S509" s="117" t="b">
        <f>OR(COUNTIF(Tabla2[[#This Row],[PROVEEDOR]],"*"&amp;'Palabra no opera'!$A$2&amp;"*"))</f>
        <v>0</v>
      </c>
      <c r="T509" s="150">
        <f>+$W$5-Tabla2[[#This Row],[FECHA DE FACTURACIÓN]]</f>
        <v>166</v>
      </c>
      <c r="U509" t="str">
        <f>+IF(Tabla2[[#This Row],[dias de credito]]&gt;=Tabla2[[#This Row],[PLAZO Días]],"venc", "No venc")</f>
        <v>venc</v>
      </c>
      <c r="V509" t="str">
        <f>+IF(Tabla2[[#This Row],[FECHA DE PAGO]]&gt;0,"pagada","por pagar")</f>
        <v>pagada</v>
      </c>
      <c r="W509" s="152" t="str">
        <f>+IF(AND(Tabla2[[#This Row],[venc]]="venc",Tabla2[[#This Row],[Columna1]]="por pagar"),"vencida","no")</f>
        <v>no</v>
      </c>
    </row>
    <row r="510" spans="1:23" x14ac:dyDescent="0.3">
      <c r="A510">
        <v>30</v>
      </c>
      <c r="B510">
        <v>326474.88</v>
      </c>
      <c r="D510" t="s">
        <v>949</v>
      </c>
      <c r="E510" s="156">
        <v>44685</v>
      </c>
      <c r="F510" t="s">
        <v>345</v>
      </c>
      <c r="G510" s="156">
        <v>44665</v>
      </c>
      <c r="H510" t="s">
        <v>859</v>
      </c>
      <c r="I510">
        <v>264406</v>
      </c>
      <c r="K510">
        <v>0</v>
      </c>
      <c r="M510">
        <v>0</v>
      </c>
      <c r="N510">
        <v>0</v>
      </c>
      <c r="O510">
        <v>0</v>
      </c>
      <c r="P510" s="117">
        <v>264406</v>
      </c>
      <c r="Q510" s="117" t="s">
        <v>1021</v>
      </c>
      <c r="R510" s="150">
        <v>0</v>
      </c>
      <c r="S510" s="117" t="b">
        <f>OR(COUNTIF(Tabla2[[#This Row],[PROVEEDOR]],"*"&amp;'Palabra no opera'!$A$2&amp;"*"))</f>
        <v>0</v>
      </c>
      <c r="T510" s="150">
        <f>+$W$5-Tabla2[[#This Row],[FECHA DE FACTURACIÓN]]</f>
        <v>169</v>
      </c>
      <c r="U510" t="str">
        <f>+IF(Tabla2[[#This Row],[dias de credito]]&gt;=Tabla2[[#This Row],[PLAZO Días]],"venc", "No venc")</f>
        <v>venc</v>
      </c>
      <c r="V510" t="str">
        <f>+IF(Tabla2[[#This Row],[FECHA DE PAGO]]&gt;0,"pagada","por pagar")</f>
        <v>pagada</v>
      </c>
      <c r="W510" s="152" t="str">
        <f>+IF(AND(Tabla2[[#This Row],[venc]]="venc",Tabla2[[#This Row],[Columna1]]="por pagar"),"vencida","no")</f>
        <v>no</v>
      </c>
    </row>
    <row r="511" spans="1:23" x14ac:dyDescent="0.3">
      <c r="A511">
        <v>30</v>
      </c>
      <c r="B511">
        <v>4656887.12</v>
      </c>
      <c r="D511" t="s">
        <v>170</v>
      </c>
      <c r="E511" s="156">
        <v>44685</v>
      </c>
      <c r="F511" t="s">
        <v>20</v>
      </c>
      <c r="G511" s="156">
        <v>44636</v>
      </c>
      <c r="H511">
        <v>6577</v>
      </c>
      <c r="I511">
        <v>2918615.3</v>
      </c>
      <c r="K511">
        <v>554536.90700000001</v>
      </c>
      <c r="M511">
        <v>0</v>
      </c>
      <c r="N511">
        <v>2.5000000000000001E-2</v>
      </c>
      <c r="O511">
        <v>72965.382499999992</v>
      </c>
      <c r="P511" s="117">
        <v>3400186.8245000001</v>
      </c>
      <c r="Q511" s="117" t="s">
        <v>1021</v>
      </c>
      <c r="R511" s="150">
        <v>0</v>
      </c>
      <c r="S511" s="117" t="b">
        <f>OR(COUNTIF(Tabla2[[#This Row],[PROVEEDOR]],"*"&amp;'Palabra no opera'!$A$2&amp;"*"))</f>
        <v>0</v>
      </c>
      <c r="T511" s="150">
        <f>+$W$5-Tabla2[[#This Row],[FECHA DE FACTURACIÓN]]</f>
        <v>198</v>
      </c>
      <c r="U511" t="str">
        <f>+IF(Tabla2[[#This Row],[dias de credito]]&gt;=Tabla2[[#This Row],[PLAZO Días]],"venc", "No venc")</f>
        <v>venc</v>
      </c>
      <c r="V511" t="str">
        <f>+IF(Tabla2[[#This Row],[FECHA DE PAGO]]&gt;0,"pagada","por pagar")</f>
        <v>pagada</v>
      </c>
      <c r="W511" s="152" t="str">
        <f>+IF(AND(Tabla2[[#This Row],[venc]]="venc",Tabla2[[#This Row],[Columna1]]="por pagar"),"vencida","no")</f>
        <v>no</v>
      </c>
    </row>
    <row r="512" spans="1:23" x14ac:dyDescent="0.3">
      <c r="A512">
        <v>30</v>
      </c>
      <c r="B512">
        <v>0</v>
      </c>
      <c r="D512">
        <v>0</v>
      </c>
      <c r="E512" s="156">
        <v>44684</v>
      </c>
      <c r="F512" t="s">
        <v>700</v>
      </c>
      <c r="G512" s="156">
        <v>44707</v>
      </c>
      <c r="H512" t="s">
        <v>1606</v>
      </c>
      <c r="I512">
        <v>390000</v>
      </c>
      <c r="K512">
        <v>0</v>
      </c>
      <c r="M512">
        <v>0</v>
      </c>
      <c r="N512">
        <v>0</v>
      </c>
      <c r="O512">
        <v>0</v>
      </c>
      <c r="P512" s="117">
        <v>390000</v>
      </c>
      <c r="Q512" s="117" t="s">
        <v>1021</v>
      </c>
      <c r="R512" s="150">
        <v>0</v>
      </c>
      <c r="S512" s="117" t="b">
        <f>OR(COUNTIF(Tabla2[[#This Row],[PROVEEDOR]],"*"&amp;'Palabra no opera'!$A$2&amp;"*"))</f>
        <v>0</v>
      </c>
      <c r="T512" s="150">
        <f>+$W$5-Tabla2[[#This Row],[FECHA DE FACTURACIÓN]]</f>
        <v>127</v>
      </c>
      <c r="U512" t="str">
        <f>+IF(Tabla2[[#This Row],[dias de credito]]&gt;=Tabla2[[#This Row],[PLAZO Días]],"venc", "No venc")</f>
        <v>venc</v>
      </c>
      <c r="V512" t="str">
        <f>+IF(Tabla2[[#This Row],[FECHA DE PAGO]]&gt;0,"pagada","por pagar")</f>
        <v>pagada</v>
      </c>
      <c r="W512" s="152" t="str">
        <f>+IF(AND(Tabla2[[#This Row],[venc]]="venc",Tabla2[[#This Row],[Columna1]]="por pagar"),"vencida","no")</f>
        <v>no</v>
      </c>
    </row>
    <row r="513" spans="1:23" x14ac:dyDescent="0.3">
      <c r="A513">
        <v>30</v>
      </c>
      <c r="B513">
        <v>19675613.1195</v>
      </c>
      <c r="D513" t="s">
        <v>256</v>
      </c>
      <c r="E513" s="156">
        <v>44684</v>
      </c>
      <c r="F513" t="s">
        <v>18</v>
      </c>
      <c r="G513" s="156">
        <v>44645</v>
      </c>
      <c r="H513">
        <v>1051505</v>
      </c>
      <c r="I513">
        <v>713143.68</v>
      </c>
      <c r="K513">
        <v>135497.29920000001</v>
      </c>
      <c r="M513">
        <v>0</v>
      </c>
      <c r="N513">
        <v>0</v>
      </c>
      <c r="O513">
        <v>0</v>
      </c>
      <c r="P513" s="117">
        <v>848640.97920000006</v>
      </c>
      <c r="Q513" s="117" t="s">
        <v>1021</v>
      </c>
      <c r="R513" s="150">
        <v>0</v>
      </c>
      <c r="S513" s="117" t="b">
        <f>OR(COUNTIF(Tabla2[[#This Row],[PROVEEDOR]],"*"&amp;'Palabra no opera'!$A$2&amp;"*"))</f>
        <v>0</v>
      </c>
      <c r="T513" s="150">
        <f>+$W$5-Tabla2[[#This Row],[FECHA DE FACTURACIÓN]]</f>
        <v>189</v>
      </c>
      <c r="U513" t="str">
        <f>+IF(Tabla2[[#This Row],[dias de credito]]&gt;=Tabla2[[#This Row],[PLAZO Días]],"venc", "No venc")</f>
        <v>venc</v>
      </c>
      <c r="V513" t="str">
        <f>+IF(Tabla2[[#This Row],[FECHA DE PAGO]]&gt;0,"pagada","por pagar")</f>
        <v>pagada</v>
      </c>
      <c r="W513" s="152" t="str">
        <f>+IF(AND(Tabla2[[#This Row],[venc]]="venc",Tabla2[[#This Row],[Columna1]]="por pagar"),"vencida","no")</f>
        <v>no</v>
      </c>
    </row>
    <row r="514" spans="1:23" x14ac:dyDescent="0.3">
      <c r="A514">
        <v>30</v>
      </c>
      <c r="B514">
        <v>8190204</v>
      </c>
      <c r="D514" t="s">
        <v>263</v>
      </c>
      <c r="E514" s="156">
        <v>44684</v>
      </c>
      <c r="F514" t="s">
        <v>1637</v>
      </c>
      <c r="G514" s="156">
        <v>44644</v>
      </c>
      <c r="H514">
        <v>25131</v>
      </c>
      <c r="I514">
        <v>297600</v>
      </c>
      <c r="J514">
        <v>29760</v>
      </c>
      <c r="K514">
        <v>50889.599999999999</v>
      </c>
      <c r="M514">
        <v>0</v>
      </c>
      <c r="N514">
        <v>0</v>
      </c>
      <c r="O514">
        <v>0</v>
      </c>
      <c r="P514" s="117">
        <v>318729.59999999998</v>
      </c>
      <c r="Q514" s="117" t="s">
        <v>1021</v>
      </c>
      <c r="R514" s="150">
        <v>0</v>
      </c>
      <c r="S514" s="117" t="b">
        <f>OR(COUNTIF(Tabla2[[#This Row],[PROVEEDOR]],"*"&amp;'Palabra no opera'!$A$2&amp;"*"))</f>
        <v>0</v>
      </c>
      <c r="T514" s="150">
        <f>+$W$5-Tabla2[[#This Row],[FECHA DE FACTURACIÓN]]</f>
        <v>190</v>
      </c>
      <c r="U514" t="str">
        <f>+IF(Tabla2[[#This Row],[dias de credito]]&gt;=Tabla2[[#This Row],[PLAZO Días]],"venc", "No venc")</f>
        <v>venc</v>
      </c>
      <c r="V514" t="str">
        <f>+IF(Tabla2[[#This Row],[FECHA DE PAGO]]&gt;0,"pagada","por pagar")</f>
        <v>pagada</v>
      </c>
      <c r="W514" s="152" t="str">
        <f>+IF(AND(Tabla2[[#This Row],[venc]]="venc",Tabla2[[#This Row],[Columna1]]="por pagar"),"vencida","no")</f>
        <v>no</v>
      </c>
    </row>
    <row r="515" spans="1:23" x14ac:dyDescent="0.3">
      <c r="A515">
        <v>30</v>
      </c>
      <c r="B515">
        <v>19675613.1195</v>
      </c>
      <c r="D515" t="s">
        <v>256</v>
      </c>
      <c r="E515" s="156">
        <v>44684</v>
      </c>
      <c r="F515" t="s">
        <v>18</v>
      </c>
      <c r="G515" s="156">
        <v>44638</v>
      </c>
      <c r="H515">
        <v>1051239</v>
      </c>
      <c r="I515">
        <v>378530.4</v>
      </c>
      <c r="K515">
        <v>71920.775999999998</v>
      </c>
      <c r="M515">
        <v>0</v>
      </c>
      <c r="N515">
        <v>0</v>
      </c>
      <c r="O515">
        <v>0</v>
      </c>
      <c r="P515" s="117">
        <v>450451.17600000004</v>
      </c>
      <c r="Q515" s="117" t="s">
        <v>1021</v>
      </c>
      <c r="R515" s="150">
        <v>0</v>
      </c>
      <c r="S515" s="117" t="b">
        <f>OR(COUNTIF(Tabla2[[#This Row],[PROVEEDOR]],"*"&amp;'Palabra no opera'!$A$2&amp;"*"))</f>
        <v>0</v>
      </c>
      <c r="T515" s="150">
        <f>+$W$5-Tabla2[[#This Row],[FECHA DE FACTURACIÓN]]</f>
        <v>196</v>
      </c>
      <c r="U515" t="str">
        <f>+IF(Tabla2[[#This Row],[dias de credito]]&gt;=Tabla2[[#This Row],[PLAZO Días]],"venc", "No venc")</f>
        <v>venc</v>
      </c>
      <c r="V515" t="str">
        <f>+IF(Tabla2[[#This Row],[FECHA DE PAGO]]&gt;0,"pagada","por pagar")</f>
        <v>pagada</v>
      </c>
      <c r="W515" s="152" t="str">
        <f>+IF(AND(Tabla2[[#This Row],[venc]]="venc",Tabla2[[#This Row],[Columna1]]="por pagar"),"vencida","no")</f>
        <v>no</v>
      </c>
    </row>
    <row r="516" spans="1:23" x14ac:dyDescent="0.3">
      <c r="A516">
        <v>30</v>
      </c>
      <c r="B516">
        <v>19675613.1195</v>
      </c>
      <c r="D516" t="s">
        <v>256</v>
      </c>
      <c r="E516" s="156">
        <v>44684</v>
      </c>
      <c r="F516" t="s">
        <v>18</v>
      </c>
      <c r="G516" s="156">
        <v>44634</v>
      </c>
      <c r="H516">
        <v>1051102</v>
      </c>
      <c r="I516">
        <v>3580988</v>
      </c>
      <c r="K516">
        <v>680387.72</v>
      </c>
      <c r="M516">
        <v>0</v>
      </c>
      <c r="N516">
        <v>2.5000000000000001E-2</v>
      </c>
      <c r="O516">
        <v>89524.700000000012</v>
      </c>
      <c r="P516" s="117">
        <v>4171851.0199999996</v>
      </c>
      <c r="Q516" s="117" t="s">
        <v>1021</v>
      </c>
      <c r="R516" s="150">
        <v>0</v>
      </c>
      <c r="S516" s="117" t="b">
        <f>OR(COUNTIF(Tabla2[[#This Row],[PROVEEDOR]],"*"&amp;'Palabra no opera'!$A$2&amp;"*"))</f>
        <v>0</v>
      </c>
      <c r="T516" s="150">
        <f>+$W$5-Tabla2[[#This Row],[FECHA DE FACTURACIÓN]]</f>
        <v>200</v>
      </c>
      <c r="U516" t="str">
        <f>+IF(Tabla2[[#This Row],[dias de credito]]&gt;=Tabla2[[#This Row],[PLAZO Días]],"venc", "No venc")</f>
        <v>venc</v>
      </c>
      <c r="V516" t="str">
        <f>+IF(Tabla2[[#This Row],[FECHA DE PAGO]]&gt;0,"pagada","por pagar")</f>
        <v>pagada</v>
      </c>
      <c r="W516" s="152" t="str">
        <f>+IF(AND(Tabla2[[#This Row],[venc]]="venc",Tabla2[[#This Row],[Columna1]]="por pagar"),"vencida","no")</f>
        <v>no</v>
      </c>
    </row>
    <row r="517" spans="1:23" x14ac:dyDescent="0.3">
      <c r="A517">
        <v>30</v>
      </c>
      <c r="B517">
        <v>6259125.5999999996</v>
      </c>
      <c r="D517" t="s">
        <v>264</v>
      </c>
      <c r="E517" s="156">
        <v>44684</v>
      </c>
      <c r="F517" t="s">
        <v>1448</v>
      </c>
      <c r="G517" s="156">
        <v>44632</v>
      </c>
      <c r="H517">
        <v>28365</v>
      </c>
      <c r="I517">
        <v>1246200</v>
      </c>
      <c r="K517">
        <v>236778</v>
      </c>
      <c r="M517">
        <v>0</v>
      </c>
      <c r="N517">
        <v>2.5000000000000001E-2</v>
      </c>
      <c r="O517">
        <v>31155</v>
      </c>
      <c r="P517" s="117">
        <v>1451823</v>
      </c>
      <c r="Q517" s="117" t="s">
        <v>1021</v>
      </c>
      <c r="R517" s="150">
        <v>0</v>
      </c>
      <c r="S517" s="117" t="b">
        <f>OR(COUNTIF(Tabla2[[#This Row],[PROVEEDOR]],"*"&amp;'Palabra no opera'!$A$2&amp;"*"))</f>
        <v>0</v>
      </c>
      <c r="T517" s="150">
        <f>+$W$5-Tabla2[[#This Row],[FECHA DE FACTURACIÓN]]</f>
        <v>202</v>
      </c>
      <c r="U517" t="str">
        <f>+IF(Tabla2[[#This Row],[dias de credito]]&gt;=Tabla2[[#This Row],[PLAZO Días]],"venc", "No venc")</f>
        <v>venc</v>
      </c>
      <c r="V517" t="str">
        <f>+IF(Tabla2[[#This Row],[FECHA DE PAGO]]&gt;0,"pagada","por pagar")</f>
        <v>pagada</v>
      </c>
      <c r="W517" s="152" t="str">
        <f>+IF(AND(Tabla2[[#This Row],[venc]]="venc",Tabla2[[#This Row],[Columna1]]="por pagar"),"vencida","no")</f>
        <v>no</v>
      </c>
    </row>
    <row r="518" spans="1:23" x14ac:dyDescent="0.3">
      <c r="A518">
        <v>30</v>
      </c>
      <c r="B518">
        <v>0</v>
      </c>
      <c r="D518" t="s">
        <v>1653</v>
      </c>
      <c r="E518" s="156">
        <v>44684</v>
      </c>
      <c r="F518" t="s">
        <v>24</v>
      </c>
      <c r="G518" s="156">
        <v>44631</v>
      </c>
      <c r="H518" t="s">
        <v>741</v>
      </c>
      <c r="I518">
        <v>1995291</v>
      </c>
      <c r="K518">
        <v>379105.29</v>
      </c>
      <c r="M518">
        <v>0</v>
      </c>
      <c r="N518">
        <v>2.5000000000000001E-2</v>
      </c>
      <c r="O518">
        <v>49882.275000000001</v>
      </c>
      <c r="P518" s="117">
        <v>2324514.0150000001</v>
      </c>
      <c r="Q518" s="117" t="s">
        <v>1021</v>
      </c>
      <c r="R518" s="150">
        <v>0</v>
      </c>
      <c r="S518" s="117" t="b">
        <f>OR(COUNTIF(Tabla2[[#This Row],[PROVEEDOR]],"*"&amp;'Palabra no opera'!$A$2&amp;"*"))</f>
        <v>0</v>
      </c>
      <c r="T518" s="150">
        <f>+$W$5-Tabla2[[#This Row],[FECHA DE FACTURACIÓN]]</f>
        <v>203</v>
      </c>
      <c r="U518" t="str">
        <f>+IF(Tabla2[[#This Row],[dias de credito]]&gt;=Tabla2[[#This Row],[PLAZO Días]],"venc", "No venc")</f>
        <v>venc</v>
      </c>
      <c r="V518" t="str">
        <f>+IF(Tabla2[[#This Row],[FECHA DE PAGO]]&gt;0,"pagada","por pagar")</f>
        <v>pagada</v>
      </c>
      <c r="W518" s="152" t="str">
        <f>+IF(AND(Tabla2[[#This Row],[venc]]="venc",Tabla2[[#This Row],[Columna1]]="por pagar"),"vencida","no")</f>
        <v>no</v>
      </c>
    </row>
    <row r="519" spans="1:23" x14ac:dyDescent="0.3">
      <c r="A519">
        <v>30</v>
      </c>
      <c r="B519">
        <v>19675613.1195</v>
      </c>
      <c r="D519" t="s">
        <v>256</v>
      </c>
      <c r="E519" s="156">
        <v>44684</v>
      </c>
      <c r="F519" t="s">
        <v>18</v>
      </c>
      <c r="G519" s="156">
        <v>44629</v>
      </c>
      <c r="H519">
        <v>1050807</v>
      </c>
      <c r="I519">
        <v>850000</v>
      </c>
      <c r="K519">
        <v>161500</v>
      </c>
      <c r="M519">
        <v>0</v>
      </c>
      <c r="N519">
        <v>0</v>
      </c>
      <c r="O519">
        <v>0</v>
      </c>
      <c r="P519" s="117">
        <v>1011500</v>
      </c>
      <c r="Q519" s="117" t="s">
        <v>1021</v>
      </c>
      <c r="R519" s="150">
        <v>0</v>
      </c>
      <c r="S519" s="117" t="b">
        <f>OR(COUNTIF(Tabla2[[#This Row],[PROVEEDOR]],"*"&amp;'Palabra no opera'!$A$2&amp;"*"))</f>
        <v>0</v>
      </c>
      <c r="T519" s="150">
        <f>+$W$5-Tabla2[[#This Row],[FECHA DE FACTURACIÓN]]</f>
        <v>205</v>
      </c>
      <c r="U519" t="str">
        <f>+IF(Tabla2[[#This Row],[dias de credito]]&gt;=Tabla2[[#This Row],[PLAZO Días]],"venc", "No venc")</f>
        <v>venc</v>
      </c>
      <c r="V519" t="str">
        <f>+IF(Tabla2[[#This Row],[FECHA DE PAGO]]&gt;0,"pagada","por pagar")</f>
        <v>pagada</v>
      </c>
      <c r="W519" s="152" t="str">
        <f>+IF(AND(Tabla2[[#This Row],[venc]]="venc",Tabla2[[#This Row],[Columna1]]="por pagar"),"vencida","no")</f>
        <v>no</v>
      </c>
    </row>
    <row r="520" spans="1:23" x14ac:dyDescent="0.3">
      <c r="A520">
        <v>30</v>
      </c>
      <c r="B520">
        <v>8457900</v>
      </c>
      <c r="D520" t="s">
        <v>1027</v>
      </c>
      <c r="E520" s="156">
        <v>44684</v>
      </c>
      <c r="F520" t="s">
        <v>11</v>
      </c>
      <c r="G520" s="156">
        <v>44627</v>
      </c>
      <c r="H520" t="s">
        <v>747</v>
      </c>
      <c r="I520">
        <v>3960000</v>
      </c>
      <c r="K520">
        <v>752400</v>
      </c>
      <c r="M520">
        <v>0</v>
      </c>
      <c r="N520">
        <v>2.5000000000000001E-2</v>
      </c>
      <c r="O520">
        <v>99000</v>
      </c>
      <c r="P520" s="117">
        <v>4613400</v>
      </c>
      <c r="Q520" s="117" t="s">
        <v>1021</v>
      </c>
      <c r="R520" s="150">
        <v>0</v>
      </c>
      <c r="S520" s="117"/>
    </row>
    <row r="521" spans="1:23" x14ac:dyDescent="0.3">
      <c r="A521">
        <v>30</v>
      </c>
      <c r="B521">
        <v>8190204</v>
      </c>
      <c r="D521" t="s">
        <v>263</v>
      </c>
      <c r="E521" s="156">
        <v>44684</v>
      </c>
      <c r="F521" t="s">
        <v>1637</v>
      </c>
      <c r="G521" s="156">
        <v>44614</v>
      </c>
      <c r="H521">
        <v>53415</v>
      </c>
      <c r="I521">
        <v>0</v>
      </c>
      <c r="K521">
        <v>0</v>
      </c>
      <c r="M521">
        <v>0</v>
      </c>
      <c r="N521">
        <v>0</v>
      </c>
      <c r="O521">
        <v>0</v>
      </c>
      <c r="P521" s="117">
        <v>-66594</v>
      </c>
      <c r="Q521" s="117" t="s">
        <v>1021</v>
      </c>
      <c r="R521" s="150">
        <v>0</v>
      </c>
      <c r="S521" s="117" t="b">
        <f>OR(COUNTIF(Tabla2[[#This Row],[PROVEEDOR]],"*"&amp;'Palabra no opera'!$A$2&amp;"*"))</f>
        <v>0</v>
      </c>
      <c r="T521" s="150">
        <f>+$W$5-Tabla2[[#This Row],[FECHA DE FACTURACIÓN]]</f>
        <v>220</v>
      </c>
      <c r="U521" t="str">
        <f>+IF(Tabla2[[#This Row],[dias de credito]]&gt;=Tabla2[[#This Row],[PLAZO Días]],"venc", "No venc")</f>
        <v>venc</v>
      </c>
      <c r="V521" t="str">
        <f>+IF(Tabla2[[#This Row],[FECHA DE PAGO]]&gt;0,"pagada","por pagar")</f>
        <v>pagada</v>
      </c>
      <c r="W521" s="152" t="str">
        <f>+IF(AND(Tabla2[[#This Row],[venc]]="venc",Tabla2[[#This Row],[Columna1]]="por pagar"),"vencida","no")</f>
        <v>no</v>
      </c>
    </row>
    <row r="522" spans="1:23" x14ac:dyDescent="0.3">
      <c r="A522">
        <v>30</v>
      </c>
      <c r="B522">
        <v>8190204</v>
      </c>
      <c r="D522" t="s">
        <v>263</v>
      </c>
      <c r="E522" s="156">
        <v>44684</v>
      </c>
      <c r="F522" t="s">
        <v>1637</v>
      </c>
      <c r="G522" s="156">
        <v>44610</v>
      </c>
      <c r="H522">
        <v>24751</v>
      </c>
      <c r="I522">
        <v>1656000</v>
      </c>
      <c r="K522">
        <v>314640</v>
      </c>
      <c r="M522">
        <v>0</v>
      </c>
      <c r="N522">
        <v>2.5000000000000001E-2</v>
      </c>
      <c r="O522">
        <v>41400</v>
      </c>
      <c r="P522" s="117">
        <v>1929240</v>
      </c>
      <c r="Q522" s="117" t="s">
        <v>1021</v>
      </c>
      <c r="R522" s="150">
        <v>0</v>
      </c>
      <c r="S522" s="117" t="b">
        <f>OR(COUNTIF(Tabla2[[#This Row],[PROVEEDOR]],"*"&amp;'Palabra no opera'!$A$2&amp;"*"))</f>
        <v>0</v>
      </c>
      <c r="T522" s="150">
        <f>+$W$5-Tabla2[[#This Row],[FECHA DE FACTURACIÓN]]</f>
        <v>224</v>
      </c>
      <c r="U522" t="str">
        <f>+IF(Tabla2[[#This Row],[dias de credito]]&gt;=Tabla2[[#This Row],[PLAZO Días]],"venc", "No venc")</f>
        <v>venc</v>
      </c>
      <c r="V522" t="str">
        <f>+IF(Tabla2[[#This Row],[FECHA DE PAGO]]&gt;0,"pagada","por pagar")</f>
        <v>pagada</v>
      </c>
      <c r="W522" s="152" t="str">
        <f>+IF(AND(Tabla2[[#This Row],[venc]]="venc",Tabla2[[#This Row],[Columna1]]="por pagar"),"vencida","no")</f>
        <v>no</v>
      </c>
    </row>
    <row r="523" spans="1:23" x14ac:dyDescent="0.3">
      <c r="A523">
        <v>30</v>
      </c>
      <c r="B523">
        <v>0</v>
      </c>
      <c r="D523" t="s">
        <v>277</v>
      </c>
      <c r="E523" s="156">
        <v>44684</v>
      </c>
      <c r="F523" t="s">
        <v>131</v>
      </c>
      <c r="G523" s="156">
        <v>44597</v>
      </c>
      <c r="H523">
        <v>51</v>
      </c>
      <c r="I523">
        <v>914118</v>
      </c>
      <c r="K523">
        <v>173682.42</v>
      </c>
      <c r="M523">
        <v>0</v>
      </c>
      <c r="N523">
        <v>0</v>
      </c>
      <c r="O523">
        <v>0</v>
      </c>
      <c r="P523" s="117">
        <v>1087800.42</v>
      </c>
      <c r="Q523" s="117" t="s">
        <v>1021</v>
      </c>
      <c r="R523" s="150">
        <v>0</v>
      </c>
      <c r="S523" s="117" t="b">
        <f>OR(COUNTIF(Tabla2[[#This Row],[PROVEEDOR]],"*"&amp;'Palabra no opera'!$A$2&amp;"*"))</f>
        <v>0</v>
      </c>
      <c r="T523" s="150">
        <f>+$W$5-Tabla2[[#This Row],[FECHA DE FACTURACIÓN]]</f>
        <v>237</v>
      </c>
      <c r="U523" t="str">
        <f>+IF(Tabla2[[#This Row],[dias de credito]]&gt;=Tabla2[[#This Row],[PLAZO Días]],"venc", "No venc")</f>
        <v>venc</v>
      </c>
      <c r="V523" t="str">
        <f>+IF(Tabla2[[#This Row],[FECHA DE PAGO]]&gt;0,"pagada","por pagar")</f>
        <v>pagada</v>
      </c>
      <c r="W523" s="152" t="str">
        <f>+IF(AND(Tabla2[[#This Row],[venc]]="venc",Tabla2[[#This Row],[Columna1]]="por pagar"),"vencida","no")</f>
        <v>no</v>
      </c>
    </row>
    <row r="524" spans="1:23" x14ac:dyDescent="0.3">
      <c r="A524">
        <v>30</v>
      </c>
      <c r="B524">
        <v>2749000</v>
      </c>
      <c r="D524">
        <v>0</v>
      </c>
      <c r="E524" s="156">
        <v>44684</v>
      </c>
      <c r="F524" t="s">
        <v>649</v>
      </c>
      <c r="G524" s="156">
        <v>44594</v>
      </c>
      <c r="H524" t="s">
        <v>1379</v>
      </c>
      <c r="I524">
        <v>1356000</v>
      </c>
      <c r="K524">
        <v>0</v>
      </c>
      <c r="M524">
        <v>0</v>
      </c>
      <c r="N524">
        <v>0</v>
      </c>
      <c r="O524">
        <v>0</v>
      </c>
      <c r="P524" s="117">
        <v>1356000</v>
      </c>
      <c r="Q524" s="117" t="s">
        <v>1021</v>
      </c>
      <c r="R524" s="150">
        <v>0</v>
      </c>
      <c r="S524" s="117" t="b">
        <f>OR(COUNTIF(Tabla2[[#This Row],[PROVEEDOR]],"*"&amp;'Palabra no opera'!$A$2&amp;"*"))</f>
        <v>0</v>
      </c>
      <c r="T524" s="150">
        <f>+$W$5-Tabla2[[#This Row],[FECHA DE FACTURACIÓN]]</f>
        <v>240</v>
      </c>
      <c r="U524" t="str">
        <f>+IF(Tabla2[[#This Row],[dias de credito]]&gt;=Tabla2[[#This Row],[PLAZO Días]],"venc", "No venc")</f>
        <v>venc</v>
      </c>
      <c r="V524" t="str">
        <f>+IF(Tabla2[[#This Row],[FECHA DE PAGO]]&gt;0,"pagada","por pagar")</f>
        <v>pagada</v>
      </c>
      <c r="W524" s="152" t="str">
        <f>+IF(AND(Tabla2[[#This Row],[venc]]="venc",Tabla2[[#This Row],[Columna1]]="por pagar"),"vencida","no")</f>
        <v>no</v>
      </c>
    </row>
    <row r="525" spans="1:23" x14ac:dyDescent="0.3">
      <c r="A525">
        <v>60</v>
      </c>
      <c r="B525">
        <v>8889300</v>
      </c>
      <c r="D525">
        <v>0</v>
      </c>
      <c r="E525" s="156">
        <v>44684</v>
      </c>
      <c r="F525" t="s">
        <v>1429</v>
      </c>
      <c r="G525" s="156">
        <v>44593</v>
      </c>
      <c r="H525" t="s">
        <v>773</v>
      </c>
      <c r="I525">
        <v>7278800</v>
      </c>
      <c r="K525">
        <v>1382972</v>
      </c>
      <c r="M525">
        <v>0</v>
      </c>
      <c r="N525">
        <v>0</v>
      </c>
      <c r="O525">
        <v>0</v>
      </c>
      <c r="P525" s="117">
        <v>8661772</v>
      </c>
      <c r="Q525" s="117" t="s">
        <v>1021</v>
      </c>
      <c r="R525" s="150">
        <v>0</v>
      </c>
      <c r="S525" s="117" t="b">
        <f>OR(COUNTIF(Tabla2[[#This Row],[PROVEEDOR]],"*"&amp;'Palabra no opera'!$A$2&amp;"*"))</f>
        <v>1</v>
      </c>
      <c r="T525" s="150">
        <f>+$W$5-Tabla2[[#This Row],[FECHA DE FACTURACIÓN]]</f>
        <v>241</v>
      </c>
      <c r="U525" t="str">
        <f>+IF(Tabla2[[#This Row],[dias de credito]]&gt;=Tabla2[[#This Row],[PLAZO Días]],"venc", "No venc")</f>
        <v>venc</v>
      </c>
      <c r="V525" t="str">
        <f>+IF(Tabla2[[#This Row],[FECHA DE PAGO]]&gt;0,"pagada","por pagar")</f>
        <v>pagada</v>
      </c>
      <c r="W525" s="152" t="str">
        <f>+IF(AND(Tabla2[[#This Row],[venc]]="venc",Tabla2[[#This Row],[Columna1]]="por pagar"),"vencida","no")</f>
        <v>no</v>
      </c>
    </row>
    <row r="526" spans="1:23" x14ac:dyDescent="0.3">
      <c r="A526">
        <v>30</v>
      </c>
      <c r="B526">
        <v>0</v>
      </c>
      <c r="D526" t="s">
        <v>139</v>
      </c>
      <c r="E526" s="156">
        <v>44683</v>
      </c>
      <c r="F526" t="s">
        <v>1130</v>
      </c>
      <c r="G526" s="156">
        <v>44699</v>
      </c>
      <c r="H526" t="s">
        <v>973</v>
      </c>
      <c r="I526">
        <v>76000</v>
      </c>
      <c r="K526">
        <v>0</v>
      </c>
      <c r="M526">
        <v>0</v>
      </c>
      <c r="N526">
        <v>0</v>
      </c>
      <c r="O526">
        <v>0</v>
      </c>
      <c r="P526" s="117">
        <v>76000</v>
      </c>
      <c r="Q526" s="117" t="s">
        <v>1021</v>
      </c>
      <c r="R526" s="150">
        <v>0</v>
      </c>
      <c r="S526" s="117" t="b">
        <f>OR(COUNTIF(Tabla2[[#This Row],[PROVEEDOR]],"*"&amp;'Palabra no opera'!$A$2&amp;"*"))</f>
        <v>1</v>
      </c>
      <c r="T526" s="150">
        <f>+$W$5-Tabla2[[#This Row],[FECHA DE FACTURACIÓN]]</f>
        <v>135</v>
      </c>
      <c r="U526" t="str">
        <f>+IF(Tabla2[[#This Row],[dias de credito]]&gt;=Tabla2[[#This Row],[PLAZO Días]],"venc", "No venc")</f>
        <v>venc</v>
      </c>
      <c r="V526" t="str">
        <f>+IF(Tabla2[[#This Row],[FECHA DE PAGO]]&gt;0,"pagada","por pagar")</f>
        <v>pagada</v>
      </c>
      <c r="W526" s="152" t="str">
        <f>+IF(AND(Tabla2[[#This Row],[venc]]="venc",Tabla2[[#This Row],[Columna1]]="por pagar"),"vencida","no")</f>
        <v>no</v>
      </c>
    </row>
    <row r="527" spans="1:23" x14ac:dyDescent="0.3">
      <c r="A527">
        <v>30</v>
      </c>
      <c r="B527">
        <v>0</v>
      </c>
      <c r="D527" t="s">
        <v>139</v>
      </c>
      <c r="E527" s="156">
        <v>44683</v>
      </c>
      <c r="F527" t="s">
        <v>638</v>
      </c>
      <c r="G527" s="156">
        <v>44682</v>
      </c>
      <c r="H527" t="s">
        <v>965</v>
      </c>
      <c r="I527">
        <v>4438000</v>
      </c>
      <c r="K527">
        <v>0</v>
      </c>
      <c r="M527">
        <v>0</v>
      </c>
      <c r="N527">
        <v>0</v>
      </c>
      <c r="O527">
        <v>0</v>
      </c>
      <c r="P527" s="117">
        <v>4438000</v>
      </c>
      <c r="Q527" s="117" t="s">
        <v>1021</v>
      </c>
      <c r="R527" s="150">
        <v>0</v>
      </c>
      <c r="S527" s="117" t="b">
        <f>OR(COUNTIF(Tabla2[[#This Row],[PROVEEDOR]],"*"&amp;'Palabra no opera'!$A$2&amp;"*"))</f>
        <v>0</v>
      </c>
      <c r="T527" s="150">
        <f>+$W$5-Tabla2[[#This Row],[FECHA DE FACTURACIÓN]]</f>
        <v>152</v>
      </c>
      <c r="U527" t="str">
        <f>+IF(Tabla2[[#This Row],[dias de credito]]&gt;=Tabla2[[#This Row],[PLAZO Días]],"venc", "No venc")</f>
        <v>venc</v>
      </c>
      <c r="V527" t="str">
        <f>+IF(Tabla2[[#This Row],[FECHA DE PAGO]]&gt;0,"pagada","por pagar")</f>
        <v>pagada</v>
      </c>
      <c r="W527" s="152" t="str">
        <f>+IF(AND(Tabla2[[#This Row],[venc]]="venc",Tabla2[[#This Row],[Columna1]]="por pagar"),"vencida","no")</f>
        <v>no</v>
      </c>
    </row>
    <row r="528" spans="1:23" x14ac:dyDescent="0.3">
      <c r="A528">
        <v>30</v>
      </c>
      <c r="B528">
        <v>0</v>
      </c>
      <c r="D528" t="s">
        <v>139</v>
      </c>
      <c r="E528" s="156">
        <v>44681</v>
      </c>
      <c r="F528" t="s">
        <v>644</v>
      </c>
      <c r="G528" s="156">
        <v>44681</v>
      </c>
      <c r="H528" t="s">
        <v>598</v>
      </c>
      <c r="I528">
        <v>370000</v>
      </c>
      <c r="K528">
        <v>0</v>
      </c>
      <c r="M528">
        <v>0</v>
      </c>
      <c r="N528">
        <v>0</v>
      </c>
      <c r="O528">
        <v>0</v>
      </c>
      <c r="P528" s="117">
        <v>370000</v>
      </c>
      <c r="Q528" s="117" t="s">
        <v>1021</v>
      </c>
      <c r="R528" s="150">
        <v>0</v>
      </c>
      <c r="S528" s="117" t="b">
        <f>OR(COUNTIF(Tabla2[[#This Row],[PROVEEDOR]],"*"&amp;'Palabra no opera'!$A$2&amp;"*"))</f>
        <v>0</v>
      </c>
      <c r="T528" s="150">
        <f>+$W$5-Tabla2[[#This Row],[FECHA DE FACTURACIÓN]]</f>
        <v>153</v>
      </c>
      <c r="U528" t="str">
        <f>+IF(Tabla2[[#This Row],[dias de credito]]&gt;=Tabla2[[#This Row],[PLAZO Días]],"venc", "No venc")</f>
        <v>venc</v>
      </c>
      <c r="V528" t="str">
        <f>+IF(Tabla2[[#This Row],[FECHA DE PAGO]]&gt;0,"pagada","por pagar")</f>
        <v>pagada</v>
      </c>
      <c r="W528" s="152" t="str">
        <f>+IF(AND(Tabla2[[#This Row],[venc]]="venc",Tabla2[[#This Row],[Columna1]]="por pagar"),"vencida","no")</f>
        <v>no</v>
      </c>
    </row>
    <row r="529" spans="1:23" x14ac:dyDescent="0.3">
      <c r="A529">
        <v>30</v>
      </c>
      <c r="B529">
        <v>0</v>
      </c>
      <c r="D529" t="s">
        <v>139</v>
      </c>
      <c r="E529" s="156">
        <v>44681</v>
      </c>
      <c r="F529" t="s">
        <v>644</v>
      </c>
      <c r="G529" s="156">
        <v>44681</v>
      </c>
      <c r="H529" t="s">
        <v>174</v>
      </c>
      <c r="I529">
        <v>775000</v>
      </c>
      <c r="K529">
        <v>0</v>
      </c>
      <c r="M529">
        <v>0</v>
      </c>
      <c r="N529">
        <v>0</v>
      </c>
      <c r="O529">
        <v>0</v>
      </c>
      <c r="P529" s="117">
        <v>775000</v>
      </c>
      <c r="Q529" s="117" t="s">
        <v>1021</v>
      </c>
      <c r="R529" s="150">
        <v>0</v>
      </c>
      <c r="S529" s="117" t="b">
        <f>OR(COUNTIF(Tabla2[[#This Row],[PROVEEDOR]],"*"&amp;'Palabra no opera'!$A$2&amp;"*"))</f>
        <v>0</v>
      </c>
      <c r="T529" s="150">
        <f>+$W$5-Tabla2[[#This Row],[FECHA DE FACTURACIÓN]]</f>
        <v>153</v>
      </c>
      <c r="U529" t="str">
        <f>+IF(Tabla2[[#This Row],[dias de credito]]&gt;=Tabla2[[#This Row],[PLAZO Días]],"venc", "No venc")</f>
        <v>venc</v>
      </c>
      <c r="V529" t="str">
        <f>+IF(Tabla2[[#This Row],[FECHA DE PAGO]]&gt;0,"pagada","por pagar")</f>
        <v>pagada</v>
      </c>
      <c r="W529" s="152" t="str">
        <f>+IF(AND(Tabla2[[#This Row],[venc]]="venc",Tabla2[[#This Row],[Columna1]]="por pagar"),"vencida","no")</f>
        <v>no</v>
      </c>
    </row>
    <row r="530" spans="1:23" x14ac:dyDescent="0.3">
      <c r="A530">
        <v>30</v>
      </c>
      <c r="B530">
        <v>0</v>
      </c>
      <c r="D530" t="s">
        <v>139</v>
      </c>
      <c r="E530" s="156">
        <v>44681</v>
      </c>
      <c r="F530" t="s">
        <v>644</v>
      </c>
      <c r="G530" s="156">
        <v>44681</v>
      </c>
      <c r="H530" t="s">
        <v>596</v>
      </c>
      <c r="I530">
        <v>126000</v>
      </c>
      <c r="K530">
        <v>0</v>
      </c>
      <c r="M530">
        <v>0</v>
      </c>
      <c r="N530">
        <v>0</v>
      </c>
      <c r="O530">
        <v>0</v>
      </c>
      <c r="P530" s="117">
        <v>126000</v>
      </c>
      <c r="Q530" s="117" t="s">
        <v>1021</v>
      </c>
      <c r="R530" s="150">
        <v>0</v>
      </c>
      <c r="S530" s="117" t="b">
        <f>OR(COUNTIF(Tabla2[[#This Row],[PROVEEDOR]],"*"&amp;'Palabra no opera'!$A$2&amp;"*"))</f>
        <v>0</v>
      </c>
      <c r="T530" s="150">
        <f>+$W$5-Tabla2[[#This Row],[FECHA DE FACTURACIÓN]]</f>
        <v>153</v>
      </c>
      <c r="U530" t="str">
        <f>+IF(Tabla2[[#This Row],[dias de credito]]&gt;=Tabla2[[#This Row],[PLAZO Días]],"venc", "No venc")</f>
        <v>venc</v>
      </c>
      <c r="V530" t="str">
        <f>+IF(Tabla2[[#This Row],[FECHA DE PAGO]]&gt;0,"pagada","por pagar")</f>
        <v>pagada</v>
      </c>
      <c r="W530" s="152" t="str">
        <f>+IF(AND(Tabla2[[#This Row],[venc]]="venc",Tabla2[[#This Row],[Columna1]]="por pagar"),"vencida","no")</f>
        <v>no</v>
      </c>
    </row>
    <row r="531" spans="1:23" x14ac:dyDescent="0.3">
      <c r="A531">
        <v>30</v>
      </c>
      <c r="B531">
        <v>0</v>
      </c>
      <c r="D531" t="s">
        <v>139</v>
      </c>
      <c r="E531" s="156">
        <v>44681</v>
      </c>
      <c r="F531" t="s">
        <v>644</v>
      </c>
      <c r="G531" s="156">
        <v>44681</v>
      </c>
      <c r="H531" t="s">
        <v>595</v>
      </c>
      <c r="I531">
        <v>2012800</v>
      </c>
      <c r="K531">
        <v>0</v>
      </c>
      <c r="M531">
        <v>0</v>
      </c>
      <c r="N531">
        <v>0</v>
      </c>
      <c r="O531">
        <v>0</v>
      </c>
      <c r="P531" s="117">
        <v>2012800</v>
      </c>
      <c r="Q531" s="117" t="s">
        <v>1021</v>
      </c>
      <c r="R531" s="150">
        <v>0</v>
      </c>
      <c r="S531" s="117" t="b">
        <f>OR(COUNTIF(Tabla2[[#This Row],[PROVEEDOR]],"*"&amp;'Palabra no opera'!$A$2&amp;"*"))</f>
        <v>0</v>
      </c>
      <c r="T531" s="150">
        <f>+$W$5-Tabla2[[#This Row],[FECHA DE FACTURACIÓN]]</f>
        <v>153</v>
      </c>
      <c r="U531" t="str">
        <f>+IF(Tabla2[[#This Row],[dias de credito]]&gt;=Tabla2[[#This Row],[PLAZO Días]],"venc", "No venc")</f>
        <v>venc</v>
      </c>
      <c r="V531" t="str">
        <f>+IF(Tabla2[[#This Row],[FECHA DE PAGO]]&gt;0,"pagada","por pagar")</f>
        <v>pagada</v>
      </c>
      <c r="W531" s="152" t="str">
        <f>+IF(AND(Tabla2[[#This Row],[venc]]="venc",Tabla2[[#This Row],[Columna1]]="por pagar"),"vencida","no")</f>
        <v>no</v>
      </c>
    </row>
    <row r="532" spans="1:23" x14ac:dyDescent="0.3">
      <c r="A532">
        <v>30</v>
      </c>
      <c r="B532">
        <v>0</v>
      </c>
      <c r="D532" t="s">
        <v>139</v>
      </c>
      <c r="E532" s="156">
        <v>44681</v>
      </c>
      <c r="F532" t="s">
        <v>644</v>
      </c>
      <c r="G532" s="156">
        <v>44681</v>
      </c>
      <c r="H532" t="s">
        <v>945</v>
      </c>
      <c r="I532">
        <v>118000</v>
      </c>
      <c r="K532">
        <v>0</v>
      </c>
      <c r="M532">
        <v>0</v>
      </c>
      <c r="N532">
        <v>0</v>
      </c>
      <c r="O532">
        <v>0</v>
      </c>
      <c r="P532" s="117">
        <v>118000</v>
      </c>
      <c r="Q532" s="117" t="s">
        <v>1021</v>
      </c>
      <c r="R532" s="150">
        <v>0</v>
      </c>
      <c r="S532" s="117" t="b">
        <f>OR(COUNTIF(Tabla2[[#This Row],[PROVEEDOR]],"*"&amp;'Palabra no opera'!$A$2&amp;"*"))</f>
        <v>0</v>
      </c>
      <c r="T532" s="150">
        <f>+$W$5-Tabla2[[#This Row],[FECHA DE FACTURACIÓN]]</f>
        <v>153</v>
      </c>
      <c r="U532" t="str">
        <f>+IF(Tabla2[[#This Row],[dias de credito]]&gt;=Tabla2[[#This Row],[PLAZO Días]],"venc", "No venc")</f>
        <v>venc</v>
      </c>
      <c r="V532" t="str">
        <f>+IF(Tabla2[[#This Row],[FECHA DE PAGO]]&gt;0,"pagada","por pagar")</f>
        <v>pagada</v>
      </c>
      <c r="W532" s="152" t="str">
        <f>+IF(AND(Tabla2[[#This Row],[venc]]="venc",Tabla2[[#This Row],[Columna1]]="por pagar"),"vencida","no")</f>
        <v>no</v>
      </c>
    </row>
    <row r="533" spans="1:23" x14ac:dyDescent="0.3">
      <c r="A533">
        <v>30</v>
      </c>
      <c r="B533">
        <v>0</v>
      </c>
      <c r="D533" t="s">
        <v>139</v>
      </c>
      <c r="E533" s="156">
        <v>44681</v>
      </c>
      <c r="F533" t="s">
        <v>644</v>
      </c>
      <c r="G533" s="156">
        <v>44681</v>
      </c>
      <c r="H533" t="s">
        <v>597</v>
      </c>
      <c r="I533">
        <v>447000</v>
      </c>
      <c r="K533">
        <v>0</v>
      </c>
      <c r="M533">
        <v>0</v>
      </c>
      <c r="N533">
        <v>0</v>
      </c>
      <c r="O533">
        <v>0</v>
      </c>
      <c r="P533" s="117">
        <v>447000</v>
      </c>
      <c r="Q533" s="117" t="s">
        <v>1021</v>
      </c>
      <c r="R533" s="150">
        <v>0</v>
      </c>
      <c r="S533" s="117" t="b">
        <f>OR(COUNTIF(Tabla2[[#This Row],[PROVEEDOR]],"*"&amp;'Palabra no opera'!$A$2&amp;"*"))</f>
        <v>0</v>
      </c>
      <c r="T533" s="150">
        <f>+$W$5-Tabla2[[#This Row],[FECHA DE FACTURACIÓN]]</f>
        <v>153</v>
      </c>
      <c r="U533" t="str">
        <f>+IF(Tabla2[[#This Row],[dias de credito]]&gt;=Tabla2[[#This Row],[PLAZO Días]],"venc", "No venc")</f>
        <v>venc</v>
      </c>
      <c r="V533" t="str">
        <f>+IF(Tabla2[[#This Row],[FECHA DE PAGO]]&gt;0,"pagada","por pagar")</f>
        <v>pagada</v>
      </c>
      <c r="W533" s="152" t="str">
        <f>+IF(AND(Tabla2[[#This Row],[venc]]="venc",Tabla2[[#This Row],[Columna1]]="por pagar"),"vencida","no")</f>
        <v>no</v>
      </c>
    </row>
    <row r="534" spans="1:23" x14ac:dyDescent="0.3">
      <c r="A534">
        <v>30</v>
      </c>
      <c r="B534">
        <v>0</v>
      </c>
      <c r="D534" t="s">
        <v>139</v>
      </c>
      <c r="E534" s="156">
        <v>44680</v>
      </c>
      <c r="F534" t="s">
        <v>661</v>
      </c>
      <c r="G534" s="156">
        <v>44680</v>
      </c>
      <c r="H534" t="s">
        <v>1381</v>
      </c>
      <c r="I534">
        <v>1300000</v>
      </c>
      <c r="K534">
        <v>0</v>
      </c>
      <c r="M534">
        <v>0</v>
      </c>
      <c r="N534">
        <v>0</v>
      </c>
      <c r="O534">
        <v>0</v>
      </c>
      <c r="P534" s="117">
        <v>1300000</v>
      </c>
      <c r="Q534" s="117" t="s">
        <v>1021</v>
      </c>
      <c r="R534" s="150">
        <v>0</v>
      </c>
      <c r="S534" s="117" t="b">
        <f>OR(COUNTIF(Tabla2[[#This Row],[PROVEEDOR]],"*"&amp;'Palabra no opera'!$A$2&amp;"*"))</f>
        <v>0</v>
      </c>
      <c r="T534" s="150">
        <f>+$W$5-Tabla2[[#This Row],[FECHA DE FACTURACIÓN]]</f>
        <v>154</v>
      </c>
      <c r="U534" t="str">
        <f>+IF(Tabla2[[#This Row],[dias de credito]]&gt;=Tabla2[[#This Row],[PLAZO Días]],"venc", "No venc")</f>
        <v>venc</v>
      </c>
      <c r="V534" t="str">
        <f>+IF(Tabla2[[#This Row],[FECHA DE PAGO]]&gt;0,"pagada","por pagar")</f>
        <v>pagada</v>
      </c>
      <c r="W534" s="152" t="str">
        <f>+IF(AND(Tabla2[[#This Row],[venc]]="venc",Tabla2[[#This Row],[Columna1]]="por pagar"),"vencida","no")</f>
        <v>no</v>
      </c>
    </row>
    <row r="535" spans="1:23" x14ac:dyDescent="0.3">
      <c r="A535">
        <v>30</v>
      </c>
      <c r="B535">
        <v>0</v>
      </c>
      <c r="D535" t="s">
        <v>139</v>
      </c>
      <c r="E535" s="156">
        <v>44680</v>
      </c>
      <c r="F535" t="s">
        <v>673</v>
      </c>
      <c r="G535" s="156">
        <v>44680</v>
      </c>
      <c r="I535">
        <v>900000</v>
      </c>
      <c r="K535">
        <v>0</v>
      </c>
      <c r="M535">
        <v>0</v>
      </c>
      <c r="N535">
        <v>0</v>
      </c>
      <c r="O535">
        <v>0</v>
      </c>
      <c r="P535" s="117">
        <v>900000</v>
      </c>
      <c r="Q535" s="117" t="s">
        <v>1021</v>
      </c>
      <c r="R535" s="150">
        <v>0</v>
      </c>
      <c r="S535" s="117" t="b">
        <f>OR(COUNTIF(Tabla2[[#This Row],[PROVEEDOR]],"*"&amp;'Palabra no opera'!$A$2&amp;"*"))</f>
        <v>0</v>
      </c>
      <c r="T535" s="150">
        <f>+$W$5-Tabla2[[#This Row],[FECHA DE FACTURACIÓN]]</f>
        <v>154</v>
      </c>
      <c r="U535" t="str">
        <f>+IF(Tabla2[[#This Row],[dias de credito]]&gt;=Tabla2[[#This Row],[PLAZO Días]],"venc", "No venc")</f>
        <v>venc</v>
      </c>
      <c r="V535" t="str">
        <f>+IF(Tabla2[[#This Row],[FECHA DE PAGO]]&gt;0,"pagada","por pagar")</f>
        <v>pagada</v>
      </c>
      <c r="W535" s="152" t="str">
        <f>+IF(AND(Tabla2[[#This Row],[venc]]="venc",Tabla2[[#This Row],[Columna1]]="por pagar"),"vencida","no")</f>
        <v>no</v>
      </c>
    </row>
    <row r="536" spans="1:23" x14ac:dyDescent="0.3">
      <c r="A536">
        <v>60</v>
      </c>
      <c r="B536">
        <v>8889300</v>
      </c>
      <c r="D536">
        <v>0</v>
      </c>
      <c r="E536" s="156">
        <v>44678</v>
      </c>
      <c r="F536" t="s">
        <v>1429</v>
      </c>
      <c r="G536" s="156">
        <v>44678</v>
      </c>
      <c r="H536" t="s">
        <v>1084</v>
      </c>
      <c r="I536">
        <v>-615900</v>
      </c>
      <c r="K536">
        <v>-117021</v>
      </c>
      <c r="M536">
        <v>0</v>
      </c>
      <c r="N536">
        <v>0</v>
      </c>
      <c r="O536">
        <v>0</v>
      </c>
      <c r="P536" s="117">
        <v>-732921</v>
      </c>
      <c r="Q536" s="117" t="s">
        <v>1021</v>
      </c>
      <c r="R536" s="150">
        <v>0</v>
      </c>
      <c r="S536" s="117" t="b">
        <f>OR(COUNTIF(Tabla2[[#This Row],[PROVEEDOR]],"*"&amp;'Palabra no opera'!$A$2&amp;"*"))</f>
        <v>1</v>
      </c>
      <c r="T536" s="150">
        <f>+$W$5-Tabla2[[#This Row],[FECHA DE FACTURACIÓN]]</f>
        <v>156</v>
      </c>
      <c r="U536" t="str">
        <f>+IF(Tabla2[[#This Row],[dias de credito]]&gt;=Tabla2[[#This Row],[PLAZO Días]],"venc", "No venc")</f>
        <v>venc</v>
      </c>
      <c r="V536" t="str">
        <f>+IF(Tabla2[[#This Row],[FECHA DE PAGO]]&gt;0,"pagada","por pagar")</f>
        <v>pagada</v>
      </c>
      <c r="W536" s="152" t="str">
        <f>+IF(AND(Tabla2[[#This Row],[venc]]="venc",Tabla2[[#This Row],[Columna1]]="por pagar"),"vencida","no")</f>
        <v>no</v>
      </c>
    </row>
    <row r="537" spans="1:23" x14ac:dyDescent="0.3">
      <c r="A537">
        <v>60</v>
      </c>
      <c r="B537">
        <v>8889300</v>
      </c>
      <c r="D537">
        <v>0</v>
      </c>
      <c r="E537" s="156">
        <v>44678</v>
      </c>
      <c r="F537" t="s">
        <v>1429</v>
      </c>
      <c r="G537" s="156">
        <v>44672</v>
      </c>
      <c r="H537" t="s">
        <v>891</v>
      </c>
      <c r="I537">
        <v>615900</v>
      </c>
      <c r="K537">
        <v>117021</v>
      </c>
      <c r="M537">
        <v>0</v>
      </c>
      <c r="N537">
        <v>0</v>
      </c>
      <c r="O537">
        <v>0</v>
      </c>
      <c r="P537" s="117">
        <v>732921</v>
      </c>
      <c r="Q537" s="117" t="s">
        <v>1021</v>
      </c>
      <c r="R537" s="150">
        <v>0</v>
      </c>
      <c r="S537" s="117" t="b">
        <f>OR(COUNTIF(Tabla2[[#This Row],[PROVEEDOR]],"*"&amp;'Palabra no opera'!$A$2&amp;"*"))</f>
        <v>1</v>
      </c>
      <c r="T537" s="150">
        <f>+$W$5-Tabla2[[#This Row],[FECHA DE FACTURACIÓN]]</f>
        <v>162</v>
      </c>
      <c r="U537" t="str">
        <f>+IF(Tabla2[[#This Row],[dias de credito]]&gt;=Tabla2[[#This Row],[PLAZO Días]],"venc", "No venc")</f>
        <v>venc</v>
      </c>
      <c r="V537" t="str">
        <f>+IF(Tabla2[[#This Row],[FECHA DE PAGO]]&gt;0,"pagada","por pagar")</f>
        <v>pagada</v>
      </c>
      <c r="W537" s="152" t="str">
        <f>+IF(AND(Tabla2[[#This Row],[venc]]="venc",Tabla2[[#This Row],[Columna1]]="por pagar"),"vencida","no")</f>
        <v>no</v>
      </c>
    </row>
    <row r="538" spans="1:23" x14ac:dyDescent="0.3">
      <c r="A538">
        <v>30</v>
      </c>
      <c r="B538">
        <v>0</v>
      </c>
      <c r="D538" t="s">
        <v>259</v>
      </c>
      <c r="E538" s="156">
        <v>44678</v>
      </c>
      <c r="F538" t="s">
        <v>918</v>
      </c>
      <c r="G538" s="156">
        <v>44652</v>
      </c>
      <c r="H538">
        <v>10316</v>
      </c>
      <c r="I538">
        <v>1922190</v>
      </c>
      <c r="K538">
        <v>0</v>
      </c>
      <c r="M538">
        <v>0</v>
      </c>
      <c r="N538">
        <v>0</v>
      </c>
      <c r="O538">
        <v>0</v>
      </c>
      <c r="P538" s="117">
        <v>1922190</v>
      </c>
      <c r="Q538" s="117" t="s">
        <v>1021</v>
      </c>
      <c r="R538" s="150">
        <v>0</v>
      </c>
      <c r="S538" s="117" t="b">
        <f>OR(COUNTIF(Tabla2[[#This Row],[PROVEEDOR]],"*"&amp;'Palabra no opera'!$A$2&amp;"*"))</f>
        <v>1</v>
      </c>
      <c r="T538" s="150">
        <f>+$W$5-Tabla2[[#This Row],[FECHA DE FACTURACIÓN]]</f>
        <v>182</v>
      </c>
      <c r="U538" t="str">
        <f>+IF(Tabla2[[#This Row],[dias de credito]]&gt;=Tabla2[[#This Row],[PLAZO Días]],"venc", "No venc")</f>
        <v>venc</v>
      </c>
      <c r="V538" t="str">
        <f>+IF(Tabla2[[#This Row],[FECHA DE PAGO]]&gt;0,"pagada","por pagar")</f>
        <v>pagada</v>
      </c>
      <c r="W538" s="152" t="str">
        <f>+IF(AND(Tabla2[[#This Row],[venc]]="venc",Tabla2[[#This Row],[Columna1]]="por pagar"),"vencida","no")</f>
        <v>no</v>
      </c>
    </row>
    <row r="539" spans="1:23" x14ac:dyDescent="0.3">
      <c r="A539">
        <v>30</v>
      </c>
      <c r="B539">
        <v>0</v>
      </c>
      <c r="D539" t="s">
        <v>650</v>
      </c>
      <c r="E539" s="156">
        <v>44678</v>
      </c>
      <c r="F539" t="s">
        <v>913</v>
      </c>
      <c r="G539" s="156">
        <v>44652</v>
      </c>
      <c r="H539" t="s">
        <v>959</v>
      </c>
      <c r="I539">
        <v>3294426</v>
      </c>
      <c r="K539">
        <v>625940.94000000006</v>
      </c>
      <c r="M539">
        <v>0</v>
      </c>
      <c r="N539">
        <v>0</v>
      </c>
      <c r="O539">
        <v>0</v>
      </c>
      <c r="P539" s="117">
        <v>3920366.94</v>
      </c>
      <c r="Q539" s="117" t="s">
        <v>1021</v>
      </c>
      <c r="R539" s="150">
        <v>0</v>
      </c>
      <c r="S539" s="117" t="b">
        <f>OR(COUNTIF(Tabla2[[#This Row],[PROVEEDOR]],"*"&amp;'Palabra no opera'!$A$2&amp;"*"))</f>
        <v>1</v>
      </c>
      <c r="T539" s="150">
        <f>+$W$5-Tabla2[[#This Row],[FECHA DE FACTURACIÓN]]</f>
        <v>182</v>
      </c>
      <c r="U539" t="str">
        <f>+IF(Tabla2[[#This Row],[dias de credito]]&gt;=Tabla2[[#This Row],[PLAZO Días]],"venc", "No venc")</f>
        <v>venc</v>
      </c>
      <c r="V539" t="str">
        <f>+IF(Tabla2[[#This Row],[FECHA DE PAGO]]&gt;0,"pagada","por pagar")</f>
        <v>pagada</v>
      </c>
      <c r="W539" s="152" t="str">
        <f>+IF(AND(Tabla2[[#This Row],[venc]]="venc",Tabla2[[#This Row],[Columna1]]="por pagar"),"vencida","no")</f>
        <v>no</v>
      </c>
    </row>
    <row r="540" spans="1:23" x14ac:dyDescent="0.3">
      <c r="A540">
        <v>30</v>
      </c>
      <c r="B540">
        <v>0</v>
      </c>
      <c r="D540" t="s">
        <v>650</v>
      </c>
      <c r="E540" s="156">
        <v>44678</v>
      </c>
      <c r="F540" t="s">
        <v>913</v>
      </c>
      <c r="G540" s="156">
        <v>44652</v>
      </c>
      <c r="H540" t="s">
        <v>960</v>
      </c>
      <c r="I540">
        <v>791781</v>
      </c>
      <c r="K540">
        <v>150438.39000000001</v>
      </c>
      <c r="M540">
        <v>0</v>
      </c>
      <c r="N540">
        <v>0</v>
      </c>
      <c r="O540">
        <v>0</v>
      </c>
      <c r="P540" s="117">
        <v>942219.39</v>
      </c>
      <c r="Q540" s="117" t="s">
        <v>1021</v>
      </c>
      <c r="R540" s="150">
        <v>0</v>
      </c>
      <c r="S540" s="117" t="b">
        <f>OR(COUNTIF(Tabla2[[#This Row],[PROVEEDOR]],"*"&amp;'Palabra no opera'!$A$2&amp;"*"))</f>
        <v>1</v>
      </c>
      <c r="T540" s="150">
        <f>+$W$5-Tabla2[[#This Row],[FECHA DE FACTURACIÓN]]</f>
        <v>182</v>
      </c>
      <c r="U540" t="str">
        <f>+IF(Tabla2[[#This Row],[dias de credito]]&gt;=Tabla2[[#This Row],[PLAZO Días]],"venc", "No venc")</f>
        <v>venc</v>
      </c>
      <c r="V540" t="str">
        <f>+IF(Tabla2[[#This Row],[FECHA DE PAGO]]&gt;0,"pagada","por pagar")</f>
        <v>pagada</v>
      </c>
      <c r="W540" s="152" t="str">
        <f>+IF(AND(Tabla2[[#This Row],[venc]]="venc",Tabla2[[#This Row],[Columna1]]="por pagar"),"vencida","no")</f>
        <v>no</v>
      </c>
    </row>
    <row r="541" spans="1:23" x14ac:dyDescent="0.3">
      <c r="A541">
        <v>30</v>
      </c>
      <c r="B541">
        <v>0</v>
      </c>
      <c r="D541" t="s">
        <v>1688</v>
      </c>
      <c r="E541" s="156">
        <v>44678</v>
      </c>
      <c r="F541" t="s">
        <v>928</v>
      </c>
      <c r="G541" s="156">
        <v>44652</v>
      </c>
      <c r="H541" t="s">
        <v>895</v>
      </c>
      <c r="I541">
        <v>3958317</v>
      </c>
      <c r="K541">
        <v>0</v>
      </c>
      <c r="M541">
        <v>0</v>
      </c>
      <c r="N541">
        <v>3.5000000000000003E-2</v>
      </c>
      <c r="O541">
        <v>138541.095</v>
      </c>
      <c r="P541" s="117">
        <v>3819775.9049999998</v>
      </c>
      <c r="Q541" s="117" t="s">
        <v>1021</v>
      </c>
      <c r="R541" s="150">
        <v>0</v>
      </c>
      <c r="S541" s="117" t="b">
        <f>OR(COUNTIF(Tabla2[[#This Row],[PROVEEDOR]],"*"&amp;'Palabra no opera'!$A$2&amp;"*"))</f>
        <v>1</v>
      </c>
      <c r="T541" s="150">
        <f>+$W$5-Tabla2[[#This Row],[FECHA DE FACTURACIÓN]]</f>
        <v>182</v>
      </c>
      <c r="U541" t="str">
        <f>+IF(Tabla2[[#This Row],[dias de credito]]&gt;=Tabla2[[#This Row],[PLAZO Días]],"venc", "No venc")</f>
        <v>venc</v>
      </c>
      <c r="V541" t="str">
        <f>+IF(Tabla2[[#This Row],[FECHA DE PAGO]]&gt;0,"pagada","por pagar")</f>
        <v>pagada</v>
      </c>
      <c r="W541" s="152" t="str">
        <f>+IF(AND(Tabla2[[#This Row],[venc]]="venc",Tabla2[[#This Row],[Columna1]]="por pagar"),"vencida","no")</f>
        <v>no</v>
      </c>
    </row>
    <row r="542" spans="1:23" x14ac:dyDescent="0.3">
      <c r="A542">
        <v>30</v>
      </c>
      <c r="B542">
        <v>0</v>
      </c>
      <c r="D542" t="s">
        <v>267</v>
      </c>
      <c r="E542" s="156">
        <v>44678</v>
      </c>
      <c r="F542" t="s">
        <v>941</v>
      </c>
      <c r="G542" s="156">
        <v>44652</v>
      </c>
      <c r="H542">
        <v>4651</v>
      </c>
      <c r="I542">
        <v>215356</v>
      </c>
      <c r="K542">
        <v>40917.64</v>
      </c>
      <c r="M542">
        <v>0</v>
      </c>
      <c r="N542">
        <v>3.5000000000000003E-2</v>
      </c>
      <c r="O542">
        <v>7537.4600000000009</v>
      </c>
      <c r="P542" s="117">
        <v>248736.18000000002</v>
      </c>
      <c r="Q542" s="117" t="s">
        <v>1021</v>
      </c>
      <c r="R542" s="150">
        <v>0</v>
      </c>
      <c r="S542" s="117" t="b">
        <f>OR(COUNTIF(Tabla2[[#This Row],[PROVEEDOR]],"*"&amp;'Palabra no opera'!$A$2&amp;"*"))</f>
        <v>1</v>
      </c>
      <c r="T542" s="150">
        <f>+$W$5-Tabla2[[#This Row],[FECHA DE FACTURACIÓN]]</f>
        <v>182</v>
      </c>
      <c r="U542" t="str">
        <f>+IF(Tabla2[[#This Row],[dias de credito]]&gt;=Tabla2[[#This Row],[PLAZO Días]],"venc", "No venc")</f>
        <v>venc</v>
      </c>
      <c r="V542" t="str">
        <f>+IF(Tabla2[[#This Row],[FECHA DE PAGO]]&gt;0,"pagada","por pagar")</f>
        <v>pagada</v>
      </c>
      <c r="W542" s="152" t="str">
        <f>+IF(AND(Tabla2[[#This Row],[venc]]="venc",Tabla2[[#This Row],[Columna1]]="por pagar"),"vencida","no")</f>
        <v>no</v>
      </c>
    </row>
    <row r="543" spans="1:23" x14ac:dyDescent="0.3">
      <c r="A543">
        <v>20</v>
      </c>
      <c r="B543">
        <v>0</v>
      </c>
      <c r="D543" t="s">
        <v>275</v>
      </c>
      <c r="E543" s="156">
        <v>44678</v>
      </c>
      <c r="F543" t="s">
        <v>942</v>
      </c>
      <c r="G543" s="156">
        <v>44652</v>
      </c>
      <c r="H543">
        <v>42651</v>
      </c>
      <c r="I543">
        <v>4430000</v>
      </c>
      <c r="K543">
        <v>841700</v>
      </c>
      <c r="M543">
        <v>0</v>
      </c>
      <c r="N543">
        <v>3.5000000000000003E-2</v>
      </c>
      <c r="O543">
        <v>155050.00000000003</v>
      </c>
      <c r="P543" s="117">
        <v>5116650</v>
      </c>
      <c r="Q543" s="117" t="s">
        <v>1021</v>
      </c>
      <c r="R543" s="150">
        <v>0</v>
      </c>
      <c r="S543" s="117" t="b">
        <f>OR(COUNTIF(Tabla2[[#This Row],[PROVEEDOR]],"*"&amp;'Palabra no opera'!$A$2&amp;"*"))</f>
        <v>1</v>
      </c>
      <c r="T543" s="150">
        <f>+$W$5-Tabla2[[#This Row],[FECHA DE FACTURACIÓN]]</f>
        <v>182</v>
      </c>
      <c r="U543" t="str">
        <f>+IF(Tabla2[[#This Row],[dias de credito]]&gt;=Tabla2[[#This Row],[PLAZO Días]],"venc", "No venc")</f>
        <v>venc</v>
      </c>
      <c r="V543" t="str">
        <f>+IF(Tabla2[[#This Row],[FECHA DE PAGO]]&gt;0,"pagada","por pagar")</f>
        <v>pagada</v>
      </c>
      <c r="W543" s="152" t="str">
        <f>+IF(AND(Tabla2[[#This Row],[venc]]="venc",Tabla2[[#This Row],[Columna1]]="por pagar"),"vencida","no")</f>
        <v>no</v>
      </c>
    </row>
    <row r="544" spans="1:23" x14ac:dyDescent="0.3">
      <c r="A544">
        <v>20</v>
      </c>
      <c r="B544">
        <v>0</v>
      </c>
      <c r="D544" t="s">
        <v>275</v>
      </c>
      <c r="E544" s="156">
        <v>44678</v>
      </c>
      <c r="F544" t="s">
        <v>942</v>
      </c>
      <c r="G544" s="156">
        <v>44652</v>
      </c>
      <c r="H544" t="s">
        <v>894</v>
      </c>
      <c r="I544">
        <v>0</v>
      </c>
      <c r="K544">
        <v>0</v>
      </c>
      <c r="M544">
        <v>0</v>
      </c>
      <c r="N544">
        <v>3.5000000000000003E-2</v>
      </c>
      <c r="O544">
        <v>0</v>
      </c>
      <c r="P544" s="117">
        <v>47260</v>
      </c>
      <c r="Q544" s="117" t="s">
        <v>1021</v>
      </c>
      <c r="R544" s="150">
        <v>0</v>
      </c>
      <c r="S544" s="117" t="b">
        <f>OR(COUNTIF(Tabla2[[#This Row],[PROVEEDOR]],"*"&amp;'Palabra no opera'!$A$2&amp;"*"))</f>
        <v>1</v>
      </c>
      <c r="T544" s="150">
        <f>+$W$5-Tabla2[[#This Row],[FECHA DE FACTURACIÓN]]</f>
        <v>182</v>
      </c>
      <c r="U544" t="str">
        <f>+IF(Tabla2[[#This Row],[dias de credito]]&gt;=Tabla2[[#This Row],[PLAZO Días]],"venc", "No venc")</f>
        <v>venc</v>
      </c>
      <c r="V544" t="str">
        <f>+IF(Tabla2[[#This Row],[FECHA DE PAGO]]&gt;0,"pagada","por pagar")</f>
        <v>pagada</v>
      </c>
      <c r="W544" s="152" t="str">
        <f>+IF(AND(Tabla2[[#This Row],[venc]]="venc",Tabla2[[#This Row],[Columna1]]="por pagar"),"vencida","no")</f>
        <v>no</v>
      </c>
    </row>
    <row r="545" spans="1:23" x14ac:dyDescent="0.3">
      <c r="A545">
        <v>30</v>
      </c>
      <c r="B545">
        <v>0</v>
      </c>
      <c r="D545" t="s">
        <v>259</v>
      </c>
      <c r="E545" s="156">
        <v>44678</v>
      </c>
      <c r="F545" t="s">
        <v>918</v>
      </c>
      <c r="G545" s="156">
        <v>44650</v>
      </c>
      <c r="H545" t="s">
        <v>705</v>
      </c>
      <c r="I545">
        <v>-272331</v>
      </c>
      <c r="K545">
        <v>0</v>
      </c>
      <c r="M545">
        <v>0</v>
      </c>
      <c r="N545">
        <v>0</v>
      </c>
      <c r="O545">
        <v>0</v>
      </c>
      <c r="P545" s="117">
        <v>-272331</v>
      </c>
      <c r="Q545" s="117" t="s">
        <v>1021</v>
      </c>
      <c r="R545" s="150">
        <v>0</v>
      </c>
      <c r="S545" s="117" t="b">
        <f>OR(COUNTIF(Tabla2[[#This Row],[PROVEEDOR]],"*"&amp;'Palabra no opera'!$A$2&amp;"*"))</f>
        <v>1</v>
      </c>
      <c r="T545" s="150">
        <f>+$W$5-Tabla2[[#This Row],[FECHA DE FACTURACIÓN]]</f>
        <v>184</v>
      </c>
      <c r="U545" t="str">
        <f>+IF(Tabla2[[#This Row],[dias de credito]]&gt;=Tabla2[[#This Row],[PLAZO Días]],"venc", "No venc")</f>
        <v>venc</v>
      </c>
      <c r="V545" t="str">
        <f>+IF(Tabla2[[#This Row],[FECHA DE PAGO]]&gt;0,"pagada","por pagar")</f>
        <v>pagada</v>
      </c>
      <c r="W545" s="152" t="str">
        <f>+IF(AND(Tabla2[[#This Row],[venc]]="venc",Tabla2[[#This Row],[Columna1]]="por pagar"),"vencida","no")</f>
        <v>no</v>
      </c>
    </row>
    <row r="546" spans="1:23" x14ac:dyDescent="0.3">
      <c r="A546">
        <v>20</v>
      </c>
      <c r="B546">
        <v>0</v>
      </c>
      <c r="D546" t="s">
        <v>178</v>
      </c>
      <c r="E546" s="156">
        <v>44678</v>
      </c>
      <c r="F546" t="s">
        <v>937</v>
      </c>
      <c r="G546" s="156">
        <v>44617</v>
      </c>
      <c r="H546" t="s">
        <v>714</v>
      </c>
      <c r="I546">
        <v>-600000</v>
      </c>
      <c r="K546">
        <v>0</v>
      </c>
      <c r="M546">
        <v>0</v>
      </c>
      <c r="N546">
        <v>0</v>
      </c>
      <c r="O546">
        <v>0</v>
      </c>
      <c r="P546" s="117">
        <v>-600000</v>
      </c>
      <c r="Q546" s="117" t="s">
        <v>1021</v>
      </c>
      <c r="R546" s="150">
        <v>0</v>
      </c>
      <c r="S546" s="117" t="b">
        <f>OR(COUNTIF(Tabla2[[#This Row],[PROVEEDOR]],"*"&amp;'Palabra no opera'!$A$2&amp;"*"))</f>
        <v>1</v>
      </c>
      <c r="T546" s="150">
        <f>+$W$5-Tabla2[[#This Row],[FECHA DE FACTURACIÓN]]</f>
        <v>217</v>
      </c>
      <c r="U546" t="str">
        <f>+IF(Tabla2[[#This Row],[dias de credito]]&gt;=Tabla2[[#This Row],[PLAZO Días]],"venc", "No venc")</f>
        <v>venc</v>
      </c>
      <c r="V546" t="str">
        <f>+IF(Tabla2[[#This Row],[FECHA DE PAGO]]&gt;0,"pagada","por pagar")</f>
        <v>pagada</v>
      </c>
      <c r="W546" s="152" t="str">
        <f>+IF(AND(Tabla2[[#This Row],[venc]]="venc",Tabla2[[#This Row],[Columna1]]="por pagar"),"vencida","no")</f>
        <v>no</v>
      </c>
    </row>
    <row r="547" spans="1:23" x14ac:dyDescent="0.3">
      <c r="A547">
        <v>20</v>
      </c>
      <c r="B547">
        <v>0</v>
      </c>
      <c r="D547" t="s">
        <v>178</v>
      </c>
      <c r="E547" s="156">
        <v>44678</v>
      </c>
      <c r="F547" t="s">
        <v>937</v>
      </c>
      <c r="G547" s="156">
        <v>44606</v>
      </c>
      <c r="H547">
        <v>556</v>
      </c>
      <c r="I547">
        <v>1890000</v>
      </c>
      <c r="K547">
        <v>0</v>
      </c>
      <c r="M547">
        <v>0</v>
      </c>
      <c r="N547">
        <v>0</v>
      </c>
      <c r="O547">
        <v>0</v>
      </c>
      <c r="P547" s="117">
        <v>1890000</v>
      </c>
      <c r="Q547" s="117" t="s">
        <v>1021</v>
      </c>
      <c r="R547" s="150">
        <v>0</v>
      </c>
      <c r="S547" s="117" t="b">
        <f>OR(COUNTIF(Tabla2[[#This Row],[PROVEEDOR]],"*"&amp;'Palabra no opera'!$A$2&amp;"*"))</f>
        <v>1</v>
      </c>
      <c r="T547" s="150">
        <f>+$W$5-Tabla2[[#This Row],[FECHA DE FACTURACIÓN]]</f>
        <v>228</v>
      </c>
      <c r="U547" t="str">
        <f>+IF(Tabla2[[#This Row],[dias de credito]]&gt;=Tabla2[[#This Row],[PLAZO Días]],"venc", "No venc")</f>
        <v>venc</v>
      </c>
      <c r="V547" t="str">
        <f>+IF(Tabla2[[#This Row],[FECHA DE PAGO]]&gt;0,"pagada","por pagar")</f>
        <v>pagada</v>
      </c>
      <c r="W547" s="152" t="str">
        <f>+IF(AND(Tabla2[[#This Row],[venc]]="venc",Tabla2[[#This Row],[Columna1]]="por pagar"),"vencida","no")</f>
        <v>no</v>
      </c>
    </row>
    <row r="548" spans="1:23" x14ac:dyDescent="0.3">
      <c r="A548">
        <v>60</v>
      </c>
      <c r="B548">
        <v>8889300</v>
      </c>
      <c r="D548">
        <v>0</v>
      </c>
      <c r="E548" s="156">
        <v>44678</v>
      </c>
      <c r="F548" t="s">
        <v>1429</v>
      </c>
      <c r="G548" s="156">
        <v>44585</v>
      </c>
      <c r="H548" t="s">
        <v>777</v>
      </c>
      <c r="I548">
        <v>6152000</v>
      </c>
      <c r="K548">
        <v>1168880</v>
      </c>
      <c r="M548">
        <v>0</v>
      </c>
      <c r="N548">
        <v>0</v>
      </c>
      <c r="O548">
        <v>0</v>
      </c>
      <c r="P548" s="117">
        <v>7320880</v>
      </c>
      <c r="Q548" s="117" t="s">
        <v>1021</v>
      </c>
      <c r="R548" s="150">
        <v>0</v>
      </c>
      <c r="S548" s="117" t="b">
        <f>OR(COUNTIF(Tabla2[[#This Row],[PROVEEDOR]],"*"&amp;'Palabra no opera'!$A$2&amp;"*"))</f>
        <v>1</v>
      </c>
      <c r="T548" s="150">
        <f>+$W$5-Tabla2[[#This Row],[FECHA DE FACTURACIÓN]]</f>
        <v>249</v>
      </c>
      <c r="U548" t="str">
        <f>+IF(Tabla2[[#This Row],[dias de credito]]&gt;=Tabla2[[#This Row],[PLAZO Días]],"venc", "No venc")</f>
        <v>venc</v>
      </c>
      <c r="V548" t="str">
        <f>+IF(Tabla2[[#This Row],[FECHA DE PAGO]]&gt;0,"pagada","por pagar")</f>
        <v>pagada</v>
      </c>
      <c r="W548" s="152" t="str">
        <f>+IF(AND(Tabla2[[#This Row],[venc]]="venc",Tabla2[[#This Row],[Columna1]]="por pagar"),"vencida","no")</f>
        <v>no</v>
      </c>
    </row>
    <row r="549" spans="1:23" x14ac:dyDescent="0.3">
      <c r="A549">
        <v>45</v>
      </c>
      <c r="B549">
        <v>30078253.170000002</v>
      </c>
      <c r="D549" t="s">
        <v>884</v>
      </c>
      <c r="E549" s="156">
        <v>44676</v>
      </c>
      <c r="F549" t="s">
        <v>19</v>
      </c>
      <c r="G549" s="156">
        <v>44622</v>
      </c>
      <c r="H549" t="s">
        <v>881</v>
      </c>
      <c r="I549">
        <v>14220800</v>
      </c>
      <c r="K549">
        <v>2701952</v>
      </c>
      <c r="M549">
        <v>0</v>
      </c>
      <c r="N549">
        <v>0</v>
      </c>
      <c r="O549">
        <v>0</v>
      </c>
      <c r="P549" s="117">
        <v>16922752</v>
      </c>
      <c r="Q549" s="117" t="s">
        <v>1021</v>
      </c>
      <c r="R549" s="150">
        <v>0</v>
      </c>
      <c r="S549" s="117" t="b">
        <f>OR(COUNTIF(Tabla2[[#This Row],[PROVEEDOR]],"*"&amp;'Palabra no opera'!$A$2&amp;"*"))</f>
        <v>0</v>
      </c>
      <c r="T549" s="150">
        <f>+$W$5-Tabla2[[#This Row],[FECHA DE FACTURACIÓN]]</f>
        <v>212</v>
      </c>
      <c r="U549" t="str">
        <f>+IF(Tabla2[[#This Row],[dias de credito]]&gt;=Tabla2[[#This Row],[PLAZO Días]],"venc", "No venc")</f>
        <v>venc</v>
      </c>
      <c r="V549" t="str">
        <f>+IF(Tabla2[[#This Row],[FECHA DE PAGO]]&gt;0,"pagada","por pagar")</f>
        <v>pagada</v>
      </c>
      <c r="W549" s="152" t="str">
        <f>+IF(AND(Tabla2[[#This Row],[venc]]="venc",Tabla2[[#This Row],[Columna1]]="por pagar"),"vencida","no")</f>
        <v>no</v>
      </c>
    </row>
    <row r="550" spans="1:23" x14ac:dyDescent="0.3">
      <c r="A550">
        <v>60</v>
      </c>
      <c r="B550">
        <v>8889300</v>
      </c>
      <c r="D550">
        <v>0</v>
      </c>
      <c r="E550" s="156">
        <v>44676</v>
      </c>
      <c r="F550" t="s">
        <v>1429</v>
      </c>
      <c r="G550" s="156">
        <v>44591</v>
      </c>
      <c r="H550" t="s">
        <v>775</v>
      </c>
      <c r="I550">
        <v>7278800</v>
      </c>
      <c r="K550">
        <v>1382972</v>
      </c>
      <c r="M550">
        <v>0</v>
      </c>
      <c r="N550">
        <v>0</v>
      </c>
      <c r="O550">
        <v>0</v>
      </c>
      <c r="P550" s="117">
        <v>8661772</v>
      </c>
      <c r="Q550" s="117" t="s">
        <v>1021</v>
      </c>
      <c r="R550" s="150">
        <v>0</v>
      </c>
      <c r="S550" s="117" t="b">
        <f>OR(COUNTIF(Tabla2[[#This Row],[PROVEEDOR]],"*"&amp;'Palabra no opera'!$A$2&amp;"*"))</f>
        <v>1</v>
      </c>
      <c r="T550" s="150">
        <f>+$W$5-Tabla2[[#This Row],[FECHA DE FACTURACIÓN]]</f>
        <v>243</v>
      </c>
      <c r="U550" t="str">
        <f>+IF(Tabla2[[#This Row],[dias de credito]]&gt;=Tabla2[[#This Row],[PLAZO Días]],"venc", "No venc")</f>
        <v>venc</v>
      </c>
      <c r="V550" t="str">
        <f>+IF(Tabla2[[#This Row],[FECHA DE PAGO]]&gt;0,"pagada","por pagar")</f>
        <v>pagada</v>
      </c>
      <c r="W550" s="152" t="str">
        <f>+IF(AND(Tabla2[[#This Row],[venc]]="venc",Tabla2[[#This Row],[Columna1]]="por pagar"),"vencida","no")</f>
        <v>no</v>
      </c>
    </row>
    <row r="551" spans="1:23" x14ac:dyDescent="0.3">
      <c r="A551">
        <v>30</v>
      </c>
      <c r="B551">
        <v>0</v>
      </c>
      <c r="D551" t="s">
        <v>139</v>
      </c>
      <c r="E551" s="156">
        <v>44673</v>
      </c>
      <c r="F551" t="s">
        <v>673</v>
      </c>
      <c r="G551" s="156">
        <v>44673</v>
      </c>
      <c r="I551">
        <v>1000000</v>
      </c>
      <c r="K551">
        <v>0</v>
      </c>
      <c r="M551">
        <v>0</v>
      </c>
      <c r="N551">
        <v>0</v>
      </c>
      <c r="O551">
        <v>0</v>
      </c>
      <c r="P551" s="117">
        <v>1000000</v>
      </c>
      <c r="Q551" s="117" t="s">
        <v>1021</v>
      </c>
      <c r="R551" s="150">
        <v>0</v>
      </c>
      <c r="S551" s="117" t="b">
        <f>OR(COUNTIF(Tabla2[[#This Row],[PROVEEDOR]],"*"&amp;'Palabra no opera'!$A$2&amp;"*"))</f>
        <v>0</v>
      </c>
      <c r="T551" s="150">
        <f>+$W$5-Tabla2[[#This Row],[FECHA DE FACTURACIÓN]]</f>
        <v>161</v>
      </c>
      <c r="U551" t="str">
        <f>+IF(Tabla2[[#This Row],[dias de credito]]&gt;=Tabla2[[#This Row],[PLAZO Días]],"venc", "No venc")</f>
        <v>venc</v>
      </c>
      <c r="V551" t="str">
        <f>+IF(Tabla2[[#This Row],[FECHA DE PAGO]]&gt;0,"pagada","por pagar")</f>
        <v>pagada</v>
      </c>
      <c r="W551" s="152" t="str">
        <f>+IF(AND(Tabla2[[#This Row],[venc]]="venc",Tabla2[[#This Row],[Columna1]]="por pagar"),"vencida","no")</f>
        <v>no</v>
      </c>
    </row>
    <row r="552" spans="1:23" x14ac:dyDescent="0.3">
      <c r="A552">
        <v>30</v>
      </c>
      <c r="B552">
        <v>0</v>
      </c>
      <c r="D552" t="s">
        <v>431</v>
      </c>
      <c r="E552" s="156">
        <v>44673</v>
      </c>
      <c r="F552" t="s">
        <v>430</v>
      </c>
      <c r="G552" s="156">
        <v>44648</v>
      </c>
      <c r="H552">
        <v>28</v>
      </c>
      <c r="I552">
        <v>3480500</v>
      </c>
      <c r="K552">
        <v>661295</v>
      </c>
      <c r="M552">
        <v>0</v>
      </c>
      <c r="N552">
        <v>2.5000000000000001E-2</v>
      </c>
      <c r="O552">
        <v>87012.5</v>
      </c>
      <c r="P552" s="117">
        <v>4054782.5</v>
      </c>
      <c r="Q552" s="117" t="s">
        <v>1021</v>
      </c>
      <c r="R552" s="150">
        <v>0</v>
      </c>
      <c r="S552" s="117" t="b">
        <f>OR(COUNTIF(Tabla2[[#This Row],[PROVEEDOR]],"*"&amp;'Palabra no opera'!$A$2&amp;"*"))</f>
        <v>0</v>
      </c>
      <c r="T552" s="150">
        <f>+$W$5-Tabla2[[#This Row],[FECHA DE FACTURACIÓN]]</f>
        <v>186</v>
      </c>
      <c r="U552" t="str">
        <f>+IF(Tabla2[[#This Row],[dias de credito]]&gt;=Tabla2[[#This Row],[PLAZO Días]],"venc", "No venc")</f>
        <v>venc</v>
      </c>
      <c r="V552" t="str">
        <f>+IF(Tabla2[[#This Row],[FECHA DE PAGO]]&gt;0,"pagada","por pagar")</f>
        <v>pagada</v>
      </c>
      <c r="W552" s="152" t="str">
        <f>+IF(AND(Tabla2[[#This Row],[venc]]="venc",Tabla2[[#This Row],[Columna1]]="por pagar"),"vencida","no")</f>
        <v>no</v>
      </c>
    </row>
    <row r="553" spans="1:23" x14ac:dyDescent="0.3">
      <c r="A553">
        <v>30</v>
      </c>
      <c r="B553">
        <v>0</v>
      </c>
      <c r="D553">
        <v>0</v>
      </c>
      <c r="E553" s="156">
        <v>44671</v>
      </c>
      <c r="F553" t="s">
        <v>643</v>
      </c>
      <c r="G553" s="156">
        <v>44671</v>
      </c>
      <c r="H553" t="s">
        <v>898</v>
      </c>
      <c r="I553">
        <v>348000</v>
      </c>
      <c r="K553">
        <v>0</v>
      </c>
      <c r="M553">
        <v>0</v>
      </c>
      <c r="N553">
        <v>0</v>
      </c>
      <c r="O553">
        <v>0</v>
      </c>
      <c r="P553" s="117">
        <v>348000</v>
      </c>
      <c r="Q553" s="117" t="s">
        <v>1021</v>
      </c>
      <c r="R553" s="150">
        <v>0</v>
      </c>
      <c r="S553" s="117" t="b">
        <f>OR(COUNTIF(Tabla2[[#This Row],[PROVEEDOR]],"*"&amp;'Palabra no opera'!$A$2&amp;"*"))</f>
        <v>0</v>
      </c>
      <c r="T553" s="150">
        <f>+$W$5-Tabla2[[#This Row],[FECHA DE FACTURACIÓN]]</f>
        <v>163</v>
      </c>
      <c r="U553" t="str">
        <f>+IF(Tabla2[[#This Row],[dias de credito]]&gt;=Tabla2[[#This Row],[PLAZO Días]],"venc", "No venc")</f>
        <v>venc</v>
      </c>
      <c r="V553" t="str">
        <f>+IF(Tabla2[[#This Row],[FECHA DE PAGO]]&gt;0,"pagada","por pagar")</f>
        <v>pagada</v>
      </c>
      <c r="W553" s="152" t="str">
        <f>+IF(AND(Tabla2[[#This Row],[venc]]="venc",Tabla2[[#This Row],[Columna1]]="por pagar"),"vencida","no")</f>
        <v>no</v>
      </c>
    </row>
    <row r="554" spans="1:23" x14ac:dyDescent="0.3">
      <c r="A554">
        <v>30</v>
      </c>
      <c r="B554">
        <v>0</v>
      </c>
      <c r="D554" t="s">
        <v>250</v>
      </c>
      <c r="E554" s="156">
        <v>44671</v>
      </c>
      <c r="F554" t="s">
        <v>1450</v>
      </c>
      <c r="G554" s="156">
        <v>44668</v>
      </c>
      <c r="I554">
        <v>400000</v>
      </c>
      <c r="K554">
        <v>0</v>
      </c>
      <c r="M554">
        <v>0</v>
      </c>
      <c r="N554">
        <v>0</v>
      </c>
      <c r="O554">
        <v>0</v>
      </c>
      <c r="P554" s="117">
        <v>400000</v>
      </c>
      <c r="Q554" s="117" t="s">
        <v>1021</v>
      </c>
      <c r="R554" s="150">
        <v>0</v>
      </c>
      <c r="S554" s="117" t="b">
        <f>OR(COUNTIF(Tabla2[[#This Row],[PROVEEDOR]],"*"&amp;'Palabra no opera'!$A$2&amp;"*"))</f>
        <v>0</v>
      </c>
      <c r="T554" s="150">
        <f>+$W$5-Tabla2[[#This Row],[FECHA DE FACTURACIÓN]]</f>
        <v>166</v>
      </c>
      <c r="U554" t="str">
        <f>+IF(Tabla2[[#This Row],[dias de credito]]&gt;=Tabla2[[#This Row],[PLAZO Días]],"venc", "No venc")</f>
        <v>venc</v>
      </c>
      <c r="V554" t="str">
        <f>+IF(Tabla2[[#This Row],[FECHA DE PAGO]]&gt;0,"pagada","por pagar")</f>
        <v>pagada</v>
      </c>
      <c r="W554" s="152" t="str">
        <f>+IF(AND(Tabla2[[#This Row],[venc]]="venc",Tabla2[[#This Row],[Columna1]]="por pagar"),"vencida","no")</f>
        <v>no</v>
      </c>
    </row>
    <row r="555" spans="1:23" x14ac:dyDescent="0.3">
      <c r="A555">
        <v>30</v>
      </c>
      <c r="B555">
        <v>9756105</v>
      </c>
      <c r="D555" t="s">
        <v>476</v>
      </c>
      <c r="E555" s="156">
        <v>44671</v>
      </c>
      <c r="F555" t="s">
        <v>670</v>
      </c>
      <c r="G555" s="156">
        <v>44588</v>
      </c>
      <c r="H555" t="s">
        <v>1566</v>
      </c>
      <c r="I555">
        <v>148000</v>
      </c>
      <c r="K555">
        <v>0</v>
      </c>
      <c r="M555">
        <v>0</v>
      </c>
      <c r="N555">
        <v>0</v>
      </c>
      <c r="O555">
        <v>0</v>
      </c>
      <c r="P555" s="117">
        <v>148000</v>
      </c>
      <c r="Q555" s="117" t="s">
        <v>1021</v>
      </c>
      <c r="R555" s="150">
        <v>0</v>
      </c>
      <c r="S555" s="117" t="b">
        <f>OR(COUNTIF(Tabla2[[#This Row],[PROVEEDOR]],"*"&amp;'Palabra no opera'!$A$2&amp;"*"))</f>
        <v>0</v>
      </c>
      <c r="T555" s="150">
        <f>+$W$5-Tabla2[[#This Row],[FECHA DE FACTURACIÓN]]</f>
        <v>246</v>
      </c>
      <c r="U555" t="str">
        <f>+IF(Tabla2[[#This Row],[dias de credito]]&gt;=Tabla2[[#This Row],[PLAZO Días]],"venc", "No venc")</f>
        <v>venc</v>
      </c>
      <c r="V555" t="str">
        <f>+IF(Tabla2[[#This Row],[FECHA DE PAGO]]&gt;0,"pagada","por pagar")</f>
        <v>pagada</v>
      </c>
      <c r="W555" s="152" t="str">
        <f>+IF(AND(Tabla2[[#This Row],[venc]]="venc",Tabla2[[#This Row],[Columna1]]="por pagar"),"vencida","no")</f>
        <v>no</v>
      </c>
    </row>
    <row r="556" spans="1:23" x14ac:dyDescent="0.3">
      <c r="A556">
        <v>30</v>
      </c>
      <c r="B556">
        <v>2324000</v>
      </c>
      <c r="D556" t="s">
        <v>251</v>
      </c>
      <c r="E556" s="156">
        <v>44671</v>
      </c>
      <c r="F556" t="s">
        <v>699</v>
      </c>
      <c r="G556" s="156">
        <v>44511</v>
      </c>
      <c r="H556" t="s">
        <v>1523</v>
      </c>
      <c r="I556">
        <v>1306000</v>
      </c>
      <c r="K556">
        <v>0</v>
      </c>
      <c r="M556">
        <v>0</v>
      </c>
      <c r="N556">
        <v>0</v>
      </c>
      <c r="O556">
        <v>0</v>
      </c>
      <c r="P556" s="117">
        <v>1306000</v>
      </c>
      <c r="Q556" s="117" t="s">
        <v>1021</v>
      </c>
      <c r="R556" s="150">
        <v>0</v>
      </c>
      <c r="S556" s="117" t="b">
        <f>OR(COUNTIF(Tabla2[[#This Row],[PROVEEDOR]],"*"&amp;'Palabra no opera'!$A$2&amp;"*"))</f>
        <v>0</v>
      </c>
      <c r="T556" s="150">
        <f>+$W$5-Tabla2[[#This Row],[FECHA DE FACTURACIÓN]]</f>
        <v>323</v>
      </c>
      <c r="U556" t="str">
        <f>+IF(Tabla2[[#This Row],[dias de credito]]&gt;=Tabla2[[#This Row],[PLAZO Días]],"venc", "No venc")</f>
        <v>venc</v>
      </c>
      <c r="V556" t="str">
        <f>+IF(Tabla2[[#This Row],[FECHA DE PAGO]]&gt;0,"pagada","por pagar")</f>
        <v>pagada</v>
      </c>
      <c r="W556" s="152" t="str">
        <f>+IF(AND(Tabla2[[#This Row],[venc]]="venc",Tabla2[[#This Row],[Columna1]]="por pagar"),"vencida","no")</f>
        <v>no</v>
      </c>
    </row>
    <row r="557" spans="1:23" x14ac:dyDescent="0.3">
      <c r="A557">
        <v>30</v>
      </c>
      <c r="B557">
        <v>2192943.5750000002</v>
      </c>
      <c r="D557" t="s">
        <v>273</v>
      </c>
      <c r="E557" s="156">
        <v>44670</v>
      </c>
      <c r="F557" t="s">
        <v>1638</v>
      </c>
      <c r="G557" s="156">
        <v>44670</v>
      </c>
      <c r="H557" t="s">
        <v>882</v>
      </c>
      <c r="I557">
        <v>201681</v>
      </c>
      <c r="K557">
        <v>38319.39</v>
      </c>
      <c r="M557">
        <v>0</v>
      </c>
      <c r="N557">
        <v>0</v>
      </c>
      <c r="O557">
        <v>0</v>
      </c>
      <c r="P557" s="117">
        <v>240000.39</v>
      </c>
      <c r="Q557" s="117" t="s">
        <v>1021</v>
      </c>
      <c r="R557" s="150">
        <v>0</v>
      </c>
      <c r="S557" s="117" t="b">
        <f>OR(COUNTIF(Tabla2[[#This Row],[PROVEEDOR]],"*"&amp;'Palabra no opera'!$A$2&amp;"*"))</f>
        <v>0</v>
      </c>
      <c r="T557" s="150">
        <f>+$W$5-Tabla2[[#This Row],[FECHA DE FACTURACIÓN]]</f>
        <v>164</v>
      </c>
      <c r="U557" t="str">
        <f>+IF(Tabla2[[#This Row],[dias de credito]]&gt;=Tabla2[[#This Row],[PLAZO Días]],"venc", "No venc")</f>
        <v>venc</v>
      </c>
      <c r="V557" t="str">
        <f>+IF(Tabla2[[#This Row],[FECHA DE PAGO]]&gt;0,"pagada","por pagar")</f>
        <v>pagada</v>
      </c>
      <c r="W557" s="152" t="str">
        <f>+IF(AND(Tabla2[[#This Row],[venc]]="venc",Tabla2[[#This Row],[Columna1]]="por pagar"),"vencida","no")</f>
        <v>no</v>
      </c>
    </row>
    <row r="558" spans="1:23" x14ac:dyDescent="0.3">
      <c r="A558">
        <v>30</v>
      </c>
      <c r="B558">
        <v>146262.9</v>
      </c>
      <c r="D558" t="s">
        <v>262</v>
      </c>
      <c r="E558" s="156">
        <v>44670</v>
      </c>
      <c r="F558" t="s">
        <v>17</v>
      </c>
      <c r="G558" s="156">
        <v>44634</v>
      </c>
      <c r="H558">
        <v>1890377</v>
      </c>
      <c r="I558">
        <v>570000</v>
      </c>
      <c r="K558">
        <v>108300</v>
      </c>
      <c r="M558">
        <v>0</v>
      </c>
      <c r="N558">
        <v>0</v>
      </c>
      <c r="O558">
        <v>0</v>
      </c>
      <c r="P558" s="117">
        <v>678300</v>
      </c>
      <c r="Q558" s="117" t="s">
        <v>1021</v>
      </c>
      <c r="R558" s="150">
        <v>0</v>
      </c>
      <c r="S558" s="117" t="b">
        <f>OR(COUNTIF(Tabla2[[#This Row],[PROVEEDOR]],"*"&amp;'Palabra no opera'!$A$2&amp;"*"))</f>
        <v>0</v>
      </c>
      <c r="T558" s="150">
        <f>+$W$5-Tabla2[[#This Row],[FECHA DE FACTURACIÓN]]</f>
        <v>200</v>
      </c>
      <c r="U558" t="str">
        <f>+IF(Tabla2[[#This Row],[dias de credito]]&gt;=Tabla2[[#This Row],[PLAZO Días]],"venc", "No venc")</f>
        <v>venc</v>
      </c>
      <c r="V558" t="str">
        <f>+IF(Tabla2[[#This Row],[FECHA DE PAGO]]&gt;0,"pagada","por pagar")</f>
        <v>pagada</v>
      </c>
      <c r="W558" s="152" t="str">
        <f>+IF(AND(Tabla2[[#This Row],[venc]]="venc",Tabla2[[#This Row],[Columna1]]="por pagar"),"vencida","no")</f>
        <v>no</v>
      </c>
    </row>
    <row r="559" spans="1:23" x14ac:dyDescent="0.3">
      <c r="A559">
        <v>30</v>
      </c>
      <c r="B559">
        <v>146262.9</v>
      </c>
      <c r="D559" t="s">
        <v>262</v>
      </c>
      <c r="E559" s="156">
        <v>44670</v>
      </c>
      <c r="F559" t="s">
        <v>17</v>
      </c>
      <c r="G559" s="156">
        <v>44634</v>
      </c>
      <c r="H559">
        <v>1890430</v>
      </c>
      <c r="I559">
        <v>371000</v>
      </c>
      <c r="K559">
        <v>70490</v>
      </c>
      <c r="M559">
        <v>0</v>
      </c>
      <c r="N559">
        <v>0</v>
      </c>
      <c r="O559">
        <v>0</v>
      </c>
      <c r="P559" s="117">
        <v>441490</v>
      </c>
      <c r="Q559" s="117" t="s">
        <v>1021</v>
      </c>
      <c r="R559" s="150">
        <v>0</v>
      </c>
      <c r="S559" s="117" t="b">
        <f>OR(COUNTIF(Tabla2[[#This Row],[PROVEEDOR]],"*"&amp;'Palabra no opera'!$A$2&amp;"*"))</f>
        <v>0</v>
      </c>
      <c r="T559" s="150">
        <f>+$W$5-Tabla2[[#This Row],[FECHA DE FACTURACIÓN]]</f>
        <v>200</v>
      </c>
      <c r="U559" t="str">
        <f>+IF(Tabla2[[#This Row],[dias de credito]]&gt;=Tabla2[[#This Row],[PLAZO Días]],"venc", "No venc")</f>
        <v>venc</v>
      </c>
      <c r="V559" t="str">
        <f>+IF(Tabla2[[#This Row],[FECHA DE PAGO]]&gt;0,"pagada","por pagar")</f>
        <v>pagada</v>
      </c>
      <c r="W559" s="152" t="str">
        <f>+IF(AND(Tabla2[[#This Row],[venc]]="venc",Tabla2[[#This Row],[Columna1]]="por pagar"),"vencida","no")</f>
        <v>no</v>
      </c>
    </row>
    <row r="560" spans="1:23" x14ac:dyDescent="0.3">
      <c r="A560">
        <v>30</v>
      </c>
      <c r="B560">
        <v>4656887.12</v>
      </c>
      <c r="D560" t="s">
        <v>170</v>
      </c>
      <c r="E560" s="156">
        <v>44670</v>
      </c>
      <c r="F560" t="s">
        <v>20</v>
      </c>
      <c r="G560" s="156">
        <v>44615</v>
      </c>
      <c r="H560">
        <v>6379</v>
      </c>
      <c r="I560">
        <v>614042</v>
      </c>
      <c r="K560">
        <v>116667.98</v>
      </c>
      <c r="M560">
        <v>0</v>
      </c>
      <c r="N560">
        <v>0</v>
      </c>
      <c r="O560">
        <v>0</v>
      </c>
      <c r="P560" s="117">
        <v>730709.98</v>
      </c>
      <c r="Q560" s="117" t="s">
        <v>1021</v>
      </c>
      <c r="R560" s="150">
        <v>0</v>
      </c>
      <c r="S560" s="117" t="b">
        <f>OR(COUNTIF(Tabla2[[#This Row],[PROVEEDOR]],"*"&amp;'Palabra no opera'!$A$2&amp;"*"))</f>
        <v>0</v>
      </c>
      <c r="T560" s="150">
        <f>+$W$5-Tabla2[[#This Row],[FECHA DE FACTURACIÓN]]</f>
        <v>219</v>
      </c>
      <c r="U560" t="str">
        <f>+IF(Tabla2[[#This Row],[dias de credito]]&gt;=Tabla2[[#This Row],[PLAZO Días]],"venc", "No venc")</f>
        <v>venc</v>
      </c>
      <c r="V560" t="str">
        <f>+IF(Tabla2[[#This Row],[FECHA DE PAGO]]&gt;0,"pagada","por pagar")</f>
        <v>pagada</v>
      </c>
      <c r="W560" s="152" t="str">
        <f>+IF(AND(Tabla2[[#This Row],[venc]]="venc",Tabla2[[#This Row],[Columna1]]="por pagar"),"vencida","no")</f>
        <v>no</v>
      </c>
    </row>
    <row r="561" spans="1:23" x14ac:dyDescent="0.3">
      <c r="A561">
        <v>30</v>
      </c>
      <c r="B561">
        <v>0</v>
      </c>
      <c r="D561" t="s">
        <v>141</v>
      </c>
      <c r="E561" s="156">
        <v>44669</v>
      </c>
      <c r="F561" t="s">
        <v>935</v>
      </c>
      <c r="G561" s="156">
        <v>44652</v>
      </c>
      <c r="I561">
        <v>326243</v>
      </c>
      <c r="K561">
        <v>0</v>
      </c>
      <c r="M561">
        <v>0</v>
      </c>
      <c r="N561">
        <v>0</v>
      </c>
      <c r="O561">
        <v>0</v>
      </c>
      <c r="P561" s="117">
        <v>326243</v>
      </c>
      <c r="Q561" s="117" t="s">
        <v>1021</v>
      </c>
      <c r="R561" s="150">
        <v>0</v>
      </c>
      <c r="S561" s="117" t="b">
        <f>OR(COUNTIF(Tabla2[[#This Row],[PROVEEDOR]],"*"&amp;'Palabra no opera'!$A$2&amp;"*"))</f>
        <v>1</v>
      </c>
      <c r="T561" s="150">
        <f>+$W$5-Tabla2[[#This Row],[FECHA DE FACTURACIÓN]]</f>
        <v>182</v>
      </c>
      <c r="U561" t="str">
        <f>+IF(Tabla2[[#This Row],[dias de credito]]&gt;=Tabla2[[#This Row],[PLAZO Días]],"venc", "No venc")</f>
        <v>venc</v>
      </c>
      <c r="V561" t="str">
        <f>+IF(Tabla2[[#This Row],[FECHA DE PAGO]]&gt;0,"pagada","por pagar")</f>
        <v>pagada</v>
      </c>
      <c r="W561" s="152" t="str">
        <f>+IF(AND(Tabla2[[#This Row],[venc]]="venc",Tabla2[[#This Row],[Columna1]]="por pagar"),"vencida","no")</f>
        <v>no</v>
      </c>
    </row>
    <row r="562" spans="1:23" x14ac:dyDescent="0.3">
      <c r="A562">
        <v>30</v>
      </c>
      <c r="B562">
        <v>0</v>
      </c>
      <c r="D562" t="s">
        <v>676</v>
      </c>
      <c r="E562" s="156">
        <v>44663</v>
      </c>
      <c r="F562" t="s">
        <v>940</v>
      </c>
      <c r="G562" s="156">
        <v>44652</v>
      </c>
      <c r="H562">
        <v>66928</v>
      </c>
      <c r="I562">
        <v>284467</v>
      </c>
      <c r="K562">
        <v>0</v>
      </c>
      <c r="M562">
        <v>0</v>
      </c>
      <c r="N562">
        <v>0</v>
      </c>
      <c r="O562">
        <v>0</v>
      </c>
      <c r="P562" s="117">
        <v>275944.33</v>
      </c>
      <c r="Q562" s="117" t="s">
        <v>1021</v>
      </c>
      <c r="R562" s="150">
        <v>0</v>
      </c>
      <c r="S562" s="117" t="b">
        <f>OR(COUNTIF(Tabla2[[#This Row],[PROVEEDOR]],"*"&amp;'Palabra no opera'!$A$2&amp;"*"))</f>
        <v>1</v>
      </c>
      <c r="T562" s="150">
        <f>+$W$5-Tabla2[[#This Row],[FECHA DE FACTURACIÓN]]</f>
        <v>182</v>
      </c>
      <c r="U562" t="str">
        <f>+IF(Tabla2[[#This Row],[dias de credito]]&gt;=Tabla2[[#This Row],[PLAZO Días]],"venc", "No venc")</f>
        <v>venc</v>
      </c>
      <c r="V562" t="str">
        <f>+IF(Tabla2[[#This Row],[FECHA DE PAGO]]&gt;0,"pagada","por pagar")</f>
        <v>pagada</v>
      </c>
      <c r="W562" s="152" t="str">
        <f>+IF(AND(Tabla2[[#This Row],[venc]]="venc",Tabla2[[#This Row],[Columna1]]="por pagar"),"vencida","no")</f>
        <v>no</v>
      </c>
    </row>
    <row r="563" spans="1:23" x14ac:dyDescent="0.3">
      <c r="A563">
        <v>30</v>
      </c>
      <c r="B563">
        <v>0</v>
      </c>
      <c r="D563" t="s">
        <v>1036</v>
      </c>
      <c r="E563" s="156">
        <v>44663</v>
      </c>
      <c r="F563" t="s">
        <v>927</v>
      </c>
      <c r="G563" s="156">
        <v>44652</v>
      </c>
      <c r="H563" t="s">
        <v>852</v>
      </c>
      <c r="I563">
        <v>127749</v>
      </c>
      <c r="K563">
        <v>0</v>
      </c>
      <c r="M563">
        <v>0</v>
      </c>
      <c r="N563">
        <v>0</v>
      </c>
      <c r="O563">
        <v>0</v>
      </c>
      <c r="P563" s="117">
        <v>127749</v>
      </c>
      <c r="Q563" s="117" t="s">
        <v>1021</v>
      </c>
      <c r="R563" s="150">
        <v>0</v>
      </c>
      <c r="S563" s="117" t="b">
        <f>OR(COUNTIF(Tabla2[[#This Row],[PROVEEDOR]],"*"&amp;'Palabra no opera'!$A$2&amp;"*"))</f>
        <v>1</v>
      </c>
      <c r="T563" s="150">
        <f>+$W$5-Tabla2[[#This Row],[FECHA DE FACTURACIÓN]]</f>
        <v>182</v>
      </c>
      <c r="U563" t="str">
        <f>+IF(Tabla2[[#This Row],[dias de credito]]&gt;=Tabla2[[#This Row],[PLAZO Días]],"venc", "No venc")</f>
        <v>venc</v>
      </c>
      <c r="V563" t="str">
        <f>+IF(Tabla2[[#This Row],[FECHA DE PAGO]]&gt;0,"pagada","por pagar")</f>
        <v>pagada</v>
      </c>
      <c r="W563" s="152" t="str">
        <f>+IF(AND(Tabla2[[#This Row],[venc]]="venc",Tabla2[[#This Row],[Columna1]]="por pagar"),"vencida","no")</f>
        <v>no</v>
      </c>
    </row>
    <row r="564" spans="1:23" x14ac:dyDescent="0.3">
      <c r="A564">
        <v>30</v>
      </c>
      <c r="B564">
        <v>0</v>
      </c>
      <c r="D564" t="s">
        <v>1036</v>
      </c>
      <c r="E564" s="156">
        <v>44663</v>
      </c>
      <c r="F564" t="s">
        <v>927</v>
      </c>
      <c r="G564" s="156">
        <v>44652</v>
      </c>
      <c r="H564" t="s">
        <v>313</v>
      </c>
      <c r="I564">
        <v>818874</v>
      </c>
      <c r="K564">
        <v>0</v>
      </c>
      <c r="M564">
        <v>0</v>
      </c>
      <c r="N564">
        <v>0</v>
      </c>
      <c r="O564">
        <v>0</v>
      </c>
      <c r="P564" s="117">
        <v>818874</v>
      </c>
      <c r="Q564" s="117" t="s">
        <v>1021</v>
      </c>
      <c r="R564" s="150">
        <v>0</v>
      </c>
      <c r="S564" s="117" t="b">
        <f>OR(COUNTIF(Tabla2[[#This Row],[PROVEEDOR]],"*"&amp;'Palabra no opera'!$A$2&amp;"*"))</f>
        <v>1</v>
      </c>
      <c r="T564" s="150">
        <f>+$W$5-Tabla2[[#This Row],[FECHA DE FACTURACIÓN]]</f>
        <v>182</v>
      </c>
      <c r="U564" t="str">
        <f>+IF(Tabla2[[#This Row],[dias de credito]]&gt;=Tabla2[[#This Row],[PLAZO Días]],"venc", "No venc")</f>
        <v>venc</v>
      </c>
      <c r="V564" t="str">
        <f>+IF(Tabla2[[#This Row],[FECHA DE PAGO]]&gt;0,"pagada","por pagar")</f>
        <v>pagada</v>
      </c>
      <c r="W564" s="152" t="str">
        <f>+IF(AND(Tabla2[[#This Row],[venc]]="venc",Tabla2[[#This Row],[Columna1]]="por pagar"),"vencida","no")</f>
        <v>no</v>
      </c>
    </row>
    <row r="565" spans="1:23" x14ac:dyDescent="0.3">
      <c r="A565">
        <v>30</v>
      </c>
      <c r="B565">
        <v>0</v>
      </c>
      <c r="D565" t="s">
        <v>1036</v>
      </c>
      <c r="E565" s="156">
        <v>44663</v>
      </c>
      <c r="F565" t="s">
        <v>927</v>
      </c>
      <c r="G565" s="156">
        <v>44652</v>
      </c>
      <c r="H565" t="s">
        <v>312</v>
      </c>
      <c r="I565">
        <v>825349</v>
      </c>
      <c r="K565">
        <v>0</v>
      </c>
      <c r="M565">
        <v>0</v>
      </c>
      <c r="N565">
        <v>0</v>
      </c>
      <c r="O565">
        <v>0</v>
      </c>
      <c r="P565" s="117">
        <v>825349</v>
      </c>
      <c r="Q565" s="117" t="s">
        <v>1021</v>
      </c>
      <c r="R565" s="150">
        <v>0</v>
      </c>
      <c r="S565" s="117" t="b">
        <f>OR(COUNTIF(Tabla2[[#This Row],[PROVEEDOR]],"*"&amp;'Palabra no opera'!$A$2&amp;"*"))</f>
        <v>1</v>
      </c>
      <c r="T565" s="150">
        <f>+$W$5-Tabla2[[#This Row],[FECHA DE FACTURACIÓN]]</f>
        <v>182</v>
      </c>
      <c r="U565" t="str">
        <f>+IF(Tabla2[[#This Row],[dias de credito]]&gt;=Tabla2[[#This Row],[PLAZO Días]],"venc", "No venc")</f>
        <v>venc</v>
      </c>
      <c r="V565" t="str">
        <f>+IF(Tabla2[[#This Row],[FECHA DE PAGO]]&gt;0,"pagada","por pagar")</f>
        <v>pagada</v>
      </c>
      <c r="W565" s="152" t="str">
        <f>+IF(AND(Tabla2[[#This Row],[venc]]="venc",Tabla2[[#This Row],[Columna1]]="por pagar"),"vencida","no")</f>
        <v>no</v>
      </c>
    </row>
    <row r="566" spans="1:23" x14ac:dyDescent="0.3">
      <c r="A566">
        <v>30</v>
      </c>
      <c r="B566">
        <v>0</v>
      </c>
      <c r="D566">
        <v>0</v>
      </c>
      <c r="E566" s="156">
        <v>44663</v>
      </c>
      <c r="F566" t="s">
        <v>932</v>
      </c>
      <c r="G566" s="156">
        <v>44652</v>
      </c>
      <c r="H566" t="s">
        <v>307</v>
      </c>
      <c r="I566">
        <v>342453</v>
      </c>
      <c r="K566">
        <v>0</v>
      </c>
      <c r="M566">
        <v>0</v>
      </c>
      <c r="N566">
        <v>0</v>
      </c>
      <c r="O566">
        <v>0</v>
      </c>
      <c r="P566" s="117">
        <v>342453</v>
      </c>
      <c r="Q566" s="117" t="s">
        <v>1021</v>
      </c>
      <c r="R566" s="150">
        <v>0</v>
      </c>
      <c r="S566" s="117" t="b">
        <f>OR(COUNTIF(Tabla2[[#This Row],[PROVEEDOR]],"*"&amp;'Palabra no opera'!$A$2&amp;"*"))</f>
        <v>1</v>
      </c>
      <c r="T566" s="150">
        <f>+$W$5-Tabla2[[#This Row],[FECHA DE FACTURACIÓN]]</f>
        <v>182</v>
      </c>
      <c r="U566" t="str">
        <f>+IF(Tabla2[[#This Row],[dias de credito]]&gt;=Tabla2[[#This Row],[PLAZO Días]],"venc", "No venc")</f>
        <v>venc</v>
      </c>
      <c r="V566" t="str">
        <f>+IF(Tabla2[[#This Row],[FECHA DE PAGO]]&gt;0,"pagada","por pagar")</f>
        <v>pagada</v>
      </c>
      <c r="W566" s="152" t="str">
        <f>+IF(AND(Tabla2[[#This Row],[venc]]="venc",Tabla2[[#This Row],[Columna1]]="por pagar"),"vencida","no")</f>
        <v>no</v>
      </c>
    </row>
    <row r="567" spans="1:23" x14ac:dyDescent="0.3">
      <c r="A567">
        <v>13</v>
      </c>
      <c r="B567">
        <v>0</v>
      </c>
      <c r="D567">
        <v>0</v>
      </c>
      <c r="E567" s="156">
        <v>44663</v>
      </c>
      <c r="F567" t="s">
        <v>934</v>
      </c>
      <c r="G567" s="156">
        <v>44652</v>
      </c>
      <c r="I567">
        <v>948924</v>
      </c>
      <c r="K567">
        <v>0</v>
      </c>
      <c r="M567">
        <v>0</v>
      </c>
      <c r="N567">
        <v>0</v>
      </c>
      <c r="O567">
        <v>0</v>
      </c>
      <c r="P567" s="117">
        <v>948924</v>
      </c>
      <c r="Q567" s="117" t="s">
        <v>1021</v>
      </c>
      <c r="R567" s="150">
        <v>0</v>
      </c>
      <c r="S567" s="117" t="b">
        <f>OR(COUNTIF(Tabla2[[#This Row],[PROVEEDOR]],"*"&amp;'Palabra no opera'!$A$2&amp;"*"))</f>
        <v>1</v>
      </c>
      <c r="T567" s="150">
        <f>+$W$5-Tabla2[[#This Row],[FECHA DE FACTURACIÓN]]</f>
        <v>182</v>
      </c>
      <c r="U567" t="str">
        <f>+IF(Tabla2[[#This Row],[dias de credito]]&gt;=Tabla2[[#This Row],[PLAZO Días]],"venc", "No venc")</f>
        <v>venc</v>
      </c>
      <c r="V567" t="str">
        <f>+IF(Tabla2[[#This Row],[FECHA DE PAGO]]&gt;0,"pagada","por pagar")</f>
        <v>pagada</v>
      </c>
      <c r="W567" s="152" t="str">
        <f>+IF(AND(Tabla2[[#This Row],[venc]]="venc",Tabla2[[#This Row],[Columna1]]="por pagar"),"vencida","no")</f>
        <v>no</v>
      </c>
    </row>
    <row r="568" spans="1:23" x14ac:dyDescent="0.3">
      <c r="A568">
        <v>30</v>
      </c>
      <c r="B568">
        <v>0</v>
      </c>
      <c r="D568" t="s">
        <v>1653</v>
      </c>
      <c r="E568" s="156">
        <v>44662</v>
      </c>
      <c r="F568" t="s">
        <v>24</v>
      </c>
      <c r="G568" s="156">
        <v>44623</v>
      </c>
      <c r="H568" t="s">
        <v>750</v>
      </c>
      <c r="I568">
        <v>806050</v>
      </c>
      <c r="K568">
        <v>153149.5</v>
      </c>
      <c r="M568">
        <v>0</v>
      </c>
      <c r="N568">
        <v>0</v>
      </c>
      <c r="O568">
        <v>0</v>
      </c>
      <c r="P568" s="117">
        <v>959199.5</v>
      </c>
      <c r="Q568" s="117" t="s">
        <v>1021</v>
      </c>
      <c r="R568" s="150">
        <v>0</v>
      </c>
      <c r="S568" s="117" t="b">
        <f>OR(COUNTIF(Tabla2[[#This Row],[PROVEEDOR]],"*"&amp;'Palabra no opera'!$A$2&amp;"*"))</f>
        <v>0</v>
      </c>
      <c r="T568" s="150">
        <f>+$W$5-Tabla2[[#This Row],[FECHA DE FACTURACIÓN]]</f>
        <v>211</v>
      </c>
      <c r="U568" t="str">
        <f>+IF(Tabla2[[#This Row],[dias de credito]]&gt;=Tabla2[[#This Row],[PLAZO Días]],"venc", "No venc")</f>
        <v>venc</v>
      </c>
      <c r="V568" t="str">
        <f>+IF(Tabla2[[#This Row],[FECHA DE PAGO]]&gt;0,"pagada","por pagar")</f>
        <v>pagada</v>
      </c>
      <c r="W568" s="152" t="str">
        <f>+IF(AND(Tabla2[[#This Row],[venc]]="venc",Tabla2[[#This Row],[Columna1]]="por pagar"),"vencida","no")</f>
        <v>no</v>
      </c>
    </row>
    <row r="569" spans="1:23" x14ac:dyDescent="0.3">
      <c r="A569">
        <v>30</v>
      </c>
      <c r="B569">
        <v>19675613.1195</v>
      </c>
      <c r="D569" t="s">
        <v>256</v>
      </c>
      <c r="E569" s="156">
        <v>44662</v>
      </c>
      <c r="F569" t="s">
        <v>18</v>
      </c>
      <c r="G569" s="156">
        <v>44622</v>
      </c>
      <c r="H569">
        <v>1050519</v>
      </c>
      <c r="I569">
        <v>1020000</v>
      </c>
      <c r="K569">
        <v>193800</v>
      </c>
      <c r="M569">
        <v>0</v>
      </c>
      <c r="N569">
        <v>0</v>
      </c>
      <c r="O569">
        <v>0</v>
      </c>
      <c r="P569" s="117">
        <v>1213800</v>
      </c>
      <c r="Q569" s="117" t="s">
        <v>1021</v>
      </c>
      <c r="R569" s="150">
        <v>0</v>
      </c>
      <c r="S569" s="117" t="b">
        <f>OR(COUNTIF(Tabla2[[#This Row],[PROVEEDOR]],"*"&amp;'Palabra no opera'!$A$2&amp;"*"))</f>
        <v>0</v>
      </c>
      <c r="T569" s="150">
        <f>+$W$5-Tabla2[[#This Row],[FECHA DE FACTURACIÓN]]</f>
        <v>212</v>
      </c>
      <c r="U569" t="str">
        <f>+IF(Tabla2[[#This Row],[dias de credito]]&gt;=Tabla2[[#This Row],[PLAZO Días]],"venc", "No venc")</f>
        <v>venc</v>
      </c>
      <c r="V569" t="str">
        <f>+IF(Tabla2[[#This Row],[FECHA DE PAGO]]&gt;0,"pagada","por pagar")</f>
        <v>pagada</v>
      </c>
      <c r="W569" s="152" t="str">
        <f>+IF(AND(Tabla2[[#This Row],[venc]]="venc",Tabla2[[#This Row],[Columna1]]="por pagar"),"vencida","no")</f>
        <v>no</v>
      </c>
    </row>
    <row r="570" spans="1:23" x14ac:dyDescent="0.3">
      <c r="A570">
        <v>30</v>
      </c>
      <c r="B570">
        <v>19675613.1195</v>
      </c>
      <c r="D570" t="s">
        <v>256</v>
      </c>
      <c r="E570" s="156">
        <v>44662</v>
      </c>
      <c r="F570" t="s">
        <v>18</v>
      </c>
      <c r="G570" s="156">
        <v>44622</v>
      </c>
      <c r="H570">
        <v>1050509</v>
      </c>
      <c r="I570">
        <v>545207</v>
      </c>
      <c r="K570">
        <v>103589.33</v>
      </c>
      <c r="M570">
        <v>0</v>
      </c>
      <c r="N570">
        <v>0</v>
      </c>
      <c r="O570">
        <v>0</v>
      </c>
      <c r="P570" s="117">
        <v>648796.32999999996</v>
      </c>
      <c r="Q570" s="117" t="s">
        <v>1021</v>
      </c>
      <c r="R570" s="150">
        <v>0</v>
      </c>
      <c r="S570" s="117" t="b">
        <f>OR(COUNTIF(Tabla2[[#This Row],[PROVEEDOR]],"*"&amp;'Palabra no opera'!$A$2&amp;"*"))</f>
        <v>0</v>
      </c>
      <c r="T570" s="150">
        <f>+$W$5-Tabla2[[#This Row],[FECHA DE FACTURACIÓN]]</f>
        <v>212</v>
      </c>
      <c r="U570" t="str">
        <f>+IF(Tabla2[[#This Row],[dias de credito]]&gt;=Tabla2[[#This Row],[PLAZO Días]],"venc", "No venc")</f>
        <v>venc</v>
      </c>
      <c r="V570" t="str">
        <f>+IF(Tabla2[[#This Row],[FECHA DE PAGO]]&gt;0,"pagada","por pagar")</f>
        <v>pagada</v>
      </c>
      <c r="W570" s="152" t="str">
        <f>+IF(AND(Tabla2[[#This Row],[venc]]="venc",Tabla2[[#This Row],[Columna1]]="por pagar"),"vencida","no")</f>
        <v>no</v>
      </c>
    </row>
    <row r="571" spans="1:23" x14ac:dyDescent="0.3">
      <c r="A571">
        <v>30</v>
      </c>
      <c r="B571">
        <v>0</v>
      </c>
      <c r="D571" t="s">
        <v>547</v>
      </c>
      <c r="E571" s="156">
        <v>44662</v>
      </c>
      <c r="F571" t="s">
        <v>510</v>
      </c>
      <c r="G571" s="156">
        <v>44595</v>
      </c>
      <c r="H571" t="s">
        <v>768</v>
      </c>
      <c r="I571">
        <v>3264000</v>
      </c>
      <c r="K571">
        <v>620160</v>
      </c>
      <c r="M571">
        <v>0</v>
      </c>
      <c r="N571">
        <v>0</v>
      </c>
      <c r="O571">
        <v>0</v>
      </c>
      <c r="P571" s="117">
        <v>3884160</v>
      </c>
      <c r="Q571" s="117" t="s">
        <v>1021</v>
      </c>
      <c r="R571" s="150">
        <v>0</v>
      </c>
      <c r="S571" s="117" t="b">
        <f>OR(COUNTIF(Tabla2[[#This Row],[PROVEEDOR]],"*"&amp;'Palabra no opera'!$A$2&amp;"*"))</f>
        <v>0</v>
      </c>
      <c r="T571" s="150">
        <f>+$W$5-Tabla2[[#This Row],[FECHA DE FACTURACIÓN]]</f>
        <v>239</v>
      </c>
      <c r="U571" t="str">
        <f>+IF(Tabla2[[#This Row],[dias de credito]]&gt;=Tabla2[[#This Row],[PLAZO Días]],"venc", "No venc")</f>
        <v>venc</v>
      </c>
      <c r="V571" t="str">
        <f>+IF(Tabla2[[#This Row],[FECHA DE PAGO]]&gt;0,"pagada","por pagar")</f>
        <v>pagada</v>
      </c>
      <c r="W571" s="152" t="str">
        <f>+IF(AND(Tabla2[[#This Row],[venc]]="venc",Tabla2[[#This Row],[Columna1]]="por pagar"),"vencida","no")</f>
        <v>no</v>
      </c>
    </row>
    <row r="572" spans="1:23" x14ac:dyDescent="0.3">
      <c r="A572">
        <v>30</v>
      </c>
      <c r="B572">
        <v>0</v>
      </c>
      <c r="D572" t="s">
        <v>547</v>
      </c>
      <c r="E572" s="156">
        <v>44662</v>
      </c>
      <c r="F572" t="s">
        <v>510</v>
      </c>
      <c r="G572" s="156">
        <v>44595</v>
      </c>
      <c r="H572" t="s">
        <v>772</v>
      </c>
      <c r="I572">
        <v>2130920</v>
      </c>
      <c r="K572">
        <v>404874.8</v>
      </c>
      <c r="M572">
        <v>0</v>
      </c>
      <c r="N572">
        <v>0</v>
      </c>
      <c r="O572">
        <v>0</v>
      </c>
      <c r="P572" s="117">
        <v>2535794.7999999998</v>
      </c>
      <c r="Q572" s="117" t="s">
        <v>1021</v>
      </c>
      <c r="R572" s="150">
        <v>0</v>
      </c>
      <c r="S572" s="117" t="b">
        <f>OR(COUNTIF(Tabla2[[#This Row],[PROVEEDOR]],"*"&amp;'Palabra no opera'!$A$2&amp;"*"))</f>
        <v>0</v>
      </c>
      <c r="T572" s="150">
        <f>+$W$5-Tabla2[[#This Row],[FECHA DE FACTURACIÓN]]</f>
        <v>239</v>
      </c>
      <c r="U572" t="str">
        <f>+IF(Tabla2[[#This Row],[dias de credito]]&gt;=Tabla2[[#This Row],[PLAZO Días]],"venc", "No venc")</f>
        <v>venc</v>
      </c>
      <c r="V572" t="str">
        <f>+IF(Tabla2[[#This Row],[FECHA DE PAGO]]&gt;0,"pagada","por pagar")</f>
        <v>pagada</v>
      </c>
      <c r="W572" s="152" t="str">
        <f>+IF(AND(Tabla2[[#This Row],[venc]]="venc",Tabla2[[#This Row],[Columna1]]="por pagar"),"vencida","no")</f>
        <v>no</v>
      </c>
    </row>
    <row r="573" spans="1:23" x14ac:dyDescent="0.3">
      <c r="A573">
        <v>30</v>
      </c>
      <c r="B573">
        <v>0</v>
      </c>
      <c r="D573" t="s">
        <v>139</v>
      </c>
      <c r="E573" s="156">
        <v>44660</v>
      </c>
      <c r="F573" t="s">
        <v>661</v>
      </c>
      <c r="G573" s="156">
        <v>44660</v>
      </c>
      <c r="H573" t="s">
        <v>853</v>
      </c>
      <c r="I573">
        <v>150000</v>
      </c>
      <c r="K573">
        <v>0</v>
      </c>
      <c r="M573">
        <v>0</v>
      </c>
      <c r="N573">
        <v>0</v>
      </c>
      <c r="O573">
        <v>0</v>
      </c>
      <c r="P573" s="117">
        <v>150000</v>
      </c>
      <c r="Q573" s="117" t="s">
        <v>1021</v>
      </c>
      <c r="R573" s="150">
        <v>0</v>
      </c>
      <c r="S573" s="117" t="b">
        <f>OR(COUNTIF(Tabla2[[#This Row],[PROVEEDOR]],"*"&amp;'Palabra no opera'!$A$2&amp;"*"))</f>
        <v>0</v>
      </c>
      <c r="T573" s="150">
        <f>+$W$5-Tabla2[[#This Row],[FECHA DE FACTURACIÓN]]</f>
        <v>174</v>
      </c>
      <c r="U573" t="str">
        <f>+IF(Tabla2[[#This Row],[dias de credito]]&gt;=Tabla2[[#This Row],[PLAZO Días]],"venc", "No venc")</f>
        <v>venc</v>
      </c>
      <c r="V573" t="str">
        <f>+IF(Tabla2[[#This Row],[FECHA DE PAGO]]&gt;0,"pagada","por pagar")</f>
        <v>pagada</v>
      </c>
      <c r="W573" s="152" t="str">
        <f>+IF(AND(Tabla2[[#This Row],[venc]]="venc",Tabla2[[#This Row],[Columna1]]="por pagar"),"vencida","no")</f>
        <v>no</v>
      </c>
    </row>
    <row r="574" spans="1:23" x14ac:dyDescent="0.3">
      <c r="A574">
        <v>30</v>
      </c>
      <c r="B574">
        <v>0</v>
      </c>
      <c r="D574">
        <v>0</v>
      </c>
      <c r="E574" s="156">
        <v>44658</v>
      </c>
      <c r="F574" t="s">
        <v>700</v>
      </c>
      <c r="G574" s="156">
        <v>44652</v>
      </c>
      <c r="H574" t="s">
        <v>1584</v>
      </c>
      <c r="I574">
        <v>856000</v>
      </c>
      <c r="K574">
        <v>0</v>
      </c>
      <c r="M574">
        <v>0</v>
      </c>
      <c r="N574">
        <v>0</v>
      </c>
      <c r="O574">
        <v>0</v>
      </c>
      <c r="P574" s="117">
        <v>856000</v>
      </c>
      <c r="Q574" s="117" t="s">
        <v>1021</v>
      </c>
      <c r="R574" s="150">
        <v>0</v>
      </c>
      <c r="S574" s="117" t="b">
        <f>OR(COUNTIF(Tabla2[[#This Row],[PROVEEDOR]],"*"&amp;'Palabra no opera'!$A$2&amp;"*"))</f>
        <v>0</v>
      </c>
      <c r="T574" s="150">
        <f>+$W$5-Tabla2[[#This Row],[FECHA DE FACTURACIÓN]]</f>
        <v>182</v>
      </c>
      <c r="U574" t="str">
        <f>+IF(Tabla2[[#This Row],[dias de credito]]&gt;=Tabla2[[#This Row],[PLAZO Días]],"venc", "No venc")</f>
        <v>venc</v>
      </c>
      <c r="V574" t="str">
        <f>+IF(Tabla2[[#This Row],[FECHA DE PAGO]]&gt;0,"pagada","por pagar")</f>
        <v>pagada</v>
      </c>
      <c r="W574" s="152" t="str">
        <f>+IF(AND(Tabla2[[#This Row],[venc]]="venc",Tabla2[[#This Row],[Columna1]]="por pagar"),"vencida","no")</f>
        <v>no</v>
      </c>
    </row>
    <row r="575" spans="1:23" x14ac:dyDescent="0.3">
      <c r="A575">
        <v>30</v>
      </c>
      <c r="B575">
        <v>0</v>
      </c>
      <c r="D575" t="s">
        <v>622</v>
      </c>
      <c r="E575" s="156">
        <v>44658</v>
      </c>
      <c r="F575" t="s">
        <v>623</v>
      </c>
      <c r="G575" s="156">
        <v>44573</v>
      </c>
      <c r="H575" t="s">
        <v>1556</v>
      </c>
      <c r="I575">
        <v>5650500</v>
      </c>
      <c r="K575">
        <v>0</v>
      </c>
      <c r="M575">
        <v>0</v>
      </c>
      <c r="N575">
        <v>0</v>
      </c>
      <c r="O575">
        <v>0</v>
      </c>
      <c r="P575" s="117">
        <v>5650500</v>
      </c>
      <c r="Q575" s="117" t="s">
        <v>1021</v>
      </c>
      <c r="R575" s="150">
        <v>0</v>
      </c>
      <c r="S575" s="117" t="b">
        <f>OR(COUNTIF(Tabla2[[#This Row],[PROVEEDOR]],"*"&amp;'Palabra no opera'!$A$2&amp;"*"))</f>
        <v>0</v>
      </c>
      <c r="T575" s="150">
        <f>+$W$5-Tabla2[[#This Row],[FECHA DE FACTURACIÓN]]</f>
        <v>261</v>
      </c>
      <c r="U575" t="str">
        <f>+IF(Tabla2[[#This Row],[dias de credito]]&gt;=Tabla2[[#This Row],[PLAZO Días]],"venc", "No venc")</f>
        <v>venc</v>
      </c>
      <c r="V575" t="str">
        <f>+IF(Tabla2[[#This Row],[FECHA DE PAGO]]&gt;0,"pagada","por pagar")</f>
        <v>pagada</v>
      </c>
      <c r="W575" s="152" t="str">
        <f>+IF(AND(Tabla2[[#This Row],[venc]]="venc",Tabla2[[#This Row],[Columna1]]="por pagar"),"vencida","no")</f>
        <v>no</v>
      </c>
    </row>
    <row r="576" spans="1:23" x14ac:dyDescent="0.3">
      <c r="A576">
        <v>60</v>
      </c>
      <c r="B576">
        <v>0</v>
      </c>
      <c r="D576" t="s">
        <v>659</v>
      </c>
      <c r="E576" s="156">
        <v>44658</v>
      </c>
      <c r="F576" t="s">
        <v>660</v>
      </c>
      <c r="G576" s="156">
        <v>44531</v>
      </c>
      <c r="H576" t="s">
        <v>1351</v>
      </c>
      <c r="I576">
        <v>5285000</v>
      </c>
      <c r="K576">
        <v>0</v>
      </c>
      <c r="M576">
        <v>0</v>
      </c>
      <c r="N576">
        <v>0</v>
      </c>
      <c r="O576">
        <v>0</v>
      </c>
      <c r="P576" s="117">
        <v>5285000</v>
      </c>
      <c r="Q576" s="117" t="s">
        <v>1021</v>
      </c>
      <c r="R576" s="150">
        <v>0</v>
      </c>
      <c r="S576" s="117" t="b">
        <f>OR(COUNTIF(Tabla2[[#This Row],[PROVEEDOR]],"*"&amp;'Palabra no opera'!$A$2&amp;"*"))</f>
        <v>0</v>
      </c>
      <c r="T576" s="150">
        <f>+$W$5-Tabla2[[#This Row],[FECHA DE FACTURACIÓN]]</f>
        <v>303</v>
      </c>
      <c r="U576" t="str">
        <f>+IF(Tabla2[[#This Row],[dias de credito]]&gt;=Tabla2[[#This Row],[PLAZO Días]],"venc", "No venc")</f>
        <v>venc</v>
      </c>
      <c r="V576" t="str">
        <f>+IF(Tabla2[[#This Row],[FECHA DE PAGO]]&gt;0,"pagada","por pagar")</f>
        <v>pagada</v>
      </c>
      <c r="W576" s="152" t="str">
        <f>+IF(AND(Tabla2[[#This Row],[venc]]="venc",Tabla2[[#This Row],[Columna1]]="por pagar"),"vencida","no")</f>
        <v>no</v>
      </c>
    </row>
    <row r="577" spans="1:23" x14ac:dyDescent="0.3">
      <c r="A577">
        <v>30</v>
      </c>
      <c r="B577">
        <v>0</v>
      </c>
      <c r="D577" t="s">
        <v>139</v>
      </c>
      <c r="E577" s="156">
        <v>44657</v>
      </c>
      <c r="F577" t="s">
        <v>673</v>
      </c>
      <c r="G577" s="156">
        <v>44657</v>
      </c>
      <c r="I577">
        <v>1000000</v>
      </c>
      <c r="K577">
        <v>0</v>
      </c>
      <c r="M577">
        <v>0</v>
      </c>
      <c r="N577">
        <v>0</v>
      </c>
      <c r="O577">
        <v>0</v>
      </c>
      <c r="P577" s="117">
        <v>1000000</v>
      </c>
      <c r="Q577" s="117" t="s">
        <v>1021</v>
      </c>
      <c r="R577" s="150">
        <v>0</v>
      </c>
      <c r="S577" s="117" t="b">
        <f>OR(COUNTIF(Tabla2[[#This Row],[PROVEEDOR]],"*"&amp;'Palabra no opera'!$A$2&amp;"*"))</f>
        <v>0</v>
      </c>
      <c r="T577" s="150">
        <f>+$W$5-Tabla2[[#This Row],[FECHA DE FACTURACIÓN]]</f>
        <v>177</v>
      </c>
      <c r="U577" t="str">
        <f>+IF(Tabla2[[#This Row],[dias de credito]]&gt;=Tabla2[[#This Row],[PLAZO Días]],"venc", "No venc")</f>
        <v>venc</v>
      </c>
      <c r="V577" t="str">
        <f>+IF(Tabla2[[#This Row],[FECHA DE PAGO]]&gt;0,"pagada","por pagar")</f>
        <v>pagada</v>
      </c>
      <c r="W577" s="152" t="str">
        <f>+IF(AND(Tabla2[[#This Row],[venc]]="venc",Tabla2[[#This Row],[Columna1]]="por pagar"),"vencida","no")</f>
        <v>no</v>
      </c>
    </row>
    <row r="578" spans="1:23" x14ac:dyDescent="0.3">
      <c r="A578">
        <v>30</v>
      </c>
      <c r="B578">
        <v>0</v>
      </c>
      <c r="D578" t="s">
        <v>139</v>
      </c>
      <c r="E578" s="156">
        <v>44657</v>
      </c>
      <c r="F578" t="s">
        <v>53</v>
      </c>
      <c r="G578" s="156">
        <v>44656</v>
      </c>
      <c r="H578">
        <v>289692</v>
      </c>
      <c r="I578">
        <v>3918000</v>
      </c>
      <c r="K578">
        <v>0</v>
      </c>
      <c r="M578">
        <v>0</v>
      </c>
      <c r="N578">
        <v>0</v>
      </c>
      <c r="O578">
        <v>0</v>
      </c>
      <c r="P578" s="117">
        <v>3918000</v>
      </c>
      <c r="Q578" s="117" t="s">
        <v>1021</v>
      </c>
      <c r="R578" s="150">
        <v>0</v>
      </c>
      <c r="S578" s="117" t="b">
        <f>OR(COUNTIF(Tabla2[[#This Row],[PROVEEDOR]],"*"&amp;'Palabra no opera'!$A$2&amp;"*"))</f>
        <v>0</v>
      </c>
      <c r="T578" s="150">
        <f>+$W$5-Tabla2[[#This Row],[FECHA DE FACTURACIÓN]]</f>
        <v>178</v>
      </c>
      <c r="U578" t="str">
        <f>+IF(Tabla2[[#This Row],[dias de credito]]&gt;=Tabla2[[#This Row],[PLAZO Días]],"venc", "No venc")</f>
        <v>venc</v>
      </c>
      <c r="V578" t="str">
        <f>+IF(Tabla2[[#This Row],[FECHA DE PAGO]]&gt;0,"pagada","por pagar")</f>
        <v>pagada</v>
      </c>
      <c r="W578" s="152" t="str">
        <f>+IF(AND(Tabla2[[#This Row],[venc]]="venc",Tabla2[[#This Row],[Columna1]]="por pagar"),"vencida","no")</f>
        <v>no</v>
      </c>
    </row>
    <row r="579" spans="1:23" x14ac:dyDescent="0.3">
      <c r="A579">
        <v>30</v>
      </c>
      <c r="B579">
        <v>326474.88</v>
      </c>
      <c r="D579" t="s">
        <v>949</v>
      </c>
      <c r="E579" s="156">
        <v>44657</v>
      </c>
      <c r="F579" t="s">
        <v>345</v>
      </c>
      <c r="G579" s="156">
        <v>44656</v>
      </c>
      <c r="H579" t="s">
        <v>778</v>
      </c>
      <c r="I579">
        <v>1821000</v>
      </c>
      <c r="K579">
        <v>0</v>
      </c>
      <c r="M579">
        <v>0</v>
      </c>
      <c r="N579">
        <v>0</v>
      </c>
      <c r="O579">
        <v>0</v>
      </c>
      <c r="P579" s="117">
        <v>1821000</v>
      </c>
      <c r="Q579" s="117" t="s">
        <v>1021</v>
      </c>
      <c r="R579" s="150">
        <v>0</v>
      </c>
      <c r="S579" s="117" t="b">
        <f>OR(COUNTIF(Tabla2[[#This Row],[PROVEEDOR]],"*"&amp;'Palabra no opera'!$A$2&amp;"*"))</f>
        <v>0</v>
      </c>
      <c r="T579" s="150">
        <f>+$W$5-Tabla2[[#This Row],[FECHA DE FACTURACIÓN]]</f>
        <v>178</v>
      </c>
      <c r="U579" t="str">
        <f>+IF(Tabla2[[#This Row],[dias de credito]]&gt;=Tabla2[[#This Row],[PLAZO Días]],"venc", "No venc")</f>
        <v>venc</v>
      </c>
      <c r="V579" t="str">
        <f>+IF(Tabla2[[#This Row],[FECHA DE PAGO]]&gt;0,"pagada","por pagar")</f>
        <v>pagada</v>
      </c>
      <c r="W579" s="152" t="str">
        <f>+IF(AND(Tabla2[[#This Row],[venc]]="venc",Tabla2[[#This Row],[Columna1]]="por pagar"),"vencida","no")</f>
        <v>no</v>
      </c>
    </row>
    <row r="580" spans="1:23" x14ac:dyDescent="0.3">
      <c r="A580">
        <v>30</v>
      </c>
      <c r="B580">
        <v>9756105</v>
      </c>
      <c r="D580" t="s">
        <v>476</v>
      </c>
      <c r="E580" s="156">
        <v>44657</v>
      </c>
      <c r="F580" t="s">
        <v>670</v>
      </c>
      <c r="G580" s="156">
        <v>44594</v>
      </c>
      <c r="H580" t="s">
        <v>1568</v>
      </c>
      <c r="I580">
        <v>532400</v>
      </c>
      <c r="K580">
        <v>0</v>
      </c>
      <c r="M580">
        <v>0</v>
      </c>
      <c r="N580">
        <v>0</v>
      </c>
      <c r="O580">
        <v>0</v>
      </c>
      <c r="P580" s="117">
        <v>532400</v>
      </c>
      <c r="Q580" s="117" t="s">
        <v>1021</v>
      </c>
      <c r="R580" s="150">
        <v>0</v>
      </c>
      <c r="S580" s="117" t="b">
        <f>OR(COUNTIF(Tabla2[[#This Row],[PROVEEDOR]],"*"&amp;'Palabra no opera'!$A$2&amp;"*"))</f>
        <v>0</v>
      </c>
      <c r="T580" s="150">
        <f>+$W$5-Tabla2[[#This Row],[FECHA DE FACTURACIÓN]]</f>
        <v>240</v>
      </c>
      <c r="U580" t="str">
        <f>+IF(Tabla2[[#This Row],[dias de credito]]&gt;=Tabla2[[#This Row],[PLAZO Días]],"venc", "No venc")</f>
        <v>venc</v>
      </c>
      <c r="V580" t="str">
        <f>+IF(Tabla2[[#This Row],[FECHA DE PAGO]]&gt;0,"pagada","por pagar")</f>
        <v>pagada</v>
      </c>
      <c r="W580" s="152" t="str">
        <f>+IF(AND(Tabla2[[#This Row],[venc]]="venc",Tabla2[[#This Row],[Columna1]]="por pagar"),"vencida","no")</f>
        <v>no</v>
      </c>
    </row>
    <row r="581" spans="1:23" x14ac:dyDescent="0.3">
      <c r="A581">
        <v>30</v>
      </c>
      <c r="B581">
        <v>4656887.12</v>
      </c>
      <c r="D581" t="s">
        <v>170</v>
      </c>
      <c r="E581" s="156">
        <v>44657</v>
      </c>
      <c r="F581" t="s">
        <v>20</v>
      </c>
      <c r="G581" s="156">
        <v>44588</v>
      </c>
      <c r="H581" t="s">
        <v>703</v>
      </c>
      <c r="I581">
        <v>-1591200</v>
      </c>
      <c r="K581">
        <v>-302328</v>
      </c>
      <c r="M581">
        <v>0</v>
      </c>
      <c r="N581">
        <v>0</v>
      </c>
      <c r="O581">
        <v>0</v>
      </c>
      <c r="P581" s="117">
        <v>-1853748</v>
      </c>
      <c r="Q581" s="117" t="s">
        <v>1021</v>
      </c>
      <c r="R581" s="150">
        <v>0</v>
      </c>
      <c r="S581" s="117" t="b">
        <f>OR(COUNTIF(Tabla2[[#This Row],[PROVEEDOR]],"*"&amp;'Palabra no opera'!$A$2&amp;"*"))</f>
        <v>0</v>
      </c>
      <c r="T581" s="150">
        <f>+$W$5-Tabla2[[#This Row],[FECHA DE FACTURACIÓN]]</f>
        <v>246</v>
      </c>
      <c r="U581" t="str">
        <f>+IF(Tabla2[[#This Row],[dias de credito]]&gt;=Tabla2[[#This Row],[PLAZO Días]],"venc", "No venc")</f>
        <v>venc</v>
      </c>
      <c r="V581" t="str">
        <f>+IF(Tabla2[[#This Row],[FECHA DE PAGO]]&gt;0,"pagada","por pagar")</f>
        <v>pagada</v>
      </c>
      <c r="W581" s="152" t="str">
        <f>+IF(AND(Tabla2[[#This Row],[venc]]="venc",Tabla2[[#This Row],[Columna1]]="por pagar"),"vencida","no")</f>
        <v>no</v>
      </c>
    </row>
    <row r="582" spans="1:23" x14ac:dyDescent="0.3">
      <c r="A582">
        <v>30</v>
      </c>
      <c r="B582">
        <v>4656887.12</v>
      </c>
      <c r="D582" t="s">
        <v>170</v>
      </c>
      <c r="E582" s="156">
        <v>44657</v>
      </c>
      <c r="F582" t="s">
        <v>20</v>
      </c>
      <c r="G582" s="156">
        <v>44585</v>
      </c>
      <c r="H582">
        <v>6124</v>
      </c>
      <c r="I582">
        <v>4330819.2</v>
      </c>
      <c r="K582">
        <v>822855.64800000004</v>
      </c>
      <c r="M582">
        <v>0</v>
      </c>
      <c r="N582">
        <v>2.5000000000000001E-2</v>
      </c>
      <c r="O582">
        <v>108270.48000000001</v>
      </c>
      <c r="P582" s="117">
        <v>5045404.3679999998</v>
      </c>
      <c r="Q582" s="117" t="s">
        <v>1021</v>
      </c>
      <c r="R582" s="150">
        <v>0</v>
      </c>
      <c r="S582" s="117" t="b">
        <f>OR(COUNTIF(Tabla2[[#This Row],[PROVEEDOR]],"*"&amp;'Palabra no opera'!$A$2&amp;"*"))</f>
        <v>0</v>
      </c>
      <c r="T582" s="150">
        <f>+$W$5-Tabla2[[#This Row],[FECHA DE FACTURACIÓN]]</f>
        <v>249</v>
      </c>
      <c r="U582" t="str">
        <f>+IF(Tabla2[[#This Row],[dias de credito]]&gt;=Tabla2[[#This Row],[PLAZO Días]],"venc", "No venc")</f>
        <v>venc</v>
      </c>
      <c r="V582" t="str">
        <f>+IF(Tabla2[[#This Row],[FECHA DE PAGO]]&gt;0,"pagada","por pagar")</f>
        <v>pagada</v>
      </c>
      <c r="W582" s="152" t="str">
        <f>+IF(AND(Tabla2[[#This Row],[venc]]="venc",Tabla2[[#This Row],[Columna1]]="por pagar"),"vencida","no")</f>
        <v>no</v>
      </c>
    </row>
    <row r="583" spans="1:23" x14ac:dyDescent="0.3">
      <c r="A583">
        <v>30</v>
      </c>
      <c r="B583">
        <v>9756105</v>
      </c>
      <c r="D583" t="s">
        <v>476</v>
      </c>
      <c r="E583" s="156">
        <v>44657</v>
      </c>
      <c r="F583" t="s">
        <v>670</v>
      </c>
      <c r="G583" s="156">
        <v>44573</v>
      </c>
      <c r="H583" t="s">
        <v>1557</v>
      </c>
      <c r="I583">
        <v>854000</v>
      </c>
      <c r="K583">
        <v>0</v>
      </c>
      <c r="M583">
        <v>0</v>
      </c>
      <c r="N583">
        <v>0</v>
      </c>
      <c r="O583">
        <v>0</v>
      </c>
      <c r="P583" s="117">
        <v>854000</v>
      </c>
      <c r="Q583" s="117" t="s">
        <v>1021</v>
      </c>
      <c r="R583" s="150">
        <v>0</v>
      </c>
      <c r="S583" s="117" t="b">
        <f>OR(COUNTIF(Tabla2[[#This Row],[PROVEEDOR]],"*"&amp;'Palabra no opera'!$A$2&amp;"*"))</f>
        <v>0</v>
      </c>
      <c r="T583" s="150">
        <f>+$W$5-Tabla2[[#This Row],[FECHA DE FACTURACIÓN]]</f>
        <v>261</v>
      </c>
      <c r="U583" t="str">
        <f>+IF(Tabla2[[#This Row],[dias de credito]]&gt;=Tabla2[[#This Row],[PLAZO Días]],"venc", "No venc")</f>
        <v>venc</v>
      </c>
      <c r="V583" t="str">
        <f>+IF(Tabla2[[#This Row],[FECHA DE PAGO]]&gt;0,"pagada","por pagar")</f>
        <v>pagada</v>
      </c>
      <c r="W583" s="152" t="str">
        <f>+IF(AND(Tabla2[[#This Row],[venc]]="venc",Tabla2[[#This Row],[Columna1]]="por pagar"),"vencida","no")</f>
        <v>no</v>
      </c>
    </row>
    <row r="584" spans="1:23" x14ac:dyDescent="0.3">
      <c r="A584">
        <v>30</v>
      </c>
      <c r="B584">
        <v>9756105</v>
      </c>
      <c r="D584" t="s">
        <v>476</v>
      </c>
      <c r="E584" s="156">
        <v>44657</v>
      </c>
      <c r="F584" t="s">
        <v>670</v>
      </c>
      <c r="G584" s="156">
        <v>44573</v>
      </c>
      <c r="H584" t="s">
        <v>1558</v>
      </c>
      <c r="I584">
        <v>2011600</v>
      </c>
      <c r="K584">
        <v>0</v>
      </c>
      <c r="M584">
        <v>0</v>
      </c>
      <c r="N584">
        <v>0</v>
      </c>
      <c r="O584">
        <v>0</v>
      </c>
      <c r="P584" s="117">
        <v>2011600</v>
      </c>
      <c r="Q584" s="117" t="s">
        <v>1021</v>
      </c>
      <c r="R584" s="150">
        <v>0</v>
      </c>
      <c r="S584" s="117" t="b">
        <f>OR(COUNTIF(Tabla2[[#This Row],[PROVEEDOR]],"*"&amp;'Palabra no opera'!$A$2&amp;"*"))</f>
        <v>0</v>
      </c>
      <c r="T584" s="150">
        <f>+$W$5-Tabla2[[#This Row],[FECHA DE FACTURACIÓN]]</f>
        <v>261</v>
      </c>
      <c r="U584" t="str">
        <f>+IF(Tabla2[[#This Row],[dias de credito]]&gt;=Tabla2[[#This Row],[PLAZO Días]],"venc", "No venc")</f>
        <v>venc</v>
      </c>
      <c r="V584" t="str">
        <f>+IF(Tabla2[[#This Row],[FECHA DE PAGO]]&gt;0,"pagada","por pagar")</f>
        <v>pagada</v>
      </c>
      <c r="W584" s="152" t="str">
        <f>+IF(AND(Tabla2[[#This Row],[venc]]="venc",Tabla2[[#This Row],[Columna1]]="por pagar"),"vencida","no")</f>
        <v>no</v>
      </c>
    </row>
    <row r="585" spans="1:23" x14ac:dyDescent="0.3">
      <c r="A585">
        <v>30</v>
      </c>
      <c r="B585">
        <v>0</v>
      </c>
      <c r="D585" t="s">
        <v>687</v>
      </c>
      <c r="E585" s="156">
        <v>44656</v>
      </c>
      <c r="F585" t="s">
        <v>688</v>
      </c>
      <c r="G585" s="156">
        <v>44649</v>
      </c>
      <c r="H585" t="s">
        <v>1581</v>
      </c>
      <c r="I585">
        <v>-1200000</v>
      </c>
      <c r="K585">
        <v>0</v>
      </c>
      <c r="M585">
        <v>0</v>
      </c>
      <c r="N585">
        <v>0</v>
      </c>
      <c r="O585">
        <v>0</v>
      </c>
      <c r="P585" s="117">
        <v>0</v>
      </c>
      <c r="Q585" s="117" t="s">
        <v>1021</v>
      </c>
      <c r="R585" s="150">
        <v>0</v>
      </c>
      <c r="S585" s="117" t="b">
        <f>OR(COUNTIF(Tabla2[[#This Row],[PROVEEDOR]],"*"&amp;'Palabra no opera'!$A$2&amp;"*"))</f>
        <v>0</v>
      </c>
      <c r="T585" s="150">
        <f>+$W$5-Tabla2[[#This Row],[FECHA DE FACTURACIÓN]]</f>
        <v>185</v>
      </c>
      <c r="U585" t="str">
        <f>+IF(Tabla2[[#This Row],[dias de credito]]&gt;=Tabla2[[#This Row],[PLAZO Días]],"venc", "No venc")</f>
        <v>venc</v>
      </c>
      <c r="V585" t="str">
        <f>+IF(Tabla2[[#This Row],[FECHA DE PAGO]]&gt;0,"pagada","por pagar")</f>
        <v>pagada</v>
      </c>
      <c r="W585" s="152" t="str">
        <f>+IF(AND(Tabla2[[#This Row],[venc]]="venc",Tabla2[[#This Row],[Columna1]]="por pagar"),"vencida","no")</f>
        <v>no</v>
      </c>
    </row>
    <row r="586" spans="1:23" x14ac:dyDescent="0.3">
      <c r="A586">
        <v>30</v>
      </c>
      <c r="B586">
        <v>1865958.0154999997</v>
      </c>
      <c r="D586" t="s">
        <v>718</v>
      </c>
      <c r="E586" s="156">
        <v>44656</v>
      </c>
      <c r="F586" t="s">
        <v>508</v>
      </c>
      <c r="G586" s="156">
        <v>44620</v>
      </c>
      <c r="H586" t="s">
        <v>739</v>
      </c>
      <c r="I586">
        <v>585212</v>
      </c>
      <c r="K586">
        <v>111190.28</v>
      </c>
      <c r="M586">
        <v>0</v>
      </c>
      <c r="N586">
        <v>0</v>
      </c>
      <c r="O586">
        <v>0</v>
      </c>
      <c r="P586" s="117">
        <v>696402.28</v>
      </c>
      <c r="Q586" s="117" t="s">
        <v>1021</v>
      </c>
      <c r="R586" s="150">
        <v>0</v>
      </c>
      <c r="S586" s="117" t="b">
        <f>OR(COUNTIF(Tabla2[[#This Row],[PROVEEDOR]],"*"&amp;'Palabra no opera'!$A$2&amp;"*"))</f>
        <v>0</v>
      </c>
      <c r="T586" s="150">
        <f>+$W$5-Tabla2[[#This Row],[FECHA DE FACTURACIÓN]]</f>
        <v>214</v>
      </c>
      <c r="U586" t="str">
        <f>+IF(Tabla2[[#This Row],[dias de credito]]&gt;=Tabla2[[#This Row],[PLAZO Días]],"venc", "No venc")</f>
        <v>venc</v>
      </c>
      <c r="V586" t="str">
        <f>+IF(Tabla2[[#This Row],[FECHA DE PAGO]]&gt;0,"pagada","por pagar")</f>
        <v>pagada</v>
      </c>
      <c r="W586" s="152" t="str">
        <f>+IF(AND(Tabla2[[#This Row],[venc]]="venc",Tabla2[[#This Row],[Columna1]]="por pagar"),"vencida","no")</f>
        <v>no</v>
      </c>
    </row>
    <row r="587" spans="1:23" x14ac:dyDescent="0.3">
      <c r="A587">
        <v>30</v>
      </c>
      <c r="B587">
        <v>0</v>
      </c>
      <c r="D587" t="s">
        <v>687</v>
      </c>
      <c r="E587" s="156">
        <v>44656</v>
      </c>
      <c r="F587" t="s">
        <v>688</v>
      </c>
      <c r="G587" s="156">
        <v>44597</v>
      </c>
      <c r="H587" t="s">
        <v>1569</v>
      </c>
      <c r="I587">
        <v>1510000</v>
      </c>
      <c r="K587">
        <v>0</v>
      </c>
      <c r="M587">
        <v>0</v>
      </c>
      <c r="N587">
        <v>0</v>
      </c>
      <c r="O587">
        <v>0</v>
      </c>
      <c r="P587" s="117">
        <v>1510000</v>
      </c>
      <c r="Q587" s="117" t="s">
        <v>1021</v>
      </c>
      <c r="R587" s="150">
        <v>0</v>
      </c>
      <c r="S587" s="117" t="b">
        <f>OR(COUNTIF(Tabla2[[#This Row],[PROVEEDOR]],"*"&amp;'Palabra no opera'!$A$2&amp;"*"))</f>
        <v>0</v>
      </c>
      <c r="T587" s="150">
        <f>+$W$5-Tabla2[[#This Row],[FECHA DE FACTURACIÓN]]</f>
        <v>237</v>
      </c>
      <c r="U587" t="str">
        <f>+IF(Tabla2[[#This Row],[dias de credito]]&gt;=Tabla2[[#This Row],[PLAZO Días]],"venc", "No venc")</f>
        <v>venc</v>
      </c>
      <c r="V587" t="str">
        <f>+IF(Tabla2[[#This Row],[FECHA DE PAGO]]&gt;0,"pagada","por pagar")</f>
        <v>pagada</v>
      </c>
      <c r="W587" s="152" t="str">
        <f>+IF(AND(Tabla2[[#This Row],[venc]]="venc",Tabla2[[#This Row],[Columna1]]="por pagar"),"vencida","no")</f>
        <v>no</v>
      </c>
    </row>
    <row r="588" spans="1:23" x14ac:dyDescent="0.3">
      <c r="A588">
        <v>45</v>
      </c>
      <c r="B588">
        <v>30078253.170000002</v>
      </c>
      <c r="D588" t="s">
        <v>884</v>
      </c>
      <c r="E588" s="156">
        <v>44656</v>
      </c>
      <c r="F588" t="s">
        <v>19</v>
      </c>
      <c r="G588" s="156">
        <v>44596</v>
      </c>
      <c r="H588" t="s">
        <v>753</v>
      </c>
      <c r="I588">
        <v>1164160</v>
      </c>
      <c r="K588">
        <v>221190.39999999999</v>
      </c>
      <c r="M588">
        <v>0</v>
      </c>
      <c r="N588">
        <v>0</v>
      </c>
      <c r="O588">
        <v>0</v>
      </c>
      <c r="P588" s="117">
        <v>1385350.4</v>
      </c>
      <c r="Q588" s="117" t="s">
        <v>1021</v>
      </c>
      <c r="R588" s="150">
        <v>0</v>
      </c>
      <c r="S588" s="117" t="b">
        <f>OR(COUNTIF(Tabla2[[#This Row],[PROVEEDOR]],"*"&amp;'Palabra no opera'!$A$2&amp;"*"))</f>
        <v>0</v>
      </c>
      <c r="T588" s="150">
        <f>+$W$5-Tabla2[[#This Row],[FECHA DE FACTURACIÓN]]</f>
        <v>238</v>
      </c>
      <c r="U588" t="str">
        <f>+IF(Tabla2[[#This Row],[dias de credito]]&gt;=Tabla2[[#This Row],[PLAZO Días]],"venc", "No venc")</f>
        <v>venc</v>
      </c>
      <c r="V588" t="str">
        <f>+IF(Tabla2[[#This Row],[FECHA DE PAGO]]&gt;0,"pagada","por pagar")</f>
        <v>pagada</v>
      </c>
      <c r="W588" s="152" t="str">
        <f>+IF(AND(Tabla2[[#This Row],[venc]]="venc",Tabla2[[#This Row],[Columna1]]="por pagar"),"vencida","no")</f>
        <v>no</v>
      </c>
    </row>
    <row r="589" spans="1:23" x14ac:dyDescent="0.3">
      <c r="A589">
        <v>45</v>
      </c>
      <c r="B589">
        <v>7497238</v>
      </c>
      <c r="D589" t="s">
        <v>272</v>
      </c>
      <c r="E589" s="156">
        <v>44656</v>
      </c>
      <c r="F589" t="s">
        <v>10</v>
      </c>
      <c r="G589" s="156">
        <v>44594</v>
      </c>
      <c r="H589" t="s">
        <v>766</v>
      </c>
      <c r="I589">
        <v>1404200</v>
      </c>
      <c r="K589">
        <v>266798</v>
      </c>
      <c r="M589">
        <v>0</v>
      </c>
      <c r="N589">
        <v>0</v>
      </c>
      <c r="O589">
        <v>0</v>
      </c>
      <c r="P589" s="117">
        <v>1670998</v>
      </c>
      <c r="Q589" s="117" t="s">
        <v>1021</v>
      </c>
      <c r="R589" s="150">
        <v>0</v>
      </c>
      <c r="S589" s="117" t="b">
        <f>OR(COUNTIF(Tabla2[[#This Row],[PROVEEDOR]],"*"&amp;'Palabra no opera'!$A$2&amp;"*"))</f>
        <v>0</v>
      </c>
      <c r="T589" s="150">
        <f>+$W$5-Tabla2[[#This Row],[FECHA DE FACTURACIÓN]]</f>
        <v>240</v>
      </c>
      <c r="U589" t="str">
        <f>+IF(Tabla2[[#This Row],[dias de credito]]&gt;=Tabla2[[#This Row],[PLAZO Días]],"venc", "No venc")</f>
        <v>venc</v>
      </c>
      <c r="V589" t="str">
        <f>+IF(Tabla2[[#This Row],[FECHA DE PAGO]]&gt;0,"pagada","por pagar")</f>
        <v>pagada</v>
      </c>
      <c r="W589" s="152" t="str">
        <f>+IF(AND(Tabla2[[#This Row],[venc]]="venc",Tabla2[[#This Row],[Columna1]]="por pagar"),"vencida","no")</f>
        <v>no</v>
      </c>
    </row>
    <row r="590" spans="1:23" x14ac:dyDescent="0.3">
      <c r="A590">
        <v>45</v>
      </c>
      <c r="B590">
        <v>7497238</v>
      </c>
      <c r="D590" t="s">
        <v>272</v>
      </c>
      <c r="E590" s="156">
        <v>44656</v>
      </c>
      <c r="F590" t="s">
        <v>10</v>
      </c>
      <c r="G590" s="156">
        <v>44594</v>
      </c>
      <c r="H590" t="s">
        <v>767</v>
      </c>
      <c r="I590">
        <v>1140335.8999999999</v>
      </c>
      <c r="K590">
        <v>216663.821</v>
      </c>
      <c r="M590">
        <v>0</v>
      </c>
      <c r="N590">
        <v>0</v>
      </c>
      <c r="O590">
        <v>0</v>
      </c>
      <c r="P590" s="117">
        <v>1356999.7209999999</v>
      </c>
      <c r="Q590" s="117" t="s">
        <v>1021</v>
      </c>
      <c r="R590" s="150">
        <v>0</v>
      </c>
      <c r="S590" s="117" t="b">
        <f>OR(COUNTIF(Tabla2[[#This Row],[PROVEEDOR]],"*"&amp;'Palabra no opera'!$A$2&amp;"*"))</f>
        <v>0</v>
      </c>
      <c r="T590" s="150">
        <f>+$W$5-Tabla2[[#This Row],[FECHA DE FACTURACIÓN]]</f>
        <v>240</v>
      </c>
      <c r="U590" t="str">
        <f>+IF(Tabla2[[#This Row],[dias de credito]]&gt;=Tabla2[[#This Row],[PLAZO Días]],"venc", "No venc")</f>
        <v>venc</v>
      </c>
      <c r="V590" t="str">
        <f>+IF(Tabla2[[#This Row],[FECHA DE PAGO]]&gt;0,"pagada","por pagar")</f>
        <v>pagada</v>
      </c>
      <c r="W590" s="152" t="str">
        <f>+IF(AND(Tabla2[[#This Row],[venc]]="venc",Tabla2[[#This Row],[Columna1]]="por pagar"),"vencida","no")</f>
        <v>no</v>
      </c>
    </row>
    <row r="591" spans="1:23" x14ac:dyDescent="0.3">
      <c r="A591">
        <v>45</v>
      </c>
      <c r="B591">
        <v>7497238</v>
      </c>
      <c r="D591" t="s">
        <v>272</v>
      </c>
      <c r="E591" s="156">
        <v>44656</v>
      </c>
      <c r="F591" t="s">
        <v>10</v>
      </c>
      <c r="G591" s="156">
        <v>44587</v>
      </c>
      <c r="H591" t="s">
        <v>764</v>
      </c>
      <c r="I591">
        <v>1600000</v>
      </c>
      <c r="K591">
        <v>304000</v>
      </c>
      <c r="M591">
        <v>0</v>
      </c>
      <c r="N591">
        <v>0</v>
      </c>
      <c r="O591">
        <v>0</v>
      </c>
      <c r="P591" s="117">
        <v>1904000</v>
      </c>
      <c r="Q591" s="117" t="s">
        <v>1021</v>
      </c>
      <c r="R591" s="150">
        <v>0</v>
      </c>
      <c r="S591" s="117" t="b">
        <f>OR(COUNTIF(Tabla2[[#This Row],[PROVEEDOR]],"*"&amp;'Palabra no opera'!$A$2&amp;"*"))</f>
        <v>0</v>
      </c>
      <c r="T591" s="150">
        <f>+$W$5-Tabla2[[#This Row],[FECHA DE FACTURACIÓN]]</f>
        <v>247</v>
      </c>
      <c r="U591" t="str">
        <f>+IF(Tabla2[[#This Row],[dias de credito]]&gt;=Tabla2[[#This Row],[PLAZO Días]],"venc", "No venc")</f>
        <v>venc</v>
      </c>
      <c r="V591" t="str">
        <f>+IF(Tabla2[[#This Row],[FECHA DE PAGO]]&gt;0,"pagada","por pagar")</f>
        <v>pagada</v>
      </c>
      <c r="W591" s="152" t="str">
        <f>+IF(AND(Tabla2[[#This Row],[venc]]="venc",Tabla2[[#This Row],[Columna1]]="por pagar"),"vencida","no")</f>
        <v>no</v>
      </c>
    </row>
    <row r="592" spans="1:23" x14ac:dyDescent="0.3">
      <c r="A592">
        <v>45</v>
      </c>
      <c r="B592">
        <v>7497238</v>
      </c>
      <c r="D592" t="s">
        <v>272</v>
      </c>
      <c r="E592" s="156">
        <v>44656</v>
      </c>
      <c r="F592" t="s">
        <v>10</v>
      </c>
      <c r="G592" s="156">
        <v>44587</v>
      </c>
      <c r="H592" t="s">
        <v>765</v>
      </c>
      <c r="I592">
        <v>1200000</v>
      </c>
      <c r="K592">
        <v>228000</v>
      </c>
      <c r="M592">
        <v>0</v>
      </c>
      <c r="N592">
        <v>0</v>
      </c>
      <c r="O592">
        <v>0</v>
      </c>
      <c r="P592" s="117">
        <v>1428000</v>
      </c>
      <c r="Q592" s="117" t="s">
        <v>1021</v>
      </c>
      <c r="R592" s="150">
        <v>0</v>
      </c>
      <c r="S592" s="117" t="b">
        <f>OR(COUNTIF(Tabla2[[#This Row],[PROVEEDOR]],"*"&amp;'Palabra no opera'!$A$2&amp;"*"))</f>
        <v>0</v>
      </c>
      <c r="T592" s="150">
        <f>+$W$5-Tabla2[[#This Row],[FECHA DE FACTURACIÓN]]</f>
        <v>247</v>
      </c>
      <c r="U592" t="str">
        <f>+IF(Tabla2[[#This Row],[dias de credito]]&gt;=Tabla2[[#This Row],[PLAZO Días]],"venc", "No venc")</f>
        <v>venc</v>
      </c>
      <c r="V592" t="str">
        <f>+IF(Tabla2[[#This Row],[FECHA DE PAGO]]&gt;0,"pagada","por pagar")</f>
        <v>pagada</v>
      </c>
      <c r="W592" s="152" t="str">
        <f>+IF(AND(Tabla2[[#This Row],[venc]]="venc",Tabla2[[#This Row],[Columna1]]="por pagar"),"vencida","no")</f>
        <v>no</v>
      </c>
    </row>
    <row r="593" spans="1:23" x14ac:dyDescent="0.3">
      <c r="A593">
        <v>90</v>
      </c>
      <c r="B593">
        <v>0</v>
      </c>
      <c r="D593" t="s">
        <v>139</v>
      </c>
      <c r="E593" s="156">
        <v>44656</v>
      </c>
      <c r="F593" t="s">
        <v>651</v>
      </c>
      <c r="G593" s="156">
        <v>44582</v>
      </c>
      <c r="H593" t="s">
        <v>1561</v>
      </c>
      <c r="I593">
        <v>2842000</v>
      </c>
      <c r="K593">
        <v>0</v>
      </c>
      <c r="M593">
        <v>0</v>
      </c>
      <c r="N593">
        <v>0</v>
      </c>
      <c r="O593">
        <v>0</v>
      </c>
      <c r="P593" s="117">
        <v>2842000</v>
      </c>
      <c r="Q593" s="117" t="s">
        <v>1021</v>
      </c>
      <c r="R593" s="150">
        <v>0</v>
      </c>
      <c r="S593" s="117" t="b">
        <f>OR(COUNTIF(Tabla2[[#This Row],[PROVEEDOR]],"*"&amp;'Palabra no opera'!$A$2&amp;"*"))</f>
        <v>0</v>
      </c>
      <c r="T593" s="150">
        <f>+$W$5-Tabla2[[#This Row],[FECHA DE FACTURACIÓN]]</f>
        <v>252</v>
      </c>
      <c r="U593" t="str">
        <f>+IF(Tabla2[[#This Row],[dias de credito]]&gt;=Tabla2[[#This Row],[PLAZO Días]],"venc", "No venc")</f>
        <v>venc</v>
      </c>
      <c r="V593" t="str">
        <f>+IF(Tabla2[[#This Row],[FECHA DE PAGO]]&gt;0,"pagada","por pagar")</f>
        <v>pagada</v>
      </c>
      <c r="W593" s="152" t="str">
        <f>+IF(AND(Tabla2[[#This Row],[venc]]="venc",Tabla2[[#This Row],[Columna1]]="por pagar"),"vencida","no")</f>
        <v>no</v>
      </c>
    </row>
    <row r="594" spans="1:23" x14ac:dyDescent="0.3">
      <c r="A594">
        <v>90</v>
      </c>
      <c r="B594">
        <v>0</v>
      </c>
      <c r="D594" t="s">
        <v>139</v>
      </c>
      <c r="E594" s="156">
        <v>44656</v>
      </c>
      <c r="F594" t="s">
        <v>651</v>
      </c>
      <c r="G594" s="156">
        <v>44572</v>
      </c>
      <c r="H594" t="s">
        <v>1554</v>
      </c>
      <c r="I594">
        <v>425000</v>
      </c>
      <c r="K594">
        <v>0</v>
      </c>
      <c r="M594">
        <v>0</v>
      </c>
      <c r="N594">
        <v>0</v>
      </c>
      <c r="O594">
        <v>0</v>
      </c>
      <c r="P594" s="117">
        <v>425000</v>
      </c>
      <c r="Q594" s="117" t="s">
        <v>1021</v>
      </c>
      <c r="R594" s="150">
        <v>0</v>
      </c>
      <c r="S594" s="117" t="b">
        <f>OR(COUNTIF(Tabla2[[#This Row],[PROVEEDOR]],"*"&amp;'Palabra no opera'!$A$2&amp;"*"))</f>
        <v>0</v>
      </c>
      <c r="T594" s="150">
        <f>+$W$5-Tabla2[[#This Row],[FECHA DE FACTURACIÓN]]</f>
        <v>262</v>
      </c>
      <c r="U594" t="str">
        <f>+IF(Tabla2[[#This Row],[dias de credito]]&gt;=Tabla2[[#This Row],[PLAZO Días]],"venc", "No venc")</f>
        <v>venc</v>
      </c>
      <c r="V594" t="str">
        <f>+IF(Tabla2[[#This Row],[FECHA DE PAGO]]&gt;0,"pagada","por pagar")</f>
        <v>pagada</v>
      </c>
      <c r="W594" s="152" t="str">
        <f>+IF(AND(Tabla2[[#This Row],[venc]]="venc",Tabla2[[#This Row],[Columna1]]="por pagar"),"vencida","no")</f>
        <v>no</v>
      </c>
    </row>
    <row r="595" spans="1:23" x14ac:dyDescent="0.3">
      <c r="A595">
        <v>60</v>
      </c>
      <c r="B595">
        <v>8889300</v>
      </c>
      <c r="D595">
        <v>0</v>
      </c>
      <c r="E595" s="156">
        <v>44656</v>
      </c>
      <c r="F595" t="s">
        <v>1429</v>
      </c>
      <c r="G595" s="156">
        <v>44546</v>
      </c>
      <c r="H595" t="s">
        <v>730</v>
      </c>
      <c r="I595">
        <v>5190000</v>
      </c>
      <c r="K595">
        <v>986100</v>
      </c>
      <c r="M595">
        <v>0</v>
      </c>
      <c r="N595">
        <v>0</v>
      </c>
      <c r="O595">
        <v>0</v>
      </c>
      <c r="P595" s="117">
        <v>6046350</v>
      </c>
      <c r="Q595" s="117" t="s">
        <v>1021</v>
      </c>
      <c r="R595" s="150">
        <v>0</v>
      </c>
      <c r="S595" s="117" t="b">
        <f>OR(COUNTIF(Tabla2[[#This Row],[PROVEEDOR]],"*"&amp;'Palabra no opera'!$A$2&amp;"*"))</f>
        <v>1</v>
      </c>
      <c r="T595" s="150">
        <f>+$W$5-Tabla2[[#This Row],[FECHA DE FACTURACIÓN]]</f>
        <v>288</v>
      </c>
      <c r="U595" t="str">
        <f>+IF(Tabla2[[#This Row],[dias de credito]]&gt;=Tabla2[[#This Row],[PLAZO Días]],"venc", "No venc")</f>
        <v>venc</v>
      </c>
      <c r="V595" t="str">
        <f>+IF(Tabla2[[#This Row],[FECHA DE PAGO]]&gt;0,"pagada","por pagar")</f>
        <v>pagada</v>
      </c>
      <c r="W595" s="152" t="str">
        <f>+IF(AND(Tabla2[[#This Row],[venc]]="venc",Tabla2[[#This Row],[Columna1]]="por pagar"),"vencida","no")</f>
        <v>no</v>
      </c>
    </row>
    <row r="596" spans="1:23" x14ac:dyDescent="0.3">
      <c r="A596">
        <v>30</v>
      </c>
      <c r="B596">
        <v>0</v>
      </c>
      <c r="D596" t="s">
        <v>139</v>
      </c>
      <c r="E596" s="156">
        <v>44653</v>
      </c>
      <c r="F596" t="s">
        <v>661</v>
      </c>
      <c r="G596" s="156">
        <v>44653</v>
      </c>
      <c r="H596" t="s">
        <v>854</v>
      </c>
      <c r="I596">
        <v>640000</v>
      </c>
      <c r="K596">
        <v>0</v>
      </c>
      <c r="M596">
        <v>0</v>
      </c>
      <c r="N596">
        <v>0</v>
      </c>
      <c r="O596">
        <v>0</v>
      </c>
      <c r="P596" s="117">
        <v>640000</v>
      </c>
      <c r="Q596" s="117" t="s">
        <v>1021</v>
      </c>
      <c r="R596" s="150">
        <v>0</v>
      </c>
      <c r="S596" s="117" t="b">
        <f>OR(COUNTIF(Tabla2[[#This Row],[PROVEEDOR]],"*"&amp;'Palabra no opera'!$A$2&amp;"*"))</f>
        <v>0</v>
      </c>
      <c r="T596" s="150">
        <f>+$W$5-Tabla2[[#This Row],[FECHA DE FACTURACIÓN]]</f>
        <v>181</v>
      </c>
      <c r="U596" t="str">
        <f>+IF(Tabla2[[#This Row],[dias de credito]]&gt;=Tabla2[[#This Row],[PLAZO Días]],"venc", "No venc")</f>
        <v>venc</v>
      </c>
      <c r="V596" t="str">
        <f>+IF(Tabla2[[#This Row],[FECHA DE PAGO]]&gt;0,"pagada","por pagar")</f>
        <v>pagada</v>
      </c>
      <c r="W596" s="152" t="str">
        <f>+IF(AND(Tabla2[[#This Row],[venc]]="venc",Tabla2[[#This Row],[Columna1]]="por pagar"),"vencida","no")</f>
        <v>no</v>
      </c>
    </row>
    <row r="597" spans="1:23" x14ac:dyDescent="0.3">
      <c r="A597">
        <v>30</v>
      </c>
      <c r="B597">
        <v>527800</v>
      </c>
      <c r="D597" t="s">
        <v>139</v>
      </c>
      <c r="E597" s="156">
        <v>44652</v>
      </c>
      <c r="F597" t="s">
        <v>624</v>
      </c>
      <c r="G597" s="156">
        <v>44652</v>
      </c>
      <c r="H597" t="s">
        <v>1583</v>
      </c>
      <c r="I597">
        <v>118000</v>
      </c>
      <c r="K597">
        <v>0</v>
      </c>
      <c r="M597">
        <v>0</v>
      </c>
      <c r="N597">
        <v>0</v>
      </c>
      <c r="O597">
        <v>0</v>
      </c>
      <c r="P597" s="117">
        <v>118000</v>
      </c>
      <c r="Q597" s="117" t="s">
        <v>1021</v>
      </c>
      <c r="R597" s="150">
        <v>0</v>
      </c>
      <c r="S597" s="117" t="b">
        <f>OR(COUNTIF(Tabla2[[#This Row],[PROVEEDOR]],"*"&amp;'Palabra no opera'!$A$2&amp;"*"))</f>
        <v>0</v>
      </c>
      <c r="T597" s="150">
        <f>+$W$5-Tabla2[[#This Row],[FECHA DE FACTURACIÓN]]</f>
        <v>182</v>
      </c>
      <c r="U597" t="str">
        <f>+IF(Tabla2[[#This Row],[dias de credito]]&gt;=Tabla2[[#This Row],[PLAZO Días]],"venc", "No venc")</f>
        <v>venc</v>
      </c>
      <c r="V597" t="str">
        <f>+IF(Tabla2[[#This Row],[FECHA DE PAGO]]&gt;0,"pagada","por pagar")</f>
        <v>pagada</v>
      </c>
      <c r="W597" s="152" t="str">
        <f>+IF(AND(Tabla2[[#This Row],[venc]]="venc",Tabla2[[#This Row],[Columna1]]="por pagar"),"vencida","no")</f>
        <v>no</v>
      </c>
    </row>
    <row r="598" spans="1:23" x14ac:dyDescent="0.3">
      <c r="A598">
        <v>30</v>
      </c>
      <c r="B598">
        <v>0</v>
      </c>
      <c r="D598" t="s">
        <v>290</v>
      </c>
      <c r="E598" s="156">
        <v>44652</v>
      </c>
      <c r="F598" t="s">
        <v>47</v>
      </c>
      <c r="G598" s="156">
        <v>44629</v>
      </c>
      <c r="H598" t="s">
        <v>738</v>
      </c>
      <c r="I598">
        <v>643885</v>
      </c>
      <c r="K598">
        <v>122338.15</v>
      </c>
      <c r="M598">
        <v>0</v>
      </c>
      <c r="N598">
        <v>0</v>
      </c>
      <c r="O598">
        <v>0</v>
      </c>
      <c r="P598" s="117">
        <v>766223.15</v>
      </c>
      <c r="Q598" s="117" t="s">
        <v>1021</v>
      </c>
      <c r="R598" s="150">
        <v>0</v>
      </c>
      <c r="S598" s="117" t="b">
        <f>OR(COUNTIF(Tabla2[[#This Row],[PROVEEDOR]],"*"&amp;'Palabra no opera'!$A$2&amp;"*"))</f>
        <v>0</v>
      </c>
      <c r="T598" s="150">
        <f>+$W$5-Tabla2[[#This Row],[FECHA DE FACTURACIÓN]]</f>
        <v>205</v>
      </c>
      <c r="U598" t="str">
        <f>+IF(Tabla2[[#This Row],[dias de credito]]&gt;=Tabla2[[#This Row],[PLAZO Días]],"venc", "No venc")</f>
        <v>venc</v>
      </c>
      <c r="V598" t="str">
        <f>+IF(Tabla2[[#This Row],[FECHA DE PAGO]]&gt;0,"pagada","por pagar")</f>
        <v>pagada</v>
      </c>
      <c r="W598" s="152" t="str">
        <f>+IF(AND(Tabla2[[#This Row],[venc]]="venc",Tabla2[[#This Row],[Columna1]]="por pagar"),"vencida","no")</f>
        <v>no</v>
      </c>
    </row>
    <row r="599" spans="1:23" x14ac:dyDescent="0.3">
      <c r="A599">
        <v>30</v>
      </c>
      <c r="B599">
        <v>146262.9</v>
      </c>
      <c r="D599" t="s">
        <v>262</v>
      </c>
      <c r="E599" s="156">
        <v>44652</v>
      </c>
      <c r="F599" t="s">
        <v>17</v>
      </c>
      <c r="G599" s="156">
        <v>44621</v>
      </c>
      <c r="H599" t="s">
        <v>748</v>
      </c>
      <c r="I599">
        <v>-209000</v>
      </c>
      <c r="K599">
        <v>-39710</v>
      </c>
      <c r="M599">
        <v>0</v>
      </c>
      <c r="N599">
        <v>0</v>
      </c>
      <c r="O599">
        <v>0</v>
      </c>
      <c r="P599" s="117">
        <v>-248710</v>
      </c>
      <c r="Q599" s="117" t="s">
        <v>1021</v>
      </c>
      <c r="R599" s="150">
        <v>0</v>
      </c>
      <c r="S599" s="117" t="b">
        <f>OR(COUNTIF(Tabla2[[#This Row],[PROVEEDOR]],"*"&amp;'Palabra no opera'!$A$2&amp;"*"))</f>
        <v>0</v>
      </c>
      <c r="T599" s="150">
        <f>+$W$5-Tabla2[[#This Row],[FECHA DE FACTURACIÓN]]</f>
        <v>213</v>
      </c>
      <c r="U599" t="str">
        <f>+IF(Tabla2[[#This Row],[dias de credito]]&gt;=Tabla2[[#This Row],[PLAZO Días]],"venc", "No venc")</f>
        <v>venc</v>
      </c>
      <c r="V599" t="str">
        <f>+IF(Tabla2[[#This Row],[FECHA DE PAGO]]&gt;0,"pagada","por pagar")</f>
        <v>pagada</v>
      </c>
      <c r="W599" s="152" t="str">
        <f>+IF(AND(Tabla2[[#This Row],[venc]]="venc",Tabla2[[#This Row],[Columna1]]="por pagar"),"vencida","no")</f>
        <v>no</v>
      </c>
    </row>
    <row r="600" spans="1:23" x14ac:dyDescent="0.3">
      <c r="A600">
        <v>30</v>
      </c>
      <c r="B600">
        <v>146262.9</v>
      </c>
      <c r="D600" t="s">
        <v>262</v>
      </c>
      <c r="E600" s="156">
        <v>44652</v>
      </c>
      <c r="F600" t="s">
        <v>17</v>
      </c>
      <c r="G600" s="156">
        <v>44620</v>
      </c>
      <c r="H600">
        <v>1882198</v>
      </c>
      <c r="I600">
        <v>1817647</v>
      </c>
      <c r="K600">
        <v>345352.93</v>
      </c>
      <c r="M600">
        <v>0</v>
      </c>
      <c r="N600">
        <v>0</v>
      </c>
      <c r="O600">
        <v>0</v>
      </c>
      <c r="P600" s="117">
        <v>2162999.9300000002</v>
      </c>
      <c r="Q600" s="117" t="s">
        <v>1021</v>
      </c>
      <c r="R600" s="150">
        <v>0</v>
      </c>
      <c r="S600" s="117" t="b">
        <f>OR(COUNTIF(Tabla2[[#This Row],[PROVEEDOR]],"*"&amp;'Palabra no opera'!$A$2&amp;"*"))</f>
        <v>0</v>
      </c>
      <c r="T600" s="150">
        <f>+$W$5-Tabla2[[#This Row],[FECHA DE FACTURACIÓN]]</f>
        <v>214</v>
      </c>
      <c r="U600" t="str">
        <f>+IF(Tabla2[[#This Row],[dias de credito]]&gt;=Tabla2[[#This Row],[PLAZO Días]],"venc", "No venc")</f>
        <v>venc</v>
      </c>
      <c r="V600" t="str">
        <f>+IF(Tabla2[[#This Row],[FECHA DE PAGO]]&gt;0,"pagada","por pagar")</f>
        <v>pagada</v>
      </c>
      <c r="W600" s="152" t="str">
        <f>+IF(AND(Tabla2[[#This Row],[venc]]="venc",Tabla2[[#This Row],[Columna1]]="por pagar"),"vencida","no")</f>
        <v>no</v>
      </c>
    </row>
    <row r="601" spans="1:23" x14ac:dyDescent="0.3">
      <c r="A601">
        <v>30</v>
      </c>
      <c r="B601">
        <v>19675613.1195</v>
      </c>
      <c r="D601" t="s">
        <v>256</v>
      </c>
      <c r="E601" s="156">
        <v>44652</v>
      </c>
      <c r="F601" t="s">
        <v>18</v>
      </c>
      <c r="G601" s="156">
        <v>44616</v>
      </c>
      <c r="H601">
        <v>1050228</v>
      </c>
      <c r="I601">
        <v>2199781.6800000002</v>
      </c>
      <c r="K601">
        <v>417958.51920000004</v>
      </c>
      <c r="M601">
        <v>0</v>
      </c>
      <c r="N601">
        <v>2.5000000000000001E-2</v>
      </c>
      <c r="O601">
        <v>54994.542000000009</v>
      </c>
      <c r="P601" s="117">
        <v>2562745.6572000002</v>
      </c>
      <c r="Q601" s="117" t="s">
        <v>1021</v>
      </c>
      <c r="R601" s="150">
        <v>0</v>
      </c>
      <c r="S601" s="117" t="b">
        <f>OR(COUNTIF(Tabla2[[#This Row],[PROVEEDOR]],"*"&amp;'Palabra no opera'!$A$2&amp;"*"))</f>
        <v>0</v>
      </c>
      <c r="T601" s="150">
        <f>+$W$5-Tabla2[[#This Row],[FECHA DE FACTURACIÓN]]</f>
        <v>218</v>
      </c>
      <c r="U601" t="str">
        <f>+IF(Tabla2[[#This Row],[dias de credito]]&gt;=Tabla2[[#This Row],[PLAZO Días]],"venc", "No venc")</f>
        <v>venc</v>
      </c>
      <c r="V601" t="str">
        <f>+IF(Tabla2[[#This Row],[FECHA DE PAGO]]&gt;0,"pagada","por pagar")</f>
        <v>pagada</v>
      </c>
      <c r="W601" s="152" t="str">
        <f>+IF(AND(Tabla2[[#This Row],[venc]]="venc",Tabla2[[#This Row],[Columna1]]="por pagar"),"vencida","no")</f>
        <v>no</v>
      </c>
    </row>
    <row r="602" spans="1:23" x14ac:dyDescent="0.3">
      <c r="A602">
        <v>30</v>
      </c>
      <c r="B602">
        <v>19675613.1195</v>
      </c>
      <c r="D602" t="s">
        <v>256</v>
      </c>
      <c r="E602" s="156">
        <v>44652</v>
      </c>
      <c r="F602" t="s">
        <v>18</v>
      </c>
      <c r="G602" s="156">
        <v>44610</v>
      </c>
      <c r="H602">
        <v>1050001</v>
      </c>
      <c r="I602">
        <v>545207</v>
      </c>
      <c r="K602">
        <v>103589.33</v>
      </c>
      <c r="M602">
        <v>0</v>
      </c>
      <c r="N602">
        <v>0</v>
      </c>
      <c r="O602">
        <v>0</v>
      </c>
      <c r="P602" s="117">
        <v>648796.32999999996</v>
      </c>
      <c r="Q602" s="117" t="s">
        <v>1021</v>
      </c>
      <c r="R602" s="150">
        <v>0</v>
      </c>
      <c r="S602" s="117" t="b">
        <f>OR(COUNTIF(Tabla2[[#This Row],[PROVEEDOR]],"*"&amp;'Palabra no opera'!$A$2&amp;"*"))</f>
        <v>0</v>
      </c>
      <c r="T602" s="150">
        <f>+$W$5-Tabla2[[#This Row],[FECHA DE FACTURACIÓN]]</f>
        <v>224</v>
      </c>
      <c r="U602" t="str">
        <f>+IF(Tabla2[[#This Row],[dias de credito]]&gt;=Tabla2[[#This Row],[PLAZO Días]],"venc", "No venc")</f>
        <v>venc</v>
      </c>
      <c r="V602" t="str">
        <f>+IF(Tabla2[[#This Row],[FECHA DE PAGO]]&gt;0,"pagada","por pagar")</f>
        <v>pagada</v>
      </c>
      <c r="W602" s="152" t="str">
        <f>+IF(AND(Tabla2[[#This Row],[venc]]="venc",Tabla2[[#This Row],[Columna1]]="por pagar"),"vencida","no")</f>
        <v>no</v>
      </c>
    </row>
    <row r="603" spans="1:23" x14ac:dyDescent="0.3">
      <c r="A603">
        <v>30</v>
      </c>
      <c r="B603">
        <v>6259125.5999999996</v>
      </c>
      <c r="D603" t="s">
        <v>264</v>
      </c>
      <c r="E603" s="156">
        <v>44652</v>
      </c>
      <c r="F603" t="s">
        <v>1448</v>
      </c>
      <c r="G603" s="156">
        <v>44610</v>
      </c>
      <c r="H603">
        <v>27516</v>
      </c>
      <c r="I603">
        <v>8664000</v>
      </c>
      <c r="K603">
        <v>1646160</v>
      </c>
      <c r="M603">
        <v>0</v>
      </c>
      <c r="N603">
        <v>2.5000000000000001E-2</v>
      </c>
      <c r="O603">
        <v>216600</v>
      </c>
      <c r="P603" s="117">
        <v>10093560</v>
      </c>
      <c r="Q603" s="117" t="s">
        <v>1021</v>
      </c>
      <c r="R603" s="150">
        <v>0</v>
      </c>
      <c r="S603" s="117" t="b">
        <f>OR(COUNTIF(Tabla2[[#This Row],[PROVEEDOR]],"*"&amp;'Palabra no opera'!$A$2&amp;"*"))</f>
        <v>0</v>
      </c>
      <c r="T603" s="150">
        <f>+$W$5-Tabla2[[#This Row],[FECHA DE FACTURACIÓN]]</f>
        <v>224</v>
      </c>
      <c r="U603" t="str">
        <f>+IF(Tabla2[[#This Row],[dias de credito]]&gt;=Tabla2[[#This Row],[PLAZO Días]],"venc", "No venc")</f>
        <v>venc</v>
      </c>
      <c r="V603" t="str">
        <f>+IF(Tabla2[[#This Row],[FECHA DE PAGO]]&gt;0,"pagada","por pagar")</f>
        <v>pagada</v>
      </c>
      <c r="W603" s="152" t="str">
        <f>+IF(AND(Tabla2[[#This Row],[venc]]="venc",Tabla2[[#This Row],[Columna1]]="por pagar"),"vencida","no")</f>
        <v>no</v>
      </c>
    </row>
    <row r="604" spans="1:23" x14ac:dyDescent="0.3">
      <c r="A604">
        <v>30</v>
      </c>
      <c r="B604">
        <v>450000</v>
      </c>
      <c r="D604" t="s">
        <v>291</v>
      </c>
      <c r="E604" s="156">
        <v>44652</v>
      </c>
      <c r="F604" t="s">
        <v>685</v>
      </c>
      <c r="G604" s="156">
        <v>44602</v>
      </c>
      <c r="H604" t="s">
        <v>1571</v>
      </c>
      <c r="I604">
        <v>1608000</v>
      </c>
      <c r="K604">
        <v>0</v>
      </c>
      <c r="M604">
        <v>0</v>
      </c>
      <c r="N604">
        <v>0</v>
      </c>
      <c r="O604">
        <v>0</v>
      </c>
      <c r="P604" s="117">
        <v>1608000</v>
      </c>
      <c r="Q604" s="117" t="s">
        <v>1021</v>
      </c>
      <c r="R604" s="150">
        <v>0</v>
      </c>
      <c r="S604" s="117" t="b">
        <f>OR(COUNTIF(Tabla2[[#This Row],[PROVEEDOR]],"*"&amp;'Palabra no opera'!$A$2&amp;"*"))</f>
        <v>0</v>
      </c>
      <c r="T604" s="150">
        <f>+$W$5-Tabla2[[#This Row],[FECHA DE FACTURACIÓN]]</f>
        <v>232</v>
      </c>
      <c r="U604" t="str">
        <f>+IF(Tabla2[[#This Row],[dias de credito]]&gt;=Tabla2[[#This Row],[PLAZO Días]],"venc", "No venc")</f>
        <v>venc</v>
      </c>
      <c r="V604" t="str">
        <f>+IF(Tabla2[[#This Row],[FECHA DE PAGO]]&gt;0,"pagada","por pagar")</f>
        <v>pagada</v>
      </c>
      <c r="W604" s="152" t="str">
        <f>+IF(AND(Tabla2[[#This Row],[venc]]="venc",Tabla2[[#This Row],[Columna1]]="por pagar"),"vencida","no")</f>
        <v>no</v>
      </c>
    </row>
    <row r="605" spans="1:23" x14ac:dyDescent="0.3">
      <c r="A605">
        <v>30</v>
      </c>
      <c r="B605">
        <v>8457900</v>
      </c>
      <c r="D605" t="s">
        <v>1027</v>
      </c>
      <c r="E605" s="156">
        <v>44652</v>
      </c>
      <c r="F605" t="s">
        <v>11</v>
      </c>
      <c r="G605" s="156">
        <v>44602</v>
      </c>
      <c r="H605" t="s">
        <v>771</v>
      </c>
      <c r="I605">
        <v>3674790</v>
      </c>
      <c r="K605">
        <v>698210.1</v>
      </c>
      <c r="M605">
        <v>0</v>
      </c>
      <c r="N605">
        <v>2.5000000000000001E-2</v>
      </c>
      <c r="O605">
        <v>91869.75</v>
      </c>
      <c r="P605" s="117">
        <v>4281130.3499999996</v>
      </c>
      <c r="Q605" s="117" t="s">
        <v>1021</v>
      </c>
      <c r="R605" s="150">
        <v>0</v>
      </c>
      <c r="S605" s="117"/>
    </row>
    <row r="606" spans="1:23" x14ac:dyDescent="0.3">
      <c r="A606">
        <v>30</v>
      </c>
      <c r="B606">
        <v>0</v>
      </c>
      <c r="D606" t="s">
        <v>290</v>
      </c>
      <c r="E606" s="156">
        <v>44652</v>
      </c>
      <c r="F606" t="s">
        <v>47</v>
      </c>
      <c r="G606" s="156">
        <v>44599</v>
      </c>
      <c r="H606" t="s">
        <v>737</v>
      </c>
      <c r="I606">
        <v>-5851</v>
      </c>
      <c r="K606">
        <v>-1111.69</v>
      </c>
      <c r="M606">
        <v>0</v>
      </c>
      <c r="N606">
        <v>0</v>
      </c>
      <c r="O606">
        <v>0</v>
      </c>
      <c r="P606" s="117">
        <v>-5851</v>
      </c>
      <c r="Q606" s="117" t="s">
        <v>1021</v>
      </c>
      <c r="R606" s="150">
        <v>0</v>
      </c>
      <c r="S606" s="117" t="b">
        <f>OR(COUNTIF(Tabla2[[#This Row],[PROVEEDOR]],"*"&amp;'Palabra no opera'!$A$2&amp;"*"))</f>
        <v>0</v>
      </c>
      <c r="T606" s="150">
        <f>+$W$5-Tabla2[[#This Row],[FECHA DE FACTURACIÓN]]</f>
        <v>235</v>
      </c>
      <c r="U606" t="str">
        <f>+IF(Tabla2[[#This Row],[dias de credito]]&gt;=Tabla2[[#This Row],[PLAZO Días]],"venc", "No venc")</f>
        <v>venc</v>
      </c>
      <c r="V606" t="str">
        <f>+IF(Tabla2[[#This Row],[FECHA DE PAGO]]&gt;0,"pagada","por pagar")</f>
        <v>pagada</v>
      </c>
      <c r="W606" s="152" t="str">
        <f>+IF(AND(Tabla2[[#This Row],[venc]]="venc",Tabla2[[#This Row],[Columna1]]="por pagar"),"vencida","no")</f>
        <v>no</v>
      </c>
    </row>
    <row r="607" spans="1:23" x14ac:dyDescent="0.3">
      <c r="A607">
        <v>30</v>
      </c>
      <c r="B607">
        <v>0</v>
      </c>
      <c r="D607" t="s">
        <v>290</v>
      </c>
      <c r="E607" s="156">
        <v>44652</v>
      </c>
      <c r="F607" t="s">
        <v>47</v>
      </c>
      <c r="G607" s="156">
        <v>44599</v>
      </c>
      <c r="H607" t="s">
        <v>736</v>
      </c>
      <c r="I607">
        <v>-97800</v>
      </c>
      <c r="K607">
        <v>-18582</v>
      </c>
      <c r="M607">
        <v>0</v>
      </c>
      <c r="N607">
        <v>0</v>
      </c>
      <c r="O607">
        <v>0</v>
      </c>
      <c r="P607" s="117">
        <v>-113937</v>
      </c>
      <c r="Q607" s="117" t="s">
        <v>1021</v>
      </c>
      <c r="R607" s="150">
        <v>0</v>
      </c>
      <c r="S607" s="117" t="b">
        <f>OR(COUNTIF(Tabla2[[#This Row],[PROVEEDOR]],"*"&amp;'Palabra no opera'!$A$2&amp;"*"))</f>
        <v>0</v>
      </c>
      <c r="T607" s="150">
        <f>+$W$5-Tabla2[[#This Row],[FECHA DE FACTURACIÓN]]</f>
        <v>235</v>
      </c>
      <c r="U607" t="str">
        <f>+IF(Tabla2[[#This Row],[dias de credito]]&gt;=Tabla2[[#This Row],[PLAZO Días]],"venc", "No venc")</f>
        <v>venc</v>
      </c>
      <c r="V607" t="str">
        <f>+IF(Tabla2[[#This Row],[FECHA DE PAGO]]&gt;0,"pagada","por pagar")</f>
        <v>pagada</v>
      </c>
      <c r="W607" s="152" t="str">
        <f>+IF(AND(Tabla2[[#This Row],[venc]]="venc",Tabla2[[#This Row],[Columna1]]="por pagar"),"vencida","no")</f>
        <v>no</v>
      </c>
    </row>
    <row r="608" spans="1:23" x14ac:dyDescent="0.3">
      <c r="A608">
        <v>30</v>
      </c>
      <c r="B608">
        <v>0</v>
      </c>
      <c r="D608" t="s">
        <v>622</v>
      </c>
      <c r="E608" s="156">
        <v>44652</v>
      </c>
      <c r="F608" t="s">
        <v>623</v>
      </c>
      <c r="G608" s="156">
        <v>44573</v>
      </c>
      <c r="H608" t="s">
        <v>1555</v>
      </c>
      <c r="I608">
        <v>1120000</v>
      </c>
      <c r="K608">
        <v>0</v>
      </c>
      <c r="M608">
        <v>0</v>
      </c>
      <c r="N608">
        <v>0</v>
      </c>
      <c r="O608">
        <v>0</v>
      </c>
      <c r="P608" s="117">
        <v>1120000</v>
      </c>
      <c r="Q608" s="117" t="s">
        <v>1021</v>
      </c>
      <c r="R608" s="150">
        <v>0</v>
      </c>
      <c r="S608" s="117" t="b">
        <f>OR(COUNTIF(Tabla2[[#This Row],[PROVEEDOR]],"*"&amp;'Palabra no opera'!$A$2&amp;"*"))</f>
        <v>0</v>
      </c>
      <c r="T608" s="150">
        <f>+$W$5-Tabla2[[#This Row],[FECHA DE FACTURACIÓN]]</f>
        <v>261</v>
      </c>
      <c r="U608" t="str">
        <f>+IF(Tabla2[[#This Row],[dias de credito]]&gt;=Tabla2[[#This Row],[PLAZO Días]],"venc", "No venc")</f>
        <v>venc</v>
      </c>
      <c r="V608" t="str">
        <f>+IF(Tabla2[[#This Row],[FECHA DE PAGO]]&gt;0,"pagada","por pagar")</f>
        <v>pagada</v>
      </c>
      <c r="W608" s="152" t="str">
        <f>+IF(AND(Tabla2[[#This Row],[venc]]="venc",Tabla2[[#This Row],[Columna1]]="por pagar"),"vencida","no")</f>
        <v>no</v>
      </c>
    </row>
    <row r="609" spans="1:23" x14ac:dyDescent="0.3">
      <c r="A609">
        <v>30</v>
      </c>
      <c r="B609">
        <v>3450150</v>
      </c>
      <c r="D609" t="s">
        <v>402</v>
      </c>
      <c r="E609" s="156">
        <v>44652</v>
      </c>
      <c r="F609" t="s">
        <v>691</v>
      </c>
      <c r="G609" s="156">
        <v>44548</v>
      </c>
      <c r="H609" t="s">
        <v>1438</v>
      </c>
      <c r="I609">
        <v>165300</v>
      </c>
      <c r="K609">
        <v>0</v>
      </c>
      <c r="M609">
        <v>0</v>
      </c>
      <c r="N609">
        <v>0</v>
      </c>
      <c r="O609">
        <v>0</v>
      </c>
      <c r="P609" s="117">
        <v>165300</v>
      </c>
      <c r="Q609" s="117" t="s">
        <v>1021</v>
      </c>
      <c r="R609" s="150">
        <v>0</v>
      </c>
      <c r="S609" s="117" t="b">
        <f>OR(COUNTIF(Tabla2[[#This Row],[PROVEEDOR]],"*"&amp;'Palabra no opera'!$A$2&amp;"*"))</f>
        <v>0</v>
      </c>
      <c r="T609" s="150">
        <f>+$W$5-Tabla2[[#This Row],[FECHA DE FACTURACIÓN]]</f>
        <v>286</v>
      </c>
      <c r="U609" t="str">
        <f>+IF(Tabla2[[#This Row],[dias de credito]]&gt;=Tabla2[[#This Row],[PLAZO Días]],"venc", "No venc")</f>
        <v>venc</v>
      </c>
      <c r="V609" t="str">
        <f>+IF(Tabla2[[#This Row],[FECHA DE PAGO]]&gt;0,"pagada","por pagar")</f>
        <v>pagada</v>
      </c>
      <c r="W609" s="152" t="str">
        <f>+IF(AND(Tabla2[[#This Row],[venc]]="venc",Tabla2[[#This Row],[Columna1]]="por pagar"),"vencida","no")</f>
        <v>no</v>
      </c>
    </row>
    <row r="610" spans="1:23" x14ac:dyDescent="0.3">
      <c r="A610">
        <v>30</v>
      </c>
      <c r="B610">
        <v>3450150</v>
      </c>
      <c r="D610" t="s">
        <v>402</v>
      </c>
      <c r="E610" s="156">
        <v>44652</v>
      </c>
      <c r="F610" t="s">
        <v>691</v>
      </c>
      <c r="G610" s="156">
        <v>44548</v>
      </c>
      <c r="H610" t="s">
        <v>1439</v>
      </c>
      <c r="I610">
        <v>4056200</v>
      </c>
      <c r="K610">
        <v>0</v>
      </c>
      <c r="M610">
        <v>0</v>
      </c>
      <c r="N610">
        <v>0</v>
      </c>
      <c r="O610">
        <v>0</v>
      </c>
      <c r="P610" s="117">
        <v>4056200</v>
      </c>
      <c r="Q610" s="117" t="s">
        <v>1021</v>
      </c>
      <c r="R610" s="150">
        <v>0</v>
      </c>
      <c r="S610" s="117" t="b">
        <f>OR(COUNTIF(Tabla2[[#This Row],[PROVEEDOR]],"*"&amp;'Palabra no opera'!$A$2&amp;"*"))</f>
        <v>0</v>
      </c>
      <c r="T610" s="150">
        <f>+$W$5-Tabla2[[#This Row],[FECHA DE FACTURACIÓN]]</f>
        <v>286</v>
      </c>
      <c r="U610" t="str">
        <f>+IF(Tabla2[[#This Row],[dias de credito]]&gt;=Tabla2[[#This Row],[PLAZO Días]],"venc", "No venc")</f>
        <v>venc</v>
      </c>
      <c r="V610" t="str">
        <f>+IF(Tabla2[[#This Row],[FECHA DE PAGO]]&gt;0,"pagada","por pagar")</f>
        <v>pagada</v>
      </c>
      <c r="W610" s="152" t="str">
        <f>+IF(AND(Tabla2[[#This Row],[venc]]="venc",Tabla2[[#This Row],[Columna1]]="por pagar"),"vencida","no")</f>
        <v>no</v>
      </c>
    </row>
    <row r="611" spans="1:23" x14ac:dyDescent="0.3">
      <c r="A611">
        <v>30</v>
      </c>
      <c r="B611">
        <v>9756105</v>
      </c>
      <c r="D611" t="s">
        <v>476</v>
      </c>
      <c r="E611" s="156">
        <v>44652</v>
      </c>
      <c r="F611" t="s">
        <v>670</v>
      </c>
      <c r="G611" s="156">
        <v>44545</v>
      </c>
      <c r="H611" t="s">
        <v>1543</v>
      </c>
      <c r="I611">
        <v>2365000</v>
      </c>
      <c r="K611">
        <v>0</v>
      </c>
      <c r="M611">
        <v>0</v>
      </c>
      <c r="N611">
        <v>0</v>
      </c>
      <c r="O611">
        <v>0</v>
      </c>
      <c r="P611" s="117">
        <v>2365000</v>
      </c>
      <c r="Q611" s="117" t="s">
        <v>1021</v>
      </c>
      <c r="R611" s="150">
        <v>0</v>
      </c>
      <c r="S611" s="117" t="b">
        <f>OR(COUNTIF(Tabla2[[#This Row],[PROVEEDOR]],"*"&amp;'Palabra no opera'!$A$2&amp;"*"))</f>
        <v>0</v>
      </c>
      <c r="T611" s="150">
        <f>+$W$5-Tabla2[[#This Row],[FECHA DE FACTURACIÓN]]</f>
        <v>289</v>
      </c>
      <c r="U611" t="str">
        <f>+IF(Tabla2[[#This Row],[dias de credito]]&gt;=Tabla2[[#This Row],[PLAZO Días]],"venc", "No venc")</f>
        <v>venc</v>
      </c>
      <c r="V611" t="str">
        <f>+IF(Tabla2[[#This Row],[FECHA DE PAGO]]&gt;0,"pagada","por pagar")</f>
        <v>pagada</v>
      </c>
      <c r="W611" s="152" t="str">
        <f>+IF(AND(Tabla2[[#This Row],[venc]]="venc",Tabla2[[#This Row],[Columna1]]="por pagar"),"vencida","no")</f>
        <v>no</v>
      </c>
    </row>
    <row r="612" spans="1:23" x14ac:dyDescent="0.3">
      <c r="A612">
        <v>30</v>
      </c>
      <c r="B612">
        <v>0</v>
      </c>
      <c r="D612" t="s">
        <v>139</v>
      </c>
      <c r="E612" s="156">
        <v>44651</v>
      </c>
      <c r="F612" t="s">
        <v>644</v>
      </c>
      <c r="G612" s="156">
        <v>44651</v>
      </c>
      <c r="H612" t="s">
        <v>596</v>
      </c>
      <c r="I612">
        <v>29400</v>
      </c>
      <c r="K612">
        <v>0</v>
      </c>
      <c r="M612">
        <v>0</v>
      </c>
      <c r="N612">
        <v>0</v>
      </c>
      <c r="O612">
        <v>0</v>
      </c>
      <c r="P612" s="117">
        <v>29400</v>
      </c>
      <c r="Q612" s="117" t="s">
        <v>1021</v>
      </c>
      <c r="R612" s="150">
        <v>0</v>
      </c>
      <c r="S612" s="117" t="b">
        <f>OR(COUNTIF(Tabla2[[#This Row],[PROVEEDOR]],"*"&amp;'Palabra no opera'!$A$2&amp;"*"))</f>
        <v>0</v>
      </c>
      <c r="T612" s="150">
        <f>+$W$5-Tabla2[[#This Row],[FECHA DE FACTURACIÓN]]</f>
        <v>183</v>
      </c>
      <c r="U612" t="str">
        <f>+IF(Tabla2[[#This Row],[dias de credito]]&gt;=Tabla2[[#This Row],[PLAZO Días]],"venc", "No venc")</f>
        <v>venc</v>
      </c>
      <c r="V612" t="str">
        <f>+IF(Tabla2[[#This Row],[FECHA DE PAGO]]&gt;0,"pagada","por pagar")</f>
        <v>pagada</v>
      </c>
      <c r="W612" s="152" t="str">
        <f>+IF(AND(Tabla2[[#This Row],[venc]]="venc",Tabla2[[#This Row],[Columna1]]="por pagar"),"vencida","no")</f>
        <v>no</v>
      </c>
    </row>
    <row r="613" spans="1:23" x14ac:dyDescent="0.3">
      <c r="A613">
        <v>30</v>
      </c>
      <c r="B613">
        <v>0</v>
      </c>
      <c r="D613" t="s">
        <v>139</v>
      </c>
      <c r="E613" s="156">
        <v>44651</v>
      </c>
      <c r="F613" t="s">
        <v>644</v>
      </c>
      <c r="G613" s="156">
        <v>44651</v>
      </c>
      <c r="H613" t="s">
        <v>645</v>
      </c>
      <c r="I613">
        <v>38200</v>
      </c>
      <c r="K613">
        <v>0</v>
      </c>
      <c r="M613">
        <v>0</v>
      </c>
      <c r="N613">
        <v>0</v>
      </c>
      <c r="O613">
        <v>0</v>
      </c>
      <c r="P613" s="117">
        <v>38200</v>
      </c>
      <c r="Q613" s="117" t="s">
        <v>1021</v>
      </c>
      <c r="R613" s="150">
        <v>0</v>
      </c>
      <c r="S613" s="117" t="b">
        <f>OR(COUNTIF(Tabla2[[#This Row],[PROVEEDOR]],"*"&amp;'Palabra no opera'!$A$2&amp;"*"))</f>
        <v>0</v>
      </c>
      <c r="T613" s="150">
        <f>+$W$5-Tabla2[[#This Row],[FECHA DE FACTURACIÓN]]</f>
        <v>183</v>
      </c>
      <c r="U613" t="str">
        <f>+IF(Tabla2[[#This Row],[dias de credito]]&gt;=Tabla2[[#This Row],[PLAZO Días]],"venc", "No venc")</f>
        <v>venc</v>
      </c>
      <c r="V613" t="str">
        <f>+IF(Tabla2[[#This Row],[FECHA DE PAGO]]&gt;0,"pagada","por pagar")</f>
        <v>pagada</v>
      </c>
      <c r="W613" s="152" t="str">
        <f>+IF(AND(Tabla2[[#This Row],[venc]]="venc",Tabla2[[#This Row],[Columna1]]="por pagar"),"vencida","no")</f>
        <v>no</v>
      </c>
    </row>
    <row r="614" spans="1:23" x14ac:dyDescent="0.3">
      <c r="A614">
        <v>30</v>
      </c>
      <c r="B614">
        <v>0</v>
      </c>
      <c r="D614" t="s">
        <v>139</v>
      </c>
      <c r="E614" s="156">
        <v>44651</v>
      </c>
      <c r="F614" t="s">
        <v>644</v>
      </c>
      <c r="G614" s="156">
        <v>44651</v>
      </c>
      <c r="H614" t="s">
        <v>598</v>
      </c>
      <c r="I614">
        <v>190500</v>
      </c>
      <c r="K614">
        <v>0</v>
      </c>
      <c r="M614">
        <v>0</v>
      </c>
      <c r="N614">
        <v>0</v>
      </c>
      <c r="O614">
        <v>0</v>
      </c>
      <c r="P614" s="117">
        <v>190500</v>
      </c>
      <c r="Q614" s="117" t="s">
        <v>1021</v>
      </c>
      <c r="R614" s="150">
        <v>0</v>
      </c>
      <c r="S614" s="117" t="b">
        <f>OR(COUNTIF(Tabla2[[#This Row],[PROVEEDOR]],"*"&amp;'Palabra no opera'!$A$2&amp;"*"))</f>
        <v>0</v>
      </c>
      <c r="T614" s="150">
        <f>+$W$5-Tabla2[[#This Row],[FECHA DE FACTURACIÓN]]</f>
        <v>183</v>
      </c>
      <c r="U614" t="str">
        <f>+IF(Tabla2[[#This Row],[dias de credito]]&gt;=Tabla2[[#This Row],[PLAZO Días]],"venc", "No venc")</f>
        <v>venc</v>
      </c>
      <c r="V614" t="str">
        <f>+IF(Tabla2[[#This Row],[FECHA DE PAGO]]&gt;0,"pagada","por pagar")</f>
        <v>pagada</v>
      </c>
      <c r="W614" s="152" t="str">
        <f>+IF(AND(Tabla2[[#This Row],[venc]]="venc",Tabla2[[#This Row],[Columna1]]="por pagar"),"vencida","no")</f>
        <v>no</v>
      </c>
    </row>
    <row r="615" spans="1:23" x14ac:dyDescent="0.3">
      <c r="A615">
        <v>30</v>
      </c>
      <c r="B615">
        <v>0</v>
      </c>
      <c r="D615" t="s">
        <v>139</v>
      </c>
      <c r="E615" s="156">
        <v>44651</v>
      </c>
      <c r="F615" t="s">
        <v>644</v>
      </c>
      <c r="G615" s="156">
        <v>44651</v>
      </c>
      <c r="H615" t="s">
        <v>597</v>
      </c>
      <c r="I615">
        <v>747150</v>
      </c>
      <c r="K615">
        <v>0</v>
      </c>
      <c r="M615">
        <v>0</v>
      </c>
      <c r="N615">
        <v>0</v>
      </c>
      <c r="O615">
        <v>0</v>
      </c>
      <c r="P615" s="117">
        <v>747150</v>
      </c>
      <c r="Q615" s="117" t="s">
        <v>1021</v>
      </c>
      <c r="R615" s="150">
        <v>0</v>
      </c>
      <c r="S615" s="117" t="b">
        <f>OR(COUNTIF(Tabla2[[#This Row],[PROVEEDOR]],"*"&amp;'Palabra no opera'!$A$2&amp;"*"))</f>
        <v>0</v>
      </c>
      <c r="T615" s="150">
        <f>+$W$5-Tabla2[[#This Row],[FECHA DE FACTURACIÓN]]</f>
        <v>183</v>
      </c>
      <c r="U615" t="str">
        <f>+IF(Tabla2[[#This Row],[dias de credito]]&gt;=Tabla2[[#This Row],[PLAZO Días]],"venc", "No venc")</f>
        <v>venc</v>
      </c>
      <c r="V615" t="str">
        <f>+IF(Tabla2[[#This Row],[FECHA DE PAGO]]&gt;0,"pagada","por pagar")</f>
        <v>pagada</v>
      </c>
      <c r="W615" s="152" t="str">
        <f>+IF(AND(Tabla2[[#This Row],[venc]]="venc",Tabla2[[#This Row],[Columna1]]="por pagar"),"vencida","no")</f>
        <v>no</v>
      </c>
    </row>
    <row r="616" spans="1:23" x14ac:dyDescent="0.3">
      <c r="A616">
        <v>30</v>
      </c>
      <c r="B616">
        <v>0</v>
      </c>
      <c r="D616" t="s">
        <v>139</v>
      </c>
      <c r="E616" s="156">
        <v>44651</v>
      </c>
      <c r="F616" t="s">
        <v>644</v>
      </c>
      <c r="G616" s="156">
        <v>44651</v>
      </c>
      <c r="H616" t="s">
        <v>174</v>
      </c>
      <c r="I616">
        <v>807600</v>
      </c>
      <c r="K616">
        <v>0</v>
      </c>
      <c r="M616">
        <v>0</v>
      </c>
      <c r="N616">
        <v>0</v>
      </c>
      <c r="O616">
        <v>0</v>
      </c>
      <c r="P616" s="117">
        <v>807600</v>
      </c>
      <c r="Q616" s="117" t="s">
        <v>1021</v>
      </c>
      <c r="R616" s="150">
        <v>0</v>
      </c>
      <c r="S616" s="117" t="b">
        <f>OR(COUNTIF(Tabla2[[#This Row],[PROVEEDOR]],"*"&amp;'Palabra no opera'!$A$2&amp;"*"))</f>
        <v>0</v>
      </c>
      <c r="T616" s="150">
        <f>+$W$5-Tabla2[[#This Row],[FECHA DE FACTURACIÓN]]</f>
        <v>183</v>
      </c>
      <c r="U616" t="str">
        <f>+IF(Tabla2[[#This Row],[dias de credito]]&gt;=Tabla2[[#This Row],[PLAZO Días]],"venc", "No venc")</f>
        <v>venc</v>
      </c>
      <c r="V616" t="str">
        <f>+IF(Tabla2[[#This Row],[FECHA DE PAGO]]&gt;0,"pagada","por pagar")</f>
        <v>pagada</v>
      </c>
      <c r="W616" s="152" t="str">
        <f>+IF(AND(Tabla2[[#This Row],[venc]]="venc",Tabla2[[#This Row],[Columna1]]="por pagar"),"vencida","no")</f>
        <v>no</v>
      </c>
    </row>
    <row r="617" spans="1:23" x14ac:dyDescent="0.3">
      <c r="A617">
        <v>30</v>
      </c>
      <c r="B617">
        <v>0</v>
      </c>
      <c r="D617" t="s">
        <v>139</v>
      </c>
      <c r="E617" s="156">
        <v>44651</v>
      </c>
      <c r="F617" t="s">
        <v>644</v>
      </c>
      <c r="G617" s="156">
        <v>44651</v>
      </c>
      <c r="H617" t="s">
        <v>595</v>
      </c>
      <c r="I617">
        <v>3637200</v>
      </c>
      <c r="K617">
        <v>0</v>
      </c>
      <c r="M617">
        <v>0</v>
      </c>
      <c r="N617">
        <v>0</v>
      </c>
      <c r="O617">
        <v>0</v>
      </c>
      <c r="P617" s="117">
        <v>3637200</v>
      </c>
      <c r="Q617" s="117" t="s">
        <v>1021</v>
      </c>
      <c r="R617" s="150">
        <v>0</v>
      </c>
      <c r="S617" s="117" t="b">
        <f>OR(COUNTIF(Tabla2[[#This Row],[PROVEEDOR]],"*"&amp;'Palabra no opera'!$A$2&amp;"*"))</f>
        <v>0</v>
      </c>
      <c r="T617" s="150">
        <f>+$W$5-Tabla2[[#This Row],[FECHA DE FACTURACIÓN]]</f>
        <v>183</v>
      </c>
      <c r="U617" t="str">
        <f>+IF(Tabla2[[#This Row],[dias de credito]]&gt;=Tabla2[[#This Row],[PLAZO Días]],"venc", "No venc")</f>
        <v>venc</v>
      </c>
      <c r="V617" t="str">
        <f>+IF(Tabla2[[#This Row],[FECHA DE PAGO]]&gt;0,"pagada","por pagar")</f>
        <v>pagada</v>
      </c>
      <c r="W617" s="152" t="str">
        <f>+IF(AND(Tabla2[[#This Row],[venc]]="venc",Tabla2[[#This Row],[Columna1]]="por pagar"),"vencida","no")</f>
        <v>no</v>
      </c>
    </row>
    <row r="618" spans="1:23" x14ac:dyDescent="0.3">
      <c r="A618">
        <v>30</v>
      </c>
      <c r="B618">
        <v>0</v>
      </c>
      <c r="D618" t="s">
        <v>139</v>
      </c>
      <c r="E618" s="156">
        <v>44651</v>
      </c>
      <c r="F618" t="s">
        <v>1130</v>
      </c>
      <c r="G618" s="156">
        <v>44645</v>
      </c>
      <c r="H618" t="s">
        <v>720</v>
      </c>
      <c r="I618">
        <v>106000</v>
      </c>
      <c r="K618">
        <v>0</v>
      </c>
      <c r="M618">
        <v>0</v>
      </c>
      <c r="N618">
        <v>0</v>
      </c>
      <c r="O618">
        <v>0</v>
      </c>
      <c r="P618" s="117">
        <v>106000</v>
      </c>
      <c r="Q618" s="117" t="s">
        <v>1021</v>
      </c>
      <c r="R618" s="150">
        <v>0</v>
      </c>
      <c r="S618" s="117" t="b">
        <f>OR(COUNTIF(Tabla2[[#This Row],[PROVEEDOR]],"*"&amp;'Palabra no opera'!$A$2&amp;"*"))</f>
        <v>1</v>
      </c>
      <c r="T618" s="150">
        <f>+$W$5-Tabla2[[#This Row],[FECHA DE FACTURACIÓN]]</f>
        <v>189</v>
      </c>
      <c r="U618" t="str">
        <f>+IF(Tabla2[[#This Row],[dias de credito]]&gt;=Tabla2[[#This Row],[PLAZO Días]],"venc", "No venc")</f>
        <v>venc</v>
      </c>
      <c r="V618" t="str">
        <f>+IF(Tabla2[[#This Row],[FECHA DE PAGO]]&gt;0,"pagada","por pagar")</f>
        <v>pagada</v>
      </c>
      <c r="W618" s="152" t="str">
        <f>+IF(AND(Tabla2[[#This Row],[venc]]="venc",Tabla2[[#This Row],[Columna1]]="por pagar"),"vencida","no")</f>
        <v>no</v>
      </c>
    </row>
    <row r="619" spans="1:23" x14ac:dyDescent="0.3">
      <c r="A619">
        <v>30</v>
      </c>
      <c r="B619">
        <v>0</v>
      </c>
      <c r="D619" t="s">
        <v>139</v>
      </c>
      <c r="E619" s="156">
        <v>44651</v>
      </c>
      <c r="F619" t="s">
        <v>1130</v>
      </c>
      <c r="G619" s="156">
        <v>44635</v>
      </c>
      <c r="H619" t="s">
        <v>734</v>
      </c>
      <c r="I619">
        <v>89500</v>
      </c>
      <c r="K619">
        <v>0</v>
      </c>
      <c r="M619">
        <v>0</v>
      </c>
      <c r="N619">
        <v>0</v>
      </c>
      <c r="O619">
        <v>0</v>
      </c>
      <c r="P619" s="117">
        <v>89500</v>
      </c>
      <c r="Q619" s="117" t="s">
        <v>1021</v>
      </c>
      <c r="R619" s="150">
        <v>0</v>
      </c>
      <c r="S619" s="117" t="b">
        <f>OR(COUNTIF(Tabla2[[#This Row],[PROVEEDOR]],"*"&amp;'Palabra no opera'!$A$2&amp;"*"))</f>
        <v>1</v>
      </c>
      <c r="T619" s="150">
        <f>+$W$5-Tabla2[[#This Row],[FECHA DE FACTURACIÓN]]</f>
        <v>199</v>
      </c>
      <c r="U619" t="str">
        <f>+IF(Tabla2[[#This Row],[dias de credito]]&gt;=Tabla2[[#This Row],[PLAZO Días]],"venc", "No venc")</f>
        <v>venc</v>
      </c>
      <c r="V619" t="str">
        <f>+IF(Tabla2[[#This Row],[FECHA DE PAGO]]&gt;0,"pagada","por pagar")</f>
        <v>pagada</v>
      </c>
      <c r="W619" s="152" t="str">
        <f>+IF(AND(Tabla2[[#This Row],[venc]]="venc",Tabla2[[#This Row],[Columna1]]="por pagar"),"vencida","no")</f>
        <v>no</v>
      </c>
    </row>
    <row r="620" spans="1:23" x14ac:dyDescent="0.3">
      <c r="A620">
        <v>30</v>
      </c>
      <c r="B620">
        <v>0</v>
      </c>
      <c r="D620" t="s">
        <v>139</v>
      </c>
      <c r="E620" s="156">
        <v>44650</v>
      </c>
      <c r="F620" t="s">
        <v>673</v>
      </c>
      <c r="G620" s="156">
        <v>44650</v>
      </c>
      <c r="I620">
        <v>1300000</v>
      </c>
      <c r="K620">
        <v>0</v>
      </c>
      <c r="M620">
        <v>0</v>
      </c>
      <c r="N620">
        <v>0</v>
      </c>
      <c r="O620">
        <v>0</v>
      </c>
      <c r="P620" s="117">
        <v>1300000</v>
      </c>
      <c r="Q620" s="117" t="s">
        <v>1021</v>
      </c>
      <c r="R620" s="150">
        <v>0</v>
      </c>
      <c r="S620" s="117" t="b">
        <f>OR(COUNTIF(Tabla2[[#This Row],[PROVEEDOR]],"*"&amp;'Palabra no opera'!$A$2&amp;"*"))</f>
        <v>0</v>
      </c>
      <c r="T620" s="150">
        <f>+$W$5-Tabla2[[#This Row],[FECHA DE FACTURACIÓN]]</f>
        <v>184</v>
      </c>
      <c r="U620" t="str">
        <f>+IF(Tabla2[[#This Row],[dias de credito]]&gt;=Tabla2[[#This Row],[PLAZO Días]],"venc", "No venc")</f>
        <v>venc</v>
      </c>
      <c r="V620" t="str">
        <f>+IF(Tabla2[[#This Row],[FECHA DE PAGO]]&gt;0,"pagada","por pagar")</f>
        <v>pagada</v>
      </c>
      <c r="W620" s="152" t="str">
        <f>+IF(AND(Tabla2[[#This Row],[venc]]="venc",Tabla2[[#This Row],[Columna1]]="por pagar"),"vencida","no")</f>
        <v>no</v>
      </c>
    </row>
    <row r="621" spans="1:23" x14ac:dyDescent="0.3">
      <c r="A621">
        <v>30</v>
      </c>
      <c r="B621">
        <v>0</v>
      </c>
      <c r="D621" t="s">
        <v>650</v>
      </c>
      <c r="E621" s="156">
        <v>44650</v>
      </c>
      <c r="F621" t="s">
        <v>913</v>
      </c>
      <c r="G621" s="156">
        <v>44621</v>
      </c>
      <c r="H621" t="s">
        <v>957</v>
      </c>
      <c r="I621">
        <v>3061166</v>
      </c>
      <c r="K621">
        <v>581621.54</v>
      </c>
      <c r="M621">
        <v>0</v>
      </c>
      <c r="N621">
        <v>0</v>
      </c>
      <c r="O621">
        <v>0</v>
      </c>
      <c r="P621" s="117">
        <v>3642787.54</v>
      </c>
      <c r="Q621" s="117" t="s">
        <v>1021</v>
      </c>
      <c r="R621" s="150">
        <v>0</v>
      </c>
      <c r="S621" s="117" t="b">
        <f>OR(COUNTIF(Tabla2[[#This Row],[PROVEEDOR]],"*"&amp;'Palabra no opera'!$A$2&amp;"*"))</f>
        <v>1</v>
      </c>
      <c r="T621" s="150">
        <f>+$W$5-Tabla2[[#This Row],[FECHA DE FACTURACIÓN]]</f>
        <v>213</v>
      </c>
      <c r="U621" t="str">
        <f>+IF(Tabla2[[#This Row],[dias de credito]]&gt;=Tabla2[[#This Row],[PLAZO Días]],"venc", "No venc")</f>
        <v>venc</v>
      </c>
      <c r="V621" t="str">
        <f>+IF(Tabla2[[#This Row],[FECHA DE PAGO]]&gt;0,"pagada","por pagar")</f>
        <v>pagada</v>
      </c>
      <c r="W621" s="152" t="str">
        <f>+IF(AND(Tabla2[[#This Row],[venc]]="venc",Tabla2[[#This Row],[Columna1]]="por pagar"),"vencida","no")</f>
        <v>no</v>
      </c>
    </row>
    <row r="622" spans="1:23" x14ac:dyDescent="0.3">
      <c r="A622">
        <v>30</v>
      </c>
      <c r="B622">
        <v>0</v>
      </c>
      <c r="D622" t="s">
        <v>650</v>
      </c>
      <c r="E622" s="156">
        <v>44650</v>
      </c>
      <c r="F622" t="s">
        <v>913</v>
      </c>
      <c r="G622" s="156">
        <v>44621</v>
      </c>
      <c r="H622" t="s">
        <v>958</v>
      </c>
      <c r="I622">
        <v>942255</v>
      </c>
      <c r="K622">
        <v>179028.45</v>
      </c>
      <c r="M622">
        <v>0</v>
      </c>
      <c r="N622">
        <v>0</v>
      </c>
      <c r="O622">
        <v>0</v>
      </c>
      <c r="P622" s="117">
        <v>1121283.45</v>
      </c>
      <c r="Q622" s="117" t="s">
        <v>1021</v>
      </c>
      <c r="R622" s="150">
        <v>0</v>
      </c>
      <c r="S622" s="117" t="b">
        <f>OR(COUNTIF(Tabla2[[#This Row],[PROVEEDOR]],"*"&amp;'Palabra no opera'!$A$2&amp;"*"))</f>
        <v>1</v>
      </c>
      <c r="T622" s="150">
        <f>+$W$5-Tabla2[[#This Row],[FECHA DE FACTURACIÓN]]</f>
        <v>213</v>
      </c>
      <c r="U622" t="str">
        <f>+IF(Tabla2[[#This Row],[dias de credito]]&gt;=Tabla2[[#This Row],[PLAZO Días]],"venc", "No venc")</f>
        <v>venc</v>
      </c>
      <c r="V622" t="str">
        <f>+IF(Tabla2[[#This Row],[FECHA DE PAGO]]&gt;0,"pagada","por pagar")</f>
        <v>pagada</v>
      </c>
      <c r="W622" s="152" t="str">
        <f>+IF(AND(Tabla2[[#This Row],[venc]]="venc",Tabla2[[#This Row],[Columna1]]="por pagar"),"vencida","no")</f>
        <v>no</v>
      </c>
    </row>
    <row r="623" spans="1:23" x14ac:dyDescent="0.3">
      <c r="A623">
        <v>30</v>
      </c>
      <c r="B623">
        <v>0</v>
      </c>
      <c r="D623" t="s">
        <v>259</v>
      </c>
      <c r="E623" s="156">
        <v>44650</v>
      </c>
      <c r="F623" t="s">
        <v>918</v>
      </c>
      <c r="G623" s="156">
        <v>44621</v>
      </c>
      <c r="H623">
        <v>10117</v>
      </c>
      <c r="I623">
        <v>1922190</v>
      </c>
      <c r="K623">
        <v>0</v>
      </c>
      <c r="M623">
        <v>0</v>
      </c>
      <c r="N623">
        <v>0</v>
      </c>
      <c r="O623">
        <v>0</v>
      </c>
      <c r="P623" s="117">
        <v>1922190</v>
      </c>
      <c r="Q623" s="117" t="s">
        <v>1021</v>
      </c>
      <c r="R623" s="150">
        <v>0</v>
      </c>
      <c r="S623" s="117" t="b">
        <f>OR(COUNTIF(Tabla2[[#This Row],[PROVEEDOR]],"*"&amp;'Palabra no opera'!$A$2&amp;"*"))</f>
        <v>1</v>
      </c>
      <c r="T623" s="150">
        <f>+$W$5-Tabla2[[#This Row],[FECHA DE FACTURACIÓN]]</f>
        <v>213</v>
      </c>
      <c r="U623" t="str">
        <f>+IF(Tabla2[[#This Row],[dias de credito]]&gt;=Tabla2[[#This Row],[PLAZO Días]],"venc", "No venc")</f>
        <v>venc</v>
      </c>
      <c r="V623" t="str">
        <f>+IF(Tabla2[[#This Row],[FECHA DE PAGO]]&gt;0,"pagada","por pagar")</f>
        <v>pagada</v>
      </c>
      <c r="W623" s="152" t="str">
        <f>+IF(AND(Tabla2[[#This Row],[venc]]="venc",Tabla2[[#This Row],[Columna1]]="por pagar"),"vencida","no")</f>
        <v>no</v>
      </c>
    </row>
    <row r="624" spans="1:23" x14ac:dyDescent="0.3">
      <c r="A624">
        <v>30</v>
      </c>
      <c r="B624">
        <v>0</v>
      </c>
      <c r="D624" t="s">
        <v>433</v>
      </c>
      <c r="E624" s="156">
        <v>44650</v>
      </c>
      <c r="F624" t="s">
        <v>925</v>
      </c>
      <c r="G624" s="156">
        <v>44621</v>
      </c>
      <c r="H624">
        <v>2524</v>
      </c>
      <c r="I624">
        <v>2789636</v>
      </c>
      <c r="K624">
        <v>0</v>
      </c>
      <c r="M624">
        <v>0</v>
      </c>
      <c r="N624">
        <v>3.5000000000000003E-2</v>
      </c>
      <c r="O624">
        <v>97637.260000000009</v>
      </c>
      <c r="P624" s="117">
        <v>2691998.74</v>
      </c>
      <c r="Q624" s="117" t="s">
        <v>1021</v>
      </c>
      <c r="R624" s="150">
        <v>0</v>
      </c>
      <c r="S624" s="117" t="b">
        <f>OR(COUNTIF(Tabla2[[#This Row],[PROVEEDOR]],"*"&amp;'Palabra no opera'!$A$2&amp;"*"))</f>
        <v>1</v>
      </c>
      <c r="T624" s="150">
        <f>+$W$5-Tabla2[[#This Row],[FECHA DE FACTURACIÓN]]</f>
        <v>213</v>
      </c>
      <c r="U624" t="str">
        <f>+IF(Tabla2[[#This Row],[dias de credito]]&gt;=Tabla2[[#This Row],[PLAZO Días]],"venc", "No venc")</f>
        <v>venc</v>
      </c>
      <c r="V624" t="str">
        <f>+IF(Tabla2[[#This Row],[FECHA DE PAGO]]&gt;0,"pagada","por pagar")</f>
        <v>pagada</v>
      </c>
      <c r="W624" s="152" t="str">
        <f>+IF(AND(Tabla2[[#This Row],[venc]]="venc",Tabla2[[#This Row],[Columna1]]="por pagar"),"vencida","no")</f>
        <v>no</v>
      </c>
    </row>
    <row r="625" spans="1:23" x14ac:dyDescent="0.3">
      <c r="A625">
        <v>30</v>
      </c>
      <c r="B625">
        <v>0</v>
      </c>
      <c r="D625" t="s">
        <v>267</v>
      </c>
      <c r="E625" s="156">
        <v>44650</v>
      </c>
      <c r="F625" t="s">
        <v>941</v>
      </c>
      <c r="G625" s="156">
        <v>44621</v>
      </c>
      <c r="H625">
        <v>4395</v>
      </c>
      <c r="I625">
        <v>215356</v>
      </c>
      <c r="K625">
        <v>40917.64</v>
      </c>
      <c r="M625">
        <v>0</v>
      </c>
      <c r="N625">
        <v>3.5000000000000003E-2</v>
      </c>
      <c r="O625">
        <v>7537.4600000000009</v>
      </c>
      <c r="P625" s="117">
        <v>248736.18000000002</v>
      </c>
      <c r="Q625" s="117" t="s">
        <v>1021</v>
      </c>
      <c r="R625" s="150">
        <v>0</v>
      </c>
      <c r="S625" s="117" t="b">
        <f>OR(COUNTIF(Tabla2[[#This Row],[PROVEEDOR]],"*"&amp;'Palabra no opera'!$A$2&amp;"*"))</f>
        <v>1</v>
      </c>
      <c r="T625" s="150">
        <f>+$W$5-Tabla2[[#This Row],[FECHA DE FACTURACIÓN]]</f>
        <v>213</v>
      </c>
      <c r="U625" t="str">
        <f>+IF(Tabla2[[#This Row],[dias de credito]]&gt;=Tabla2[[#This Row],[PLAZO Días]],"venc", "No venc")</f>
        <v>venc</v>
      </c>
      <c r="V625" t="str">
        <f>+IF(Tabla2[[#This Row],[FECHA DE PAGO]]&gt;0,"pagada","por pagar")</f>
        <v>pagada</v>
      </c>
      <c r="W625" s="152" t="str">
        <f>+IF(AND(Tabla2[[#This Row],[venc]]="venc",Tabla2[[#This Row],[Columna1]]="por pagar"),"vencida","no")</f>
        <v>no</v>
      </c>
    </row>
    <row r="626" spans="1:23" x14ac:dyDescent="0.3">
      <c r="A626">
        <v>20</v>
      </c>
      <c r="B626">
        <v>0</v>
      </c>
      <c r="D626" t="s">
        <v>275</v>
      </c>
      <c r="E626" s="156">
        <v>44650</v>
      </c>
      <c r="F626" t="s">
        <v>942</v>
      </c>
      <c r="G626" s="156">
        <v>44621</v>
      </c>
      <c r="H626">
        <v>42317</v>
      </c>
      <c r="I626">
        <v>4430000</v>
      </c>
      <c r="K626">
        <v>841700</v>
      </c>
      <c r="M626">
        <v>0</v>
      </c>
      <c r="N626">
        <v>3.5000000000000003E-2</v>
      </c>
      <c r="O626">
        <v>155050.00000000003</v>
      </c>
      <c r="P626" s="117">
        <v>5116650</v>
      </c>
      <c r="Q626" s="117" t="s">
        <v>1021</v>
      </c>
      <c r="R626" s="150">
        <v>0</v>
      </c>
      <c r="S626" s="117" t="b">
        <f>OR(COUNTIF(Tabla2[[#This Row],[PROVEEDOR]],"*"&amp;'Palabra no opera'!$A$2&amp;"*"))</f>
        <v>1</v>
      </c>
      <c r="T626" s="150">
        <f>+$W$5-Tabla2[[#This Row],[FECHA DE FACTURACIÓN]]</f>
        <v>213</v>
      </c>
      <c r="U626" t="str">
        <f>+IF(Tabla2[[#This Row],[dias de credito]]&gt;=Tabla2[[#This Row],[PLAZO Días]],"venc", "No venc")</f>
        <v>venc</v>
      </c>
      <c r="V626" t="str">
        <f>+IF(Tabla2[[#This Row],[FECHA DE PAGO]]&gt;0,"pagada","por pagar")</f>
        <v>pagada</v>
      </c>
      <c r="W626" s="152" t="str">
        <f>+IF(AND(Tabla2[[#This Row],[venc]]="venc",Tabla2[[#This Row],[Columna1]]="por pagar"),"vencida","no")</f>
        <v>no</v>
      </c>
    </row>
    <row r="627" spans="1:23" x14ac:dyDescent="0.3">
      <c r="A627">
        <v>30</v>
      </c>
      <c r="B627">
        <v>0</v>
      </c>
      <c r="D627" t="s">
        <v>650</v>
      </c>
      <c r="E627" s="156">
        <v>44650</v>
      </c>
      <c r="F627" t="s">
        <v>913</v>
      </c>
      <c r="G627" s="156">
        <v>44617</v>
      </c>
      <c r="H627" t="s">
        <v>717</v>
      </c>
      <c r="I627">
        <v>-692129.53</v>
      </c>
      <c r="K627">
        <v>0</v>
      </c>
      <c r="M627">
        <v>0</v>
      </c>
      <c r="N627">
        <v>0</v>
      </c>
      <c r="O627">
        <v>0</v>
      </c>
      <c r="P627" s="117">
        <v>-692129.53</v>
      </c>
      <c r="Q627" s="117" t="s">
        <v>1021</v>
      </c>
      <c r="R627" s="150">
        <v>0</v>
      </c>
      <c r="S627" s="117" t="b">
        <f>OR(COUNTIF(Tabla2[[#This Row],[PROVEEDOR]],"*"&amp;'Palabra no opera'!$A$2&amp;"*"))</f>
        <v>1</v>
      </c>
      <c r="T627" s="150">
        <f>+$W$5-Tabla2[[#This Row],[FECHA DE FACTURACIÓN]]</f>
        <v>217</v>
      </c>
      <c r="U627" t="str">
        <f>+IF(Tabla2[[#This Row],[dias de credito]]&gt;=Tabla2[[#This Row],[PLAZO Días]],"venc", "No venc")</f>
        <v>venc</v>
      </c>
      <c r="V627" t="str">
        <f>+IF(Tabla2[[#This Row],[FECHA DE PAGO]]&gt;0,"pagada","por pagar")</f>
        <v>pagada</v>
      </c>
      <c r="W627" s="152" t="str">
        <f>+IF(AND(Tabla2[[#This Row],[venc]]="venc",Tabla2[[#This Row],[Columna1]]="por pagar"),"vencida","no")</f>
        <v>no</v>
      </c>
    </row>
    <row r="628" spans="1:23" x14ac:dyDescent="0.3">
      <c r="A628">
        <v>20</v>
      </c>
      <c r="B628">
        <v>0</v>
      </c>
      <c r="D628" t="s">
        <v>275</v>
      </c>
      <c r="E628" s="156">
        <v>44650</v>
      </c>
      <c r="F628" t="s">
        <v>942</v>
      </c>
      <c r="G628" s="156">
        <v>44617</v>
      </c>
      <c r="H628" t="s">
        <v>727</v>
      </c>
      <c r="I628">
        <v>-248736</v>
      </c>
      <c r="K628">
        <v>-47259.840000000004</v>
      </c>
      <c r="M628">
        <v>0</v>
      </c>
      <c r="N628">
        <v>0</v>
      </c>
      <c r="O628">
        <v>0</v>
      </c>
      <c r="P628" s="117">
        <v>-295995.84000000003</v>
      </c>
      <c r="Q628" s="117" t="s">
        <v>1021</v>
      </c>
      <c r="R628" s="150">
        <v>0</v>
      </c>
      <c r="S628" s="117" t="b">
        <f>OR(COUNTIF(Tabla2[[#This Row],[PROVEEDOR]],"*"&amp;'Palabra no opera'!$A$2&amp;"*"))</f>
        <v>1</v>
      </c>
      <c r="T628" s="150">
        <f>+$W$5-Tabla2[[#This Row],[FECHA DE FACTURACIÓN]]</f>
        <v>217</v>
      </c>
      <c r="U628" t="str">
        <f>+IF(Tabla2[[#This Row],[dias de credito]]&gt;=Tabla2[[#This Row],[PLAZO Días]],"venc", "No venc")</f>
        <v>venc</v>
      </c>
      <c r="V628" t="str">
        <f>+IF(Tabla2[[#This Row],[FECHA DE PAGO]]&gt;0,"pagada","por pagar")</f>
        <v>pagada</v>
      </c>
      <c r="W628" s="152" t="str">
        <f>+IF(AND(Tabla2[[#This Row],[venc]]="venc",Tabla2[[#This Row],[Columna1]]="por pagar"),"vencida","no")</f>
        <v>no</v>
      </c>
    </row>
    <row r="629" spans="1:23" x14ac:dyDescent="0.3">
      <c r="A629">
        <v>45</v>
      </c>
      <c r="B629">
        <v>7497238</v>
      </c>
      <c r="D629" t="s">
        <v>272</v>
      </c>
      <c r="E629" s="156">
        <v>44650</v>
      </c>
      <c r="F629" t="s">
        <v>10</v>
      </c>
      <c r="G629" s="156">
        <v>44579</v>
      </c>
      <c r="H629" t="s">
        <v>763</v>
      </c>
      <c r="I629">
        <v>990000</v>
      </c>
      <c r="K629">
        <v>188100</v>
      </c>
      <c r="M629">
        <v>0</v>
      </c>
      <c r="N629">
        <v>0</v>
      </c>
      <c r="O629">
        <v>0</v>
      </c>
      <c r="P629" s="117">
        <v>1178100</v>
      </c>
      <c r="Q629" s="117" t="s">
        <v>1021</v>
      </c>
      <c r="R629" s="150">
        <v>0</v>
      </c>
      <c r="S629" s="117" t="b">
        <f>OR(COUNTIF(Tabla2[[#This Row],[PROVEEDOR]],"*"&amp;'Palabra no opera'!$A$2&amp;"*"))</f>
        <v>0</v>
      </c>
      <c r="T629" s="150">
        <f>+$W$5-Tabla2[[#This Row],[FECHA DE FACTURACIÓN]]</f>
        <v>255</v>
      </c>
      <c r="U629" t="str">
        <f>+IF(Tabla2[[#This Row],[dias de credito]]&gt;=Tabla2[[#This Row],[PLAZO Días]],"venc", "No venc")</f>
        <v>venc</v>
      </c>
      <c r="V629" t="str">
        <f>+IF(Tabla2[[#This Row],[FECHA DE PAGO]]&gt;0,"pagada","por pagar")</f>
        <v>pagada</v>
      </c>
      <c r="W629" s="152" t="str">
        <f>+IF(AND(Tabla2[[#This Row],[venc]]="venc",Tabla2[[#This Row],[Columna1]]="por pagar"),"vencida","no")</f>
        <v>no</v>
      </c>
    </row>
    <row r="630" spans="1:23" x14ac:dyDescent="0.3">
      <c r="A630">
        <v>10</v>
      </c>
      <c r="B630">
        <v>0</v>
      </c>
      <c r="D630" t="s">
        <v>139</v>
      </c>
      <c r="E630" s="156">
        <v>44649</v>
      </c>
      <c r="F630" t="s">
        <v>23</v>
      </c>
      <c r="G630" s="156">
        <v>44640</v>
      </c>
      <c r="H630">
        <v>289692</v>
      </c>
      <c r="I630">
        <v>17000987.710000001</v>
      </c>
      <c r="K630">
        <v>0</v>
      </c>
      <c r="M630">
        <v>0</v>
      </c>
      <c r="N630">
        <v>0</v>
      </c>
      <c r="O630">
        <v>0</v>
      </c>
      <c r="P630" s="117">
        <v>17000987.710000001</v>
      </c>
      <c r="Q630" s="117" t="s">
        <v>1021</v>
      </c>
      <c r="R630" s="150">
        <v>0</v>
      </c>
      <c r="S630" s="117" t="b">
        <f>OR(COUNTIF(Tabla2[[#This Row],[PROVEEDOR]],"*"&amp;'Palabra no opera'!$A$2&amp;"*"))</f>
        <v>0</v>
      </c>
      <c r="T630" s="150">
        <f>+$W$5-Tabla2[[#This Row],[FECHA DE FACTURACIÓN]]</f>
        <v>194</v>
      </c>
      <c r="U630" t="str">
        <f>+IF(Tabla2[[#This Row],[dias de credito]]&gt;=Tabla2[[#This Row],[PLAZO Días]],"venc", "No venc")</f>
        <v>venc</v>
      </c>
      <c r="V630" t="str">
        <f>+IF(Tabla2[[#This Row],[FECHA DE PAGO]]&gt;0,"pagada","por pagar")</f>
        <v>pagada</v>
      </c>
      <c r="W630" s="152" t="str">
        <f>+IF(AND(Tabla2[[#This Row],[venc]]="venc",Tabla2[[#This Row],[Columna1]]="por pagar"),"vencida","no")</f>
        <v>no</v>
      </c>
    </row>
    <row r="631" spans="1:23" x14ac:dyDescent="0.3">
      <c r="A631">
        <v>30</v>
      </c>
      <c r="B631">
        <v>0</v>
      </c>
      <c r="D631" t="s">
        <v>431</v>
      </c>
      <c r="E631" s="156">
        <v>44649</v>
      </c>
      <c r="F631" t="s">
        <v>430</v>
      </c>
      <c r="G631" s="156">
        <v>44616</v>
      </c>
      <c r="H631">
        <v>26</v>
      </c>
      <c r="I631">
        <v>913000</v>
      </c>
      <c r="K631">
        <v>173470</v>
      </c>
      <c r="M631">
        <v>0</v>
      </c>
      <c r="N631">
        <v>0</v>
      </c>
      <c r="O631">
        <v>0</v>
      </c>
      <c r="P631" s="117">
        <v>1086470</v>
      </c>
      <c r="Q631" s="117" t="s">
        <v>1021</v>
      </c>
      <c r="R631" s="150">
        <v>0</v>
      </c>
      <c r="S631" s="117" t="b">
        <f>OR(COUNTIF(Tabla2[[#This Row],[PROVEEDOR]],"*"&amp;'Palabra no opera'!$A$2&amp;"*"))</f>
        <v>0</v>
      </c>
      <c r="T631" s="150">
        <f>+$W$5-Tabla2[[#This Row],[FECHA DE FACTURACIÓN]]</f>
        <v>218</v>
      </c>
      <c r="U631" t="str">
        <f>+IF(Tabla2[[#This Row],[dias de credito]]&gt;=Tabla2[[#This Row],[PLAZO Días]],"venc", "No venc")</f>
        <v>venc</v>
      </c>
      <c r="V631" t="str">
        <f>+IF(Tabla2[[#This Row],[FECHA DE PAGO]]&gt;0,"pagada","por pagar")</f>
        <v>pagada</v>
      </c>
      <c r="W631" s="152" t="str">
        <f>+IF(AND(Tabla2[[#This Row],[venc]]="venc",Tabla2[[#This Row],[Columna1]]="por pagar"),"vencida","no")</f>
        <v>no</v>
      </c>
    </row>
    <row r="632" spans="1:23" x14ac:dyDescent="0.3">
      <c r="A632">
        <v>30</v>
      </c>
      <c r="B632">
        <v>2516204.2100999998</v>
      </c>
      <c r="D632" t="s">
        <v>261</v>
      </c>
      <c r="E632" s="156">
        <v>44648</v>
      </c>
      <c r="F632" t="s">
        <v>512</v>
      </c>
      <c r="G632" s="156">
        <v>44635</v>
      </c>
      <c r="H632" t="s">
        <v>710</v>
      </c>
      <c r="I632">
        <v>-37815.129999999997</v>
      </c>
      <c r="K632">
        <v>-7184.8746999999994</v>
      </c>
      <c r="M632">
        <v>0</v>
      </c>
      <c r="N632">
        <v>0</v>
      </c>
      <c r="O632">
        <v>0</v>
      </c>
      <c r="P632" s="117">
        <v>-44054.626449999996</v>
      </c>
      <c r="Q632" s="117" t="s">
        <v>1021</v>
      </c>
      <c r="R632" s="150">
        <v>0</v>
      </c>
      <c r="S632" s="117" t="b">
        <f>OR(COUNTIF(Tabla2[[#This Row],[PROVEEDOR]],"*"&amp;'Palabra no opera'!$A$2&amp;"*"))</f>
        <v>0</v>
      </c>
      <c r="T632" s="150">
        <f>+$W$5-Tabla2[[#This Row],[FECHA DE FACTURACIÓN]]</f>
        <v>199</v>
      </c>
      <c r="U632" t="str">
        <f>+IF(Tabla2[[#This Row],[dias de credito]]&gt;=Tabla2[[#This Row],[PLAZO Días]],"venc", "No venc")</f>
        <v>venc</v>
      </c>
      <c r="V632" t="str">
        <f>+IF(Tabla2[[#This Row],[FECHA DE PAGO]]&gt;0,"pagada","por pagar")</f>
        <v>pagada</v>
      </c>
      <c r="W632" s="152" t="str">
        <f>+IF(AND(Tabla2[[#This Row],[venc]]="venc",Tabla2[[#This Row],[Columna1]]="por pagar"),"vencida","no")</f>
        <v>no</v>
      </c>
    </row>
    <row r="633" spans="1:23" x14ac:dyDescent="0.3">
      <c r="A633">
        <v>30</v>
      </c>
      <c r="B633">
        <v>0</v>
      </c>
      <c r="D633" t="s">
        <v>1688</v>
      </c>
      <c r="E633" s="156">
        <v>44648</v>
      </c>
      <c r="F633" t="s">
        <v>928</v>
      </c>
      <c r="G633" s="156">
        <v>44621</v>
      </c>
      <c r="H633" t="s">
        <v>725</v>
      </c>
      <c r="I633">
        <v>3958317</v>
      </c>
      <c r="K633">
        <v>0</v>
      </c>
      <c r="M633">
        <v>0</v>
      </c>
      <c r="N633">
        <v>3.5000000000000003E-2</v>
      </c>
      <c r="O633">
        <v>138541.095</v>
      </c>
      <c r="P633" s="117">
        <v>3819775.9049999998</v>
      </c>
      <c r="Q633" s="117" t="s">
        <v>1021</v>
      </c>
      <c r="R633" s="150">
        <v>0</v>
      </c>
      <c r="S633" s="117" t="b">
        <f>OR(COUNTIF(Tabla2[[#This Row],[PROVEEDOR]],"*"&amp;'Palabra no opera'!$A$2&amp;"*"))</f>
        <v>1</v>
      </c>
      <c r="T633" s="150">
        <f>+$W$5-Tabla2[[#This Row],[FECHA DE FACTURACIÓN]]</f>
        <v>213</v>
      </c>
      <c r="U633" t="str">
        <f>+IF(Tabla2[[#This Row],[dias de credito]]&gt;=Tabla2[[#This Row],[PLAZO Días]],"venc", "No venc")</f>
        <v>venc</v>
      </c>
      <c r="V633" t="str">
        <f>+IF(Tabla2[[#This Row],[FECHA DE PAGO]]&gt;0,"pagada","por pagar")</f>
        <v>pagada</v>
      </c>
      <c r="W633" s="152" t="str">
        <f>+IF(AND(Tabla2[[#This Row],[venc]]="venc",Tabla2[[#This Row],[Columna1]]="por pagar"),"vencida","no")</f>
        <v>no</v>
      </c>
    </row>
    <row r="634" spans="1:23" x14ac:dyDescent="0.3">
      <c r="A634">
        <v>30</v>
      </c>
      <c r="B634">
        <v>2192943.5750000002</v>
      </c>
      <c r="D634" t="s">
        <v>273</v>
      </c>
      <c r="E634" s="156">
        <v>44648</v>
      </c>
      <c r="F634" t="s">
        <v>1638</v>
      </c>
      <c r="G634" s="156">
        <v>44613</v>
      </c>
      <c r="H634" t="s">
        <v>769</v>
      </c>
      <c r="I634">
        <v>1575633.5</v>
      </c>
      <c r="K634">
        <v>299370.36499999999</v>
      </c>
      <c r="M634">
        <v>0</v>
      </c>
      <c r="N634">
        <v>2.5000000000000001E-2</v>
      </c>
      <c r="O634">
        <v>39390.837500000001</v>
      </c>
      <c r="P634" s="117">
        <v>1835613.0275000001</v>
      </c>
      <c r="Q634" s="117" t="s">
        <v>1021</v>
      </c>
      <c r="R634" s="150">
        <v>0</v>
      </c>
      <c r="S634" s="117" t="b">
        <f>OR(COUNTIF(Tabla2[[#This Row],[PROVEEDOR]],"*"&amp;'Palabra no opera'!$A$2&amp;"*"))</f>
        <v>0</v>
      </c>
      <c r="T634" s="150">
        <f>+$W$5-Tabla2[[#This Row],[FECHA DE FACTURACIÓN]]</f>
        <v>221</v>
      </c>
      <c r="U634" t="str">
        <f>+IF(Tabla2[[#This Row],[dias de credito]]&gt;=Tabla2[[#This Row],[PLAZO Días]],"venc", "No venc")</f>
        <v>venc</v>
      </c>
      <c r="V634" t="str">
        <f>+IF(Tabla2[[#This Row],[FECHA DE PAGO]]&gt;0,"pagada","por pagar")</f>
        <v>pagada</v>
      </c>
      <c r="W634" s="152" t="str">
        <f>+IF(AND(Tabla2[[#This Row],[venc]]="venc",Tabla2[[#This Row],[Columna1]]="por pagar"),"vencida","no")</f>
        <v>no</v>
      </c>
    </row>
    <row r="635" spans="1:23" x14ac:dyDescent="0.3">
      <c r="A635">
        <v>30</v>
      </c>
      <c r="B635">
        <v>2516204.2100999998</v>
      </c>
      <c r="D635" t="s">
        <v>261</v>
      </c>
      <c r="E635" s="156">
        <v>44648</v>
      </c>
      <c r="F635" t="s">
        <v>512</v>
      </c>
      <c r="G635" s="156">
        <v>44574</v>
      </c>
      <c r="H635">
        <v>635</v>
      </c>
      <c r="I635">
        <v>3807563.02</v>
      </c>
      <c r="K635">
        <v>723436.97380000004</v>
      </c>
      <c r="M635">
        <v>0</v>
      </c>
      <c r="N635">
        <v>2.5000000000000001E-2</v>
      </c>
      <c r="O635">
        <v>95189.075500000006</v>
      </c>
      <c r="P635" s="117">
        <v>4435810.9183</v>
      </c>
      <c r="Q635" s="117" t="s">
        <v>1021</v>
      </c>
      <c r="R635" s="150">
        <v>0</v>
      </c>
      <c r="S635" s="117" t="b">
        <f>OR(COUNTIF(Tabla2[[#This Row],[PROVEEDOR]],"*"&amp;'Palabra no opera'!$A$2&amp;"*"))</f>
        <v>0</v>
      </c>
      <c r="T635" s="150">
        <f>+$W$5-Tabla2[[#This Row],[FECHA DE FACTURACIÓN]]</f>
        <v>260</v>
      </c>
      <c r="U635" t="str">
        <f>+IF(Tabla2[[#This Row],[dias de credito]]&gt;=Tabla2[[#This Row],[PLAZO Días]],"venc", "No venc")</f>
        <v>venc</v>
      </c>
      <c r="V635" t="str">
        <f>+IF(Tabla2[[#This Row],[FECHA DE PAGO]]&gt;0,"pagada","por pagar")</f>
        <v>pagada</v>
      </c>
      <c r="W635" s="152" t="str">
        <f>+IF(AND(Tabla2[[#This Row],[venc]]="venc",Tabla2[[#This Row],[Columna1]]="por pagar"),"vencida","no")</f>
        <v>no</v>
      </c>
    </row>
    <row r="636" spans="1:23" x14ac:dyDescent="0.3">
      <c r="A636">
        <v>90</v>
      </c>
      <c r="B636">
        <v>5541947.6899999995</v>
      </c>
      <c r="D636" t="s">
        <v>253</v>
      </c>
      <c r="E636" s="156">
        <v>44648</v>
      </c>
      <c r="F636" t="s">
        <v>12</v>
      </c>
      <c r="G636" s="156">
        <v>44551</v>
      </c>
      <c r="H636" t="s">
        <v>572</v>
      </c>
      <c r="I636">
        <v>7573109</v>
      </c>
      <c r="K636">
        <v>1438890.71</v>
      </c>
      <c r="M636">
        <v>0</v>
      </c>
      <c r="N636">
        <v>2.5000000000000001E-2</v>
      </c>
      <c r="O636">
        <v>189327.72500000001</v>
      </c>
      <c r="P636" s="117">
        <v>8822671.9850000013</v>
      </c>
      <c r="Q636" s="117" t="s">
        <v>1021</v>
      </c>
      <c r="R636" s="150">
        <v>0</v>
      </c>
      <c r="S636" s="117" t="b">
        <f>OR(COUNTIF(Tabla2[[#This Row],[PROVEEDOR]],"*"&amp;'Palabra no opera'!$A$2&amp;"*"))</f>
        <v>0</v>
      </c>
      <c r="T636" s="150">
        <f>+$W$5-Tabla2[[#This Row],[FECHA DE FACTURACIÓN]]</f>
        <v>283</v>
      </c>
      <c r="U636" t="str">
        <f>+IF(Tabla2[[#This Row],[dias de credito]]&gt;=Tabla2[[#This Row],[PLAZO Días]],"venc", "No venc")</f>
        <v>venc</v>
      </c>
      <c r="V636" t="str">
        <f>+IF(Tabla2[[#This Row],[FECHA DE PAGO]]&gt;0,"pagada","por pagar")</f>
        <v>pagada</v>
      </c>
      <c r="W636" s="152" t="str">
        <f>+IF(AND(Tabla2[[#This Row],[venc]]="venc",Tabla2[[#This Row],[Columna1]]="por pagar"),"vencida","no")</f>
        <v>no</v>
      </c>
    </row>
    <row r="637" spans="1:23" x14ac:dyDescent="0.3">
      <c r="A637">
        <v>30</v>
      </c>
      <c r="B637">
        <v>0</v>
      </c>
      <c r="D637">
        <v>0</v>
      </c>
      <c r="E637" s="156">
        <v>44644</v>
      </c>
      <c r="F637" t="s">
        <v>643</v>
      </c>
      <c r="G637" s="156">
        <v>44644</v>
      </c>
      <c r="H637">
        <v>101134</v>
      </c>
      <c r="I637">
        <v>255000</v>
      </c>
      <c r="K637">
        <v>0</v>
      </c>
      <c r="M637">
        <v>0</v>
      </c>
      <c r="N637">
        <v>0</v>
      </c>
      <c r="O637">
        <v>0</v>
      </c>
      <c r="P637" s="117">
        <v>255000</v>
      </c>
      <c r="Q637" s="117" t="s">
        <v>1021</v>
      </c>
      <c r="R637" s="150">
        <v>0</v>
      </c>
      <c r="S637" s="117" t="b">
        <f>OR(COUNTIF(Tabla2[[#This Row],[PROVEEDOR]],"*"&amp;'Palabra no opera'!$A$2&amp;"*"))</f>
        <v>0</v>
      </c>
      <c r="T637" s="150">
        <f>+$W$5-Tabla2[[#This Row],[FECHA DE FACTURACIÓN]]</f>
        <v>190</v>
      </c>
      <c r="U637" t="str">
        <f>+IF(Tabla2[[#This Row],[dias de credito]]&gt;=Tabla2[[#This Row],[PLAZO Días]],"venc", "No venc")</f>
        <v>venc</v>
      </c>
      <c r="V637" t="str">
        <f>+IF(Tabla2[[#This Row],[FECHA DE PAGO]]&gt;0,"pagada","por pagar")</f>
        <v>pagada</v>
      </c>
      <c r="W637" s="152" t="str">
        <f>+IF(AND(Tabla2[[#This Row],[venc]]="venc",Tabla2[[#This Row],[Columna1]]="por pagar"),"vencida","no")</f>
        <v>no</v>
      </c>
    </row>
    <row r="638" spans="1:23" x14ac:dyDescent="0.3">
      <c r="A638">
        <v>30</v>
      </c>
      <c r="B638">
        <v>0</v>
      </c>
      <c r="D638" t="s">
        <v>139</v>
      </c>
      <c r="E638" s="156">
        <v>44644</v>
      </c>
      <c r="F638" t="s">
        <v>638</v>
      </c>
      <c r="G638" s="156">
        <v>44643</v>
      </c>
      <c r="H638" t="s">
        <v>1580</v>
      </c>
      <c r="I638">
        <v>425600</v>
      </c>
      <c r="K638">
        <v>0</v>
      </c>
      <c r="M638">
        <v>0</v>
      </c>
      <c r="N638">
        <v>0</v>
      </c>
      <c r="O638">
        <v>0</v>
      </c>
      <c r="P638" s="117">
        <v>425600</v>
      </c>
      <c r="Q638" s="117" t="s">
        <v>1021</v>
      </c>
      <c r="R638" s="150">
        <v>0</v>
      </c>
      <c r="S638" s="117" t="b">
        <f>OR(COUNTIF(Tabla2[[#This Row],[PROVEEDOR]],"*"&amp;'Palabra no opera'!$A$2&amp;"*"))</f>
        <v>0</v>
      </c>
      <c r="T638" s="150">
        <f>+$W$5-Tabla2[[#This Row],[FECHA DE FACTURACIÓN]]</f>
        <v>191</v>
      </c>
      <c r="U638" t="str">
        <f>+IF(Tabla2[[#This Row],[dias de credito]]&gt;=Tabla2[[#This Row],[PLAZO Días]],"venc", "No venc")</f>
        <v>venc</v>
      </c>
      <c r="V638" t="str">
        <f>+IF(Tabla2[[#This Row],[FECHA DE PAGO]]&gt;0,"pagada","por pagar")</f>
        <v>pagada</v>
      </c>
      <c r="W638" s="152" t="str">
        <f>+IF(AND(Tabla2[[#This Row],[venc]]="venc",Tabla2[[#This Row],[Columna1]]="por pagar"),"vencida","no")</f>
        <v>no</v>
      </c>
    </row>
    <row r="639" spans="1:23" x14ac:dyDescent="0.3">
      <c r="A639">
        <v>30</v>
      </c>
      <c r="B639">
        <v>0</v>
      </c>
      <c r="D639" t="s">
        <v>290</v>
      </c>
      <c r="E639" s="156">
        <v>44644</v>
      </c>
      <c r="F639" t="s">
        <v>47</v>
      </c>
      <c r="G639" s="156">
        <v>44592</v>
      </c>
      <c r="H639" t="s">
        <v>735</v>
      </c>
      <c r="I639">
        <v>1609330</v>
      </c>
      <c r="K639">
        <v>305772.7</v>
      </c>
      <c r="M639">
        <v>0</v>
      </c>
      <c r="N639">
        <v>2.5000000000000001E-2</v>
      </c>
      <c r="O639">
        <v>40233.25</v>
      </c>
      <c r="P639" s="117">
        <v>1874869.45</v>
      </c>
      <c r="Q639" s="117" t="s">
        <v>1021</v>
      </c>
      <c r="R639" s="150">
        <v>0</v>
      </c>
      <c r="S639" s="117" t="b">
        <f>OR(COUNTIF(Tabla2[[#This Row],[PROVEEDOR]],"*"&amp;'Palabra no opera'!$A$2&amp;"*"))</f>
        <v>0</v>
      </c>
      <c r="T639" s="150">
        <f>+$W$5-Tabla2[[#This Row],[FECHA DE FACTURACIÓN]]</f>
        <v>242</v>
      </c>
      <c r="U639" t="str">
        <f>+IF(Tabla2[[#This Row],[dias de credito]]&gt;=Tabla2[[#This Row],[PLAZO Días]],"venc", "No venc")</f>
        <v>venc</v>
      </c>
      <c r="V639" t="str">
        <f>+IF(Tabla2[[#This Row],[FECHA DE PAGO]]&gt;0,"pagada","por pagar")</f>
        <v>pagada</v>
      </c>
      <c r="W639" s="152" t="str">
        <f>+IF(AND(Tabla2[[#This Row],[venc]]="venc",Tabla2[[#This Row],[Columna1]]="por pagar"),"vencida","no")</f>
        <v>no</v>
      </c>
    </row>
    <row r="640" spans="1:23" x14ac:dyDescent="0.3">
      <c r="A640">
        <v>30</v>
      </c>
      <c r="B640">
        <v>0</v>
      </c>
      <c r="D640" t="s">
        <v>139</v>
      </c>
      <c r="E640" s="156">
        <v>44643</v>
      </c>
      <c r="F640" t="s">
        <v>661</v>
      </c>
      <c r="G640" s="156">
        <v>44643</v>
      </c>
      <c r="H640" t="s">
        <v>664</v>
      </c>
      <c r="I640">
        <v>240000</v>
      </c>
      <c r="K640">
        <v>0</v>
      </c>
      <c r="M640">
        <v>0</v>
      </c>
      <c r="N640">
        <v>0</v>
      </c>
      <c r="O640">
        <v>0</v>
      </c>
      <c r="P640" s="117">
        <v>240000</v>
      </c>
      <c r="Q640" s="117" t="s">
        <v>1021</v>
      </c>
      <c r="R640" s="150">
        <v>0</v>
      </c>
      <c r="S640" s="117" t="b">
        <f>OR(COUNTIF(Tabla2[[#This Row],[PROVEEDOR]],"*"&amp;'Palabra no opera'!$A$2&amp;"*"))</f>
        <v>0</v>
      </c>
      <c r="T640" s="150">
        <f>+$W$5-Tabla2[[#This Row],[FECHA DE FACTURACIÓN]]</f>
        <v>191</v>
      </c>
      <c r="U640" t="str">
        <f>+IF(Tabla2[[#This Row],[dias de credito]]&gt;=Tabla2[[#This Row],[PLAZO Días]],"venc", "No venc")</f>
        <v>venc</v>
      </c>
      <c r="V640" t="str">
        <f>+IF(Tabla2[[#This Row],[FECHA DE PAGO]]&gt;0,"pagada","por pagar")</f>
        <v>pagada</v>
      </c>
      <c r="W640" s="152" t="str">
        <f>+IF(AND(Tabla2[[#This Row],[venc]]="venc",Tabla2[[#This Row],[Columna1]]="por pagar"),"vencida","no")</f>
        <v>no</v>
      </c>
    </row>
    <row r="641" spans="1:23" x14ac:dyDescent="0.3">
      <c r="A641">
        <v>30</v>
      </c>
      <c r="B641">
        <v>0</v>
      </c>
      <c r="D641" t="s">
        <v>139</v>
      </c>
      <c r="E641" s="156">
        <v>44643</v>
      </c>
      <c r="F641" t="s">
        <v>638</v>
      </c>
      <c r="G641" s="156">
        <v>44642</v>
      </c>
      <c r="H641" t="s">
        <v>641</v>
      </c>
      <c r="I641">
        <v>4891000</v>
      </c>
      <c r="K641">
        <v>0</v>
      </c>
      <c r="M641">
        <v>0</v>
      </c>
      <c r="N641">
        <v>0</v>
      </c>
      <c r="O641">
        <v>0</v>
      </c>
      <c r="P641" s="117">
        <v>4891000</v>
      </c>
      <c r="Q641" s="117" t="s">
        <v>1021</v>
      </c>
      <c r="R641" s="150">
        <v>0</v>
      </c>
      <c r="S641" s="117" t="b">
        <f>OR(COUNTIF(Tabla2[[#This Row],[PROVEEDOR]],"*"&amp;'Palabra no opera'!$A$2&amp;"*"))</f>
        <v>0</v>
      </c>
      <c r="T641" s="150">
        <f>+$W$5-Tabla2[[#This Row],[FECHA DE FACTURACIÓN]]</f>
        <v>192</v>
      </c>
      <c r="U641" t="str">
        <f>+IF(Tabla2[[#This Row],[dias de credito]]&gt;=Tabla2[[#This Row],[PLAZO Días]],"venc", "No venc")</f>
        <v>venc</v>
      </c>
      <c r="V641" t="str">
        <f>+IF(Tabla2[[#This Row],[FECHA DE PAGO]]&gt;0,"pagada","por pagar")</f>
        <v>pagada</v>
      </c>
      <c r="W641" s="152" t="str">
        <f>+IF(AND(Tabla2[[#This Row],[venc]]="venc",Tabla2[[#This Row],[Columna1]]="por pagar"),"vencida","no")</f>
        <v>no</v>
      </c>
    </row>
    <row r="642" spans="1:23" x14ac:dyDescent="0.3">
      <c r="A642">
        <v>30</v>
      </c>
      <c r="B642">
        <v>0</v>
      </c>
      <c r="D642" t="s">
        <v>139</v>
      </c>
      <c r="E642" s="156">
        <v>44643</v>
      </c>
      <c r="F642" t="s">
        <v>55</v>
      </c>
      <c r="G642" s="156">
        <v>44641</v>
      </c>
      <c r="H642">
        <v>56143</v>
      </c>
      <c r="I642">
        <v>10531000</v>
      </c>
      <c r="K642">
        <v>0</v>
      </c>
      <c r="M642">
        <v>0</v>
      </c>
      <c r="N642">
        <v>0</v>
      </c>
      <c r="O642">
        <v>0</v>
      </c>
      <c r="P642" s="117">
        <v>10531000</v>
      </c>
      <c r="Q642" s="117" t="s">
        <v>1021</v>
      </c>
      <c r="R642" s="150">
        <v>0</v>
      </c>
      <c r="S642" s="117" t="b">
        <f>OR(COUNTIF(Tabla2[[#This Row],[PROVEEDOR]],"*"&amp;'Palabra no opera'!$A$2&amp;"*"))</f>
        <v>0</v>
      </c>
      <c r="T642" s="150">
        <f>+$W$5-Tabla2[[#This Row],[FECHA DE FACTURACIÓN]]</f>
        <v>193</v>
      </c>
      <c r="U642" t="str">
        <f>+IF(Tabla2[[#This Row],[dias de credito]]&gt;=Tabla2[[#This Row],[PLAZO Días]],"venc", "No venc")</f>
        <v>venc</v>
      </c>
      <c r="V642" t="str">
        <f>+IF(Tabla2[[#This Row],[FECHA DE PAGO]]&gt;0,"pagada","por pagar")</f>
        <v>pagada</v>
      </c>
      <c r="W642" s="152" t="str">
        <f>+IF(AND(Tabla2[[#This Row],[venc]]="venc",Tabla2[[#This Row],[Columna1]]="por pagar"),"vencida","no")</f>
        <v>no</v>
      </c>
    </row>
    <row r="643" spans="1:23" x14ac:dyDescent="0.3">
      <c r="A643">
        <v>30</v>
      </c>
      <c r="B643">
        <v>27452.91</v>
      </c>
      <c r="D643" t="s">
        <v>949</v>
      </c>
      <c r="E643" s="156">
        <v>44643</v>
      </c>
      <c r="F643" t="s">
        <v>118</v>
      </c>
      <c r="G643" s="156">
        <v>44641</v>
      </c>
      <c r="H643" t="s">
        <v>948</v>
      </c>
      <c r="I643">
        <v>1793000</v>
      </c>
      <c r="K643">
        <v>0</v>
      </c>
      <c r="M643">
        <v>0</v>
      </c>
      <c r="N643">
        <v>0</v>
      </c>
      <c r="O643">
        <v>0</v>
      </c>
      <c r="P643" s="117">
        <v>1793000</v>
      </c>
      <c r="Q643" s="117" t="s">
        <v>1021</v>
      </c>
      <c r="R643" s="150">
        <v>0</v>
      </c>
      <c r="S643" s="117" t="b">
        <f>OR(COUNTIF(Tabla2[[#This Row],[PROVEEDOR]],"*"&amp;'Palabra no opera'!$A$2&amp;"*"))</f>
        <v>0</v>
      </c>
      <c r="T643" s="150">
        <f>+$W$5-Tabla2[[#This Row],[FECHA DE FACTURACIÓN]]</f>
        <v>193</v>
      </c>
      <c r="U643" t="str">
        <f>+IF(Tabla2[[#This Row],[dias de credito]]&gt;=Tabla2[[#This Row],[PLAZO Días]],"venc", "No venc")</f>
        <v>venc</v>
      </c>
      <c r="V643" t="str">
        <f>+IF(Tabla2[[#This Row],[FECHA DE PAGO]]&gt;0,"pagada","por pagar")</f>
        <v>pagada</v>
      </c>
      <c r="W643" s="152" t="str">
        <f>+IF(AND(Tabla2[[#This Row],[venc]]="venc",Tabla2[[#This Row],[Columna1]]="por pagar"),"vencida","no")</f>
        <v>no</v>
      </c>
    </row>
    <row r="644" spans="1:23" x14ac:dyDescent="0.3">
      <c r="A644">
        <v>90</v>
      </c>
      <c r="B644">
        <v>18086014.540000003</v>
      </c>
      <c r="D644" t="s">
        <v>271</v>
      </c>
      <c r="E644" s="156">
        <v>44643</v>
      </c>
      <c r="F644" t="s">
        <v>9</v>
      </c>
      <c r="G644" s="156">
        <v>44609</v>
      </c>
      <c r="H644" t="s">
        <v>762</v>
      </c>
      <c r="I644">
        <v>0</v>
      </c>
      <c r="K644">
        <v>0</v>
      </c>
      <c r="M644">
        <v>0</v>
      </c>
      <c r="N644">
        <v>0</v>
      </c>
      <c r="O644">
        <v>0</v>
      </c>
      <c r="P644" s="117">
        <v>-5000000</v>
      </c>
      <c r="Q644" s="117" t="s">
        <v>1021</v>
      </c>
      <c r="R644" s="150">
        <v>0</v>
      </c>
      <c r="S644" s="117" t="b">
        <f>OR(COUNTIF(Tabla2[[#This Row],[PROVEEDOR]],"*"&amp;'Palabra no opera'!$A$2&amp;"*"))</f>
        <v>0</v>
      </c>
      <c r="T644" s="150">
        <f>+$W$5-Tabla2[[#This Row],[FECHA DE FACTURACIÓN]]</f>
        <v>225</v>
      </c>
      <c r="U644" t="str">
        <f>+IF(Tabla2[[#This Row],[dias de credito]]&gt;=Tabla2[[#This Row],[PLAZO Días]],"venc", "No venc")</f>
        <v>venc</v>
      </c>
      <c r="V644" t="str">
        <f>+IF(Tabla2[[#This Row],[FECHA DE PAGO]]&gt;0,"pagada","por pagar")</f>
        <v>pagada</v>
      </c>
      <c r="W644" s="152" t="str">
        <f>+IF(AND(Tabla2[[#This Row],[venc]]="venc",Tabla2[[#This Row],[Columna1]]="por pagar"),"vencida","no")</f>
        <v>no</v>
      </c>
    </row>
    <row r="645" spans="1:23" x14ac:dyDescent="0.3">
      <c r="A645">
        <v>30</v>
      </c>
      <c r="B645">
        <v>5225000</v>
      </c>
      <c r="D645" t="s">
        <v>139</v>
      </c>
      <c r="E645" s="156">
        <v>44643</v>
      </c>
      <c r="F645" t="s">
        <v>629</v>
      </c>
      <c r="G645" s="156">
        <v>44594</v>
      </c>
      <c r="H645" t="s">
        <v>630</v>
      </c>
      <c r="I645">
        <v>1778500</v>
      </c>
      <c r="K645">
        <v>0</v>
      </c>
      <c r="M645">
        <v>0</v>
      </c>
      <c r="N645">
        <v>0</v>
      </c>
      <c r="O645">
        <v>0</v>
      </c>
      <c r="P645" s="117">
        <v>1778500</v>
      </c>
      <c r="Q645" s="117" t="s">
        <v>1021</v>
      </c>
      <c r="R645" s="150">
        <v>0</v>
      </c>
      <c r="S645" s="117" t="b">
        <f>OR(COUNTIF(Tabla2[[#This Row],[PROVEEDOR]],"*"&amp;'Palabra no opera'!$A$2&amp;"*"))</f>
        <v>0</v>
      </c>
      <c r="T645" s="150">
        <f>+$W$5-Tabla2[[#This Row],[FECHA DE FACTURACIÓN]]</f>
        <v>240</v>
      </c>
      <c r="U645" t="str">
        <f>+IF(Tabla2[[#This Row],[dias de credito]]&gt;=Tabla2[[#This Row],[PLAZO Días]],"venc", "No venc")</f>
        <v>venc</v>
      </c>
      <c r="V645" t="str">
        <f>+IF(Tabla2[[#This Row],[FECHA DE PAGO]]&gt;0,"pagada","por pagar")</f>
        <v>pagada</v>
      </c>
      <c r="W645" s="152" t="str">
        <f>+IF(AND(Tabla2[[#This Row],[venc]]="venc",Tabla2[[#This Row],[Columna1]]="por pagar"),"vencida","no")</f>
        <v>no</v>
      </c>
    </row>
    <row r="646" spans="1:23" x14ac:dyDescent="0.3">
      <c r="A646">
        <v>90</v>
      </c>
      <c r="B646">
        <v>18086014.540000003</v>
      </c>
      <c r="D646" t="s">
        <v>271</v>
      </c>
      <c r="E646" s="156">
        <v>44643</v>
      </c>
      <c r="F646" t="s">
        <v>9</v>
      </c>
      <c r="G646" s="156">
        <v>44539</v>
      </c>
      <c r="H646">
        <v>73279</v>
      </c>
      <c r="I646">
        <v>25587085</v>
      </c>
      <c r="K646">
        <v>4861546.1500000004</v>
      </c>
      <c r="M646">
        <v>0</v>
      </c>
      <c r="N646">
        <v>2.5000000000000001E-2</v>
      </c>
      <c r="O646">
        <v>639677.125</v>
      </c>
      <c r="P646" s="117">
        <v>29808954.024999999</v>
      </c>
      <c r="Q646" s="117" t="s">
        <v>1021</v>
      </c>
      <c r="R646" s="150">
        <v>0</v>
      </c>
      <c r="S646" s="117" t="b">
        <f>OR(COUNTIF(Tabla2[[#This Row],[PROVEEDOR]],"*"&amp;'Palabra no opera'!$A$2&amp;"*"))</f>
        <v>0</v>
      </c>
      <c r="T646" s="150">
        <f>+$W$5-Tabla2[[#This Row],[FECHA DE FACTURACIÓN]]</f>
        <v>295</v>
      </c>
      <c r="U646" t="str">
        <f>+IF(Tabla2[[#This Row],[dias de credito]]&gt;=Tabla2[[#This Row],[PLAZO Días]],"venc", "No venc")</f>
        <v>venc</v>
      </c>
      <c r="V646" t="str">
        <f>+IF(Tabla2[[#This Row],[FECHA DE PAGO]]&gt;0,"pagada","por pagar")</f>
        <v>pagada</v>
      </c>
      <c r="W646" s="152" t="str">
        <f>+IF(AND(Tabla2[[#This Row],[venc]]="venc",Tabla2[[#This Row],[Columna1]]="por pagar"),"vencida","no")</f>
        <v>no</v>
      </c>
    </row>
    <row r="647" spans="1:23" x14ac:dyDescent="0.3">
      <c r="A647">
        <v>30</v>
      </c>
      <c r="B647">
        <v>749999.88</v>
      </c>
      <c r="D647" t="s">
        <v>249</v>
      </c>
      <c r="E647" s="156">
        <v>44642</v>
      </c>
      <c r="F647" t="s">
        <v>49</v>
      </c>
      <c r="G647" s="156">
        <v>44610</v>
      </c>
      <c r="H647">
        <v>6049</v>
      </c>
      <c r="I647">
        <v>840336</v>
      </c>
      <c r="K647">
        <v>159663.84</v>
      </c>
      <c r="M647">
        <v>0</v>
      </c>
      <c r="N647">
        <v>0</v>
      </c>
      <c r="O647">
        <v>0</v>
      </c>
      <c r="P647" s="117">
        <v>999999.84</v>
      </c>
      <c r="Q647" s="117" t="s">
        <v>1021</v>
      </c>
      <c r="R647" s="150">
        <v>0</v>
      </c>
      <c r="S647" s="117" t="b">
        <f>OR(COUNTIF(Tabla2[[#This Row],[PROVEEDOR]],"*"&amp;'Palabra no opera'!$A$2&amp;"*"))</f>
        <v>0</v>
      </c>
      <c r="T647" s="150">
        <f>+$W$5-Tabla2[[#This Row],[FECHA DE FACTURACIÓN]]</f>
        <v>224</v>
      </c>
      <c r="U647" t="str">
        <f>+IF(Tabla2[[#This Row],[dias de credito]]&gt;=Tabla2[[#This Row],[PLAZO Días]],"venc", "No venc")</f>
        <v>venc</v>
      </c>
      <c r="V647" t="str">
        <f>+IF(Tabla2[[#This Row],[FECHA DE PAGO]]&gt;0,"pagada","por pagar")</f>
        <v>pagada</v>
      </c>
      <c r="W647" s="152" t="str">
        <f>+IF(AND(Tabla2[[#This Row],[venc]]="venc",Tabla2[[#This Row],[Columna1]]="por pagar"),"vencida","no")</f>
        <v>no</v>
      </c>
    </row>
    <row r="648" spans="1:23" x14ac:dyDescent="0.3">
      <c r="A648">
        <v>30</v>
      </c>
      <c r="B648">
        <v>146262.9</v>
      </c>
      <c r="D648" t="s">
        <v>262</v>
      </c>
      <c r="E648" s="156">
        <v>44642</v>
      </c>
      <c r="F648" t="s">
        <v>17</v>
      </c>
      <c r="G648" s="156">
        <v>44610</v>
      </c>
      <c r="H648">
        <v>1878591</v>
      </c>
      <c r="I648">
        <v>1415605.8</v>
      </c>
      <c r="K648">
        <v>268965.10200000001</v>
      </c>
      <c r="M648">
        <v>0</v>
      </c>
      <c r="N648">
        <v>0</v>
      </c>
      <c r="O648">
        <v>0</v>
      </c>
      <c r="P648" s="117">
        <v>1415605.8</v>
      </c>
      <c r="Q648" s="117" t="s">
        <v>1021</v>
      </c>
      <c r="R648" s="150">
        <v>0</v>
      </c>
      <c r="S648" s="117" t="b">
        <f>OR(COUNTIF(Tabla2[[#This Row],[PROVEEDOR]],"*"&amp;'Palabra no opera'!$A$2&amp;"*"))</f>
        <v>0</v>
      </c>
      <c r="T648" s="150">
        <f>+$W$5-Tabla2[[#This Row],[FECHA DE FACTURACIÓN]]</f>
        <v>224</v>
      </c>
      <c r="U648" t="str">
        <f>+IF(Tabla2[[#This Row],[dias de credito]]&gt;=Tabla2[[#This Row],[PLAZO Días]],"venc", "No venc")</f>
        <v>venc</v>
      </c>
      <c r="V648" t="str">
        <f>+IF(Tabla2[[#This Row],[FECHA DE PAGO]]&gt;0,"pagada","por pagar")</f>
        <v>pagada</v>
      </c>
      <c r="W648" s="152" t="str">
        <f>+IF(AND(Tabla2[[#This Row],[venc]]="venc",Tabla2[[#This Row],[Columna1]]="por pagar"),"vencida","no")</f>
        <v>no</v>
      </c>
    </row>
    <row r="649" spans="1:23" x14ac:dyDescent="0.3">
      <c r="A649">
        <v>30</v>
      </c>
      <c r="B649">
        <v>0</v>
      </c>
      <c r="D649" t="s">
        <v>141</v>
      </c>
      <c r="E649" s="156">
        <v>44638</v>
      </c>
      <c r="F649" t="s">
        <v>935</v>
      </c>
      <c r="G649" s="156">
        <v>44621</v>
      </c>
      <c r="I649">
        <v>326243</v>
      </c>
      <c r="K649">
        <v>0</v>
      </c>
      <c r="M649">
        <v>0</v>
      </c>
      <c r="N649">
        <v>0</v>
      </c>
      <c r="O649">
        <v>0</v>
      </c>
      <c r="P649" s="117">
        <v>326243</v>
      </c>
      <c r="Q649" s="117" t="s">
        <v>1021</v>
      </c>
      <c r="R649" s="150">
        <v>0</v>
      </c>
      <c r="S649" s="117" t="b">
        <f>OR(COUNTIF(Tabla2[[#This Row],[PROVEEDOR]],"*"&amp;'Palabra no opera'!$A$2&amp;"*"))</f>
        <v>1</v>
      </c>
      <c r="T649" s="150">
        <f>+$W$5-Tabla2[[#This Row],[FECHA DE FACTURACIÓN]]</f>
        <v>213</v>
      </c>
      <c r="U649" t="str">
        <f>+IF(Tabla2[[#This Row],[dias de credito]]&gt;=Tabla2[[#This Row],[PLAZO Días]],"venc", "No venc")</f>
        <v>venc</v>
      </c>
      <c r="V649" t="str">
        <f>+IF(Tabla2[[#This Row],[FECHA DE PAGO]]&gt;0,"pagada","por pagar")</f>
        <v>pagada</v>
      </c>
      <c r="W649" s="152" t="str">
        <f>+IF(AND(Tabla2[[#This Row],[venc]]="venc",Tabla2[[#This Row],[Columna1]]="por pagar"),"vencida","no")</f>
        <v>no</v>
      </c>
    </row>
    <row r="650" spans="1:23" x14ac:dyDescent="0.3">
      <c r="A650">
        <v>60</v>
      </c>
      <c r="B650">
        <v>8889300</v>
      </c>
      <c r="D650">
        <v>0</v>
      </c>
      <c r="E650" s="156">
        <v>44638</v>
      </c>
      <c r="F650" t="s">
        <v>1429</v>
      </c>
      <c r="G650" s="156">
        <v>44550</v>
      </c>
      <c r="H650" t="s">
        <v>731</v>
      </c>
      <c r="I650">
        <v>6258400</v>
      </c>
      <c r="K650">
        <v>1189096</v>
      </c>
      <c r="M650">
        <v>0</v>
      </c>
      <c r="N650">
        <v>0</v>
      </c>
      <c r="O650">
        <v>0</v>
      </c>
      <c r="P650" s="117">
        <v>7291036</v>
      </c>
      <c r="Q650" s="117" t="s">
        <v>1021</v>
      </c>
      <c r="R650" s="150">
        <v>0</v>
      </c>
      <c r="S650" s="117" t="b">
        <f>OR(COUNTIF(Tabla2[[#This Row],[PROVEEDOR]],"*"&amp;'Palabra no opera'!$A$2&amp;"*"))</f>
        <v>1</v>
      </c>
      <c r="T650" s="150">
        <f>+$W$5-Tabla2[[#This Row],[FECHA DE FACTURACIÓN]]</f>
        <v>284</v>
      </c>
      <c r="U650" t="str">
        <f>+IF(Tabla2[[#This Row],[dias de credito]]&gt;=Tabla2[[#This Row],[PLAZO Días]],"venc", "No venc")</f>
        <v>venc</v>
      </c>
      <c r="V650" t="str">
        <f>+IF(Tabla2[[#This Row],[FECHA DE PAGO]]&gt;0,"pagada","por pagar")</f>
        <v>pagada</v>
      </c>
      <c r="W650" s="152" t="str">
        <f>+IF(AND(Tabla2[[#This Row],[venc]]="venc",Tabla2[[#This Row],[Columna1]]="por pagar"),"vencida","no")</f>
        <v>no</v>
      </c>
    </row>
    <row r="651" spans="1:23" x14ac:dyDescent="0.3">
      <c r="A651">
        <v>30</v>
      </c>
      <c r="B651">
        <v>0</v>
      </c>
      <c r="D651">
        <v>0</v>
      </c>
      <c r="E651" s="156">
        <v>44637</v>
      </c>
      <c r="F651" t="s">
        <v>643</v>
      </c>
      <c r="G651" s="156">
        <v>44637</v>
      </c>
      <c r="H651" t="s">
        <v>1579</v>
      </c>
      <c r="I651">
        <v>564000</v>
      </c>
      <c r="K651">
        <v>0</v>
      </c>
      <c r="M651">
        <v>0</v>
      </c>
      <c r="N651">
        <v>0</v>
      </c>
      <c r="O651">
        <v>0</v>
      </c>
      <c r="P651" s="117">
        <v>564000</v>
      </c>
      <c r="Q651" s="117" t="s">
        <v>1021</v>
      </c>
      <c r="R651" s="150">
        <v>0</v>
      </c>
      <c r="S651" s="117" t="b">
        <f>OR(COUNTIF(Tabla2[[#This Row],[PROVEEDOR]],"*"&amp;'Palabra no opera'!$A$2&amp;"*"))</f>
        <v>0</v>
      </c>
      <c r="T651" s="150">
        <f>+$W$5-Tabla2[[#This Row],[FECHA DE FACTURACIÓN]]</f>
        <v>197</v>
      </c>
      <c r="U651" t="str">
        <f>+IF(Tabla2[[#This Row],[dias de credito]]&gt;=Tabla2[[#This Row],[PLAZO Días]],"venc", "No venc")</f>
        <v>venc</v>
      </c>
      <c r="V651" t="str">
        <f>+IF(Tabla2[[#This Row],[FECHA DE PAGO]]&gt;0,"pagada","por pagar")</f>
        <v>pagada</v>
      </c>
      <c r="W651" s="152" t="str">
        <f>+IF(AND(Tabla2[[#This Row],[venc]]="venc",Tabla2[[#This Row],[Columna1]]="por pagar"),"vencida","no")</f>
        <v>no</v>
      </c>
    </row>
    <row r="652" spans="1:23" x14ac:dyDescent="0.3">
      <c r="A652">
        <v>30</v>
      </c>
      <c r="B652">
        <v>0</v>
      </c>
      <c r="D652" t="s">
        <v>547</v>
      </c>
      <c r="E652" s="156">
        <v>44637</v>
      </c>
      <c r="F652" t="s">
        <v>905</v>
      </c>
      <c r="G652" s="156">
        <v>44588</v>
      </c>
      <c r="H652" t="s">
        <v>709</v>
      </c>
      <c r="I652">
        <v>7179945</v>
      </c>
      <c r="K652">
        <v>1364189.55</v>
      </c>
      <c r="M652">
        <v>0</v>
      </c>
      <c r="N652">
        <v>0</v>
      </c>
      <c r="O652">
        <v>0</v>
      </c>
      <c r="P652" s="117">
        <v>8544134.5500000007</v>
      </c>
      <c r="Q652" s="117" t="s">
        <v>1021</v>
      </c>
      <c r="R652" s="150">
        <v>0</v>
      </c>
      <c r="S652" s="117" t="b">
        <f>OR(COUNTIF(Tabla2[[#This Row],[PROVEEDOR]],"*"&amp;'Palabra no opera'!$A$2&amp;"*"))</f>
        <v>1</v>
      </c>
      <c r="T652" s="150">
        <f>+$W$5-Tabla2[[#This Row],[FECHA DE FACTURACIÓN]]</f>
        <v>246</v>
      </c>
      <c r="U652" t="str">
        <f>+IF(Tabla2[[#This Row],[dias de credito]]&gt;=Tabla2[[#This Row],[PLAZO Días]],"venc", "No venc")</f>
        <v>venc</v>
      </c>
      <c r="V652" t="str">
        <f>+IF(Tabla2[[#This Row],[FECHA DE PAGO]]&gt;0,"pagada","por pagar")</f>
        <v>pagada</v>
      </c>
      <c r="W652" s="152" t="str">
        <f>+IF(AND(Tabla2[[#This Row],[venc]]="venc",Tabla2[[#This Row],[Columna1]]="por pagar"),"vencida","no")</f>
        <v>no</v>
      </c>
    </row>
    <row r="653" spans="1:23" x14ac:dyDescent="0.3">
      <c r="A653">
        <v>45</v>
      </c>
      <c r="B653">
        <v>30078253.170000002</v>
      </c>
      <c r="D653" t="s">
        <v>884</v>
      </c>
      <c r="E653" s="156">
        <v>44637</v>
      </c>
      <c r="F653" t="s">
        <v>19</v>
      </c>
      <c r="G653" s="156">
        <v>44588</v>
      </c>
      <c r="H653" t="s">
        <v>752</v>
      </c>
      <c r="I653">
        <v>11068800</v>
      </c>
      <c r="K653">
        <v>2103072</v>
      </c>
      <c r="M653">
        <v>0</v>
      </c>
      <c r="N653">
        <v>0</v>
      </c>
      <c r="O653">
        <v>0</v>
      </c>
      <c r="P653" s="117">
        <v>13171872</v>
      </c>
      <c r="Q653" s="117" t="s">
        <v>1021</v>
      </c>
      <c r="R653" s="150">
        <v>0</v>
      </c>
      <c r="S653" s="117" t="b">
        <f>OR(COUNTIF(Tabla2[[#This Row],[PROVEEDOR]],"*"&amp;'Palabra no opera'!$A$2&amp;"*"))</f>
        <v>0</v>
      </c>
      <c r="T653" s="150">
        <f>+$W$5-Tabla2[[#This Row],[FECHA DE FACTURACIÓN]]</f>
        <v>246</v>
      </c>
      <c r="U653" t="str">
        <f>+IF(Tabla2[[#This Row],[dias de credito]]&gt;=Tabla2[[#This Row],[PLAZO Días]],"venc", "No venc")</f>
        <v>venc</v>
      </c>
      <c r="V653" t="str">
        <f>+IF(Tabla2[[#This Row],[FECHA DE PAGO]]&gt;0,"pagada","por pagar")</f>
        <v>pagada</v>
      </c>
      <c r="W653" s="152" t="str">
        <f>+IF(AND(Tabla2[[#This Row],[venc]]="venc",Tabla2[[#This Row],[Columna1]]="por pagar"),"vencida","no")</f>
        <v>no</v>
      </c>
    </row>
    <row r="654" spans="1:23" x14ac:dyDescent="0.3">
      <c r="A654">
        <v>30</v>
      </c>
      <c r="B654">
        <v>0</v>
      </c>
      <c r="D654">
        <v>0</v>
      </c>
      <c r="E654" s="156">
        <v>44636</v>
      </c>
      <c r="F654" t="s">
        <v>758</v>
      </c>
      <c r="G654" s="156">
        <v>44635</v>
      </c>
      <c r="H654" t="s">
        <v>759</v>
      </c>
      <c r="I654">
        <v>1573500.6</v>
      </c>
      <c r="K654">
        <v>298965.114</v>
      </c>
      <c r="M654">
        <v>0</v>
      </c>
      <c r="N654">
        <v>2.5000000000000001E-2</v>
      </c>
      <c r="O654">
        <v>39337.515000000007</v>
      </c>
      <c r="P654" s="117">
        <v>1833128.1990000003</v>
      </c>
      <c r="Q654" s="117" t="s">
        <v>1021</v>
      </c>
      <c r="R654" s="150">
        <v>0</v>
      </c>
      <c r="S654" s="117" t="b">
        <f>OR(COUNTIF(Tabla2[[#This Row],[PROVEEDOR]],"*"&amp;'Palabra no opera'!$A$2&amp;"*"))</f>
        <v>0</v>
      </c>
      <c r="T654" s="150">
        <f>+$W$5-Tabla2[[#This Row],[FECHA DE FACTURACIÓN]]</f>
        <v>199</v>
      </c>
      <c r="U654" t="str">
        <f>+IF(Tabla2[[#This Row],[dias de credito]]&gt;=Tabla2[[#This Row],[PLAZO Días]],"venc", "No venc")</f>
        <v>venc</v>
      </c>
      <c r="V654" t="str">
        <f>+IF(Tabla2[[#This Row],[FECHA DE PAGO]]&gt;0,"pagada","por pagar")</f>
        <v>pagada</v>
      </c>
      <c r="W654" s="152" t="str">
        <f>+IF(AND(Tabla2[[#This Row],[venc]]="venc",Tabla2[[#This Row],[Columna1]]="por pagar"),"vencida","no")</f>
        <v>no</v>
      </c>
    </row>
    <row r="655" spans="1:23" x14ac:dyDescent="0.3">
      <c r="A655">
        <v>30</v>
      </c>
      <c r="B655">
        <v>2111011.8149999999</v>
      </c>
      <c r="D655" t="s">
        <v>251</v>
      </c>
      <c r="E655" s="156">
        <v>44636</v>
      </c>
      <c r="F655" t="s">
        <v>216</v>
      </c>
      <c r="G655" s="156">
        <v>44551</v>
      </c>
      <c r="H655">
        <v>458</v>
      </c>
      <c r="I655">
        <v>1281933</v>
      </c>
      <c r="K655">
        <v>243567.27</v>
      </c>
      <c r="M655">
        <v>0</v>
      </c>
      <c r="N655">
        <v>2.5000000000000001E-2</v>
      </c>
      <c r="O655">
        <v>32048.325000000001</v>
      </c>
      <c r="P655" s="117">
        <v>1493451.9450000001</v>
      </c>
      <c r="Q655" s="117" t="s">
        <v>1021</v>
      </c>
      <c r="R655" s="150">
        <v>0</v>
      </c>
      <c r="S655" s="117" t="b">
        <f>OR(COUNTIF(Tabla2[[#This Row],[PROVEEDOR]],"*"&amp;'Palabra no opera'!$A$2&amp;"*"))</f>
        <v>0</v>
      </c>
      <c r="T655" s="150">
        <f>+$W$5-Tabla2[[#This Row],[FECHA DE FACTURACIÓN]]</f>
        <v>283</v>
      </c>
      <c r="U655" t="str">
        <f>+IF(Tabla2[[#This Row],[dias de credito]]&gt;=Tabla2[[#This Row],[PLAZO Días]],"venc", "No venc")</f>
        <v>venc</v>
      </c>
      <c r="V655" t="str">
        <f>+IF(Tabla2[[#This Row],[FECHA DE PAGO]]&gt;0,"pagada","por pagar")</f>
        <v>pagada</v>
      </c>
      <c r="W655" s="152" t="str">
        <f>+IF(AND(Tabla2[[#This Row],[venc]]="venc",Tabla2[[#This Row],[Columna1]]="por pagar"),"vencida","no")</f>
        <v>no</v>
      </c>
    </row>
    <row r="656" spans="1:23" x14ac:dyDescent="0.3">
      <c r="A656">
        <v>30</v>
      </c>
      <c r="B656">
        <v>0</v>
      </c>
      <c r="D656" t="s">
        <v>250</v>
      </c>
      <c r="E656" s="156">
        <v>44635</v>
      </c>
      <c r="F656" t="s">
        <v>1450</v>
      </c>
      <c r="G656" s="156">
        <v>44627</v>
      </c>
      <c r="H656">
        <v>330</v>
      </c>
      <c r="I656">
        <v>359500</v>
      </c>
      <c r="K656">
        <v>0</v>
      </c>
      <c r="M656">
        <v>0</v>
      </c>
      <c r="N656">
        <v>0</v>
      </c>
      <c r="O656">
        <v>0</v>
      </c>
      <c r="P656" s="117">
        <v>359500</v>
      </c>
      <c r="Q656" s="117" t="s">
        <v>1021</v>
      </c>
      <c r="R656" s="150">
        <v>0</v>
      </c>
      <c r="S656" s="117" t="b">
        <f>OR(COUNTIF(Tabla2[[#This Row],[PROVEEDOR]],"*"&amp;'Palabra no opera'!$A$2&amp;"*"))</f>
        <v>0</v>
      </c>
      <c r="T656" s="150">
        <f>+$W$5-Tabla2[[#This Row],[FECHA DE FACTURACIÓN]]</f>
        <v>207</v>
      </c>
      <c r="U656" t="str">
        <f>+IF(Tabla2[[#This Row],[dias de credito]]&gt;=Tabla2[[#This Row],[PLAZO Días]],"venc", "No venc")</f>
        <v>venc</v>
      </c>
      <c r="V656" t="str">
        <f>+IF(Tabla2[[#This Row],[FECHA DE PAGO]]&gt;0,"pagada","por pagar")</f>
        <v>pagada</v>
      </c>
      <c r="W656" s="152" t="str">
        <f>+IF(AND(Tabla2[[#This Row],[venc]]="venc",Tabla2[[#This Row],[Columna1]]="por pagar"),"vencida","no")</f>
        <v>no</v>
      </c>
    </row>
    <row r="657" spans="1:23" x14ac:dyDescent="0.3">
      <c r="A657">
        <v>30</v>
      </c>
      <c r="B657">
        <v>0</v>
      </c>
      <c r="D657" t="s">
        <v>250</v>
      </c>
      <c r="E657" s="156">
        <v>44635</v>
      </c>
      <c r="F657" t="s">
        <v>1451</v>
      </c>
      <c r="G657" s="156">
        <v>44627</v>
      </c>
      <c r="H657">
        <v>211</v>
      </c>
      <c r="I657">
        <v>359500</v>
      </c>
      <c r="K657">
        <v>0</v>
      </c>
      <c r="M657">
        <v>0</v>
      </c>
      <c r="N657">
        <v>0.01</v>
      </c>
      <c r="O657">
        <v>3595</v>
      </c>
      <c r="P657" s="117">
        <v>359500</v>
      </c>
      <c r="Q657" s="117" t="s">
        <v>1021</v>
      </c>
      <c r="R657" s="150">
        <v>0</v>
      </c>
      <c r="S657" s="117" t="b">
        <f>OR(COUNTIF(Tabla2[[#This Row],[PROVEEDOR]],"*"&amp;'Palabra no opera'!$A$2&amp;"*"))</f>
        <v>0</v>
      </c>
      <c r="T657" s="150">
        <f>+$W$5-Tabla2[[#This Row],[FECHA DE FACTURACIÓN]]</f>
        <v>207</v>
      </c>
      <c r="U657" t="str">
        <f>+IF(Tabla2[[#This Row],[dias de credito]]&gt;=Tabla2[[#This Row],[PLAZO Días]],"venc", "No venc")</f>
        <v>venc</v>
      </c>
      <c r="V657" t="str">
        <f>+IF(Tabla2[[#This Row],[FECHA DE PAGO]]&gt;0,"pagada","por pagar")</f>
        <v>pagada</v>
      </c>
      <c r="W657" s="152" t="str">
        <f>+IF(AND(Tabla2[[#This Row],[venc]]="venc",Tabla2[[#This Row],[Columna1]]="por pagar"),"vencida","no")</f>
        <v>no</v>
      </c>
    </row>
    <row r="658" spans="1:23" x14ac:dyDescent="0.3">
      <c r="A658">
        <v>30</v>
      </c>
      <c r="B658">
        <v>8190204</v>
      </c>
      <c r="D658" t="s">
        <v>263</v>
      </c>
      <c r="E658" s="156">
        <v>44635</v>
      </c>
      <c r="F658" t="s">
        <v>1637</v>
      </c>
      <c r="G658" s="156">
        <v>44614</v>
      </c>
      <c r="H658" t="s">
        <v>754</v>
      </c>
      <c r="I658">
        <v>-258607</v>
      </c>
      <c r="K658">
        <v>-49135.33</v>
      </c>
      <c r="M658">
        <v>0</v>
      </c>
      <c r="N658">
        <v>0</v>
      </c>
      <c r="O658">
        <v>0</v>
      </c>
      <c r="P658" s="117">
        <v>-258607</v>
      </c>
      <c r="Q658" s="117" t="s">
        <v>1021</v>
      </c>
      <c r="R658" s="150">
        <v>0</v>
      </c>
      <c r="S658" s="117" t="b">
        <f>OR(COUNTIF(Tabla2[[#This Row],[PROVEEDOR]],"*"&amp;'Palabra no opera'!$A$2&amp;"*"))</f>
        <v>0</v>
      </c>
      <c r="T658" s="150">
        <f>+$W$5-Tabla2[[#This Row],[FECHA DE FACTURACIÓN]]</f>
        <v>220</v>
      </c>
      <c r="U658" t="str">
        <f>+IF(Tabla2[[#This Row],[dias de credito]]&gt;=Tabla2[[#This Row],[PLAZO Días]],"venc", "No venc")</f>
        <v>venc</v>
      </c>
      <c r="V658" t="str">
        <f>+IF(Tabla2[[#This Row],[FECHA DE PAGO]]&gt;0,"pagada","por pagar")</f>
        <v>pagada</v>
      </c>
      <c r="W658" s="152" t="str">
        <f>+IF(AND(Tabla2[[#This Row],[venc]]="venc",Tabla2[[#This Row],[Columna1]]="por pagar"),"vencida","no")</f>
        <v>no</v>
      </c>
    </row>
    <row r="659" spans="1:23" x14ac:dyDescent="0.3">
      <c r="A659">
        <v>30</v>
      </c>
      <c r="B659">
        <v>6259125.5999999996</v>
      </c>
      <c r="D659" t="s">
        <v>264</v>
      </c>
      <c r="E659" s="156">
        <v>44635</v>
      </c>
      <c r="F659" t="s">
        <v>1448</v>
      </c>
      <c r="G659" s="156">
        <v>44601</v>
      </c>
      <c r="H659">
        <v>27066</v>
      </c>
      <c r="I659">
        <v>3840000</v>
      </c>
      <c r="K659">
        <v>729600</v>
      </c>
      <c r="M659">
        <v>0</v>
      </c>
      <c r="N659">
        <v>2.5000000000000001E-2</v>
      </c>
      <c r="O659">
        <v>96000</v>
      </c>
      <c r="P659" s="117">
        <v>4473600</v>
      </c>
      <c r="Q659" s="117" t="s">
        <v>1021</v>
      </c>
      <c r="R659" s="150">
        <v>0</v>
      </c>
      <c r="S659" s="117" t="b">
        <f>OR(COUNTIF(Tabla2[[#This Row],[PROVEEDOR]],"*"&amp;'Palabra no opera'!$A$2&amp;"*"))</f>
        <v>0</v>
      </c>
      <c r="T659" s="150">
        <f>+$W$5-Tabla2[[#This Row],[FECHA DE FACTURACIÓN]]</f>
        <v>233</v>
      </c>
      <c r="U659" t="str">
        <f>+IF(Tabla2[[#This Row],[dias de credito]]&gt;=Tabla2[[#This Row],[PLAZO Días]],"venc", "No venc")</f>
        <v>venc</v>
      </c>
      <c r="V659" t="str">
        <f>+IF(Tabla2[[#This Row],[FECHA DE PAGO]]&gt;0,"pagada","por pagar")</f>
        <v>pagada</v>
      </c>
      <c r="W659" s="152" t="str">
        <f>+IF(AND(Tabla2[[#This Row],[venc]]="venc",Tabla2[[#This Row],[Columna1]]="por pagar"),"vencida","no")</f>
        <v>no</v>
      </c>
    </row>
    <row r="660" spans="1:23" x14ac:dyDescent="0.3">
      <c r="A660">
        <v>30</v>
      </c>
      <c r="B660">
        <v>8190204</v>
      </c>
      <c r="D660" t="s">
        <v>263</v>
      </c>
      <c r="E660" s="156">
        <v>44635</v>
      </c>
      <c r="F660" t="s">
        <v>1637</v>
      </c>
      <c r="G660" s="156">
        <v>44589</v>
      </c>
      <c r="H660">
        <v>24466</v>
      </c>
      <c r="I660">
        <v>384000</v>
      </c>
      <c r="K660">
        <v>72960</v>
      </c>
      <c r="M660">
        <v>0</v>
      </c>
      <c r="N660">
        <v>0</v>
      </c>
      <c r="O660">
        <v>0</v>
      </c>
      <c r="P660" s="117">
        <v>456960</v>
      </c>
      <c r="Q660" s="117" t="s">
        <v>1021</v>
      </c>
      <c r="R660" s="150">
        <v>0</v>
      </c>
      <c r="S660" s="117" t="b">
        <f>OR(COUNTIF(Tabla2[[#This Row],[PROVEEDOR]],"*"&amp;'Palabra no opera'!$A$2&amp;"*"))</f>
        <v>0</v>
      </c>
      <c r="T660" s="150">
        <f>+$W$5-Tabla2[[#This Row],[FECHA DE FACTURACIÓN]]</f>
        <v>245</v>
      </c>
      <c r="U660" t="str">
        <f>+IF(Tabla2[[#This Row],[dias de credito]]&gt;=Tabla2[[#This Row],[PLAZO Días]],"venc", "No venc")</f>
        <v>venc</v>
      </c>
      <c r="V660" t="str">
        <f>+IF(Tabla2[[#This Row],[FECHA DE PAGO]]&gt;0,"pagada","por pagar")</f>
        <v>pagada</v>
      </c>
      <c r="W660" s="152" t="str">
        <f>+IF(AND(Tabla2[[#This Row],[venc]]="venc",Tabla2[[#This Row],[Columna1]]="por pagar"),"vencida","no")</f>
        <v>no</v>
      </c>
    </row>
    <row r="661" spans="1:23" x14ac:dyDescent="0.3">
      <c r="A661">
        <v>30</v>
      </c>
      <c r="B661">
        <v>4656887.12</v>
      </c>
      <c r="D661" t="s">
        <v>170</v>
      </c>
      <c r="E661" s="156">
        <v>44635</v>
      </c>
      <c r="F661" t="s">
        <v>20</v>
      </c>
      <c r="G661" s="156">
        <v>44588</v>
      </c>
      <c r="H661">
        <v>6152</v>
      </c>
      <c r="I661">
        <v>1591200</v>
      </c>
      <c r="K661">
        <v>302328</v>
      </c>
      <c r="M661">
        <v>0</v>
      </c>
      <c r="N661">
        <v>2.5000000000000001E-2</v>
      </c>
      <c r="O661">
        <v>39780</v>
      </c>
      <c r="P661" s="117">
        <v>1853748</v>
      </c>
      <c r="Q661" s="117" t="s">
        <v>1021</v>
      </c>
      <c r="R661" s="150">
        <v>0</v>
      </c>
      <c r="S661" s="117" t="b">
        <f>OR(COUNTIF(Tabla2[[#This Row],[PROVEEDOR]],"*"&amp;'Palabra no opera'!$A$2&amp;"*"))</f>
        <v>0</v>
      </c>
      <c r="T661" s="150">
        <f>+$W$5-Tabla2[[#This Row],[FECHA DE FACTURACIÓN]]</f>
        <v>246</v>
      </c>
      <c r="U661" t="str">
        <f>+IF(Tabla2[[#This Row],[dias de credito]]&gt;=Tabla2[[#This Row],[PLAZO Días]],"venc", "No venc")</f>
        <v>venc</v>
      </c>
      <c r="V661" t="str">
        <f>+IF(Tabla2[[#This Row],[FECHA DE PAGO]]&gt;0,"pagada","por pagar")</f>
        <v>pagada</v>
      </c>
      <c r="W661" s="152" t="str">
        <f>+IF(AND(Tabla2[[#This Row],[venc]]="venc",Tabla2[[#This Row],[Columna1]]="por pagar"),"vencida","no")</f>
        <v>no</v>
      </c>
    </row>
    <row r="662" spans="1:23" x14ac:dyDescent="0.3">
      <c r="A662">
        <v>30</v>
      </c>
      <c r="B662">
        <v>0</v>
      </c>
      <c r="D662" t="s">
        <v>277</v>
      </c>
      <c r="E662" s="156">
        <v>44635</v>
      </c>
      <c r="F662" t="s">
        <v>131</v>
      </c>
      <c r="G662" s="156">
        <v>44541</v>
      </c>
      <c r="I662">
        <v>3986635</v>
      </c>
      <c r="K662">
        <v>757460.65</v>
      </c>
      <c r="M662">
        <v>0</v>
      </c>
      <c r="N662">
        <v>2.5000000000000001E-2</v>
      </c>
      <c r="O662">
        <v>99665.875</v>
      </c>
      <c r="P662" s="117">
        <v>4644429.7750000004</v>
      </c>
      <c r="Q662" s="117" t="s">
        <v>1021</v>
      </c>
      <c r="R662" s="150">
        <v>0</v>
      </c>
      <c r="S662" s="117" t="b">
        <f>OR(COUNTIF(Tabla2[[#This Row],[PROVEEDOR]],"*"&amp;'Palabra no opera'!$A$2&amp;"*"))</f>
        <v>0</v>
      </c>
      <c r="T662" s="150">
        <f>+$W$5-Tabla2[[#This Row],[FECHA DE FACTURACIÓN]]</f>
        <v>293</v>
      </c>
      <c r="U662" t="str">
        <f>+IF(Tabla2[[#This Row],[dias de credito]]&gt;=Tabla2[[#This Row],[PLAZO Días]],"venc", "No venc")</f>
        <v>venc</v>
      </c>
      <c r="V662" t="str">
        <f>+IF(Tabla2[[#This Row],[FECHA DE PAGO]]&gt;0,"pagada","por pagar")</f>
        <v>pagada</v>
      </c>
      <c r="W662" s="152" t="str">
        <f>+IF(AND(Tabla2[[#This Row],[venc]]="venc",Tabla2[[#This Row],[Columna1]]="por pagar"),"vencida","no")</f>
        <v>no</v>
      </c>
    </row>
    <row r="663" spans="1:23" x14ac:dyDescent="0.3">
      <c r="A663">
        <v>30</v>
      </c>
      <c r="B663">
        <v>0</v>
      </c>
      <c r="D663" t="s">
        <v>139</v>
      </c>
      <c r="E663" s="156">
        <v>44632</v>
      </c>
      <c r="F663" t="s">
        <v>661</v>
      </c>
      <c r="G663" s="156">
        <v>44632</v>
      </c>
      <c r="H663" t="s">
        <v>663</v>
      </c>
      <c r="I663">
        <v>450000</v>
      </c>
      <c r="K663">
        <v>0</v>
      </c>
      <c r="M663">
        <v>0</v>
      </c>
      <c r="N663">
        <v>0</v>
      </c>
      <c r="O663">
        <v>0</v>
      </c>
      <c r="P663" s="117">
        <v>450000</v>
      </c>
      <c r="Q663" s="117" t="s">
        <v>1021</v>
      </c>
      <c r="R663" s="150">
        <v>0</v>
      </c>
      <c r="S663" s="117" t="b">
        <f>OR(COUNTIF(Tabla2[[#This Row],[PROVEEDOR]],"*"&amp;'Palabra no opera'!$A$2&amp;"*"))</f>
        <v>0</v>
      </c>
      <c r="T663" s="150">
        <f>+$W$5-Tabla2[[#This Row],[FECHA DE FACTURACIÓN]]</f>
        <v>202</v>
      </c>
      <c r="U663" t="str">
        <f>+IF(Tabla2[[#This Row],[dias de credito]]&gt;=Tabla2[[#This Row],[PLAZO Días]],"venc", "No venc")</f>
        <v>venc</v>
      </c>
      <c r="V663" t="str">
        <f>+IF(Tabla2[[#This Row],[FECHA DE PAGO]]&gt;0,"pagada","por pagar")</f>
        <v>pagada</v>
      </c>
      <c r="W663" s="152" t="str">
        <f>+IF(AND(Tabla2[[#This Row],[venc]]="venc",Tabla2[[#This Row],[Columna1]]="por pagar"),"vencida","no")</f>
        <v>no</v>
      </c>
    </row>
    <row r="664" spans="1:23" x14ac:dyDescent="0.3">
      <c r="A664">
        <v>30</v>
      </c>
      <c r="B664">
        <v>0</v>
      </c>
      <c r="D664" t="s">
        <v>139</v>
      </c>
      <c r="E664" s="156">
        <v>44632</v>
      </c>
      <c r="F664" t="s">
        <v>673</v>
      </c>
      <c r="G664" s="156">
        <v>44632</v>
      </c>
      <c r="I664">
        <v>1000000</v>
      </c>
      <c r="K664">
        <v>0</v>
      </c>
      <c r="M664">
        <v>0</v>
      </c>
      <c r="N664">
        <v>0</v>
      </c>
      <c r="O664">
        <v>0</v>
      </c>
      <c r="P664" s="117">
        <v>1000000</v>
      </c>
      <c r="Q664" s="117" t="s">
        <v>1021</v>
      </c>
      <c r="R664" s="150">
        <v>0</v>
      </c>
      <c r="S664" s="117" t="b">
        <f>OR(COUNTIF(Tabla2[[#This Row],[PROVEEDOR]],"*"&amp;'Palabra no opera'!$A$2&amp;"*"))</f>
        <v>0</v>
      </c>
      <c r="T664" s="150">
        <f>+$W$5-Tabla2[[#This Row],[FECHA DE FACTURACIÓN]]</f>
        <v>202</v>
      </c>
      <c r="U664" t="str">
        <f>+IF(Tabla2[[#This Row],[dias de credito]]&gt;=Tabla2[[#This Row],[PLAZO Días]],"venc", "No venc")</f>
        <v>venc</v>
      </c>
      <c r="V664" t="str">
        <f>+IF(Tabla2[[#This Row],[FECHA DE PAGO]]&gt;0,"pagada","por pagar")</f>
        <v>pagada</v>
      </c>
      <c r="W664" s="152" t="str">
        <f>+IF(AND(Tabla2[[#This Row],[venc]]="venc",Tabla2[[#This Row],[Columna1]]="por pagar"),"vencida","no")</f>
        <v>no</v>
      </c>
    </row>
    <row r="665" spans="1:23" x14ac:dyDescent="0.3">
      <c r="A665">
        <v>30</v>
      </c>
      <c r="B665">
        <v>0</v>
      </c>
      <c r="D665" t="s">
        <v>139</v>
      </c>
      <c r="E665" s="156">
        <v>44632</v>
      </c>
      <c r="F665" t="s">
        <v>695</v>
      </c>
      <c r="G665" s="156">
        <v>44631</v>
      </c>
      <c r="H665" t="s">
        <v>696</v>
      </c>
      <c r="I665">
        <v>1180100</v>
      </c>
      <c r="K665">
        <v>0</v>
      </c>
      <c r="M665">
        <v>0</v>
      </c>
      <c r="N665">
        <v>0</v>
      </c>
      <c r="O665">
        <v>0</v>
      </c>
      <c r="P665" s="117">
        <v>1180100</v>
      </c>
      <c r="Q665" s="117" t="s">
        <v>1021</v>
      </c>
      <c r="R665" s="150">
        <v>0</v>
      </c>
      <c r="S665" s="117" t="b">
        <f>OR(COUNTIF(Tabla2[[#This Row],[PROVEEDOR]],"*"&amp;'Palabra no opera'!$A$2&amp;"*"))</f>
        <v>0</v>
      </c>
      <c r="T665" s="150">
        <f>+$W$5-Tabla2[[#This Row],[FECHA DE FACTURACIÓN]]</f>
        <v>203</v>
      </c>
      <c r="U665" t="str">
        <f>+IF(Tabla2[[#This Row],[dias de credito]]&gt;=Tabla2[[#This Row],[PLAZO Días]],"venc", "No venc")</f>
        <v>venc</v>
      </c>
      <c r="V665" t="str">
        <f>+IF(Tabla2[[#This Row],[FECHA DE PAGO]]&gt;0,"pagada","por pagar")</f>
        <v>pagada</v>
      </c>
      <c r="W665" s="152" t="str">
        <f>+IF(AND(Tabla2[[#This Row],[venc]]="venc",Tabla2[[#This Row],[Columna1]]="por pagar"),"vencida","no")</f>
        <v>no</v>
      </c>
    </row>
    <row r="666" spans="1:23" x14ac:dyDescent="0.3">
      <c r="A666">
        <v>30</v>
      </c>
      <c r="B666">
        <v>0</v>
      </c>
      <c r="D666" t="s">
        <v>380</v>
      </c>
      <c r="E666" s="156">
        <v>44631</v>
      </c>
      <c r="F666" t="s">
        <v>56</v>
      </c>
      <c r="G666" s="156">
        <v>44630</v>
      </c>
      <c r="H666" t="s">
        <v>702</v>
      </c>
      <c r="I666">
        <v>404189</v>
      </c>
      <c r="K666">
        <v>33232</v>
      </c>
      <c r="M666">
        <v>0</v>
      </c>
      <c r="N666">
        <v>0</v>
      </c>
      <c r="O666">
        <v>0</v>
      </c>
      <c r="P666" s="117">
        <v>3505560</v>
      </c>
      <c r="Q666" s="117" t="s">
        <v>1021</v>
      </c>
      <c r="R666" s="150">
        <v>0</v>
      </c>
      <c r="S666" s="117" t="b">
        <f>OR(COUNTIF(Tabla2[[#This Row],[PROVEEDOR]],"*"&amp;'Palabra no opera'!$A$2&amp;"*"))</f>
        <v>0</v>
      </c>
      <c r="T666" s="150">
        <f>+$W$5-Tabla2[[#This Row],[FECHA DE FACTURACIÓN]]</f>
        <v>204</v>
      </c>
      <c r="U666" t="str">
        <f>+IF(Tabla2[[#This Row],[dias de credito]]&gt;=Tabla2[[#This Row],[PLAZO Días]],"venc", "No venc")</f>
        <v>venc</v>
      </c>
      <c r="V666" t="str">
        <f>+IF(Tabla2[[#This Row],[FECHA DE PAGO]]&gt;0,"pagada","por pagar")</f>
        <v>pagada</v>
      </c>
      <c r="W666" s="152" t="str">
        <f>+IF(AND(Tabla2[[#This Row],[venc]]="venc",Tabla2[[#This Row],[Columna1]]="por pagar"),"vencida","no")</f>
        <v>no</v>
      </c>
    </row>
    <row r="667" spans="1:23" x14ac:dyDescent="0.3">
      <c r="A667">
        <v>30</v>
      </c>
      <c r="B667">
        <v>527800</v>
      </c>
      <c r="D667" t="s">
        <v>139</v>
      </c>
      <c r="E667" s="156">
        <v>44630</v>
      </c>
      <c r="F667" t="s">
        <v>624</v>
      </c>
      <c r="G667" s="156">
        <v>44630</v>
      </c>
      <c r="H667" t="s">
        <v>1578</v>
      </c>
      <c r="I667">
        <v>95000</v>
      </c>
      <c r="K667">
        <v>0</v>
      </c>
      <c r="M667">
        <v>0</v>
      </c>
      <c r="N667">
        <v>0</v>
      </c>
      <c r="O667">
        <v>0</v>
      </c>
      <c r="P667" s="117">
        <v>95000</v>
      </c>
      <c r="Q667" s="117" t="s">
        <v>1021</v>
      </c>
      <c r="R667" s="150">
        <v>0</v>
      </c>
      <c r="S667" s="117" t="b">
        <f>OR(COUNTIF(Tabla2[[#This Row],[PROVEEDOR]],"*"&amp;'Palabra no opera'!$A$2&amp;"*"))</f>
        <v>0</v>
      </c>
      <c r="T667" s="150">
        <f>+$W$5-Tabla2[[#This Row],[FECHA DE FACTURACIÓN]]</f>
        <v>204</v>
      </c>
      <c r="U667" t="str">
        <f>+IF(Tabla2[[#This Row],[dias de credito]]&gt;=Tabla2[[#This Row],[PLAZO Días]],"venc", "No venc")</f>
        <v>venc</v>
      </c>
      <c r="V667" t="str">
        <f>+IF(Tabla2[[#This Row],[FECHA DE PAGO]]&gt;0,"pagada","por pagar")</f>
        <v>pagada</v>
      </c>
      <c r="W667" s="152" t="str">
        <f>+IF(AND(Tabla2[[#This Row],[venc]]="venc",Tabla2[[#This Row],[Columna1]]="por pagar"),"vencida","no")</f>
        <v>no</v>
      </c>
    </row>
    <row r="668" spans="1:23" x14ac:dyDescent="0.3">
      <c r="A668">
        <v>30</v>
      </c>
      <c r="B668">
        <v>0</v>
      </c>
      <c r="D668" t="s">
        <v>139</v>
      </c>
      <c r="E668" s="156">
        <v>44630</v>
      </c>
      <c r="F668" t="s">
        <v>1130</v>
      </c>
      <c r="G668" s="156">
        <v>44630</v>
      </c>
      <c r="H668" t="s">
        <v>675</v>
      </c>
      <c r="I668">
        <v>70000</v>
      </c>
      <c r="K668">
        <v>0</v>
      </c>
      <c r="M668">
        <v>0</v>
      </c>
      <c r="N668">
        <v>0</v>
      </c>
      <c r="O668">
        <v>0</v>
      </c>
      <c r="P668" s="117">
        <v>70000</v>
      </c>
      <c r="Q668" s="117" t="s">
        <v>1021</v>
      </c>
      <c r="R668" s="150">
        <v>0</v>
      </c>
      <c r="S668" s="117" t="b">
        <f>OR(COUNTIF(Tabla2[[#This Row],[PROVEEDOR]],"*"&amp;'Palabra no opera'!$A$2&amp;"*"))</f>
        <v>1</v>
      </c>
      <c r="T668" s="150">
        <f>+$W$5-Tabla2[[#This Row],[FECHA DE FACTURACIÓN]]</f>
        <v>204</v>
      </c>
      <c r="U668" t="str">
        <f>+IF(Tabla2[[#This Row],[dias de credito]]&gt;=Tabla2[[#This Row],[PLAZO Días]],"venc", "No venc")</f>
        <v>venc</v>
      </c>
      <c r="V668" t="str">
        <f>+IF(Tabla2[[#This Row],[FECHA DE PAGO]]&gt;0,"pagada","por pagar")</f>
        <v>pagada</v>
      </c>
      <c r="W668" s="152" t="str">
        <f>+IF(AND(Tabla2[[#This Row],[venc]]="venc",Tabla2[[#This Row],[Columna1]]="por pagar"),"vencida","no")</f>
        <v>no</v>
      </c>
    </row>
    <row r="669" spans="1:23" x14ac:dyDescent="0.3">
      <c r="A669">
        <v>30</v>
      </c>
      <c r="B669">
        <v>0</v>
      </c>
      <c r="D669" t="s">
        <v>676</v>
      </c>
      <c r="E669" s="156">
        <v>44630</v>
      </c>
      <c r="F669" t="s">
        <v>940</v>
      </c>
      <c r="G669" s="156">
        <v>44621</v>
      </c>
      <c r="H669">
        <v>66543</v>
      </c>
      <c r="I669">
        <v>284467</v>
      </c>
      <c r="K669">
        <v>0</v>
      </c>
      <c r="M669">
        <v>0</v>
      </c>
      <c r="N669">
        <v>0</v>
      </c>
      <c r="O669">
        <v>0</v>
      </c>
      <c r="P669" s="117">
        <v>275944.33</v>
      </c>
      <c r="Q669" s="117" t="s">
        <v>1021</v>
      </c>
      <c r="R669" s="150">
        <v>0</v>
      </c>
      <c r="S669" s="117" t="b">
        <f>OR(COUNTIF(Tabla2[[#This Row],[PROVEEDOR]],"*"&amp;'Palabra no opera'!$A$2&amp;"*"))</f>
        <v>1</v>
      </c>
      <c r="T669" s="150">
        <f>+$W$5-Tabla2[[#This Row],[FECHA DE FACTURACIÓN]]</f>
        <v>213</v>
      </c>
      <c r="U669" t="str">
        <f>+IF(Tabla2[[#This Row],[dias de credito]]&gt;=Tabla2[[#This Row],[PLAZO Días]],"venc", "No venc")</f>
        <v>venc</v>
      </c>
      <c r="V669" t="str">
        <f>+IF(Tabla2[[#This Row],[FECHA DE PAGO]]&gt;0,"pagada","por pagar")</f>
        <v>pagada</v>
      </c>
      <c r="W669" s="152" t="str">
        <f>+IF(AND(Tabla2[[#This Row],[venc]]="venc",Tabla2[[#This Row],[Columna1]]="por pagar"),"vencida","no")</f>
        <v>no</v>
      </c>
    </row>
    <row r="670" spans="1:23" x14ac:dyDescent="0.3">
      <c r="A670">
        <v>30</v>
      </c>
      <c r="B670">
        <v>0</v>
      </c>
      <c r="D670" t="s">
        <v>1036</v>
      </c>
      <c r="E670" s="156">
        <v>44630</v>
      </c>
      <c r="F670" t="s">
        <v>927</v>
      </c>
      <c r="G670" s="156">
        <v>44621</v>
      </c>
      <c r="H670" t="s">
        <v>312</v>
      </c>
      <c r="I670">
        <v>800264</v>
      </c>
      <c r="K670">
        <v>0</v>
      </c>
      <c r="M670">
        <v>0</v>
      </c>
      <c r="N670">
        <v>0</v>
      </c>
      <c r="O670">
        <v>0</v>
      </c>
      <c r="P670" s="117">
        <v>800264</v>
      </c>
      <c r="Q670" s="117" t="s">
        <v>1021</v>
      </c>
      <c r="R670" s="150">
        <v>0</v>
      </c>
      <c r="S670" s="117" t="b">
        <f>OR(COUNTIF(Tabla2[[#This Row],[PROVEEDOR]],"*"&amp;'Palabra no opera'!$A$2&amp;"*"))</f>
        <v>1</v>
      </c>
      <c r="T670" s="150">
        <f>+$W$5-Tabla2[[#This Row],[FECHA DE FACTURACIÓN]]</f>
        <v>213</v>
      </c>
      <c r="U670" t="str">
        <f>+IF(Tabla2[[#This Row],[dias de credito]]&gt;=Tabla2[[#This Row],[PLAZO Días]],"venc", "No venc")</f>
        <v>venc</v>
      </c>
      <c r="V670" t="str">
        <f>+IF(Tabla2[[#This Row],[FECHA DE PAGO]]&gt;0,"pagada","por pagar")</f>
        <v>pagada</v>
      </c>
      <c r="W670" s="152" t="str">
        <f>+IF(AND(Tabla2[[#This Row],[venc]]="venc",Tabla2[[#This Row],[Columna1]]="por pagar"),"vencida","no")</f>
        <v>no</v>
      </c>
    </row>
    <row r="671" spans="1:23" x14ac:dyDescent="0.3">
      <c r="A671">
        <v>30</v>
      </c>
      <c r="B671">
        <v>0</v>
      </c>
      <c r="D671" t="s">
        <v>1036</v>
      </c>
      <c r="E671" s="156">
        <v>44630</v>
      </c>
      <c r="F671" t="s">
        <v>927</v>
      </c>
      <c r="G671" s="156">
        <v>44621</v>
      </c>
      <c r="H671" t="s">
        <v>313</v>
      </c>
      <c r="I671">
        <v>818874</v>
      </c>
      <c r="K671">
        <v>0</v>
      </c>
      <c r="M671">
        <v>0</v>
      </c>
      <c r="N671">
        <v>0</v>
      </c>
      <c r="O671">
        <v>0</v>
      </c>
      <c r="P671" s="117">
        <v>818874</v>
      </c>
      <c r="Q671" s="117" t="s">
        <v>1021</v>
      </c>
      <c r="R671" s="150">
        <v>0</v>
      </c>
      <c r="S671" s="117" t="b">
        <f>OR(COUNTIF(Tabla2[[#This Row],[PROVEEDOR]],"*"&amp;'Palabra no opera'!$A$2&amp;"*"))</f>
        <v>1</v>
      </c>
      <c r="T671" s="150">
        <f>+$W$5-Tabla2[[#This Row],[FECHA DE FACTURACIÓN]]</f>
        <v>213</v>
      </c>
      <c r="U671" t="str">
        <f>+IF(Tabla2[[#This Row],[dias de credito]]&gt;=Tabla2[[#This Row],[PLAZO Días]],"venc", "No venc")</f>
        <v>venc</v>
      </c>
      <c r="V671" t="str">
        <f>+IF(Tabla2[[#This Row],[FECHA DE PAGO]]&gt;0,"pagada","por pagar")</f>
        <v>pagada</v>
      </c>
      <c r="W671" s="152" t="str">
        <f>+IF(AND(Tabla2[[#This Row],[venc]]="venc",Tabla2[[#This Row],[Columna1]]="por pagar"),"vencida","no")</f>
        <v>no</v>
      </c>
    </row>
    <row r="672" spans="1:23" x14ac:dyDescent="0.3">
      <c r="A672">
        <v>30</v>
      </c>
      <c r="B672">
        <v>0</v>
      </c>
      <c r="D672">
        <v>0</v>
      </c>
      <c r="E672" s="156">
        <v>44630</v>
      </c>
      <c r="F672" t="s">
        <v>932</v>
      </c>
      <c r="G672" s="156">
        <v>44621</v>
      </c>
      <c r="H672" t="s">
        <v>307</v>
      </c>
      <c r="I672">
        <v>282057</v>
      </c>
      <c r="K672">
        <v>0</v>
      </c>
      <c r="M672">
        <v>0</v>
      </c>
      <c r="N672">
        <v>0</v>
      </c>
      <c r="O672">
        <v>0</v>
      </c>
      <c r="P672" s="117">
        <v>282057</v>
      </c>
      <c r="Q672" s="117" t="s">
        <v>1021</v>
      </c>
      <c r="R672" s="150">
        <v>0</v>
      </c>
      <c r="S672" s="117" t="b">
        <f>OR(COUNTIF(Tabla2[[#This Row],[PROVEEDOR]],"*"&amp;'Palabra no opera'!$A$2&amp;"*"))</f>
        <v>1</v>
      </c>
      <c r="T672" s="150">
        <f>+$W$5-Tabla2[[#This Row],[FECHA DE FACTURACIÓN]]</f>
        <v>213</v>
      </c>
      <c r="U672" t="str">
        <f>+IF(Tabla2[[#This Row],[dias de credito]]&gt;=Tabla2[[#This Row],[PLAZO Días]],"venc", "No venc")</f>
        <v>venc</v>
      </c>
      <c r="V672" t="str">
        <f>+IF(Tabla2[[#This Row],[FECHA DE PAGO]]&gt;0,"pagada","por pagar")</f>
        <v>pagada</v>
      </c>
      <c r="W672" s="152" t="str">
        <f>+IF(AND(Tabla2[[#This Row],[venc]]="venc",Tabla2[[#This Row],[Columna1]]="por pagar"),"vencida","no")</f>
        <v>no</v>
      </c>
    </row>
    <row r="673" spans="1:23" x14ac:dyDescent="0.3">
      <c r="A673">
        <v>13</v>
      </c>
      <c r="B673">
        <v>0</v>
      </c>
      <c r="D673">
        <v>0</v>
      </c>
      <c r="E673" s="156">
        <v>44630</v>
      </c>
      <c r="F673" t="s">
        <v>934</v>
      </c>
      <c r="G673" s="156">
        <v>44621</v>
      </c>
      <c r="I673">
        <v>941847</v>
      </c>
      <c r="K673">
        <v>0</v>
      </c>
      <c r="M673">
        <v>0</v>
      </c>
      <c r="N673">
        <v>0</v>
      </c>
      <c r="O673">
        <v>0</v>
      </c>
      <c r="P673" s="117">
        <v>941847</v>
      </c>
      <c r="Q673" s="117" t="s">
        <v>1021</v>
      </c>
      <c r="R673" s="150">
        <v>0</v>
      </c>
      <c r="S673" s="117" t="b">
        <f>OR(COUNTIF(Tabla2[[#This Row],[PROVEEDOR]],"*"&amp;'Palabra no opera'!$A$2&amp;"*"))</f>
        <v>1</v>
      </c>
      <c r="T673" s="150">
        <f>+$W$5-Tabla2[[#This Row],[FECHA DE FACTURACIÓN]]</f>
        <v>213</v>
      </c>
      <c r="U673" t="str">
        <f>+IF(Tabla2[[#This Row],[dias de credito]]&gt;=Tabla2[[#This Row],[PLAZO Días]],"venc", "No venc")</f>
        <v>venc</v>
      </c>
      <c r="V673" t="str">
        <f>+IF(Tabla2[[#This Row],[FECHA DE PAGO]]&gt;0,"pagada","por pagar")</f>
        <v>pagada</v>
      </c>
      <c r="W673" s="152" t="str">
        <f>+IF(AND(Tabla2[[#This Row],[venc]]="venc",Tabla2[[#This Row],[Columna1]]="por pagar"),"vencida","no")</f>
        <v>no</v>
      </c>
    </row>
    <row r="674" spans="1:23" x14ac:dyDescent="0.3">
      <c r="A674">
        <v>30</v>
      </c>
      <c r="B674">
        <v>0</v>
      </c>
      <c r="D674" t="s">
        <v>676</v>
      </c>
      <c r="E674" s="156">
        <v>44630</v>
      </c>
      <c r="F674" t="s">
        <v>940</v>
      </c>
      <c r="G674" s="156">
        <v>44607</v>
      </c>
      <c r="H674" t="s">
        <v>723</v>
      </c>
      <c r="I674">
        <v>-8522.67</v>
      </c>
      <c r="K674">
        <v>0</v>
      </c>
      <c r="M674">
        <v>0</v>
      </c>
      <c r="N674">
        <v>0</v>
      </c>
      <c r="O674">
        <v>0</v>
      </c>
      <c r="P674" s="117">
        <v>-8522.67</v>
      </c>
      <c r="Q674" s="117" t="s">
        <v>1021</v>
      </c>
      <c r="R674" s="150">
        <v>0</v>
      </c>
      <c r="S674" s="117" t="b">
        <f>OR(COUNTIF(Tabla2[[#This Row],[PROVEEDOR]],"*"&amp;'Palabra no opera'!$A$2&amp;"*"))</f>
        <v>1</v>
      </c>
      <c r="T674" s="150">
        <f>+$W$5-Tabla2[[#This Row],[FECHA DE FACTURACIÓN]]</f>
        <v>227</v>
      </c>
      <c r="U674" t="str">
        <f>+IF(Tabla2[[#This Row],[dias de credito]]&gt;=Tabla2[[#This Row],[PLAZO Días]],"venc", "No venc")</f>
        <v>venc</v>
      </c>
      <c r="V674" t="str">
        <f>+IF(Tabla2[[#This Row],[FECHA DE PAGO]]&gt;0,"pagada","por pagar")</f>
        <v>pagada</v>
      </c>
      <c r="W674" s="152" t="str">
        <f>+IF(AND(Tabla2[[#This Row],[venc]]="venc",Tabla2[[#This Row],[Columna1]]="por pagar"),"vencida","no")</f>
        <v>no</v>
      </c>
    </row>
    <row r="675" spans="1:23" x14ac:dyDescent="0.3">
      <c r="A675">
        <v>30</v>
      </c>
      <c r="B675">
        <v>0</v>
      </c>
      <c r="D675">
        <v>0</v>
      </c>
      <c r="E675" s="156">
        <v>44630</v>
      </c>
      <c r="F675" t="s">
        <v>923</v>
      </c>
      <c r="G675" s="156">
        <v>44562</v>
      </c>
      <c r="H675" t="s">
        <v>1204</v>
      </c>
      <c r="I675">
        <v>263948</v>
      </c>
      <c r="K675">
        <v>0</v>
      </c>
      <c r="M675">
        <v>0</v>
      </c>
      <c r="N675">
        <v>0</v>
      </c>
      <c r="O675">
        <v>0</v>
      </c>
      <c r="P675" s="117">
        <v>263948</v>
      </c>
      <c r="Q675" s="117" t="s">
        <v>1021</v>
      </c>
      <c r="R675" s="150">
        <v>0</v>
      </c>
      <c r="S675" s="117" t="b">
        <f>OR(COUNTIF(Tabla2[[#This Row],[PROVEEDOR]],"*"&amp;'Palabra no opera'!$A$2&amp;"*"))</f>
        <v>1</v>
      </c>
      <c r="T675" s="150">
        <f>+$W$5-Tabla2[[#This Row],[FECHA DE FACTURACIÓN]]</f>
        <v>272</v>
      </c>
      <c r="U675" t="str">
        <f>+IF(Tabla2[[#This Row],[dias de credito]]&gt;=Tabla2[[#This Row],[PLAZO Días]],"venc", "No venc")</f>
        <v>venc</v>
      </c>
      <c r="V675" t="str">
        <f>+IF(Tabla2[[#This Row],[FECHA DE PAGO]]&gt;0,"pagada","por pagar")</f>
        <v>pagada</v>
      </c>
      <c r="W675" s="152" t="str">
        <f>+IF(AND(Tabla2[[#This Row],[venc]]="venc",Tabla2[[#This Row],[Columna1]]="por pagar"),"vencida","no")</f>
        <v>no</v>
      </c>
    </row>
    <row r="676" spans="1:23" x14ac:dyDescent="0.3">
      <c r="A676">
        <v>30</v>
      </c>
      <c r="B676">
        <v>0</v>
      </c>
      <c r="D676">
        <v>0</v>
      </c>
      <c r="E676" s="156">
        <v>44630</v>
      </c>
      <c r="F676" t="s">
        <v>923</v>
      </c>
      <c r="G676" s="156">
        <v>44562</v>
      </c>
      <c r="H676" t="s">
        <v>1205</v>
      </c>
      <c r="I676">
        <v>1591380</v>
      </c>
      <c r="K676">
        <v>0</v>
      </c>
      <c r="M676">
        <v>0</v>
      </c>
      <c r="N676">
        <v>0</v>
      </c>
      <c r="O676">
        <v>0</v>
      </c>
      <c r="P676" s="117">
        <v>1591380</v>
      </c>
      <c r="Q676" s="117" t="s">
        <v>1021</v>
      </c>
      <c r="R676" s="150">
        <v>0</v>
      </c>
      <c r="S676" s="117" t="b">
        <f>OR(COUNTIF(Tabla2[[#This Row],[PROVEEDOR]],"*"&amp;'Palabra no opera'!$A$2&amp;"*"))</f>
        <v>1</v>
      </c>
      <c r="T676" s="150">
        <f>+$W$5-Tabla2[[#This Row],[FECHA DE FACTURACIÓN]]</f>
        <v>272</v>
      </c>
      <c r="U676" t="str">
        <f>+IF(Tabla2[[#This Row],[dias de credito]]&gt;=Tabla2[[#This Row],[PLAZO Días]],"venc", "No venc")</f>
        <v>venc</v>
      </c>
      <c r="V676" t="str">
        <f>+IF(Tabla2[[#This Row],[FECHA DE PAGO]]&gt;0,"pagada","por pagar")</f>
        <v>pagada</v>
      </c>
      <c r="W676" s="152" t="str">
        <f>+IF(AND(Tabla2[[#This Row],[venc]]="venc",Tabla2[[#This Row],[Columna1]]="por pagar"),"vencida","no")</f>
        <v>no</v>
      </c>
    </row>
    <row r="677" spans="1:23" x14ac:dyDescent="0.3">
      <c r="A677">
        <v>90</v>
      </c>
      <c r="B677">
        <v>18086014.540000003</v>
      </c>
      <c r="D677" t="s">
        <v>271</v>
      </c>
      <c r="E677" s="156">
        <v>44629</v>
      </c>
      <c r="F677" t="s">
        <v>9</v>
      </c>
      <c r="G677" s="156">
        <v>44629</v>
      </c>
      <c r="H677">
        <v>75251</v>
      </c>
      <c r="I677">
        <v>180307</v>
      </c>
      <c r="K677">
        <v>34258.33</v>
      </c>
      <c r="M677">
        <v>0</v>
      </c>
      <c r="N677">
        <v>0</v>
      </c>
      <c r="O677">
        <v>0</v>
      </c>
      <c r="P677" s="117">
        <v>214565.33000000002</v>
      </c>
      <c r="Q677" s="117" t="s">
        <v>1021</v>
      </c>
      <c r="R677" s="150">
        <v>0</v>
      </c>
      <c r="S677" s="117" t="b">
        <f>OR(COUNTIF(Tabla2[[#This Row],[PROVEEDOR]],"*"&amp;'Palabra no opera'!$A$2&amp;"*"))</f>
        <v>0</v>
      </c>
      <c r="T677" s="150">
        <f>+$W$5-Tabla2[[#This Row],[FECHA DE FACTURACIÓN]]</f>
        <v>205</v>
      </c>
      <c r="U677" t="str">
        <f>+IF(Tabla2[[#This Row],[dias de credito]]&gt;=Tabla2[[#This Row],[PLAZO Días]],"venc", "No venc")</f>
        <v>venc</v>
      </c>
      <c r="V677" t="str">
        <f>+IF(Tabla2[[#This Row],[FECHA DE PAGO]]&gt;0,"pagada","por pagar")</f>
        <v>pagada</v>
      </c>
      <c r="W677" s="152" t="str">
        <f>+IF(AND(Tabla2[[#This Row],[venc]]="venc",Tabla2[[#This Row],[Columna1]]="por pagar"),"vencida","no")</f>
        <v>no</v>
      </c>
    </row>
    <row r="678" spans="1:23" x14ac:dyDescent="0.3">
      <c r="A678">
        <v>30</v>
      </c>
      <c r="B678">
        <v>0</v>
      </c>
      <c r="D678" t="s">
        <v>139</v>
      </c>
      <c r="E678" s="156">
        <v>44628</v>
      </c>
      <c r="F678" t="s">
        <v>679</v>
      </c>
      <c r="G678" s="156">
        <v>44628</v>
      </c>
      <c r="H678" t="s">
        <v>1577</v>
      </c>
      <c r="I678">
        <v>630000</v>
      </c>
      <c r="K678">
        <v>0</v>
      </c>
      <c r="M678">
        <v>0</v>
      </c>
      <c r="N678">
        <v>0</v>
      </c>
      <c r="O678">
        <v>0</v>
      </c>
      <c r="P678" s="117">
        <v>630000</v>
      </c>
      <c r="Q678" s="117" t="s">
        <v>1021</v>
      </c>
      <c r="R678" s="150">
        <v>0</v>
      </c>
      <c r="S678" s="117" t="b">
        <f>OR(COUNTIF(Tabla2[[#This Row],[PROVEEDOR]],"*"&amp;'Palabra no opera'!$A$2&amp;"*"))</f>
        <v>0</v>
      </c>
      <c r="T678" s="150">
        <f>+$W$5-Tabla2[[#This Row],[FECHA DE FACTURACIÓN]]</f>
        <v>206</v>
      </c>
      <c r="U678" t="str">
        <f>+IF(Tabla2[[#This Row],[dias de credito]]&gt;=Tabla2[[#This Row],[PLAZO Días]],"venc", "No venc")</f>
        <v>venc</v>
      </c>
      <c r="V678" t="str">
        <f>+IF(Tabla2[[#This Row],[FECHA DE PAGO]]&gt;0,"pagada","por pagar")</f>
        <v>pagada</v>
      </c>
      <c r="W678" s="152" t="str">
        <f>+IF(AND(Tabla2[[#This Row],[venc]]="venc",Tabla2[[#This Row],[Columna1]]="por pagar"),"vencida","no")</f>
        <v>no</v>
      </c>
    </row>
    <row r="679" spans="1:23" x14ac:dyDescent="0.3">
      <c r="A679">
        <v>30</v>
      </c>
      <c r="B679">
        <v>0</v>
      </c>
      <c r="D679" t="s">
        <v>139</v>
      </c>
      <c r="E679" s="156">
        <v>44628</v>
      </c>
      <c r="F679" t="s">
        <v>679</v>
      </c>
      <c r="G679" s="156">
        <v>44602</v>
      </c>
      <c r="H679" t="s">
        <v>1570</v>
      </c>
      <c r="I679">
        <v>360000</v>
      </c>
      <c r="K679">
        <v>0</v>
      </c>
      <c r="M679">
        <v>0</v>
      </c>
      <c r="N679">
        <v>0</v>
      </c>
      <c r="O679">
        <v>0</v>
      </c>
      <c r="P679" s="117">
        <v>360000</v>
      </c>
      <c r="Q679" s="117" t="s">
        <v>1021</v>
      </c>
      <c r="R679" s="150">
        <v>0</v>
      </c>
      <c r="S679" s="117" t="b">
        <f>OR(COUNTIF(Tabla2[[#This Row],[PROVEEDOR]],"*"&amp;'Palabra no opera'!$A$2&amp;"*"))</f>
        <v>0</v>
      </c>
      <c r="T679" s="150">
        <f>+$W$5-Tabla2[[#This Row],[FECHA DE FACTURACIÓN]]</f>
        <v>232</v>
      </c>
      <c r="U679" t="str">
        <f>+IF(Tabla2[[#This Row],[dias de credito]]&gt;=Tabla2[[#This Row],[PLAZO Días]],"venc", "No venc")</f>
        <v>venc</v>
      </c>
      <c r="V679" t="str">
        <f>+IF(Tabla2[[#This Row],[FECHA DE PAGO]]&gt;0,"pagada","por pagar")</f>
        <v>pagada</v>
      </c>
      <c r="W679" s="152" t="str">
        <f>+IF(AND(Tabla2[[#This Row],[venc]]="venc",Tabla2[[#This Row],[Columna1]]="por pagar"),"vencida","no")</f>
        <v>no</v>
      </c>
    </row>
    <row r="680" spans="1:23" x14ac:dyDescent="0.3">
      <c r="A680">
        <v>30</v>
      </c>
      <c r="B680">
        <v>0</v>
      </c>
      <c r="D680" t="s">
        <v>139</v>
      </c>
      <c r="E680" s="156">
        <v>44627</v>
      </c>
      <c r="F680" t="s">
        <v>661</v>
      </c>
      <c r="G680" s="156">
        <v>44627</v>
      </c>
      <c r="H680" t="s">
        <v>662</v>
      </c>
      <c r="I680">
        <v>540000</v>
      </c>
      <c r="K680">
        <v>0</v>
      </c>
      <c r="M680">
        <v>0</v>
      </c>
      <c r="N680">
        <v>0</v>
      </c>
      <c r="O680">
        <v>0</v>
      </c>
      <c r="P680" s="117">
        <v>540000</v>
      </c>
      <c r="Q680" s="117" t="s">
        <v>1021</v>
      </c>
      <c r="R680" s="150">
        <v>0</v>
      </c>
      <c r="S680" s="117" t="b">
        <f>OR(COUNTIF(Tabla2[[#This Row],[PROVEEDOR]],"*"&amp;'Palabra no opera'!$A$2&amp;"*"))</f>
        <v>0</v>
      </c>
      <c r="T680" s="150">
        <f>+$W$5-Tabla2[[#This Row],[FECHA DE FACTURACIÓN]]</f>
        <v>207</v>
      </c>
      <c r="U680" t="str">
        <f>+IF(Tabla2[[#This Row],[dias de credito]]&gt;=Tabla2[[#This Row],[PLAZO Días]],"venc", "No venc")</f>
        <v>venc</v>
      </c>
      <c r="V680" t="str">
        <f>+IF(Tabla2[[#This Row],[FECHA DE PAGO]]&gt;0,"pagada","por pagar")</f>
        <v>pagada</v>
      </c>
      <c r="W680" s="152" t="str">
        <f>+IF(AND(Tabla2[[#This Row],[venc]]="venc",Tabla2[[#This Row],[Columna1]]="por pagar"),"vencida","no")</f>
        <v>no</v>
      </c>
    </row>
    <row r="681" spans="1:23" x14ac:dyDescent="0.3">
      <c r="A681">
        <v>30</v>
      </c>
      <c r="B681">
        <v>1580500</v>
      </c>
      <c r="D681" t="s">
        <v>139</v>
      </c>
      <c r="E681" s="156">
        <v>44627</v>
      </c>
      <c r="F681" t="s">
        <v>686</v>
      </c>
      <c r="G681" s="156">
        <v>44589</v>
      </c>
      <c r="H681">
        <v>2371</v>
      </c>
      <c r="I681">
        <v>1036500</v>
      </c>
      <c r="K681">
        <v>0</v>
      </c>
      <c r="M681">
        <v>0</v>
      </c>
      <c r="N681">
        <v>0</v>
      </c>
      <c r="O681">
        <v>0</v>
      </c>
      <c r="P681" s="117">
        <v>1329000</v>
      </c>
      <c r="Q681" s="117" t="s">
        <v>1021</v>
      </c>
      <c r="R681" s="150">
        <v>0</v>
      </c>
      <c r="S681" s="117" t="b">
        <f>OR(COUNTIF(Tabla2[[#This Row],[PROVEEDOR]],"*"&amp;'Palabra no opera'!$A$2&amp;"*"))</f>
        <v>0</v>
      </c>
      <c r="T681" s="150">
        <f>+$W$5-Tabla2[[#This Row],[FECHA DE FACTURACIÓN]]</f>
        <v>245</v>
      </c>
      <c r="U681" t="str">
        <f>+IF(Tabla2[[#This Row],[dias de credito]]&gt;=Tabla2[[#This Row],[PLAZO Días]],"venc", "No venc")</f>
        <v>venc</v>
      </c>
      <c r="V681" t="str">
        <f>+IF(Tabla2[[#This Row],[FECHA DE PAGO]]&gt;0,"pagada","por pagar")</f>
        <v>pagada</v>
      </c>
      <c r="W681" s="152" t="str">
        <f>+IF(AND(Tabla2[[#This Row],[venc]]="venc",Tabla2[[#This Row],[Columna1]]="por pagar"),"vencida","no")</f>
        <v>no</v>
      </c>
    </row>
    <row r="682" spans="1:23" x14ac:dyDescent="0.3">
      <c r="A682">
        <v>30</v>
      </c>
      <c r="B682">
        <v>0</v>
      </c>
      <c r="D682" t="s">
        <v>949</v>
      </c>
      <c r="E682" s="156">
        <v>44624</v>
      </c>
      <c r="F682" t="s">
        <v>615</v>
      </c>
      <c r="G682" s="156">
        <v>44603</v>
      </c>
      <c r="H682" t="s">
        <v>744</v>
      </c>
      <c r="I682">
        <v>182658.72</v>
      </c>
      <c r="K682">
        <v>0</v>
      </c>
      <c r="M682">
        <v>0</v>
      </c>
      <c r="N682">
        <v>0</v>
      </c>
      <c r="O682">
        <v>0</v>
      </c>
      <c r="P682" s="117">
        <v>182658.72</v>
      </c>
      <c r="Q682" s="117" t="s">
        <v>1021</v>
      </c>
      <c r="R682" s="150">
        <v>0</v>
      </c>
      <c r="S682" s="117" t="b">
        <f>OR(COUNTIF(Tabla2[[#This Row],[PROVEEDOR]],"*"&amp;'Palabra no opera'!$A$2&amp;"*"))</f>
        <v>0</v>
      </c>
      <c r="T682" s="150">
        <f>+$W$5-Tabla2[[#This Row],[FECHA DE FACTURACIÓN]]</f>
        <v>231</v>
      </c>
      <c r="U682" t="str">
        <f>+IF(Tabla2[[#This Row],[dias de credito]]&gt;=Tabla2[[#This Row],[PLAZO Días]],"venc", "No venc")</f>
        <v>venc</v>
      </c>
      <c r="V682" t="str">
        <f>+IF(Tabla2[[#This Row],[FECHA DE PAGO]]&gt;0,"pagada","por pagar")</f>
        <v>pagada</v>
      </c>
      <c r="W682" s="152" t="str">
        <f>+IF(AND(Tabla2[[#This Row],[venc]]="venc",Tabla2[[#This Row],[Columna1]]="por pagar"),"vencida","no")</f>
        <v>no</v>
      </c>
    </row>
    <row r="683" spans="1:23" x14ac:dyDescent="0.3">
      <c r="A683">
        <v>30</v>
      </c>
      <c r="B683">
        <v>6259125.5999999996</v>
      </c>
      <c r="D683" t="s">
        <v>264</v>
      </c>
      <c r="E683" s="156">
        <v>44624</v>
      </c>
      <c r="F683" t="s">
        <v>1448</v>
      </c>
      <c r="G683" s="156">
        <v>44589</v>
      </c>
      <c r="H683">
        <v>26650</v>
      </c>
      <c r="I683">
        <v>4800000</v>
      </c>
      <c r="K683">
        <v>912000</v>
      </c>
      <c r="M683">
        <v>0</v>
      </c>
      <c r="N683">
        <v>2.5000000000000001E-2</v>
      </c>
      <c r="O683">
        <v>120000</v>
      </c>
      <c r="P683" s="117">
        <v>5592000</v>
      </c>
      <c r="Q683" s="117" t="s">
        <v>1021</v>
      </c>
      <c r="R683" s="150">
        <v>0</v>
      </c>
      <c r="S683" s="117" t="b">
        <f>OR(COUNTIF(Tabla2[[#This Row],[PROVEEDOR]],"*"&amp;'Palabra no opera'!$A$2&amp;"*"))</f>
        <v>0</v>
      </c>
      <c r="T683" s="150">
        <f>+$W$5-Tabla2[[#This Row],[FECHA DE FACTURACIÓN]]</f>
        <v>245</v>
      </c>
      <c r="U683" t="str">
        <f>+IF(Tabla2[[#This Row],[dias de credito]]&gt;=Tabla2[[#This Row],[PLAZO Días]],"venc", "No venc")</f>
        <v>venc</v>
      </c>
      <c r="V683" t="str">
        <f>+IF(Tabla2[[#This Row],[FECHA DE PAGO]]&gt;0,"pagada","por pagar")</f>
        <v>pagada</v>
      </c>
      <c r="W683" s="152" t="str">
        <f>+IF(AND(Tabla2[[#This Row],[venc]]="venc",Tabla2[[#This Row],[Columna1]]="por pagar"),"vencida","no")</f>
        <v>no</v>
      </c>
    </row>
    <row r="684" spans="1:23" x14ac:dyDescent="0.3">
      <c r="A684">
        <v>45</v>
      </c>
      <c r="B684">
        <v>30078253.170000002</v>
      </c>
      <c r="D684" t="s">
        <v>884</v>
      </c>
      <c r="E684" s="156">
        <v>44624</v>
      </c>
      <c r="F684" t="s">
        <v>19</v>
      </c>
      <c r="G684" s="156">
        <v>44581</v>
      </c>
      <c r="H684" t="s">
        <v>751</v>
      </c>
      <c r="I684">
        <v>3491200</v>
      </c>
      <c r="K684">
        <v>663328</v>
      </c>
      <c r="M684">
        <v>0</v>
      </c>
      <c r="N684">
        <v>0</v>
      </c>
      <c r="O684">
        <v>0</v>
      </c>
      <c r="P684" s="117">
        <v>4154528</v>
      </c>
      <c r="Q684" s="117" t="s">
        <v>1021</v>
      </c>
      <c r="R684" s="150">
        <v>0</v>
      </c>
      <c r="S684" s="117" t="b">
        <f>OR(COUNTIF(Tabla2[[#This Row],[PROVEEDOR]],"*"&amp;'Palabra no opera'!$A$2&amp;"*"))</f>
        <v>0</v>
      </c>
      <c r="T684" s="150">
        <f>+$W$5-Tabla2[[#This Row],[FECHA DE FACTURACIÓN]]</f>
        <v>253</v>
      </c>
      <c r="U684" t="str">
        <f>+IF(Tabla2[[#This Row],[dias de credito]]&gt;=Tabla2[[#This Row],[PLAZO Días]],"venc", "No venc")</f>
        <v>venc</v>
      </c>
      <c r="V684" t="str">
        <f>+IF(Tabla2[[#This Row],[FECHA DE PAGO]]&gt;0,"pagada","por pagar")</f>
        <v>pagada</v>
      </c>
      <c r="W684" s="152" t="str">
        <f>+IF(AND(Tabla2[[#This Row],[venc]]="venc",Tabla2[[#This Row],[Columna1]]="por pagar"),"vencida","no")</f>
        <v>no</v>
      </c>
    </row>
    <row r="685" spans="1:23" x14ac:dyDescent="0.3">
      <c r="A685">
        <v>30</v>
      </c>
      <c r="B685">
        <v>0</v>
      </c>
      <c r="D685" t="s">
        <v>1024</v>
      </c>
      <c r="E685" s="156">
        <v>44624</v>
      </c>
      <c r="F685" t="s">
        <v>32</v>
      </c>
      <c r="G685" s="156">
        <v>44579</v>
      </c>
      <c r="H685" t="s">
        <v>619</v>
      </c>
      <c r="I685">
        <v>2379411.12</v>
      </c>
      <c r="K685">
        <v>452088.1128</v>
      </c>
      <c r="M685">
        <v>0</v>
      </c>
      <c r="N685">
        <v>2.5000000000000001E-2</v>
      </c>
      <c r="O685">
        <v>59485.278000000006</v>
      </c>
      <c r="P685" s="117">
        <v>2772013.9548000004</v>
      </c>
      <c r="Q685" s="117" t="s">
        <v>1021</v>
      </c>
      <c r="R685" s="150">
        <v>0</v>
      </c>
      <c r="S685" s="117" t="b">
        <f>OR(COUNTIF(Tabla2[[#This Row],[PROVEEDOR]],"*"&amp;'Palabra no opera'!$A$2&amp;"*"))</f>
        <v>0</v>
      </c>
      <c r="T685" s="150">
        <f>+$W$5-Tabla2[[#This Row],[FECHA DE FACTURACIÓN]]</f>
        <v>255</v>
      </c>
      <c r="U685" t="str">
        <f>+IF(Tabla2[[#This Row],[dias de credito]]&gt;=Tabla2[[#This Row],[PLAZO Días]],"venc", "No venc")</f>
        <v>venc</v>
      </c>
      <c r="V685" t="str">
        <f>+IF(Tabla2[[#This Row],[FECHA DE PAGO]]&gt;0,"pagada","por pagar")</f>
        <v>pagada</v>
      </c>
      <c r="W685" s="152" t="str">
        <f>+IF(AND(Tabla2[[#This Row],[venc]]="venc",Tabla2[[#This Row],[Columna1]]="por pagar"),"vencida","no")</f>
        <v>no</v>
      </c>
    </row>
    <row r="686" spans="1:23" x14ac:dyDescent="0.3">
      <c r="A686">
        <v>30</v>
      </c>
      <c r="B686">
        <v>8457900</v>
      </c>
      <c r="D686" t="s">
        <v>1027</v>
      </c>
      <c r="E686" s="156">
        <v>44624</v>
      </c>
      <c r="F686" t="s">
        <v>11</v>
      </c>
      <c r="G686" s="156">
        <v>44579</v>
      </c>
      <c r="H686" t="s">
        <v>616</v>
      </c>
      <c r="I686">
        <v>2740840</v>
      </c>
      <c r="K686">
        <v>520759.60000000003</v>
      </c>
      <c r="M686">
        <v>0</v>
      </c>
      <c r="N686">
        <v>2.5000000000000001E-2</v>
      </c>
      <c r="O686">
        <v>68521</v>
      </c>
      <c r="P686" s="117">
        <v>3193078.6</v>
      </c>
      <c r="Q686" s="117" t="s">
        <v>1021</v>
      </c>
      <c r="R686" s="150">
        <v>0</v>
      </c>
      <c r="S686" s="117" t="b">
        <f>OR(COUNTIF(Tabla2[[#This Row],[PROVEEDOR]],"*"&amp;'Palabra no opera'!$A$2&amp;"*"))</f>
        <v>0</v>
      </c>
      <c r="T686" s="150">
        <f>+$W$5-Tabla2[[#This Row],[FECHA DE FACTURACIÓN]]</f>
        <v>255</v>
      </c>
      <c r="U686" t="str">
        <f>+IF(Tabla2[[#This Row],[dias de credito]]&gt;=Tabla2[[#This Row],[PLAZO Días]],"venc", "No venc")</f>
        <v>venc</v>
      </c>
      <c r="V686" t="str">
        <f>+IF(Tabla2[[#This Row],[FECHA DE PAGO]]&gt;0,"pagada","por pagar")</f>
        <v>pagada</v>
      </c>
      <c r="W686" s="152" t="str">
        <f>+IF(AND(Tabla2[[#This Row],[venc]]="venc",Tabla2[[#This Row],[Columna1]]="por pagar"),"vencida","no")</f>
        <v>no</v>
      </c>
    </row>
    <row r="687" spans="1:23" x14ac:dyDescent="0.3">
      <c r="A687">
        <v>90</v>
      </c>
      <c r="B687">
        <v>5541947.6899999995</v>
      </c>
      <c r="D687" t="s">
        <v>253</v>
      </c>
      <c r="E687" s="156">
        <v>44624</v>
      </c>
      <c r="F687" t="s">
        <v>12</v>
      </c>
      <c r="G687" s="156">
        <v>44541</v>
      </c>
      <c r="H687" t="s">
        <v>563</v>
      </c>
      <c r="I687">
        <v>7164707</v>
      </c>
      <c r="K687">
        <v>1361294.33</v>
      </c>
      <c r="M687">
        <v>0</v>
      </c>
      <c r="N687">
        <v>2.5000000000000001E-2</v>
      </c>
      <c r="O687">
        <v>179117.67500000002</v>
      </c>
      <c r="P687" s="117">
        <v>8346883.6550000003</v>
      </c>
      <c r="Q687" s="117" t="s">
        <v>1021</v>
      </c>
      <c r="R687" s="150">
        <v>0</v>
      </c>
      <c r="S687" s="117" t="b">
        <f>OR(COUNTIF(Tabla2[[#This Row],[PROVEEDOR]],"*"&amp;'Palabra no opera'!$A$2&amp;"*"))</f>
        <v>0</v>
      </c>
      <c r="T687" s="150">
        <f>+$W$5-Tabla2[[#This Row],[FECHA DE FACTURACIÓN]]</f>
        <v>293</v>
      </c>
      <c r="U687" t="str">
        <f>+IF(Tabla2[[#This Row],[dias de credito]]&gt;=Tabla2[[#This Row],[PLAZO Días]],"venc", "No venc")</f>
        <v>venc</v>
      </c>
      <c r="V687" t="str">
        <f>+IF(Tabla2[[#This Row],[FECHA DE PAGO]]&gt;0,"pagada","por pagar")</f>
        <v>pagada</v>
      </c>
      <c r="W687" s="152" t="str">
        <f>+IF(AND(Tabla2[[#This Row],[venc]]="venc",Tabla2[[#This Row],[Columna1]]="por pagar"),"vencida","no")</f>
        <v>no</v>
      </c>
    </row>
    <row r="688" spans="1:23" x14ac:dyDescent="0.3">
      <c r="A688">
        <v>90</v>
      </c>
      <c r="B688">
        <v>5541947.6899999995</v>
      </c>
      <c r="D688" t="s">
        <v>253</v>
      </c>
      <c r="E688" s="156">
        <v>44624</v>
      </c>
      <c r="F688" t="s">
        <v>12</v>
      </c>
      <c r="G688" s="156">
        <v>44541</v>
      </c>
      <c r="H688" t="s">
        <v>564</v>
      </c>
      <c r="I688">
        <v>2907563</v>
      </c>
      <c r="K688">
        <v>552436.97</v>
      </c>
      <c r="M688">
        <v>0</v>
      </c>
      <c r="N688">
        <v>2.5000000000000001E-2</v>
      </c>
      <c r="O688">
        <v>72689.074999999997</v>
      </c>
      <c r="P688" s="117">
        <v>3387310.8949999996</v>
      </c>
      <c r="Q688" s="117" t="s">
        <v>1021</v>
      </c>
      <c r="R688" s="150">
        <v>0</v>
      </c>
      <c r="S688" s="117" t="b">
        <f>OR(COUNTIF(Tabla2[[#This Row],[PROVEEDOR]],"*"&amp;'Palabra no opera'!$A$2&amp;"*"))</f>
        <v>0</v>
      </c>
      <c r="T688" s="150">
        <f>+$W$5-Tabla2[[#This Row],[FECHA DE FACTURACIÓN]]</f>
        <v>293</v>
      </c>
      <c r="U688" t="str">
        <f>+IF(Tabla2[[#This Row],[dias de credito]]&gt;=Tabla2[[#This Row],[PLAZO Días]],"venc", "No venc")</f>
        <v>venc</v>
      </c>
      <c r="V688" t="str">
        <f>+IF(Tabla2[[#This Row],[FECHA DE PAGO]]&gt;0,"pagada","por pagar")</f>
        <v>pagada</v>
      </c>
      <c r="W688" s="152" t="str">
        <f>+IF(AND(Tabla2[[#This Row],[venc]]="venc",Tabla2[[#This Row],[Columna1]]="por pagar"),"vencida","no")</f>
        <v>no</v>
      </c>
    </row>
    <row r="689" spans="1:23" x14ac:dyDescent="0.3">
      <c r="A689">
        <v>10</v>
      </c>
      <c r="B689">
        <v>0</v>
      </c>
      <c r="D689" t="s">
        <v>612</v>
      </c>
      <c r="E689" s="156">
        <v>44623</v>
      </c>
      <c r="F689" t="s">
        <v>904</v>
      </c>
      <c r="G689" s="156">
        <v>44623</v>
      </c>
      <c r="H689" t="s">
        <v>613</v>
      </c>
      <c r="I689">
        <v>2400000</v>
      </c>
      <c r="K689">
        <v>0</v>
      </c>
      <c r="M689">
        <v>0</v>
      </c>
      <c r="N689">
        <v>0</v>
      </c>
      <c r="O689">
        <v>0</v>
      </c>
      <c r="P689" s="117">
        <v>2400000</v>
      </c>
      <c r="Q689" s="117" t="s">
        <v>1021</v>
      </c>
      <c r="R689" s="150">
        <v>0</v>
      </c>
      <c r="S689" s="117" t="b">
        <f>OR(COUNTIF(Tabla2[[#This Row],[PROVEEDOR]],"*"&amp;'Palabra no opera'!$A$2&amp;"*"))</f>
        <v>1</v>
      </c>
      <c r="T689" s="150">
        <f>+$W$5-Tabla2[[#This Row],[FECHA DE FACTURACIÓN]]</f>
        <v>211</v>
      </c>
      <c r="U689" t="str">
        <f>+IF(Tabla2[[#This Row],[dias de credito]]&gt;=Tabla2[[#This Row],[PLAZO Días]],"venc", "No venc")</f>
        <v>venc</v>
      </c>
      <c r="V689" t="str">
        <f>+IF(Tabla2[[#This Row],[FECHA DE PAGO]]&gt;0,"pagada","por pagar")</f>
        <v>pagada</v>
      </c>
      <c r="W689" s="152" t="str">
        <f>+IF(AND(Tabla2[[#This Row],[venc]]="venc",Tabla2[[#This Row],[Columna1]]="por pagar"),"vencida","no")</f>
        <v>no</v>
      </c>
    </row>
    <row r="690" spans="1:23" x14ac:dyDescent="0.3">
      <c r="A690">
        <v>30</v>
      </c>
      <c r="B690">
        <v>0</v>
      </c>
      <c r="D690" t="s">
        <v>139</v>
      </c>
      <c r="E690" s="156">
        <v>44623</v>
      </c>
      <c r="F690" t="s">
        <v>673</v>
      </c>
      <c r="G690" s="156">
        <v>44623</v>
      </c>
      <c r="I690">
        <v>1000000</v>
      </c>
      <c r="K690">
        <v>0</v>
      </c>
      <c r="M690">
        <v>0</v>
      </c>
      <c r="N690">
        <v>0</v>
      </c>
      <c r="O690">
        <v>0</v>
      </c>
      <c r="P690" s="117">
        <v>1000000</v>
      </c>
      <c r="Q690" s="117" t="s">
        <v>1021</v>
      </c>
      <c r="R690" s="150">
        <v>0</v>
      </c>
      <c r="S690" s="117" t="b">
        <f>OR(COUNTIF(Tabla2[[#This Row],[PROVEEDOR]],"*"&amp;'Palabra no opera'!$A$2&amp;"*"))</f>
        <v>0</v>
      </c>
      <c r="T690" s="150">
        <f>+$W$5-Tabla2[[#This Row],[FECHA DE FACTURACIÓN]]</f>
        <v>211</v>
      </c>
      <c r="U690" t="str">
        <f>+IF(Tabla2[[#This Row],[dias de credito]]&gt;=Tabla2[[#This Row],[PLAZO Días]],"venc", "No venc")</f>
        <v>venc</v>
      </c>
      <c r="V690" t="str">
        <f>+IF(Tabla2[[#This Row],[FECHA DE PAGO]]&gt;0,"pagada","por pagar")</f>
        <v>pagada</v>
      </c>
      <c r="W690" s="152" t="str">
        <f>+IF(AND(Tabla2[[#This Row],[venc]]="venc",Tabla2[[#This Row],[Columna1]]="por pagar"),"vencida","no")</f>
        <v>no</v>
      </c>
    </row>
    <row r="691" spans="1:23" x14ac:dyDescent="0.3">
      <c r="A691">
        <v>30</v>
      </c>
      <c r="B691">
        <v>0</v>
      </c>
      <c r="D691">
        <v>0</v>
      </c>
      <c r="E691" s="156">
        <v>44623</v>
      </c>
      <c r="F691" t="s">
        <v>700</v>
      </c>
      <c r="G691" s="156">
        <v>44611</v>
      </c>
      <c r="H691" t="s">
        <v>1573</v>
      </c>
      <c r="I691">
        <v>637000</v>
      </c>
      <c r="K691">
        <v>0</v>
      </c>
      <c r="M691">
        <v>0</v>
      </c>
      <c r="N691">
        <v>0</v>
      </c>
      <c r="O691">
        <v>0</v>
      </c>
      <c r="P691" s="117">
        <v>637000</v>
      </c>
      <c r="Q691" s="117" t="s">
        <v>1021</v>
      </c>
      <c r="R691" s="150">
        <v>0</v>
      </c>
      <c r="S691" s="117" t="b">
        <f>OR(COUNTIF(Tabla2[[#This Row],[PROVEEDOR]],"*"&amp;'Palabra no opera'!$A$2&amp;"*"))</f>
        <v>0</v>
      </c>
      <c r="T691" s="150">
        <f>+$W$5-Tabla2[[#This Row],[FECHA DE FACTURACIÓN]]</f>
        <v>223</v>
      </c>
      <c r="U691" t="str">
        <f>+IF(Tabla2[[#This Row],[dias de credito]]&gt;=Tabla2[[#This Row],[PLAZO Días]],"venc", "No venc")</f>
        <v>venc</v>
      </c>
      <c r="V691" t="str">
        <f>+IF(Tabla2[[#This Row],[FECHA DE PAGO]]&gt;0,"pagada","por pagar")</f>
        <v>pagada</v>
      </c>
      <c r="W691" s="152" t="str">
        <f>+IF(AND(Tabla2[[#This Row],[venc]]="venc",Tabla2[[#This Row],[Columna1]]="por pagar"),"vencida","no")</f>
        <v>no</v>
      </c>
    </row>
    <row r="692" spans="1:23" x14ac:dyDescent="0.3">
      <c r="A692">
        <v>45</v>
      </c>
      <c r="B692">
        <v>0</v>
      </c>
      <c r="D692" t="s">
        <v>631</v>
      </c>
      <c r="E692" s="156">
        <v>44623</v>
      </c>
      <c r="F692" t="s">
        <v>529</v>
      </c>
      <c r="G692" s="156">
        <v>44587</v>
      </c>
      <c r="H692" t="s">
        <v>706</v>
      </c>
      <c r="I692">
        <v>2706000</v>
      </c>
      <c r="K692">
        <v>0</v>
      </c>
      <c r="M692">
        <v>0</v>
      </c>
      <c r="N692">
        <v>0</v>
      </c>
      <c r="O692">
        <v>0</v>
      </c>
      <c r="P692" s="117">
        <v>2706000</v>
      </c>
      <c r="Q692" s="117" t="s">
        <v>1021</v>
      </c>
      <c r="R692" s="150">
        <v>0</v>
      </c>
      <c r="S692" s="117" t="b">
        <f>OR(COUNTIF(Tabla2[[#This Row],[PROVEEDOR]],"*"&amp;'Palabra no opera'!$A$2&amp;"*"))</f>
        <v>0</v>
      </c>
      <c r="T692" s="150">
        <f>+$W$5-Tabla2[[#This Row],[FECHA DE FACTURACIÓN]]</f>
        <v>247</v>
      </c>
      <c r="U692" t="str">
        <f>+IF(Tabla2[[#This Row],[dias de credito]]&gt;=Tabla2[[#This Row],[PLAZO Días]],"venc", "No venc")</f>
        <v>venc</v>
      </c>
      <c r="V692" t="str">
        <f>+IF(Tabla2[[#This Row],[FECHA DE PAGO]]&gt;0,"pagada","por pagar")</f>
        <v>pagada</v>
      </c>
      <c r="W692" s="152" t="str">
        <f>+IF(AND(Tabla2[[#This Row],[venc]]="venc",Tabla2[[#This Row],[Columna1]]="por pagar"),"vencida","no")</f>
        <v>no</v>
      </c>
    </row>
    <row r="693" spans="1:23" x14ac:dyDescent="0.3">
      <c r="A693">
        <v>60</v>
      </c>
      <c r="B693">
        <v>0</v>
      </c>
      <c r="D693" t="s">
        <v>631</v>
      </c>
      <c r="E693" s="156">
        <v>44623</v>
      </c>
      <c r="F693" t="s">
        <v>528</v>
      </c>
      <c r="G693" s="156">
        <v>44586</v>
      </c>
      <c r="H693" t="s">
        <v>1563</v>
      </c>
      <c r="I693">
        <v>180400</v>
      </c>
      <c r="K693">
        <v>0</v>
      </c>
      <c r="M693">
        <v>0</v>
      </c>
      <c r="N693">
        <v>0</v>
      </c>
      <c r="O693">
        <v>0</v>
      </c>
      <c r="P693" s="117">
        <v>180400</v>
      </c>
      <c r="Q693" s="117" t="s">
        <v>1021</v>
      </c>
      <c r="R693" s="150">
        <v>0</v>
      </c>
      <c r="S693" s="117" t="b">
        <f>OR(COUNTIF(Tabla2[[#This Row],[PROVEEDOR]],"*"&amp;'Palabra no opera'!$A$2&amp;"*"))</f>
        <v>0</v>
      </c>
      <c r="T693" s="150">
        <f>+$W$5-Tabla2[[#This Row],[FECHA DE FACTURACIÓN]]</f>
        <v>248</v>
      </c>
      <c r="U693" t="str">
        <f>+IF(Tabla2[[#This Row],[dias de credito]]&gt;=Tabla2[[#This Row],[PLAZO Días]],"venc", "No venc")</f>
        <v>venc</v>
      </c>
      <c r="V693" t="str">
        <f>+IF(Tabla2[[#This Row],[FECHA DE PAGO]]&gt;0,"pagada","por pagar")</f>
        <v>pagada</v>
      </c>
      <c r="W693" s="152" t="str">
        <f>+IF(AND(Tabla2[[#This Row],[venc]]="venc",Tabla2[[#This Row],[Columna1]]="por pagar"),"vencida","no")</f>
        <v>no</v>
      </c>
    </row>
    <row r="694" spans="1:23" x14ac:dyDescent="0.3">
      <c r="A694">
        <v>30</v>
      </c>
      <c r="B694">
        <v>527800</v>
      </c>
      <c r="D694" t="s">
        <v>139</v>
      </c>
      <c r="E694" s="156">
        <v>44623</v>
      </c>
      <c r="F694" t="s">
        <v>624</v>
      </c>
      <c r="G694" s="156">
        <v>44582</v>
      </c>
      <c r="H694" t="s">
        <v>1560</v>
      </c>
      <c r="I694">
        <v>811000</v>
      </c>
      <c r="K694">
        <v>0</v>
      </c>
      <c r="M694">
        <v>0</v>
      </c>
      <c r="N694">
        <v>0</v>
      </c>
      <c r="O694">
        <v>0</v>
      </c>
      <c r="P694" s="117">
        <v>811000</v>
      </c>
      <c r="Q694" s="117" t="s">
        <v>1021</v>
      </c>
      <c r="R694" s="150">
        <v>0</v>
      </c>
      <c r="S694" s="117" t="b">
        <f>OR(COUNTIF(Tabla2[[#This Row],[PROVEEDOR]],"*"&amp;'Palabra no opera'!$A$2&amp;"*"))</f>
        <v>0</v>
      </c>
      <c r="T694" s="150">
        <f>+$W$5-Tabla2[[#This Row],[FECHA DE FACTURACIÓN]]</f>
        <v>252</v>
      </c>
      <c r="U694" t="str">
        <f>+IF(Tabla2[[#This Row],[dias de credito]]&gt;=Tabla2[[#This Row],[PLAZO Días]],"venc", "No venc")</f>
        <v>venc</v>
      </c>
      <c r="V694" t="str">
        <f>+IF(Tabla2[[#This Row],[FECHA DE PAGO]]&gt;0,"pagada","por pagar")</f>
        <v>pagada</v>
      </c>
      <c r="W694" s="152" t="str">
        <f>+IF(AND(Tabla2[[#This Row],[venc]]="venc",Tabla2[[#This Row],[Columna1]]="por pagar"),"vencida","no")</f>
        <v>no</v>
      </c>
    </row>
    <row r="695" spans="1:23" x14ac:dyDescent="0.3">
      <c r="A695">
        <v>60</v>
      </c>
      <c r="B695">
        <v>0</v>
      </c>
      <c r="D695" t="s">
        <v>631</v>
      </c>
      <c r="E695" s="156">
        <v>44623</v>
      </c>
      <c r="F695" t="s">
        <v>528</v>
      </c>
      <c r="G695" s="156">
        <v>44557</v>
      </c>
      <c r="H695">
        <v>1293</v>
      </c>
      <c r="I695">
        <v>235200</v>
      </c>
      <c r="K695">
        <v>0</v>
      </c>
      <c r="M695">
        <v>0</v>
      </c>
      <c r="N695">
        <v>0</v>
      </c>
      <c r="O695">
        <v>0</v>
      </c>
      <c r="P695" s="117">
        <v>235200</v>
      </c>
      <c r="Q695" s="117" t="s">
        <v>1021</v>
      </c>
      <c r="R695" s="150">
        <v>0</v>
      </c>
      <c r="S695" s="117" t="b">
        <f>OR(COUNTIF(Tabla2[[#This Row],[PROVEEDOR]],"*"&amp;'Palabra no opera'!$A$2&amp;"*"))</f>
        <v>0</v>
      </c>
      <c r="T695" s="150">
        <f>+$W$5-Tabla2[[#This Row],[FECHA DE FACTURACIÓN]]</f>
        <v>277</v>
      </c>
      <c r="U695" t="str">
        <f>+IF(Tabla2[[#This Row],[dias de credito]]&gt;=Tabla2[[#This Row],[PLAZO Días]],"venc", "No venc")</f>
        <v>venc</v>
      </c>
      <c r="V695" t="str">
        <f>+IF(Tabla2[[#This Row],[FECHA DE PAGO]]&gt;0,"pagada","por pagar")</f>
        <v>pagada</v>
      </c>
      <c r="W695" s="152" t="str">
        <f>+IF(AND(Tabla2[[#This Row],[venc]]="venc",Tabla2[[#This Row],[Columna1]]="por pagar"),"vencida","no")</f>
        <v>no</v>
      </c>
    </row>
    <row r="696" spans="1:23" x14ac:dyDescent="0.3">
      <c r="A696">
        <v>60</v>
      </c>
      <c r="B696">
        <v>0</v>
      </c>
      <c r="D696" t="s">
        <v>631</v>
      </c>
      <c r="E696" s="156">
        <v>44623</v>
      </c>
      <c r="F696" t="s">
        <v>528</v>
      </c>
      <c r="G696" s="156">
        <v>44557</v>
      </c>
      <c r="H696">
        <v>1294</v>
      </c>
      <c r="I696">
        <v>252000</v>
      </c>
      <c r="K696">
        <v>0</v>
      </c>
      <c r="M696">
        <v>0</v>
      </c>
      <c r="N696">
        <v>0</v>
      </c>
      <c r="O696">
        <v>0</v>
      </c>
      <c r="P696" s="117">
        <v>252000</v>
      </c>
      <c r="Q696" s="117" t="s">
        <v>1021</v>
      </c>
      <c r="R696" s="150">
        <v>0</v>
      </c>
      <c r="S696" s="117" t="b">
        <f>OR(COUNTIF(Tabla2[[#This Row],[PROVEEDOR]],"*"&amp;'Palabra no opera'!$A$2&amp;"*"))</f>
        <v>0</v>
      </c>
      <c r="T696" s="150">
        <f>+$W$5-Tabla2[[#This Row],[FECHA DE FACTURACIÓN]]</f>
        <v>277</v>
      </c>
      <c r="U696" t="str">
        <f>+IF(Tabla2[[#This Row],[dias de credito]]&gt;=Tabla2[[#This Row],[PLAZO Días]],"venc", "No venc")</f>
        <v>venc</v>
      </c>
      <c r="V696" t="str">
        <f>+IF(Tabla2[[#This Row],[FECHA DE PAGO]]&gt;0,"pagada","por pagar")</f>
        <v>pagada</v>
      </c>
      <c r="W696" s="152" t="str">
        <f>+IF(AND(Tabla2[[#This Row],[venc]]="venc",Tabla2[[#This Row],[Columna1]]="por pagar"),"vencida","no")</f>
        <v>no</v>
      </c>
    </row>
    <row r="697" spans="1:23" x14ac:dyDescent="0.3">
      <c r="A697">
        <v>45</v>
      </c>
      <c r="B697">
        <v>0</v>
      </c>
      <c r="D697" t="s">
        <v>518</v>
      </c>
      <c r="E697" s="156">
        <v>44623</v>
      </c>
      <c r="F697" t="s">
        <v>599</v>
      </c>
      <c r="G697" s="156">
        <v>44557</v>
      </c>
      <c r="H697" t="s">
        <v>600</v>
      </c>
      <c r="I697">
        <v>2919000</v>
      </c>
      <c r="K697">
        <v>0</v>
      </c>
      <c r="M697">
        <v>0</v>
      </c>
      <c r="N697">
        <v>0</v>
      </c>
      <c r="O697">
        <v>0</v>
      </c>
      <c r="P697" s="117">
        <v>2919000</v>
      </c>
      <c r="Q697" s="117" t="s">
        <v>1021</v>
      </c>
      <c r="R697" s="150">
        <v>0</v>
      </c>
      <c r="S697" s="117" t="b">
        <f>OR(COUNTIF(Tabla2[[#This Row],[PROVEEDOR]],"*"&amp;'Palabra no opera'!$A$2&amp;"*"))</f>
        <v>0</v>
      </c>
      <c r="T697" s="150">
        <f>+$W$5-Tabla2[[#This Row],[FECHA DE FACTURACIÓN]]</f>
        <v>277</v>
      </c>
      <c r="U697" t="str">
        <f>+IF(Tabla2[[#This Row],[dias de credito]]&gt;=Tabla2[[#This Row],[PLAZO Días]],"venc", "No venc")</f>
        <v>venc</v>
      </c>
      <c r="V697" t="str">
        <f>+IF(Tabla2[[#This Row],[FECHA DE PAGO]]&gt;0,"pagada","por pagar")</f>
        <v>pagada</v>
      </c>
      <c r="W697" s="152" t="str">
        <f>+IF(AND(Tabla2[[#This Row],[venc]]="venc",Tabla2[[#This Row],[Columna1]]="por pagar"),"vencida","no")</f>
        <v>no</v>
      </c>
    </row>
    <row r="698" spans="1:23" x14ac:dyDescent="0.3">
      <c r="A698">
        <v>60</v>
      </c>
      <c r="B698">
        <v>0</v>
      </c>
      <c r="D698" t="s">
        <v>631</v>
      </c>
      <c r="E698" s="156">
        <v>44623</v>
      </c>
      <c r="F698" t="s">
        <v>528</v>
      </c>
      <c r="G698" s="156">
        <v>44552</v>
      </c>
      <c r="H698" t="s">
        <v>1550</v>
      </c>
      <c r="I698">
        <v>319200</v>
      </c>
      <c r="K698">
        <v>0</v>
      </c>
      <c r="M698">
        <v>0</v>
      </c>
      <c r="N698">
        <v>0</v>
      </c>
      <c r="O698">
        <v>0</v>
      </c>
      <c r="P698" s="117">
        <v>319200</v>
      </c>
      <c r="Q698" s="117" t="s">
        <v>1021</v>
      </c>
      <c r="R698" s="150">
        <v>0</v>
      </c>
      <c r="S698" s="117" t="b">
        <f>OR(COUNTIF(Tabla2[[#This Row],[PROVEEDOR]],"*"&amp;'Palabra no opera'!$A$2&amp;"*"))</f>
        <v>0</v>
      </c>
      <c r="T698" s="150">
        <f>+$W$5-Tabla2[[#This Row],[FECHA DE FACTURACIÓN]]</f>
        <v>282</v>
      </c>
      <c r="U698" t="str">
        <f>+IF(Tabla2[[#This Row],[dias de credito]]&gt;=Tabla2[[#This Row],[PLAZO Días]],"venc", "No venc")</f>
        <v>venc</v>
      </c>
      <c r="V698" t="str">
        <f>+IF(Tabla2[[#This Row],[FECHA DE PAGO]]&gt;0,"pagada","por pagar")</f>
        <v>pagada</v>
      </c>
      <c r="W698" s="152" t="str">
        <f>+IF(AND(Tabla2[[#This Row],[venc]]="venc",Tabla2[[#This Row],[Columna1]]="por pagar"),"vencida","no")</f>
        <v>no</v>
      </c>
    </row>
    <row r="699" spans="1:23" x14ac:dyDescent="0.3">
      <c r="A699">
        <v>30</v>
      </c>
      <c r="B699">
        <v>0</v>
      </c>
      <c r="D699" t="s">
        <v>139</v>
      </c>
      <c r="E699" s="156">
        <v>44622</v>
      </c>
      <c r="F699" t="s">
        <v>638</v>
      </c>
      <c r="G699" s="156">
        <v>44621</v>
      </c>
      <c r="H699" t="s">
        <v>640</v>
      </c>
      <c r="I699">
        <v>1850000</v>
      </c>
      <c r="K699">
        <v>0</v>
      </c>
      <c r="M699">
        <v>0</v>
      </c>
      <c r="N699">
        <v>0</v>
      </c>
      <c r="O699">
        <v>0</v>
      </c>
      <c r="P699" s="117">
        <v>1850000</v>
      </c>
      <c r="Q699" s="117" t="s">
        <v>1021</v>
      </c>
      <c r="R699" s="150">
        <v>0</v>
      </c>
      <c r="S699" s="117" t="b">
        <f>OR(COUNTIF(Tabla2[[#This Row],[PROVEEDOR]],"*"&amp;'Palabra no opera'!$A$2&amp;"*"))</f>
        <v>0</v>
      </c>
      <c r="T699" s="150">
        <f>+$W$5-Tabla2[[#This Row],[FECHA DE FACTURACIÓN]]</f>
        <v>213</v>
      </c>
      <c r="U699" t="str">
        <f>+IF(Tabla2[[#This Row],[dias de credito]]&gt;=Tabla2[[#This Row],[PLAZO Días]],"venc", "No venc")</f>
        <v>venc</v>
      </c>
      <c r="V699" t="str">
        <f>+IF(Tabla2[[#This Row],[FECHA DE PAGO]]&gt;0,"pagada","por pagar")</f>
        <v>pagada</v>
      </c>
      <c r="W699" s="152" t="str">
        <f>+IF(AND(Tabla2[[#This Row],[venc]]="venc",Tabla2[[#This Row],[Columna1]]="por pagar"),"vencida","no")</f>
        <v>no</v>
      </c>
    </row>
    <row r="700" spans="1:23" x14ac:dyDescent="0.3">
      <c r="A700">
        <v>30</v>
      </c>
      <c r="B700">
        <v>0</v>
      </c>
      <c r="D700" t="s">
        <v>431</v>
      </c>
      <c r="E700" s="156">
        <v>44621</v>
      </c>
      <c r="F700" t="s">
        <v>677</v>
      </c>
      <c r="G700" s="156">
        <v>44585</v>
      </c>
      <c r="H700" t="s">
        <v>1562</v>
      </c>
      <c r="I700">
        <v>2420000</v>
      </c>
      <c r="K700">
        <v>0</v>
      </c>
      <c r="M700">
        <v>0</v>
      </c>
      <c r="N700">
        <v>0</v>
      </c>
      <c r="O700">
        <v>0</v>
      </c>
      <c r="P700" s="117">
        <v>2420000</v>
      </c>
      <c r="Q700" s="117" t="s">
        <v>1021</v>
      </c>
      <c r="R700" s="150">
        <v>0</v>
      </c>
      <c r="S700" s="117" t="b">
        <f>OR(COUNTIF(Tabla2[[#This Row],[PROVEEDOR]],"*"&amp;'Palabra no opera'!$A$2&amp;"*"))</f>
        <v>0</v>
      </c>
      <c r="T700" s="150">
        <f>+$W$5-Tabla2[[#This Row],[FECHA DE FACTURACIÓN]]</f>
        <v>249</v>
      </c>
      <c r="U700" t="str">
        <f>+IF(Tabla2[[#This Row],[dias de credito]]&gt;=Tabla2[[#This Row],[PLAZO Días]],"venc", "No venc")</f>
        <v>venc</v>
      </c>
      <c r="V700" t="str">
        <f>+IF(Tabla2[[#This Row],[FECHA DE PAGO]]&gt;0,"pagada","por pagar")</f>
        <v>pagada</v>
      </c>
      <c r="W700" s="152" t="str">
        <f>+IF(AND(Tabla2[[#This Row],[venc]]="venc",Tabla2[[#This Row],[Columna1]]="por pagar"),"vencida","no")</f>
        <v>no</v>
      </c>
    </row>
    <row r="701" spans="1:23" x14ac:dyDescent="0.3">
      <c r="A701">
        <v>30</v>
      </c>
      <c r="B701">
        <v>0</v>
      </c>
      <c r="D701" t="s">
        <v>139</v>
      </c>
      <c r="E701" s="156">
        <v>44620</v>
      </c>
      <c r="F701" t="s">
        <v>644</v>
      </c>
      <c r="G701" s="156">
        <v>44620</v>
      </c>
      <c r="H701" t="s">
        <v>597</v>
      </c>
      <c r="I701">
        <v>442</v>
      </c>
      <c r="K701">
        <v>0</v>
      </c>
      <c r="M701">
        <v>0</v>
      </c>
      <c r="N701">
        <v>0</v>
      </c>
      <c r="O701">
        <v>0</v>
      </c>
      <c r="P701" s="117">
        <v>442</v>
      </c>
      <c r="Q701" s="117" t="s">
        <v>1021</v>
      </c>
      <c r="R701" s="150">
        <v>0</v>
      </c>
      <c r="S701" s="117" t="b">
        <f>OR(COUNTIF(Tabla2[[#This Row],[PROVEEDOR]],"*"&amp;'Palabra no opera'!$A$2&amp;"*"))</f>
        <v>0</v>
      </c>
      <c r="T701" s="150">
        <f>+$W$5-Tabla2[[#This Row],[FECHA DE FACTURACIÓN]]</f>
        <v>214</v>
      </c>
      <c r="U701" t="str">
        <f>+IF(Tabla2[[#This Row],[dias de credito]]&gt;=Tabla2[[#This Row],[PLAZO Días]],"venc", "No venc")</f>
        <v>venc</v>
      </c>
      <c r="V701" t="str">
        <f>+IF(Tabla2[[#This Row],[FECHA DE PAGO]]&gt;0,"pagada","por pagar")</f>
        <v>pagada</v>
      </c>
      <c r="W701" s="152" t="str">
        <f>+IF(AND(Tabla2[[#This Row],[venc]]="venc",Tabla2[[#This Row],[Columna1]]="por pagar"),"vencida","no")</f>
        <v>no</v>
      </c>
    </row>
    <row r="702" spans="1:23" x14ac:dyDescent="0.3">
      <c r="A702">
        <v>30</v>
      </c>
      <c r="B702">
        <v>0</v>
      </c>
      <c r="D702" t="s">
        <v>139</v>
      </c>
      <c r="E702" s="156">
        <v>44620</v>
      </c>
      <c r="F702" t="s">
        <v>644</v>
      </c>
      <c r="G702" s="156">
        <v>44620</v>
      </c>
      <c r="H702" t="s">
        <v>596</v>
      </c>
      <c r="I702">
        <v>45000</v>
      </c>
      <c r="K702">
        <v>0</v>
      </c>
      <c r="M702">
        <v>0</v>
      </c>
      <c r="N702">
        <v>0</v>
      </c>
      <c r="O702">
        <v>0</v>
      </c>
      <c r="P702" s="117">
        <v>45000</v>
      </c>
      <c r="Q702" s="117" t="s">
        <v>1021</v>
      </c>
      <c r="R702" s="150">
        <v>0</v>
      </c>
      <c r="S702" s="117" t="b">
        <f>OR(COUNTIF(Tabla2[[#This Row],[PROVEEDOR]],"*"&amp;'Palabra no opera'!$A$2&amp;"*"))</f>
        <v>0</v>
      </c>
      <c r="T702" s="150">
        <f>+$W$5-Tabla2[[#This Row],[FECHA DE FACTURACIÓN]]</f>
        <v>214</v>
      </c>
      <c r="U702" t="str">
        <f>+IF(Tabla2[[#This Row],[dias de credito]]&gt;=Tabla2[[#This Row],[PLAZO Días]],"venc", "No venc")</f>
        <v>venc</v>
      </c>
      <c r="V702" t="str">
        <f>+IF(Tabla2[[#This Row],[FECHA DE PAGO]]&gt;0,"pagada","por pagar")</f>
        <v>pagada</v>
      </c>
      <c r="W702" s="152" t="str">
        <f>+IF(AND(Tabla2[[#This Row],[venc]]="venc",Tabla2[[#This Row],[Columna1]]="por pagar"),"vencida","no")</f>
        <v>no</v>
      </c>
    </row>
    <row r="703" spans="1:23" x14ac:dyDescent="0.3">
      <c r="A703">
        <v>30</v>
      </c>
      <c r="B703">
        <v>0</v>
      </c>
      <c r="D703" t="s">
        <v>139</v>
      </c>
      <c r="E703" s="156">
        <v>44620</v>
      </c>
      <c r="F703" t="s">
        <v>644</v>
      </c>
      <c r="G703" s="156">
        <v>44620</v>
      </c>
      <c r="H703" t="s">
        <v>598</v>
      </c>
      <c r="I703">
        <v>218000</v>
      </c>
      <c r="K703">
        <v>0</v>
      </c>
      <c r="M703">
        <v>0</v>
      </c>
      <c r="N703">
        <v>0</v>
      </c>
      <c r="O703">
        <v>0</v>
      </c>
      <c r="P703" s="117">
        <v>218000</v>
      </c>
      <c r="Q703" s="117" t="s">
        <v>1021</v>
      </c>
      <c r="R703" s="150">
        <v>0</v>
      </c>
      <c r="S703" s="117" t="b">
        <f>OR(COUNTIF(Tabla2[[#This Row],[PROVEEDOR]],"*"&amp;'Palabra no opera'!$A$2&amp;"*"))</f>
        <v>0</v>
      </c>
      <c r="T703" s="150">
        <f>+$W$5-Tabla2[[#This Row],[FECHA DE FACTURACIÓN]]</f>
        <v>214</v>
      </c>
      <c r="U703" t="str">
        <f>+IF(Tabla2[[#This Row],[dias de credito]]&gt;=Tabla2[[#This Row],[PLAZO Días]],"venc", "No venc")</f>
        <v>venc</v>
      </c>
      <c r="V703" t="str">
        <f>+IF(Tabla2[[#This Row],[FECHA DE PAGO]]&gt;0,"pagada","por pagar")</f>
        <v>pagada</v>
      </c>
      <c r="W703" s="152" t="str">
        <f>+IF(AND(Tabla2[[#This Row],[venc]]="venc",Tabla2[[#This Row],[Columna1]]="por pagar"),"vencida","no")</f>
        <v>no</v>
      </c>
    </row>
    <row r="704" spans="1:23" x14ac:dyDescent="0.3">
      <c r="A704">
        <v>30</v>
      </c>
      <c r="B704">
        <v>0</v>
      </c>
      <c r="D704" t="s">
        <v>139</v>
      </c>
      <c r="E704" s="156">
        <v>44620</v>
      </c>
      <c r="F704" t="s">
        <v>644</v>
      </c>
      <c r="G704" s="156">
        <v>44620</v>
      </c>
      <c r="H704" t="s">
        <v>645</v>
      </c>
      <c r="I704">
        <v>220000</v>
      </c>
      <c r="K704">
        <v>0</v>
      </c>
      <c r="M704">
        <v>0</v>
      </c>
      <c r="N704">
        <v>0</v>
      </c>
      <c r="O704">
        <v>0</v>
      </c>
      <c r="P704" s="117">
        <v>220000</v>
      </c>
      <c r="Q704" s="117" t="s">
        <v>1021</v>
      </c>
      <c r="R704" s="150">
        <v>0</v>
      </c>
      <c r="S704" s="117" t="b">
        <f>OR(COUNTIF(Tabla2[[#This Row],[PROVEEDOR]],"*"&amp;'Palabra no opera'!$A$2&amp;"*"))</f>
        <v>0</v>
      </c>
      <c r="T704" s="150">
        <f>+$W$5-Tabla2[[#This Row],[FECHA DE FACTURACIÓN]]</f>
        <v>214</v>
      </c>
      <c r="U704" t="str">
        <f>+IF(Tabla2[[#This Row],[dias de credito]]&gt;=Tabla2[[#This Row],[PLAZO Días]],"venc", "No venc")</f>
        <v>venc</v>
      </c>
      <c r="V704" t="str">
        <f>+IF(Tabla2[[#This Row],[FECHA DE PAGO]]&gt;0,"pagada","por pagar")</f>
        <v>pagada</v>
      </c>
      <c r="W704" s="152" t="str">
        <f>+IF(AND(Tabla2[[#This Row],[venc]]="venc",Tabla2[[#This Row],[Columna1]]="por pagar"),"vencida","no")</f>
        <v>no</v>
      </c>
    </row>
    <row r="705" spans="1:23" x14ac:dyDescent="0.3">
      <c r="A705">
        <v>30</v>
      </c>
      <c r="B705">
        <v>0</v>
      </c>
      <c r="D705" t="s">
        <v>139</v>
      </c>
      <c r="E705" s="156">
        <v>44620</v>
      </c>
      <c r="F705" t="s">
        <v>644</v>
      </c>
      <c r="G705" s="156">
        <v>44620</v>
      </c>
      <c r="H705" t="s">
        <v>174</v>
      </c>
      <c r="I705">
        <v>320000</v>
      </c>
      <c r="K705">
        <v>0</v>
      </c>
      <c r="M705">
        <v>0</v>
      </c>
      <c r="N705">
        <v>0</v>
      </c>
      <c r="O705">
        <v>0</v>
      </c>
      <c r="P705" s="117">
        <v>320000</v>
      </c>
      <c r="Q705" s="117" t="s">
        <v>1021</v>
      </c>
      <c r="R705" s="150">
        <v>0</v>
      </c>
      <c r="S705" s="117" t="b">
        <f>OR(COUNTIF(Tabla2[[#This Row],[PROVEEDOR]],"*"&amp;'Palabra no opera'!$A$2&amp;"*"))</f>
        <v>0</v>
      </c>
      <c r="T705" s="150">
        <f>+$W$5-Tabla2[[#This Row],[FECHA DE FACTURACIÓN]]</f>
        <v>214</v>
      </c>
      <c r="U705" t="str">
        <f>+IF(Tabla2[[#This Row],[dias de credito]]&gt;=Tabla2[[#This Row],[PLAZO Días]],"venc", "No venc")</f>
        <v>venc</v>
      </c>
      <c r="V705" t="str">
        <f>+IF(Tabla2[[#This Row],[FECHA DE PAGO]]&gt;0,"pagada","por pagar")</f>
        <v>pagada</v>
      </c>
      <c r="W705" s="152" t="str">
        <f>+IF(AND(Tabla2[[#This Row],[venc]]="venc",Tabla2[[#This Row],[Columna1]]="por pagar"),"vencida","no")</f>
        <v>no</v>
      </c>
    </row>
    <row r="706" spans="1:23" x14ac:dyDescent="0.3">
      <c r="A706">
        <v>30</v>
      </c>
      <c r="B706">
        <v>0</v>
      </c>
      <c r="D706" t="s">
        <v>139</v>
      </c>
      <c r="E706" s="156">
        <v>44620</v>
      </c>
      <c r="F706" t="s">
        <v>644</v>
      </c>
      <c r="G706" s="156">
        <v>44620</v>
      </c>
      <c r="H706" t="s">
        <v>595</v>
      </c>
      <c r="I706">
        <v>4028650</v>
      </c>
      <c r="K706">
        <v>0</v>
      </c>
      <c r="M706">
        <v>0</v>
      </c>
      <c r="N706">
        <v>0</v>
      </c>
      <c r="O706">
        <v>0</v>
      </c>
      <c r="P706" s="117">
        <v>4028650</v>
      </c>
      <c r="Q706" s="117" t="s">
        <v>1021</v>
      </c>
      <c r="R706" s="150">
        <v>0</v>
      </c>
      <c r="S706" s="117" t="b">
        <f>OR(COUNTIF(Tabla2[[#This Row],[PROVEEDOR]],"*"&amp;'Palabra no opera'!$A$2&amp;"*"))</f>
        <v>0</v>
      </c>
      <c r="T706" s="150">
        <f>+$W$5-Tabla2[[#This Row],[FECHA DE FACTURACIÓN]]</f>
        <v>214</v>
      </c>
      <c r="U706" t="str">
        <f>+IF(Tabla2[[#This Row],[dias de credito]]&gt;=Tabla2[[#This Row],[PLAZO Días]],"venc", "No venc")</f>
        <v>venc</v>
      </c>
      <c r="V706" t="str">
        <f>+IF(Tabla2[[#This Row],[FECHA DE PAGO]]&gt;0,"pagada","por pagar")</f>
        <v>pagada</v>
      </c>
      <c r="W706" s="152" t="str">
        <f>+IF(AND(Tabla2[[#This Row],[venc]]="venc",Tabla2[[#This Row],[Columna1]]="por pagar"),"vencida","no")</f>
        <v>no</v>
      </c>
    </row>
    <row r="707" spans="1:23" x14ac:dyDescent="0.3">
      <c r="A707">
        <v>30</v>
      </c>
      <c r="B707">
        <v>0</v>
      </c>
      <c r="D707" t="s">
        <v>139</v>
      </c>
      <c r="E707" s="156">
        <v>44620</v>
      </c>
      <c r="F707" t="s">
        <v>652</v>
      </c>
      <c r="G707" s="156">
        <v>44619</v>
      </c>
      <c r="H707" t="s">
        <v>653</v>
      </c>
      <c r="I707">
        <v>360000</v>
      </c>
      <c r="K707">
        <v>0</v>
      </c>
      <c r="M707">
        <v>0</v>
      </c>
      <c r="N707">
        <v>0</v>
      </c>
      <c r="O707">
        <v>0</v>
      </c>
      <c r="P707" s="117">
        <v>360000</v>
      </c>
      <c r="Q707" s="117" t="s">
        <v>1021</v>
      </c>
      <c r="R707" s="150">
        <v>0</v>
      </c>
      <c r="S707" s="117" t="b">
        <f>OR(COUNTIF(Tabla2[[#This Row],[PROVEEDOR]],"*"&amp;'Palabra no opera'!$A$2&amp;"*"))</f>
        <v>0</v>
      </c>
      <c r="T707" s="150">
        <f>+$W$5-Tabla2[[#This Row],[FECHA DE FACTURACIÓN]]</f>
        <v>215</v>
      </c>
      <c r="U707" t="str">
        <f>+IF(Tabla2[[#This Row],[dias de credito]]&gt;=Tabla2[[#This Row],[PLAZO Días]],"venc", "No venc")</f>
        <v>venc</v>
      </c>
      <c r="V707" t="str">
        <f>+IF(Tabla2[[#This Row],[FECHA DE PAGO]]&gt;0,"pagada","por pagar")</f>
        <v>pagada</v>
      </c>
      <c r="W707" s="152" t="str">
        <f>+IF(AND(Tabla2[[#This Row],[venc]]="venc",Tabla2[[#This Row],[Columna1]]="por pagar"),"vencida","no")</f>
        <v>no</v>
      </c>
    </row>
    <row r="708" spans="1:23" x14ac:dyDescent="0.3">
      <c r="A708">
        <v>30</v>
      </c>
      <c r="B708">
        <v>0</v>
      </c>
      <c r="D708" t="s">
        <v>721</v>
      </c>
      <c r="E708" s="156">
        <v>44620</v>
      </c>
      <c r="F708" t="s">
        <v>938</v>
      </c>
      <c r="G708" s="156">
        <v>44616</v>
      </c>
      <c r="H708" t="s">
        <v>722</v>
      </c>
      <c r="I708">
        <v>2400000</v>
      </c>
      <c r="K708">
        <v>456000</v>
      </c>
      <c r="M708">
        <v>0</v>
      </c>
      <c r="N708">
        <v>3.5000000000000003E-2</v>
      </c>
      <c r="O708">
        <v>84000.000000000015</v>
      </c>
      <c r="P708" s="117">
        <v>2772000</v>
      </c>
      <c r="Q708" s="117" t="s">
        <v>1021</v>
      </c>
      <c r="R708" s="150">
        <v>0</v>
      </c>
      <c r="S708" s="117" t="b">
        <f>OR(COUNTIF(Tabla2[[#This Row],[PROVEEDOR]],"*"&amp;'Palabra no opera'!$A$2&amp;"*"))</f>
        <v>1</v>
      </c>
      <c r="T708" s="150">
        <f>+$W$5-Tabla2[[#This Row],[FECHA DE FACTURACIÓN]]</f>
        <v>218</v>
      </c>
      <c r="U708" t="str">
        <f>+IF(Tabla2[[#This Row],[dias de credito]]&gt;=Tabla2[[#This Row],[PLAZO Días]],"venc", "No venc")</f>
        <v>venc</v>
      </c>
      <c r="V708" t="str">
        <f>+IF(Tabla2[[#This Row],[FECHA DE PAGO]]&gt;0,"pagada","por pagar")</f>
        <v>pagada</v>
      </c>
      <c r="W708" s="152" t="str">
        <f>+IF(AND(Tabla2[[#This Row],[venc]]="venc",Tabla2[[#This Row],[Columna1]]="por pagar"),"vencida","no")</f>
        <v>no</v>
      </c>
    </row>
    <row r="709" spans="1:23" x14ac:dyDescent="0.3">
      <c r="A709">
        <v>30</v>
      </c>
      <c r="B709">
        <v>0</v>
      </c>
      <c r="D709" t="s">
        <v>861</v>
      </c>
      <c r="E709" s="156">
        <v>44620</v>
      </c>
      <c r="F709" t="s">
        <v>633</v>
      </c>
      <c r="G709" s="156">
        <v>44587</v>
      </c>
      <c r="H709" t="s">
        <v>1564</v>
      </c>
      <c r="I709">
        <v>1412800</v>
      </c>
      <c r="K709">
        <v>0</v>
      </c>
      <c r="M709">
        <v>0</v>
      </c>
      <c r="N709">
        <v>0</v>
      </c>
      <c r="O709">
        <v>0</v>
      </c>
      <c r="P709" s="117">
        <v>1412800</v>
      </c>
      <c r="Q709" s="117" t="s">
        <v>1021</v>
      </c>
      <c r="R709" s="150">
        <v>0</v>
      </c>
      <c r="S709" s="117" t="b">
        <f>OR(COUNTIF(Tabla2[[#This Row],[PROVEEDOR]],"*"&amp;'Palabra no opera'!$A$2&amp;"*"))</f>
        <v>0</v>
      </c>
      <c r="T709" s="150">
        <f>+$W$5-Tabla2[[#This Row],[FECHA DE FACTURACIÓN]]</f>
        <v>247</v>
      </c>
      <c r="U709" t="str">
        <f>+IF(Tabla2[[#This Row],[dias de credito]]&gt;=Tabla2[[#This Row],[PLAZO Días]],"venc", "No venc")</f>
        <v>venc</v>
      </c>
      <c r="V709" t="str">
        <f>+IF(Tabla2[[#This Row],[FECHA DE PAGO]]&gt;0,"pagada","por pagar")</f>
        <v>pagada</v>
      </c>
      <c r="W709" s="152" t="str">
        <f>+IF(AND(Tabla2[[#This Row],[venc]]="venc",Tabla2[[#This Row],[Columna1]]="por pagar"),"vencida","no")</f>
        <v>no</v>
      </c>
    </row>
    <row r="710" spans="1:23" x14ac:dyDescent="0.3">
      <c r="A710">
        <v>30</v>
      </c>
      <c r="B710">
        <v>3921000</v>
      </c>
      <c r="D710" t="s">
        <v>139</v>
      </c>
      <c r="E710" s="156">
        <v>44620</v>
      </c>
      <c r="F710" t="s">
        <v>671</v>
      </c>
      <c r="G710" s="156">
        <v>44545</v>
      </c>
      <c r="H710" t="s">
        <v>1362</v>
      </c>
      <c r="I710">
        <v>7060000</v>
      </c>
      <c r="K710">
        <v>0</v>
      </c>
      <c r="M710">
        <v>0</v>
      </c>
      <c r="N710">
        <v>0</v>
      </c>
      <c r="O710">
        <v>0</v>
      </c>
      <c r="P710" s="117">
        <v>7060000</v>
      </c>
      <c r="Q710" s="117" t="s">
        <v>1021</v>
      </c>
      <c r="R710" s="150">
        <v>0</v>
      </c>
      <c r="S710" s="117" t="b">
        <f>OR(COUNTIF(Tabla2[[#This Row],[PROVEEDOR]],"*"&amp;'Palabra no opera'!$A$2&amp;"*"))</f>
        <v>0</v>
      </c>
      <c r="T710" s="150">
        <f>+$W$5-Tabla2[[#This Row],[FECHA DE FACTURACIÓN]]</f>
        <v>289</v>
      </c>
      <c r="U710" t="str">
        <f>+IF(Tabla2[[#This Row],[dias de credito]]&gt;=Tabla2[[#This Row],[PLAZO Días]],"venc", "No venc")</f>
        <v>venc</v>
      </c>
      <c r="V710" t="str">
        <f>+IF(Tabla2[[#This Row],[FECHA DE PAGO]]&gt;0,"pagada","por pagar")</f>
        <v>pagada</v>
      </c>
      <c r="W710" s="152" t="str">
        <f>+IF(AND(Tabla2[[#This Row],[venc]]="venc",Tabla2[[#This Row],[Columna1]]="por pagar"),"vencida","no")</f>
        <v>no</v>
      </c>
    </row>
    <row r="711" spans="1:23" x14ac:dyDescent="0.3">
      <c r="A711">
        <v>30</v>
      </c>
      <c r="B711">
        <v>0</v>
      </c>
      <c r="D711" t="s">
        <v>650</v>
      </c>
      <c r="E711" s="156">
        <v>44617</v>
      </c>
      <c r="F711" t="s">
        <v>913</v>
      </c>
      <c r="G711" s="156">
        <v>44593</v>
      </c>
      <c r="H711" t="s">
        <v>716</v>
      </c>
      <c r="I711">
        <v>3642787</v>
      </c>
      <c r="K711">
        <v>692129.53</v>
      </c>
      <c r="M711">
        <v>0</v>
      </c>
      <c r="N711">
        <v>0</v>
      </c>
      <c r="O711">
        <v>0</v>
      </c>
      <c r="P711" s="117">
        <v>4334916.53</v>
      </c>
      <c r="Q711" s="117" t="s">
        <v>1021</v>
      </c>
      <c r="R711" s="150">
        <v>0</v>
      </c>
      <c r="S711" s="117" t="b">
        <f>OR(COUNTIF(Tabla2[[#This Row],[PROVEEDOR]],"*"&amp;'Palabra no opera'!$A$2&amp;"*"))</f>
        <v>1</v>
      </c>
      <c r="T711" s="150">
        <f>+$W$5-Tabla2[[#This Row],[FECHA DE FACTURACIÓN]]</f>
        <v>241</v>
      </c>
      <c r="U711" t="str">
        <f>+IF(Tabla2[[#This Row],[dias de credito]]&gt;=Tabla2[[#This Row],[PLAZO Días]],"venc", "No venc")</f>
        <v>venc</v>
      </c>
      <c r="V711" t="str">
        <f>+IF(Tabla2[[#This Row],[FECHA DE PAGO]]&gt;0,"pagada","por pagar")</f>
        <v>pagada</v>
      </c>
      <c r="W711" s="152" t="str">
        <f>+IF(AND(Tabla2[[#This Row],[venc]]="venc",Tabla2[[#This Row],[Columna1]]="por pagar"),"vencida","no")</f>
        <v>no</v>
      </c>
    </row>
    <row r="712" spans="1:23" x14ac:dyDescent="0.3">
      <c r="A712">
        <v>30</v>
      </c>
      <c r="B712">
        <v>0</v>
      </c>
      <c r="D712" t="s">
        <v>650</v>
      </c>
      <c r="E712" s="156">
        <v>44617</v>
      </c>
      <c r="F712" t="s">
        <v>913</v>
      </c>
      <c r="G712" s="156">
        <v>44593</v>
      </c>
      <c r="H712" t="s">
        <v>715</v>
      </c>
      <c r="I712">
        <v>716544</v>
      </c>
      <c r="K712">
        <v>136143.36000000002</v>
      </c>
      <c r="M712">
        <v>0</v>
      </c>
      <c r="N712">
        <v>0</v>
      </c>
      <c r="O712">
        <v>0</v>
      </c>
      <c r="P712" s="117">
        <v>852687.35999999999</v>
      </c>
      <c r="Q712" s="117" t="s">
        <v>1021</v>
      </c>
      <c r="R712" s="150">
        <v>0</v>
      </c>
      <c r="S712" s="117" t="b">
        <f>OR(COUNTIF(Tabla2[[#This Row],[PROVEEDOR]],"*"&amp;'Palabra no opera'!$A$2&amp;"*"))</f>
        <v>1</v>
      </c>
      <c r="T712" s="150">
        <f>+$W$5-Tabla2[[#This Row],[FECHA DE FACTURACIÓN]]</f>
        <v>241</v>
      </c>
      <c r="U712" t="str">
        <f>+IF(Tabla2[[#This Row],[dias de credito]]&gt;=Tabla2[[#This Row],[PLAZO Días]],"venc", "No venc")</f>
        <v>venc</v>
      </c>
      <c r="V712" t="str">
        <f>+IF(Tabla2[[#This Row],[FECHA DE PAGO]]&gt;0,"pagada","por pagar")</f>
        <v>pagada</v>
      </c>
      <c r="W712" s="152" t="str">
        <f>+IF(AND(Tabla2[[#This Row],[venc]]="venc",Tabla2[[#This Row],[Columna1]]="por pagar"),"vencida","no")</f>
        <v>no</v>
      </c>
    </row>
    <row r="713" spans="1:23" x14ac:dyDescent="0.3">
      <c r="A713">
        <v>30</v>
      </c>
      <c r="B713">
        <v>0</v>
      </c>
      <c r="D713" t="s">
        <v>1688</v>
      </c>
      <c r="E713" s="156">
        <v>44617</v>
      </c>
      <c r="F713" t="s">
        <v>928</v>
      </c>
      <c r="G713" s="156">
        <v>44593</v>
      </c>
      <c r="H713" t="s">
        <v>724</v>
      </c>
      <c r="I713">
        <v>3958317</v>
      </c>
      <c r="K713">
        <v>0</v>
      </c>
      <c r="M713">
        <v>0</v>
      </c>
      <c r="N713">
        <v>3.5000000000000003E-2</v>
      </c>
      <c r="O713">
        <v>138541.095</v>
      </c>
      <c r="P713" s="117">
        <v>3819775.9049999998</v>
      </c>
      <c r="Q713" s="117" t="s">
        <v>1021</v>
      </c>
      <c r="R713" s="150">
        <v>0</v>
      </c>
      <c r="S713" s="117" t="b">
        <f>OR(COUNTIF(Tabla2[[#This Row],[PROVEEDOR]],"*"&amp;'Palabra no opera'!$A$2&amp;"*"))</f>
        <v>1</v>
      </c>
      <c r="T713" s="150">
        <f>+$W$5-Tabla2[[#This Row],[FECHA DE FACTURACIÓN]]</f>
        <v>241</v>
      </c>
      <c r="U713" t="str">
        <f>+IF(Tabla2[[#This Row],[dias de credito]]&gt;=Tabla2[[#This Row],[PLAZO Días]],"venc", "No venc")</f>
        <v>venc</v>
      </c>
      <c r="V713" t="str">
        <f>+IF(Tabla2[[#This Row],[FECHA DE PAGO]]&gt;0,"pagada","por pagar")</f>
        <v>pagada</v>
      </c>
      <c r="W713" s="152" t="str">
        <f>+IF(AND(Tabla2[[#This Row],[venc]]="venc",Tabla2[[#This Row],[Columna1]]="por pagar"),"vencida","no")</f>
        <v>no</v>
      </c>
    </row>
    <row r="714" spans="1:23" x14ac:dyDescent="0.3">
      <c r="A714">
        <v>30</v>
      </c>
      <c r="B714">
        <v>0</v>
      </c>
      <c r="D714" t="s">
        <v>259</v>
      </c>
      <c r="E714" s="156">
        <v>44617</v>
      </c>
      <c r="F714" t="s">
        <v>918</v>
      </c>
      <c r="G714" s="156">
        <v>44593</v>
      </c>
      <c r="H714">
        <v>9918</v>
      </c>
      <c r="I714">
        <v>1634691</v>
      </c>
      <c r="K714">
        <v>0</v>
      </c>
      <c r="M714">
        <v>0</v>
      </c>
      <c r="N714">
        <v>0</v>
      </c>
      <c r="O714">
        <v>0</v>
      </c>
      <c r="P714" s="117">
        <v>1634691</v>
      </c>
      <c r="Q714" s="117" t="s">
        <v>1021</v>
      </c>
      <c r="R714" s="150">
        <v>0</v>
      </c>
      <c r="S714" s="117" t="b">
        <f>OR(COUNTIF(Tabla2[[#This Row],[PROVEEDOR]],"*"&amp;'Palabra no opera'!$A$2&amp;"*"))</f>
        <v>1</v>
      </c>
      <c r="T714" s="150">
        <f>+$W$5-Tabla2[[#This Row],[FECHA DE FACTURACIÓN]]</f>
        <v>241</v>
      </c>
      <c r="U714" t="str">
        <f>+IF(Tabla2[[#This Row],[dias de credito]]&gt;=Tabla2[[#This Row],[PLAZO Días]],"venc", "No venc")</f>
        <v>venc</v>
      </c>
      <c r="V714" t="str">
        <f>+IF(Tabla2[[#This Row],[FECHA DE PAGO]]&gt;0,"pagada","por pagar")</f>
        <v>pagada</v>
      </c>
      <c r="W714" s="152" t="str">
        <f>+IF(AND(Tabla2[[#This Row],[venc]]="venc",Tabla2[[#This Row],[Columna1]]="por pagar"),"vencida","no")</f>
        <v>no</v>
      </c>
    </row>
    <row r="715" spans="1:23" x14ac:dyDescent="0.3">
      <c r="A715">
        <v>30</v>
      </c>
      <c r="B715">
        <v>0</v>
      </c>
      <c r="D715" t="s">
        <v>433</v>
      </c>
      <c r="E715" s="156">
        <v>44617</v>
      </c>
      <c r="F715" t="s">
        <v>925</v>
      </c>
      <c r="G715" s="156">
        <v>44593</v>
      </c>
      <c r="H715">
        <v>2200</v>
      </c>
      <c r="I715">
        <v>2789636</v>
      </c>
      <c r="K715">
        <v>0</v>
      </c>
      <c r="M715">
        <v>0</v>
      </c>
      <c r="N715">
        <v>3.5000000000000003E-2</v>
      </c>
      <c r="O715">
        <v>97637.260000000009</v>
      </c>
      <c r="P715" s="117">
        <v>2691998.74</v>
      </c>
      <c r="Q715" s="117" t="s">
        <v>1021</v>
      </c>
      <c r="R715" s="150">
        <v>0</v>
      </c>
      <c r="S715" s="117" t="b">
        <f>OR(COUNTIF(Tabla2[[#This Row],[PROVEEDOR]],"*"&amp;'Palabra no opera'!$A$2&amp;"*"))</f>
        <v>1</v>
      </c>
      <c r="T715" s="150">
        <f>+$W$5-Tabla2[[#This Row],[FECHA DE FACTURACIÓN]]</f>
        <v>241</v>
      </c>
      <c r="U715" t="str">
        <f>+IF(Tabla2[[#This Row],[dias de credito]]&gt;=Tabla2[[#This Row],[PLAZO Días]],"venc", "No venc")</f>
        <v>venc</v>
      </c>
      <c r="V715" t="str">
        <f>+IF(Tabla2[[#This Row],[FECHA DE PAGO]]&gt;0,"pagada","por pagar")</f>
        <v>pagada</v>
      </c>
      <c r="W715" s="152" t="str">
        <f>+IF(AND(Tabla2[[#This Row],[venc]]="venc",Tabla2[[#This Row],[Columna1]]="por pagar"),"vencida","no")</f>
        <v>no</v>
      </c>
    </row>
    <row r="716" spans="1:23" x14ac:dyDescent="0.3">
      <c r="A716">
        <v>30</v>
      </c>
      <c r="B716">
        <v>0</v>
      </c>
      <c r="D716" t="s">
        <v>267</v>
      </c>
      <c r="E716" s="156">
        <v>44617</v>
      </c>
      <c r="F716" t="s">
        <v>941</v>
      </c>
      <c r="G716" s="156">
        <v>44593</v>
      </c>
      <c r="H716">
        <v>4124</v>
      </c>
      <c r="I716">
        <v>215356</v>
      </c>
      <c r="K716">
        <v>40917.64</v>
      </c>
      <c r="M716">
        <v>0</v>
      </c>
      <c r="N716">
        <v>3.5000000000000003E-2</v>
      </c>
      <c r="O716">
        <v>7537.4600000000009</v>
      </c>
      <c r="P716" s="117">
        <v>248736.18000000002</v>
      </c>
      <c r="Q716" s="117" t="s">
        <v>1021</v>
      </c>
      <c r="R716" s="150">
        <v>0</v>
      </c>
      <c r="S716" s="117" t="b">
        <f>OR(COUNTIF(Tabla2[[#This Row],[PROVEEDOR]],"*"&amp;'Palabra no opera'!$A$2&amp;"*"))</f>
        <v>1</v>
      </c>
      <c r="T716" s="150">
        <f>+$W$5-Tabla2[[#This Row],[FECHA DE FACTURACIÓN]]</f>
        <v>241</v>
      </c>
      <c r="U716" t="str">
        <f>+IF(Tabla2[[#This Row],[dias de credito]]&gt;=Tabla2[[#This Row],[PLAZO Días]],"venc", "No venc")</f>
        <v>venc</v>
      </c>
      <c r="V716" t="str">
        <f>+IF(Tabla2[[#This Row],[FECHA DE PAGO]]&gt;0,"pagada","por pagar")</f>
        <v>pagada</v>
      </c>
      <c r="W716" s="152" t="str">
        <f>+IF(AND(Tabla2[[#This Row],[venc]]="venc",Tabla2[[#This Row],[Columna1]]="por pagar"),"vencida","no")</f>
        <v>no</v>
      </c>
    </row>
    <row r="717" spans="1:23" x14ac:dyDescent="0.3">
      <c r="A717">
        <v>20</v>
      </c>
      <c r="B717">
        <v>0</v>
      </c>
      <c r="D717" t="s">
        <v>275</v>
      </c>
      <c r="E717" s="156">
        <v>44617</v>
      </c>
      <c r="F717" t="s">
        <v>942</v>
      </c>
      <c r="G717" s="156">
        <v>44593</v>
      </c>
      <c r="H717">
        <v>41982</v>
      </c>
      <c r="I717">
        <v>4430000</v>
      </c>
      <c r="K717">
        <v>841700</v>
      </c>
      <c r="M717">
        <v>0</v>
      </c>
      <c r="N717">
        <v>3.5000000000000003E-2</v>
      </c>
      <c r="O717">
        <v>155050.00000000003</v>
      </c>
      <c r="P717" s="117">
        <v>5116650</v>
      </c>
      <c r="Q717" s="117" t="s">
        <v>1021</v>
      </c>
      <c r="R717" s="150">
        <v>0</v>
      </c>
      <c r="S717" s="117" t="b">
        <f>OR(COUNTIF(Tabla2[[#This Row],[PROVEEDOR]],"*"&amp;'Palabra no opera'!$A$2&amp;"*"))</f>
        <v>1</v>
      </c>
      <c r="T717" s="150">
        <f>+$W$5-Tabla2[[#This Row],[FECHA DE FACTURACIÓN]]</f>
        <v>241</v>
      </c>
      <c r="U717" t="str">
        <f>+IF(Tabla2[[#This Row],[dias de credito]]&gt;=Tabla2[[#This Row],[PLAZO Días]],"venc", "No venc")</f>
        <v>venc</v>
      </c>
      <c r="V717" t="str">
        <f>+IF(Tabla2[[#This Row],[FECHA DE PAGO]]&gt;0,"pagada","por pagar")</f>
        <v>pagada</v>
      </c>
      <c r="W717" s="152" t="str">
        <f>+IF(AND(Tabla2[[#This Row],[venc]]="venc",Tabla2[[#This Row],[Columna1]]="por pagar"),"vencida","no")</f>
        <v>no</v>
      </c>
    </row>
    <row r="718" spans="1:23" x14ac:dyDescent="0.3">
      <c r="A718">
        <v>30</v>
      </c>
      <c r="B718">
        <v>146262.9</v>
      </c>
      <c r="D718" t="s">
        <v>262</v>
      </c>
      <c r="E718" s="156">
        <v>44617</v>
      </c>
      <c r="F718" t="s">
        <v>17</v>
      </c>
      <c r="G718" s="156">
        <v>44580</v>
      </c>
      <c r="H718">
        <v>1864904</v>
      </c>
      <c r="I718">
        <v>1440260</v>
      </c>
      <c r="K718">
        <v>273649.40000000002</v>
      </c>
      <c r="M718">
        <v>0</v>
      </c>
      <c r="N718">
        <v>0</v>
      </c>
      <c r="O718">
        <v>0</v>
      </c>
      <c r="P718" s="117">
        <v>1713909.4</v>
      </c>
      <c r="Q718" s="117" t="s">
        <v>1021</v>
      </c>
      <c r="R718" s="150">
        <v>0</v>
      </c>
      <c r="S718" s="117" t="b">
        <f>OR(COUNTIF(Tabla2[[#This Row],[PROVEEDOR]],"*"&amp;'Palabra no opera'!$A$2&amp;"*"))</f>
        <v>0</v>
      </c>
      <c r="T718" s="150">
        <f>+$W$5-Tabla2[[#This Row],[FECHA DE FACTURACIÓN]]</f>
        <v>254</v>
      </c>
      <c r="U718" t="str">
        <f>+IF(Tabla2[[#This Row],[dias de credito]]&gt;=Tabla2[[#This Row],[PLAZO Días]],"venc", "No venc")</f>
        <v>venc</v>
      </c>
      <c r="V718" t="str">
        <f>+IF(Tabla2[[#This Row],[FECHA DE PAGO]]&gt;0,"pagada","por pagar")</f>
        <v>pagada</v>
      </c>
      <c r="W718" s="152" t="str">
        <f>+IF(AND(Tabla2[[#This Row],[venc]]="venc",Tabla2[[#This Row],[Columna1]]="por pagar"),"vencida","no")</f>
        <v>no</v>
      </c>
    </row>
    <row r="719" spans="1:23" x14ac:dyDescent="0.3">
      <c r="A719">
        <v>30</v>
      </c>
      <c r="B719">
        <v>19675613.1195</v>
      </c>
      <c r="D719" t="s">
        <v>256</v>
      </c>
      <c r="E719" s="156">
        <v>44617</v>
      </c>
      <c r="F719" t="s">
        <v>18</v>
      </c>
      <c r="G719" s="156">
        <v>44574</v>
      </c>
      <c r="H719">
        <v>1048362</v>
      </c>
      <c r="I719">
        <v>7141767.0800000001</v>
      </c>
      <c r="K719">
        <v>1356935.7452</v>
      </c>
      <c r="M719">
        <v>0</v>
      </c>
      <c r="N719">
        <v>2.5000000000000001E-2</v>
      </c>
      <c r="O719">
        <v>178544.17700000003</v>
      </c>
      <c r="P719" s="117">
        <v>8320158.6482000006</v>
      </c>
      <c r="Q719" s="117" t="s">
        <v>1021</v>
      </c>
      <c r="R719" s="150">
        <v>0</v>
      </c>
      <c r="S719" s="117" t="b">
        <f>OR(COUNTIF(Tabla2[[#This Row],[PROVEEDOR]],"*"&amp;'Palabra no opera'!$A$2&amp;"*"))</f>
        <v>0</v>
      </c>
      <c r="T719" s="150">
        <f>+$W$5-Tabla2[[#This Row],[FECHA DE FACTURACIÓN]]</f>
        <v>260</v>
      </c>
      <c r="U719" t="str">
        <f>+IF(Tabla2[[#This Row],[dias de credito]]&gt;=Tabla2[[#This Row],[PLAZO Días]],"venc", "No venc")</f>
        <v>venc</v>
      </c>
      <c r="V719" t="str">
        <f>+IF(Tabla2[[#This Row],[FECHA DE PAGO]]&gt;0,"pagada","por pagar")</f>
        <v>pagada</v>
      </c>
      <c r="W719" s="152" t="str">
        <f>+IF(AND(Tabla2[[#This Row],[venc]]="venc",Tabla2[[#This Row],[Columna1]]="por pagar"),"vencida","no")</f>
        <v>no</v>
      </c>
    </row>
    <row r="720" spans="1:23" x14ac:dyDescent="0.3">
      <c r="A720">
        <v>30</v>
      </c>
      <c r="B720">
        <v>1865958.0154999997</v>
      </c>
      <c r="D720" t="s">
        <v>718</v>
      </c>
      <c r="E720" s="156">
        <v>44617</v>
      </c>
      <c r="F720" t="s">
        <v>508</v>
      </c>
      <c r="G720" s="156">
        <v>44574</v>
      </c>
      <c r="H720" t="s">
        <v>618</v>
      </c>
      <c r="I720">
        <v>1420170</v>
      </c>
      <c r="K720">
        <v>269832.3</v>
      </c>
      <c r="M720">
        <v>0</v>
      </c>
      <c r="N720">
        <v>2.5000000000000001E-2</v>
      </c>
      <c r="O720">
        <v>35504.25</v>
      </c>
      <c r="P720" s="117">
        <v>1654498.05</v>
      </c>
      <c r="Q720" s="117" t="s">
        <v>1021</v>
      </c>
      <c r="R720" s="150">
        <v>0</v>
      </c>
      <c r="S720" s="117" t="b">
        <f>OR(COUNTIF(Tabla2[[#This Row],[PROVEEDOR]],"*"&amp;'Palabra no opera'!$A$2&amp;"*"))</f>
        <v>0</v>
      </c>
      <c r="T720" s="150">
        <f>+$W$5-Tabla2[[#This Row],[FECHA DE FACTURACIÓN]]</f>
        <v>260</v>
      </c>
      <c r="U720" t="str">
        <f>+IF(Tabla2[[#This Row],[dias de credito]]&gt;=Tabla2[[#This Row],[PLAZO Días]],"venc", "No venc")</f>
        <v>venc</v>
      </c>
      <c r="V720" t="str">
        <f>+IF(Tabla2[[#This Row],[FECHA DE PAGO]]&gt;0,"pagada","por pagar")</f>
        <v>pagada</v>
      </c>
      <c r="W720" s="152" t="str">
        <f>+IF(AND(Tabla2[[#This Row],[venc]]="venc",Tabla2[[#This Row],[Columna1]]="por pagar"),"vencida","no")</f>
        <v>no</v>
      </c>
    </row>
    <row r="721" spans="1:23" x14ac:dyDescent="0.3">
      <c r="A721">
        <v>30</v>
      </c>
      <c r="B721">
        <v>0</v>
      </c>
      <c r="D721" t="s">
        <v>139</v>
      </c>
      <c r="E721" s="156">
        <v>44616</v>
      </c>
      <c r="F721" t="s">
        <v>673</v>
      </c>
      <c r="G721" s="156">
        <v>44616</v>
      </c>
      <c r="I721">
        <v>1000000</v>
      </c>
      <c r="K721">
        <v>0</v>
      </c>
      <c r="M721">
        <v>0</v>
      </c>
      <c r="N721">
        <v>0</v>
      </c>
      <c r="O721">
        <v>0</v>
      </c>
      <c r="P721" s="117">
        <v>1000000</v>
      </c>
      <c r="Q721" s="117" t="s">
        <v>1021</v>
      </c>
      <c r="R721" s="150">
        <v>0</v>
      </c>
      <c r="S721" s="117" t="b">
        <f>OR(COUNTIF(Tabla2[[#This Row],[PROVEEDOR]],"*"&amp;'Palabra no opera'!$A$2&amp;"*"))</f>
        <v>0</v>
      </c>
      <c r="T721" s="150">
        <f>+$W$5-Tabla2[[#This Row],[FECHA DE FACTURACIÓN]]</f>
        <v>218</v>
      </c>
      <c r="U721" t="str">
        <f>+IF(Tabla2[[#This Row],[dias de credito]]&gt;=Tabla2[[#This Row],[PLAZO Días]],"venc", "No venc")</f>
        <v>venc</v>
      </c>
      <c r="V721" t="str">
        <f>+IF(Tabla2[[#This Row],[FECHA DE PAGO]]&gt;0,"pagada","por pagar")</f>
        <v>pagada</v>
      </c>
      <c r="W721" s="152" t="str">
        <f>+IF(AND(Tabla2[[#This Row],[venc]]="venc",Tabla2[[#This Row],[Columna1]]="por pagar"),"vencida","no")</f>
        <v>no</v>
      </c>
    </row>
    <row r="722" spans="1:23" x14ac:dyDescent="0.3">
      <c r="A722">
        <v>30</v>
      </c>
      <c r="B722">
        <v>0</v>
      </c>
      <c r="D722" t="s">
        <v>1036</v>
      </c>
      <c r="E722" s="156">
        <v>44616</v>
      </c>
      <c r="F722" t="s">
        <v>927</v>
      </c>
      <c r="G722" s="156">
        <v>44593</v>
      </c>
      <c r="H722">
        <v>13188</v>
      </c>
      <c r="I722">
        <v>800264</v>
      </c>
      <c r="K722">
        <v>0</v>
      </c>
      <c r="M722">
        <v>0</v>
      </c>
      <c r="N722">
        <v>0</v>
      </c>
      <c r="O722">
        <v>0</v>
      </c>
      <c r="P722" s="117">
        <v>800264</v>
      </c>
      <c r="Q722" s="117" t="s">
        <v>1021</v>
      </c>
      <c r="R722" s="150">
        <v>0</v>
      </c>
      <c r="S722" s="117" t="b">
        <f>OR(COUNTIF(Tabla2[[#This Row],[PROVEEDOR]],"*"&amp;'Palabra no opera'!$A$2&amp;"*"))</f>
        <v>1</v>
      </c>
      <c r="T722" s="150">
        <f>+$W$5-Tabla2[[#This Row],[FECHA DE FACTURACIÓN]]</f>
        <v>241</v>
      </c>
      <c r="U722" t="str">
        <f>+IF(Tabla2[[#This Row],[dias de credito]]&gt;=Tabla2[[#This Row],[PLAZO Días]],"venc", "No venc")</f>
        <v>venc</v>
      </c>
      <c r="V722" t="str">
        <f>+IF(Tabla2[[#This Row],[FECHA DE PAGO]]&gt;0,"pagada","por pagar")</f>
        <v>pagada</v>
      </c>
      <c r="W722" s="152" t="str">
        <f>+IF(AND(Tabla2[[#This Row],[venc]]="venc",Tabla2[[#This Row],[Columna1]]="por pagar"),"vencida","no")</f>
        <v>no</v>
      </c>
    </row>
    <row r="723" spans="1:23" x14ac:dyDescent="0.3">
      <c r="A723">
        <v>30</v>
      </c>
      <c r="B723">
        <v>0</v>
      </c>
      <c r="D723" t="s">
        <v>1036</v>
      </c>
      <c r="E723" s="156">
        <v>44616</v>
      </c>
      <c r="F723" t="s">
        <v>927</v>
      </c>
      <c r="G723" s="156">
        <v>44593</v>
      </c>
      <c r="H723">
        <v>13229</v>
      </c>
      <c r="I723">
        <v>818874</v>
      </c>
      <c r="K723">
        <v>0</v>
      </c>
      <c r="M723">
        <v>0</v>
      </c>
      <c r="N723">
        <v>0</v>
      </c>
      <c r="O723">
        <v>0</v>
      </c>
      <c r="P723" s="117">
        <v>818874</v>
      </c>
      <c r="Q723" s="117" t="s">
        <v>1021</v>
      </c>
      <c r="R723" s="150">
        <v>0</v>
      </c>
      <c r="S723" s="117" t="b">
        <f>OR(COUNTIF(Tabla2[[#This Row],[PROVEEDOR]],"*"&amp;'Palabra no opera'!$A$2&amp;"*"))</f>
        <v>1</v>
      </c>
      <c r="T723" s="150">
        <f>+$W$5-Tabla2[[#This Row],[FECHA DE FACTURACIÓN]]</f>
        <v>241</v>
      </c>
      <c r="U723" t="str">
        <f>+IF(Tabla2[[#This Row],[dias de credito]]&gt;=Tabla2[[#This Row],[PLAZO Días]],"venc", "No venc")</f>
        <v>venc</v>
      </c>
      <c r="V723" t="str">
        <f>+IF(Tabla2[[#This Row],[FECHA DE PAGO]]&gt;0,"pagada","por pagar")</f>
        <v>pagada</v>
      </c>
      <c r="W723" s="152" t="str">
        <f>+IF(AND(Tabla2[[#This Row],[venc]]="venc",Tabla2[[#This Row],[Columna1]]="por pagar"),"vencida","no")</f>
        <v>no</v>
      </c>
    </row>
    <row r="724" spans="1:23" x14ac:dyDescent="0.3">
      <c r="A724">
        <v>30</v>
      </c>
      <c r="B724">
        <v>0</v>
      </c>
      <c r="D724">
        <v>0</v>
      </c>
      <c r="E724" s="156">
        <v>44615</v>
      </c>
      <c r="F724" t="s">
        <v>931</v>
      </c>
      <c r="G724" s="156">
        <v>44610</v>
      </c>
      <c r="H724">
        <v>94613621</v>
      </c>
      <c r="I724">
        <v>130900</v>
      </c>
      <c r="K724">
        <v>24871</v>
      </c>
      <c r="M724">
        <v>0</v>
      </c>
      <c r="N724">
        <v>3.5000000000000003E-2</v>
      </c>
      <c r="O724">
        <v>4581.5</v>
      </c>
      <c r="P724" s="117">
        <v>155771</v>
      </c>
      <c r="Q724" s="117" t="s">
        <v>1021</v>
      </c>
      <c r="R724" s="150">
        <v>0</v>
      </c>
      <c r="S724" s="117" t="b">
        <f>OR(COUNTIF(Tabla2[[#This Row],[PROVEEDOR]],"*"&amp;'Palabra no opera'!$A$2&amp;"*"))</f>
        <v>1</v>
      </c>
      <c r="T724" s="150">
        <f>+$W$5-Tabla2[[#This Row],[FECHA DE FACTURACIÓN]]</f>
        <v>224</v>
      </c>
      <c r="U724" t="str">
        <f>+IF(Tabla2[[#This Row],[dias de credito]]&gt;=Tabla2[[#This Row],[PLAZO Días]],"venc", "No venc")</f>
        <v>venc</v>
      </c>
      <c r="V724" t="str">
        <f>+IF(Tabla2[[#This Row],[FECHA DE PAGO]]&gt;0,"pagada","por pagar")</f>
        <v>pagada</v>
      </c>
      <c r="W724" s="152" t="str">
        <f>+IF(AND(Tabla2[[#This Row],[venc]]="venc",Tabla2[[#This Row],[Columna1]]="por pagar"),"vencida","no")</f>
        <v>no</v>
      </c>
    </row>
    <row r="725" spans="1:23" x14ac:dyDescent="0.3">
      <c r="A725">
        <v>0</v>
      </c>
      <c r="B725">
        <v>0</v>
      </c>
      <c r="D725" t="s">
        <v>171</v>
      </c>
      <c r="E725" s="156">
        <v>44614</v>
      </c>
      <c r="F725" t="s">
        <v>939</v>
      </c>
      <c r="G725" s="156">
        <v>44596</v>
      </c>
      <c r="H725">
        <v>915</v>
      </c>
      <c r="I725">
        <v>600000</v>
      </c>
      <c r="K725">
        <v>0</v>
      </c>
      <c r="M725">
        <v>0</v>
      </c>
      <c r="N725">
        <v>0</v>
      </c>
      <c r="O725">
        <v>0</v>
      </c>
      <c r="P725" s="117">
        <v>600000</v>
      </c>
      <c r="Q725" s="117" t="s">
        <v>1021</v>
      </c>
      <c r="R725" s="150">
        <v>0</v>
      </c>
      <c r="S725" s="117" t="b">
        <f>OR(COUNTIF(Tabla2[[#This Row],[PROVEEDOR]],"*"&amp;'Palabra no opera'!$A$2&amp;"*"))</f>
        <v>1</v>
      </c>
      <c r="T725" s="150">
        <f>+$W$5-Tabla2[[#This Row],[FECHA DE FACTURACIÓN]]</f>
        <v>238</v>
      </c>
      <c r="U725" t="str">
        <f>+IF(Tabla2[[#This Row],[dias de credito]]&gt;=Tabla2[[#This Row],[PLAZO Días]],"venc", "No venc")</f>
        <v>venc</v>
      </c>
      <c r="V725" t="str">
        <f>+IF(Tabla2[[#This Row],[FECHA DE PAGO]]&gt;0,"pagada","por pagar")</f>
        <v>pagada</v>
      </c>
      <c r="W725" s="152" t="str">
        <f>+IF(AND(Tabla2[[#This Row],[venc]]="venc",Tabla2[[#This Row],[Columna1]]="por pagar"),"vencida","no")</f>
        <v>no</v>
      </c>
    </row>
    <row r="726" spans="1:23" x14ac:dyDescent="0.3">
      <c r="A726">
        <v>30</v>
      </c>
      <c r="B726">
        <v>-101001.25</v>
      </c>
      <c r="D726" t="s">
        <v>274</v>
      </c>
      <c r="E726" s="156">
        <v>44614</v>
      </c>
      <c r="F726" t="s">
        <v>14</v>
      </c>
      <c r="G726" s="156">
        <v>44581</v>
      </c>
      <c r="H726" t="s">
        <v>770</v>
      </c>
      <c r="I726">
        <v>509250</v>
      </c>
      <c r="K726">
        <v>96757.5</v>
      </c>
      <c r="L726">
        <v>0.02</v>
      </c>
      <c r="M726">
        <v>10185</v>
      </c>
      <c r="N726">
        <v>0</v>
      </c>
      <c r="O726">
        <v>0</v>
      </c>
      <c r="P726" s="117">
        <v>595822.5</v>
      </c>
      <c r="Q726" s="117" t="s">
        <v>1021</v>
      </c>
      <c r="R726" s="150">
        <v>0</v>
      </c>
      <c r="S726" s="117" t="b">
        <f>OR(COUNTIF(Tabla2[[#This Row],[PROVEEDOR]],"*"&amp;'Palabra no opera'!$A$2&amp;"*"))</f>
        <v>0</v>
      </c>
      <c r="T726" s="150">
        <f>+$W$5-Tabla2[[#This Row],[FECHA DE FACTURACIÓN]]</f>
        <v>253</v>
      </c>
      <c r="U726" t="str">
        <f>+IF(Tabla2[[#This Row],[dias de credito]]&gt;=Tabla2[[#This Row],[PLAZO Días]],"venc", "No venc")</f>
        <v>venc</v>
      </c>
      <c r="V726" t="str">
        <f>+IF(Tabla2[[#This Row],[FECHA DE PAGO]]&gt;0,"pagada","por pagar")</f>
        <v>pagada</v>
      </c>
      <c r="W726" s="152" t="str">
        <f>+IF(AND(Tabla2[[#This Row],[venc]]="venc",Tabla2[[#This Row],[Columna1]]="por pagar"),"vencida","no")</f>
        <v>no</v>
      </c>
    </row>
    <row r="727" spans="1:23" x14ac:dyDescent="0.3">
      <c r="A727">
        <v>30</v>
      </c>
      <c r="B727">
        <v>8190204</v>
      </c>
      <c r="D727" t="s">
        <v>263</v>
      </c>
      <c r="E727" s="156">
        <v>44614</v>
      </c>
      <c r="F727" t="s">
        <v>1637</v>
      </c>
      <c r="G727" s="156">
        <v>44579</v>
      </c>
      <c r="H727">
        <v>24344</v>
      </c>
      <c r="I727">
        <v>640000</v>
      </c>
      <c r="K727">
        <v>121600</v>
      </c>
      <c r="M727">
        <v>0</v>
      </c>
      <c r="N727">
        <v>0</v>
      </c>
      <c r="O727">
        <v>0</v>
      </c>
      <c r="P727" s="117">
        <v>761600</v>
      </c>
      <c r="Q727" s="117" t="s">
        <v>1021</v>
      </c>
      <c r="R727" s="150">
        <v>0</v>
      </c>
      <c r="S727" s="117" t="b">
        <f>OR(COUNTIF(Tabla2[[#This Row],[PROVEEDOR]],"*"&amp;'Palabra no opera'!$A$2&amp;"*"))</f>
        <v>0</v>
      </c>
      <c r="T727" s="150">
        <f>+$W$5-Tabla2[[#This Row],[FECHA DE FACTURACIÓN]]</f>
        <v>255</v>
      </c>
      <c r="U727" t="str">
        <f>+IF(Tabla2[[#This Row],[dias de credito]]&gt;=Tabla2[[#This Row],[PLAZO Días]],"venc", "No venc")</f>
        <v>venc</v>
      </c>
      <c r="V727" t="str">
        <f>+IF(Tabla2[[#This Row],[FECHA DE PAGO]]&gt;0,"pagada","por pagar")</f>
        <v>pagada</v>
      </c>
      <c r="W727" s="152" t="str">
        <f>+IF(AND(Tabla2[[#This Row],[venc]]="venc",Tabla2[[#This Row],[Columna1]]="por pagar"),"vencida","no")</f>
        <v>no</v>
      </c>
    </row>
    <row r="728" spans="1:23" x14ac:dyDescent="0.3">
      <c r="A728">
        <v>30</v>
      </c>
      <c r="B728">
        <v>8190204</v>
      </c>
      <c r="D728" t="s">
        <v>263</v>
      </c>
      <c r="E728" s="156">
        <v>44614</v>
      </c>
      <c r="F728" t="s">
        <v>1637</v>
      </c>
      <c r="G728" s="156">
        <v>44550</v>
      </c>
      <c r="H728">
        <v>24019</v>
      </c>
      <c r="I728">
        <v>2885740</v>
      </c>
      <c r="K728">
        <v>548290.6</v>
      </c>
      <c r="M728">
        <v>0</v>
      </c>
      <c r="N728">
        <v>2.5000000000000001E-2</v>
      </c>
      <c r="O728">
        <v>72143.5</v>
      </c>
      <c r="P728" s="117">
        <v>3361887.1</v>
      </c>
      <c r="Q728" s="117" t="s">
        <v>1021</v>
      </c>
      <c r="R728" s="150">
        <v>0</v>
      </c>
      <c r="S728" s="117" t="b">
        <f>OR(COUNTIF(Tabla2[[#This Row],[PROVEEDOR]],"*"&amp;'Palabra no opera'!$A$2&amp;"*"))</f>
        <v>0</v>
      </c>
      <c r="T728" s="150">
        <f>+$W$5-Tabla2[[#This Row],[FECHA DE FACTURACIÓN]]</f>
        <v>284</v>
      </c>
      <c r="U728" t="str">
        <f>+IF(Tabla2[[#This Row],[dias de credito]]&gt;=Tabla2[[#This Row],[PLAZO Días]],"venc", "No venc")</f>
        <v>venc</v>
      </c>
      <c r="V728" t="str">
        <f>+IF(Tabla2[[#This Row],[FECHA DE PAGO]]&gt;0,"pagada","por pagar")</f>
        <v>pagada</v>
      </c>
      <c r="W728" s="152" t="str">
        <f>+IF(AND(Tabla2[[#This Row],[venc]]="venc",Tabla2[[#This Row],[Columna1]]="por pagar"),"vencida","no")</f>
        <v>no</v>
      </c>
    </row>
    <row r="729" spans="1:23" x14ac:dyDescent="0.3">
      <c r="A729">
        <v>30</v>
      </c>
      <c r="B729">
        <v>0</v>
      </c>
      <c r="D729" t="s">
        <v>139</v>
      </c>
      <c r="E729" s="156">
        <v>44609</v>
      </c>
      <c r="F729" t="s">
        <v>673</v>
      </c>
      <c r="G729" s="156">
        <v>44609</v>
      </c>
      <c r="I729">
        <v>1000000</v>
      </c>
      <c r="K729">
        <v>0</v>
      </c>
      <c r="M729">
        <v>0</v>
      </c>
      <c r="N729">
        <v>0</v>
      </c>
      <c r="O729">
        <v>0</v>
      </c>
      <c r="P729" s="117">
        <v>1000000</v>
      </c>
      <c r="Q729" s="117" t="s">
        <v>1021</v>
      </c>
      <c r="R729" s="150">
        <v>0</v>
      </c>
      <c r="S729" s="117" t="b">
        <f>OR(COUNTIF(Tabla2[[#This Row],[PROVEEDOR]],"*"&amp;'Palabra no opera'!$A$2&amp;"*"))</f>
        <v>0</v>
      </c>
      <c r="T729" s="150">
        <f>+$W$5-Tabla2[[#This Row],[FECHA DE FACTURACIÓN]]</f>
        <v>225</v>
      </c>
      <c r="U729" t="str">
        <f>+IF(Tabla2[[#This Row],[dias de credito]]&gt;=Tabla2[[#This Row],[PLAZO Días]],"venc", "No venc")</f>
        <v>venc</v>
      </c>
      <c r="V729" t="str">
        <f>+IF(Tabla2[[#This Row],[FECHA DE PAGO]]&gt;0,"pagada","por pagar")</f>
        <v>pagada</v>
      </c>
      <c r="W729" s="152" t="str">
        <f>+IF(AND(Tabla2[[#This Row],[venc]]="venc",Tabla2[[#This Row],[Columna1]]="por pagar"),"vencida","no")</f>
        <v>no</v>
      </c>
    </row>
    <row r="730" spans="1:23" x14ac:dyDescent="0.3">
      <c r="A730">
        <v>30</v>
      </c>
      <c r="B730">
        <v>0</v>
      </c>
      <c r="D730" t="s">
        <v>139</v>
      </c>
      <c r="E730" s="156">
        <v>44609</v>
      </c>
      <c r="F730" t="s">
        <v>1130</v>
      </c>
      <c r="G730" s="156">
        <v>44603</v>
      </c>
      <c r="H730" t="s">
        <v>674</v>
      </c>
      <c r="I730">
        <v>331400</v>
      </c>
      <c r="K730">
        <v>0</v>
      </c>
      <c r="M730">
        <v>0</v>
      </c>
      <c r="N730">
        <v>0</v>
      </c>
      <c r="O730">
        <v>0</v>
      </c>
      <c r="P730" s="117">
        <v>331400</v>
      </c>
      <c r="Q730" s="117" t="s">
        <v>1021</v>
      </c>
      <c r="R730" s="150">
        <v>0</v>
      </c>
      <c r="S730" s="117" t="b">
        <f>OR(COUNTIF(Tabla2[[#This Row],[PROVEEDOR]],"*"&amp;'Palabra no opera'!$A$2&amp;"*"))</f>
        <v>1</v>
      </c>
      <c r="T730" s="150">
        <f>+$W$5-Tabla2[[#This Row],[FECHA DE FACTURACIÓN]]</f>
        <v>231</v>
      </c>
      <c r="U730" t="str">
        <f>+IF(Tabla2[[#This Row],[dias de credito]]&gt;=Tabla2[[#This Row],[PLAZO Días]],"venc", "No venc")</f>
        <v>venc</v>
      </c>
      <c r="V730" t="str">
        <f>+IF(Tabla2[[#This Row],[FECHA DE PAGO]]&gt;0,"pagada","por pagar")</f>
        <v>pagada</v>
      </c>
      <c r="W730" s="152" t="str">
        <f>+IF(AND(Tabla2[[#This Row],[venc]]="venc",Tabla2[[#This Row],[Columna1]]="por pagar"),"vencida","no")</f>
        <v>no</v>
      </c>
    </row>
    <row r="731" spans="1:23" x14ac:dyDescent="0.3">
      <c r="A731">
        <v>30</v>
      </c>
      <c r="B731">
        <v>0</v>
      </c>
      <c r="D731" t="s">
        <v>250</v>
      </c>
      <c r="E731" s="156">
        <v>44609</v>
      </c>
      <c r="F731" t="s">
        <v>1450</v>
      </c>
      <c r="G731" s="156">
        <v>44600</v>
      </c>
      <c r="H731">
        <v>329</v>
      </c>
      <c r="I731">
        <v>420000</v>
      </c>
      <c r="K731">
        <v>0</v>
      </c>
      <c r="M731">
        <v>0</v>
      </c>
      <c r="N731">
        <v>0</v>
      </c>
      <c r="O731">
        <v>0</v>
      </c>
      <c r="P731" s="117">
        <v>420000</v>
      </c>
      <c r="Q731" s="117" t="s">
        <v>1021</v>
      </c>
      <c r="R731" s="150">
        <v>0</v>
      </c>
      <c r="S731" s="117" t="b">
        <f>OR(COUNTIF(Tabla2[[#This Row],[PROVEEDOR]],"*"&amp;'Palabra no opera'!$A$2&amp;"*"))</f>
        <v>0</v>
      </c>
      <c r="T731" s="150">
        <f>+$W$5-Tabla2[[#This Row],[FECHA DE FACTURACIÓN]]</f>
        <v>234</v>
      </c>
      <c r="U731" t="str">
        <f>+IF(Tabla2[[#This Row],[dias de credito]]&gt;=Tabla2[[#This Row],[PLAZO Días]],"venc", "No venc")</f>
        <v>venc</v>
      </c>
      <c r="V731" t="str">
        <f>+IF(Tabla2[[#This Row],[FECHA DE PAGO]]&gt;0,"pagada","por pagar")</f>
        <v>pagada</v>
      </c>
      <c r="W731" s="152" t="str">
        <f>+IF(AND(Tabla2[[#This Row],[venc]]="venc",Tabla2[[#This Row],[Columna1]]="por pagar"),"vencida","no")</f>
        <v>no</v>
      </c>
    </row>
    <row r="732" spans="1:23" x14ac:dyDescent="0.3">
      <c r="A732">
        <v>20</v>
      </c>
      <c r="B732">
        <v>0</v>
      </c>
      <c r="D732" t="s">
        <v>308</v>
      </c>
      <c r="E732" s="156">
        <v>44609</v>
      </c>
      <c r="F732" t="s">
        <v>397</v>
      </c>
      <c r="G732" s="156">
        <v>44593</v>
      </c>
      <c r="H732" t="s">
        <v>756</v>
      </c>
      <c r="I732">
        <v>155400</v>
      </c>
      <c r="K732">
        <v>0</v>
      </c>
      <c r="M732">
        <v>0</v>
      </c>
      <c r="N732">
        <v>0.01</v>
      </c>
      <c r="O732">
        <v>1554</v>
      </c>
      <c r="P732" s="117">
        <v>153846</v>
      </c>
      <c r="Q732" s="117" t="s">
        <v>1021</v>
      </c>
      <c r="R732" s="150">
        <v>0</v>
      </c>
      <c r="S732" s="117" t="b">
        <f>OR(COUNTIF(Tabla2[[#This Row],[PROVEEDOR]],"*"&amp;'Palabra no opera'!$A$2&amp;"*"))</f>
        <v>0</v>
      </c>
      <c r="T732" s="150">
        <f>+$W$5-Tabla2[[#This Row],[FECHA DE FACTURACIÓN]]</f>
        <v>241</v>
      </c>
      <c r="U732" t="str">
        <f>+IF(Tabla2[[#This Row],[dias de credito]]&gt;=Tabla2[[#This Row],[PLAZO Días]],"venc", "No venc")</f>
        <v>venc</v>
      </c>
      <c r="V732" t="str">
        <f>+IF(Tabla2[[#This Row],[FECHA DE PAGO]]&gt;0,"pagada","por pagar")</f>
        <v>pagada</v>
      </c>
      <c r="W732" s="152" t="str">
        <f>+IF(AND(Tabla2[[#This Row],[venc]]="venc",Tabla2[[#This Row],[Columna1]]="por pagar"),"vencida","no")</f>
        <v>no</v>
      </c>
    </row>
    <row r="733" spans="1:23" x14ac:dyDescent="0.3">
      <c r="A733">
        <v>30</v>
      </c>
      <c r="B733">
        <v>0</v>
      </c>
      <c r="D733" t="s">
        <v>139</v>
      </c>
      <c r="E733" s="156">
        <v>44609</v>
      </c>
      <c r="F733" t="s">
        <v>1130</v>
      </c>
      <c r="G733" s="156">
        <v>44587</v>
      </c>
      <c r="H733" t="s">
        <v>674</v>
      </c>
      <c r="I733">
        <v>271500</v>
      </c>
      <c r="K733">
        <v>0</v>
      </c>
      <c r="M733">
        <v>0</v>
      </c>
      <c r="N733">
        <v>0</v>
      </c>
      <c r="O733">
        <v>0</v>
      </c>
      <c r="P733" s="117">
        <v>271500</v>
      </c>
      <c r="Q733" s="117" t="s">
        <v>1021</v>
      </c>
      <c r="R733" s="150">
        <v>0</v>
      </c>
      <c r="S733" s="117" t="b">
        <f>OR(COUNTIF(Tabla2[[#This Row],[PROVEEDOR]],"*"&amp;'Palabra no opera'!$A$2&amp;"*"))</f>
        <v>1</v>
      </c>
      <c r="T733" s="150">
        <f>+$W$5-Tabla2[[#This Row],[FECHA DE FACTURACIÓN]]</f>
        <v>247</v>
      </c>
      <c r="U733" t="str">
        <f>+IF(Tabla2[[#This Row],[dias de credito]]&gt;=Tabla2[[#This Row],[PLAZO Días]],"venc", "No venc")</f>
        <v>venc</v>
      </c>
      <c r="V733" t="str">
        <f>+IF(Tabla2[[#This Row],[FECHA DE PAGO]]&gt;0,"pagada","por pagar")</f>
        <v>pagada</v>
      </c>
      <c r="W733" s="152" t="str">
        <f>+IF(AND(Tabla2[[#This Row],[venc]]="venc",Tabla2[[#This Row],[Columna1]]="por pagar"),"vencida","no")</f>
        <v>no</v>
      </c>
    </row>
    <row r="734" spans="1:23" x14ac:dyDescent="0.3">
      <c r="A734">
        <v>30</v>
      </c>
      <c r="B734">
        <v>0</v>
      </c>
      <c r="D734" t="s">
        <v>139</v>
      </c>
      <c r="E734" s="156">
        <v>44608</v>
      </c>
      <c r="F734" t="s">
        <v>638</v>
      </c>
      <c r="G734" s="156">
        <v>44607</v>
      </c>
      <c r="H734" t="s">
        <v>639</v>
      </c>
      <c r="I734">
        <v>5363000</v>
      </c>
      <c r="K734">
        <v>0</v>
      </c>
      <c r="M734">
        <v>0</v>
      </c>
      <c r="N734">
        <v>0</v>
      </c>
      <c r="O734">
        <v>0</v>
      </c>
      <c r="P734" s="117">
        <v>5363000</v>
      </c>
      <c r="Q734" s="117" t="s">
        <v>1021</v>
      </c>
      <c r="R734" s="150">
        <v>0</v>
      </c>
      <c r="S734" s="117" t="b">
        <f>OR(COUNTIF(Tabla2[[#This Row],[PROVEEDOR]],"*"&amp;'Palabra no opera'!$A$2&amp;"*"))</f>
        <v>0</v>
      </c>
      <c r="T734" s="150">
        <f>+$W$5-Tabla2[[#This Row],[FECHA DE FACTURACIÓN]]</f>
        <v>227</v>
      </c>
      <c r="U734" t="str">
        <f>+IF(Tabla2[[#This Row],[dias de credito]]&gt;=Tabla2[[#This Row],[PLAZO Días]],"venc", "No venc")</f>
        <v>venc</v>
      </c>
      <c r="V734" t="str">
        <f>+IF(Tabla2[[#This Row],[FECHA DE PAGO]]&gt;0,"pagada","por pagar")</f>
        <v>pagada</v>
      </c>
      <c r="W734" s="152" t="str">
        <f>+IF(AND(Tabla2[[#This Row],[venc]]="venc",Tabla2[[#This Row],[Columna1]]="por pagar"),"vencida","no")</f>
        <v>no</v>
      </c>
    </row>
    <row r="735" spans="1:23" x14ac:dyDescent="0.3">
      <c r="A735">
        <v>30</v>
      </c>
      <c r="B735">
        <v>0</v>
      </c>
      <c r="D735" t="s">
        <v>250</v>
      </c>
      <c r="E735" s="156">
        <v>44608</v>
      </c>
      <c r="F735" t="s">
        <v>1451</v>
      </c>
      <c r="G735" s="156">
        <v>44601</v>
      </c>
      <c r="H735">
        <v>201</v>
      </c>
      <c r="I735">
        <v>420000</v>
      </c>
      <c r="K735">
        <v>0</v>
      </c>
      <c r="M735">
        <v>0</v>
      </c>
      <c r="N735">
        <v>0.01</v>
      </c>
      <c r="O735">
        <v>4200</v>
      </c>
      <c r="P735" s="117">
        <v>415800</v>
      </c>
      <c r="Q735" s="117" t="s">
        <v>1021</v>
      </c>
      <c r="R735" s="150">
        <v>0</v>
      </c>
      <c r="S735" s="117" t="b">
        <f>OR(COUNTIF(Tabla2[[#This Row],[PROVEEDOR]],"*"&amp;'Palabra no opera'!$A$2&amp;"*"))</f>
        <v>0</v>
      </c>
      <c r="T735" s="150">
        <f>+$W$5-Tabla2[[#This Row],[FECHA DE FACTURACIÓN]]</f>
        <v>233</v>
      </c>
      <c r="U735" t="str">
        <f>+IF(Tabla2[[#This Row],[dias de credito]]&gt;=Tabla2[[#This Row],[PLAZO Días]],"venc", "No venc")</f>
        <v>venc</v>
      </c>
      <c r="V735" t="str">
        <f>+IF(Tabla2[[#This Row],[FECHA DE PAGO]]&gt;0,"pagada","por pagar")</f>
        <v>pagada</v>
      </c>
      <c r="W735" s="152" t="str">
        <f>+IF(AND(Tabla2[[#This Row],[venc]]="venc",Tabla2[[#This Row],[Columna1]]="por pagar"),"vencida","no")</f>
        <v>no</v>
      </c>
    </row>
    <row r="736" spans="1:23" x14ac:dyDescent="0.3">
      <c r="A736">
        <v>30</v>
      </c>
      <c r="B736">
        <v>0</v>
      </c>
      <c r="D736" t="s">
        <v>250</v>
      </c>
      <c r="E736" s="156">
        <v>44608</v>
      </c>
      <c r="F736" t="s">
        <v>1451</v>
      </c>
      <c r="G736" s="156">
        <v>44567</v>
      </c>
      <c r="H736" t="s">
        <v>601</v>
      </c>
      <c r="I736">
        <v>-37730</v>
      </c>
      <c r="K736">
        <v>0</v>
      </c>
      <c r="M736">
        <v>0</v>
      </c>
      <c r="N736">
        <v>0</v>
      </c>
      <c r="O736">
        <v>0</v>
      </c>
      <c r="P736" s="117">
        <v>-37730</v>
      </c>
      <c r="Q736" s="117" t="s">
        <v>1021</v>
      </c>
      <c r="R736" s="150">
        <v>0</v>
      </c>
      <c r="S736" s="117" t="b">
        <f>OR(COUNTIF(Tabla2[[#This Row],[PROVEEDOR]],"*"&amp;'Palabra no opera'!$A$2&amp;"*"))</f>
        <v>0</v>
      </c>
      <c r="T736" s="150">
        <f>+$W$5-Tabla2[[#This Row],[FECHA DE FACTURACIÓN]]</f>
        <v>267</v>
      </c>
      <c r="U736" t="str">
        <f>+IF(Tabla2[[#This Row],[dias de credito]]&gt;=Tabla2[[#This Row],[PLAZO Días]],"venc", "No venc")</f>
        <v>venc</v>
      </c>
      <c r="V736" t="str">
        <f>+IF(Tabla2[[#This Row],[FECHA DE PAGO]]&gt;0,"pagada","por pagar")</f>
        <v>pagada</v>
      </c>
      <c r="W736" s="152" t="str">
        <f>+IF(AND(Tabla2[[#This Row],[venc]]="venc",Tabla2[[#This Row],[Columna1]]="por pagar"),"vencida","no")</f>
        <v>no</v>
      </c>
    </row>
    <row r="737" spans="1:23" x14ac:dyDescent="0.3">
      <c r="A737">
        <v>45</v>
      </c>
      <c r="B737">
        <v>30078253.170000002</v>
      </c>
      <c r="D737" t="s">
        <v>884</v>
      </c>
      <c r="E737" s="156">
        <v>44608</v>
      </c>
      <c r="F737" t="s">
        <v>19</v>
      </c>
      <c r="G737" s="156">
        <v>44551</v>
      </c>
      <c r="H737" t="s">
        <v>571</v>
      </c>
      <c r="I737">
        <v>10867200</v>
      </c>
      <c r="K737">
        <v>2064768</v>
      </c>
      <c r="M737">
        <v>0</v>
      </c>
      <c r="N737">
        <v>0</v>
      </c>
      <c r="O737">
        <v>0</v>
      </c>
      <c r="P737" s="117">
        <v>12931968</v>
      </c>
      <c r="Q737" s="117" t="s">
        <v>1021</v>
      </c>
      <c r="R737" s="150">
        <v>0</v>
      </c>
      <c r="S737" s="117" t="b">
        <f>OR(COUNTIF(Tabla2[[#This Row],[PROVEEDOR]],"*"&amp;'Palabra no opera'!$A$2&amp;"*"))</f>
        <v>0</v>
      </c>
      <c r="T737" s="150">
        <f>+$W$5-Tabla2[[#This Row],[FECHA DE FACTURACIÓN]]</f>
        <v>283</v>
      </c>
      <c r="U737" t="str">
        <f>+IF(Tabla2[[#This Row],[dias de credito]]&gt;=Tabla2[[#This Row],[PLAZO Días]],"venc", "No venc")</f>
        <v>venc</v>
      </c>
      <c r="V737" t="str">
        <f>+IF(Tabla2[[#This Row],[FECHA DE PAGO]]&gt;0,"pagada","por pagar")</f>
        <v>pagada</v>
      </c>
      <c r="W737" s="152" t="str">
        <f>+IF(AND(Tabla2[[#This Row],[venc]]="venc",Tabla2[[#This Row],[Columna1]]="por pagar"),"vencida","no")</f>
        <v>no</v>
      </c>
    </row>
    <row r="738" spans="1:23" x14ac:dyDescent="0.3">
      <c r="A738">
        <v>30</v>
      </c>
      <c r="B738">
        <v>0</v>
      </c>
      <c r="D738" t="s">
        <v>676</v>
      </c>
      <c r="E738" s="156">
        <v>44607</v>
      </c>
      <c r="F738" t="s">
        <v>940</v>
      </c>
      <c r="G738" s="156">
        <v>44593</v>
      </c>
      <c r="H738">
        <v>66158</v>
      </c>
      <c r="I738">
        <v>284467</v>
      </c>
      <c r="K738">
        <v>0</v>
      </c>
      <c r="M738">
        <v>0</v>
      </c>
      <c r="N738">
        <v>0</v>
      </c>
      <c r="O738">
        <v>0</v>
      </c>
      <c r="P738" s="117">
        <v>284467</v>
      </c>
      <c r="Q738" s="117" t="s">
        <v>1021</v>
      </c>
      <c r="R738" s="150">
        <v>0</v>
      </c>
      <c r="S738" s="117" t="b">
        <f>OR(COUNTIF(Tabla2[[#This Row],[PROVEEDOR]],"*"&amp;'Palabra no opera'!$A$2&amp;"*"))</f>
        <v>1</v>
      </c>
      <c r="T738" s="150">
        <f>+$W$5-Tabla2[[#This Row],[FECHA DE FACTURACIÓN]]</f>
        <v>241</v>
      </c>
      <c r="U738" t="str">
        <f>+IF(Tabla2[[#This Row],[dias de credito]]&gt;=Tabla2[[#This Row],[PLAZO Días]],"venc", "No venc")</f>
        <v>venc</v>
      </c>
      <c r="V738" t="str">
        <f>+IF(Tabla2[[#This Row],[FECHA DE PAGO]]&gt;0,"pagada","por pagar")</f>
        <v>pagada</v>
      </c>
      <c r="W738" s="152" t="str">
        <f>+IF(AND(Tabla2[[#This Row],[venc]]="venc",Tabla2[[#This Row],[Columna1]]="por pagar"),"vencida","no")</f>
        <v>no</v>
      </c>
    </row>
    <row r="739" spans="1:23" x14ac:dyDescent="0.3">
      <c r="A739">
        <v>30</v>
      </c>
      <c r="B739">
        <v>0</v>
      </c>
      <c r="D739">
        <v>0</v>
      </c>
      <c r="E739" s="156">
        <v>44607</v>
      </c>
      <c r="F739" t="s">
        <v>932</v>
      </c>
      <c r="G739" s="156">
        <v>44593</v>
      </c>
      <c r="H739" t="s">
        <v>307</v>
      </c>
      <c r="I739">
        <v>313385</v>
      </c>
      <c r="K739">
        <v>0</v>
      </c>
      <c r="M739">
        <v>0</v>
      </c>
      <c r="N739">
        <v>0</v>
      </c>
      <c r="O739">
        <v>0</v>
      </c>
      <c r="P739" s="117">
        <v>313385</v>
      </c>
      <c r="Q739" s="117" t="s">
        <v>1021</v>
      </c>
      <c r="R739" s="150">
        <v>0</v>
      </c>
      <c r="S739" s="117" t="b">
        <f>OR(COUNTIF(Tabla2[[#This Row],[PROVEEDOR]],"*"&amp;'Palabra no opera'!$A$2&amp;"*"))</f>
        <v>1</v>
      </c>
      <c r="T739" s="150">
        <f>+$W$5-Tabla2[[#This Row],[FECHA DE FACTURACIÓN]]</f>
        <v>241</v>
      </c>
      <c r="U739" t="str">
        <f>+IF(Tabla2[[#This Row],[dias de credito]]&gt;=Tabla2[[#This Row],[PLAZO Días]],"venc", "No venc")</f>
        <v>venc</v>
      </c>
      <c r="V739" t="str">
        <f>+IF(Tabla2[[#This Row],[FECHA DE PAGO]]&gt;0,"pagada","por pagar")</f>
        <v>pagada</v>
      </c>
      <c r="W739" s="152" t="str">
        <f>+IF(AND(Tabla2[[#This Row],[venc]]="venc",Tabla2[[#This Row],[Columna1]]="por pagar"),"vencida","no")</f>
        <v>no</v>
      </c>
    </row>
    <row r="740" spans="1:23" x14ac:dyDescent="0.3">
      <c r="A740">
        <v>30</v>
      </c>
      <c r="B740">
        <v>0</v>
      </c>
      <c r="D740" t="s">
        <v>141</v>
      </c>
      <c r="E740" s="156">
        <v>44607</v>
      </c>
      <c r="F740" t="s">
        <v>935</v>
      </c>
      <c r="G740" s="156">
        <v>44593</v>
      </c>
      <c r="I740">
        <v>326243</v>
      </c>
      <c r="K740">
        <v>0</v>
      </c>
      <c r="M740">
        <v>0</v>
      </c>
      <c r="N740">
        <v>0</v>
      </c>
      <c r="O740">
        <v>0</v>
      </c>
      <c r="P740" s="117">
        <v>326243</v>
      </c>
      <c r="Q740" s="117" t="s">
        <v>1021</v>
      </c>
      <c r="R740" s="150">
        <v>0</v>
      </c>
      <c r="S740" s="117" t="b">
        <f>OR(COUNTIF(Tabla2[[#This Row],[PROVEEDOR]],"*"&amp;'Palabra no opera'!$A$2&amp;"*"))</f>
        <v>1</v>
      </c>
      <c r="T740" s="150">
        <f>+$W$5-Tabla2[[#This Row],[FECHA DE FACTURACIÓN]]</f>
        <v>241</v>
      </c>
      <c r="U740" t="str">
        <f>+IF(Tabla2[[#This Row],[dias de credito]]&gt;=Tabla2[[#This Row],[PLAZO Días]],"venc", "No venc")</f>
        <v>venc</v>
      </c>
      <c r="V740" t="str">
        <f>+IF(Tabla2[[#This Row],[FECHA DE PAGO]]&gt;0,"pagada","por pagar")</f>
        <v>pagada</v>
      </c>
      <c r="W740" s="152" t="str">
        <f>+IF(AND(Tabla2[[#This Row],[venc]]="venc",Tabla2[[#This Row],[Columna1]]="por pagar"),"vencida","no")</f>
        <v>no</v>
      </c>
    </row>
    <row r="741" spans="1:23" x14ac:dyDescent="0.3">
      <c r="A741">
        <v>30</v>
      </c>
      <c r="B741">
        <v>5225000</v>
      </c>
      <c r="D741" t="s">
        <v>139</v>
      </c>
      <c r="E741" s="156">
        <v>44606</v>
      </c>
      <c r="F741" t="s">
        <v>629</v>
      </c>
      <c r="G741" s="156">
        <v>44576</v>
      </c>
      <c r="H741" t="s">
        <v>1372</v>
      </c>
      <c r="I741">
        <v>560000</v>
      </c>
      <c r="K741">
        <v>0</v>
      </c>
      <c r="M741">
        <v>0</v>
      </c>
      <c r="N741">
        <v>0</v>
      </c>
      <c r="O741">
        <v>0</v>
      </c>
      <c r="P741" s="117">
        <v>560000</v>
      </c>
      <c r="Q741" s="117" t="s">
        <v>1021</v>
      </c>
      <c r="R741" s="150">
        <v>0</v>
      </c>
      <c r="S741" s="117" t="b">
        <f>OR(COUNTIF(Tabla2[[#This Row],[PROVEEDOR]],"*"&amp;'Palabra no opera'!$A$2&amp;"*"))</f>
        <v>0</v>
      </c>
      <c r="T741" s="150">
        <f>+$W$5-Tabla2[[#This Row],[FECHA DE FACTURACIÓN]]</f>
        <v>258</v>
      </c>
      <c r="U741" t="str">
        <f>+IF(Tabla2[[#This Row],[dias de credito]]&gt;=Tabla2[[#This Row],[PLAZO Días]],"venc", "No venc")</f>
        <v>venc</v>
      </c>
      <c r="V741" t="str">
        <f>+IF(Tabla2[[#This Row],[FECHA DE PAGO]]&gt;0,"pagada","por pagar")</f>
        <v>pagada</v>
      </c>
      <c r="W741" s="152" t="str">
        <f>+IF(AND(Tabla2[[#This Row],[venc]]="venc",Tabla2[[#This Row],[Columna1]]="por pagar"),"vencida","no")</f>
        <v>no</v>
      </c>
    </row>
    <row r="742" spans="1:23" x14ac:dyDescent="0.3">
      <c r="A742">
        <v>30</v>
      </c>
      <c r="B742">
        <v>5225000</v>
      </c>
      <c r="D742" t="s">
        <v>139</v>
      </c>
      <c r="E742" s="156">
        <v>44606</v>
      </c>
      <c r="F742" t="s">
        <v>629</v>
      </c>
      <c r="G742" s="156">
        <v>44576</v>
      </c>
      <c r="H742" t="s">
        <v>1373</v>
      </c>
      <c r="I742">
        <v>1306000</v>
      </c>
      <c r="K742">
        <v>0</v>
      </c>
      <c r="M742">
        <v>0</v>
      </c>
      <c r="N742">
        <v>0</v>
      </c>
      <c r="O742">
        <v>0</v>
      </c>
      <c r="P742" s="117">
        <v>1306000</v>
      </c>
      <c r="Q742" s="117" t="s">
        <v>1021</v>
      </c>
      <c r="R742" s="150">
        <v>0</v>
      </c>
      <c r="S742" s="117" t="b">
        <f>OR(COUNTIF(Tabla2[[#This Row],[PROVEEDOR]],"*"&amp;'Palabra no opera'!$A$2&amp;"*"))</f>
        <v>0</v>
      </c>
      <c r="T742" s="150">
        <f>+$W$5-Tabla2[[#This Row],[FECHA DE FACTURACIÓN]]</f>
        <v>258</v>
      </c>
      <c r="U742" t="str">
        <f>+IF(Tabla2[[#This Row],[dias de credito]]&gt;=Tabla2[[#This Row],[PLAZO Días]],"venc", "No venc")</f>
        <v>venc</v>
      </c>
      <c r="V742" t="str">
        <f>+IF(Tabla2[[#This Row],[FECHA DE PAGO]]&gt;0,"pagada","por pagar")</f>
        <v>pagada</v>
      </c>
      <c r="W742" s="152" t="str">
        <f>+IF(AND(Tabla2[[#This Row],[venc]]="venc",Tabla2[[#This Row],[Columna1]]="por pagar"),"vencida","no")</f>
        <v>no</v>
      </c>
    </row>
    <row r="743" spans="1:23" x14ac:dyDescent="0.3">
      <c r="A743">
        <v>13</v>
      </c>
      <c r="B743">
        <v>0</v>
      </c>
      <c r="D743">
        <v>0</v>
      </c>
      <c r="E743" s="156">
        <v>44603</v>
      </c>
      <c r="F743" t="s">
        <v>934</v>
      </c>
      <c r="G743" s="156">
        <v>44593</v>
      </c>
      <c r="I743">
        <v>945022</v>
      </c>
      <c r="K743">
        <v>0</v>
      </c>
      <c r="M743">
        <v>0</v>
      </c>
      <c r="N743">
        <v>0</v>
      </c>
      <c r="O743">
        <v>0</v>
      </c>
      <c r="P743" s="117">
        <v>945022</v>
      </c>
      <c r="Q743" s="117" t="s">
        <v>1021</v>
      </c>
      <c r="R743" s="150">
        <v>0</v>
      </c>
      <c r="S743" s="117" t="b">
        <f>OR(COUNTIF(Tabla2[[#This Row],[PROVEEDOR]],"*"&amp;'Palabra no opera'!$A$2&amp;"*"))</f>
        <v>1</v>
      </c>
      <c r="T743" s="150">
        <f>+$W$5-Tabla2[[#This Row],[FECHA DE FACTURACIÓN]]</f>
        <v>241</v>
      </c>
      <c r="U743" t="str">
        <f>+IF(Tabla2[[#This Row],[dias de credito]]&gt;=Tabla2[[#This Row],[PLAZO Días]],"venc", "No venc")</f>
        <v>venc</v>
      </c>
      <c r="V743" t="str">
        <f>+IF(Tabla2[[#This Row],[FECHA DE PAGO]]&gt;0,"pagada","por pagar")</f>
        <v>pagada</v>
      </c>
      <c r="W743" s="152" t="str">
        <f>+IF(AND(Tabla2[[#This Row],[venc]]="venc",Tabla2[[#This Row],[Columna1]]="por pagar"),"vencida","no")</f>
        <v>no</v>
      </c>
    </row>
    <row r="744" spans="1:23" x14ac:dyDescent="0.3">
      <c r="A744">
        <v>30</v>
      </c>
      <c r="B744">
        <v>0</v>
      </c>
      <c r="D744" t="s">
        <v>949</v>
      </c>
      <c r="E744" s="156">
        <v>44602</v>
      </c>
      <c r="F744" t="s">
        <v>404</v>
      </c>
      <c r="G744" s="156">
        <v>44596</v>
      </c>
      <c r="H744" t="s">
        <v>742</v>
      </c>
      <c r="I744">
        <v>3400</v>
      </c>
      <c r="K744">
        <v>0</v>
      </c>
      <c r="M744">
        <v>0</v>
      </c>
      <c r="N744">
        <v>0</v>
      </c>
      <c r="O744">
        <v>0</v>
      </c>
      <c r="P744" s="117">
        <v>3400</v>
      </c>
      <c r="Q744" s="117" t="s">
        <v>1021</v>
      </c>
      <c r="R744" s="150">
        <v>0</v>
      </c>
      <c r="S744" s="117" t="b">
        <f>OR(COUNTIF(Tabla2[[#This Row],[PROVEEDOR]],"*"&amp;'Palabra no opera'!$A$2&amp;"*"))</f>
        <v>0</v>
      </c>
      <c r="T744" s="150">
        <f>+$W$5-Tabla2[[#This Row],[FECHA DE FACTURACIÓN]]</f>
        <v>238</v>
      </c>
      <c r="U744" t="str">
        <f>+IF(Tabla2[[#This Row],[dias de credito]]&gt;=Tabla2[[#This Row],[PLAZO Días]],"venc", "No venc")</f>
        <v>venc</v>
      </c>
      <c r="V744" t="str">
        <f>+IF(Tabla2[[#This Row],[FECHA DE PAGO]]&gt;0,"pagada","por pagar")</f>
        <v>pagada</v>
      </c>
      <c r="W744" s="152" t="str">
        <f>+IF(AND(Tabla2[[#This Row],[venc]]="venc",Tabla2[[#This Row],[Columna1]]="por pagar"),"vencida","no")</f>
        <v>no</v>
      </c>
    </row>
    <row r="745" spans="1:23" x14ac:dyDescent="0.3">
      <c r="A745">
        <v>30</v>
      </c>
      <c r="B745">
        <v>326474.88</v>
      </c>
      <c r="D745" t="s">
        <v>949</v>
      </c>
      <c r="E745" s="156">
        <v>44602</v>
      </c>
      <c r="F745" t="s">
        <v>345</v>
      </c>
      <c r="G745" s="156">
        <v>44593</v>
      </c>
      <c r="H745" t="s">
        <v>745</v>
      </c>
      <c r="I745">
        <v>3402</v>
      </c>
      <c r="K745">
        <v>0</v>
      </c>
      <c r="M745">
        <v>0</v>
      </c>
      <c r="N745">
        <v>0</v>
      </c>
      <c r="O745">
        <v>0</v>
      </c>
      <c r="P745" s="117">
        <v>3402</v>
      </c>
      <c r="Q745" s="117" t="s">
        <v>1021</v>
      </c>
      <c r="R745" s="150">
        <v>0</v>
      </c>
      <c r="S745" s="117" t="b">
        <f>OR(COUNTIF(Tabla2[[#This Row],[PROVEEDOR]],"*"&amp;'Palabra no opera'!$A$2&amp;"*"))</f>
        <v>0</v>
      </c>
      <c r="T745" s="150">
        <f>+$W$5-Tabla2[[#This Row],[FECHA DE FACTURACIÓN]]</f>
        <v>241</v>
      </c>
      <c r="U745" t="str">
        <f>+IF(Tabla2[[#This Row],[dias de credito]]&gt;=Tabla2[[#This Row],[PLAZO Días]],"venc", "No venc")</f>
        <v>venc</v>
      </c>
      <c r="V745" t="str">
        <f>+IF(Tabla2[[#This Row],[FECHA DE PAGO]]&gt;0,"pagada","por pagar")</f>
        <v>pagada</v>
      </c>
      <c r="W745" s="152" t="str">
        <f>+IF(AND(Tabla2[[#This Row],[venc]]="venc",Tabla2[[#This Row],[Columna1]]="por pagar"),"vencida","no")</f>
        <v>no</v>
      </c>
    </row>
    <row r="746" spans="1:23" x14ac:dyDescent="0.3">
      <c r="A746">
        <v>30</v>
      </c>
      <c r="B746">
        <v>0</v>
      </c>
      <c r="D746" t="s">
        <v>949</v>
      </c>
      <c r="E746" s="156">
        <v>44602</v>
      </c>
      <c r="F746" t="s">
        <v>615</v>
      </c>
      <c r="G746" s="156">
        <v>44592</v>
      </c>
      <c r="H746" t="s">
        <v>743</v>
      </c>
      <c r="I746">
        <v>253315.8</v>
      </c>
      <c r="K746">
        <v>0</v>
      </c>
      <c r="M746">
        <v>0</v>
      </c>
      <c r="N746">
        <v>0</v>
      </c>
      <c r="O746">
        <v>0</v>
      </c>
      <c r="P746" s="117">
        <v>253315.8</v>
      </c>
      <c r="Q746" s="117" t="s">
        <v>1021</v>
      </c>
      <c r="R746" s="150">
        <v>0</v>
      </c>
      <c r="S746" s="117" t="b">
        <f>OR(COUNTIF(Tabla2[[#This Row],[PROVEEDOR]],"*"&amp;'Palabra no opera'!$A$2&amp;"*"))</f>
        <v>0</v>
      </c>
      <c r="T746" s="150">
        <f>+$W$5-Tabla2[[#This Row],[FECHA DE FACTURACIÓN]]</f>
        <v>242</v>
      </c>
      <c r="U746" t="str">
        <f>+IF(Tabla2[[#This Row],[dias de credito]]&gt;=Tabla2[[#This Row],[PLAZO Días]],"venc", "No venc")</f>
        <v>venc</v>
      </c>
      <c r="V746" t="str">
        <f>+IF(Tabla2[[#This Row],[FECHA DE PAGO]]&gt;0,"pagada","por pagar")</f>
        <v>pagada</v>
      </c>
      <c r="W746" s="152" t="str">
        <f>+IF(AND(Tabla2[[#This Row],[venc]]="venc",Tabla2[[#This Row],[Columna1]]="por pagar"),"vencida","no")</f>
        <v>no</v>
      </c>
    </row>
    <row r="747" spans="1:23" x14ac:dyDescent="0.3">
      <c r="A747">
        <v>30</v>
      </c>
      <c r="B747">
        <v>8457900</v>
      </c>
      <c r="D747" t="s">
        <v>1027</v>
      </c>
      <c r="E747" s="156">
        <v>44602</v>
      </c>
      <c r="F747" t="s">
        <v>11</v>
      </c>
      <c r="G747" s="156">
        <v>44567</v>
      </c>
      <c r="H747" t="s">
        <v>617</v>
      </c>
      <c r="I747">
        <v>2776134</v>
      </c>
      <c r="K747">
        <v>527465.46</v>
      </c>
      <c r="M747">
        <v>0</v>
      </c>
      <c r="N747">
        <v>2.5000000000000001E-2</v>
      </c>
      <c r="O747">
        <v>69403.350000000006</v>
      </c>
      <c r="P747" s="117">
        <v>3234196.11</v>
      </c>
      <c r="Q747" s="117" t="s">
        <v>1021</v>
      </c>
      <c r="R747" s="150">
        <v>0</v>
      </c>
      <c r="S747" s="117" t="b">
        <f>OR(COUNTIF(Tabla2[[#This Row],[PROVEEDOR]],"*"&amp;'Palabra no opera'!$A$2&amp;"*"))</f>
        <v>0</v>
      </c>
      <c r="T747" s="150">
        <f>+$W$5-Tabla2[[#This Row],[FECHA DE FACTURACIÓN]]</f>
        <v>267</v>
      </c>
      <c r="U747" t="str">
        <f>+IF(Tabla2[[#This Row],[dias de credito]]&gt;=Tabla2[[#This Row],[PLAZO Días]],"venc", "No venc")</f>
        <v>venc</v>
      </c>
      <c r="V747" t="str">
        <f>+IF(Tabla2[[#This Row],[FECHA DE PAGO]]&gt;0,"pagada","por pagar")</f>
        <v>pagada</v>
      </c>
      <c r="W747" s="152" t="str">
        <f>+IF(AND(Tabla2[[#This Row],[venc]]="venc",Tabla2[[#This Row],[Columna1]]="por pagar"),"vencida","no")</f>
        <v>no</v>
      </c>
    </row>
    <row r="748" spans="1:23" x14ac:dyDescent="0.3">
      <c r="A748">
        <v>30</v>
      </c>
      <c r="B748">
        <v>0</v>
      </c>
      <c r="D748" t="s">
        <v>139</v>
      </c>
      <c r="E748" s="156">
        <v>44600</v>
      </c>
      <c r="F748" t="s">
        <v>661</v>
      </c>
      <c r="G748" s="156">
        <v>44600</v>
      </c>
      <c r="H748" t="s">
        <v>1380</v>
      </c>
      <c r="I748">
        <v>1000000</v>
      </c>
      <c r="K748">
        <v>0</v>
      </c>
      <c r="M748">
        <v>0</v>
      </c>
      <c r="N748">
        <v>0</v>
      </c>
      <c r="O748">
        <v>0</v>
      </c>
      <c r="P748" s="117">
        <v>1000000</v>
      </c>
      <c r="Q748" s="117" t="s">
        <v>1021</v>
      </c>
      <c r="R748" s="150">
        <v>0</v>
      </c>
      <c r="S748" s="117" t="b">
        <f>OR(COUNTIF(Tabla2[[#This Row],[PROVEEDOR]],"*"&amp;'Palabra no opera'!$A$2&amp;"*"))</f>
        <v>0</v>
      </c>
      <c r="T748" s="150">
        <f>+$W$5-Tabla2[[#This Row],[FECHA DE FACTURACIÓN]]</f>
        <v>234</v>
      </c>
      <c r="U748" t="str">
        <f>+IF(Tabla2[[#This Row],[dias de credito]]&gt;=Tabla2[[#This Row],[PLAZO Días]],"venc", "No venc")</f>
        <v>venc</v>
      </c>
      <c r="V748" t="str">
        <f>+IF(Tabla2[[#This Row],[FECHA DE PAGO]]&gt;0,"pagada","por pagar")</f>
        <v>pagada</v>
      </c>
      <c r="W748" s="152" t="str">
        <f>+IF(AND(Tabla2[[#This Row],[venc]]="venc",Tabla2[[#This Row],[Columna1]]="por pagar"),"vencida","no")</f>
        <v>no</v>
      </c>
    </row>
    <row r="749" spans="1:23" x14ac:dyDescent="0.3">
      <c r="A749">
        <v>30</v>
      </c>
      <c r="B749">
        <v>0</v>
      </c>
      <c r="D749" t="s">
        <v>139</v>
      </c>
      <c r="E749" s="156">
        <v>44600</v>
      </c>
      <c r="F749" t="s">
        <v>673</v>
      </c>
      <c r="G749" s="156">
        <v>44600</v>
      </c>
      <c r="I749">
        <v>2000000</v>
      </c>
      <c r="K749">
        <v>0</v>
      </c>
      <c r="M749">
        <v>0</v>
      </c>
      <c r="N749">
        <v>0</v>
      </c>
      <c r="O749">
        <v>0</v>
      </c>
      <c r="P749" s="117">
        <v>2000000</v>
      </c>
      <c r="Q749" s="117" t="s">
        <v>1021</v>
      </c>
      <c r="R749" s="150">
        <v>0</v>
      </c>
      <c r="S749" s="117" t="b">
        <f>OR(COUNTIF(Tabla2[[#This Row],[PROVEEDOR]],"*"&amp;'Palabra no opera'!$A$2&amp;"*"))</f>
        <v>0</v>
      </c>
      <c r="T749" s="150">
        <f>+$W$5-Tabla2[[#This Row],[FECHA DE FACTURACIÓN]]</f>
        <v>234</v>
      </c>
      <c r="U749" t="str">
        <f>+IF(Tabla2[[#This Row],[dias de credito]]&gt;=Tabla2[[#This Row],[PLAZO Días]],"venc", "No venc")</f>
        <v>venc</v>
      </c>
      <c r="V749" t="str">
        <f>+IF(Tabla2[[#This Row],[FECHA DE PAGO]]&gt;0,"pagada","por pagar")</f>
        <v>pagada</v>
      </c>
      <c r="W749" s="152" t="str">
        <f>+IF(AND(Tabla2[[#This Row],[venc]]="venc",Tabla2[[#This Row],[Columna1]]="por pagar"),"vencida","no")</f>
        <v>no</v>
      </c>
    </row>
    <row r="750" spans="1:23" x14ac:dyDescent="0.3">
      <c r="A750">
        <v>30</v>
      </c>
      <c r="B750">
        <v>0</v>
      </c>
      <c r="D750" t="s">
        <v>505</v>
      </c>
      <c r="E750" s="156">
        <v>44600</v>
      </c>
      <c r="F750" t="s">
        <v>408</v>
      </c>
      <c r="G750" s="156">
        <v>44574</v>
      </c>
      <c r="H750">
        <v>162642</v>
      </c>
      <c r="I750">
        <v>4279357</v>
      </c>
      <c r="J750">
        <v>107523</v>
      </c>
      <c r="K750">
        <v>792648.46</v>
      </c>
      <c r="M750">
        <v>0</v>
      </c>
      <c r="N750">
        <v>0</v>
      </c>
      <c r="O750">
        <v>0</v>
      </c>
      <c r="P750" s="117">
        <v>4984911.83</v>
      </c>
      <c r="Q750" s="117" t="s">
        <v>1021</v>
      </c>
      <c r="R750" s="150">
        <v>0</v>
      </c>
      <c r="S750" s="117" t="b">
        <f>OR(COUNTIF(Tabla2[[#This Row],[PROVEEDOR]],"*"&amp;'Palabra no opera'!$A$2&amp;"*"))</f>
        <v>0</v>
      </c>
      <c r="T750" s="150">
        <f>+$W$5-Tabla2[[#This Row],[FECHA DE FACTURACIÓN]]</f>
        <v>260</v>
      </c>
      <c r="U750" t="str">
        <f>+IF(Tabla2[[#This Row],[dias de credito]]&gt;=Tabla2[[#This Row],[PLAZO Días]],"venc", "No venc")</f>
        <v>venc</v>
      </c>
      <c r="V750" t="str">
        <f>+IF(Tabla2[[#This Row],[FECHA DE PAGO]]&gt;0,"pagada","por pagar")</f>
        <v>pagada</v>
      </c>
      <c r="W750" s="152" t="str">
        <f>+IF(AND(Tabla2[[#This Row],[venc]]="venc",Tabla2[[#This Row],[Columna1]]="por pagar"),"vencida","no")</f>
        <v>no</v>
      </c>
    </row>
    <row r="751" spans="1:23" x14ac:dyDescent="0.3">
      <c r="A751">
        <v>30</v>
      </c>
      <c r="B751">
        <v>0</v>
      </c>
      <c r="D751" t="s">
        <v>431</v>
      </c>
      <c r="E751" s="156">
        <v>44600</v>
      </c>
      <c r="F751" t="s">
        <v>677</v>
      </c>
      <c r="G751" s="156">
        <v>44567</v>
      </c>
      <c r="H751" t="s">
        <v>1553</v>
      </c>
      <c r="I751">
        <v>1350000</v>
      </c>
      <c r="K751">
        <v>0</v>
      </c>
      <c r="M751">
        <v>0</v>
      </c>
      <c r="N751">
        <v>0</v>
      </c>
      <c r="O751">
        <v>0</v>
      </c>
      <c r="P751" s="117">
        <v>1350000</v>
      </c>
      <c r="Q751" s="117" t="s">
        <v>1021</v>
      </c>
      <c r="R751" s="150">
        <v>0</v>
      </c>
      <c r="S751" s="117" t="b">
        <f>OR(COUNTIF(Tabla2[[#This Row],[PROVEEDOR]],"*"&amp;'Palabra no opera'!$A$2&amp;"*"))</f>
        <v>0</v>
      </c>
      <c r="T751" s="150">
        <f>+$W$5-Tabla2[[#This Row],[FECHA DE FACTURACIÓN]]</f>
        <v>267</v>
      </c>
      <c r="U751" t="str">
        <f>+IF(Tabla2[[#This Row],[dias de credito]]&gt;=Tabla2[[#This Row],[PLAZO Días]],"venc", "No venc")</f>
        <v>venc</v>
      </c>
      <c r="V751" t="str">
        <f>+IF(Tabla2[[#This Row],[FECHA DE PAGO]]&gt;0,"pagada","por pagar")</f>
        <v>pagada</v>
      </c>
      <c r="W751" s="152" t="str">
        <f>+IF(AND(Tabla2[[#This Row],[venc]]="venc",Tabla2[[#This Row],[Columna1]]="por pagar"),"vencida","no")</f>
        <v>no</v>
      </c>
    </row>
    <row r="752" spans="1:23" x14ac:dyDescent="0.3">
      <c r="A752">
        <v>30</v>
      </c>
      <c r="B752">
        <v>0</v>
      </c>
      <c r="D752" t="s">
        <v>139</v>
      </c>
      <c r="E752" s="156">
        <v>44600</v>
      </c>
      <c r="F752" t="s">
        <v>679</v>
      </c>
      <c r="G752" s="156">
        <v>44552</v>
      </c>
      <c r="H752" t="s">
        <v>1549</v>
      </c>
      <c r="I752">
        <v>112000</v>
      </c>
      <c r="K752">
        <v>0</v>
      </c>
      <c r="M752">
        <v>0</v>
      </c>
      <c r="N752">
        <v>0</v>
      </c>
      <c r="O752">
        <v>0</v>
      </c>
      <c r="P752" s="117">
        <v>112000</v>
      </c>
      <c r="Q752" s="117" t="s">
        <v>1021</v>
      </c>
      <c r="R752" s="150">
        <v>0</v>
      </c>
      <c r="S752" s="117" t="b">
        <f>OR(COUNTIF(Tabla2[[#This Row],[PROVEEDOR]],"*"&amp;'Palabra no opera'!$A$2&amp;"*"))</f>
        <v>0</v>
      </c>
      <c r="T752" s="150">
        <f>+$W$5-Tabla2[[#This Row],[FECHA DE FACTURACIÓN]]</f>
        <v>282</v>
      </c>
      <c r="U752" t="str">
        <f>+IF(Tabla2[[#This Row],[dias de credito]]&gt;=Tabla2[[#This Row],[PLAZO Días]],"venc", "No venc")</f>
        <v>venc</v>
      </c>
      <c r="V752" t="str">
        <f>+IF(Tabla2[[#This Row],[FECHA DE PAGO]]&gt;0,"pagada","por pagar")</f>
        <v>pagada</v>
      </c>
      <c r="W752" s="152" t="str">
        <f>+IF(AND(Tabla2[[#This Row],[venc]]="venc",Tabla2[[#This Row],[Columna1]]="por pagar"),"vencida","no")</f>
        <v>no</v>
      </c>
    </row>
    <row r="753" spans="1:23" x14ac:dyDescent="0.3">
      <c r="A753">
        <v>45</v>
      </c>
      <c r="B753">
        <v>7497238</v>
      </c>
      <c r="D753" t="s">
        <v>272</v>
      </c>
      <c r="E753" s="156">
        <v>44600</v>
      </c>
      <c r="F753" t="s">
        <v>10</v>
      </c>
      <c r="G753" s="156">
        <v>44540</v>
      </c>
      <c r="H753" t="s">
        <v>561</v>
      </c>
      <c r="I753">
        <v>770000</v>
      </c>
      <c r="K753">
        <v>146300</v>
      </c>
      <c r="M753">
        <v>0</v>
      </c>
      <c r="N753">
        <v>0</v>
      </c>
      <c r="O753">
        <v>0</v>
      </c>
      <c r="P753" s="117">
        <v>916300</v>
      </c>
      <c r="Q753" s="117" t="s">
        <v>1021</v>
      </c>
      <c r="R753" s="150">
        <v>0</v>
      </c>
      <c r="S753" s="117" t="b">
        <f>OR(COUNTIF(Tabla2[[#This Row],[PROVEEDOR]],"*"&amp;'Palabra no opera'!$A$2&amp;"*"))</f>
        <v>0</v>
      </c>
      <c r="T753" s="150">
        <f>+$W$5-Tabla2[[#This Row],[FECHA DE FACTURACIÓN]]</f>
        <v>294</v>
      </c>
      <c r="U753" t="str">
        <f>+IF(Tabla2[[#This Row],[dias de credito]]&gt;=Tabla2[[#This Row],[PLAZO Días]],"venc", "No venc")</f>
        <v>venc</v>
      </c>
      <c r="V753" t="str">
        <f>+IF(Tabla2[[#This Row],[FECHA DE PAGO]]&gt;0,"pagada","por pagar")</f>
        <v>pagada</v>
      </c>
      <c r="W753" s="152" t="str">
        <f>+IF(AND(Tabla2[[#This Row],[venc]]="venc",Tabla2[[#This Row],[Columna1]]="por pagar"),"vencida","no")</f>
        <v>no</v>
      </c>
    </row>
    <row r="754" spans="1:23" x14ac:dyDescent="0.3">
      <c r="A754">
        <v>30</v>
      </c>
      <c r="B754">
        <v>0</v>
      </c>
      <c r="D754" t="s">
        <v>505</v>
      </c>
      <c r="E754" s="156">
        <v>44600</v>
      </c>
      <c r="F754" t="s">
        <v>408</v>
      </c>
      <c r="G754" s="156">
        <v>44533</v>
      </c>
      <c r="H754" t="s">
        <v>757</v>
      </c>
      <c r="I754">
        <v>-4503132.55</v>
      </c>
      <c r="K754">
        <v>-855595.18449999997</v>
      </c>
      <c r="M754">
        <v>0</v>
      </c>
      <c r="N754">
        <v>0</v>
      </c>
      <c r="O754">
        <v>0</v>
      </c>
      <c r="P754" s="117">
        <v>-4503132.55</v>
      </c>
      <c r="Q754" s="117" t="s">
        <v>1021</v>
      </c>
      <c r="R754" s="150">
        <v>0</v>
      </c>
      <c r="S754" s="117" t="b">
        <f>OR(COUNTIF(Tabla2[[#This Row],[PROVEEDOR]],"*"&amp;'Palabra no opera'!$A$2&amp;"*"))</f>
        <v>0</v>
      </c>
      <c r="T754" s="150">
        <f>+$W$5-Tabla2[[#This Row],[FECHA DE FACTURACIÓN]]</f>
        <v>301</v>
      </c>
      <c r="U754" t="str">
        <f>+IF(Tabla2[[#This Row],[dias de credito]]&gt;=Tabla2[[#This Row],[PLAZO Días]],"venc", "No venc")</f>
        <v>venc</v>
      </c>
      <c r="V754" t="str">
        <f>+IF(Tabla2[[#This Row],[FECHA DE PAGO]]&gt;0,"pagada","por pagar")</f>
        <v>pagada</v>
      </c>
      <c r="W754" s="152" t="str">
        <f>+IF(AND(Tabla2[[#This Row],[venc]]="venc",Tabla2[[#This Row],[Columna1]]="por pagar"),"vencida","no")</f>
        <v>no</v>
      </c>
    </row>
    <row r="755" spans="1:23" x14ac:dyDescent="0.3">
      <c r="A755">
        <v>45</v>
      </c>
      <c r="B755">
        <v>7497238</v>
      </c>
      <c r="D755" t="s">
        <v>272</v>
      </c>
      <c r="E755" s="156">
        <v>44600</v>
      </c>
      <c r="F755" t="s">
        <v>10</v>
      </c>
      <c r="G755" s="156">
        <v>44532</v>
      </c>
      <c r="H755" t="s">
        <v>552</v>
      </c>
      <c r="I755">
        <v>420000</v>
      </c>
      <c r="K755">
        <v>79800</v>
      </c>
      <c r="M755">
        <v>0</v>
      </c>
      <c r="N755">
        <v>0</v>
      </c>
      <c r="O755">
        <v>0</v>
      </c>
      <c r="P755" s="117">
        <v>499800</v>
      </c>
      <c r="Q755" s="117" t="s">
        <v>1021</v>
      </c>
      <c r="R755" s="150">
        <v>0</v>
      </c>
      <c r="S755" s="117" t="b">
        <f>OR(COUNTIF(Tabla2[[#This Row],[PROVEEDOR]],"*"&amp;'Palabra no opera'!$A$2&amp;"*"))</f>
        <v>0</v>
      </c>
      <c r="T755" s="150">
        <f>+$W$5-Tabla2[[#This Row],[FECHA DE FACTURACIÓN]]</f>
        <v>302</v>
      </c>
      <c r="U755" t="str">
        <f>+IF(Tabla2[[#This Row],[dias de credito]]&gt;=Tabla2[[#This Row],[PLAZO Días]],"venc", "No venc")</f>
        <v>venc</v>
      </c>
      <c r="V755" t="str">
        <f>+IF(Tabla2[[#This Row],[FECHA DE PAGO]]&gt;0,"pagada","por pagar")</f>
        <v>pagada</v>
      </c>
      <c r="W755" s="152" t="str">
        <f>+IF(AND(Tabla2[[#This Row],[venc]]="venc",Tabla2[[#This Row],[Columna1]]="por pagar"),"vencida","no")</f>
        <v>no</v>
      </c>
    </row>
    <row r="756" spans="1:23" x14ac:dyDescent="0.3">
      <c r="A756">
        <v>30</v>
      </c>
      <c r="B756">
        <v>9032827.5</v>
      </c>
      <c r="D756" t="s">
        <v>432</v>
      </c>
      <c r="E756" s="156">
        <v>44600</v>
      </c>
      <c r="F756" t="s">
        <v>33</v>
      </c>
      <c r="G756" s="156">
        <v>44527</v>
      </c>
      <c r="H756">
        <v>1728</v>
      </c>
      <c r="I756">
        <v>9365300</v>
      </c>
      <c r="K756">
        <v>1779407</v>
      </c>
      <c r="M756">
        <v>0</v>
      </c>
      <c r="N756">
        <v>2.5000000000000001E-2</v>
      </c>
      <c r="O756">
        <v>234132.5</v>
      </c>
      <c r="P756" s="117">
        <v>10910574.5</v>
      </c>
      <c r="Q756" s="117" t="s">
        <v>1021</v>
      </c>
      <c r="R756" s="150">
        <v>0</v>
      </c>
      <c r="S756" s="117" t="b">
        <f>OR(COUNTIF(Tabla2[[#This Row],[PROVEEDOR]],"*"&amp;'Palabra no opera'!$A$2&amp;"*"))</f>
        <v>0</v>
      </c>
      <c r="T756" s="150">
        <f>+$W$5-Tabla2[[#This Row],[FECHA DE FACTURACIÓN]]</f>
        <v>307</v>
      </c>
      <c r="U756" t="str">
        <f>+IF(Tabla2[[#This Row],[dias de credito]]&gt;=Tabla2[[#This Row],[PLAZO Días]],"venc", "No venc")</f>
        <v>venc</v>
      </c>
      <c r="V756" t="str">
        <f>+IF(Tabla2[[#This Row],[FECHA DE PAGO]]&gt;0,"pagada","por pagar")</f>
        <v>pagada</v>
      </c>
      <c r="W756" s="152" t="str">
        <f>+IF(AND(Tabla2[[#This Row],[venc]]="venc",Tabla2[[#This Row],[Columna1]]="por pagar"),"vencida","no")</f>
        <v>no</v>
      </c>
    </row>
    <row r="757" spans="1:23" x14ac:dyDescent="0.3">
      <c r="A757">
        <v>30</v>
      </c>
      <c r="B757">
        <v>0</v>
      </c>
      <c r="D757" t="s">
        <v>268</v>
      </c>
      <c r="E757" s="156">
        <v>44595</v>
      </c>
      <c r="F757" t="s">
        <v>930</v>
      </c>
      <c r="G757" s="156">
        <v>44593</v>
      </c>
      <c r="H757">
        <v>805</v>
      </c>
      <c r="I757">
        <v>239200</v>
      </c>
      <c r="K757">
        <v>0</v>
      </c>
      <c r="M757">
        <v>0</v>
      </c>
      <c r="N757">
        <v>3.5000000000000003E-2</v>
      </c>
      <c r="O757">
        <v>8372</v>
      </c>
      <c r="P757" s="117">
        <v>0</v>
      </c>
      <c r="Q757" s="117" t="s">
        <v>1021</v>
      </c>
      <c r="R757" s="150">
        <v>0</v>
      </c>
      <c r="S757" s="117" t="b">
        <f>OR(COUNTIF(Tabla2[[#This Row],[PROVEEDOR]],"*"&amp;'Palabra no opera'!$A$2&amp;"*"))</f>
        <v>1</v>
      </c>
      <c r="T757" s="150">
        <f>+$W$5-Tabla2[[#This Row],[FECHA DE FACTURACIÓN]]</f>
        <v>241</v>
      </c>
      <c r="U757" t="str">
        <f>+IF(Tabla2[[#This Row],[dias de credito]]&gt;=Tabla2[[#This Row],[PLAZO Días]],"venc", "No venc")</f>
        <v>venc</v>
      </c>
      <c r="V757" t="str">
        <f>+IF(Tabla2[[#This Row],[FECHA DE PAGO]]&gt;0,"pagada","por pagar")</f>
        <v>pagada</v>
      </c>
      <c r="W757" s="152" t="str">
        <f>+IF(AND(Tabla2[[#This Row],[venc]]="venc",Tabla2[[#This Row],[Columna1]]="por pagar"),"vencida","no")</f>
        <v>no</v>
      </c>
    </row>
    <row r="758" spans="1:23" x14ac:dyDescent="0.3">
      <c r="A758">
        <v>30</v>
      </c>
      <c r="B758">
        <v>326474.88</v>
      </c>
      <c r="D758" t="s">
        <v>949</v>
      </c>
      <c r="E758" s="156">
        <v>44594</v>
      </c>
      <c r="F758" t="s">
        <v>345</v>
      </c>
      <c r="G758" s="156">
        <v>44805</v>
      </c>
      <c r="H758" t="s">
        <v>1647</v>
      </c>
      <c r="I758">
        <v>1876000</v>
      </c>
      <c r="K758">
        <v>0</v>
      </c>
      <c r="M758">
        <v>0</v>
      </c>
      <c r="N758">
        <v>0</v>
      </c>
      <c r="O758">
        <v>0</v>
      </c>
      <c r="P758" s="117">
        <v>1876000</v>
      </c>
      <c r="Q758" s="117" t="s">
        <v>1021</v>
      </c>
      <c r="R758" s="150">
        <v>0</v>
      </c>
      <c r="S758" s="117" t="b">
        <f>OR(COUNTIF(Tabla2[[#This Row],[PROVEEDOR]],"*"&amp;'Palabra no opera'!$A$2&amp;"*"))</f>
        <v>0</v>
      </c>
      <c r="T758" s="150">
        <f>+$W$5-Tabla2[[#This Row],[FECHA DE FACTURACIÓN]]</f>
        <v>29</v>
      </c>
      <c r="U758" t="str">
        <f>+IF(Tabla2[[#This Row],[dias de credito]]&gt;=Tabla2[[#This Row],[PLAZO Días]],"venc", "No venc")</f>
        <v>No venc</v>
      </c>
      <c r="V758" t="str">
        <f>+IF(Tabla2[[#This Row],[FECHA DE PAGO]]&gt;0,"pagada","por pagar")</f>
        <v>pagada</v>
      </c>
      <c r="W758" s="152" t="str">
        <f>+IF(AND(Tabla2[[#This Row],[venc]]="venc",Tabla2[[#This Row],[Columna1]]="por pagar"),"vencida","no")</f>
        <v>no</v>
      </c>
    </row>
    <row r="759" spans="1:23" x14ac:dyDescent="0.3">
      <c r="A759">
        <v>30</v>
      </c>
      <c r="B759">
        <v>0</v>
      </c>
      <c r="D759">
        <v>0</v>
      </c>
      <c r="E759" s="156">
        <v>44594</v>
      </c>
      <c r="F759" t="s">
        <v>700</v>
      </c>
      <c r="G759" s="156">
        <v>44589</v>
      </c>
      <c r="H759" t="s">
        <v>1567</v>
      </c>
      <c r="I759">
        <v>3418000</v>
      </c>
      <c r="K759">
        <v>0</v>
      </c>
      <c r="M759">
        <v>0</v>
      </c>
      <c r="N759">
        <v>0</v>
      </c>
      <c r="O759">
        <v>0</v>
      </c>
      <c r="P759" s="117">
        <v>3418000</v>
      </c>
      <c r="Q759" s="117" t="s">
        <v>1021</v>
      </c>
      <c r="R759" s="150">
        <v>0</v>
      </c>
      <c r="S759" s="117" t="b">
        <f>OR(COUNTIF(Tabla2[[#This Row],[PROVEEDOR]],"*"&amp;'Palabra no opera'!$A$2&amp;"*"))</f>
        <v>0</v>
      </c>
      <c r="T759" s="150">
        <f>+$W$5-Tabla2[[#This Row],[FECHA DE FACTURACIÓN]]</f>
        <v>245</v>
      </c>
      <c r="U759" t="str">
        <f>+IF(Tabla2[[#This Row],[dias de credito]]&gt;=Tabla2[[#This Row],[PLAZO Días]],"venc", "No venc")</f>
        <v>venc</v>
      </c>
      <c r="V759" t="str">
        <f>+IF(Tabla2[[#This Row],[FECHA DE PAGO]]&gt;0,"pagada","por pagar")</f>
        <v>pagada</v>
      </c>
      <c r="W759" s="152" t="str">
        <f>+IF(AND(Tabla2[[#This Row],[venc]]="venc",Tabla2[[#This Row],[Columna1]]="por pagar"),"vencida","no")</f>
        <v>no</v>
      </c>
    </row>
    <row r="760" spans="1:23" x14ac:dyDescent="0.3">
      <c r="A760">
        <v>30</v>
      </c>
      <c r="B760">
        <v>0</v>
      </c>
      <c r="D760" t="s">
        <v>139</v>
      </c>
      <c r="E760" s="156">
        <v>44593</v>
      </c>
      <c r="F760" t="s">
        <v>673</v>
      </c>
      <c r="G760" s="156">
        <v>44593</v>
      </c>
      <c r="I760">
        <v>1000000</v>
      </c>
      <c r="K760">
        <v>0</v>
      </c>
      <c r="M760">
        <v>0</v>
      </c>
      <c r="N760">
        <v>0</v>
      </c>
      <c r="O760">
        <v>0</v>
      </c>
      <c r="P760" s="117">
        <v>0</v>
      </c>
      <c r="Q760" s="117" t="s">
        <v>1021</v>
      </c>
      <c r="R760" s="150">
        <v>0</v>
      </c>
      <c r="S760" s="117" t="b">
        <f>OR(COUNTIF(Tabla2[[#This Row],[PROVEEDOR]],"*"&amp;'Palabra no opera'!$A$2&amp;"*"))</f>
        <v>0</v>
      </c>
      <c r="T760" s="150">
        <f>+$W$5-Tabla2[[#This Row],[FECHA DE FACTURACIÓN]]</f>
        <v>241</v>
      </c>
      <c r="U760" t="str">
        <f>+IF(Tabla2[[#This Row],[dias de credito]]&gt;=Tabla2[[#This Row],[PLAZO Días]],"venc", "No venc")</f>
        <v>venc</v>
      </c>
      <c r="V760" t="str">
        <f>+IF(Tabla2[[#This Row],[FECHA DE PAGO]]&gt;0,"pagada","por pagar")</f>
        <v>pagada</v>
      </c>
      <c r="W760" s="152" t="str">
        <f>+IF(AND(Tabla2[[#This Row],[venc]]="venc",Tabla2[[#This Row],[Columna1]]="por pagar"),"vencida","no")</f>
        <v>no</v>
      </c>
    </row>
    <row r="761" spans="1:23" x14ac:dyDescent="0.3">
      <c r="A761">
        <v>30</v>
      </c>
      <c r="B761">
        <v>0</v>
      </c>
      <c r="D761" t="s">
        <v>431</v>
      </c>
      <c r="E761" s="156">
        <v>44593</v>
      </c>
      <c r="F761" t="s">
        <v>677</v>
      </c>
      <c r="G761" s="156">
        <v>44562</v>
      </c>
      <c r="H761" t="s">
        <v>1368</v>
      </c>
      <c r="I761">
        <v>1400000</v>
      </c>
      <c r="K761">
        <v>0</v>
      </c>
      <c r="M761">
        <v>0</v>
      </c>
      <c r="N761">
        <v>0</v>
      </c>
      <c r="O761">
        <v>0</v>
      </c>
      <c r="P761" s="117">
        <v>1400000</v>
      </c>
      <c r="Q761" s="117" t="s">
        <v>1021</v>
      </c>
      <c r="R761" s="150">
        <v>0</v>
      </c>
      <c r="S761" s="117" t="b">
        <f>OR(COUNTIF(Tabla2[[#This Row],[PROVEEDOR]],"*"&amp;'Palabra no opera'!$A$2&amp;"*"))</f>
        <v>0</v>
      </c>
      <c r="T761" s="150">
        <f>+$W$5-Tabla2[[#This Row],[FECHA DE FACTURACIÓN]]</f>
        <v>272</v>
      </c>
      <c r="U761" t="str">
        <f>+IF(Tabla2[[#This Row],[dias de credito]]&gt;=Tabla2[[#This Row],[PLAZO Días]],"venc", "No venc")</f>
        <v>venc</v>
      </c>
      <c r="V761" t="str">
        <f>+IF(Tabla2[[#This Row],[FECHA DE PAGO]]&gt;0,"pagada","por pagar")</f>
        <v>pagada</v>
      </c>
      <c r="W761" s="152" t="str">
        <f>+IF(AND(Tabla2[[#This Row],[venc]]="venc",Tabla2[[#This Row],[Columna1]]="por pagar"),"vencida","no")</f>
        <v>no</v>
      </c>
    </row>
    <row r="762" spans="1:23" x14ac:dyDescent="0.3">
      <c r="A762">
        <v>30</v>
      </c>
      <c r="B762">
        <v>450000</v>
      </c>
      <c r="D762" t="s">
        <v>291</v>
      </c>
      <c r="E762" s="156">
        <v>44592</v>
      </c>
      <c r="F762" t="s">
        <v>685</v>
      </c>
      <c r="G762" s="156">
        <v>44551</v>
      </c>
      <c r="H762" t="s">
        <v>1364</v>
      </c>
      <c r="I762">
        <v>105000</v>
      </c>
      <c r="K762">
        <v>0</v>
      </c>
      <c r="M762">
        <v>0</v>
      </c>
      <c r="N762">
        <v>0</v>
      </c>
      <c r="O762">
        <v>0</v>
      </c>
      <c r="P762" s="117">
        <v>105000</v>
      </c>
      <c r="Q762" s="117" t="s">
        <v>1021</v>
      </c>
      <c r="R762" s="150">
        <v>0</v>
      </c>
      <c r="S762" s="117" t="b">
        <f>OR(COUNTIF(Tabla2[[#This Row],[PROVEEDOR]],"*"&amp;'Palabra no opera'!$A$2&amp;"*"))</f>
        <v>0</v>
      </c>
      <c r="T762" s="150">
        <f>+$W$5-Tabla2[[#This Row],[FECHA DE FACTURACIÓN]]</f>
        <v>283</v>
      </c>
      <c r="U762" t="str">
        <f>+IF(Tabla2[[#This Row],[dias de credito]]&gt;=Tabla2[[#This Row],[PLAZO Días]],"venc", "No venc")</f>
        <v>venc</v>
      </c>
      <c r="V762" t="str">
        <f>+IF(Tabla2[[#This Row],[FECHA DE PAGO]]&gt;0,"pagada","por pagar")</f>
        <v>pagada</v>
      </c>
      <c r="W762" s="152" t="str">
        <f>+IF(AND(Tabla2[[#This Row],[venc]]="venc",Tabla2[[#This Row],[Columna1]]="por pagar"),"vencida","no")</f>
        <v>no</v>
      </c>
    </row>
    <row r="763" spans="1:23" x14ac:dyDescent="0.3">
      <c r="A763">
        <v>30</v>
      </c>
      <c r="B763">
        <v>0</v>
      </c>
      <c r="D763" t="s">
        <v>687</v>
      </c>
      <c r="E763" s="156">
        <v>44592</v>
      </c>
      <c r="F763" t="s">
        <v>688</v>
      </c>
      <c r="G763" s="156">
        <v>44540</v>
      </c>
      <c r="H763" t="s">
        <v>1542</v>
      </c>
      <c r="I763">
        <v>700000</v>
      </c>
      <c r="K763">
        <v>0</v>
      </c>
      <c r="M763">
        <v>0</v>
      </c>
      <c r="N763">
        <v>0</v>
      </c>
      <c r="O763">
        <v>0</v>
      </c>
      <c r="P763" s="117">
        <v>700000</v>
      </c>
      <c r="Q763" s="117" t="s">
        <v>1021</v>
      </c>
      <c r="R763" s="150">
        <v>0</v>
      </c>
      <c r="S763" s="117" t="b">
        <f>OR(COUNTIF(Tabla2[[#This Row],[PROVEEDOR]],"*"&amp;'Palabra no opera'!$A$2&amp;"*"))</f>
        <v>0</v>
      </c>
      <c r="T763" s="150">
        <f>+$W$5-Tabla2[[#This Row],[FECHA DE FACTURACIÓN]]</f>
        <v>294</v>
      </c>
      <c r="U763" t="str">
        <f>+IF(Tabla2[[#This Row],[dias de credito]]&gt;=Tabla2[[#This Row],[PLAZO Días]],"venc", "No venc")</f>
        <v>venc</v>
      </c>
      <c r="V763" t="str">
        <f>+IF(Tabla2[[#This Row],[FECHA DE PAGO]]&gt;0,"pagada","por pagar")</f>
        <v>pagada</v>
      </c>
      <c r="W763" s="152" t="str">
        <f>+IF(AND(Tabla2[[#This Row],[venc]]="venc",Tabla2[[#This Row],[Columna1]]="por pagar"),"vencida","no")</f>
        <v>no</v>
      </c>
    </row>
    <row r="764" spans="1:23" x14ac:dyDescent="0.3">
      <c r="A764">
        <v>30</v>
      </c>
      <c r="B764">
        <v>9201606.4000000004</v>
      </c>
      <c r="D764" t="s">
        <v>476</v>
      </c>
      <c r="E764" s="156">
        <v>44592</v>
      </c>
      <c r="F764" t="s">
        <v>407</v>
      </c>
      <c r="G764" s="156">
        <v>44539</v>
      </c>
      <c r="H764">
        <v>111</v>
      </c>
      <c r="I764">
        <v>21679100</v>
      </c>
      <c r="K764">
        <v>4119029</v>
      </c>
      <c r="L764">
        <v>0.09</v>
      </c>
      <c r="M764">
        <v>1951119</v>
      </c>
      <c r="N764">
        <v>2.5000000000000001E-2</v>
      </c>
      <c r="O764">
        <v>541977.5</v>
      </c>
      <c r="P764" s="117">
        <v>23305032.5</v>
      </c>
      <c r="Q764" s="117" t="s">
        <v>1021</v>
      </c>
      <c r="R764" s="150">
        <v>0</v>
      </c>
      <c r="S764" s="117" t="b">
        <f>OR(COUNTIF(Tabla2[[#This Row],[PROVEEDOR]],"*"&amp;'Palabra no opera'!$A$2&amp;"*"))</f>
        <v>0</v>
      </c>
      <c r="T764" s="150">
        <f>+$W$5-Tabla2[[#This Row],[FECHA DE FACTURACIÓN]]</f>
        <v>295</v>
      </c>
      <c r="U764" t="str">
        <f>+IF(Tabla2[[#This Row],[dias de credito]]&gt;=Tabla2[[#This Row],[PLAZO Días]],"venc", "No venc")</f>
        <v>venc</v>
      </c>
      <c r="V764" t="str">
        <f>+IF(Tabla2[[#This Row],[FECHA DE PAGO]]&gt;0,"pagada","por pagar")</f>
        <v>pagada</v>
      </c>
      <c r="W764" s="152" t="str">
        <f>+IF(AND(Tabla2[[#This Row],[venc]]="venc",Tabla2[[#This Row],[Columna1]]="por pagar"),"vencida","no")</f>
        <v>no</v>
      </c>
    </row>
    <row r="765" spans="1:23" x14ac:dyDescent="0.3">
      <c r="A765">
        <v>30</v>
      </c>
      <c r="B765">
        <v>0</v>
      </c>
      <c r="D765" t="s">
        <v>139</v>
      </c>
      <c r="E765" s="156">
        <v>44588</v>
      </c>
      <c r="F765" t="s">
        <v>652</v>
      </c>
      <c r="G765" s="156">
        <v>44588</v>
      </c>
      <c r="H765" t="s">
        <v>1565</v>
      </c>
      <c r="I765">
        <v>280000</v>
      </c>
      <c r="K765">
        <v>0</v>
      </c>
      <c r="M765">
        <v>0</v>
      </c>
      <c r="N765">
        <v>0</v>
      </c>
      <c r="O765">
        <v>0</v>
      </c>
      <c r="P765" s="117">
        <v>280000</v>
      </c>
      <c r="Q765" s="117" t="s">
        <v>1021</v>
      </c>
      <c r="R765" s="150">
        <v>0</v>
      </c>
      <c r="S765" s="117" t="b">
        <f>OR(COUNTIF(Tabla2[[#This Row],[PROVEEDOR]],"*"&amp;'Palabra no opera'!$A$2&amp;"*"))</f>
        <v>0</v>
      </c>
      <c r="T765" s="150">
        <f>+$W$5-Tabla2[[#This Row],[FECHA DE FACTURACIÓN]]</f>
        <v>246</v>
      </c>
      <c r="U765" t="str">
        <f>+IF(Tabla2[[#This Row],[dias de credito]]&gt;=Tabla2[[#This Row],[PLAZO Días]],"venc", "No venc")</f>
        <v>venc</v>
      </c>
      <c r="V765" t="str">
        <f>+IF(Tabla2[[#This Row],[FECHA DE PAGO]]&gt;0,"pagada","por pagar")</f>
        <v>pagada</v>
      </c>
      <c r="W765" s="152" t="str">
        <f>+IF(AND(Tabla2[[#This Row],[venc]]="venc",Tabla2[[#This Row],[Columna1]]="por pagar"),"vencida","no")</f>
        <v>no</v>
      </c>
    </row>
    <row r="766" spans="1:23" x14ac:dyDescent="0.3">
      <c r="A766">
        <v>30</v>
      </c>
      <c r="B766">
        <v>0</v>
      </c>
      <c r="D766">
        <v>0</v>
      </c>
      <c r="E766" s="156">
        <v>44588</v>
      </c>
      <c r="F766" t="s">
        <v>403</v>
      </c>
      <c r="G766" s="156">
        <v>44587</v>
      </c>
      <c r="H766">
        <v>130713</v>
      </c>
      <c r="I766">
        <v>1874000</v>
      </c>
      <c r="K766">
        <v>0</v>
      </c>
      <c r="M766">
        <v>0</v>
      </c>
      <c r="N766">
        <v>0</v>
      </c>
      <c r="O766">
        <v>0</v>
      </c>
      <c r="P766" s="117">
        <v>1874000</v>
      </c>
      <c r="Q766" s="117" t="s">
        <v>1021</v>
      </c>
      <c r="R766" s="150">
        <v>0</v>
      </c>
      <c r="S766" s="117" t="b">
        <f>OR(COUNTIF(Tabla2[[#This Row],[PROVEEDOR]],"*"&amp;'Palabra no opera'!$A$2&amp;"*"))</f>
        <v>0</v>
      </c>
      <c r="T766" s="150">
        <f>+$W$5-Tabla2[[#This Row],[FECHA DE FACTURACIÓN]]</f>
        <v>247</v>
      </c>
      <c r="U766" t="str">
        <f>+IF(Tabla2[[#This Row],[dias de credito]]&gt;=Tabla2[[#This Row],[PLAZO Días]],"venc", "No venc")</f>
        <v>venc</v>
      </c>
      <c r="V766" t="str">
        <f>+IF(Tabla2[[#This Row],[FECHA DE PAGO]]&gt;0,"pagada","por pagar")</f>
        <v>pagada</v>
      </c>
      <c r="W766" s="152" t="str">
        <f>+IF(AND(Tabla2[[#This Row],[venc]]="venc",Tabla2[[#This Row],[Columna1]]="por pagar"),"vencida","no")</f>
        <v>no</v>
      </c>
    </row>
    <row r="767" spans="1:23" x14ac:dyDescent="0.3">
      <c r="A767">
        <v>30</v>
      </c>
      <c r="B767">
        <v>0</v>
      </c>
      <c r="D767" t="s">
        <v>949</v>
      </c>
      <c r="E767" s="156">
        <v>44588</v>
      </c>
      <c r="F767" t="s">
        <v>404</v>
      </c>
      <c r="G767" s="156">
        <v>44587</v>
      </c>
      <c r="H767" t="s">
        <v>1378</v>
      </c>
      <c r="I767">
        <v>1919000</v>
      </c>
      <c r="K767">
        <v>0</v>
      </c>
      <c r="M767">
        <v>0</v>
      </c>
      <c r="N767">
        <v>0</v>
      </c>
      <c r="O767">
        <v>0</v>
      </c>
      <c r="P767" s="117">
        <v>1919000</v>
      </c>
      <c r="Q767" s="117" t="s">
        <v>1021</v>
      </c>
      <c r="R767" s="150">
        <v>0</v>
      </c>
      <c r="S767" s="117" t="b">
        <f>OR(COUNTIF(Tabla2[[#This Row],[PROVEEDOR]],"*"&amp;'Palabra no opera'!$A$2&amp;"*"))</f>
        <v>0</v>
      </c>
      <c r="T767" s="150">
        <f>+$W$5-Tabla2[[#This Row],[FECHA DE FACTURACIÓN]]</f>
        <v>247</v>
      </c>
      <c r="U767" t="str">
        <f>+IF(Tabla2[[#This Row],[dias de credito]]&gt;=Tabla2[[#This Row],[PLAZO Días]],"venc", "No venc")</f>
        <v>venc</v>
      </c>
      <c r="V767" t="str">
        <f>+IF(Tabla2[[#This Row],[FECHA DE PAGO]]&gt;0,"pagada","por pagar")</f>
        <v>pagada</v>
      </c>
      <c r="W767" s="152" t="str">
        <f>+IF(AND(Tabla2[[#This Row],[venc]]="venc",Tabla2[[#This Row],[Columna1]]="por pagar"),"vencida","no")</f>
        <v>no</v>
      </c>
    </row>
    <row r="768" spans="1:23" x14ac:dyDescent="0.3">
      <c r="A768">
        <v>30</v>
      </c>
      <c r="B768">
        <v>1580500</v>
      </c>
      <c r="D768" t="s">
        <v>139</v>
      </c>
      <c r="E768" s="156">
        <v>44588</v>
      </c>
      <c r="F768" t="s">
        <v>686</v>
      </c>
      <c r="G768" s="156">
        <v>44580</v>
      </c>
      <c r="H768" t="s">
        <v>1559</v>
      </c>
      <c r="I768">
        <v>699000</v>
      </c>
      <c r="K768">
        <v>0</v>
      </c>
      <c r="M768">
        <v>0</v>
      </c>
      <c r="N768">
        <v>0</v>
      </c>
      <c r="O768">
        <v>0</v>
      </c>
      <c r="P768" s="117">
        <v>699000</v>
      </c>
      <c r="Q768" s="117" t="s">
        <v>1021</v>
      </c>
      <c r="R768" s="150">
        <v>0</v>
      </c>
      <c r="S768" s="117" t="b">
        <f>OR(COUNTIF(Tabla2[[#This Row],[PROVEEDOR]],"*"&amp;'Palabra no opera'!$A$2&amp;"*"))</f>
        <v>0</v>
      </c>
      <c r="T768" s="150">
        <f>+$W$5-Tabla2[[#This Row],[FECHA DE FACTURACIÓN]]</f>
        <v>254</v>
      </c>
      <c r="U768" t="str">
        <f>+IF(Tabla2[[#This Row],[dias de credito]]&gt;=Tabla2[[#This Row],[PLAZO Días]],"venc", "No venc")</f>
        <v>venc</v>
      </c>
      <c r="V768" t="str">
        <f>+IF(Tabla2[[#This Row],[FECHA DE PAGO]]&gt;0,"pagada","por pagar")</f>
        <v>pagada</v>
      </c>
      <c r="W768" s="152" t="str">
        <f>+IF(AND(Tabla2[[#This Row],[venc]]="venc",Tabla2[[#This Row],[Columna1]]="por pagar"),"vencida","no")</f>
        <v>no</v>
      </c>
    </row>
    <row r="769" spans="1:23" x14ac:dyDescent="0.3">
      <c r="A769">
        <v>30</v>
      </c>
      <c r="B769">
        <v>0</v>
      </c>
      <c r="D769" t="s">
        <v>650</v>
      </c>
      <c r="E769" s="156">
        <v>44588</v>
      </c>
      <c r="F769" t="s">
        <v>913</v>
      </c>
      <c r="G769" s="156">
        <v>44562</v>
      </c>
      <c r="H769" t="s">
        <v>1369</v>
      </c>
      <c r="I769">
        <v>3061166</v>
      </c>
      <c r="K769">
        <v>581621.54</v>
      </c>
      <c r="M769">
        <v>0</v>
      </c>
      <c r="N769">
        <v>0</v>
      </c>
      <c r="O769">
        <v>0</v>
      </c>
      <c r="P769" s="117">
        <v>3642787.54</v>
      </c>
      <c r="Q769" s="117" t="s">
        <v>1021</v>
      </c>
      <c r="R769" s="150">
        <v>0</v>
      </c>
      <c r="S769" s="117" t="b">
        <f>OR(COUNTIF(Tabla2[[#This Row],[PROVEEDOR]],"*"&amp;'Palabra no opera'!$A$2&amp;"*"))</f>
        <v>1</v>
      </c>
      <c r="T769" s="150">
        <f>+$W$5-Tabla2[[#This Row],[FECHA DE FACTURACIÓN]]</f>
        <v>272</v>
      </c>
      <c r="U769" t="str">
        <f>+IF(Tabla2[[#This Row],[dias de credito]]&gt;=Tabla2[[#This Row],[PLAZO Días]],"venc", "No venc")</f>
        <v>venc</v>
      </c>
      <c r="V769" t="str">
        <f>+IF(Tabla2[[#This Row],[FECHA DE PAGO]]&gt;0,"pagada","por pagar")</f>
        <v>pagada</v>
      </c>
      <c r="W769" s="152" t="str">
        <f>+IF(AND(Tabla2[[#This Row],[venc]]="venc",Tabla2[[#This Row],[Columna1]]="por pagar"),"vencida","no")</f>
        <v>no</v>
      </c>
    </row>
    <row r="770" spans="1:23" x14ac:dyDescent="0.3">
      <c r="A770">
        <v>30</v>
      </c>
      <c r="B770">
        <v>0</v>
      </c>
      <c r="D770" t="s">
        <v>650</v>
      </c>
      <c r="E770" s="156">
        <v>44588</v>
      </c>
      <c r="F770" t="s">
        <v>913</v>
      </c>
      <c r="G770" s="156">
        <v>44562</v>
      </c>
      <c r="H770" t="s">
        <v>1370</v>
      </c>
      <c r="I770">
        <v>716544</v>
      </c>
      <c r="K770">
        <v>136143.36000000002</v>
      </c>
      <c r="M770">
        <v>0</v>
      </c>
      <c r="N770">
        <v>0</v>
      </c>
      <c r="O770">
        <v>0</v>
      </c>
      <c r="P770" s="117">
        <v>852687.35999999999</v>
      </c>
      <c r="Q770" s="117" t="s">
        <v>1021</v>
      </c>
      <c r="R770" s="150">
        <v>0</v>
      </c>
      <c r="S770" s="117" t="b">
        <f>OR(COUNTIF(Tabla2[[#This Row],[PROVEEDOR]],"*"&amp;'Palabra no opera'!$A$2&amp;"*"))</f>
        <v>1</v>
      </c>
      <c r="T770" s="150">
        <f>+$W$5-Tabla2[[#This Row],[FECHA DE FACTURACIÓN]]</f>
        <v>272</v>
      </c>
      <c r="U770" t="str">
        <f>+IF(Tabla2[[#This Row],[dias de credito]]&gt;=Tabla2[[#This Row],[PLAZO Días]],"venc", "No venc")</f>
        <v>venc</v>
      </c>
      <c r="V770" t="str">
        <f>+IF(Tabla2[[#This Row],[FECHA DE PAGO]]&gt;0,"pagada","por pagar")</f>
        <v>pagada</v>
      </c>
      <c r="W770" s="152" t="str">
        <f>+IF(AND(Tabla2[[#This Row],[venc]]="venc",Tabla2[[#This Row],[Columna1]]="por pagar"),"vencida","no")</f>
        <v>no</v>
      </c>
    </row>
    <row r="771" spans="1:23" x14ac:dyDescent="0.3">
      <c r="A771">
        <v>30</v>
      </c>
      <c r="B771">
        <v>0</v>
      </c>
      <c r="D771" t="s">
        <v>1688</v>
      </c>
      <c r="E771" s="156">
        <v>44588</v>
      </c>
      <c r="F771" t="s">
        <v>928</v>
      </c>
      <c r="G771" s="156">
        <v>44562</v>
      </c>
      <c r="H771" t="s">
        <v>620</v>
      </c>
      <c r="I771">
        <v>20664</v>
      </c>
      <c r="K771">
        <v>0</v>
      </c>
      <c r="M771">
        <v>0</v>
      </c>
      <c r="N771">
        <v>3.5000000000000003E-2</v>
      </c>
      <c r="O771">
        <v>723.24000000000012</v>
      </c>
      <c r="P771" s="117">
        <v>20664</v>
      </c>
      <c r="Q771" s="117" t="s">
        <v>1021</v>
      </c>
      <c r="R771" s="150">
        <v>0</v>
      </c>
      <c r="S771" s="117" t="b">
        <f>OR(COUNTIF(Tabla2[[#This Row],[PROVEEDOR]],"*"&amp;'Palabra no opera'!$A$2&amp;"*"))</f>
        <v>1</v>
      </c>
      <c r="T771" s="150">
        <f>+$W$5-Tabla2[[#This Row],[FECHA DE FACTURACIÓN]]</f>
        <v>272</v>
      </c>
      <c r="U771" t="str">
        <f>+IF(Tabla2[[#This Row],[dias de credito]]&gt;=Tabla2[[#This Row],[PLAZO Días]],"venc", "No venc")</f>
        <v>venc</v>
      </c>
      <c r="V771" t="str">
        <f>+IF(Tabla2[[#This Row],[FECHA DE PAGO]]&gt;0,"pagada","por pagar")</f>
        <v>pagada</v>
      </c>
      <c r="W771" s="152" t="str">
        <f>+IF(AND(Tabla2[[#This Row],[venc]]="venc",Tabla2[[#This Row],[Columna1]]="por pagar"),"vencida","no")</f>
        <v>no</v>
      </c>
    </row>
    <row r="772" spans="1:23" x14ac:dyDescent="0.3">
      <c r="A772">
        <v>30</v>
      </c>
      <c r="B772">
        <v>0</v>
      </c>
      <c r="D772" t="s">
        <v>1688</v>
      </c>
      <c r="E772" s="156">
        <v>44588</v>
      </c>
      <c r="F772" t="s">
        <v>928</v>
      </c>
      <c r="G772" s="156">
        <v>44562</v>
      </c>
      <c r="H772" t="s">
        <v>582</v>
      </c>
      <c r="I772">
        <v>3937653</v>
      </c>
      <c r="K772">
        <v>0</v>
      </c>
      <c r="M772">
        <v>0</v>
      </c>
      <c r="N772">
        <v>3.5000000000000003E-2</v>
      </c>
      <c r="O772">
        <v>137817.85500000001</v>
      </c>
      <c r="P772" s="117">
        <v>3799835.145</v>
      </c>
      <c r="Q772" s="117" t="s">
        <v>1021</v>
      </c>
      <c r="R772" s="150">
        <v>0</v>
      </c>
      <c r="S772" s="117" t="b">
        <f>OR(COUNTIF(Tabla2[[#This Row],[PROVEEDOR]],"*"&amp;'Palabra no opera'!$A$2&amp;"*"))</f>
        <v>1</v>
      </c>
      <c r="T772" s="150">
        <f>+$W$5-Tabla2[[#This Row],[FECHA DE FACTURACIÓN]]</f>
        <v>272</v>
      </c>
      <c r="U772" t="str">
        <f>+IF(Tabla2[[#This Row],[dias de credito]]&gt;=Tabla2[[#This Row],[PLAZO Días]],"venc", "No venc")</f>
        <v>venc</v>
      </c>
      <c r="V772" t="str">
        <f>+IF(Tabla2[[#This Row],[FECHA DE PAGO]]&gt;0,"pagada","por pagar")</f>
        <v>pagada</v>
      </c>
      <c r="W772" s="152" t="str">
        <f>+IF(AND(Tabla2[[#This Row],[venc]]="venc",Tabla2[[#This Row],[Columna1]]="por pagar"),"vencida","no")</f>
        <v>no</v>
      </c>
    </row>
    <row r="773" spans="1:23" x14ac:dyDescent="0.3">
      <c r="A773">
        <v>30</v>
      </c>
      <c r="B773">
        <v>0</v>
      </c>
      <c r="D773" t="s">
        <v>259</v>
      </c>
      <c r="E773" s="156">
        <v>44588</v>
      </c>
      <c r="F773" t="s">
        <v>918</v>
      </c>
      <c r="G773" s="156">
        <v>44562</v>
      </c>
      <c r="H773">
        <v>9719</v>
      </c>
      <c r="I773">
        <v>1904519</v>
      </c>
      <c r="K773">
        <v>0</v>
      </c>
      <c r="M773">
        <v>0</v>
      </c>
      <c r="N773">
        <v>0</v>
      </c>
      <c r="O773">
        <v>0</v>
      </c>
      <c r="P773" s="117">
        <v>1904519</v>
      </c>
      <c r="Q773" s="117" t="s">
        <v>1021</v>
      </c>
      <c r="R773" s="150">
        <v>0</v>
      </c>
      <c r="S773" s="117" t="b">
        <f>OR(COUNTIF(Tabla2[[#This Row],[PROVEEDOR]],"*"&amp;'Palabra no opera'!$A$2&amp;"*"))</f>
        <v>1</v>
      </c>
      <c r="T773" s="150">
        <f>+$W$5-Tabla2[[#This Row],[FECHA DE FACTURACIÓN]]</f>
        <v>272</v>
      </c>
      <c r="U773" t="str">
        <f>+IF(Tabla2[[#This Row],[dias de credito]]&gt;=Tabla2[[#This Row],[PLAZO Días]],"venc", "No venc")</f>
        <v>venc</v>
      </c>
      <c r="V773" t="str">
        <f>+IF(Tabla2[[#This Row],[FECHA DE PAGO]]&gt;0,"pagada","por pagar")</f>
        <v>pagada</v>
      </c>
      <c r="W773" s="152" t="str">
        <f>+IF(AND(Tabla2[[#This Row],[venc]]="venc",Tabla2[[#This Row],[Columna1]]="por pagar"),"vencida","no")</f>
        <v>no</v>
      </c>
    </row>
    <row r="774" spans="1:23" x14ac:dyDescent="0.3">
      <c r="A774">
        <v>30</v>
      </c>
      <c r="B774">
        <v>0</v>
      </c>
      <c r="D774" t="s">
        <v>433</v>
      </c>
      <c r="E774" s="156">
        <v>44588</v>
      </c>
      <c r="F774" t="s">
        <v>925</v>
      </c>
      <c r="G774" s="156">
        <v>44562</v>
      </c>
      <c r="H774" t="s">
        <v>1371</v>
      </c>
      <c r="I774">
        <v>2789636</v>
      </c>
      <c r="K774">
        <v>0</v>
      </c>
      <c r="M774">
        <v>0</v>
      </c>
      <c r="N774">
        <v>3.5000000000000003E-2</v>
      </c>
      <c r="O774">
        <v>97637.260000000009</v>
      </c>
      <c r="P774" s="117">
        <v>2691998.74</v>
      </c>
      <c r="Q774" s="117" t="s">
        <v>1021</v>
      </c>
      <c r="R774" s="150">
        <v>0</v>
      </c>
      <c r="S774" s="117" t="b">
        <f>OR(COUNTIF(Tabla2[[#This Row],[PROVEEDOR]],"*"&amp;'Palabra no opera'!$A$2&amp;"*"))</f>
        <v>1</v>
      </c>
      <c r="T774" s="150">
        <f>+$W$5-Tabla2[[#This Row],[FECHA DE FACTURACIÓN]]</f>
        <v>272</v>
      </c>
      <c r="U774" t="str">
        <f>+IF(Tabla2[[#This Row],[dias de credito]]&gt;=Tabla2[[#This Row],[PLAZO Días]],"venc", "No venc")</f>
        <v>venc</v>
      </c>
      <c r="V774" t="str">
        <f>+IF(Tabla2[[#This Row],[FECHA DE PAGO]]&gt;0,"pagada","por pagar")</f>
        <v>pagada</v>
      </c>
      <c r="W774" s="152" t="str">
        <f>+IF(AND(Tabla2[[#This Row],[venc]]="venc",Tabla2[[#This Row],[Columna1]]="por pagar"),"vencida","no")</f>
        <v>no</v>
      </c>
    </row>
    <row r="775" spans="1:23" x14ac:dyDescent="0.3">
      <c r="A775">
        <v>30</v>
      </c>
      <c r="B775">
        <v>0</v>
      </c>
      <c r="D775" t="s">
        <v>267</v>
      </c>
      <c r="E775" s="156">
        <v>44588</v>
      </c>
      <c r="F775" t="s">
        <v>941</v>
      </c>
      <c r="G775" s="156">
        <v>44562</v>
      </c>
      <c r="H775" t="s">
        <v>577</v>
      </c>
      <c r="I775">
        <v>214622</v>
      </c>
      <c r="K775">
        <v>40778.18</v>
      </c>
      <c r="M775">
        <v>0</v>
      </c>
      <c r="N775">
        <v>3.5000000000000003E-2</v>
      </c>
      <c r="O775">
        <v>7511.77</v>
      </c>
      <c r="P775" s="117">
        <v>247888.41</v>
      </c>
      <c r="Q775" s="117" t="s">
        <v>1021</v>
      </c>
      <c r="R775" s="150">
        <v>0</v>
      </c>
      <c r="S775" s="117" t="b">
        <f>OR(COUNTIF(Tabla2[[#This Row],[PROVEEDOR]],"*"&amp;'Palabra no opera'!$A$2&amp;"*"))</f>
        <v>1</v>
      </c>
      <c r="T775" s="150">
        <f>+$W$5-Tabla2[[#This Row],[FECHA DE FACTURACIÓN]]</f>
        <v>272</v>
      </c>
      <c r="U775" t="str">
        <f>+IF(Tabla2[[#This Row],[dias de credito]]&gt;=Tabla2[[#This Row],[PLAZO Días]],"venc", "No venc")</f>
        <v>venc</v>
      </c>
      <c r="V775" t="str">
        <f>+IF(Tabla2[[#This Row],[FECHA DE PAGO]]&gt;0,"pagada","por pagar")</f>
        <v>pagada</v>
      </c>
      <c r="W775" s="152" t="str">
        <f>+IF(AND(Tabla2[[#This Row],[venc]]="venc",Tabla2[[#This Row],[Columna1]]="por pagar"),"vencida","no")</f>
        <v>no</v>
      </c>
    </row>
    <row r="776" spans="1:23" x14ac:dyDescent="0.3">
      <c r="A776">
        <v>20</v>
      </c>
      <c r="B776">
        <v>0</v>
      </c>
      <c r="D776" t="s">
        <v>275</v>
      </c>
      <c r="E776" s="156">
        <v>44588</v>
      </c>
      <c r="F776" t="s">
        <v>942</v>
      </c>
      <c r="G776" s="156">
        <v>44562</v>
      </c>
      <c r="H776">
        <v>41630</v>
      </c>
      <c r="I776">
        <v>4430000</v>
      </c>
      <c r="K776">
        <v>841700</v>
      </c>
      <c r="M776">
        <v>0</v>
      </c>
      <c r="N776">
        <v>3.5000000000000003E-2</v>
      </c>
      <c r="O776">
        <v>155050.00000000003</v>
      </c>
      <c r="P776" s="117">
        <v>5116650</v>
      </c>
      <c r="Q776" s="117" t="s">
        <v>1021</v>
      </c>
      <c r="R776" s="150">
        <v>0</v>
      </c>
      <c r="S776" s="117" t="b">
        <f>OR(COUNTIF(Tabla2[[#This Row],[PROVEEDOR]],"*"&amp;'Palabra no opera'!$A$2&amp;"*"))</f>
        <v>1</v>
      </c>
      <c r="T776" s="150">
        <f>+$W$5-Tabla2[[#This Row],[FECHA DE FACTURACIÓN]]</f>
        <v>272</v>
      </c>
      <c r="U776" t="str">
        <f>+IF(Tabla2[[#This Row],[dias de credito]]&gt;=Tabla2[[#This Row],[PLAZO Días]],"venc", "No venc")</f>
        <v>venc</v>
      </c>
      <c r="V776" t="str">
        <f>+IF(Tabla2[[#This Row],[FECHA DE PAGO]]&gt;0,"pagada","por pagar")</f>
        <v>pagada</v>
      </c>
      <c r="W776" s="152" t="str">
        <f>+IF(AND(Tabla2[[#This Row],[venc]]="venc",Tabla2[[#This Row],[Columna1]]="por pagar"),"vencida","no")</f>
        <v>no</v>
      </c>
    </row>
    <row r="777" spans="1:23" x14ac:dyDescent="0.3">
      <c r="A777">
        <v>30</v>
      </c>
      <c r="B777">
        <v>4656887.12</v>
      </c>
      <c r="D777" t="s">
        <v>170</v>
      </c>
      <c r="E777" s="156">
        <v>44588</v>
      </c>
      <c r="F777" t="s">
        <v>20</v>
      </c>
      <c r="G777" s="156">
        <v>44539</v>
      </c>
      <c r="H777">
        <v>5819</v>
      </c>
      <c r="I777">
        <v>1053853.1000000001</v>
      </c>
      <c r="K777">
        <v>200232.08900000001</v>
      </c>
      <c r="M777">
        <v>0</v>
      </c>
      <c r="N777">
        <v>2.5000000000000001E-2</v>
      </c>
      <c r="O777">
        <v>26346.327500000003</v>
      </c>
      <c r="P777" s="117">
        <v>1227738.8615000001</v>
      </c>
      <c r="Q777" s="117" t="s">
        <v>1021</v>
      </c>
      <c r="R777" s="150">
        <v>0</v>
      </c>
      <c r="S777" s="117" t="b">
        <f>OR(COUNTIF(Tabla2[[#This Row],[PROVEEDOR]],"*"&amp;'Palabra no opera'!$A$2&amp;"*"))</f>
        <v>0</v>
      </c>
      <c r="T777" s="150">
        <f>+$W$5-Tabla2[[#This Row],[FECHA DE FACTURACIÓN]]</f>
        <v>295</v>
      </c>
      <c r="U777" t="str">
        <f>+IF(Tabla2[[#This Row],[dias de credito]]&gt;=Tabla2[[#This Row],[PLAZO Días]],"venc", "No venc")</f>
        <v>venc</v>
      </c>
      <c r="V777" t="str">
        <f>+IF(Tabla2[[#This Row],[FECHA DE PAGO]]&gt;0,"pagada","por pagar")</f>
        <v>pagada</v>
      </c>
      <c r="W777" s="152" t="str">
        <f>+IF(AND(Tabla2[[#This Row],[venc]]="venc",Tabla2[[#This Row],[Columna1]]="por pagar"),"vencida","no")</f>
        <v>no</v>
      </c>
    </row>
    <row r="778" spans="1:23" x14ac:dyDescent="0.3">
      <c r="A778">
        <v>30</v>
      </c>
      <c r="B778">
        <v>5225000</v>
      </c>
      <c r="D778" t="s">
        <v>139</v>
      </c>
      <c r="E778" s="156">
        <v>44586</v>
      </c>
      <c r="F778" t="s">
        <v>629</v>
      </c>
      <c r="G778" s="156">
        <v>44552</v>
      </c>
      <c r="H778" t="s">
        <v>1365</v>
      </c>
      <c r="I778">
        <v>2380000</v>
      </c>
      <c r="K778">
        <v>0</v>
      </c>
      <c r="M778">
        <v>0</v>
      </c>
      <c r="N778">
        <v>0</v>
      </c>
      <c r="O778">
        <v>0</v>
      </c>
      <c r="P778" s="117">
        <v>2380000</v>
      </c>
      <c r="Q778" s="117" t="s">
        <v>1021</v>
      </c>
      <c r="R778" s="150">
        <v>0</v>
      </c>
      <c r="S778" s="117" t="b">
        <f>OR(COUNTIF(Tabla2[[#This Row],[PROVEEDOR]],"*"&amp;'Palabra no opera'!$A$2&amp;"*"))</f>
        <v>0</v>
      </c>
      <c r="T778" s="150">
        <f>+$W$5-Tabla2[[#This Row],[FECHA DE FACTURACIÓN]]</f>
        <v>282</v>
      </c>
      <c r="U778" t="str">
        <f>+IF(Tabla2[[#This Row],[dias de credito]]&gt;=Tabla2[[#This Row],[PLAZO Días]],"venc", "No venc")</f>
        <v>venc</v>
      </c>
      <c r="V778" t="str">
        <f>+IF(Tabla2[[#This Row],[FECHA DE PAGO]]&gt;0,"pagada","por pagar")</f>
        <v>pagada</v>
      </c>
      <c r="W778" s="152" t="str">
        <f>+IF(AND(Tabla2[[#This Row],[venc]]="venc",Tabla2[[#This Row],[Columna1]]="por pagar"),"vencida","no")</f>
        <v>no</v>
      </c>
    </row>
    <row r="779" spans="1:23" x14ac:dyDescent="0.3">
      <c r="A779">
        <v>30</v>
      </c>
      <c r="B779">
        <v>3921000</v>
      </c>
      <c r="D779" t="s">
        <v>139</v>
      </c>
      <c r="E779" s="156">
        <v>44586</v>
      </c>
      <c r="F779" t="s">
        <v>671</v>
      </c>
      <c r="G779" s="156">
        <v>44552</v>
      </c>
      <c r="H779" t="s">
        <v>1367</v>
      </c>
      <c r="I779">
        <v>4310000</v>
      </c>
      <c r="K779">
        <v>0</v>
      </c>
      <c r="M779">
        <v>0</v>
      </c>
      <c r="N779">
        <v>0</v>
      </c>
      <c r="O779">
        <v>0</v>
      </c>
      <c r="P779" s="117">
        <v>4310000</v>
      </c>
      <c r="Q779" s="117" t="s">
        <v>1021</v>
      </c>
      <c r="R779" s="150">
        <v>0</v>
      </c>
      <c r="S779" s="117" t="b">
        <f>OR(COUNTIF(Tabla2[[#This Row],[PROVEEDOR]],"*"&amp;'Palabra no opera'!$A$2&amp;"*"))</f>
        <v>0</v>
      </c>
      <c r="T779" s="150">
        <f>+$W$5-Tabla2[[#This Row],[FECHA DE FACTURACIÓN]]</f>
        <v>282</v>
      </c>
      <c r="U779" t="str">
        <f>+IF(Tabla2[[#This Row],[dias de credito]]&gt;=Tabla2[[#This Row],[PLAZO Días]],"venc", "No venc")</f>
        <v>venc</v>
      </c>
      <c r="V779" t="str">
        <f>+IF(Tabla2[[#This Row],[FECHA DE PAGO]]&gt;0,"pagada","por pagar")</f>
        <v>pagada</v>
      </c>
      <c r="W779" s="152" t="str">
        <f>+IF(AND(Tabla2[[#This Row],[venc]]="venc",Tabla2[[#This Row],[Columna1]]="por pagar"),"vencida","no")</f>
        <v>no</v>
      </c>
    </row>
    <row r="780" spans="1:23" x14ac:dyDescent="0.3">
      <c r="A780">
        <v>45</v>
      </c>
      <c r="B780">
        <v>0</v>
      </c>
      <c r="D780" t="s">
        <v>631</v>
      </c>
      <c r="E780" s="156">
        <v>44586</v>
      </c>
      <c r="F780" t="s">
        <v>530</v>
      </c>
      <c r="G780" s="156">
        <v>44539</v>
      </c>
      <c r="H780" t="s">
        <v>565</v>
      </c>
      <c r="I780">
        <v>2352000</v>
      </c>
      <c r="K780">
        <v>0</v>
      </c>
      <c r="M780">
        <v>0</v>
      </c>
      <c r="N780">
        <v>0</v>
      </c>
      <c r="O780">
        <v>0</v>
      </c>
      <c r="P780" s="117">
        <v>2352000</v>
      </c>
      <c r="Q780" s="117" t="s">
        <v>1021</v>
      </c>
      <c r="R780" s="150">
        <v>0</v>
      </c>
      <c r="S780" s="117" t="b">
        <f>OR(COUNTIF(Tabla2[[#This Row],[PROVEEDOR]],"*"&amp;'Palabra no opera'!$A$2&amp;"*"))</f>
        <v>0</v>
      </c>
      <c r="T780" s="150">
        <f>+$W$5-Tabla2[[#This Row],[FECHA DE FACTURACIÓN]]</f>
        <v>295</v>
      </c>
      <c r="U780" t="str">
        <f>+IF(Tabla2[[#This Row],[dias de credito]]&gt;=Tabla2[[#This Row],[PLAZO Días]],"venc", "No venc")</f>
        <v>venc</v>
      </c>
      <c r="V780" t="str">
        <f>+IF(Tabla2[[#This Row],[FECHA DE PAGO]]&gt;0,"pagada","por pagar")</f>
        <v>pagada</v>
      </c>
      <c r="W780" s="152" t="str">
        <f>+IF(AND(Tabla2[[#This Row],[venc]]="venc",Tabla2[[#This Row],[Columna1]]="por pagar"),"vencida","no")</f>
        <v>no</v>
      </c>
    </row>
    <row r="781" spans="1:23" x14ac:dyDescent="0.3">
      <c r="A781">
        <v>60</v>
      </c>
      <c r="B781">
        <v>0</v>
      </c>
      <c r="D781" t="s">
        <v>631</v>
      </c>
      <c r="E781" s="156">
        <v>44586</v>
      </c>
      <c r="F781" t="s">
        <v>528</v>
      </c>
      <c r="G781" s="156">
        <v>44537</v>
      </c>
      <c r="H781" t="s">
        <v>1539</v>
      </c>
      <c r="I781">
        <v>252000</v>
      </c>
      <c r="K781">
        <v>0</v>
      </c>
      <c r="M781">
        <v>0</v>
      </c>
      <c r="N781">
        <v>0</v>
      </c>
      <c r="O781">
        <v>0</v>
      </c>
      <c r="P781" s="117">
        <v>252000</v>
      </c>
      <c r="Q781" s="117" t="s">
        <v>1021</v>
      </c>
      <c r="R781" s="150">
        <v>0</v>
      </c>
      <c r="S781" s="117" t="b">
        <f>OR(COUNTIF(Tabla2[[#This Row],[PROVEEDOR]],"*"&amp;'Palabra no opera'!$A$2&amp;"*"))</f>
        <v>0</v>
      </c>
      <c r="T781" s="150">
        <f>+$W$5-Tabla2[[#This Row],[FECHA DE FACTURACIÓN]]</f>
        <v>297</v>
      </c>
      <c r="U781" t="str">
        <f>+IF(Tabla2[[#This Row],[dias de credito]]&gt;=Tabla2[[#This Row],[PLAZO Días]],"venc", "No venc")</f>
        <v>venc</v>
      </c>
      <c r="V781" t="str">
        <f>+IF(Tabla2[[#This Row],[FECHA DE PAGO]]&gt;0,"pagada","por pagar")</f>
        <v>pagada</v>
      </c>
      <c r="W781" s="152" t="str">
        <f>+IF(AND(Tabla2[[#This Row],[venc]]="venc",Tabla2[[#This Row],[Columna1]]="por pagar"),"vencida","no")</f>
        <v>no</v>
      </c>
    </row>
    <row r="782" spans="1:23" x14ac:dyDescent="0.3">
      <c r="A782">
        <v>60</v>
      </c>
      <c r="B782">
        <v>0</v>
      </c>
      <c r="D782" t="s">
        <v>631</v>
      </c>
      <c r="E782" s="156">
        <v>44586</v>
      </c>
      <c r="F782" t="s">
        <v>528</v>
      </c>
      <c r="G782" s="156">
        <v>44533</v>
      </c>
      <c r="H782" t="s">
        <v>1537</v>
      </c>
      <c r="I782">
        <v>201600</v>
      </c>
      <c r="K782">
        <v>0</v>
      </c>
      <c r="M782">
        <v>0</v>
      </c>
      <c r="N782">
        <v>0</v>
      </c>
      <c r="O782">
        <v>0</v>
      </c>
      <c r="P782" s="117">
        <v>201600</v>
      </c>
      <c r="Q782" s="117" t="s">
        <v>1021</v>
      </c>
      <c r="R782" s="150">
        <v>0</v>
      </c>
      <c r="S782" s="117" t="b">
        <f>OR(COUNTIF(Tabla2[[#This Row],[PROVEEDOR]],"*"&amp;'Palabra no opera'!$A$2&amp;"*"))</f>
        <v>0</v>
      </c>
      <c r="T782" s="150">
        <f>+$W$5-Tabla2[[#This Row],[FECHA DE FACTURACIÓN]]</f>
        <v>301</v>
      </c>
      <c r="U782" t="str">
        <f>+IF(Tabla2[[#This Row],[dias de credito]]&gt;=Tabla2[[#This Row],[PLAZO Días]],"venc", "No venc")</f>
        <v>venc</v>
      </c>
      <c r="V782" t="str">
        <f>+IF(Tabla2[[#This Row],[FECHA DE PAGO]]&gt;0,"pagada","por pagar")</f>
        <v>pagada</v>
      </c>
      <c r="W782" s="152" t="str">
        <f>+IF(AND(Tabla2[[#This Row],[venc]]="venc",Tabla2[[#This Row],[Columna1]]="por pagar"),"vencida","no")</f>
        <v>no</v>
      </c>
    </row>
    <row r="783" spans="1:23" x14ac:dyDescent="0.3">
      <c r="A783">
        <v>60</v>
      </c>
      <c r="B783">
        <v>0</v>
      </c>
      <c r="D783" t="s">
        <v>631</v>
      </c>
      <c r="E783" s="156">
        <v>44586</v>
      </c>
      <c r="F783" t="s">
        <v>528</v>
      </c>
      <c r="G783" s="156">
        <v>44533</v>
      </c>
      <c r="H783" t="s">
        <v>1538</v>
      </c>
      <c r="I783">
        <v>487200</v>
      </c>
      <c r="K783">
        <v>0</v>
      </c>
      <c r="M783">
        <v>0</v>
      </c>
      <c r="N783">
        <v>0</v>
      </c>
      <c r="O783">
        <v>0</v>
      </c>
      <c r="P783" s="117">
        <v>487200</v>
      </c>
      <c r="Q783" s="117" t="s">
        <v>1021</v>
      </c>
      <c r="R783" s="150">
        <v>0</v>
      </c>
      <c r="S783" s="117" t="b">
        <f>OR(COUNTIF(Tabla2[[#This Row],[PROVEEDOR]],"*"&amp;'Palabra no opera'!$A$2&amp;"*"))</f>
        <v>0</v>
      </c>
      <c r="T783" s="150">
        <f>+$W$5-Tabla2[[#This Row],[FECHA DE FACTURACIÓN]]</f>
        <v>301</v>
      </c>
      <c r="U783" t="str">
        <f>+IF(Tabla2[[#This Row],[dias de credito]]&gt;=Tabla2[[#This Row],[PLAZO Días]],"venc", "No venc")</f>
        <v>venc</v>
      </c>
      <c r="V783" t="str">
        <f>+IF(Tabla2[[#This Row],[FECHA DE PAGO]]&gt;0,"pagada","por pagar")</f>
        <v>pagada</v>
      </c>
      <c r="W783" s="152" t="str">
        <f>+IF(AND(Tabla2[[#This Row],[venc]]="venc",Tabla2[[#This Row],[Columna1]]="por pagar"),"vencida","no")</f>
        <v>no</v>
      </c>
    </row>
    <row r="784" spans="1:23" x14ac:dyDescent="0.3">
      <c r="A784">
        <v>60</v>
      </c>
      <c r="B784">
        <v>0</v>
      </c>
      <c r="D784" t="s">
        <v>631</v>
      </c>
      <c r="E784" s="156">
        <v>44586</v>
      </c>
      <c r="F784" t="s">
        <v>528</v>
      </c>
      <c r="G784" s="156">
        <v>44510</v>
      </c>
      <c r="H784" t="s">
        <v>1519</v>
      </c>
      <c r="I784">
        <v>285600</v>
      </c>
      <c r="K784">
        <v>0</v>
      </c>
      <c r="M784">
        <v>0</v>
      </c>
      <c r="N784">
        <v>0</v>
      </c>
      <c r="O784">
        <v>0</v>
      </c>
      <c r="P784" s="117">
        <v>0</v>
      </c>
      <c r="Q784" s="117" t="s">
        <v>1021</v>
      </c>
      <c r="R784" s="150">
        <v>0</v>
      </c>
      <c r="S784" s="117" t="b">
        <f>OR(COUNTIF(Tabla2[[#This Row],[PROVEEDOR]],"*"&amp;'Palabra no opera'!$A$2&amp;"*"))</f>
        <v>0</v>
      </c>
      <c r="T784" s="150">
        <f>+$W$5-Tabla2[[#This Row],[FECHA DE FACTURACIÓN]]</f>
        <v>324</v>
      </c>
      <c r="U784" t="str">
        <f>+IF(Tabla2[[#This Row],[dias de credito]]&gt;=Tabla2[[#This Row],[PLAZO Días]],"venc", "No venc")</f>
        <v>venc</v>
      </c>
      <c r="V784" t="str">
        <f>+IF(Tabla2[[#This Row],[FECHA DE PAGO]]&gt;0,"pagada","por pagar")</f>
        <v>pagada</v>
      </c>
      <c r="W784" s="152" t="str">
        <f>+IF(AND(Tabla2[[#This Row],[venc]]="venc",Tabla2[[#This Row],[Columna1]]="por pagar"),"vencida","no")</f>
        <v>no</v>
      </c>
    </row>
    <row r="785" spans="1:23" x14ac:dyDescent="0.3">
      <c r="A785">
        <v>60</v>
      </c>
      <c r="B785">
        <v>0</v>
      </c>
      <c r="D785" t="s">
        <v>631</v>
      </c>
      <c r="E785" s="156">
        <v>44586</v>
      </c>
      <c r="F785" t="s">
        <v>528</v>
      </c>
      <c r="G785" s="156">
        <v>44501</v>
      </c>
      <c r="H785" t="s">
        <v>1515</v>
      </c>
      <c r="I785">
        <v>235200</v>
      </c>
      <c r="K785">
        <v>0</v>
      </c>
      <c r="M785">
        <v>0</v>
      </c>
      <c r="N785">
        <v>0</v>
      </c>
      <c r="O785">
        <v>0</v>
      </c>
      <c r="P785" s="117">
        <v>235200</v>
      </c>
      <c r="Q785" s="117" t="s">
        <v>1021</v>
      </c>
      <c r="R785" s="150">
        <v>0</v>
      </c>
      <c r="S785" s="117" t="b">
        <f>OR(COUNTIF(Tabla2[[#This Row],[PROVEEDOR]],"*"&amp;'Palabra no opera'!$A$2&amp;"*"))</f>
        <v>0</v>
      </c>
      <c r="T785" s="150">
        <f>+$W$5-Tabla2[[#This Row],[FECHA DE FACTURACIÓN]]</f>
        <v>333</v>
      </c>
      <c r="U785" t="str">
        <f>+IF(Tabla2[[#This Row],[dias de credito]]&gt;=Tabla2[[#This Row],[PLAZO Días]],"venc", "No venc")</f>
        <v>venc</v>
      </c>
      <c r="V785" t="str">
        <f>+IF(Tabla2[[#This Row],[FECHA DE PAGO]]&gt;0,"pagada","por pagar")</f>
        <v>pagada</v>
      </c>
      <c r="W785" s="152" t="str">
        <f>+IF(AND(Tabla2[[#This Row],[venc]]="venc",Tabla2[[#This Row],[Columna1]]="por pagar"),"vencida","no")</f>
        <v>no</v>
      </c>
    </row>
    <row r="786" spans="1:23" x14ac:dyDescent="0.3">
      <c r="A786">
        <v>30</v>
      </c>
      <c r="B786">
        <v>0</v>
      </c>
      <c r="D786" t="s">
        <v>139</v>
      </c>
      <c r="E786" s="156">
        <v>44585</v>
      </c>
      <c r="F786" t="s">
        <v>27</v>
      </c>
      <c r="G786" s="156">
        <v>44580</v>
      </c>
      <c r="H786">
        <v>130713</v>
      </c>
      <c r="I786">
        <v>8864000</v>
      </c>
      <c r="K786">
        <v>0</v>
      </c>
      <c r="M786">
        <v>0</v>
      </c>
      <c r="N786">
        <v>0</v>
      </c>
      <c r="O786">
        <v>0</v>
      </c>
      <c r="P786" s="117">
        <v>8864000</v>
      </c>
      <c r="Q786" s="117" t="s">
        <v>1021</v>
      </c>
      <c r="R786" s="150">
        <v>0</v>
      </c>
      <c r="S786" s="117" t="b">
        <f>OR(COUNTIF(Tabla2[[#This Row],[PROVEEDOR]],"*"&amp;'Palabra no opera'!$A$2&amp;"*"))</f>
        <v>0</v>
      </c>
      <c r="T786" s="150">
        <f>+$W$5-Tabla2[[#This Row],[FECHA DE FACTURACIÓN]]</f>
        <v>254</v>
      </c>
      <c r="U786" t="str">
        <f>+IF(Tabla2[[#This Row],[dias de credito]]&gt;=Tabla2[[#This Row],[PLAZO Días]],"venc", "No venc")</f>
        <v>venc</v>
      </c>
      <c r="V786" t="str">
        <f>+IF(Tabla2[[#This Row],[FECHA DE PAGO]]&gt;0,"pagada","por pagar")</f>
        <v>pagada</v>
      </c>
      <c r="W786" s="152" t="str">
        <f>+IF(AND(Tabla2[[#This Row],[venc]]="venc",Tabla2[[#This Row],[Columna1]]="por pagar"),"vencida","no")</f>
        <v>no</v>
      </c>
    </row>
    <row r="787" spans="1:23" x14ac:dyDescent="0.3">
      <c r="A787">
        <v>30</v>
      </c>
      <c r="B787">
        <v>0</v>
      </c>
      <c r="D787" t="s">
        <v>139</v>
      </c>
      <c r="E787" s="156">
        <v>44583</v>
      </c>
      <c r="F787" t="s">
        <v>635</v>
      </c>
      <c r="G787" s="156">
        <v>44583</v>
      </c>
      <c r="H787" t="s">
        <v>1377</v>
      </c>
      <c r="I787">
        <v>510000</v>
      </c>
      <c r="K787">
        <v>0</v>
      </c>
      <c r="M787">
        <v>0</v>
      </c>
      <c r="N787">
        <v>0</v>
      </c>
      <c r="O787">
        <v>0</v>
      </c>
      <c r="P787" s="117">
        <v>510000</v>
      </c>
      <c r="Q787" s="117" t="s">
        <v>1021</v>
      </c>
      <c r="R787" s="150">
        <v>0</v>
      </c>
      <c r="S787" s="117" t="b">
        <f>OR(COUNTIF(Tabla2[[#This Row],[PROVEEDOR]],"*"&amp;'Palabra no opera'!$A$2&amp;"*"))</f>
        <v>0</v>
      </c>
      <c r="T787" s="150">
        <f>+$W$5-Tabla2[[#This Row],[FECHA DE FACTURACIÓN]]</f>
        <v>251</v>
      </c>
      <c r="U787" t="str">
        <f>+IF(Tabla2[[#This Row],[dias de credito]]&gt;=Tabla2[[#This Row],[PLAZO Días]],"venc", "No venc")</f>
        <v>venc</v>
      </c>
      <c r="V787" t="str">
        <f>+IF(Tabla2[[#This Row],[FECHA DE PAGO]]&gt;0,"pagada","por pagar")</f>
        <v>pagada</v>
      </c>
      <c r="W787" s="152" t="str">
        <f>+IF(AND(Tabla2[[#This Row],[venc]]="venc",Tabla2[[#This Row],[Columna1]]="por pagar"),"vencida","no")</f>
        <v>no</v>
      </c>
    </row>
    <row r="788" spans="1:23" x14ac:dyDescent="0.3">
      <c r="A788">
        <v>30</v>
      </c>
      <c r="B788">
        <v>0</v>
      </c>
      <c r="D788" t="s">
        <v>139</v>
      </c>
      <c r="E788" s="156">
        <v>44582</v>
      </c>
      <c r="F788" t="s">
        <v>673</v>
      </c>
      <c r="G788" s="156">
        <v>44582</v>
      </c>
      <c r="I788">
        <v>1000000</v>
      </c>
      <c r="K788">
        <v>0</v>
      </c>
      <c r="M788">
        <v>0</v>
      </c>
      <c r="N788">
        <v>0</v>
      </c>
      <c r="O788">
        <v>0</v>
      </c>
      <c r="P788" s="117">
        <v>1000000</v>
      </c>
      <c r="Q788" s="117" t="s">
        <v>1021</v>
      </c>
      <c r="R788" s="150">
        <v>0</v>
      </c>
      <c r="S788" s="117" t="b">
        <f>OR(COUNTIF(Tabla2[[#This Row],[PROVEEDOR]],"*"&amp;'Palabra no opera'!$A$2&amp;"*"))</f>
        <v>0</v>
      </c>
      <c r="T788" s="150">
        <f>+$W$5-Tabla2[[#This Row],[FECHA DE FACTURACIÓN]]</f>
        <v>252</v>
      </c>
      <c r="U788" t="str">
        <f>+IF(Tabla2[[#This Row],[dias de credito]]&gt;=Tabla2[[#This Row],[PLAZO Días]],"venc", "No venc")</f>
        <v>venc</v>
      </c>
      <c r="V788" t="str">
        <f>+IF(Tabla2[[#This Row],[FECHA DE PAGO]]&gt;0,"pagada","por pagar")</f>
        <v>pagada</v>
      </c>
      <c r="W788" s="152" t="str">
        <f>+IF(AND(Tabla2[[#This Row],[venc]]="venc",Tabla2[[#This Row],[Columna1]]="por pagar"),"vencida","no")</f>
        <v>no</v>
      </c>
    </row>
    <row r="789" spans="1:23" x14ac:dyDescent="0.3">
      <c r="A789">
        <v>30</v>
      </c>
      <c r="B789">
        <v>19675613.1195</v>
      </c>
      <c r="D789" t="s">
        <v>256</v>
      </c>
      <c r="E789" s="156">
        <v>44582</v>
      </c>
      <c r="F789" t="s">
        <v>18</v>
      </c>
      <c r="G789" s="156">
        <v>44540</v>
      </c>
      <c r="H789">
        <v>1047095</v>
      </c>
      <c r="I789">
        <v>5212873.47</v>
      </c>
      <c r="K789">
        <v>990445.95929999999</v>
      </c>
      <c r="M789">
        <v>0</v>
      </c>
      <c r="N789">
        <v>2.5000000000000001E-2</v>
      </c>
      <c r="O789">
        <v>130321.83675</v>
      </c>
      <c r="P789" s="117">
        <v>6072997.5925500002</v>
      </c>
      <c r="Q789" s="117" t="s">
        <v>1021</v>
      </c>
      <c r="R789" s="150">
        <v>0</v>
      </c>
      <c r="S789" s="117" t="b">
        <f>OR(COUNTIF(Tabla2[[#This Row],[PROVEEDOR]],"*"&amp;'Palabra no opera'!$A$2&amp;"*"))</f>
        <v>0</v>
      </c>
      <c r="T789" s="150">
        <f>+$W$5-Tabla2[[#This Row],[FECHA DE FACTURACIÓN]]</f>
        <v>294</v>
      </c>
      <c r="U789" t="str">
        <f>+IF(Tabla2[[#This Row],[dias de credito]]&gt;=Tabla2[[#This Row],[PLAZO Días]],"venc", "No venc")</f>
        <v>venc</v>
      </c>
      <c r="V789" t="str">
        <f>+IF(Tabla2[[#This Row],[FECHA DE PAGO]]&gt;0,"pagada","por pagar")</f>
        <v>pagada</v>
      </c>
      <c r="W789" s="152" t="str">
        <f>+IF(AND(Tabla2[[#This Row],[venc]]="venc",Tabla2[[#This Row],[Columna1]]="por pagar"),"vencida","no")</f>
        <v>no</v>
      </c>
    </row>
    <row r="790" spans="1:23" x14ac:dyDescent="0.3">
      <c r="A790">
        <v>30</v>
      </c>
      <c r="B790">
        <v>0</v>
      </c>
      <c r="D790" t="s">
        <v>139</v>
      </c>
      <c r="E790" s="156">
        <v>44581</v>
      </c>
      <c r="F790" t="s">
        <v>638</v>
      </c>
      <c r="G790" s="156">
        <v>44581</v>
      </c>
      <c r="H790" t="s">
        <v>1376</v>
      </c>
      <c r="I790">
        <v>1920000</v>
      </c>
      <c r="K790">
        <v>0</v>
      </c>
      <c r="M790">
        <v>0</v>
      </c>
      <c r="N790">
        <v>0</v>
      </c>
      <c r="O790">
        <v>0</v>
      </c>
      <c r="P790" s="117">
        <v>0</v>
      </c>
      <c r="Q790" s="117" t="s">
        <v>1021</v>
      </c>
      <c r="R790" s="150">
        <v>0</v>
      </c>
      <c r="S790" s="117" t="b">
        <f>OR(COUNTIF(Tabla2[[#This Row],[PROVEEDOR]],"*"&amp;'Palabra no opera'!$A$2&amp;"*"))</f>
        <v>0</v>
      </c>
      <c r="T790" s="150">
        <f>+$W$5-Tabla2[[#This Row],[FECHA DE FACTURACIÓN]]</f>
        <v>253</v>
      </c>
      <c r="U790" t="str">
        <f>+IF(Tabla2[[#This Row],[dias de credito]]&gt;=Tabla2[[#This Row],[PLAZO Días]],"venc", "No venc")</f>
        <v>venc</v>
      </c>
      <c r="V790" t="str">
        <f>+IF(Tabla2[[#This Row],[FECHA DE PAGO]]&gt;0,"pagada","por pagar")</f>
        <v>pagada</v>
      </c>
      <c r="W790" s="152" t="str">
        <f>+IF(AND(Tabla2[[#This Row],[venc]]="venc",Tabla2[[#This Row],[Columna1]]="por pagar"),"vencida","no")</f>
        <v>no</v>
      </c>
    </row>
    <row r="791" spans="1:23" x14ac:dyDescent="0.3">
      <c r="A791">
        <v>30</v>
      </c>
      <c r="B791">
        <v>0</v>
      </c>
      <c r="D791" t="s">
        <v>139</v>
      </c>
      <c r="E791" s="156">
        <v>44581</v>
      </c>
      <c r="F791" t="s">
        <v>638</v>
      </c>
      <c r="G791" s="156">
        <v>44576</v>
      </c>
      <c r="H791" t="s">
        <v>1374</v>
      </c>
      <c r="I791">
        <v>2056000</v>
      </c>
      <c r="K791">
        <v>0</v>
      </c>
      <c r="M791">
        <v>0</v>
      </c>
      <c r="N791">
        <v>0</v>
      </c>
      <c r="O791">
        <v>0</v>
      </c>
      <c r="P791" s="117">
        <v>2056000</v>
      </c>
      <c r="Q791" s="117" t="s">
        <v>1021</v>
      </c>
      <c r="R791" s="150">
        <v>0</v>
      </c>
      <c r="S791" s="117" t="b">
        <f>OR(COUNTIF(Tabla2[[#This Row],[PROVEEDOR]],"*"&amp;'Palabra no opera'!$A$2&amp;"*"))</f>
        <v>0</v>
      </c>
      <c r="T791" s="150">
        <f>+$W$5-Tabla2[[#This Row],[FECHA DE FACTURACIÓN]]</f>
        <v>258</v>
      </c>
      <c r="U791" t="str">
        <f>+IF(Tabla2[[#This Row],[dias de credito]]&gt;=Tabla2[[#This Row],[PLAZO Días]],"venc", "No venc")</f>
        <v>venc</v>
      </c>
      <c r="V791" t="str">
        <f>+IF(Tabla2[[#This Row],[FECHA DE PAGO]]&gt;0,"pagada","por pagar")</f>
        <v>pagada</v>
      </c>
      <c r="W791" s="152" t="str">
        <f>+IF(AND(Tabla2[[#This Row],[venc]]="venc",Tabla2[[#This Row],[Columna1]]="por pagar"),"vencida","no")</f>
        <v>no</v>
      </c>
    </row>
    <row r="792" spans="1:23" x14ac:dyDescent="0.3">
      <c r="A792">
        <v>30</v>
      </c>
      <c r="B792">
        <v>0</v>
      </c>
      <c r="D792" t="s">
        <v>139</v>
      </c>
      <c r="E792" s="156">
        <v>44580</v>
      </c>
      <c r="F792" t="s">
        <v>689</v>
      </c>
      <c r="G792" s="156">
        <v>44610</v>
      </c>
      <c r="H792" t="s">
        <v>690</v>
      </c>
      <c r="I792">
        <v>2516240</v>
      </c>
      <c r="K792">
        <v>0</v>
      </c>
      <c r="M792">
        <v>0</v>
      </c>
      <c r="N792">
        <v>0</v>
      </c>
      <c r="O792">
        <v>0</v>
      </c>
      <c r="P792" s="117">
        <v>2516240</v>
      </c>
      <c r="Q792" s="117" t="s">
        <v>1021</v>
      </c>
      <c r="R792" s="150">
        <v>0</v>
      </c>
      <c r="S792" s="117" t="b">
        <f>OR(COUNTIF(Tabla2[[#This Row],[PROVEEDOR]],"*"&amp;'Palabra no opera'!$A$2&amp;"*"))</f>
        <v>0</v>
      </c>
      <c r="T792" s="150">
        <f>+$W$5-Tabla2[[#This Row],[FECHA DE FACTURACIÓN]]</f>
        <v>224</v>
      </c>
      <c r="U792" t="str">
        <f>+IF(Tabla2[[#This Row],[dias de credito]]&gt;=Tabla2[[#This Row],[PLAZO Días]],"venc", "No venc")</f>
        <v>venc</v>
      </c>
      <c r="V792" t="str">
        <f>+IF(Tabla2[[#This Row],[FECHA DE PAGO]]&gt;0,"pagada","por pagar")</f>
        <v>pagada</v>
      </c>
      <c r="W792" s="152" t="str">
        <f>+IF(AND(Tabla2[[#This Row],[venc]]="venc",Tabla2[[#This Row],[Columna1]]="por pagar"),"vencida","no")</f>
        <v>no</v>
      </c>
    </row>
    <row r="793" spans="1:23" x14ac:dyDescent="0.3">
      <c r="A793">
        <v>30</v>
      </c>
      <c r="B793">
        <v>0</v>
      </c>
      <c r="D793" t="s">
        <v>139</v>
      </c>
      <c r="E793" s="156">
        <v>44579</v>
      </c>
      <c r="F793" t="s">
        <v>115</v>
      </c>
      <c r="G793" s="156">
        <v>44578</v>
      </c>
      <c r="H793" t="s">
        <v>614</v>
      </c>
      <c r="I793">
        <v>6935000</v>
      </c>
      <c r="K793">
        <v>0</v>
      </c>
      <c r="M793">
        <v>0</v>
      </c>
      <c r="N793">
        <v>0</v>
      </c>
      <c r="O793">
        <v>0</v>
      </c>
      <c r="P793" s="117">
        <v>6935000</v>
      </c>
      <c r="Q793" s="117" t="s">
        <v>1021</v>
      </c>
      <c r="R793" s="150">
        <v>0</v>
      </c>
      <c r="S793" s="117" t="b">
        <f>OR(COUNTIF(Tabla2[[#This Row],[PROVEEDOR]],"*"&amp;'Palabra no opera'!$A$2&amp;"*"))</f>
        <v>0</v>
      </c>
      <c r="T793" s="150">
        <f>+$W$5-Tabla2[[#This Row],[FECHA DE FACTURACIÓN]]</f>
        <v>256</v>
      </c>
      <c r="U793" t="str">
        <f>+IF(Tabla2[[#This Row],[dias de credito]]&gt;=Tabla2[[#This Row],[PLAZO Días]],"venc", "No venc")</f>
        <v>venc</v>
      </c>
      <c r="V793" t="str">
        <f>+IF(Tabla2[[#This Row],[FECHA DE PAGO]]&gt;0,"pagada","por pagar")</f>
        <v>pagada</v>
      </c>
      <c r="W793" s="152" t="str">
        <f>+IF(AND(Tabla2[[#This Row],[venc]]="venc",Tabla2[[#This Row],[Columna1]]="por pagar"),"vencida","no")</f>
        <v>no</v>
      </c>
    </row>
    <row r="794" spans="1:23" x14ac:dyDescent="0.3">
      <c r="A794">
        <v>30</v>
      </c>
      <c r="B794">
        <v>0</v>
      </c>
      <c r="D794" t="s">
        <v>949</v>
      </c>
      <c r="E794" s="156">
        <v>44579</v>
      </c>
      <c r="F794" t="s">
        <v>615</v>
      </c>
      <c r="G794" s="156">
        <v>44578</v>
      </c>
      <c r="H794" t="s">
        <v>1375</v>
      </c>
      <c r="I794">
        <v>1776000</v>
      </c>
      <c r="K794">
        <v>0</v>
      </c>
      <c r="M794">
        <v>0</v>
      </c>
      <c r="N794">
        <v>0</v>
      </c>
      <c r="O794">
        <v>0</v>
      </c>
      <c r="P794" s="117">
        <v>1776000</v>
      </c>
      <c r="Q794" s="117" t="s">
        <v>1021</v>
      </c>
      <c r="R794" s="150">
        <v>0</v>
      </c>
      <c r="S794" s="117" t="b">
        <f>OR(COUNTIF(Tabla2[[#This Row],[PROVEEDOR]],"*"&amp;'Palabra no opera'!$A$2&amp;"*"))</f>
        <v>0</v>
      </c>
      <c r="T794" s="150">
        <f>+$W$5-Tabla2[[#This Row],[FECHA DE FACTURACIÓN]]</f>
        <v>256</v>
      </c>
      <c r="U794" t="str">
        <f>+IF(Tabla2[[#This Row],[dias de credito]]&gt;=Tabla2[[#This Row],[PLAZO Días]],"venc", "No venc")</f>
        <v>venc</v>
      </c>
      <c r="V794" t="str">
        <f>+IF(Tabla2[[#This Row],[FECHA DE PAGO]]&gt;0,"pagada","por pagar")</f>
        <v>pagada</v>
      </c>
      <c r="W794" s="152" t="str">
        <f>+IF(AND(Tabla2[[#This Row],[venc]]="venc",Tabla2[[#This Row],[Columna1]]="por pagar"),"vencida","no")</f>
        <v>no</v>
      </c>
    </row>
    <row r="795" spans="1:23" x14ac:dyDescent="0.3">
      <c r="A795">
        <v>10</v>
      </c>
      <c r="B795">
        <v>0</v>
      </c>
      <c r="D795" t="s">
        <v>612</v>
      </c>
      <c r="E795" s="156">
        <v>44579</v>
      </c>
      <c r="F795" t="s">
        <v>904</v>
      </c>
      <c r="G795" s="156">
        <v>44574</v>
      </c>
      <c r="H795" t="s">
        <v>613</v>
      </c>
      <c r="I795">
        <v>372000</v>
      </c>
      <c r="K795">
        <v>0</v>
      </c>
      <c r="M795">
        <v>0</v>
      </c>
      <c r="N795">
        <v>0</v>
      </c>
      <c r="O795">
        <v>0</v>
      </c>
      <c r="P795" s="117">
        <v>372</v>
      </c>
      <c r="Q795" s="117" t="s">
        <v>1021</v>
      </c>
      <c r="R795" s="150">
        <v>0</v>
      </c>
      <c r="S795" s="117" t="b">
        <f>OR(COUNTIF(Tabla2[[#This Row],[PROVEEDOR]],"*"&amp;'Palabra no opera'!$A$2&amp;"*"))</f>
        <v>1</v>
      </c>
      <c r="T795" s="150">
        <f>+$W$5-Tabla2[[#This Row],[FECHA DE FACTURACIÓN]]</f>
        <v>260</v>
      </c>
      <c r="U795" t="str">
        <f>+IF(Tabla2[[#This Row],[dias de credito]]&gt;=Tabla2[[#This Row],[PLAZO Días]],"venc", "No venc")</f>
        <v>venc</v>
      </c>
      <c r="V795" t="str">
        <f>+IF(Tabla2[[#This Row],[FECHA DE PAGO]]&gt;0,"pagada","por pagar")</f>
        <v>pagada</v>
      </c>
      <c r="W795" s="152" t="str">
        <f>+IF(AND(Tabla2[[#This Row],[venc]]="venc",Tabla2[[#This Row],[Columna1]]="por pagar"),"vencida","no")</f>
        <v>no</v>
      </c>
    </row>
    <row r="796" spans="1:23" x14ac:dyDescent="0.3">
      <c r="A796">
        <v>13</v>
      </c>
      <c r="B796">
        <v>0</v>
      </c>
      <c r="D796">
        <v>0</v>
      </c>
      <c r="E796" s="156">
        <v>44579</v>
      </c>
      <c r="F796" t="s">
        <v>934</v>
      </c>
      <c r="G796" s="156">
        <v>44562</v>
      </c>
      <c r="I796">
        <v>944086</v>
      </c>
      <c r="K796">
        <v>0</v>
      </c>
      <c r="M796">
        <v>0</v>
      </c>
      <c r="N796">
        <v>0</v>
      </c>
      <c r="O796">
        <v>0</v>
      </c>
      <c r="P796" s="117">
        <v>944086</v>
      </c>
      <c r="Q796" s="117" t="s">
        <v>1021</v>
      </c>
      <c r="R796" s="150">
        <v>0</v>
      </c>
      <c r="S796" s="117" t="b">
        <f>OR(COUNTIF(Tabla2[[#This Row],[PROVEEDOR]],"*"&amp;'Palabra no opera'!$A$2&amp;"*"))</f>
        <v>1</v>
      </c>
      <c r="T796" s="150">
        <f>+$W$5-Tabla2[[#This Row],[FECHA DE FACTURACIÓN]]</f>
        <v>272</v>
      </c>
      <c r="U796" t="str">
        <f>+IF(Tabla2[[#This Row],[dias de credito]]&gt;=Tabla2[[#This Row],[PLAZO Días]],"venc", "No venc")</f>
        <v>venc</v>
      </c>
      <c r="V796" t="str">
        <f>+IF(Tabla2[[#This Row],[FECHA DE PAGO]]&gt;0,"pagada","por pagar")</f>
        <v>pagada</v>
      </c>
      <c r="W796" s="152" t="str">
        <f>+IF(AND(Tabla2[[#This Row],[venc]]="venc",Tabla2[[#This Row],[Columna1]]="por pagar"),"vencida","no")</f>
        <v>no</v>
      </c>
    </row>
    <row r="797" spans="1:23" x14ac:dyDescent="0.3">
      <c r="A797">
        <v>90</v>
      </c>
      <c r="B797">
        <v>64586412</v>
      </c>
      <c r="D797" t="s">
        <v>368</v>
      </c>
      <c r="E797" s="156">
        <v>44578</v>
      </c>
      <c r="F797" t="s">
        <v>31</v>
      </c>
      <c r="G797" s="156">
        <v>44531</v>
      </c>
      <c r="H797">
        <v>55546</v>
      </c>
      <c r="I797">
        <v>57896217.960000001</v>
      </c>
      <c r="K797">
        <v>0</v>
      </c>
      <c r="M797">
        <v>0</v>
      </c>
      <c r="N797">
        <v>0</v>
      </c>
      <c r="O797">
        <v>0</v>
      </c>
      <c r="P797" s="117">
        <v>57896217.960000001</v>
      </c>
      <c r="Q797" s="117" t="s">
        <v>1021</v>
      </c>
      <c r="R797" s="150">
        <v>0</v>
      </c>
      <c r="S797" s="117" t="b">
        <f>OR(COUNTIF(Tabla2[[#This Row],[PROVEEDOR]],"*"&amp;'Palabra no opera'!$A$2&amp;"*"))</f>
        <v>0</v>
      </c>
      <c r="T797" s="150">
        <f>+$W$5-Tabla2[[#This Row],[FECHA DE FACTURACIÓN]]</f>
        <v>303</v>
      </c>
      <c r="U797" t="str">
        <f>+IF(Tabla2[[#This Row],[dias de credito]]&gt;=Tabla2[[#This Row],[PLAZO Días]],"venc", "No venc")</f>
        <v>venc</v>
      </c>
      <c r="V797" t="str">
        <f>+IF(Tabla2[[#This Row],[FECHA DE PAGO]]&gt;0,"pagada","por pagar")</f>
        <v>pagada</v>
      </c>
      <c r="W797" s="152" t="str">
        <f>+IF(AND(Tabla2[[#This Row],[venc]]="venc",Tabla2[[#This Row],[Columna1]]="por pagar"),"vencida","no")</f>
        <v>no</v>
      </c>
    </row>
    <row r="798" spans="1:23" x14ac:dyDescent="0.3">
      <c r="A798">
        <v>30</v>
      </c>
      <c r="B798">
        <v>0</v>
      </c>
      <c r="D798" t="s">
        <v>139</v>
      </c>
      <c r="E798" s="156">
        <v>44575</v>
      </c>
      <c r="F798" t="s">
        <v>673</v>
      </c>
      <c r="G798" s="156">
        <v>44575</v>
      </c>
      <c r="I798">
        <v>1000000</v>
      </c>
      <c r="K798">
        <v>0</v>
      </c>
      <c r="M798">
        <v>0</v>
      </c>
      <c r="N798">
        <v>0</v>
      </c>
      <c r="O798">
        <v>0</v>
      </c>
      <c r="P798" s="117">
        <v>1000000</v>
      </c>
      <c r="Q798" s="117" t="s">
        <v>1021</v>
      </c>
      <c r="R798" s="150">
        <v>0</v>
      </c>
      <c r="S798" s="117" t="b">
        <f>OR(COUNTIF(Tabla2[[#This Row],[PROVEEDOR]],"*"&amp;'Palabra no opera'!$A$2&amp;"*"))</f>
        <v>0</v>
      </c>
      <c r="T798" s="150">
        <f>+$W$5-Tabla2[[#This Row],[FECHA DE FACTURACIÓN]]</f>
        <v>259</v>
      </c>
      <c r="U798" t="str">
        <f>+IF(Tabla2[[#This Row],[dias de credito]]&gt;=Tabla2[[#This Row],[PLAZO Días]],"venc", "No venc")</f>
        <v>venc</v>
      </c>
      <c r="V798" t="str">
        <f>+IF(Tabla2[[#This Row],[FECHA DE PAGO]]&gt;0,"pagada","por pagar")</f>
        <v>pagada</v>
      </c>
      <c r="W798" s="152" t="str">
        <f>+IF(AND(Tabla2[[#This Row],[venc]]="venc",Tabla2[[#This Row],[Columna1]]="por pagar"),"vencida","no")</f>
        <v>no</v>
      </c>
    </row>
    <row r="799" spans="1:23" x14ac:dyDescent="0.3">
      <c r="A799">
        <v>10</v>
      </c>
      <c r="B799">
        <v>0</v>
      </c>
      <c r="D799" t="s">
        <v>608</v>
      </c>
      <c r="E799" s="156">
        <v>44575</v>
      </c>
      <c r="F799" t="s">
        <v>607</v>
      </c>
      <c r="G799" s="156">
        <v>44574</v>
      </c>
      <c r="H799" t="s">
        <v>609</v>
      </c>
      <c r="I799">
        <v>3291827</v>
      </c>
      <c r="K799">
        <v>625447.13</v>
      </c>
      <c r="M799">
        <v>0</v>
      </c>
      <c r="N799">
        <v>0.04</v>
      </c>
      <c r="O799">
        <v>131673.08000000002</v>
      </c>
      <c r="P799" s="117">
        <v>3917274.13</v>
      </c>
      <c r="Q799" s="117" t="s">
        <v>1021</v>
      </c>
      <c r="R799" s="150">
        <v>0</v>
      </c>
      <c r="S799" s="117" t="b">
        <f>OR(COUNTIF(Tabla2[[#This Row],[PROVEEDOR]],"*"&amp;'Palabra no opera'!$A$2&amp;"*"))</f>
        <v>0</v>
      </c>
      <c r="T799" s="150">
        <f>+$W$5-Tabla2[[#This Row],[FECHA DE FACTURACIÓN]]</f>
        <v>260</v>
      </c>
      <c r="U799" t="str">
        <f>+IF(Tabla2[[#This Row],[dias de credito]]&gt;=Tabla2[[#This Row],[PLAZO Días]],"venc", "No venc")</f>
        <v>venc</v>
      </c>
      <c r="V799" t="str">
        <f>+IF(Tabla2[[#This Row],[FECHA DE PAGO]]&gt;0,"pagada","por pagar")</f>
        <v>pagada</v>
      </c>
      <c r="W799" s="152" t="str">
        <f>+IF(AND(Tabla2[[#This Row],[venc]]="venc",Tabla2[[#This Row],[Columna1]]="por pagar"),"vencida","no")</f>
        <v>no</v>
      </c>
    </row>
    <row r="800" spans="1:23" x14ac:dyDescent="0.3">
      <c r="A800">
        <v>30</v>
      </c>
      <c r="B800">
        <v>0</v>
      </c>
      <c r="D800" t="s">
        <v>676</v>
      </c>
      <c r="E800" s="156">
        <v>44575</v>
      </c>
      <c r="F800" t="s">
        <v>940</v>
      </c>
      <c r="G800" s="156">
        <v>44562</v>
      </c>
      <c r="H800">
        <v>65772</v>
      </c>
      <c r="I800">
        <v>329920.96000000002</v>
      </c>
      <c r="K800">
        <v>0</v>
      </c>
      <c r="M800">
        <v>0</v>
      </c>
      <c r="N800">
        <v>0</v>
      </c>
      <c r="O800">
        <v>0</v>
      </c>
      <c r="P800" s="117">
        <v>329920.96000000002</v>
      </c>
      <c r="Q800" s="117" t="s">
        <v>1021</v>
      </c>
      <c r="R800" s="150">
        <v>0</v>
      </c>
      <c r="S800" s="117" t="b">
        <f>OR(COUNTIF(Tabla2[[#This Row],[PROVEEDOR]],"*"&amp;'Palabra no opera'!$A$2&amp;"*"))</f>
        <v>1</v>
      </c>
      <c r="T800" s="150">
        <f>+$W$5-Tabla2[[#This Row],[FECHA DE FACTURACIÓN]]</f>
        <v>272</v>
      </c>
      <c r="U800" t="str">
        <f>+IF(Tabla2[[#This Row],[dias de credito]]&gt;=Tabla2[[#This Row],[PLAZO Días]],"venc", "No venc")</f>
        <v>venc</v>
      </c>
      <c r="V800" t="str">
        <f>+IF(Tabla2[[#This Row],[FECHA DE PAGO]]&gt;0,"pagada","por pagar")</f>
        <v>pagada</v>
      </c>
      <c r="W800" s="152" t="str">
        <f>+IF(AND(Tabla2[[#This Row],[venc]]="venc",Tabla2[[#This Row],[Columna1]]="por pagar"),"vencida","no")</f>
        <v>no</v>
      </c>
    </row>
    <row r="801" spans="1:23" x14ac:dyDescent="0.3">
      <c r="A801">
        <v>30</v>
      </c>
      <c r="B801">
        <v>146262.9</v>
      </c>
      <c r="D801" t="s">
        <v>262</v>
      </c>
      <c r="E801" s="156">
        <v>44575</v>
      </c>
      <c r="F801" t="s">
        <v>17</v>
      </c>
      <c r="G801" s="156">
        <v>44562</v>
      </c>
      <c r="H801">
        <v>1852120</v>
      </c>
      <c r="I801">
        <v>285600</v>
      </c>
      <c r="K801">
        <v>54264</v>
      </c>
      <c r="M801">
        <v>0</v>
      </c>
      <c r="N801">
        <v>0</v>
      </c>
      <c r="O801">
        <v>0</v>
      </c>
      <c r="P801" s="117">
        <v>339864</v>
      </c>
      <c r="Q801" s="117" t="s">
        <v>1021</v>
      </c>
      <c r="R801" s="150">
        <v>0</v>
      </c>
      <c r="S801" s="117" t="b">
        <f>OR(COUNTIF(Tabla2[[#This Row],[PROVEEDOR]],"*"&amp;'Palabra no opera'!$A$2&amp;"*"))</f>
        <v>0</v>
      </c>
      <c r="T801" s="150">
        <f>+$W$5-Tabla2[[#This Row],[FECHA DE FACTURACIÓN]]</f>
        <v>272</v>
      </c>
      <c r="U801" t="str">
        <f>+IF(Tabla2[[#This Row],[dias de credito]]&gt;=Tabla2[[#This Row],[PLAZO Días]],"venc", "No venc")</f>
        <v>venc</v>
      </c>
      <c r="V801" t="str">
        <f>+IF(Tabla2[[#This Row],[FECHA DE PAGO]]&gt;0,"pagada","por pagar")</f>
        <v>pagada</v>
      </c>
      <c r="W801" s="152" t="str">
        <f>+IF(AND(Tabla2[[#This Row],[venc]]="venc",Tabla2[[#This Row],[Columna1]]="por pagar"),"vencida","no")</f>
        <v>no</v>
      </c>
    </row>
    <row r="802" spans="1:23" x14ac:dyDescent="0.3">
      <c r="A802">
        <v>30</v>
      </c>
      <c r="B802">
        <v>0</v>
      </c>
      <c r="D802" t="s">
        <v>1036</v>
      </c>
      <c r="E802" s="156">
        <v>44575</v>
      </c>
      <c r="F802" t="s">
        <v>927</v>
      </c>
      <c r="G802" s="156">
        <v>44562</v>
      </c>
      <c r="H802">
        <v>12657</v>
      </c>
      <c r="I802">
        <v>800264</v>
      </c>
      <c r="K802">
        <v>0</v>
      </c>
      <c r="M802">
        <v>0</v>
      </c>
      <c r="N802">
        <v>0</v>
      </c>
      <c r="O802">
        <v>0</v>
      </c>
      <c r="P802" s="117">
        <v>800264</v>
      </c>
      <c r="Q802" s="117" t="s">
        <v>1021</v>
      </c>
      <c r="R802" s="150">
        <v>0</v>
      </c>
      <c r="S802" s="117" t="b">
        <f>OR(COUNTIF(Tabla2[[#This Row],[PROVEEDOR]],"*"&amp;'Palabra no opera'!$A$2&amp;"*"))</f>
        <v>1</v>
      </c>
      <c r="T802" s="150">
        <f>+$W$5-Tabla2[[#This Row],[FECHA DE FACTURACIÓN]]</f>
        <v>272</v>
      </c>
      <c r="U802" t="str">
        <f>+IF(Tabla2[[#This Row],[dias de credito]]&gt;=Tabla2[[#This Row],[PLAZO Días]],"venc", "No venc")</f>
        <v>venc</v>
      </c>
      <c r="V802" t="str">
        <f>+IF(Tabla2[[#This Row],[FECHA DE PAGO]]&gt;0,"pagada","por pagar")</f>
        <v>pagada</v>
      </c>
      <c r="W802" s="152" t="str">
        <f>+IF(AND(Tabla2[[#This Row],[venc]]="venc",Tabla2[[#This Row],[Columna1]]="por pagar"),"vencida","no")</f>
        <v>no</v>
      </c>
    </row>
    <row r="803" spans="1:23" x14ac:dyDescent="0.3">
      <c r="A803">
        <v>30</v>
      </c>
      <c r="B803">
        <v>0</v>
      </c>
      <c r="D803" t="s">
        <v>1036</v>
      </c>
      <c r="E803" s="156">
        <v>44575</v>
      </c>
      <c r="F803" t="s">
        <v>927</v>
      </c>
      <c r="G803" s="156">
        <v>44562</v>
      </c>
      <c r="H803">
        <v>12698</v>
      </c>
      <c r="I803">
        <v>818874</v>
      </c>
      <c r="K803">
        <v>0</v>
      </c>
      <c r="M803">
        <v>0</v>
      </c>
      <c r="N803">
        <v>0</v>
      </c>
      <c r="O803">
        <v>0</v>
      </c>
      <c r="P803" s="117">
        <v>818874</v>
      </c>
      <c r="Q803" s="117" t="s">
        <v>1021</v>
      </c>
      <c r="R803" s="150">
        <v>0</v>
      </c>
      <c r="S803" s="117" t="b">
        <f>OR(COUNTIF(Tabla2[[#This Row],[PROVEEDOR]],"*"&amp;'Palabra no opera'!$A$2&amp;"*"))</f>
        <v>1</v>
      </c>
      <c r="T803" s="150">
        <f>+$W$5-Tabla2[[#This Row],[FECHA DE FACTURACIÓN]]</f>
        <v>272</v>
      </c>
      <c r="U803" t="str">
        <f>+IF(Tabla2[[#This Row],[dias de credito]]&gt;=Tabla2[[#This Row],[PLAZO Días]],"venc", "No venc")</f>
        <v>venc</v>
      </c>
      <c r="V803" t="str">
        <f>+IF(Tabla2[[#This Row],[FECHA DE PAGO]]&gt;0,"pagada","por pagar")</f>
        <v>pagada</v>
      </c>
      <c r="W803" s="152" t="str">
        <f>+IF(AND(Tabla2[[#This Row],[venc]]="venc",Tabla2[[#This Row],[Columna1]]="por pagar"),"vencida","no")</f>
        <v>no</v>
      </c>
    </row>
    <row r="804" spans="1:23" x14ac:dyDescent="0.3">
      <c r="A804">
        <v>30</v>
      </c>
      <c r="B804">
        <v>0</v>
      </c>
      <c r="D804">
        <v>0</v>
      </c>
      <c r="E804" s="156">
        <v>44575</v>
      </c>
      <c r="F804" t="s">
        <v>932</v>
      </c>
      <c r="G804" s="156">
        <v>44562</v>
      </c>
      <c r="H804" t="s">
        <v>307</v>
      </c>
      <c r="I804">
        <v>313385</v>
      </c>
      <c r="K804">
        <v>0</v>
      </c>
      <c r="M804">
        <v>0</v>
      </c>
      <c r="N804">
        <v>0</v>
      </c>
      <c r="O804">
        <v>0</v>
      </c>
      <c r="P804" s="117">
        <v>313385</v>
      </c>
      <c r="Q804" s="117" t="s">
        <v>1021</v>
      </c>
      <c r="R804" s="150">
        <v>0</v>
      </c>
      <c r="S804" s="117" t="b">
        <f>OR(COUNTIF(Tabla2[[#This Row],[PROVEEDOR]],"*"&amp;'Palabra no opera'!$A$2&amp;"*"))</f>
        <v>1</v>
      </c>
      <c r="T804" s="150">
        <f>+$W$5-Tabla2[[#This Row],[FECHA DE FACTURACIÓN]]</f>
        <v>272</v>
      </c>
      <c r="U804" t="str">
        <f>+IF(Tabla2[[#This Row],[dias de credito]]&gt;=Tabla2[[#This Row],[PLAZO Días]],"venc", "No venc")</f>
        <v>venc</v>
      </c>
      <c r="V804" t="str">
        <f>+IF(Tabla2[[#This Row],[FECHA DE PAGO]]&gt;0,"pagada","por pagar")</f>
        <v>pagada</v>
      </c>
      <c r="W804" s="152" t="str">
        <f>+IF(AND(Tabla2[[#This Row],[venc]]="venc",Tabla2[[#This Row],[Columna1]]="por pagar"),"vencida","no")</f>
        <v>no</v>
      </c>
    </row>
    <row r="805" spans="1:23" x14ac:dyDescent="0.3">
      <c r="A805">
        <v>30</v>
      </c>
      <c r="B805">
        <v>0</v>
      </c>
      <c r="D805" t="s">
        <v>547</v>
      </c>
      <c r="E805" s="156">
        <v>44575</v>
      </c>
      <c r="F805" t="s">
        <v>905</v>
      </c>
      <c r="G805" s="156">
        <v>44519</v>
      </c>
      <c r="H805" t="s">
        <v>540</v>
      </c>
      <c r="I805">
        <v>6535284</v>
      </c>
      <c r="K805">
        <v>1241703.96</v>
      </c>
      <c r="M805">
        <v>0</v>
      </c>
      <c r="N805">
        <v>0</v>
      </c>
      <c r="O805">
        <v>0</v>
      </c>
      <c r="P805" s="117">
        <v>7776987.96</v>
      </c>
      <c r="Q805" s="117" t="s">
        <v>1021</v>
      </c>
      <c r="R805" s="150">
        <v>0</v>
      </c>
      <c r="S805" s="117" t="b">
        <f>OR(COUNTIF(Tabla2[[#This Row],[PROVEEDOR]],"*"&amp;'Palabra no opera'!$A$2&amp;"*"))</f>
        <v>1</v>
      </c>
      <c r="T805" s="150">
        <f>+$W$5-Tabla2[[#This Row],[FECHA DE FACTURACIÓN]]</f>
        <v>315</v>
      </c>
      <c r="U805" t="str">
        <f>+IF(Tabla2[[#This Row],[dias de credito]]&gt;=Tabla2[[#This Row],[PLAZO Días]],"venc", "No venc")</f>
        <v>venc</v>
      </c>
      <c r="V805" t="str">
        <f>+IF(Tabla2[[#This Row],[FECHA DE PAGO]]&gt;0,"pagada","por pagar")</f>
        <v>pagada</v>
      </c>
      <c r="W805" s="152" t="str">
        <f>+IF(AND(Tabla2[[#This Row],[venc]]="venc",Tabla2[[#This Row],[Columna1]]="por pagar"),"vencida","no")</f>
        <v>no</v>
      </c>
    </row>
    <row r="806" spans="1:23" x14ac:dyDescent="0.3">
      <c r="A806">
        <v>30</v>
      </c>
      <c r="B806">
        <v>0</v>
      </c>
      <c r="D806" t="s">
        <v>547</v>
      </c>
      <c r="E806" s="156">
        <v>44575</v>
      </c>
      <c r="F806" t="s">
        <v>905</v>
      </c>
      <c r="G806" s="156">
        <v>44516</v>
      </c>
      <c r="H806" t="s">
        <v>541</v>
      </c>
      <c r="I806">
        <v>2576302</v>
      </c>
      <c r="K806">
        <v>489497.38</v>
      </c>
      <c r="M806">
        <v>0</v>
      </c>
      <c r="N806">
        <v>0</v>
      </c>
      <c r="O806">
        <v>0</v>
      </c>
      <c r="P806" s="117">
        <v>3065799.38</v>
      </c>
      <c r="Q806" s="117" t="s">
        <v>1021</v>
      </c>
      <c r="R806" s="150">
        <v>0</v>
      </c>
      <c r="S806" s="117" t="b">
        <f>OR(COUNTIF(Tabla2[[#This Row],[PROVEEDOR]],"*"&amp;'Palabra no opera'!$A$2&amp;"*"))</f>
        <v>1</v>
      </c>
      <c r="T806" s="150">
        <f>+$W$5-Tabla2[[#This Row],[FECHA DE FACTURACIÓN]]</f>
        <v>318</v>
      </c>
      <c r="U806" t="str">
        <f>+IF(Tabla2[[#This Row],[dias de credito]]&gt;=Tabla2[[#This Row],[PLAZO Días]],"venc", "No venc")</f>
        <v>venc</v>
      </c>
      <c r="V806" t="str">
        <f>+IF(Tabla2[[#This Row],[FECHA DE PAGO]]&gt;0,"pagada","por pagar")</f>
        <v>pagada</v>
      </c>
      <c r="W806" s="152" t="str">
        <f>+IF(AND(Tabla2[[#This Row],[venc]]="venc",Tabla2[[#This Row],[Columna1]]="por pagar"),"vencida","no")</f>
        <v>no</v>
      </c>
    </row>
    <row r="807" spans="1:23" x14ac:dyDescent="0.3">
      <c r="A807">
        <v>10</v>
      </c>
      <c r="B807">
        <v>0</v>
      </c>
      <c r="D807" t="s">
        <v>610</v>
      </c>
      <c r="E807" s="156">
        <v>44574</v>
      </c>
      <c r="F807" t="s">
        <v>637</v>
      </c>
      <c r="G807" s="156">
        <v>44562</v>
      </c>
      <c r="I807">
        <v>1060000</v>
      </c>
      <c r="K807">
        <v>0</v>
      </c>
      <c r="M807">
        <v>0</v>
      </c>
      <c r="N807">
        <v>0</v>
      </c>
      <c r="O807">
        <v>0</v>
      </c>
      <c r="P807" s="117">
        <v>1060000</v>
      </c>
      <c r="Q807" s="117" t="s">
        <v>1021</v>
      </c>
      <c r="R807" s="150">
        <v>0</v>
      </c>
      <c r="S807" s="117" t="b">
        <f>OR(COUNTIF(Tabla2[[#This Row],[PROVEEDOR]],"*"&amp;'Palabra no opera'!$A$2&amp;"*"))</f>
        <v>0</v>
      </c>
      <c r="T807" s="150">
        <f>+$W$5-Tabla2[[#This Row],[FECHA DE FACTURACIÓN]]</f>
        <v>272</v>
      </c>
      <c r="U807" t="str">
        <f>+IF(Tabla2[[#This Row],[dias de credito]]&gt;=Tabla2[[#This Row],[PLAZO Días]],"venc", "No venc")</f>
        <v>venc</v>
      </c>
      <c r="V807" t="str">
        <f>+IF(Tabla2[[#This Row],[FECHA DE PAGO]]&gt;0,"pagada","por pagar")</f>
        <v>pagada</v>
      </c>
      <c r="W807" s="152" t="str">
        <f>+IF(AND(Tabla2[[#This Row],[venc]]="venc",Tabla2[[#This Row],[Columna1]]="por pagar"),"vencida","no")</f>
        <v>no</v>
      </c>
    </row>
    <row r="808" spans="1:23" x14ac:dyDescent="0.3">
      <c r="A808">
        <v>30</v>
      </c>
      <c r="B808">
        <v>9756105</v>
      </c>
      <c r="D808" t="s">
        <v>476</v>
      </c>
      <c r="E808" s="156">
        <v>44573</v>
      </c>
      <c r="F808" t="s">
        <v>670</v>
      </c>
      <c r="G808" s="156">
        <v>44539</v>
      </c>
      <c r="H808" t="s">
        <v>1540</v>
      </c>
      <c r="I808">
        <v>9473700</v>
      </c>
      <c r="K808">
        <v>0</v>
      </c>
      <c r="L808">
        <v>0.09</v>
      </c>
      <c r="M808">
        <v>852633</v>
      </c>
      <c r="N808">
        <v>0</v>
      </c>
      <c r="O808">
        <v>0</v>
      </c>
      <c r="P808" s="117">
        <v>8621067</v>
      </c>
      <c r="Q808" s="117" t="s">
        <v>1021</v>
      </c>
      <c r="R808" s="150">
        <v>0</v>
      </c>
      <c r="S808" s="117" t="b">
        <f>OR(COUNTIF(Tabla2[[#This Row],[PROVEEDOR]],"*"&amp;'Palabra no opera'!$A$2&amp;"*"))</f>
        <v>0</v>
      </c>
      <c r="T808" s="150">
        <f>+$W$5-Tabla2[[#This Row],[FECHA DE FACTURACIÓN]]</f>
        <v>295</v>
      </c>
      <c r="U808" t="str">
        <f>+IF(Tabla2[[#This Row],[dias de credito]]&gt;=Tabla2[[#This Row],[PLAZO Días]],"venc", "No venc")</f>
        <v>venc</v>
      </c>
      <c r="V808" t="str">
        <f>+IF(Tabla2[[#This Row],[FECHA DE PAGO]]&gt;0,"pagada","por pagar")</f>
        <v>pagada</v>
      </c>
      <c r="W808" s="152" t="str">
        <f>+IF(AND(Tabla2[[#This Row],[venc]]="venc",Tabla2[[#This Row],[Columna1]]="por pagar"),"vencida","no")</f>
        <v>no</v>
      </c>
    </row>
    <row r="809" spans="1:23" x14ac:dyDescent="0.3">
      <c r="A809">
        <v>30</v>
      </c>
      <c r="B809">
        <v>0</v>
      </c>
      <c r="D809" t="s">
        <v>606</v>
      </c>
      <c r="E809" s="156">
        <v>44572</v>
      </c>
      <c r="F809" t="s">
        <v>38</v>
      </c>
      <c r="G809" s="156">
        <v>44531</v>
      </c>
      <c r="H809" t="s">
        <v>578</v>
      </c>
      <c r="I809">
        <v>5091096</v>
      </c>
      <c r="K809">
        <v>0</v>
      </c>
      <c r="M809">
        <v>0</v>
      </c>
      <c r="N809">
        <v>0</v>
      </c>
      <c r="O809">
        <v>0</v>
      </c>
      <c r="P809" s="117">
        <v>5091096</v>
      </c>
      <c r="Q809" s="117" t="s">
        <v>1021</v>
      </c>
      <c r="R809" s="150">
        <v>0</v>
      </c>
      <c r="S809" s="117" t="b">
        <f>OR(COUNTIF(Tabla2[[#This Row],[PROVEEDOR]],"*"&amp;'Palabra no opera'!$A$2&amp;"*"))</f>
        <v>0</v>
      </c>
      <c r="T809" s="150">
        <f>+$W$5-Tabla2[[#This Row],[FECHA DE FACTURACIÓN]]</f>
        <v>303</v>
      </c>
      <c r="U809" t="str">
        <f>+IF(Tabla2[[#This Row],[dias de credito]]&gt;=Tabla2[[#This Row],[PLAZO Días]],"venc", "No venc")</f>
        <v>venc</v>
      </c>
      <c r="V809" t="str">
        <f>+IF(Tabla2[[#This Row],[FECHA DE PAGO]]&gt;0,"pagada","por pagar")</f>
        <v>pagada</v>
      </c>
      <c r="W809" s="152" t="str">
        <f>+IF(AND(Tabla2[[#This Row],[venc]]="venc",Tabla2[[#This Row],[Columna1]]="por pagar"),"vencida","no")</f>
        <v>no</v>
      </c>
    </row>
    <row r="810" spans="1:23" x14ac:dyDescent="0.3">
      <c r="A810">
        <v>30</v>
      </c>
      <c r="B810">
        <v>0</v>
      </c>
      <c r="D810" t="s">
        <v>606</v>
      </c>
      <c r="E810" s="156">
        <v>44572</v>
      </c>
      <c r="F810" t="s">
        <v>38</v>
      </c>
      <c r="G810" s="156">
        <v>44531</v>
      </c>
      <c r="H810" t="s">
        <v>579</v>
      </c>
      <c r="I810">
        <v>22083872</v>
      </c>
      <c r="K810">
        <v>0</v>
      </c>
      <c r="M810">
        <v>0</v>
      </c>
      <c r="N810">
        <v>0</v>
      </c>
      <c r="O810">
        <v>0</v>
      </c>
      <c r="P810" s="117">
        <v>22083872</v>
      </c>
      <c r="Q810" s="117" t="s">
        <v>1021</v>
      </c>
      <c r="R810" s="150">
        <v>0</v>
      </c>
      <c r="S810" s="117" t="b">
        <f>OR(COUNTIF(Tabla2[[#This Row],[PROVEEDOR]],"*"&amp;'Palabra no opera'!$A$2&amp;"*"))</f>
        <v>0</v>
      </c>
      <c r="T810" s="150">
        <f>+$W$5-Tabla2[[#This Row],[FECHA DE FACTURACIÓN]]</f>
        <v>303</v>
      </c>
      <c r="U810" t="str">
        <f>+IF(Tabla2[[#This Row],[dias de credito]]&gt;=Tabla2[[#This Row],[PLAZO Días]],"venc", "No venc")</f>
        <v>venc</v>
      </c>
      <c r="V810" t="str">
        <f>+IF(Tabla2[[#This Row],[FECHA DE PAGO]]&gt;0,"pagada","por pagar")</f>
        <v>pagada</v>
      </c>
      <c r="W810" s="152" t="str">
        <f>+IF(AND(Tabla2[[#This Row],[venc]]="venc",Tabla2[[#This Row],[Columna1]]="por pagar"),"vencida","no")</f>
        <v>no</v>
      </c>
    </row>
    <row r="811" spans="1:23" x14ac:dyDescent="0.3">
      <c r="A811">
        <v>30</v>
      </c>
      <c r="B811">
        <v>0</v>
      </c>
      <c r="D811" t="s">
        <v>139</v>
      </c>
      <c r="E811" s="156">
        <v>44568</v>
      </c>
      <c r="F811" t="s">
        <v>680</v>
      </c>
      <c r="G811" s="156">
        <v>44566</v>
      </c>
      <c r="I811">
        <v>1411500</v>
      </c>
      <c r="K811">
        <v>0</v>
      </c>
      <c r="M811">
        <v>0</v>
      </c>
      <c r="N811">
        <v>0</v>
      </c>
      <c r="O811">
        <v>0</v>
      </c>
      <c r="P811" s="117">
        <v>1411500</v>
      </c>
      <c r="Q811" s="117" t="s">
        <v>1021</v>
      </c>
      <c r="R811" s="150">
        <v>0</v>
      </c>
      <c r="S811" s="117" t="b">
        <f>OR(COUNTIF(Tabla2[[#This Row],[PROVEEDOR]],"*"&amp;'Palabra no opera'!$A$2&amp;"*"))</f>
        <v>0</v>
      </c>
      <c r="T811" s="150">
        <f>+$W$5-Tabla2[[#This Row],[FECHA DE FACTURACIÓN]]</f>
        <v>268</v>
      </c>
      <c r="U811" t="str">
        <f>+IF(Tabla2[[#This Row],[dias de credito]]&gt;=Tabla2[[#This Row],[PLAZO Días]],"venc", "No venc")</f>
        <v>venc</v>
      </c>
      <c r="V811" t="str">
        <f>+IF(Tabla2[[#This Row],[FECHA DE PAGO]]&gt;0,"pagada","por pagar")</f>
        <v>pagada</v>
      </c>
      <c r="W811" s="152" t="str">
        <f>+IF(AND(Tabla2[[#This Row],[venc]]="venc",Tabla2[[#This Row],[Columna1]]="por pagar"),"vencida","no")</f>
        <v>no</v>
      </c>
    </row>
    <row r="812" spans="1:23" x14ac:dyDescent="0.3">
      <c r="A812">
        <v>30</v>
      </c>
      <c r="B812">
        <v>0</v>
      </c>
      <c r="D812" t="s">
        <v>250</v>
      </c>
      <c r="E812" s="156">
        <v>44568</v>
      </c>
      <c r="F812" t="s">
        <v>1450</v>
      </c>
      <c r="G812" s="156">
        <v>44565</v>
      </c>
      <c r="H812">
        <v>319</v>
      </c>
      <c r="I812">
        <v>176000</v>
      </c>
      <c r="K812">
        <v>0</v>
      </c>
      <c r="M812">
        <v>0</v>
      </c>
      <c r="N812">
        <v>0</v>
      </c>
      <c r="O812">
        <v>0</v>
      </c>
      <c r="P812" s="117">
        <v>125783.79000000001</v>
      </c>
      <c r="Q812" s="117" t="s">
        <v>1021</v>
      </c>
      <c r="R812" s="150">
        <v>0</v>
      </c>
      <c r="S812" s="117" t="b">
        <f>OR(COUNTIF(Tabla2[[#This Row],[PROVEEDOR]],"*"&amp;'Palabra no opera'!$A$2&amp;"*"))</f>
        <v>0</v>
      </c>
      <c r="T812" s="150">
        <f>+$W$5-Tabla2[[#This Row],[FECHA DE FACTURACIÓN]]</f>
        <v>269</v>
      </c>
      <c r="U812" t="str">
        <f>+IF(Tabla2[[#This Row],[dias de credito]]&gt;=Tabla2[[#This Row],[PLAZO Días]],"venc", "No venc")</f>
        <v>venc</v>
      </c>
      <c r="V812" t="str">
        <f>+IF(Tabla2[[#This Row],[FECHA DE PAGO]]&gt;0,"pagada","por pagar")</f>
        <v>pagada</v>
      </c>
      <c r="W812" s="152" t="str">
        <f>+IF(AND(Tabla2[[#This Row],[venc]]="venc",Tabla2[[#This Row],[Columna1]]="por pagar"),"vencida","no")</f>
        <v>no</v>
      </c>
    </row>
    <row r="813" spans="1:23" x14ac:dyDescent="0.3">
      <c r="A813">
        <v>30</v>
      </c>
      <c r="B813">
        <v>450000</v>
      </c>
      <c r="D813" t="s">
        <v>291</v>
      </c>
      <c r="E813" s="156">
        <v>44568</v>
      </c>
      <c r="F813" t="s">
        <v>685</v>
      </c>
      <c r="G813" s="156">
        <v>44529</v>
      </c>
      <c r="H813" t="s">
        <v>1349</v>
      </c>
      <c r="I813">
        <v>1678000</v>
      </c>
      <c r="K813">
        <v>0</v>
      </c>
      <c r="M813">
        <v>0</v>
      </c>
      <c r="N813">
        <v>0</v>
      </c>
      <c r="O813">
        <v>0</v>
      </c>
      <c r="P813" s="117">
        <v>1678000</v>
      </c>
      <c r="Q813" s="117" t="s">
        <v>1021</v>
      </c>
      <c r="R813" s="150">
        <v>0</v>
      </c>
      <c r="S813" s="117" t="b">
        <f>OR(COUNTIF(Tabla2[[#This Row],[PROVEEDOR]],"*"&amp;'Palabra no opera'!$A$2&amp;"*"))</f>
        <v>0</v>
      </c>
      <c r="T813" s="150">
        <f>+$W$5-Tabla2[[#This Row],[FECHA DE FACTURACIÓN]]</f>
        <v>305</v>
      </c>
      <c r="U813" t="str">
        <f>+IF(Tabla2[[#This Row],[dias de credito]]&gt;=Tabla2[[#This Row],[PLAZO Días]],"venc", "No venc")</f>
        <v>venc</v>
      </c>
      <c r="V813" t="str">
        <f>+IF(Tabla2[[#This Row],[FECHA DE PAGO]]&gt;0,"pagada","por pagar")</f>
        <v>pagada</v>
      </c>
      <c r="W813" s="152" t="str">
        <f>+IF(AND(Tabla2[[#This Row],[venc]]="venc",Tabla2[[#This Row],[Columna1]]="por pagar"),"vencida","no")</f>
        <v>no</v>
      </c>
    </row>
    <row r="814" spans="1:23" x14ac:dyDescent="0.3">
      <c r="A814">
        <v>30</v>
      </c>
      <c r="B814">
        <v>2324000</v>
      </c>
      <c r="D814" t="s">
        <v>251</v>
      </c>
      <c r="E814" s="156">
        <v>44568</v>
      </c>
      <c r="F814" t="s">
        <v>699</v>
      </c>
      <c r="G814" s="156">
        <v>44529</v>
      </c>
      <c r="H814" t="s">
        <v>1534</v>
      </c>
      <c r="I814">
        <v>56250</v>
      </c>
      <c r="K814">
        <v>0</v>
      </c>
      <c r="M814">
        <v>0</v>
      </c>
      <c r="N814">
        <v>0</v>
      </c>
      <c r="O814">
        <v>0</v>
      </c>
      <c r="P814" s="117">
        <v>56250</v>
      </c>
      <c r="Q814" s="117" t="s">
        <v>1021</v>
      </c>
      <c r="R814" s="150">
        <v>0</v>
      </c>
      <c r="S814" s="117" t="b">
        <f>OR(COUNTIF(Tabla2[[#This Row],[PROVEEDOR]],"*"&amp;'Palabra no opera'!$A$2&amp;"*"))</f>
        <v>0</v>
      </c>
      <c r="T814" s="150">
        <f>+$W$5-Tabla2[[#This Row],[FECHA DE FACTURACIÓN]]</f>
        <v>305</v>
      </c>
      <c r="U814" t="str">
        <f>+IF(Tabla2[[#This Row],[dias de credito]]&gt;=Tabla2[[#This Row],[PLAZO Días]],"venc", "No venc")</f>
        <v>venc</v>
      </c>
      <c r="V814" t="str">
        <f>+IF(Tabla2[[#This Row],[FECHA DE PAGO]]&gt;0,"pagada","por pagar")</f>
        <v>pagada</v>
      </c>
      <c r="W814" s="152" t="str">
        <f>+IF(AND(Tabla2[[#This Row],[venc]]="venc",Tabla2[[#This Row],[Columna1]]="por pagar"),"vencida","no")</f>
        <v>no</v>
      </c>
    </row>
    <row r="815" spans="1:23" x14ac:dyDescent="0.3">
      <c r="A815">
        <v>30</v>
      </c>
      <c r="B815">
        <v>0</v>
      </c>
      <c r="D815" t="s">
        <v>605</v>
      </c>
      <c r="E815" s="156">
        <v>44568</v>
      </c>
      <c r="F815" t="s">
        <v>621</v>
      </c>
      <c r="G815" s="156">
        <v>44525</v>
      </c>
      <c r="H815" t="s">
        <v>1531</v>
      </c>
      <c r="I815">
        <v>990000</v>
      </c>
      <c r="K815">
        <v>0</v>
      </c>
      <c r="M815">
        <v>0</v>
      </c>
      <c r="N815">
        <v>0</v>
      </c>
      <c r="O815">
        <v>0</v>
      </c>
      <c r="P815" s="117">
        <v>990000</v>
      </c>
      <c r="Q815" s="117" t="s">
        <v>1021</v>
      </c>
      <c r="R815" s="150">
        <v>0</v>
      </c>
      <c r="S815" s="117" t="b">
        <f>OR(COUNTIF(Tabla2[[#This Row],[PROVEEDOR]],"*"&amp;'Palabra no opera'!$A$2&amp;"*"))</f>
        <v>0</v>
      </c>
      <c r="T815" s="150">
        <f>+$W$5-Tabla2[[#This Row],[FECHA DE FACTURACIÓN]]</f>
        <v>309</v>
      </c>
      <c r="U815" t="str">
        <f>+IF(Tabla2[[#This Row],[dias de credito]]&gt;=Tabla2[[#This Row],[PLAZO Días]],"venc", "No venc")</f>
        <v>venc</v>
      </c>
      <c r="V815" t="str">
        <f>+IF(Tabla2[[#This Row],[FECHA DE PAGO]]&gt;0,"pagada","por pagar")</f>
        <v>pagada</v>
      </c>
      <c r="W815" s="152" t="str">
        <f>+IF(AND(Tabla2[[#This Row],[venc]]="venc",Tabla2[[#This Row],[Columna1]]="por pagar"),"vencida","no")</f>
        <v>no</v>
      </c>
    </row>
    <row r="816" spans="1:23" x14ac:dyDescent="0.3">
      <c r="A816">
        <v>30</v>
      </c>
      <c r="B816">
        <v>2324000</v>
      </c>
      <c r="D816" t="s">
        <v>251</v>
      </c>
      <c r="E816" s="156">
        <v>44568</v>
      </c>
      <c r="F816" t="s">
        <v>699</v>
      </c>
      <c r="G816" s="156">
        <v>44511</v>
      </c>
      <c r="H816" t="s">
        <v>1522</v>
      </c>
      <c r="I816">
        <v>942000</v>
      </c>
      <c r="K816">
        <v>0</v>
      </c>
      <c r="M816">
        <v>0</v>
      </c>
      <c r="N816">
        <v>0</v>
      </c>
      <c r="O816">
        <v>0</v>
      </c>
      <c r="P816" s="117">
        <v>942000</v>
      </c>
      <c r="Q816" s="117" t="s">
        <v>1021</v>
      </c>
      <c r="R816" s="150">
        <v>0</v>
      </c>
      <c r="S816" s="117" t="b">
        <f>OR(COUNTIF(Tabla2[[#This Row],[PROVEEDOR]],"*"&amp;'Palabra no opera'!$A$2&amp;"*"))</f>
        <v>0</v>
      </c>
      <c r="T816" s="150">
        <f>+$W$5-Tabla2[[#This Row],[FECHA DE FACTURACIÓN]]</f>
        <v>323</v>
      </c>
      <c r="U816" t="str">
        <f>+IF(Tabla2[[#This Row],[dias de credito]]&gt;=Tabla2[[#This Row],[PLAZO Días]],"venc", "No venc")</f>
        <v>venc</v>
      </c>
      <c r="V816" t="str">
        <f>+IF(Tabla2[[#This Row],[FECHA DE PAGO]]&gt;0,"pagada","por pagar")</f>
        <v>pagada</v>
      </c>
      <c r="W816" s="152" t="str">
        <f>+IF(AND(Tabla2[[#This Row],[venc]]="venc",Tabla2[[#This Row],[Columna1]]="por pagar"),"vencida","no")</f>
        <v>no</v>
      </c>
    </row>
    <row r="817" spans="1:23" x14ac:dyDescent="0.3">
      <c r="A817">
        <v>90</v>
      </c>
      <c r="B817">
        <v>5541947.6899999995</v>
      </c>
      <c r="D817" t="s">
        <v>253</v>
      </c>
      <c r="E817" s="156">
        <v>44568</v>
      </c>
      <c r="F817" t="s">
        <v>12</v>
      </c>
      <c r="G817" s="156">
        <v>44495</v>
      </c>
      <c r="H817" t="s">
        <v>514</v>
      </c>
      <c r="I817">
        <v>12134469</v>
      </c>
      <c r="K817">
        <v>2305549.11</v>
      </c>
      <c r="M817">
        <v>0</v>
      </c>
      <c r="N817">
        <v>2.5000000000000001E-2</v>
      </c>
      <c r="O817">
        <v>303361.72500000003</v>
      </c>
      <c r="P817" s="117">
        <v>14136656.385</v>
      </c>
      <c r="Q817" s="117" t="s">
        <v>1021</v>
      </c>
      <c r="R817" s="150">
        <v>0</v>
      </c>
      <c r="S817" s="117" t="b">
        <f>OR(COUNTIF(Tabla2[[#This Row],[PROVEEDOR]],"*"&amp;'Palabra no opera'!$A$2&amp;"*"))</f>
        <v>0</v>
      </c>
      <c r="T817" s="150">
        <f>+$W$5-Tabla2[[#This Row],[FECHA DE FACTURACIÓN]]</f>
        <v>339</v>
      </c>
      <c r="U817" t="str">
        <f>+IF(Tabla2[[#This Row],[dias de credito]]&gt;=Tabla2[[#This Row],[PLAZO Días]],"venc", "No venc")</f>
        <v>venc</v>
      </c>
      <c r="V817" t="str">
        <f>+IF(Tabla2[[#This Row],[FECHA DE PAGO]]&gt;0,"pagada","por pagar")</f>
        <v>pagada</v>
      </c>
      <c r="W817" s="152" t="str">
        <f>+IF(AND(Tabla2[[#This Row],[venc]]="venc",Tabla2[[#This Row],[Columna1]]="por pagar"),"vencida","no")</f>
        <v>no</v>
      </c>
    </row>
    <row r="818" spans="1:23" x14ac:dyDescent="0.3">
      <c r="A818">
        <v>90</v>
      </c>
      <c r="B818">
        <v>5541947.6899999995</v>
      </c>
      <c r="D818" t="s">
        <v>253</v>
      </c>
      <c r="E818" s="156">
        <v>44568</v>
      </c>
      <c r="F818" t="s">
        <v>12</v>
      </c>
      <c r="G818" s="156">
        <v>44495</v>
      </c>
      <c r="H818" t="s">
        <v>575</v>
      </c>
      <c r="I818">
        <v>-124370</v>
      </c>
      <c r="K818">
        <v>-23630.3</v>
      </c>
      <c r="M818">
        <v>0</v>
      </c>
      <c r="N818">
        <v>0</v>
      </c>
      <c r="O818">
        <v>0</v>
      </c>
      <c r="P818" s="117">
        <v>-148000.29999999999</v>
      </c>
      <c r="Q818" s="117" t="s">
        <v>1021</v>
      </c>
      <c r="R818" s="150">
        <v>0</v>
      </c>
      <c r="S818" s="117" t="b">
        <f>OR(COUNTIF(Tabla2[[#This Row],[PROVEEDOR]],"*"&amp;'Palabra no opera'!$A$2&amp;"*"))</f>
        <v>0</v>
      </c>
      <c r="T818" s="150">
        <f>+$W$5-Tabla2[[#This Row],[FECHA DE FACTURACIÓN]]</f>
        <v>339</v>
      </c>
      <c r="U818" t="str">
        <f>+IF(Tabla2[[#This Row],[dias de credito]]&gt;=Tabla2[[#This Row],[PLAZO Días]],"venc", "No venc")</f>
        <v>venc</v>
      </c>
      <c r="V818" t="str">
        <f>+IF(Tabla2[[#This Row],[FECHA DE PAGO]]&gt;0,"pagada","por pagar")</f>
        <v>pagada</v>
      </c>
      <c r="W818" s="152" t="str">
        <f>+IF(AND(Tabla2[[#This Row],[venc]]="venc",Tabla2[[#This Row],[Columna1]]="por pagar"),"vencida","no")</f>
        <v>no</v>
      </c>
    </row>
    <row r="819" spans="1:23" x14ac:dyDescent="0.3">
      <c r="A819">
        <v>90</v>
      </c>
      <c r="B819">
        <v>0</v>
      </c>
      <c r="D819" t="s">
        <v>139</v>
      </c>
      <c r="E819" s="156">
        <v>44567</v>
      </c>
      <c r="F819" t="s">
        <v>657</v>
      </c>
      <c r="G819" s="156">
        <v>44567</v>
      </c>
      <c r="I819">
        <v>-6831935</v>
      </c>
      <c r="K819">
        <v>0</v>
      </c>
      <c r="M819">
        <v>0</v>
      </c>
      <c r="N819">
        <v>0</v>
      </c>
      <c r="O819">
        <v>0</v>
      </c>
      <c r="P819" s="117">
        <v>650282</v>
      </c>
      <c r="Q819" s="117" t="s">
        <v>1021</v>
      </c>
      <c r="R819" s="150">
        <v>0</v>
      </c>
      <c r="S819" s="117" t="b">
        <f>OR(COUNTIF(Tabla2[[#This Row],[PROVEEDOR]],"*"&amp;'Palabra no opera'!$A$2&amp;"*"))</f>
        <v>0</v>
      </c>
      <c r="T819" s="150">
        <f>+$W$5-Tabla2[[#This Row],[FECHA DE FACTURACIÓN]]</f>
        <v>267</v>
      </c>
      <c r="U819" t="str">
        <f>+IF(Tabla2[[#This Row],[dias de credito]]&gt;=Tabla2[[#This Row],[PLAZO Días]],"venc", "No venc")</f>
        <v>venc</v>
      </c>
      <c r="V819" t="str">
        <f>+IF(Tabla2[[#This Row],[FECHA DE PAGO]]&gt;0,"pagada","por pagar")</f>
        <v>pagada</v>
      </c>
      <c r="W819" s="152" t="str">
        <f>+IF(AND(Tabla2[[#This Row],[venc]]="venc",Tabla2[[#This Row],[Columna1]]="por pagar"),"vencida","no")</f>
        <v>no</v>
      </c>
    </row>
    <row r="820" spans="1:23" x14ac:dyDescent="0.3">
      <c r="A820">
        <v>30</v>
      </c>
      <c r="B820">
        <v>0</v>
      </c>
      <c r="D820" t="s">
        <v>139</v>
      </c>
      <c r="E820" s="156">
        <v>44567</v>
      </c>
      <c r="F820" t="s">
        <v>673</v>
      </c>
      <c r="G820" s="156">
        <v>44567</v>
      </c>
      <c r="I820">
        <v>1000000</v>
      </c>
      <c r="K820">
        <v>0</v>
      </c>
      <c r="M820">
        <v>349718</v>
      </c>
      <c r="N820">
        <v>0</v>
      </c>
      <c r="O820">
        <v>0</v>
      </c>
      <c r="P820" s="117">
        <v>-6701435</v>
      </c>
      <c r="Q820" s="117" t="s">
        <v>1021</v>
      </c>
      <c r="R820" s="150">
        <v>0</v>
      </c>
      <c r="S820" s="117" t="b">
        <f>OR(COUNTIF(Tabla2[[#This Row],[PROVEEDOR]],"*"&amp;'Palabra no opera'!$A$2&amp;"*"))</f>
        <v>0</v>
      </c>
      <c r="T820" s="150">
        <f>+$W$5-Tabla2[[#This Row],[FECHA DE FACTURACIÓN]]</f>
        <v>267</v>
      </c>
      <c r="U820" t="str">
        <f>+IF(Tabla2[[#This Row],[dias de credito]]&gt;=Tabla2[[#This Row],[PLAZO Días]],"venc", "No venc")</f>
        <v>venc</v>
      </c>
      <c r="V820" t="str">
        <f>+IF(Tabla2[[#This Row],[FECHA DE PAGO]]&gt;0,"pagada","por pagar")</f>
        <v>pagada</v>
      </c>
      <c r="W820" s="152" t="str">
        <f>+IF(AND(Tabla2[[#This Row],[venc]]="venc",Tabla2[[#This Row],[Columna1]]="por pagar"),"vencida","no")</f>
        <v>no</v>
      </c>
    </row>
    <row r="821" spans="1:23" x14ac:dyDescent="0.3">
      <c r="A821">
        <v>30</v>
      </c>
      <c r="B821">
        <v>0</v>
      </c>
      <c r="D821" t="s">
        <v>250</v>
      </c>
      <c r="E821" s="156">
        <v>44567</v>
      </c>
      <c r="F821" t="s">
        <v>1451</v>
      </c>
      <c r="G821" s="156">
        <v>44567</v>
      </c>
      <c r="H821" t="s">
        <v>602</v>
      </c>
      <c r="I821">
        <v>-135000</v>
      </c>
      <c r="K821">
        <v>0</v>
      </c>
      <c r="M821">
        <v>0</v>
      </c>
      <c r="N821">
        <v>0</v>
      </c>
      <c r="O821">
        <v>0</v>
      </c>
      <c r="P821" s="117">
        <v>-135000</v>
      </c>
      <c r="Q821" s="117" t="s">
        <v>1021</v>
      </c>
      <c r="R821" s="150">
        <v>0</v>
      </c>
      <c r="S821" s="117" t="b">
        <f>OR(COUNTIF(Tabla2[[#This Row],[PROVEEDOR]],"*"&amp;'Palabra no opera'!$A$2&amp;"*"))</f>
        <v>0</v>
      </c>
      <c r="T821" s="150">
        <f>+$W$5-Tabla2[[#This Row],[FECHA DE FACTURACIÓN]]</f>
        <v>267</v>
      </c>
      <c r="U821" t="str">
        <f>+IF(Tabla2[[#This Row],[dias de credito]]&gt;=Tabla2[[#This Row],[PLAZO Días]],"venc", "No venc")</f>
        <v>venc</v>
      </c>
      <c r="V821" t="str">
        <f>+IF(Tabla2[[#This Row],[FECHA DE PAGO]]&gt;0,"pagada","por pagar")</f>
        <v>pagada</v>
      </c>
      <c r="W821" s="152" t="str">
        <f>+IF(AND(Tabla2[[#This Row],[venc]]="venc",Tabla2[[#This Row],[Columna1]]="por pagar"),"vencida","no")</f>
        <v>no</v>
      </c>
    </row>
    <row r="822" spans="1:23" x14ac:dyDescent="0.3">
      <c r="A822">
        <v>90</v>
      </c>
      <c r="B822">
        <v>0</v>
      </c>
      <c r="D822" t="s">
        <v>139</v>
      </c>
      <c r="E822" s="156">
        <v>44567</v>
      </c>
      <c r="F822" t="s">
        <v>651</v>
      </c>
      <c r="G822" s="156">
        <v>44566</v>
      </c>
      <c r="H822" t="s">
        <v>1552</v>
      </c>
      <c r="I822">
        <v>-190000</v>
      </c>
      <c r="K822">
        <v>0</v>
      </c>
      <c r="M822">
        <v>0</v>
      </c>
      <c r="N822">
        <v>0</v>
      </c>
      <c r="O822">
        <v>0</v>
      </c>
      <c r="P822" s="117">
        <v>-190000</v>
      </c>
      <c r="Q822" s="117" t="s">
        <v>1021</v>
      </c>
      <c r="R822" s="150">
        <v>0</v>
      </c>
      <c r="S822" s="117" t="b">
        <f>OR(COUNTIF(Tabla2[[#This Row],[PROVEEDOR]],"*"&amp;'Palabra no opera'!$A$2&amp;"*"))</f>
        <v>0</v>
      </c>
      <c r="T822" s="150">
        <f>+$W$5-Tabla2[[#This Row],[FECHA DE FACTURACIÓN]]</f>
        <v>268</v>
      </c>
      <c r="U822" t="str">
        <f>+IF(Tabla2[[#This Row],[dias de credito]]&gt;=Tabla2[[#This Row],[PLAZO Días]],"venc", "No venc")</f>
        <v>venc</v>
      </c>
      <c r="V822" t="str">
        <f>+IF(Tabla2[[#This Row],[FECHA DE PAGO]]&gt;0,"pagada","por pagar")</f>
        <v>pagada</v>
      </c>
      <c r="W822" s="152" t="str">
        <f>+IF(AND(Tabla2[[#This Row],[venc]]="venc",Tabla2[[#This Row],[Columna1]]="por pagar"),"vencida","no")</f>
        <v>no</v>
      </c>
    </row>
    <row r="823" spans="1:23" x14ac:dyDescent="0.3">
      <c r="A823">
        <v>30</v>
      </c>
      <c r="B823">
        <v>0</v>
      </c>
      <c r="D823" t="s">
        <v>250</v>
      </c>
      <c r="E823" s="156">
        <v>44567</v>
      </c>
      <c r="F823" t="s">
        <v>1451</v>
      </c>
      <c r="G823" s="156">
        <v>44565</v>
      </c>
      <c r="H823">
        <v>192</v>
      </c>
      <c r="I823">
        <v>135000</v>
      </c>
      <c r="K823">
        <v>0</v>
      </c>
      <c r="M823">
        <v>0</v>
      </c>
      <c r="N823">
        <v>0</v>
      </c>
      <c r="O823">
        <v>0</v>
      </c>
      <c r="P823" s="117">
        <v>135000</v>
      </c>
      <c r="Q823" s="117" t="s">
        <v>1021</v>
      </c>
      <c r="R823" s="150">
        <v>0</v>
      </c>
      <c r="S823" s="117" t="b">
        <f>OR(COUNTIF(Tabla2[[#This Row],[PROVEEDOR]],"*"&amp;'Palabra no opera'!$A$2&amp;"*"))</f>
        <v>0</v>
      </c>
      <c r="T823" s="150">
        <f>+$W$5-Tabla2[[#This Row],[FECHA DE FACTURACIÓN]]</f>
        <v>269</v>
      </c>
      <c r="U823" t="str">
        <f>+IF(Tabla2[[#This Row],[dias de credito]]&gt;=Tabla2[[#This Row],[PLAZO Días]],"venc", "No venc")</f>
        <v>venc</v>
      </c>
      <c r="V823" t="str">
        <f>+IF(Tabla2[[#This Row],[FECHA DE PAGO]]&gt;0,"pagada","por pagar")</f>
        <v>pagada</v>
      </c>
      <c r="W823" s="152" t="str">
        <f>+IF(AND(Tabla2[[#This Row],[venc]]="venc",Tabla2[[#This Row],[Columna1]]="por pagar"),"vencida","no")</f>
        <v>no</v>
      </c>
    </row>
    <row r="824" spans="1:23" x14ac:dyDescent="0.3">
      <c r="A824">
        <v>90</v>
      </c>
      <c r="B824">
        <v>0</v>
      </c>
      <c r="D824" t="s">
        <v>139</v>
      </c>
      <c r="E824" s="156">
        <v>44567</v>
      </c>
      <c r="F824" t="s">
        <v>657</v>
      </c>
      <c r="G824" s="156">
        <v>44561</v>
      </c>
      <c r="I824">
        <v>-15184000</v>
      </c>
      <c r="K824">
        <v>0</v>
      </c>
      <c r="M824">
        <v>0</v>
      </c>
      <c r="N824">
        <v>0</v>
      </c>
      <c r="O824">
        <v>0</v>
      </c>
      <c r="P824" s="117">
        <v>-15184000</v>
      </c>
      <c r="Q824" s="117" t="s">
        <v>1021</v>
      </c>
      <c r="R824" s="150">
        <v>0</v>
      </c>
      <c r="S824" s="117" t="b">
        <f>OR(COUNTIF(Tabla2[[#This Row],[PROVEEDOR]],"*"&amp;'Palabra no opera'!$A$2&amp;"*"))</f>
        <v>0</v>
      </c>
      <c r="T824" s="150">
        <f>+$W$5-Tabla2[[#This Row],[FECHA DE FACTURACIÓN]]</f>
        <v>273</v>
      </c>
      <c r="U824" t="str">
        <f>+IF(Tabla2[[#This Row],[dias de credito]]&gt;=Tabla2[[#This Row],[PLAZO Días]],"venc", "No venc")</f>
        <v>venc</v>
      </c>
      <c r="V824" t="str">
        <f>+IF(Tabla2[[#This Row],[FECHA DE PAGO]]&gt;0,"pagada","por pagar")</f>
        <v>pagada</v>
      </c>
      <c r="W824" s="152" t="str">
        <f>+IF(AND(Tabla2[[#This Row],[venc]]="venc",Tabla2[[#This Row],[Columna1]]="por pagar"),"vencida","no")</f>
        <v>no</v>
      </c>
    </row>
    <row r="825" spans="1:23" x14ac:dyDescent="0.3">
      <c r="A825">
        <v>90</v>
      </c>
      <c r="B825">
        <v>0</v>
      </c>
      <c r="D825" t="s">
        <v>139</v>
      </c>
      <c r="E825" s="156">
        <v>44567</v>
      </c>
      <c r="F825" t="s">
        <v>651</v>
      </c>
      <c r="G825" s="156">
        <v>44517</v>
      </c>
      <c r="H825" t="s">
        <v>1526</v>
      </c>
      <c r="I825">
        <v>8659500</v>
      </c>
      <c r="K825">
        <v>0</v>
      </c>
      <c r="M825">
        <v>0</v>
      </c>
      <c r="N825">
        <v>0</v>
      </c>
      <c r="O825">
        <v>0</v>
      </c>
      <c r="P825" s="117">
        <v>8659500</v>
      </c>
      <c r="Q825" s="117" t="s">
        <v>1021</v>
      </c>
      <c r="R825" s="150">
        <v>0</v>
      </c>
      <c r="S825" s="117" t="b">
        <f>OR(COUNTIF(Tabla2[[#This Row],[PROVEEDOR]],"*"&amp;'Palabra no opera'!$A$2&amp;"*"))</f>
        <v>0</v>
      </c>
      <c r="T825" s="150">
        <f>+$W$5-Tabla2[[#This Row],[FECHA DE FACTURACIÓN]]</f>
        <v>317</v>
      </c>
      <c r="U825" t="str">
        <f>+IF(Tabla2[[#This Row],[dias de credito]]&gt;=Tabla2[[#This Row],[PLAZO Días]],"venc", "No venc")</f>
        <v>venc</v>
      </c>
      <c r="V825" t="str">
        <f>+IF(Tabla2[[#This Row],[FECHA DE PAGO]]&gt;0,"pagada","por pagar")</f>
        <v>pagada</v>
      </c>
      <c r="W825" s="152" t="str">
        <f>+IF(AND(Tabla2[[#This Row],[venc]]="venc",Tabla2[[#This Row],[Columna1]]="por pagar"),"vencida","no")</f>
        <v>no</v>
      </c>
    </row>
    <row r="826" spans="1:23" x14ac:dyDescent="0.3">
      <c r="A826">
        <v>90</v>
      </c>
      <c r="B826">
        <v>0</v>
      </c>
      <c r="D826" t="s">
        <v>139</v>
      </c>
      <c r="E826" s="156">
        <v>44567</v>
      </c>
      <c r="F826" t="s">
        <v>657</v>
      </c>
      <c r="G826" s="156">
        <v>44203</v>
      </c>
      <c r="I826">
        <v>-5180200</v>
      </c>
      <c r="K826">
        <v>0</v>
      </c>
      <c r="M826">
        <v>0</v>
      </c>
      <c r="N826">
        <v>0</v>
      </c>
      <c r="O826">
        <v>0</v>
      </c>
      <c r="P826" s="117">
        <v>-5180200</v>
      </c>
      <c r="Q826" s="117" t="s">
        <v>1021</v>
      </c>
      <c r="R826" s="150">
        <v>0</v>
      </c>
      <c r="S826" s="117" t="b">
        <f>OR(COUNTIF(Tabla2[[#This Row],[PROVEEDOR]],"*"&amp;'Palabra no opera'!$A$2&amp;"*"))</f>
        <v>0</v>
      </c>
      <c r="T826" s="150">
        <f>+$W$5-Tabla2[[#This Row],[FECHA DE FACTURACIÓN]]</f>
        <v>631</v>
      </c>
      <c r="U826" t="str">
        <f>+IF(Tabla2[[#This Row],[dias de credito]]&gt;=Tabla2[[#This Row],[PLAZO Días]],"venc", "No venc")</f>
        <v>venc</v>
      </c>
      <c r="V826" t="str">
        <f>+IF(Tabla2[[#This Row],[FECHA DE PAGO]]&gt;0,"pagada","por pagar")</f>
        <v>pagada</v>
      </c>
      <c r="W826" s="152" t="str">
        <f>+IF(AND(Tabla2[[#This Row],[venc]]="venc",Tabla2[[#This Row],[Columna1]]="por pagar"),"vencida","no")</f>
        <v>no</v>
      </c>
    </row>
    <row r="827" spans="1:23" x14ac:dyDescent="0.3">
      <c r="A827">
        <v>90</v>
      </c>
      <c r="B827">
        <v>0</v>
      </c>
      <c r="D827" t="s">
        <v>139</v>
      </c>
      <c r="E827" s="156">
        <v>44567</v>
      </c>
      <c r="F827" t="s">
        <v>657</v>
      </c>
      <c r="G827" s="156">
        <v>44196</v>
      </c>
      <c r="I827">
        <v>-20009300</v>
      </c>
      <c r="K827">
        <v>0</v>
      </c>
      <c r="M827">
        <v>0</v>
      </c>
      <c r="N827">
        <v>0</v>
      </c>
      <c r="O827">
        <v>0</v>
      </c>
      <c r="P827" s="117">
        <v>-20009300</v>
      </c>
      <c r="Q827" s="117" t="s">
        <v>1021</v>
      </c>
      <c r="R827" s="150">
        <v>0</v>
      </c>
      <c r="S827" s="117" t="b">
        <f>OR(COUNTIF(Tabla2[[#This Row],[PROVEEDOR]],"*"&amp;'Palabra no opera'!$A$2&amp;"*"))</f>
        <v>0</v>
      </c>
      <c r="T827" s="150">
        <f>+$W$5-Tabla2[[#This Row],[FECHA DE FACTURACIÓN]]</f>
        <v>638</v>
      </c>
      <c r="U827" t="str">
        <f>+IF(Tabla2[[#This Row],[dias de credito]]&gt;=Tabla2[[#This Row],[PLAZO Días]],"venc", "No venc")</f>
        <v>venc</v>
      </c>
      <c r="V827" t="str">
        <f>+IF(Tabla2[[#This Row],[FECHA DE PAGO]]&gt;0,"pagada","por pagar")</f>
        <v>pagada</v>
      </c>
      <c r="W827" s="152" t="str">
        <f>+IF(AND(Tabla2[[#This Row],[venc]]="venc",Tabla2[[#This Row],[Columna1]]="por pagar"),"vencida","no")</f>
        <v>no</v>
      </c>
    </row>
    <row r="828" spans="1:23" x14ac:dyDescent="0.3">
      <c r="A828">
        <v>90</v>
      </c>
      <c r="B828">
        <v>0</v>
      </c>
      <c r="D828" t="s">
        <v>139</v>
      </c>
      <c r="E828" s="156">
        <v>44567</v>
      </c>
      <c r="F828" t="s">
        <v>657</v>
      </c>
      <c r="G828" s="156">
        <v>44166</v>
      </c>
      <c r="I828">
        <v>47205435</v>
      </c>
      <c r="K828">
        <v>0</v>
      </c>
      <c r="M828">
        <v>0</v>
      </c>
      <c r="N828">
        <v>0</v>
      </c>
      <c r="O828">
        <v>0</v>
      </c>
      <c r="P828" s="117">
        <v>47205435</v>
      </c>
      <c r="Q828" s="117" t="s">
        <v>1021</v>
      </c>
      <c r="R828" s="150">
        <v>0</v>
      </c>
      <c r="S828" s="117" t="b">
        <f>OR(COUNTIF(Tabla2[[#This Row],[PROVEEDOR]],"*"&amp;'Palabra no opera'!$A$2&amp;"*"))</f>
        <v>0</v>
      </c>
      <c r="T828" s="150">
        <f>+$W$5-Tabla2[[#This Row],[FECHA DE FACTURACIÓN]]</f>
        <v>668</v>
      </c>
      <c r="U828" t="str">
        <f>+IF(Tabla2[[#This Row],[dias de credito]]&gt;=Tabla2[[#This Row],[PLAZO Días]],"venc", "No venc")</f>
        <v>venc</v>
      </c>
      <c r="V828" t="str">
        <f>+IF(Tabla2[[#This Row],[FECHA DE PAGO]]&gt;0,"pagada","por pagar")</f>
        <v>pagada</v>
      </c>
      <c r="W828" s="152" t="str">
        <f>+IF(AND(Tabla2[[#This Row],[venc]]="venc",Tabla2[[#This Row],[Columna1]]="por pagar"),"vencida","no")</f>
        <v>no</v>
      </c>
    </row>
    <row r="829" spans="1:23" x14ac:dyDescent="0.3">
      <c r="A829">
        <v>30</v>
      </c>
      <c r="B829">
        <v>0</v>
      </c>
      <c r="D829" t="s">
        <v>139</v>
      </c>
      <c r="E829" s="156">
        <v>44565</v>
      </c>
      <c r="F829" t="s">
        <v>37</v>
      </c>
      <c r="G829" s="156">
        <v>44565</v>
      </c>
      <c r="H829">
        <v>13042</v>
      </c>
      <c r="I829">
        <v>42840</v>
      </c>
      <c r="K829">
        <v>8139.6</v>
      </c>
      <c r="M829">
        <v>0</v>
      </c>
      <c r="N829">
        <v>0</v>
      </c>
      <c r="O829">
        <v>0</v>
      </c>
      <c r="P829" s="117">
        <v>50979.6</v>
      </c>
      <c r="Q829" s="117" t="s">
        <v>1021</v>
      </c>
      <c r="R829" s="150">
        <v>0</v>
      </c>
      <c r="S829" s="117" t="b">
        <f>OR(COUNTIF(Tabla2[[#This Row],[PROVEEDOR]],"*"&amp;'Palabra no opera'!$A$2&amp;"*"))</f>
        <v>0</v>
      </c>
      <c r="T829" s="150">
        <f>+$W$5-Tabla2[[#This Row],[FECHA DE FACTURACIÓN]]</f>
        <v>269</v>
      </c>
      <c r="U829" t="str">
        <f>+IF(Tabla2[[#This Row],[dias de credito]]&gt;=Tabla2[[#This Row],[PLAZO Días]],"venc", "No venc")</f>
        <v>venc</v>
      </c>
      <c r="V829" t="str">
        <f>+IF(Tabla2[[#This Row],[FECHA DE PAGO]]&gt;0,"pagada","por pagar")</f>
        <v>pagada</v>
      </c>
      <c r="W829" s="152" t="str">
        <f>+IF(AND(Tabla2[[#This Row],[venc]]="venc",Tabla2[[#This Row],[Columna1]]="por pagar"),"vencida","no")</f>
        <v>no</v>
      </c>
    </row>
    <row r="830" spans="1:23" x14ac:dyDescent="0.3">
      <c r="A830">
        <v>30</v>
      </c>
      <c r="B830">
        <v>0</v>
      </c>
      <c r="D830" t="s">
        <v>139</v>
      </c>
      <c r="E830" s="156">
        <v>44565</v>
      </c>
      <c r="F830" t="s">
        <v>695</v>
      </c>
      <c r="G830" s="156">
        <v>44531</v>
      </c>
      <c r="H830" t="s">
        <v>576</v>
      </c>
      <c r="I830">
        <v>304800</v>
      </c>
      <c r="K830">
        <v>0</v>
      </c>
      <c r="M830">
        <v>0</v>
      </c>
      <c r="N830">
        <v>0</v>
      </c>
      <c r="O830">
        <v>0</v>
      </c>
      <c r="P830" s="117">
        <v>304800</v>
      </c>
      <c r="Q830" s="117" t="s">
        <v>1021</v>
      </c>
      <c r="R830" s="150">
        <v>0</v>
      </c>
      <c r="S830" s="117" t="b">
        <f>OR(COUNTIF(Tabla2[[#This Row],[PROVEEDOR]],"*"&amp;'Palabra no opera'!$A$2&amp;"*"))</f>
        <v>0</v>
      </c>
      <c r="T830" s="150">
        <f>+$W$5-Tabla2[[#This Row],[FECHA DE FACTURACIÓN]]</f>
        <v>303</v>
      </c>
      <c r="U830" t="str">
        <f>+IF(Tabla2[[#This Row],[dias de credito]]&gt;=Tabla2[[#This Row],[PLAZO Días]],"venc", "No venc")</f>
        <v>venc</v>
      </c>
      <c r="V830" t="str">
        <f>+IF(Tabla2[[#This Row],[FECHA DE PAGO]]&gt;0,"pagada","por pagar")</f>
        <v>pagada</v>
      </c>
      <c r="W830" s="152" t="str">
        <f>+IF(AND(Tabla2[[#This Row],[venc]]="venc",Tabla2[[#This Row],[Columna1]]="por pagar"),"vencida","no")</f>
        <v>no</v>
      </c>
    </row>
    <row r="831" spans="1:23" x14ac:dyDescent="0.3">
      <c r="A831">
        <v>30</v>
      </c>
      <c r="B831">
        <v>0</v>
      </c>
      <c r="D831" t="s">
        <v>139</v>
      </c>
      <c r="E831" s="156">
        <v>44562</v>
      </c>
      <c r="F831" t="s">
        <v>638</v>
      </c>
      <c r="G831" s="156">
        <v>44562</v>
      </c>
      <c r="H831" t="s">
        <v>1368</v>
      </c>
      <c r="I831">
        <v>693200</v>
      </c>
      <c r="K831">
        <v>0</v>
      </c>
      <c r="M831">
        <v>0</v>
      </c>
      <c r="N831">
        <v>0</v>
      </c>
      <c r="O831">
        <v>0</v>
      </c>
      <c r="P831" s="117">
        <v>693200</v>
      </c>
      <c r="Q831" s="117" t="s">
        <v>1021</v>
      </c>
      <c r="R831" s="150">
        <v>0</v>
      </c>
      <c r="S831" s="117" t="b">
        <f>OR(COUNTIF(Tabla2[[#This Row],[PROVEEDOR]],"*"&amp;'Palabra no opera'!$A$2&amp;"*"))</f>
        <v>0</v>
      </c>
      <c r="T831" s="150">
        <f>+$W$5-Tabla2[[#This Row],[FECHA DE FACTURACIÓN]]</f>
        <v>272</v>
      </c>
      <c r="U831" t="str">
        <f>+IF(Tabla2[[#This Row],[dias de credito]]&gt;=Tabla2[[#This Row],[PLAZO Días]],"venc", "No venc")</f>
        <v>venc</v>
      </c>
      <c r="V831" t="str">
        <f>+IF(Tabla2[[#This Row],[FECHA DE PAGO]]&gt;0,"pagada","por pagar")</f>
        <v>pagada</v>
      </c>
      <c r="W831" s="152" t="str">
        <f>+IF(AND(Tabla2[[#This Row],[venc]]="venc",Tabla2[[#This Row],[Columna1]]="por pagar"),"vencida","no")</f>
        <v>no</v>
      </c>
    </row>
    <row r="832" spans="1:23" x14ac:dyDescent="0.3">
      <c r="A832">
        <v>30</v>
      </c>
      <c r="B832">
        <v>0</v>
      </c>
      <c r="D832" t="s">
        <v>257</v>
      </c>
      <c r="E832" s="156">
        <v>44562</v>
      </c>
      <c r="F832" t="s">
        <v>34</v>
      </c>
      <c r="G832" s="156">
        <v>44433</v>
      </c>
      <c r="H832" t="s">
        <v>434</v>
      </c>
      <c r="I832">
        <v>0</v>
      </c>
      <c r="K832">
        <v>0</v>
      </c>
      <c r="M832">
        <v>0</v>
      </c>
      <c r="N832">
        <v>0</v>
      </c>
      <c r="O832">
        <v>0</v>
      </c>
      <c r="P832" s="117">
        <v>-12185</v>
      </c>
      <c r="Q832" s="117" t="s">
        <v>1021</v>
      </c>
      <c r="R832" s="150">
        <v>0</v>
      </c>
      <c r="S832" s="117" t="b">
        <f>OR(COUNTIF(Tabla2[[#This Row],[PROVEEDOR]],"*"&amp;'Palabra no opera'!$A$2&amp;"*"))</f>
        <v>0</v>
      </c>
      <c r="T832" s="150">
        <f>+$W$5-Tabla2[[#This Row],[FECHA DE FACTURACIÓN]]</f>
        <v>401</v>
      </c>
      <c r="U832" t="str">
        <f>+IF(Tabla2[[#This Row],[dias de credito]]&gt;=Tabla2[[#This Row],[PLAZO Días]],"venc", "No venc")</f>
        <v>venc</v>
      </c>
      <c r="V832" t="str">
        <f>+IF(Tabla2[[#This Row],[FECHA DE PAGO]]&gt;0,"pagada","por pagar")</f>
        <v>pagada</v>
      </c>
      <c r="W832" s="152" t="str">
        <f>+IF(AND(Tabla2[[#This Row],[venc]]="venc",Tabla2[[#This Row],[Columna1]]="por pagar"),"vencida","no")</f>
        <v>no</v>
      </c>
    </row>
    <row r="833" spans="1:23" x14ac:dyDescent="0.3">
      <c r="A833">
        <v>30</v>
      </c>
      <c r="B833">
        <v>0</v>
      </c>
      <c r="D833" t="s">
        <v>139</v>
      </c>
      <c r="E833" s="156">
        <v>44561</v>
      </c>
      <c r="F833" t="s">
        <v>644</v>
      </c>
      <c r="G833" s="156">
        <v>44561</v>
      </c>
      <c r="H833" t="s">
        <v>596</v>
      </c>
      <c r="I833">
        <v>30000</v>
      </c>
      <c r="K833">
        <v>0</v>
      </c>
      <c r="M833">
        <v>0</v>
      </c>
      <c r="N833">
        <v>0</v>
      </c>
      <c r="O833">
        <v>0</v>
      </c>
      <c r="P833" s="117">
        <v>30000</v>
      </c>
      <c r="Q833" s="117" t="s">
        <v>1021</v>
      </c>
      <c r="R833" s="150">
        <v>0</v>
      </c>
      <c r="S833" s="117" t="b">
        <f>OR(COUNTIF(Tabla2[[#This Row],[PROVEEDOR]],"*"&amp;'Palabra no opera'!$A$2&amp;"*"))</f>
        <v>0</v>
      </c>
      <c r="T833" s="150">
        <f>+$W$5-Tabla2[[#This Row],[FECHA DE FACTURACIÓN]]</f>
        <v>273</v>
      </c>
      <c r="U833" t="str">
        <f>+IF(Tabla2[[#This Row],[dias de credito]]&gt;=Tabla2[[#This Row],[PLAZO Días]],"venc", "No venc")</f>
        <v>venc</v>
      </c>
      <c r="V833" t="str">
        <f>+IF(Tabla2[[#This Row],[FECHA DE PAGO]]&gt;0,"pagada","por pagar")</f>
        <v>pagada</v>
      </c>
      <c r="W833" s="152" t="str">
        <f>+IF(AND(Tabla2[[#This Row],[venc]]="venc",Tabla2[[#This Row],[Columna1]]="por pagar"),"vencida","no")</f>
        <v>no</v>
      </c>
    </row>
    <row r="834" spans="1:23" x14ac:dyDescent="0.3">
      <c r="A834">
        <v>30</v>
      </c>
      <c r="B834">
        <v>0</v>
      </c>
      <c r="D834" t="s">
        <v>139</v>
      </c>
      <c r="E834" s="156">
        <v>44561</v>
      </c>
      <c r="F834" t="s">
        <v>644</v>
      </c>
      <c r="G834" s="156">
        <v>44561</v>
      </c>
      <c r="H834" t="s">
        <v>1350</v>
      </c>
      <c r="I834">
        <v>300800</v>
      </c>
      <c r="K834">
        <v>0</v>
      </c>
      <c r="M834">
        <v>0</v>
      </c>
      <c r="N834">
        <v>0</v>
      </c>
      <c r="O834">
        <v>0</v>
      </c>
      <c r="P834" s="117">
        <v>300800</v>
      </c>
      <c r="Q834" s="117" t="s">
        <v>1021</v>
      </c>
      <c r="R834" s="150">
        <v>0</v>
      </c>
      <c r="S834" s="117" t="b">
        <f>OR(COUNTIF(Tabla2[[#This Row],[PROVEEDOR]],"*"&amp;'Palabra no opera'!$A$2&amp;"*"))</f>
        <v>0</v>
      </c>
      <c r="T834" s="150">
        <f>+$W$5-Tabla2[[#This Row],[FECHA DE FACTURACIÓN]]</f>
        <v>273</v>
      </c>
      <c r="U834" t="str">
        <f>+IF(Tabla2[[#This Row],[dias de credito]]&gt;=Tabla2[[#This Row],[PLAZO Días]],"venc", "No venc")</f>
        <v>venc</v>
      </c>
      <c r="V834" t="str">
        <f>+IF(Tabla2[[#This Row],[FECHA DE PAGO]]&gt;0,"pagada","por pagar")</f>
        <v>pagada</v>
      </c>
      <c r="W834" s="152" t="str">
        <f>+IF(AND(Tabla2[[#This Row],[venc]]="venc",Tabla2[[#This Row],[Columna1]]="por pagar"),"vencida","no")</f>
        <v>no</v>
      </c>
    </row>
    <row r="835" spans="1:23" x14ac:dyDescent="0.3">
      <c r="A835">
        <v>30</v>
      </c>
      <c r="B835">
        <v>0</v>
      </c>
      <c r="D835" t="s">
        <v>139</v>
      </c>
      <c r="E835" s="156">
        <v>44561</v>
      </c>
      <c r="F835" t="s">
        <v>644</v>
      </c>
      <c r="G835" s="156">
        <v>44561</v>
      </c>
      <c r="H835" t="s">
        <v>598</v>
      </c>
      <c r="I835">
        <v>702500</v>
      </c>
      <c r="K835">
        <v>0</v>
      </c>
      <c r="M835">
        <v>0</v>
      </c>
      <c r="N835">
        <v>0</v>
      </c>
      <c r="O835">
        <v>0</v>
      </c>
      <c r="P835" s="117">
        <v>702500</v>
      </c>
      <c r="Q835" s="117" t="s">
        <v>1021</v>
      </c>
      <c r="R835" s="150">
        <v>0</v>
      </c>
      <c r="S835" s="117" t="b">
        <f>OR(COUNTIF(Tabla2[[#This Row],[PROVEEDOR]],"*"&amp;'Palabra no opera'!$A$2&amp;"*"))</f>
        <v>0</v>
      </c>
      <c r="T835" s="150">
        <f>+$W$5-Tabla2[[#This Row],[FECHA DE FACTURACIÓN]]</f>
        <v>273</v>
      </c>
      <c r="U835" t="str">
        <f>+IF(Tabla2[[#This Row],[dias de credito]]&gt;=Tabla2[[#This Row],[PLAZO Días]],"venc", "No venc")</f>
        <v>venc</v>
      </c>
      <c r="V835" t="str">
        <f>+IF(Tabla2[[#This Row],[FECHA DE PAGO]]&gt;0,"pagada","por pagar")</f>
        <v>pagada</v>
      </c>
      <c r="W835" s="152" t="str">
        <f>+IF(AND(Tabla2[[#This Row],[venc]]="venc",Tabla2[[#This Row],[Columna1]]="por pagar"),"vencida","no")</f>
        <v>no</v>
      </c>
    </row>
    <row r="836" spans="1:23" x14ac:dyDescent="0.3">
      <c r="A836">
        <v>30</v>
      </c>
      <c r="B836">
        <v>0</v>
      </c>
      <c r="D836" t="s">
        <v>139</v>
      </c>
      <c r="E836" s="156">
        <v>44561</v>
      </c>
      <c r="F836" t="s">
        <v>644</v>
      </c>
      <c r="G836" s="156">
        <v>44561</v>
      </c>
      <c r="H836" t="s">
        <v>174</v>
      </c>
      <c r="I836">
        <v>784600</v>
      </c>
      <c r="K836">
        <v>0</v>
      </c>
      <c r="M836">
        <v>0</v>
      </c>
      <c r="N836">
        <v>0</v>
      </c>
      <c r="O836">
        <v>0</v>
      </c>
      <c r="P836" s="117">
        <v>784600</v>
      </c>
      <c r="Q836" s="117" t="s">
        <v>1021</v>
      </c>
      <c r="R836" s="150">
        <v>0</v>
      </c>
      <c r="S836" s="117" t="b">
        <f>OR(COUNTIF(Tabla2[[#This Row],[PROVEEDOR]],"*"&amp;'Palabra no opera'!$A$2&amp;"*"))</f>
        <v>0</v>
      </c>
      <c r="T836" s="150">
        <f>+$W$5-Tabla2[[#This Row],[FECHA DE FACTURACIÓN]]</f>
        <v>273</v>
      </c>
      <c r="U836" t="str">
        <f>+IF(Tabla2[[#This Row],[dias de credito]]&gt;=Tabla2[[#This Row],[PLAZO Días]],"venc", "No venc")</f>
        <v>venc</v>
      </c>
      <c r="V836" t="str">
        <f>+IF(Tabla2[[#This Row],[FECHA DE PAGO]]&gt;0,"pagada","por pagar")</f>
        <v>pagada</v>
      </c>
      <c r="W836" s="152" t="str">
        <f>+IF(AND(Tabla2[[#This Row],[venc]]="venc",Tabla2[[#This Row],[Columna1]]="por pagar"),"vencida","no")</f>
        <v>no</v>
      </c>
    </row>
    <row r="837" spans="1:23" x14ac:dyDescent="0.3">
      <c r="A837">
        <v>30</v>
      </c>
      <c r="B837">
        <v>0</v>
      </c>
      <c r="D837" t="s">
        <v>139</v>
      </c>
      <c r="E837" s="156">
        <v>44561</v>
      </c>
      <c r="F837" t="s">
        <v>644</v>
      </c>
      <c r="G837" s="156">
        <v>44561</v>
      </c>
      <c r="H837" t="s">
        <v>597</v>
      </c>
      <c r="I837">
        <v>922000</v>
      </c>
      <c r="K837">
        <v>0</v>
      </c>
      <c r="M837">
        <v>0</v>
      </c>
      <c r="N837">
        <v>0</v>
      </c>
      <c r="O837">
        <v>0</v>
      </c>
      <c r="P837" s="117">
        <v>922000</v>
      </c>
      <c r="Q837" s="117" t="s">
        <v>1021</v>
      </c>
      <c r="R837" s="150">
        <v>0</v>
      </c>
      <c r="S837" s="117" t="b">
        <f>OR(COUNTIF(Tabla2[[#This Row],[PROVEEDOR]],"*"&amp;'Palabra no opera'!$A$2&amp;"*"))</f>
        <v>0</v>
      </c>
      <c r="T837" s="150">
        <f>+$W$5-Tabla2[[#This Row],[FECHA DE FACTURACIÓN]]</f>
        <v>273</v>
      </c>
      <c r="U837" t="str">
        <f>+IF(Tabla2[[#This Row],[dias de credito]]&gt;=Tabla2[[#This Row],[PLAZO Días]],"venc", "No venc")</f>
        <v>venc</v>
      </c>
      <c r="V837" t="str">
        <f>+IF(Tabla2[[#This Row],[FECHA DE PAGO]]&gt;0,"pagada","por pagar")</f>
        <v>pagada</v>
      </c>
      <c r="W837" s="152" t="str">
        <f>+IF(AND(Tabla2[[#This Row],[venc]]="venc",Tabla2[[#This Row],[Columna1]]="por pagar"),"vencida","no")</f>
        <v>no</v>
      </c>
    </row>
    <row r="838" spans="1:23" x14ac:dyDescent="0.3">
      <c r="A838">
        <v>30</v>
      </c>
      <c r="B838">
        <v>0</v>
      </c>
      <c r="D838" t="s">
        <v>139</v>
      </c>
      <c r="E838" s="156">
        <v>44561</v>
      </c>
      <c r="F838" t="s">
        <v>644</v>
      </c>
      <c r="G838" s="156">
        <v>44561</v>
      </c>
      <c r="H838" t="s">
        <v>595</v>
      </c>
      <c r="I838">
        <v>4909000</v>
      </c>
      <c r="K838">
        <v>0</v>
      </c>
      <c r="M838">
        <v>0</v>
      </c>
      <c r="N838">
        <v>0</v>
      </c>
      <c r="O838">
        <v>0</v>
      </c>
      <c r="P838" s="117">
        <v>4909000</v>
      </c>
      <c r="Q838" s="117" t="s">
        <v>1021</v>
      </c>
      <c r="R838" s="150">
        <v>0</v>
      </c>
      <c r="S838" s="117" t="b">
        <f>OR(COUNTIF(Tabla2[[#This Row],[PROVEEDOR]],"*"&amp;'Palabra no opera'!$A$2&amp;"*"))</f>
        <v>0</v>
      </c>
      <c r="T838" s="150">
        <f>+$W$5-Tabla2[[#This Row],[FECHA DE FACTURACIÓN]]</f>
        <v>273</v>
      </c>
      <c r="U838" t="str">
        <f>+IF(Tabla2[[#This Row],[dias de credito]]&gt;=Tabla2[[#This Row],[PLAZO Días]],"venc", "No venc")</f>
        <v>venc</v>
      </c>
      <c r="V838" t="str">
        <f>+IF(Tabla2[[#This Row],[FECHA DE PAGO]]&gt;0,"pagada","por pagar")</f>
        <v>pagada</v>
      </c>
      <c r="W838" s="152" t="str">
        <f>+IF(AND(Tabla2[[#This Row],[venc]]="venc",Tabla2[[#This Row],[Columna1]]="por pagar"),"vencida","no")</f>
        <v>no</v>
      </c>
    </row>
    <row r="839" spans="1:23" x14ac:dyDescent="0.3">
      <c r="A839">
        <v>30</v>
      </c>
      <c r="B839">
        <v>0</v>
      </c>
      <c r="D839" t="s">
        <v>139</v>
      </c>
      <c r="E839" s="156">
        <v>44561</v>
      </c>
      <c r="F839" t="s">
        <v>666</v>
      </c>
      <c r="G839" s="156">
        <v>44544</v>
      </c>
      <c r="H839" t="s">
        <v>1361</v>
      </c>
      <c r="I839">
        <v>96000</v>
      </c>
      <c r="K839">
        <v>0</v>
      </c>
      <c r="M839">
        <v>0</v>
      </c>
      <c r="N839">
        <v>0</v>
      </c>
      <c r="O839">
        <v>0</v>
      </c>
      <c r="P839" s="117">
        <v>96000</v>
      </c>
      <c r="Q839" s="117" t="s">
        <v>1021</v>
      </c>
      <c r="R839" s="150">
        <v>0</v>
      </c>
      <c r="S839" s="117" t="b">
        <f>OR(COUNTIF(Tabla2[[#This Row],[PROVEEDOR]],"*"&amp;'Palabra no opera'!$A$2&amp;"*"))</f>
        <v>0</v>
      </c>
      <c r="T839" s="150">
        <f>+$W$5-Tabla2[[#This Row],[FECHA DE FACTURACIÓN]]</f>
        <v>290</v>
      </c>
      <c r="U839" t="str">
        <f>+IF(Tabla2[[#This Row],[dias de credito]]&gt;=Tabla2[[#This Row],[PLAZO Días]],"venc", "No venc")</f>
        <v>venc</v>
      </c>
      <c r="V839" t="str">
        <f>+IF(Tabla2[[#This Row],[FECHA DE PAGO]]&gt;0,"pagada","por pagar")</f>
        <v>pagada</v>
      </c>
      <c r="W839" s="152" t="str">
        <f>+IF(AND(Tabla2[[#This Row],[venc]]="venc",Tabla2[[#This Row],[Columna1]]="por pagar"),"vencida","no")</f>
        <v>no</v>
      </c>
    </row>
    <row r="840" spans="1:23" x14ac:dyDescent="0.3">
      <c r="A840">
        <v>90</v>
      </c>
      <c r="B840">
        <v>124999.98</v>
      </c>
      <c r="D840" t="s">
        <v>260</v>
      </c>
      <c r="E840" s="156">
        <v>44561</v>
      </c>
      <c r="F840" t="s">
        <v>77</v>
      </c>
      <c r="G840" s="156">
        <v>44511</v>
      </c>
      <c r="H840" t="s">
        <v>538</v>
      </c>
      <c r="I840">
        <v>34382322</v>
      </c>
      <c r="K840">
        <v>6532641.1799999997</v>
      </c>
      <c r="L840">
        <v>0.06</v>
      </c>
      <c r="M840">
        <v>2062939.3199999998</v>
      </c>
      <c r="N840">
        <v>2.5000000000000001E-2</v>
      </c>
      <c r="O840">
        <v>859558.05</v>
      </c>
      <c r="P840" s="117">
        <v>37992465.810000002</v>
      </c>
      <c r="Q840" s="117" t="s">
        <v>1021</v>
      </c>
      <c r="R840" s="150">
        <v>0</v>
      </c>
      <c r="S840" s="117" t="b">
        <f>OR(COUNTIF(Tabla2[[#This Row],[PROVEEDOR]],"*"&amp;'Palabra no opera'!$A$2&amp;"*"))</f>
        <v>0</v>
      </c>
      <c r="T840" s="150">
        <f>+$W$5-Tabla2[[#This Row],[FECHA DE FACTURACIÓN]]</f>
        <v>323</v>
      </c>
      <c r="U840" t="str">
        <f>+IF(Tabla2[[#This Row],[dias de credito]]&gt;=Tabla2[[#This Row],[PLAZO Días]],"venc", "No venc")</f>
        <v>venc</v>
      </c>
      <c r="V840" t="str">
        <f>+IF(Tabla2[[#This Row],[FECHA DE PAGO]]&gt;0,"pagada","por pagar")</f>
        <v>pagada</v>
      </c>
      <c r="W840" s="152" t="str">
        <f>+IF(AND(Tabla2[[#This Row],[venc]]="venc",Tabla2[[#This Row],[Columna1]]="por pagar"),"vencida","no")</f>
        <v>no</v>
      </c>
    </row>
    <row r="841" spans="1:23" x14ac:dyDescent="0.3">
      <c r="A841">
        <v>18</v>
      </c>
      <c r="B841">
        <v>0</v>
      </c>
      <c r="D841" t="s">
        <v>265</v>
      </c>
      <c r="E841" s="156">
        <v>44561</v>
      </c>
      <c r="F841" t="s">
        <v>924</v>
      </c>
      <c r="G841" s="156">
        <v>44431</v>
      </c>
      <c r="H841" t="s">
        <v>67</v>
      </c>
      <c r="I841">
        <v>-1300000</v>
      </c>
      <c r="K841">
        <v>0</v>
      </c>
      <c r="M841">
        <v>0</v>
      </c>
      <c r="N841">
        <v>0</v>
      </c>
      <c r="O841">
        <v>0</v>
      </c>
      <c r="P841" s="117">
        <v>-1300000</v>
      </c>
      <c r="Q841" s="117" t="s">
        <v>1021</v>
      </c>
      <c r="R841" s="150">
        <v>0</v>
      </c>
      <c r="S841" s="117" t="b">
        <f>OR(COUNTIF(Tabla2[[#This Row],[PROVEEDOR]],"*"&amp;'Palabra no opera'!$A$2&amp;"*"))</f>
        <v>1</v>
      </c>
      <c r="T841" s="150">
        <f>+$W$5-Tabla2[[#This Row],[FECHA DE FACTURACIÓN]]</f>
        <v>403</v>
      </c>
      <c r="U841" t="str">
        <f>+IF(Tabla2[[#This Row],[dias de credito]]&gt;=Tabla2[[#This Row],[PLAZO Días]],"venc", "No venc")</f>
        <v>venc</v>
      </c>
      <c r="V841" t="str">
        <f>+IF(Tabla2[[#This Row],[FECHA DE PAGO]]&gt;0,"pagada","por pagar")</f>
        <v>pagada</v>
      </c>
      <c r="W841" s="152" t="str">
        <f>+IF(AND(Tabla2[[#This Row],[venc]]="venc",Tabla2[[#This Row],[Columna1]]="por pagar"),"vencida","no")</f>
        <v>no</v>
      </c>
    </row>
    <row r="842" spans="1:23" x14ac:dyDescent="0.3">
      <c r="A842">
        <v>30</v>
      </c>
      <c r="B842">
        <v>450000</v>
      </c>
      <c r="D842" t="s">
        <v>291</v>
      </c>
      <c r="E842" s="156">
        <v>44560</v>
      </c>
      <c r="F842" t="s">
        <v>685</v>
      </c>
      <c r="G842" s="156">
        <v>44560</v>
      </c>
      <c r="H842" t="s">
        <v>1551</v>
      </c>
      <c r="I842">
        <v>-1924000</v>
      </c>
      <c r="K842">
        <v>0</v>
      </c>
      <c r="M842">
        <v>0</v>
      </c>
      <c r="N842">
        <v>0</v>
      </c>
      <c r="O842">
        <v>0</v>
      </c>
      <c r="P842" s="117">
        <v>-1924000</v>
      </c>
      <c r="Q842" s="117" t="s">
        <v>1021</v>
      </c>
      <c r="R842" s="150">
        <v>0</v>
      </c>
      <c r="S842" s="117" t="b">
        <f>OR(COUNTIF(Tabla2[[#This Row],[PROVEEDOR]],"*"&amp;'Palabra no opera'!$A$2&amp;"*"))</f>
        <v>0</v>
      </c>
      <c r="T842" s="150">
        <f>+$W$5-Tabla2[[#This Row],[FECHA DE FACTURACIÓN]]</f>
        <v>274</v>
      </c>
      <c r="U842" t="str">
        <f>+IF(Tabla2[[#This Row],[dias de credito]]&gt;=Tabla2[[#This Row],[PLAZO Días]],"venc", "No venc")</f>
        <v>venc</v>
      </c>
      <c r="V842" t="str">
        <f>+IF(Tabla2[[#This Row],[FECHA DE PAGO]]&gt;0,"pagada","por pagar")</f>
        <v>pagada</v>
      </c>
      <c r="W842" s="152" t="str">
        <f>+IF(AND(Tabla2[[#This Row],[venc]]="venc",Tabla2[[#This Row],[Columna1]]="por pagar"),"vencida","no")</f>
        <v>no</v>
      </c>
    </row>
    <row r="843" spans="1:23" x14ac:dyDescent="0.3">
      <c r="A843">
        <v>30</v>
      </c>
      <c r="B843">
        <v>450000</v>
      </c>
      <c r="D843" t="s">
        <v>291</v>
      </c>
      <c r="E843" s="156">
        <v>44560</v>
      </c>
      <c r="F843" t="s">
        <v>685</v>
      </c>
      <c r="G843" s="156">
        <v>44557</v>
      </c>
      <c r="H843" t="s">
        <v>1551</v>
      </c>
      <c r="I843">
        <v>-1100000</v>
      </c>
      <c r="K843">
        <v>0</v>
      </c>
      <c r="M843">
        <v>0</v>
      </c>
      <c r="N843">
        <v>0</v>
      </c>
      <c r="O843">
        <v>0</v>
      </c>
      <c r="P843" s="117">
        <v>-1100000</v>
      </c>
      <c r="Q843" s="117" t="s">
        <v>1021</v>
      </c>
      <c r="R843" s="150">
        <v>0</v>
      </c>
      <c r="S843" s="117" t="b">
        <f>OR(COUNTIF(Tabla2[[#This Row],[PROVEEDOR]],"*"&amp;'Palabra no opera'!$A$2&amp;"*"))</f>
        <v>0</v>
      </c>
      <c r="T843" s="150">
        <f>+$W$5-Tabla2[[#This Row],[FECHA DE FACTURACIÓN]]</f>
        <v>277</v>
      </c>
      <c r="U843" t="str">
        <f>+IF(Tabla2[[#This Row],[dias de credito]]&gt;=Tabla2[[#This Row],[PLAZO Días]],"venc", "No venc")</f>
        <v>venc</v>
      </c>
      <c r="V843" t="str">
        <f>+IF(Tabla2[[#This Row],[FECHA DE PAGO]]&gt;0,"pagada","por pagar")</f>
        <v>pagada</v>
      </c>
      <c r="W843" s="152" t="str">
        <f>+IF(AND(Tabla2[[#This Row],[venc]]="venc",Tabla2[[#This Row],[Columna1]]="por pagar"),"vencida","no")</f>
        <v>no</v>
      </c>
    </row>
    <row r="844" spans="1:23" x14ac:dyDescent="0.3">
      <c r="A844">
        <v>30</v>
      </c>
      <c r="B844">
        <v>450000</v>
      </c>
      <c r="D844" t="s">
        <v>291</v>
      </c>
      <c r="E844" s="156">
        <v>44560</v>
      </c>
      <c r="F844" t="s">
        <v>685</v>
      </c>
      <c r="G844" s="156">
        <v>44515</v>
      </c>
      <c r="H844" t="s">
        <v>1294</v>
      </c>
      <c r="I844">
        <v>2000000</v>
      </c>
      <c r="K844">
        <v>0</v>
      </c>
      <c r="M844">
        <v>0</v>
      </c>
      <c r="N844">
        <v>0</v>
      </c>
      <c r="O844">
        <v>0</v>
      </c>
      <c r="P844" s="117">
        <v>2000000</v>
      </c>
      <c r="Q844" s="117" t="s">
        <v>1021</v>
      </c>
      <c r="R844" s="150">
        <v>0</v>
      </c>
      <c r="S844" s="117" t="b">
        <f>OR(COUNTIF(Tabla2[[#This Row],[PROVEEDOR]],"*"&amp;'Palabra no opera'!$A$2&amp;"*"))</f>
        <v>0</v>
      </c>
      <c r="T844" s="150">
        <f>+$W$5-Tabla2[[#This Row],[FECHA DE FACTURACIÓN]]</f>
        <v>319</v>
      </c>
      <c r="U844" t="str">
        <f>+IF(Tabla2[[#This Row],[dias de credito]]&gt;=Tabla2[[#This Row],[PLAZO Días]],"venc", "No venc")</f>
        <v>venc</v>
      </c>
      <c r="V844" t="str">
        <f>+IF(Tabla2[[#This Row],[FECHA DE PAGO]]&gt;0,"pagada","por pagar")</f>
        <v>pagada</v>
      </c>
      <c r="W844" s="152" t="str">
        <f>+IF(AND(Tabla2[[#This Row],[venc]]="venc",Tabla2[[#This Row],[Columna1]]="por pagar"),"vencida","no")</f>
        <v>no</v>
      </c>
    </row>
    <row r="845" spans="1:23" x14ac:dyDescent="0.3">
      <c r="A845">
        <v>30</v>
      </c>
      <c r="B845">
        <v>450000</v>
      </c>
      <c r="D845" t="s">
        <v>291</v>
      </c>
      <c r="E845" s="156">
        <v>44560</v>
      </c>
      <c r="F845" t="s">
        <v>685</v>
      </c>
      <c r="G845" s="156">
        <v>44513</v>
      </c>
      <c r="H845" t="s">
        <v>1525</v>
      </c>
      <c r="I845">
        <v>3024000</v>
      </c>
      <c r="K845">
        <v>0</v>
      </c>
      <c r="M845">
        <v>0</v>
      </c>
      <c r="N845">
        <v>0</v>
      </c>
      <c r="O845">
        <v>0</v>
      </c>
      <c r="P845" s="117">
        <v>3024000</v>
      </c>
      <c r="Q845" s="117" t="s">
        <v>1021</v>
      </c>
      <c r="R845" s="150">
        <v>0</v>
      </c>
      <c r="S845" s="117" t="b">
        <f>OR(COUNTIF(Tabla2[[#This Row],[PROVEEDOR]],"*"&amp;'Palabra no opera'!$A$2&amp;"*"))</f>
        <v>0</v>
      </c>
      <c r="T845" s="150">
        <f>+$W$5-Tabla2[[#This Row],[FECHA DE FACTURACIÓN]]</f>
        <v>321</v>
      </c>
      <c r="U845" t="str">
        <f>+IF(Tabla2[[#This Row],[dias de credito]]&gt;=Tabla2[[#This Row],[PLAZO Días]],"venc", "No venc")</f>
        <v>venc</v>
      </c>
      <c r="V845" t="str">
        <f>+IF(Tabla2[[#This Row],[FECHA DE PAGO]]&gt;0,"pagada","por pagar")</f>
        <v>pagada</v>
      </c>
      <c r="W845" s="152" t="str">
        <f>+IF(AND(Tabla2[[#This Row],[venc]]="venc",Tabla2[[#This Row],[Columna1]]="por pagar"),"vencida","no")</f>
        <v>no</v>
      </c>
    </row>
    <row r="846" spans="1:23" x14ac:dyDescent="0.3">
      <c r="A846">
        <v>30</v>
      </c>
      <c r="B846">
        <v>0</v>
      </c>
      <c r="D846" t="s">
        <v>290</v>
      </c>
      <c r="E846" s="156">
        <v>44558</v>
      </c>
      <c r="F846" t="s">
        <v>47</v>
      </c>
      <c r="G846" s="156">
        <v>44541</v>
      </c>
      <c r="H846">
        <v>33923</v>
      </c>
      <c r="I846">
        <v>766609</v>
      </c>
      <c r="K846">
        <v>145655.71</v>
      </c>
      <c r="M846">
        <v>0</v>
      </c>
      <c r="N846">
        <v>0</v>
      </c>
      <c r="O846">
        <v>0</v>
      </c>
      <c r="P846" s="117">
        <v>912264.71</v>
      </c>
      <c r="Q846" s="117" t="s">
        <v>1021</v>
      </c>
      <c r="R846" s="150">
        <v>0</v>
      </c>
      <c r="S846" s="117" t="b">
        <f>OR(COUNTIF(Tabla2[[#This Row],[PROVEEDOR]],"*"&amp;'Palabra no opera'!$A$2&amp;"*"))</f>
        <v>0</v>
      </c>
      <c r="T846" s="150">
        <f>+$W$5-Tabla2[[#This Row],[FECHA DE FACTURACIÓN]]</f>
        <v>293</v>
      </c>
      <c r="U846" t="str">
        <f>+IF(Tabla2[[#This Row],[dias de credito]]&gt;=Tabla2[[#This Row],[PLAZO Días]],"venc", "No venc")</f>
        <v>venc</v>
      </c>
      <c r="V846" t="str">
        <f>+IF(Tabla2[[#This Row],[FECHA DE PAGO]]&gt;0,"pagada","por pagar")</f>
        <v>pagada</v>
      </c>
      <c r="W846" s="152" t="str">
        <f>+IF(AND(Tabla2[[#This Row],[venc]]="venc",Tabla2[[#This Row],[Columna1]]="por pagar"),"vencida","no")</f>
        <v>no</v>
      </c>
    </row>
    <row r="847" spans="1:23" x14ac:dyDescent="0.3">
      <c r="A847">
        <v>30</v>
      </c>
      <c r="B847">
        <v>146262.9</v>
      </c>
      <c r="D847" t="s">
        <v>262</v>
      </c>
      <c r="E847" s="156">
        <v>44558</v>
      </c>
      <c r="F847" t="s">
        <v>17</v>
      </c>
      <c r="G847" s="156">
        <v>44539</v>
      </c>
      <c r="H847">
        <v>1851854</v>
      </c>
      <c r="I847">
        <v>1045000</v>
      </c>
      <c r="K847">
        <v>198550</v>
      </c>
      <c r="M847">
        <v>0</v>
      </c>
      <c r="N847">
        <v>0</v>
      </c>
      <c r="O847">
        <v>0</v>
      </c>
      <c r="P847" s="117">
        <v>1243550</v>
      </c>
      <c r="Q847" s="117" t="s">
        <v>1021</v>
      </c>
      <c r="R847" s="150">
        <v>0</v>
      </c>
      <c r="S847" s="117" t="b">
        <f>OR(COUNTIF(Tabla2[[#This Row],[PROVEEDOR]],"*"&amp;'Palabra no opera'!$A$2&amp;"*"))</f>
        <v>0</v>
      </c>
      <c r="T847" s="150">
        <f>+$W$5-Tabla2[[#This Row],[FECHA DE FACTURACIÓN]]</f>
        <v>295</v>
      </c>
      <c r="U847" t="str">
        <f>+IF(Tabla2[[#This Row],[dias de credito]]&gt;=Tabla2[[#This Row],[PLAZO Días]],"venc", "No venc")</f>
        <v>venc</v>
      </c>
      <c r="V847" t="str">
        <f>+IF(Tabla2[[#This Row],[FECHA DE PAGO]]&gt;0,"pagada","por pagar")</f>
        <v>pagada</v>
      </c>
      <c r="W847" s="152" t="str">
        <f>+IF(AND(Tabla2[[#This Row],[venc]]="venc",Tabla2[[#This Row],[Columna1]]="por pagar"),"vencida","no")</f>
        <v>no</v>
      </c>
    </row>
    <row r="848" spans="1:23" x14ac:dyDescent="0.3">
      <c r="A848">
        <v>30</v>
      </c>
      <c r="B848">
        <v>0</v>
      </c>
      <c r="D848" t="s">
        <v>1653</v>
      </c>
      <c r="E848" s="156">
        <v>44558</v>
      </c>
      <c r="F848" t="s">
        <v>24</v>
      </c>
      <c r="G848" s="156">
        <v>44533</v>
      </c>
      <c r="H848" t="s">
        <v>558</v>
      </c>
      <c r="I848">
        <v>7960000</v>
      </c>
      <c r="K848">
        <v>1512400</v>
      </c>
      <c r="M848">
        <v>0</v>
      </c>
      <c r="N848">
        <v>2.5000000000000001E-2</v>
      </c>
      <c r="O848">
        <v>199000</v>
      </c>
      <c r="P848" s="117">
        <v>9273400</v>
      </c>
      <c r="Q848" s="117" t="s">
        <v>1021</v>
      </c>
      <c r="R848" s="150">
        <v>0</v>
      </c>
      <c r="S848" s="117" t="b">
        <f>OR(COUNTIF(Tabla2[[#This Row],[PROVEEDOR]],"*"&amp;'Palabra no opera'!$A$2&amp;"*"))</f>
        <v>0</v>
      </c>
      <c r="T848" s="150">
        <f>+$W$5-Tabla2[[#This Row],[FECHA DE FACTURACIÓN]]</f>
        <v>301</v>
      </c>
      <c r="U848" t="str">
        <f>+IF(Tabla2[[#This Row],[dias de credito]]&gt;=Tabla2[[#This Row],[PLAZO Días]],"venc", "No venc")</f>
        <v>venc</v>
      </c>
      <c r="V848" t="str">
        <f>+IF(Tabla2[[#This Row],[FECHA DE PAGO]]&gt;0,"pagada","por pagar")</f>
        <v>pagada</v>
      </c>
      <c r="W848" s="152" t="str">
        <f>+IF(AND(Tabla2[[#This Row],[venc]]="venc",Tabla2[[#This Row],[Columna1]]="por pagar"),"vencida","no")</f>
        <v>no</v>
      </c>
    </row>
    <row r="849" spans="1:23" x14ac:dyDescent="0.3">
      <c r="A849">
        <v>30</v>
      </c>
      <c r="B849">
        <v>8457900</v>
      </c>
      <c r="D849" t="s">
        <v>1027</v>
      </c>
      <c r="E849" s="156">
        <v>44558</v>
      </c>
      <c r="F849" t="s">
        <v>11</v>
      </c>
      <c r="G849" s="156">
        <v>44533</v>
      </c>
      <c r="H849" t="s">
        <v>556</v>
      </c>
      <c r="I849">
        <v>4995000</v>
      </c>
      <c r="K849">
        <v>949050</v>
      </c>
      <c r="M849">
        <v>0</v>
      </c>
      <c r="N849">
        <v>2.5000000000000001E-2</v>
      </c>
      <c r="O849">
        <v>124875</v>
      </c>
      <c r="P849" s="117">
        <v>5819175</v>
      </c>
      <c r="Q849" s="117" t="s">
        <v>1021</v>
      </c>
      <c r="R849" s="150">
        <v>0</v>
      </c>
      <c r="S849" s="117" t="b">
        <f>OR(COUNTIF(Tabla2[[#This Row],[PROVEEDOR]],"*"&amp;'Palabra no opera'!$A$2&amp;"*"))</f>
        <v>0</v>
      </c>
      <c r="T849" s="150">
        <f>+$W$5-Tabla2[[#This Row],[FECHA DE FACTURACIÓN]]</f>
        <v>301</v>
      </c>
      <c r="U849" t="str">
        <f>+IF(Tabla2[[#This Row],[dias de credito]]&gt;=Tabla2[[#This Row],[PLAZO Días]],"venc", "No venc")</f>
        <v>venc</v>
      </c>
      <c r="V849" t="str">
        <f>+IF(Tabla2[[#This Row],[FECHA DE PAGO]]&gt;0,"pagada","por pagar")</f>
        <v>pagada</v>
      </c>
      <c r="W849" s="152" t="str">
        <f>+IF(AND(Tabla2[[#This Row],[venc]]="venc",Tabla2[[#This Row],[Columna1]]="por pagar"),"vencida","no")</f>
        <v>no</v>
      </c>
    </row>
    <row r="850" spans="1:23" x14ac:dyDescent="0.3">
      <c r="A850">
        <v>30</v>
      </c>
      <c r="B850">
        <v>19675613.1195</v>
      </c>
      <c r="D850" t="s">
        <v>256</v>
      </c>
      <c r="E850" s="156">
        <v>44558</v>
      </c>
      <c r="F850" t="s">
        <v>18</v>
      </c>
      <c r="G850" s="156">
        <v>44532</v>
      </c>
      <c r="H850">
        <v>1046801</v>
      </c>
      <c r="I850">
        <v>4441621.4400000004</v>
      </c>
      <c r="K850">
        <v>843908.07360000012</v>
      </c>
      <c r="M850">
        <v>0</v>
      </c>
      <c r="N850">
        <v>2.5000000000000001E-2</v>
      </c>
      <c r="O850">
        <v>111040.53600000002</v>
      </c>
      <c r="P850" s="117">
        <v>5174488.9775999999</v>
      </c>
      <c r="Q850" s="117" t="s">
        <v>1021</v>
      </c>
      <c r="R850" s="150">
        <v>0</v>
      </c>
      <c r="S850" s="117" t="b">
        <f>OR(COUNTIF(Tabla2[[#This Row],[PROVEEDOR]],"*"&amp;'Palabra no opera'!$A$2&amp;"*"))</f>
        <v>0</v>
      </c>
      <c r="T850" s="150">
        <f>+$W$5-Tabla2[[#This Row],[FECHA DE FACTURACIÓN]]</f>
        <v>302</v>
      </c>
      <c r="U850" t="str">
        <f>+IF(Tabla2[[#This Row],[dias de credito]]&gt;=Tabla2[[#This Row],[PLAZO Días]],"venc", "No venc")</f>
        <v>venc</v>
      </c>
      <c r="V850" t="str">
        <f>+IF(Tabla2[[#This Row],[FECHA DE PAGO]]&gt;0,"pagada","por pagar")</f>
        <v>pagada</v>
      </c>
      <c r="W850" s="152" t="str">
        <f>+IF(AND(Tabla2[[#This Row],[venc]]="venc",Tabla2[[#This Row],[Columna1]]="por pagar"),"vencida","no")</f>
        <v>no</v>
      </c>
    </row>
    <row r="851" spans="1:23" x14ac:dyDescent="0.3">
      <c r="A851">
        <v>30</v>
      </c>
      <c r="B851">
        <v>19675613.1195</v>
      </c>
      <c r="D851" t="s">
        <v>256</v>
      </c>
      <c r="E851" s="156">
        <v>44558</v>
      </c>
      <c r="F851" t="s">
        <v>18</v>
      </c>
      <c r="G851" s="156">
        <v>44532</v>
      </c>
      <c r="H851">
        <v>1046842</v>
      </c>
      <c r="I851">
        <v>850000</v>
      </c>
      <c r="K851">
        <v>161500</v>
      </c>
      <c r="M851">
        <v>0</v>
      </c>
      <c r="N851">
        <v>0</v>
      </c>
      <c r="O851">
        <v>0</v>
      </c>
      <c r="P851" s="117">
        <v>1011500</v>
      </c>
      <c r="Q851" s="117" t="s">
        <v>1021</v>
      </c>
      <c r="R851" s="150">
        <v>0</v>
      </c>
      <c r="S851" s="117" t="b">
        <f>OR(COUNTIF(Tabla2[[#This Row],[PROVEEDOR]],"*"&amp;'Palabra no opera'!$A$2&amp;"*"))</f>
        <v>0</v>
      </c>
      <c r="T851" s="150">
        <f>+$W$5-Tabla2[[#This Row],[FECHA DE FACTURACIÓN]]</f>
        <v>302</v>
      </c>
      <c r="U851" t="str">
        <f>+IF(Tabla2[[#This Row],[dias de credito]]&gt;=Tabla2[[#This Row],[PLAZO Días]],"venc", "No venc")</f>
        <v>venc</v>
      </c>
      <c r="V851" t="str">
        <f>+IF(Tabla2[[#This Row],[FECHA DE PAGO]]&gt;0,"pagada","por pagar")</f>
        <v>pagada</v>
      </c>
      <c r="W851" s="152" t="str">
        <f>+IF(AND(Tabla2[[#This Row],[venc]]="venc",Tabla2[[#This Row],[Columna1]]="por pagar"),"vencida","no")</f>
        <v>no</v>
      </c>
    </row>
    <row r="852" spans="1:23" x14ac:dyDescent="0.3">
      <c r="A852">
        <v>30</v>
      </c>
      <c r="B852">
        <v>19675613.1195</v>
      </c>
      <c r="D852" t="s">
        <v>256</v>
      </c>
      <c r="E852" s="156">
        <v>44558</v>
      </c>
      <c r="F852" t="s">
        <v>18</v>
      </c>
      <c r="G852" s="156">
        <v>44532</v>
      </c>
      <c r="H852">
        <v>1046843</v>
      </c>
      <c r="I852">
        <v>164571.6</v>
      </c>
      <c r="K852">
        <v>31268.604000000003</v>
      </c>
      <c r="M852">
        <v>0</v>
      </c>
      <c r="N852">
        <v>0</v>
      </c>
      <c r="O852">
        <v>0</v>
      </c>
      <c r="P852" s="117">
        <v>195840.204</v>
      </c>
      <c r="Q852" s="117" t="s">
        <v>1021</v>
      </c>
      <c r="R852" s="150">
        <v>0</v>
      </c>
      <c r="S852" s="117" t="b">
        <f>OR(COUNTIF(Tabla2[[#This Row],[PROVEEDOR]],"*"&amp;'Palabra no opera'!$A$2&amp;"*"))</f>
        <v>0</v>
      </c>
      <c r="T852" s="150">
        <f>+$W$5-Tabla2[[#This Row],[FECHA DE FACTURACIÓN]]</f>
        <v>302</v>
      </c>
      <c r="U852" t="str">
        <f>+IF(Tabla2[[#This Row],[dias de credito]]&gt;=Tabla2[[#This Row],[PLAZO Días]],"venc", "No venc")</f>
        <v>venc</v>
      </c>
      <c r="V852" t="str">
        <f>+IF(Tabla2[[#This Row],[FECHA DE PAGO]]&gt;0,"pagada","por pagar")</f>
        <v>pagada</v>
      </c>
      <c r="W852" s="152" t="str">
        <f>+IF(AND(Tabla2[[#This Row],[venc]]="venc",Tabla2[[#This Row],[Columna1]]="por pagar"),"vencida","no")</f>
        <v>no</v>
      </c>
    </row>
    <row r="853" spans="1:23" x14ac:dyDescent="0.3">
      <c r="A853">
        <v>30</v>
      </c>
      <c r="B853">
        <v>0</v>
      </c>
      <c r="D853" t="s">
        <v>547</v>
      </c>
      <c r="E853" s="156">
        <v>44558</v>
      </c>
      <c r="F853" t="s">
        <v>510</v>
      </c>
      <c r="G853" s="156">
        <v>44530</v>
      </c>
      <c r="H853" t="s">
        <v>549</v>
      </c>
      <c r="I853">
        <v>8804052</v>
      </c>
      <c r="K853">
        <v>1672769.8800000001</v>
      </c>
      <c r="M853">
        <v>0</v>
      </c>
      <c r="N853">
        <v>0</v>
      </c>
      <c r="O853">
        <v>0</v>
      </c>
      <c r="P853" s="117">
        <v>10476821.880000001</v>
      </c>
      <c r="Q853" s="117" t="s">
        <v>1021</v>
      </c>
      <c r="R853" s="150">
        <v>0</v>
      </c>
      <c r="S853" s="117" t="b">
        <f>OR(COUNTIF(Tabla2[[#This Row],[PROVEEDOR]],"*"&amp;'Palabra no opera'!$A$2&amp;"*"))</f>
        <v>0</v>
      </c>
      <c r="T853" s="150">
        <f>+$W$5-Tabla2[[#This Row],[FECHA DE FACTURACIÓN]]</f>
        <v>304</v>
      </c>
      <c r="U853" t="str">
        <f>+IF(Tabla2[[#This Row],[dias de credito]]&gt;=Tabla2[[#This Row],[PLAZO Días]],"venc", "No venc")</f>
        <v>venc</v>
      </c>
      <c r="V853" t="str">
        <f>+IF(Tabla2[[#This Row],[FECHA DE PAGO]]&gt;0,"pagada","por pagar")</f>
        <v>pagada</v>
      </c>
      <c r="W853" s="152" t="str">
        <f>+IF(AND(Tabla2[[#This Row],[venc]]="venc",Tabla2[[#This Row],[Columna1]]="por pagar"),"vencida","no")</f>
        <v>no</v>
      </c>
    </row>
    <row r="854" spans="1:23" x14ac:dyDescent="0.3">
      <c r="A854">
        <v>30</v>
      </c>
      <c r="B854">
        <v>0</v>
      </c>
      <c r="D854" t="s">
        <v>1653</v>
      </c>
      <c r="E854" s="156">
        <v>44558</v>
      </c>
      <c r="F854" t="s">
        <v>24</v>
      </c>
      <c r="G854" s="156">
        <v>44530</v>
      </c>
      <c r="H854" t="s">
        <v>550</v>
      </c>
      <c r="I854">
        <v>710400</v>
      </c>
      <c r="K854">
        <v>134976</v>
      </c>
      <c r="M854">
        <v>0</v>
      </c>
      <c r="N854">
        <v>0</v>
      </c>
      <c r="O854">
        <v>0</v>
      </c>
      <c r="P854" s="117">
        <v>845376</v>
      </c>
      <c r="Q854" s="117" t="s">
        <v>1021</v>
      </c>
      <c r="R854" s="150">
        <v>0</v>
      </c>
      <c r="S854" s="117" t="b">
        <f>OR(COUNTIF(Tabla2[[#This Row],[PROVEEDOR]],"*"&amp;'Palabra no opera'!$A$2&amp;"*"))</f>
        <v>0</v>
      </c>
      <c r="T854" s="150">
        <f>+$W$5-Tabla2[[#This Row],[FECHA DE FACTURACIÓN]]</f>
        <v>304</v>
      </c>
      <c r="U854" t="str">
        <f>+IF(Tabla2[[#This Row],[dias de credito]]&gt;=Tabla2[[#This Row],[PLAZO Días]],"venc", "No venc")</f>
        <v>venc</v>
      </c>
      <c r="V854" t="str">
        <f>+IF(Tabla2[[#This Row],[FECHA DE PAGO]]&gt;0,"pagada","por pagar")</f>
        <v>pagada</v>
      </c>
      <c r="W854" s="152" t="str">
        <f>+IF(AND(Tabla2[[#This Row],[venc]]="venc",Tabla2[[#This Row],[Columna1]]="por pagar"),"vencida","no")</f>
        <v>no</v>
      </c>
    </row>
    <row r="855" spans="1:23" x14ac:dyDescent="0.3">
      <c r="A855">
        <v>30</v>
      </c>
      <c r="B855">
        <v>8190204</v>
      </c>
      <c r="D855" t="s">
        <v>263</v>
      </c>
      <c r="E855" s="156">
        <v>44558</v>
      </c>
      <c r="F855" t="s">
        <v>1637</v>
      </c>
      <c r="G855" s="156">
        <v>44530</v>
      </c>
      <c r="H855">
        <v>23709</v>
      </c>
      <c r="I855">
        <v>736000</v>
      </c>
      <c r="K855">
        <v>139840</v>
      </c>
      <c r="M855">
        <v>0</v>
      </c>
      <c r="N855">
        <v>0</v>
      </c>
      <c r="O855">
        <v>0</v>
      </c>
      <c r="P855" s="117">
        <v>875840</v>
      </c>
      <c r="Q855" s="117" t="s">
        <v>1021</v>
      </c>
      <c r="R855" s="150">
        <v>0</v>
      </c>
      <c r="S855" s="117" t="b">
        <f>OR(COUNTIF(Tabla2[[#This Row],[PROVEEDOR]],"*"&amp;'Palabra no opera'!$A$2&amp;"*"))</f>
        <v>0</v>
      </c>
      <c r="T855" s="150">
        <f>+$W$5-Tabla2[[#This Row],[FECHA DE FACTURACIÓN]]</f>
        <v>304</v>
      </c>
      <c r="U855" t="str">
        <f>+IF(Tabla2[[#This Row],[dias de credito]]&gt;=Tabla2[[#This Row],[PLAZO Días]],"venc", "No venc")</f>
        <v>venc</v>
      </c>
      <c r="V855" t="str">
        <f>+IF(Tabla2[[#This Row],[FECHA DE PAGO]]&gt;0,"pagada","por pagar")</f>
        <v>pagada</v>
      </c>
      <c r="W855" s="152" t="str">
        <f>+IF(AND(Tabla2[[#This Row],[venc]]="venc",Tabla2[[#This Row],[Columna1]]="por pagar"),"vencida","no")</f>
        <v>no</v>
      </c>
    </row>
    <row r="856" spans="1:23" x14ac:dyDescent="0.3">
      <c r="A856">
        <v>30</v>
      </c>
      <c r="B856">
        <v>19675613.1195</v>
      </c>
      <c r="D856" t="s">
        <v>256</v>
      </c>
      <c r="E856" s="156">
        <v>44558</v>
      </c>
      <c r="F856" t="s">
        <v>18</v>
      </c>
      <c r="G856" s="156">
        <v>44529</v>
      </c>
      <c r="H856">
        <v>1046554</v>
      </c>
      <c r="I856">
        <v>1627880</v>
      </c>
      <c r="K856">
        <v>309297.2</v>
      </c>
      <c r="M856">
        <v>0</v>
      </c>
      <c r="N856">
        <v>2.5000000000000001E-2</v>
      </c>
      <c r="O856">
        <v>40697</v>
      </c>
      <c r="P856" s="117">
        <v>1896480.2</v>
      </c>
      <c r="Q856" s="117" t="s">
        <v>1021</v>
      </c>
      <c r="R856" s="150">
        <v>0</v>
      </c>
      <c r="S856" s="117" t="b">
        <f>OR(COUNTIF(Tabla2[[#This Row],[PROVEEDOR]],"*"&amp;'Palabra no opera'!$A$2&amp;"*"))</f>
        <v>0</v>
      </c>
      <c r="T856" s="150">
        <f>+$W$5-Tabla2[[#This Row],[FECHA DE FACTURACIÓN]]</f>
        <v>305</v>
      </c>
      <c r="U856" t="str">
        <f>+IF(Tabla2[[#This Row],[dias de credito]]&gt;=Tabla2[[#This Row],[PLAZO Días]],"venc", "No venc")</f>
        <v>venc</v>
      </c>
      <c r="V856" t="str">
        <f>+IF(Tabla2[[#This Row],[FECHA DE PAGO]]&gt;0,"pagada","por pagar")</f>
        <v>pagada</v>
      </c>
      <c r="W856" s="152" t="str">
        <f>+IF(AND(Tabla2[[#This Row],[venc]]="venc",Tabla2[[#This Row],[Columna1]]="por pagar"),"vencida","no")</f>
        <v>no</v>
      </c>
    </row>
    <row r="857" spans="1:23" x14ac:dyDescent="0.3">
      <c r="A857">
        <v>30</v>
      </c>
      <c r="B857">
        <v>146262.9</v>
      </c>
      <c r="D857" t="s">
        <v>262</v>
      </c>
      <c r="E857" s="156">
        <v>44558</v>
      </c>
      <c r="F857" t="s">
        <v>17</v>
      </c>
      <c r="G857" s="156">
        <v>44529</v>
      </c>
      <c r="H857">
        <v>1846298</v>
      </c>
      <c r="I857">
        <v>300000</v>
      </c>
      <c r="K857">
        <v>57000</v>
      </c>
      <c r="M857">
        <v>0</v>
      </c>
      <c r="N857">
        <v>0</v>
      </c>
      <c r="O857">
        <v>0</v>
      </c>
      <c r="P857" s="117">
        <v>357000</v>
      </c>
      <c r="Q857" s="117" t="s">
        <v>1021</v>
      </c>
      <c r="R857" s="150">
        <v>0</v>
      </c>
      <c r="S857" s="117" t="b">
        <f>OR(COUNTIF(Tabla2[[#This Row],[PROVEEDOR]],"*"&amp;'Palabra no opera'!$A$2&amp;"*"))</f>
        <v>0</v>
      </c>
      <c r="T857" s="150">
        <f>+$W$5-Tabla2[[#This Row],[FECHA DE FACTURACIÓN]]</f>
        <v>305</v>
      </c>
      <c r="U857" t="str">
        <f>+IF(Tabla2[[#This Row],[dias de credito]]&gt;=Tabla2[[#This Row],[PLAZO Días]],"venc", "No venc")</f>
        <v>venc</v>
      </c>
      <c r="V857" t="str">
        <f>+IF(Tabla2[[#This Row],[FECHA DE PAGO]]&gt;0,"pagada","por pagar")</f>
        <v>pagada</v>
      </c>
      <c r="W857" s="152" t="str">
        <f>+IF(AND(Tabla2[[#This Row],[venc]]="venc",Tabla2[[#This Row],[Columna1]]="por pagar"),"vencida","no")</f>
        <v>no</v>
      </c>
    </row>
    <row r="858" spans="1:23" x14ac:dyDescent="0.3">
      <c r="A858">
        <v>30</v>
      </c>
      <c r="B858">
        <v>0</v>
      </c>
      <c r="D858" t="s">
        <v>290</v>
      </c>
      <c r="E858" s="156">
        <v>44558</v>
      </c>
      <c r="F858" t="s">
        <v>47</v>
      </c>
      <c r="G858" s="156">
        <v>44527</v>
      </c>
      <c r="H858">
        <v>33548</v>
      </c>
      <c r="I858">
        <v>1057979</v>
      </c>
      <c r="K858">
        <v>201016.01</v>
      </c>
      <c r="M858">
        <v>0</v>
      </c>
      <c r="N858">
        <v>2.5000000000000001E-2</v>
      </c>
      <c r="O858">
        <v>26449.475000000002</v>
      </c>
      <c r="P858" s="117">
        <v>1232545.5349999999</v>
      </c>
      <c r="Q858" s="117" t="s">
        <v>1021</v>
      </c>
      <c r="R858" s="150">
        <v>0</v>
      </c>
      <c r="S858" s="117" t="b">
        <f>OR(COUNTIF(Tabla2[[#This Row],[PROVEEDOR]],"*"&amp;'Palabra no opera'!$A$2&amp;"*"))</f>
        <v>0</v>
      </c>
      <c r="T858" s="150">
        <f>+$W$5-Tabla2[[#This Row],[FECHA DE FACTURACIÓN]]</f>
        <v>307</v>
      </c>
      <c r="U858" t="str">
        <f>+IF(Tabla2[[#This Row],[dias de credito]]&gt;=Tabla2[[#This Row],[PLAZO Días]],"venc", "No venc")</f>
        <v>venc</v>
      </c>
      <c r="V858" t="str">
        <f>+IF(Tabla2[[#This Row],[FECHA DE PAGO]]&gt;0,"pagada","por pagar")</f>
        <v>pagada</v>
      </c>
      <c r="W858" s="152" t="str">
        <f>+IF(AND(Tabla2[[#This Row],[venc]]="venc",Tabla2[[#This Row],[Columna1]]="por pagar"),"vencida","no")</f>
        <v>no</v>
      </c>
    </row>
    <row r="859" spans="1:23" x14ac:dyDescent="0.3">
      <c r="A859">
        <v>30</v>
      </c>
      <c r="B859">
        <v>8457900</v>
      </c>
      <c r="D859" t="s">
        <v>1027</v>
      </c>
      <c r="E859" s="156">
        <v>44558</v>
      </c>
      <c r="F859" t="s">
        <v>11</v>
      </c>
      <c r="G859" s="156">
        <v>44526</v>
      </c>
      <c r="H859" t="s">
        <v>548</v>
      </c>
      <c r="I859">
        <v>2700504</v>
      </c>
      <c r="K859">
        <v>513095.76</v>
      </c>
      <c r="M859">
        <v>0</v>
      </c>
      <c r="N859">
        <v>2.5000000000000001E-2</v>
      </c>
      <c r="O859">
        <v>67512.600000000006</v>
      </c>
      <c r="P859" s="117">
        <v>3146087.1599999997</v>
      </c>
      <c r="Q859" s="117" t="s">
        <v>1021</v>
      </c>
      <c r="R859" s="150">
        <v>0</v>
      </c>
      <c r="S859" s="117" t="b">
        <f>OR(COUNTIF(Tabla2[[#This Row],[PROVEEDOR]],"*"&amp;'Palabra no opera'!$A$2&amp;"*"))</f>
        <v>0</v>
      </c>
      <c r="T859" s="150">
        <f>+$W$5-Tabla2[[#This Row],[FECHA DE FACTURACIÓN]]</f>
        <v>308</v>
      </c>
      <c r="U859" t="str">
        <f>+IF(Tabla2[[#This Row],[dias de credito]]&gt;=Tabla2[[#This Row],[PLAZO Días]],"venc", "No venc")</f>
        <v>venc</v>
      </c>
      <c r="V859" t="str">
        <f>+IF(Tabla2[[#This Row],[FECHA DE PAGO]]&gt;0,"pagada","por pagar")</f>
        <v>pagada</v>
      </c>
      <c r="W859" s="152" t="str">
        <f>+IF(AND(Tabla2[[#This Row],[venc]]="venc",Tabla2[[#This Row],[Columna1]]="por pagar"),"vencida","no")</f>
        <v>no</v>
      </c>
    </row>
    <row r="860" spans="1:23" x14ac:dyDescent="0.3">
      <c r="A860">
        <v>30</v>
      </c>
      <c r="B860">
        <v>146262.9</v>
      </c>
      <c r="D860" t="s">
        <v>262</v>
      </c>
      <c r="E860" s="156">
        <v>44558</v>
      </c>
      <c r="F860" t="s">
        <v>17</v>
      </c>
      <c r="G860" s="156">
        <v>44524</v>
      </c>
      <c r="H860">
        <v>1844241</v>
      </c>
      <c r="I860">
        <v>594000</v>
      </c>
      <c r="K860">
        <v>112860</v>
      </c>
      <c r="M860">
        <v>0</v>
      </c>
      <c r="N860">
        <v>0</v>
      </c>
      <c r="O860">
        <v>0</v>
      </c>
      <c r="P860" s="117">
        <v>706860</v>
      </c>
      <c r="Q860" s="117" t="s">
        <v>1021</v>
      </c>
      <c r="R860" s="150">
        <v>0</v>
      </c>
      <c r="S860" s="117" t="b">
        <f>OR(COUNTIF(Tabla2[[#This Row],[PROVEEDOR]],"*"&amp;'Palabra no opera'!$A$2&amp;"*"))</f>
        <v>0</v>
      </c>
      <c r="T860" s="150">
        <f>+$W$5-Tabla2[[#This Row],[FECHA DE FACTURACIÓN]]</f>
        <v>310</v>
      </c>
      <c r="U860" t="str">
        <f>+IF(Tabla2[[#This Row],[dias de credito]]&gt;=Tabla2[[#This Row],[PLAZO Días]],"venc", "No venc")</f>
        <v>venc</v>
      </c>
      <c r="V860" t="str">
        <f>+IF(Tabla2[[#This Row],[FECHA DE PAGO]]&gt;0,"pagada","por pagar")</f>
        <v>pagada</v>
      </c>
      <c r="W860" s="152" t="str">
        <f>+IF(AND(Tabla2[[#This Row],[venc]]="venc",Tabla2[[#This Row],[Columna1]]="por pagar"),"vencida","no")</f>
        <v>no</v>
      </c>
    </row>
    <row r="861" spans="1:23" x14ac:dyDescent="0.3">
      <c r="A861">
        <v>30</v>
      </c>
      <c r="B861">
        <v>146262.9</v>
      </c>
      <c r="D861" t="s">
        <v>262</v>
      </c>
      <c r="E861" s="156">
        <v>44558</v>
      </c>
      <c r="F861" t="s">
        <v>17</v>
      </c>
      <c r="G861" s="156">
        <v>44524</v>
      </c>
      <c r="H861">
        <v>1844279</v>
      </c>
      <c r="I861">
        <v>219500</v>
      </c>
      <c r="K861">
        <v>41705</v>
      </c>
      <c r="M861">
        <v>0</v>
      </c>
      <c r="N861">
        <v>0</v>
      </c>
      <c r="O861">
        <v>0</v>
      </c>
      <c r="P861" s="117">
        <v>261205</v>
      </c>
      <c r="Q861" s="117" t="s">
        <v>1021</v>
      </c>
      <c r="R861" s="150">
        <v>0</v>
      </c>
      <c r="S861" s="117" t="b">
        <f>OR(COUNTIF(Tabla2[[#This Row],[PROVEEDOR]],"*"&amp;'Palabra no opera'!$A$2&amp;"*"))</f>
        <v>0</v>
      </c>
      <c r="T861" s="150">
        <f>+$W$5-Tabla2[[#This Row],[FECHA DE FACTURACIÓN]]</f>
        <v>310</v>
      </c>
      <c r="U861" t="str">
        <f>+IF(Tabla2[[#This Row],[dias de credito]]&gt;=Tabla2[[#This Row],[PLAZO Días]],"venc", "No venc")</f>
        <v>venc</v>
      </c>
      <c r="V861" t="str">
        <f>+IF(Tabla2[[#This Row],[FECHA DE PAGO]]&gt;0,"pagada","por pagar")</f>
        <v>pagada</v>
      </c>
      <c r="W861" s="152" t="str">
        <f>+IF(AND(Tabla2[[#This Row],[venc]]="venc",Tabla2[[#This Row],[Columna1]]="por pagar"),"vencida","no")</f>
        <v>no</v>
      </c>
    </row>
    <row r="862" spans="1:23" x14ac:dyDescent="0.3">
      <c r="A862">
        <v>30</v>
      </c>
      <c r="B862">
        <v>0</v>
      </c>
      <c r="D862" t="s">
        <v>270</v>
      </c>
      <c r="E862" s="156">
        <v>44558</v>
      </c>
      <c r="F862" t="s">
        <v>39</v>
      </c>
      <c r="G862" s="156">
        <v>44524</v>
      </c>
      <c r="H862">
        <v>954</v>
      </c>
      <c r="I862">
        <v>469800</v>
      </c>
      <c r="K862">
        <v>89262</v>
      </c>
      <c r="M862">
        <v>0</v>
      </c>
      <c r="N862">
        <v>0</v>
      </c>
      <c r="O862">
        <v>0</v>
      </c>
      <c r="P862" s="117">
        <v>559062</v>
      </c>
      <c r="Q862" s="117" t="s">
        <v>1021</v>
      </c>
      <c r="R862" s="150">
        <v>0</v>
      </c>
      <c r="S862" s="117" t="b">
        <f>OR(COUNTIF(Tabla2[[#This Row],[PROVEEDOR]],"*"&amp;'Palabra no opera'!$A$2&amp;"*"))</f>
        <v>0</v>
      </c>
      <c r="T862" s="150">
        <f>+$W$5-Tabla2[[#This Row],[FECHA DE FACTURACIÓN]]</f>
        <v>310</v>
      </c>
      <c r="U862" t="str">
        <f>+IF(Tabla2[[#This Row],[dias de credito]]&gt;=Tabla2[[#This Row],[PLAZO Días]],"venc", "No venc")</f>
        <v>venc</v>
      </c>
      <c r="V862" t="str">
        <f>+IF(Tabla2[[#This Row],[FECHA DE PAGO]]&gt;0,"pagada","por pagar")</f>
        <v>pagada</v>
      </c>
      <c r="W862" s="152" t="str">
        <f>+IF(AND(Tabla2[[#This Row],[venc]]="venc",Tabla2[[#This Row],[Columna1]]="por pagar"),"vencida","no")</f>
        <v>no</v>
      </c>
    </row>
    <row r="863" spans="1:23" x14ac:dyDescent="0.3">
      <c r="A863">
        <v>45</v>
      </c>
      <c r="B863">
        <v>7497238</v>
      </c>
      <c r="D863" t="s">
        <v>272</v>
      </c>
      <c r="E863" s="156">
        <v>44558</v>
      </c>
      <c r="F863" t="s">
        <v>10</v>
      </c>
      <c r="G863" s="156">
        <v>44516</v>
      </c>
      <c r="H863" t="s">
        <v>535</v>
      </c>
      <c r="I863">
        <v>740000</v>
      </c>
      <c r="K863">
        <v>140600</v>
      </c>
      <c r="M863">
        <v>0</v>
      </c>
      <c r="N863">
        <v>0</v>
      </c>
      <c r="O863">
        <v>0</v>
      </c>
      <c r="P863" s="117">
        <v>880600</v>
      </c>
      <c r="Q863" s="117" t="s">
        <v>1021</v>
      </c>
      <c r="R863" s="150">
        <v>0</v>
      </c>
      <c r="S863" s="117" t="b">
        <f>OR(COUNTIF(Tabla2[[#This Row],[PROVEEDOR]],"*"&amp;'Palabra no opera'!$A$2&amp;"*"))</f>
        <v>0</v>
      </c>
      <c r="T863" s="150">
        <f>+$W$5-Tabla2[[#This Row],[FECHA DE FACTURACIÓN]]</f>
        <v>318</v>
      </c>
      <c r="U863" t="str">
        <f>+IF(Tabla2[[#This Row],[dias de credito]]&gt;=Tabla2[[#This Row],[PLAZO Días]],"venc", "No venc")</f>
        <v>venc</v>
      </c>
      <c r="V863" t="str">
        <f>+IF(Tabla2[[#This Row],[FECHA DE PAGO]]&gt;0,"pagada","por pagar")</f>
        <v>pagada</v>
      </c>
      <c r="W863" s="152" t="str">
        <f>+IF(AND(Tabla2[[#This Row],[venc]]="venc",Tabla2[[#This Row],[Columna1]]="por pagar"),"vencida","no")</f>
        <v>no</v>
      </c>
    </row>
    <row r="864" spans="1:23" x14ac:dyDescent="0.3">
      <c r="A864">
        <v>30</v>
      </c>
      <c r="B864">
        <v>2516204.2100999998</v>
      </c>
      <c r="D864" t="s">
        <v>261</v>
      </c>
      <c r="E864" s="156">
        <v>44558</v>
      </c>
      <c r="F864" t="s">
        <v>512</v>
      </c>
      <c r="G864" s="156">
        <v>44510</v>
      </c>
      <c r="H864">
        <v>252</v>
      </c>
      <c r="I864">
        <v>428571.43</v>
      </c>
      <c r="K864">
        <v>81428.5717</v>
      </c>
      <c r="M864">
        <v>0</v>
      </c>
      <c r="N864">
        <v>0</v>
      </c>
      <c r="O864">
        <v>0</v>
      </c>
      <c r="P864" s="117">
        <v>510000.00170000002</v>
      </c>
      <c r="Q864" s="117" t="s">
        <v>1021</v>
      </c>
      <c r="R864" s="150">
        <v>0</v>
      </c>
      <c r="S864" s="117" t="b">
        <f>OR(COUNTIF(Tabla2[[#This Row],[PROVEEDOR]],"*"&amp;'Palabra no opera'!$A$2&amp;"*"))</f>
        <v>0</v>
      </c>
      <c r="T864" s="150">
        <f>+$W$5-Tabla2[[#This Row],[FECHA DE FACTURACIÓN]]</f>
        <v>324</v>
      </c>
      <c r="U864" t="str">
        <f>+IF(Tabla2[[#This Row],[dias de credito]]&gt;=Tabla2[[#This Row],[PLAZO Días]],"venc", "No venc")</f>
        <v>venc</v>
      </c>
      <c r="V864" t="str">
        <f>+IF(Tabla2[[#This Row],[FECHA DE PAGO]]&gt;0,"pagada","por pagar")</f>
        <v>pagada</v>
      </c>
      <c r="W864" s="152" t="str">
        <f>+IF(AND(Tabla2[[#This Row],[venc]]="venc",Tabla2[[#This Row],[Columna1]]="por pagar"),"vencida","no")</f>
        <v>no</v>
      </c>
    </row>
    <row r="865" spans="1:23" x14ac:dyDescent="0.3">
      <c r="A865">
        <v>90</v>
      </c>
      <c r="B865">
        <v>124999.98</v>
      </c>
      <c r="D865" t="s">
        <v>260</v>
      </c>
      <c r="E865" s="156">
        <v>44558</v>
      </c>
      <c r="F865" t="s">
        <v>77</v>
      </c>
      <c r="G865" s="156">
        <v>44414</v>
      </c>
      <c r="H865" t="s">
        <v>410</v>
      </c>
      <c r="I865">
        <v>927733</v>
      </c>
      <c r="K865">
        <v>176269.27</v>
      </c>
      <c r="M865">
        <v>0</v>
      </c>
      <c r="N865">
        <v>0</v>
      </c>
      <c r="O865">
        <v>0</v>
      </c>
      <c r="P865" s="117">
        <v>1104002.27</v>
      </c>
      <c r="Q865" s="117" t="s">
        <v>1021</v>
      </c>
      <c r="R865" s="150">
        <v>0</v>
      </c>
      <c r="S865" s="117" t="b">
        <f>OR(COUNTIF(Tabla2[[#This Row],[PROVEEDOR]],"*"&amp;'Palabra no opera'!$A$2&amp;"*"))</f>
        <v>0</v>
      </c>
      <c r="T865" s="150">
        <f>+$W$5-Tabla2[[#This Row],[FECHA DE FACTURACIÓN]]</f>
        <v>420</v>
      </c>
      <c r="U865" t="str">
        <f>+IF(Tabla2[[#This Row],[dias de credito]]&gt;=Tabla2[[#This Row],[PLAZO Días]],"venc", "No venc")</f>
        <v>venc</v>
      </c>
      <c r="V865" t="str">
        <f>+IF(Tabla2[[#This Row],[FECHA DE PAGO]]&gt;0,"pagada","por pagar")</f>
        <v>pagada</v>
      </c>
      <c r="W865" s="152" t="str">
        <f>+IF(AND(Tabla2[[#This Row],[venc]]="venc",Tabla2[[#This Row],[Columna1]]="por pagar"),"vencida","no")</f>
        <v>no</v>
      </c>
    </row>
    <row r="866" spans="1:23" x14ac:dyDescent="0.3">
      <c r="A866">
        <v>30</v>
      </c>
      <c r="B866">
        <v>0</v>
      </c>
      <c r="D866" t="s">
        <v>139</v>
      </c>
      <c r="E866" s="156">
        <v>44557</v>
      </c>
      <c r="F866" t="s">
        <v>37</v>
      </c>
      <c r="G866" s="156">
        <v>44557</v>
      </c>
      <c r="H866" t="s">
        <v>573</v>
      </c>
      <c r="I866">
        <v>143500</v>
      </c>
      <c r="K866">
        <v>27265</v>
      </c>
      <c r="M866">
        <v>0</v>
      </c>
      <c r="N866">
        <v>0</v>
      </c>
      <c r="O866">
        <v>0</v>
      </c>
      <c r="P866" s="117">
        <v>170765</v>
      </c>
      <c r="Q866" s="117" t="s">
        <v>1021</v>
      </c>
      <c r="R866" s="150">
        <v>0</v>
      </c>
      <c r="S866" s="117" t="b">
        <f>OR(COUNTIF(Tabla2[[#This Row],[PROVEEDOR]],"*"&amp;'Palabra no opera'!$A$2&amp;"*"))</f>
        <v>0</v>
      </c>
      <c r="T866" s="150">
        <f>+$W$5-Tabla2[[#This Row],[FECHA DE FACTURACIÓN]]</f>
        <v>277</v>
      </c>
      <c r="U866" t="str">
        <f>+IF(Tabla2[[#This Row],[dias de credito]]&gt;=Tabla2[[#This Row],[PLAZO Días]],"venc", "No venc")</f>
        <v>venc</v>
      </c>
      <c r="V866" t="str">
        <f>+IF(Tabla2[[#This Row],[FECHA DE PAGO]]&gt;0,"pagada","por pagar")</f>
        <v>pagada</v>
      </c>
      <c r="W866" s="152" t="str">
        <f>+IF(AND(Tabla2[[#This Row],[venc]]="venc",Tabla2[[#This Row],[Columna1]]="por pagar"),"vencida","no")</f>
        <v>no</v>
      </c>
    </row>
    <row r="867" spans="1:23" x14ac:dyDescent="0.3">
      <c r="A867">
        <v>30</v>
      </c>
      <c r="B867">
        <v>0</v>
      </c>
      <c r="D867" t="s">
        <v>139</v>
      </c>
      <c r="E867" s="156">
        <v>44557</v>
      </c>
      <c r="F867" t="s">
        <v>638</v>
      </c>
      <c r="G867" s="156">
        <v>44540</v>
      </c>
      <c r="H867" t="s">
        <v>1359</v>
      </c>
      <c r="I867">
        <v>1444000</v>
      </c>
      <c r="K867">
        <v>0</v>
      </c>
      <c r="M867">
        <v>0</v>
      </c>
      <c r="N867">
        <v>0</v>
      </c>
      <c r="O867">
        <v>0</v>
      </c>
      <c r="P867" s="117">
        <v>1444000</v>
      </c>
      <c r="Q867" s="117" t="s">
        <v>1021</v>
      </c>
      <c r="R867" s="150">
        <v>0</v>
      </c>
      <c r="S867" s="117" t="b">
        <f>OR(COUNTIF(Tabla2[[#This Row],[PROVEEDOR]],"*"&amp;'Palabra no opera'!$A$2&amp;"*"))</f>
        <v>0</v>
      </c>
      <c r="T867" s="150">
        <f>+$W$5-Tabla2[[#This Row],[FECHA DE FACTURACIÓN]]</f>
        <v>294</v>
      </c>
      <c r="U867" t="str">
        <f>+IF(Tabla2[[#This Row],[dias de credito]]&gt;=Tabla2[[#This Row],[PLAZO Días]],"venc", "No venc")</f>
        <v>venc</v>
      </c>
      <c r="V867" t="str">
        <f>+IF(Tabla2[[#This Row],[FECHA DE PAGO]]&gt;0,"pagada","por pagar")</f>
        <v>pagada</v>
      </c>
      <c r="W867" s="152" t="str">
        <f>+IF(AND(Tabla2[[#This Row],[venc]]="venc",Tabla2[[#This Row],[Columna1]]="por pagar"),"vencida","no")</f>
        <v>no</v>
      </c>
    </row>
    <row r="868" spans="1:23" x14ac:dyDescent="0.3">
      <c r="A868">
        <v>30</v>
      </c>
      <c r="B868">
        <v>450000</v>
      </c>
      <c r="D868" t="s">
        <v>291</v>
      </c>
      <c r="E868" s="156">
        <v>44557</v>
      </c>
      <c r="F868" t="s">
        <v>685</v>
      </c>
      <c r="G868" s="156">
        <v>44525</v>
      </c>
      <c r="H868" t="s">
        <v>1532</v>
      </c>
      <c r="I868">
        <v>2880000</v>
      </c>
      <c r="K868">
        <v>0</v>
      </c>
      <c r="M868">
        <v>0</v>
      </c>
      <c r="N868">
        <v>0</v>
      </c>
      <c r="O868">
        <v>0</v>
      </c>
      <c r="P868" s="117">
        <v>2880000</v>
      </c>
      <c r="Q868" s="117" t="s">
        <v>1021</v>
      </c>
      <c r="R868" s="150">
        <v>0</v>
      </c>
      <c r="S868" s="117" t="b">
        <f>OR(COUNTIF(Tabla2[[#This Row],[PROVEEDOR]],"*"&amp;'Palabra no opera'!$A$2&amp;"*"))</f>
        <v>0</v>
      </c>
      <c r="T868" s="150">
        <f>+$W$5-Tabla2[[#This Row],[FECHA DE FACTURACIÓN]]</f>
        <v>309</v>
      </c>
      <c r="U868" t="str">
        <f>+IF(Tabla2[[#This Row],[dias de credito]]&gt;=Tabla2[[#This Row],[PLAZO Días]],"venc", "No venc")</f>
        <v>venc</v>
      </c>
      <c r="V868" t="str">
        <f>+IF(Tabla2[[#This Row],[FECHA DE PAGO]]&gt;0,"pagada","por pagar")</f>
        <v>pagada</v>
      </c>
      <c r="W868" s="152" t="str">
        <f>+IF(AND(Tabla2[[#This Row],[venc]]="venc",Tabla2[[#This Row],[Columna1]]="por pagar"),"vencida","no")</f>
        <v>no</v>
      </c>
    </row>
    <row r="869" spans="1:23" x14ac:dyDescent="0.3">
      <c r="A869">
        <v>30</v>
      </c>
      <c r="B869">
        <v>1580500</v>
      </c>
      <c r="D869" t="s">
        <v>139</v>
      </c>
      <c r="E869" s="156">
        <v>44557</v>
      </c>
      <c r="F869" t="s">
        <v>686</v>
      </c>
      <c r="G869" s="156">
        <v>44525</v>
      </c>
      <c r="H869" t="s">
        <v>1533</v>
      </c>
      <c r="I869">
        <v>500000</v>
      </c>
      <c r="K869">
        <v>0</v>
      </c>
      <c r="M869">
        <v>0</v>
      </c>
      <c r="N869">
        <v>0</v>
      </c>
      <c r="O869">
        <v>0</v>
      </c>
      <c r="P869" s="117">
        <v>500000</v>
      </c>
      <c r="Q869" s="117" t="s">
        <v>1021</v>
      </c>
      <c r="R869" s="150">
        <v>0</v>
      </c>
      <c r="S869" s="117" t="b">
        <f>OR(COUNTIF(Tabla2[[#This Row],[PROVEEDOR]],"*"&amp;'Palabra no opera'!$A$2&amp;"*"))</f>
        <v>0</v>
      </c>
      <c r="T869" s="150">
        <f>+$W$5-Tabla2[[#This Row],[FECHA DE FACTURACIÓN]]</f>
        <v>309</v>
      </c>
      <c r="U869" t="str">
        <f>+IF(Tabla2[[#This Row],[dias de credito]]&gt;=Tabla2[[#This Row],[PLAZO Días]],"venc", "No venc")</f>
        <v>venc</v>
      </c>
      <c r="V869" t="str">
        <f>+IF(Tabla2[[#This Row],[FECHA DE PAGO]]&gt;0,"pagada","por pagar")</f>
        <v>pagada</v>
      </c>
      <c r="W869" s="152" t="str">
        <f>+IF(AND(Tabla2[[#This Row],[venc]]="venc",Tabla2[[#This Row],[Columna1]]="por pagar"),"vencida","no")</f>
        <v>no</v>
      </c>
    </row>
    <row r="870" spans="1:23" x14ac:dyDescent="0.3">
      <c r="A870">
        <v>30</v>
      </c>
      <c r="B870">
        <v>527800</v>
      </c>
      <c r="D870" t="s">
        <v>139</v>
      </c>
      <c r="E870" s="156">
        <v>44557</v>
      </c>
      <c r="F870" t="s">
        <v>624</v>
      </c>
      <c r="G870" s="156">
        <v>44523</v>
      </c>
      <c r="H870" t="s">
        <v>1529</v>
      </c>
      <c r="I870">
        <v>1796500</v>
      </c>
      <c r="K870">
        <v>0</v>
      </c>
      <c r="M870">
        <v>0</v>
      </c>
      <c r="N870">
        <v>0</v>
      </c>
      <c r="O870">
        <v>0</v>
      </c>
      <c r="P870" s="117">
        <v>1796500</v>
      </c>
      <c r="Q870" s="117" t="s">
        <v>1021</v>
      </c>
      <c r="R870" s="150">
        <v>0</v>
      </c>
      <c r="S870" s="117" t="b">
        <f>OR(COUNTIF(Tabla2[[#This Row],[PROVEEDOR]],"*"&amp;'Palabra no opera'!$A$2&amp;"*"))</f>
        <v>0</v>
      </c>
      <c r="T870" s="150">
        <f>+$W$5-Tabla2[[#This Row],[FECHA DE FACTURACIÓN]]</f>
        <v>311</v>
      </c>
      <c r="U870" t="str">
        <f>+IF(Tabla2[[#This Row],[dias de credito]]&gt;=Tabla2[[#This Row],[PLAZO Días]],"venc", "No venc")</f>
        <v>venc</v>
      </c>
      <c r="V870" t="str">
        <f>+IF(Tabla2[[#This Row],[FECHA DE PAGO]]&gt;0,"pagada","por pagar")</f>
        <v>pagada</v>
      </c>
      <c r="W870" s="152" t="str">
        <f>+IF(AND(Tabla2[[#This Row],[venc]]="venc",Tabla2[[#This Row],[Columna1]]="por pagar"),"vencida","no")</f>
        <v>no</v>
      </c>
    </row>
    <row r="871" spans="1:23" x14ac:dyDescent="0.3">
      <c r="A871">
        <v>30</v>
      </c>
      <c r="B871">
        <v>527800</v>
      </c>
      <c r="D871" t="s">
        <v>139</v>
      </c>
      <c r="E871" s="156">
        <v>44557</v>
      </c>
      <c r="F871" t="s">
        <v>624</v>
      </c>
      <c r="G871" s="156">
        <v>44498</v>
      </c>
      <c r="H871" t="s">
        <v>1513</v>
      </c>
      <c r="I871">
        <v>168000</v>
      </c>
      <c r="K871">
        <v>0</v>
      </c>
      <c r="M871">
        <v>0</v>
      </c>
      <c r="N871">
        <v>0</v>
      </c>
      <c r="O871">
        <v>0</v>
      </c>
      <c r="P871" s="117">
        <v>168000</v>
      </c>
      <c r="Q871" s="117" t="s">
        <v>1021</v>
      </c>
      <c r="R871" s="150">
        <v>0</v>
      </c>
      <c r="S871" s="117" t="b">
        <f>OR(COUNTIF(Tabla2[[#This Row],[PROVEEDOR]],"*"&amp;'Palabra no opera'!$A$2&amp;"*"))</f>
        <v>0</v>
      </c>
      <c r="T871" s="150">
        <f>+$W$5-Tabla2[[#This Row],[FECHA DE FACTURACIÓN]]</f>
        <v>336</v>
      </c>
      <c r="U871" t="str">
        <f>+IF(Tabla2[[#This Row],[dias de credito]]&gt;=Tabla2[[#This Row],[PLAZO Días]],"venc", "No venc")</f>
        <v>venc</v>
      </c>
      <c r="V871" t="str">
        <f>+IF(Tabla2[[#This Row],[FECHA DE PAGO]]&gt;0,"pagada","por pagar")</f>
        <v>pagada</v>
      </c>
      <c r="W871" s="152" t="str">
        <f>+IF(AND(Tabla2[[#This Row],[venc]]="venc",Tabla2[[#This Row],[Columna1]]="por pagar"),"vencida","no")</f>
        <v>no</v>
      </c>
    </row>
    <row r="872" spans="1:23" x14ac:dyDescent="0.3">
      <c r="A872">
        <v>30</v>
      </c>
      <c r="B872">
        <v>527800</v>
      </c>
      <c r="D872" t="s">
        <v>139</v>
      </c>
      <c r="E872" s="156">
        <v>44557</v>
      </c>
      <c r="F872" t="s">
        <v>624</v>
      </c>
      <c r="G872" s="156">
        <v>44497</v>
      </c>
      <c r="H872" t="s">
        <v>1512</v>
      </c>
      <c r="I872">
        <v>264000</v>
      </c>
      <c r="K872">
        <v>0</v>
      </c>
      <c r="M872">
        <v>0</v>
      </c>
      <c r="N872">
        <v>0</v>
      </c>
      <c r="O872">
        <v>0</v>
      </c>
      <c r="P872" s="117">
        <v>264000</v>
      </c>
      <c r="Q872" s="117" t="s">
        <v>1021</v>
      </c>
      <c r="R872" s="150">
        <v>0</v>
      </c>
      <c r="S872" s="117" t="b">
        <f>OR(COUNTIF(Tabla2[[#This Row],[PROVEEDOR]],"*"&amp;'Palabra no opera'!$A$2&amp;"*"))</f>
        <v>0</v>
      </c>
      <c r="T872" s="150">
        <f>+$W$5-Tabla2[[#This Row],[FECHA DE FACTURACIÓN]]</f>
        <v>337</v>
      </c>
      <c r="U872" t="str">
        <f>+IF(Tabla2[[#This Row],[dias de credito]]&gt;=Tabla2[[#This Row],[PLAZO Días]],"venc", "No venc")</f>
        <v>venc</v>
      </c>
      <c r="V872" t="str">
        <f>+IF(Tabla2[[#This Row],[FECHA DE PAGO]]&gt;0,"pagada","por pagar")</f>
        <v>pagada</v>
      </c>
      <c r="W872" s="152" t="str">
        <f>+IF(AND(Tabla2[[#This Row],[venc]]="venc",Tabla2[[#This Row],[Columna1]]="por pagar"),"vencida","no")</f>
        <v>no</v>
      </c>
    </row>
    <row r="873" spans="1:23" x14ac:dyDescent="0.3">
      <c r="A873">
        <v>30</v>
      </c>
      <c r="B873">
        <v>0</v>
      </c>
      <c r="D873" t="s">
        <v>267</v>
      </c>
      <c r="E873" s="156">
        <v>44554</v>
      </c>
      <c r="F873" t="s">
        <v>941</v>
      </c>
      <c r="G873" s="156">
        <v>44557</v>
      </c>
      <c r="H873" t="s">
        <v>551</v>
      </c>
      <c r="I873">
        <v>203897</v>
      </c>
      <c r="K873">
        <v>38740.43</v>
      </c>
      <c r="M873">
        <v>0</v>
      </c>
      <c r="N873">
        <v>3.5000000000000003E-2</v>
      </c>
      <c r="O873">
        <v>7136.3950000000004</v>
      </c>
      <c r="P873" s="117">
        <v>235501.035</v>
      </c>
      <c r="Q873" s="117" t="s">
        <v>1021</v>
      </c>
      <c r="R873" s="150">
        <v>0</v>
      </c>
      <c r="S873" s="117" t="b">
        <f>OR(COUNTIF(Tabla2[[#This Row],[PROVEEDOR]],"*"&amp;'Palabra no opera'!$A$2&amp;"*"))</f>
        <v>1</v>
      </c>
      <c r="T873" s="150">
        <f>+$W$5-Tabla2[[#This Row],[FECHA DE FACTURACIÓN]]</f>
        <v>277</v>
      </c>
      <c r="U873" t="str">
        <f>+IF(Tabla2[[#This Row],[dias de credito]]&gt;=Tabla2[[#This Row],[PLAZO Días]],"venc", "No venc")</f>
        <v>venc</v>
      </c>
      <c r="V873" t="str">
        <f>+IF(Tabla2[[#This Row],[FECHA DE PAGO]]&gt;0,"pagada","por pagar")</f>
        <v>pagada</v>
      </c>
      <c r="W873" s="152" t="str">
        <f>+IF(AND(Tabla2[[#This Row],[venc]]="venc",Tabla2[[#This Row],[Columna1]]="por pagar"),"vencida","no")</f>
        <v>no</v>
      </c>
    </row>
    <row r="874" spans="1:23" x14ac:dyDescent="0.3">
      <c r="A874">
        <v>30</v>
      </c>
      <c r="B874">
        <v>0</v>
      </c>
      <c r="D874" t="s">
        <v>250</v>
      </c>
      <c r="E874" s="156">
        <v>44554</v>
      </c>
      <c r="F874" t="s">
        <v>1451</v>
      </c>
      <c r="G874" s="156">
        <v>44551</v>
      </c>
      <c r="H874">
        <v>186</v>
      </c>
      <c r="I874">
        <v>135000</v>
      </c>
      <c r="K874">
        <v>0</v>
      </c>
      <c r="M874">
        <v>0</v>
      </c>
      <c r="N874">
        <v>0</v>
      </c>
      <c r="O874">
        <v>0</v>
      </c>
      <c r="P874" s="117">
        <v>135000</v>
      </c>
      <c r="Q874" s="117" t="s">
        <v>1021</v>
      </c>
      <c r="R874" s="150">
        <v>0</v>
      </c>
      <c r="S874" s="117" t="b">
        <f>OR(COUNTIF(Tabla2[[#This Row],[PROVEEDOR]],"*"&amp;'Palabra no opera'!$A$2&amp;"*"))</f>
        <v>0</v>
      </c>
      <c r="T874" s="150">
        <f>+$W$5-Tabla2[[#This Row],[FECHA DE FACTURACIÓN]]</f>
        <v>283</v>
      </c>
      <c r="U874" t="str">
        <f>+IF(Tabla2[[#This Row],[dias de credito]]&gt;=Tabla2[[#This Row],[PLAZO Días]],"venc", "No venc")</f>
        <v>venc</v>
      </c>
      <c r="V874" t="str">
        <f>+IF(Tabla2[[#This Row],[FECHA DE PAGO]]&gt;0,"pagada","por pagar")</f>
        <v>pagada</v>
      </c>
      <c r="W874" s="152" t="str">
        <f>+IF(AND(Tabla2[[#This Row],[venc]]="venc",Tabla2[[#This Row],[Columna1]]="por pagar"),"vencida","no")</f>
        <v>no</v>
      </c>
    </row>
    <row r="875" spans="1:23" x14ac:dyDescent="0.3">
      <c r="A875">
        <v>30</v>
      </c>
      <c r="B875">
        <v>0</v>
      </c>
      <c r="D875">
        <v>0</v>
      </c>
      <c r="E875" s="156">
        <v>44554</v>
      </c>
      <c r="F875" t="s">
        <v>700</v>
      </c>
      <c r="G875" s="156">
        <v>44550</v>
      </c>
      <c r="H875" t="s">
        <v>1547</v>
      </c>
      <c r="I875">
        <v>1950000</v>
      </c>
      <c r="K875">
        <v>0</v>
      </c>
      <c r="M875">
        <v>0</v>
      </c>
      <c r="N875">
        <v>0</v>
      </c>
      <c r="O875">
        <v>0</v>
      </c>
      <c r="P875" s="117">
        <v>1950000</v>
      </c>
      <c r="Q875" s="117" t="s">
        <v>1021</v>
      </c>
      <c r="R875" s="150">
        <v>0</v>
      </c>
      <c r="S875" s="117" t="b">
        <f>OR(COUNTIF(Tabla2[[#This Row],[PROVEEDOR]],"*"&amp;'Palabra no opera'!$A$2&amp;"*"))</f>
        <v>0</v>
      </c>
      <c r="T875" s="150">
        <f>+$W$5-Tabla2[[#This Row],[FECHA DE FACTURACIÓN]]</f>
        <v>284</v>
      </c>
      <c r="U875" t="str">
        <f>+IF(Tabla2[[#This Row],[dias de credito]]&gt;=Tabla2[[#This Row],[PLAZO Días]],"venc", "No venc")</f>
        <v>venc</v>
      </c>
      <c r="V875" t="str">
        <f>+IF(Tabla2[[#This Row],[FECHA DE PAGO]]&gt;0,"pagada","por pagar")</f>
        <v>pagada</v>
      </c>
      <c r="W875" s="152" t="str">
        <f>+IF(AND(Tabla2[[#This Row],[venc]]="venc",Tabla2[[#This Row],[Columna1]]="por pagar"),"vencida","no")</f>
        <v>no</v>
      </c>
    </row>
    <row r="876" spans="1:23" x14ac:dyDescent="0.3">
      <c r="A876">
        <v>30</v>
      </c>
      <c r="B876">
        <v>0</v>
      </c>
      <c r="D876" t="s">
        <v>650</v>
      </c>
      <c r="E876" s="156">
        <v>44554</v>
      </c>
      <c r="F876" t="s">
        <v>913</v>
      </c>
      <c r="G876" s="156">
        <v>44531</v>
      </c>
      <c r="H876" t="s">
        <v>1352</v>
      </c>
      <c r="I876">
        <v>3061166</v>
      </c>
      <c r="K876">
        <v>581621.54</v>
      </c>
      <c r="M876">
        <v>0</v>
      </c>
      <c r="N876">
        <v>0</v>
      </c>
      <c r="O876">
        <v>0</v>
      </c>
      <c r="P876" s="117">
        <v>3642787.54</v>
      </c>
      <c r="Q876" s="117" t="s">
        <v>1021</v>
      </c>
      <c r="R876" s="150">
        <v>0</v>
      </c>
      <c r="S876" s="117" t="b">
        <f>OR(COUNTIF(Tabla2[[#This Row],[PROVEEDOR]],"*"&amp;'Palabra no opera'!$A$2&amp;"*"))</f>
        <v>1</v>
      </c>
      <c r="T876" s="150">
        <f>+$W$5-Tabla2[[#This Row],[FECHA DE FACTURACIÓN]]</f>
        <v>303</v>
      </c>
      <c r="U876" t="str">
        <f>+IF(Tabla2[[#This Row],[dias de credito]]&gt;=Tabla2[[#This Row],[PLAZO Días]],"venc", "No venc")</f>
        <v>venc</v>
      </c>
      <c r="V876" t="str">
        <f>+IF(Tabla2[[#This Row],[FECHA DE PAGO]]&gt;0,"pagada","por pagar")</f>
        <v>pagada</v>
      </c>
      <c r="W876" s="152" t="str">
        <f>+IF(AND(Tabla2[[#This Row],[venc]]="venc",Tabla2[[#This Row],[Columna1]]="por pagar"),"vencida","no")</f>
        <v>no</v>
      </c>
    </row>
    <row r="877" spans="1:23" x14ac:dyDescent="0.3">
      <c r="A877">
        <v>30</v>
      </c>
      <c r="B877">
        <v>0</v>
      </c>
      <c r="D877" t="s">
        <v>650</v>
      </c>
      <c r="E877" s="156">
        <v>44554</v>
      </c>
      <c r="F877" t="s">
        <v>913</v>
      </c>
      <c r="G877" s="156">
        <v>44531</v>
      </c>
      <c r="H877" t="s">
        <v>1353</v>
      </c>
      <c r="I877">
        <v>716544</v>
      </c>
      <c r="K877">
        <v>136143.36000000002</v>
      </c>
      <c r="M877">
        <v>0</v>
      </c>
      <c r="N877">
        <v>0</v>
      </c>
      <c r="O877">
        <v>0</v>
      </c>
      <c r="P877" s="117">
        <v>852687.35999999999</v>
      </c>
      <c r="Q877" s="117" t="s">
        <v>1021</v>
      </c>
      <c r="R877" s="150">
        <v>0</v>
      </c>
      <c r="S877" s="117" t="b">
        <f>OR(COUNTIF(Tabla2[[#This Row],[PROVEEDOR]],"*"&amp;'Palabra no opera'!$A$2&amp;"*"))</f>
        <v>1</v>
      </c>
      <c r="T877" s="150">
        <f>+$W$5-Tabla2[[#This Row],[FECHA DE FACTURACIÓN]]</f>
        <v>303</v>
      </c>
      <c r="U877" t="str">
        <f>+IF(Tabla2[[#This Row],[dias de credito]]&gt;=Tabla2[[#This Row],[PLAZO Días]],"venc", "No venc")</f>
        <v>venc</v>
      </c>
      <c r="V877" t="str">
        <f>+IF(Tabla2[[#This Row],[FECHA DE PAGO]]&gt;0,"pagada","por pagar")</f>
        <v>pagada</v>
      </c>
      <c r="W877" s="152" t="str">
        <f>+IF(AND(Tabla2[[#This Row],[venc]]="venc",Tabla2[[#This Row],[Columna1]]="por pagar"),"vencida","no")</f>
        <v>no</v>
      </c>
    </row>
    <row r="878" spans="1:23" x14ac:dyDescent="0.3">
      <c r="A878">
        <v>30</v>
      </c>
      <c r="B878">
        <v>0</v>
      </c>
      <c r="D878" t="s">
        <v>1688</v>
      </c>
      <c r="E878" s="156">
        <v>44554</v>
      </c>
      <c r="F878" t="s">
        <v>928</v>
      </c>
      <c r="G878" s="156">
        <v>44531</v>
      </c>
      <c r="H878" t="s">
        <v>592</v>
      </c>
      <c r="I878">
        <v>3937653</v>
      </c>
      <c r="K878">
        <v>0</v>
      </c>
      <c r="M878">
        <v>0</v>
      </c>
      <c r="N878">
        <v>3.5000000000000003E-2</v>
      </c>
      <c r="O878">
        <v>137817.85500000001</v>
      </c>
      <c r="P878" s="117">
        <v>3799835.145</v>
      </c>
      <c r="Q878" s="117" t="s">
        <v>1021</v>
      </c>
      <c r="R878" s="150">
        <v>0</v>
      </c>
      <c r="S878" s="117" t="b">
        <f>OR(COUNTIF(Tabla2[[#This Row],[PROVEEDOR]],"*"&amp;'Palabra no opera'!$A$2&amp;"*"))</f>
        <v>1</v>
      </c>
      <c r="T878" s="150">
        <f>+$W$5-Tabla2[[#This Row],[FECHA DE FACTURACIÓN]]</f>
        <v>303</v>
      </c>
      <c r="U878" t="str">
        <f>+IF(Tabla2[[#This Row],[dias de credito]]&gt;=Tabla2[[#This Row],[PLAZO Días]],"venc", "No venc")</f>
        <v>venc</v>
      </c>
      <c r="V878" t="str">
        <f>+IF(Tabla2[[#This Row],[FECHA DE PAGO]]&gt;0,"pagada","por pagar")</f>
        <v>pagada</v>
      </c>
      <c r="W878" s="152" t="str">
        <f>+IF(AND(Tabla2[[#This Row],[venc]]="venc",Tabla2[[#This Row],[Columna1]]="por pagar"),"vencida","no")</f>
        <v>no</v>
      </c>
    </row>
    <row r="879" spans="1:23" x14ac:dyDescent="0.3">
      <c r="A879">
        <v>30</v>
      </c>
      <c r="B879">
        <v>0</v>
      </c>
      <c r="D879" t="s">
        <v>259</v>
      </c>
      <c r="E879" s="156">
        <v>44554</v>
      </c>
      <c r="F879" t="s">
        <v>918</v>
      </c>
      <c r="G879" s="156">
        <v>44531</v>
      </c>
      <c r="H879">
        <v>9520</v>
      </c>
      <c r="I879">
        <v>1803180</v>
      </c>
      <c r="K879">
        <v>0</v>
      </c>
      <c r="M879">
        <v>0</v>
      </c>
      <c r="N879">
        <v>0</v>
      </c>
      <c r="O879">
        <v>0</v>
      </c>
      <c r="P879" s="117">
        <v>1803180</v>
      </c>
      <c r="Q879" s="117" t="s">
        <v>1021</v>
      </c>
      <c r="R879" s="150">
        <v>0</v>
      </c>
      <c r="S879" s="117" t="b">
        <f>OR(COUNTIF(Tabla2[[#This Row],[PROVEEDOR]],"*"&amp;'Palabra no opera'!$A$2&amp;"*"))</f>
        <v>1</v>
      </c>
      <c r="T879" s="150">
        <f>+$W$5-Tabla2[[#This Row],[FECHA DE FACTURACIÓN]]</f>
        <v>303</v>
      </c>
      <c r="U879" t="str">
        <f>+IF(Tabla2[[#This Row],[dias de credito]]&gt;=Tabla2[[#This Row],[PLAZO Días]],"venc", "No venc")</f>
        <v>venc</v>
      </c>
      <c r="V879" t="str">
        <f>+IF(Tabla2[[#This Row],[FECHA DE PAGO]]&gt;0,"pagada","por pagar")</f>
        <v>pagada</v>
      </c>
      <c r="W879" s="152" t="str">
        <f>+IF(AND(Tabla2[[#This Row],[venc]]="venc",Tabla2[[#This Row],[Columna1]]="por pagar"),"vencida","no")</f>
        <v>no</v>
      </c>
    </row>
    <row r="880" spans="1:23" x14ac:dyDescent="0.3">
      <c r="A880">
        <v>30</v>
      </c>
      <c r="B880">
        <v>0</v>
      </c>
      <c r="D880" t="s">
        <v>433</v>
      </c>
      <c r="E880" s="156">
        <v>44554</v>
      </c>
      <c r="F880" t="s">
        <v>925</v>
      </c>
      <c r="G880" s="156">
        <v>44531</v>
      </c>
      <c r="H880" t="s">
        <v>1354</v>
      </c>
      <c r="I880">
        <v>2789636</v>
      </c>
      <c r="K880">
        <v>0</v>
      </c>
      <c r="M880">
        <v>0</v>
      </c>
      <c r="N880">
        <v>3.5000000000000003E-2</v>
      </c>
      <c r="O880">
        <v>97637.260000000009</v>
      </c>
      <c r="P880" s="117">
        <v>2691998.74</v>
      </c>
      <c r="Q880" s="117" t="s">
        <v>1021</v>
      </c>
      <c r="R880" s="150">
        <v>0</v>
      </c>
      <c r="S880" s="117" t="b">
        <f>OR(COUNTIF(Tabla2[[#This Row],[PROVEEDOR]],"*"&amp;'Palabra no opera'!$A$2&amp;"*"))</f>
        <v>1</v>
      </c>
      <c r="T880" s="150">
        <f>+$W$5-Tabla2[[#This Row],[FECHA DE FACTURACIÓN]]</f>
        <v>303</v>
      </c>
      <c r="U880" t="str">
        <f>+IF(Tabla2[[#This Row],[dias de credito]]&gt;=Tabla2[[#This Row],[PLAZO Días]],"venc", "No venc")</f>
        <v>venc</v>
      </c>
      <c r="V880" t="str">
        <f>+IF(Tabla2[[#This Row],[FECHA DE PAGO]]&gt;0,"pagada","por pagar")</f>
        <v>pagada</v>
      </c>
      <c r="W880" s="152" t="str">
        <f>+IF(AND(Tabla2[[#This Row],[venc]]="venc",Tabla2[[#This Row],[Columna1]]="por pagar"),"vencida","no")</f>
        <v>no</v>
      </c>
    </row>
    <row r="881" spans="1:23" x14ac:dyDescent="0.3">
      <c r="A881">
        <v>30</v>
      </c>
      <c r="B881">
        <v>0</v>
      </c>
      <c r="D881" t="s">
        <v>141</v>
      </c>
      <c r="E881" s="156">
        <v>44554</v>
      </c>
      <c r="F881" t="s">
        <v>935</v>
      </c>
      <c r="G881" s="156">
        <v>44531</v>
      </c>
      <c r="I881">
        <v>326243</v>
      </c>
      <c r="K881">
        <v>0</v>
      </c>
      <c r="M881">
        <v>0</v>
      </c>
      <c r="N881">
        <v>0</v>
      </c>
      <c r="O881">
        <v>0</v>
      </c>
      <c r="P881" s="117">
        <v>326243</v>
      </c>
      <c r="Q881" s="117" t="s">
        <v>1021</v>
      </c>
      <c r="R881" s="150">
        <v>0</v>
      </c>
      <c r="S881" s="117" t="b">
        <f>OR(COUNTIF(Tabla2[[#This Row],[PROVEEDOR]],"*"&amp;'Palabra no opera'!$A$2&amp;"*"))</f>
        <v>1</v>
      </c>
      <c r="T881" s="150">
        <f>+$W$5-Tabla2[[#This Row],[FECHA DE FACTURACIÓN]]</f>
        <v>303</v>
      </c>
      <c r="U881" t="str">
        <f>+IF(Tabla2[[#This Row],[dias de credito]]&gt;=Tabla2[[#This Row],[PLAZO Días]],"venc", "No venc")</f>
        <v>venc</v>
      </c>
      <c r="V881" t="str">
        <f>+IF(Tabla2[[#This Row],[FECHA DE PAGO]]&gt;0,"pagada","por pagar")</f>
        <v>pagada</v>
      </c>
      <c r="W881" s="152" t="str">
        <f>+IF(AND(Tabla2[[#This Row],[venc]]="venc",Tabla2[[#This Row],[Columna1]]="por pagar"),"vencida","no")</f>
        <v>no</v>
      </c>
    </row>
    <row r="882" spans="1:23" x14ac:dyDescent="0.3">
      <c r="A882">
        <v>20</v>
      </c>
      <c r="B882">
        <v>0</v>
      </c>
      <c r="D882" t="s">
        <v>275</v>
      </c>
      <c r="E882" s="156">
        <v>44554</v>
      </c>
      <c r="F882" t="s">
        <v>942</v>
      </c>
      <c r="G882" s="156">
        <v>44531</v>
      </c>
      <c r="H882">
        <v>41293</v>
      </c>
      <c r="I882">
        <v>4430000</v>
      </c>
      <c r="K882">
        <v>841700</v>
      </c>
      <c r="M882">
        <v>0</v>
      </c>
      <c r="N882">
        <v>3.5000000000000003E-2</v>
      </c>
      <c r="O882">
        <v>155050.00000000003</v>
      </c>
      <c r="P882" s="117">
        <v>5116650</v>
      </c>
      <c r="Q882" s="117" t="s">
        <v>1021</v>
      </c>
      <c r="R882" s="150">
        <v>0</v>
      </c>
      <c r="S882" s="117" t="b">
        <f>OR(COUNTIF(Tabla2[[#This Row],[PROVEEDOR]],"*"&amp;'Palabra no opera'!$A$2&amp;"*"))</f>
        <v>1</v>
      </c>
      <c r="T882" s="150">
        <f>+$W$5-Tabla2[[#This Row],[FECHA DE FACTURACIÓN]]</f>
        <v>303</v>
      </c>
      <c r="U882" t="str">
        <f>+IF(Tabla2[[#This Row],[dias de credito]]&gt;=Tabla2[[#This Row],[PLAZO Días]],"venc", "No venc")</f>
        <v>venc</v>
      </c>
      <c r="V882" t="str">
        <f>+IF(Tabla2[[#This Row],[FECHA DE PAGO]]&gt;0,"pagada","por pagar")</f>
        <v>pagada</v>
      </c>
      <c r="W882" s="152" t="str">
        <f>+IF(AND(Tabla2[[#This Row],[venc]]="venc",Tabla2[[#This Row],[Columna1]]="por pagar"),"vencida","no")</f>
        <v>no</v>
      </c>
    </row>
    <row r="883" spans="1:23" x14ac:dyDescent="0.3">
      <c r="A883">
        <v>30</v>
      </c>
      <c r="B883">
        <v>8190204</v>
      </c>
      <c r="D883" t="s">
        <v>263</v>
      </c>
      <c r="E883" s="156">
        <v>44554</v>
      </c>
      <c r="F883" t="s">
        <v>1637</v>
      </c>
      <c r="G883" s="156">
        <v>44522</v>
      </c>
      <c r="H883">
        <v>7732</v>
      </c>
      <c r="I883">
        <v>256000</v>
      </c>
      <c r="K883">
        <v>48640</v>
      </c>
      <c r="M883">
        <v>0</v>
      </c>
      <c r="N883">
        <v>0</v>
      </c>
      <c r="O883">
        <v>0</v>
      </c>
      <c r="P883" s="117">
        <v>304640</v>
      </c>
      <c r="Q883" s="117" t="s">
        <v>1021</v>
      </c>
      <c r="R883" s="150">
        <v>0</v>
      </c>
      <c r="S883" s="117" t="b">
        <f>OR(COUNTIF(Tabla2[[#This Row],[PROVEEDOR]],"*"&amp;'Palabra no opera'!$A$2&amp;"*"))</f>
        <v>0</v>
      </c>
      <c r="T883" s="150">
        <f>+$W$5-Tabla2[[#This Row],[FECHA DE FACTURACIÓN]]</f>
        <v>312</v>
      </c>
      <c r="U883" t="str">
        <f>+IF(Tabla2[[#This Row],[dias de credito]]&gt;=Tabla2[[#This Row],[PLAZO Días]],"venc", "No venc")</f>
        <v>venc</v>
      </c>
      <c r="V883" t="str">
        <f>+IF(Tabla2[[#This Row],[FECHA DE PAGO]]&gt;0,"pagada","por pagar")</f>
        <v>pagada</v>
      </c>
      <c r="W883" s="152" t="str">
        <f>+IF(AND(Tabla2[[#This Row],[venc]]="venc",Tabla2[[#This Row],[Columna1]]="por pagar"),"vencida","no")</f>
        <v>no</v>
      </c>
    </row>
    <row r="884" spans="1:23" x14ac:dyDescent="0.3">
      <c r="A884">
        <v>30</v>
      </c>
      <c r="B884">
        <v>0</v>
      </c>
      <c r="D884">
        <v>0</v>
      </c>
      <c r="E884" s="156">
        <v>44554</v>
      </c>
      <c r="F884" t="s">
        <v>923</v>
      </c>
      <c r="G884" s="156">
        <v>44470</v>
      </c>
      <c r="H884" t="s">
        <v>1204</v>
      </c>
      <c r="I884">
        <v>256261</v>
      </c>
      <c r="K884">
        <v>0</v>
      </c>
      <c r="M884">
        <v>0</v>
      </c>
      <c r="N884">
        <v>0</v>
      </c>
      <c r="O884">
        <v>0</v>
      </c>
      <c r="P884" s="117">
        <v>256261</v>
      </c>
      <c r="Q884" s="117" t="s">
        <v>1021</v>
      </c>
      <c r="R884" s="150">
        <v>0</v>
      </c>
      <c r="S884" s="117" t="b">
        <f>OR(COUNTIF(Tabla2[[#This Row],[PROVEEDOR]],"*"&amp;'Palabra no opera'!$A$2&amp;"*"))</f>
        <v>1</v>
      </c>
      <c r="T884" s="150">
        <f>+$W$5-Tabla2[[#This Row],[FECHA DE FACTURACIÓN]]</f>
        <v>364</v>
      </c>
      <c r="U884" t="str">
        <f>+IF(Tabla2[[#This Row],[dias de credito]]&gt;=Tabla2[[#This Row],[PLAZO Días]],"venc", "No venc")</f>
        <v>venc</v>
      </c>
      <c r="V884" t="str">
        <f>+IF(Tabla2[[#This Row],[FECHA DE PAGO]]&gt;0,"pagada","por pagar")</f>
        <v>pagada</v>
      </c>
      <c r="W884" s="152" t="str">
        <f>+IF(AND(Tabla2[[#This Row],[venc]]="venc",Tabla2[[#This Row],[Columna1]]="por pagar"),"vencida","no")</f>
        <v>no</v>
      </c>
    </row>
    <row r="885" spans="1:23" x14ac:dyDescent="0.3">
      <c r="A885">
        <v>30</v>
      </c>
      <c r="B885">
        <v>0</v>
      </c>
      <c r="D885">
        <v>0</v>
      </c>
      <c r="E885" s="156">
        <v>44554</v>
      </c>
      <c r="F885" t="s">
        <v>923</v>
      </c>
      <c r="G885" s="156">
        <v>44470</v>
      </c>
      <c r="H885" t="s">
        <v>1205</v>
      </c>
      <c r="I885">
        <v>1545030</v>
      </c>
      <c r="K885">
        <v>0</v>
      </c>
      <c r="M885">
        <v>0</v>
      </c>
      <c r="N885">
        <v>0</v>
      </c>
      <c r="O885">
        <v>0</v>
      </c>
      <c r="P885" s="117">
        <v>1545030</v>
      </c>
      <c r="Q885" s="117" t="s">
        <v>1021</v>
      </c>
      <c r="R885" s="150">
        <v>0</v>
      </c>
      <c r="S885" s="117" t="b">
        <f>OR(COUNTIF(Tabla2[[#This Row],[PROVEEDOR]],"*"&amp;'Palabra no opera'!$A$2&amp;"*"))</f>
        <v>1</v>
      </c>
      <c r="T885" s="150">
        <f>+$W$5-Tabla2[[#This Row],[FECHA DE FACTURACIÓN]]</f>
        <v>364</v>
      </c>
      <c r="U885" t="str">
        <f>+IF(Tabla2[[#This Row],[dias de credito]]&gt;=Tabla2[[#This Row],[PLAZO Días]],"venc", "No venc")</f>
        <v>venc</v>
      </c>
      <c r="V885" t="str">
        <f>+IF(Tabla2[[#This Row],[FECHA DE PAGO]]&gt;0,"pagada","por pagar")</f>
        <v>pagada</v>
      </c>
      <c r="W885" s="152" t="str">
        <f>+IF(AND(Tabla2[[#This Row],[venc]]="venc",Tabla2[[#This Row],[Columna1]]="por pagar"),"vencida","no")</f>
        <v>no</v>
      </c>
    </row>
    <row r="886" spans="1:23" x14ac:dyDescent="0.3">
      <c r="A886">
        <v>90</v>
      </c>
      <c r="B886">
        <v>5541947.6899999995</v>
      </c>
      <c r="D886" t="s">
        <v>253</v>
      </c>
      <c r="E886" s="156">
        <v>44554</v>
      </c>
      <c r="F886" t="s">
        <v>12</v>
      </c>
      <c r="G886" s="156">
        <v>44462</v>
      </c>
      <c r="H886" t="s">
        <v>480</v>
      </c>
      <c r="I886">
        <v>3836134</v>
      </c>
      <c r="K886">
        <v>728865.46</v>
      </c>
      <c r="M886">
        <v>0</v>
      </c>
      <c r="N886">
        <v>2.5000000000000001E-2</v>
      </c>
      <c r="O886">
        <v>95903.35</v>
      </c>
      <c r="P886" s="117">
        <v>4469096.1100000003</v>
      </c>
      <c r="Q886" s="117" t="s">
        <v>1021</v>
      </c>
      <c r="R886" s="150">
        <v>0</v>
      </c>
      <c r="S886" s="117" t="b">
        <f>OR(COUNTIF(Tabla2[[#This Row],[PROVEEDOR]],"*"&amp;'Palabra no opera'!$A$2&amp;"*"))</f>
        <v>0</v>
      </c>
      <c r="T886" s="150">
        <f>+$W$5-Tabla2[[#This Row],[FECHA DE FACTURACIÓN]]</f>
        <v>372</v>
      </c>
      <c r="U886" t="str">
        <f>+IF(Tabla2[[#This Row],[dias de credito]]&gt;=Tabla2[[#This Row],[PLAZO Días]],"venc", "No venc")</f>
        <v>venc</v>
      </c>
      <c r="V886" t="str">
        <f>+IF(Tabla2[[#This Row],[FECHA DE PAGO]]&gt;0,"pagada","por pagar")</f>
        <v>pagada</v>
      </c>
      <c r="W886" s="152" t="str">
        <f>+IF(AND(Tabla2[[#This Row],[venc]]="venc",Tabla2[[#This Row],[Columna1]]="por pagar"),"vencida","no")</f>
        <v>no</v>
      </c>
    </row>
    <row r="887" spans="1:23" x14ac:dyDescent="0.3">
      <c r="A887">
        <v>30</v>
      </c>
      <c r="B887">
        <v>0</v>
      </c>
      <c r="D887" t="s">
        <v>139</v>
      </c>
      <c r="E887" s="156">
        <v>44553</v>
      </c>
      <c r="F887" t="s">
        <v>673</v>
      </c>
      <c r="G887" s="156">
        <v>44553</v>
      </c>
      <c r="I887">
        <v>2000000</v>
      </c>
      <c r="K887">
        <v>0</v>
      </c>
      <c r="M887">
        <v>0</v>
      </c>
      <c r="N887">
        <v>0</v>
      </c>
      <c r="O887">
        <v>0</v>
      </c>
      <c r="P887" s="117">
        <v>2000000</v>
      </c>
      <c r="Q887" s="117" t="s">
        <v>1021</v>
      </c>
      <c r="R887" s="150">
        <v>0</v>
      </c>
      <c r="S887" s="117" t="b">
        <f>OR(COUNTIF(Tabla2[[#This Row],[PROVEEDOR]],"*"&amp;'Palabra no opera'!$A$2&amp;"*"))</f>
        <v>0</v>
      </c>
      <c r="T887" s="150">
        <f>+$W$5-Tabla2[[#This Row],[FECHA DE FACTURACIÓN]]</f>
        <v>281</v>
      </c>
      <c r="U887" t="str">
        <f>+IF(Tabla2[[#This Row],[dias de credito]]&gt;=Tabla2[[#This Row],[PLAZO Días]],"venc", "No venc")</f>
        <v>venc</v>
      </c>
      <c r="V887" t="str">
        <f>+IF(Tabla2[[#This Row],[FECHA DE PAGO]]&gt;0,"pagada","por pagar")</f>
        <v>pagada</v>
      </c>
      <c r="W887" s="152" t="str">
        <f>+IF(AND(Tabla2[[#This Row],[venc]]="venc",Tabla2[[#This Row],[Columna1]]="por pagar"),"vencida","no")</f>
        <v>no</v>
      </c>
    </row>
    <row r="888" spans="1:23" x14ac:dyDescent="0.3">
      <c r="A888">
        <v>30</v>
      </c>
      <c r="B888">
        <v>0</v>
      </c>
      <c r="D888" t="s">
        <v>250</v>
      </c>
      <c r="E888" s="156">
        <v>44553</v>
      </c>
      <c r="F888" t="s">
        <v>1450</v>
      </c>
      <c r="G888" s="156">
        <v>44552</v>
      </c>
      <c r="H888">
        <v>316</v>
      </c>
      <c r="I888">
        <v>154000</v>
      </c>
      <c r="K888">
        <v>0</v>
      </c>
      <c r="M888">
        <v>0</v>
      </c>
      <c r="N888">
        <v>0</v>
      </c>
      <c r="O888">
        <v>0</v>
      </c>
      <c r="P888" s="117">
        <v>154000</v>
      </c>
      <c r="Q888" s="117" t="s">
        <v>1021</v>
      </c>
      <c r="R888" s="150">
        <v>0</v>
      </c>
      <c r="S888" s="117" t="b">
        <f>OR(COUNTIF(Tabla2[[#This Row],[PROVEEDOR]],"*"&amp;'Palabra no opera'!$A$2&amp;"*"))</f>
        <v>0</v>
      </c>
      <c r="T888" s="150">
        <f>+$W$5-Tabla2[[#This Row],[FECHA DE FACTURACIÓN]]</f>
        <v>282</v>
      </c>
      <c r="U888" t="str">
        <f>+IF(Tabla2[[#This Row],[dias de credito]]&gt;=Tabla2[[#This Row],[PLAZO Días]],"venc", "No venc")</f>
        <v>venc</v>
      </c>
      <c r="V888" t="str">
        <f>+IF(Tabla2[[#This Row],[FECHA DE PAGO]]&gt;0,"pagada","por pagar")</f>
        <v>pagada</v>
      </c>
      <c r="W888" s="152" t="str">
        <f>+IF(AND(Tabla2[[#This Row],[venc]]="venc",Tabla2[[#This Row],[Columna1]]="por pagar"),"vencida","no")</f>
        <v>no</v>
      </c>
    </row>
    <row r="889" spans="1:23" x14ac:dyDescent="0.3">
      <c r="A889">
        <v>30</v>
      </c>
      <c r="B889">
        <v>0</v>
      </c>
      <c r="D889" t="s">
        <v>139</v>
      </c>
      <c r="E889" s="156">
        <v>44553</v>
      </c>
      <c r="F889" t="s">
        <v>1130</v>
      </c>
      <c r="G889" s="156">
        <v>44537</v>
      </c>
      <c r="H889" t="s">
        <v>1357</v>
      </c>
      <c r="I889">
        <v>119980</v>
      </c>
      <c r="K889">
        <v>0</v>
      </c>
      <c r="M889">
        <v>0</v>
      </c>
      <c r="N889">
        <v>0</v>
      </c>
      <c r="O889">
        <v>0</v>
      </c>
      <c r="P889" s="117">
        <v>119980</v>
      </c>
      <c r="Q889" s="117" t="s">
        <v>1021</v>
      </c>
      <c r="R889" s="150">
        <v>0</v>
      </c>
      <c r="S889" s="117" t="b">
        <f>OR(COUNTIF(Tabla2[[#This Row],[PROVEEDOR]],"*"&amp;'Palabra no opera'!$A$2&amp;"*"))</f>
        <v>1</v>
      </c>
      <c r="T889" s="150">
        <f>+$W$5-Tabla2[[#This Row],[FECHA DE FACTURACIÓN]]</f>
        <v>297</v>
      </c>
      <c r="U889" t="str">
        <f>+IF(Tabla2[[#This Row],[dias de credito]]&gt;=Tabla2[[#This Row],[PLAZO Días]],"venc", "No venc")</f>
        <v>venc</v>
      </c>
      <c r="V889" t="str">
        <f>+IF(Tabla2[[#This Row],[FECHA DE PAGO]]&gt;0,"pagada","por pagar")</f>
        <v>pagada</v>
      </c>
      <c r="W889" s="152" t="str">
        <f>+IF(AND(Tabla2[[#This Row],[venc]]="venc",Tabla2[[#This Row],[Columna1]]="por pagar"),"vencida","no")</f>
        <v>no</v>
      </c>
    </row>
    <row r="890" spans="1:23" x14ac:dyDescent="0.3">
      <c r="A890">
        <v>30</v>
      </c>
      <c r="B890">
        <v>0</v>
      </c>
      <c r="D890" t="s">
        <v>139</v>
      </c>
      <c r="E890" s="156">
        <v>44552</v>
      </c>
      <c r="F890" t="s">
        <v>661</v>
      </c>
      <c r="G890" s="156">
        <v>44552</v>
      </c>
      <c r="H890" t="s">
        <v>1366</v>
      </c>
      <c r="I890">
        <v>820000</v>
      </c>
      <c r="K890">
        <v>0</v>
      </c>
      <c r="M890">
        <v>0</v>
      </c>
      <c r="N890">
        <v>0</v>
      </c>
      <c r="O890">
        <v>0</v>
      </c>
      <c r="P890" s="117">
        <v>820000</v>
      </c>
      <c r="Q890" s="117" t="s">
        <v>1021</v>
      </c>
      <c r="R890" s="150">
        <v>0</v>
      </c>
      <c r="S890" s="117" t="b">
        <f>OR(COUNTIF(Tabla2[[#This Row],[PROVEEDOR]],"*"&amp;'Palabra no opera'!$A$2&amp;"*"))</f>
        <v>0</v>
      </c>
      <c r="T890" s="150">
        <f>+$W$5-Tabla2[[#This Row],[FECHA DE FACTURACIÓN]]</f>
        <v>282</v>
      </c>
      <c r="U890" t="str">
        <f>+IF(Tabla2[[#This Row],[dias de credito]]&gt;=Tabla2[[#This Row],[PLAZO Días]],"venc", "No venc")</f>
        <v>venc</v>
      </c>
      <c r="V890" t="str">
        <f>+IF(Tabla2[[#This Row],[FECHA DE PAGO]]&gt;0,"pagada","por pagar")</f>
        <v>pagada</v>
      </c>
      <c r="W890" s="152" t="str">
        <f>+IF(AND(Tabla2[[#This Row],[venc]]="venc",Tabla2[[#This Row],[Columna1]]="por pagar"),"vencida","no")</f>
        <v>no</v>
      </c>
    </row>
    <row r="891" spans="1:23" x14ac:dyDescent="0.3">
      <c r="A891">
        <v>0</v>
      </c>
      <c r="B891">
        <v>0</v>
      </c>
      <c r="D891" t="s">
        <v>171</v>
      </c>
      <c r="E891" s="156">
        <v>44552</v>
      </c>
      <c r="F891" t="s">
        <v>939</v>
      </c>
      <c r="G891" s="156">
        <v>44536</v>
      </c>
      <c r="H891">
        <v>804</v>
      </c>
      <c r="I891">
        <v>600000</v>
      </c>
      <c r="K891">
        <v>114000</v>
      </c>
      <c r="M891">
        <v>0</v>
      </c>
      <c r="N891">
        <v>0</v>
      </c>
      <c r="O891">
        <v>0</v>
      </c>
      <c r="P891" s="117">
        <v>714000</v>
      </c>
      <c r="Q891" s="117" t="s">
        <v>1021</v>
      </c>
      <c r="R891" s="150">
        <v>0</v>
      </c>
      <c r="S891" s="117" t="b">
        <f>OR(COUNTIF(Tabla2[[#This Row],[PROVEEDOR]],"*"&amp;'Palabra no opera'!$A$2&amp;"*"))</f>
        <v>1</v>
      </c>
      <c r="T891" s="150">
        <f>+$W$5-Tabla2[[#This Row],[FECHA DE FACTURACIÓN]]</f>
        <v>298</v>
      </c>
      <c r="U891" t="str">
        <f>+IF(Tabla2[[#This Row],[dias de credito]]&gt;=Tabla2[[#This Row],[PLAZO Días]],"venc", "No venc")</f>
        <v>venc</v>
      </c>
      <c r="V891" t="str">
        <f>+IF(Tabla2[[#This Row],[FECHA DE PAGO]]&gt;0,"pagada","por pagar")</f>
        <v>pagada</v>
      </c>
      <c r="W891" s="152" t="str">
        <f>+IF(AND(Tabla2[[#This Row],[venc]]="venc",Tabla2[[#This Row],[Columna1]]="por pagar"),"vencida","no")</f>
        <v>no</v>
      </c>
    </row>
    <row r="892" spans="1:23" x14ac:dyDescent="0.3">
      <c r="A892">
        <v>30</v>
      </c>
      <c r="B892">
        <v>2111011.8149999999</v>
      </c>
      <c r="D892" t="s">
        <v>251</v>
      </c>
      <c r="E892" s="156">
        <v>44552</v>
      </c>
      <c r="F892" t="s">
        <v>216</v>
      </c>
      <c r="G892" s="156">
        <v>44530</v>
      </c>
      <c r="H892">
        <v>437</v>
      </c>
      <c r="I892">
        <v>1452941</v>
      </c>
      <c r="K892">
        <v>276058.78999999998</v>
      </c>
      <c r="M892">
        <v>0</v>
      </c>
      <c r="N892">
        <v>2.5000000000000001E-2</v>
      </c>
      <c r="O892">
        <v>36323.525000000001</v>
      </c>
      <c r="P892" s="117">
        <v>1692676.2650000001</v>
      </c>
      <c r="Q892" s="117" t="s">
        <v>1021</v>
      </c>
      <c r="R892" s="150">
        <v>0</v>
      </c>
      <c r="S892" s="117" t="b">
        <f>OR(COUNTIF(Tabla2[[#This Row],[PROVEEDOR]],"*"&amp;'Palabra no opera'!$A$2&amp;"*"))</f>
        <v>0</v>
      </c>
      <c r="T892" s="150">
        <f>+$W$5-Tabla2[[#This Row],[FECHA DE FACTURACIÓN]]</f>
        <v>304</v>
      </c>
      <c r="U892" t="str">
        <f>+IF(Tabla2[[#This Row],[dias de credito]]&gt;=Tabla2[[#This Row],[PLAZO Días]],"venc", "No venc")</f>
        <v>venc</v>
      </c>
      <c r="V892" t="str">
        <f>+IF(Tabla2[[#This Row],[FECHA DE PAGO]]&gt;0,"pagada","por pagar")</f>
        <v>pagada</v>
      </c>
      <c r="W892" s="152" t="str">
        <f>+IF(AND(Tabla2[[#This Row],[venc]]="venc",Tabla2[[#This Row],[Columna1]]="por pagar"),"vencida","no")</f>
        <v>no</v>
      </c>
    </row>
    <row r="893" spans="1:23" x14ac:dyDescent="0.3">
      <c r="A893">
        <v>30</v>
      </c>
      <c r="B893">
        <v>19675613.1195</v>
      </c>
      <c r="D893" t="s">
        <v>256</v>
      </c>
      <c r="E893" s="156">
        <v>44552</v>
      </c>
      <c r="F893" t="s">
        <v>18</v>
      </c>
      <c r="G893" s="156">
        <v>44519</v>
      </c>
      <c r="H893">
        <v>1046143</v>
      </c>
      <c r="I893">
        <v>2166866.4</v>
      </c>
      <c r="K893">
        <v>411704.61599999998</v>
      </c>
      <c r="M893">
        <v>0</v>
      </c>
      <c r="N893">
        <v>2.5000000000000001E-2</v>
      </c>
      <c r="O893">
        <v>54171.66</v>
      </c>
      <c r="P893" s="117">
        <v>2524399.3559999997</v>
      </c>
      <c r="Q893" s="117" t="s">
        <v>1021</v>
      </c>
      <c r="R893" s="150">
        <v>0</v>
      </c>
      <c r="S893" s="117" t="b">
        <f>OR(COUNTIF(Tabla2[[#This Row],[PROVEEDOR]],"*"&amp;'Palabra no opera'!$A$2&amp;"*"))</f>
        <v>0</v>
      </c>
      <c r="T893" s="150">
        <f>+$W$5-Tabla2[[#This Row],[FECHA DE FACTURACIÓN]]</f>
        <v>315</v>
      </c>
      <c r="U893" t="str">
        <f>+IF(Tabla2[[#This Row],[dias de credito]]&gt;=Tabla2[[#This Row],[PLAZO Días]],"venc", "No venc")</f>
        <v>venc</v>
      </c>
      <c r="V893" t="str">
        <f>+IF(Tabla2[[#This Row],[FECHA DE PAGO]]&gt;0,"pagada","por pagar")</f>
        <v>pagada</v>
      </c>
      <c r="W893" s="152" t="str">
        <f>+IF(AND(Tabla2[[#This Row],[venc]]="venc",Tabla2[[#This Row],[Columna1]]="por pagar"),"vencida","no")</f>
        <v>no</v>
      </c>
    </row>
    <row r="894" spans="1:23" x14ac:dyDescent="0.3">
      <c r="A894">
        <v>30</v>
      </c>
      <c r="B894">
        <v>4656887.12</v>
      </c>
      <c r="D894" t="s">
        <v>170</v>
      </c>
      <c r="E894" s="156">
        <v>44552</v>
      </c>
      <c r="F894" t="s">
        <v>20</v>
      </c>
      <c r="G894" s="156">
        <v>44518</v>
      </c>
      <c r="H894">
        <v>5616</v>
      </c>
      <c r="I894">
        <v>1848336.11</v>
      </c>
      <c r="K894">
        <v>351183.86090000003</v>
      </c>
      <c r="M894">
        <v>0</v>
      </c>
      <c r="N894">
        <v>2.5000000000000001E-2</v>
      </c>
      <c r="O894">
        <v>46208.402750000008</v>
      </c>
      <c r="P894" s="117">
        <v>2153311.5681500002</v>
      </c>
      <c r="Q894" s="117" t="s">
        <v>1021</v>
      </c>
      <c r="R894" s="150">
        <v>0</v>
      </c>
      <c r="S894" s="117" t="b">
        <f>OR(COUNTIF(Tabla2[[#This Row],[PROVEEDOR]],"*"&amp;'Palabra no opera'!$A$2&amp;"*"))</f>
        <v>0</v>
      </c>
      <c r="T894" s="150">
        <f>+$W$5-Tabla2[[#This Row],[FECHA DE FACTURACIÓN]]</f>
        <v>316</v>
      </c>
      <c r="U894" t="str">
        <f>+IF(Tabla2[[#This Row],[dias de credito]]&gt;=Tabla2[[#This Row],[PLAZO Días]],"venc", "No venc")</f>
        <v>venc</v>
      </c>
      <c r="V894" t="str">
        <f>+IF(Tabla2[[#This Row],[FECHA DE PAGO]]&gt;0,"pagada","por pagar")</f>
        <v>pagada</v>
      </c>
      <c r="W894" s="152" t="str">
        <f>+IF(AND(Tabla2[[#This Row],[venc]]="venc",Tabla2[[#This Row],[Columna1]]="por pagar"),"vencida","no")</f>
        <v>no</v>
      </c>
    </row>
    <row r="895" spans="1:23" x14ac:dyDescent="0.3">
      <c r="A895">
        <v>30</v>
      </c>
      <c r="B895">
        <v>749999.88</v>
      </c>
      <c r="D895" t="s">
        <v>249</v>
      </c>
      <c r="E895" s="156">
        <v>44552</v>
      </c>
      <c r="F895" t="s">
        <v>49</v>
      </c>
      <c r="G895" s="156">
        <v>44518</v>
      </c>
      <c r="H895">
        <v>4887</v>
      </c>
      <c r="I895">
        <v>2336200</v>
      </c>
      <c r="K895">
        <v>443878</v>
      </c>
      <c r="M895">
        <v>0</v>
      </c>
      <c r="N895">
        <v>2.5000000000000001E-2</v>
      </c>
      <c r="O895">
        <v>58405</v>
      </c>
      <c r="P895" s="117">
        <v>2721673</v>
      </c>
      <c r="Q895" s="117" t="s">
        <v>1021</v>
      </c>
      <c r="R895" s="150">
        <v>0</v>
      </c>
      <c r="S895" s="117" t="b">
        <f>OR(COUNTIF(Tabla2[[#This Row],[PROVEEDOR]],"*"&amp;'Palabra no opera'!$A$2&amp;"*"))</f>
        <v>0</v>
      </c>
      <c r="T895" s="150">
        <f>+$W$5-Tabla2[[#This Row],[FECHA DE FACTURACIÓN]]</f>
        <v>316</v>
      </c>
      <c r="U895" t="str">
        <f>+IF(Tabla2[[#This Row],[dias de credito]]&gt;=Tabla2[[#This Row],[PLAZO Días]],"venc", "No venc")</f>
        <v>venc</v>
      </c>
      <c r="V895" t="str">
        <f>+IF(Tabla2[[#This Row],[FECHA DE PAGO]]&gt;0,"pagada","por pagar")</f>
        <v>pagada</v>
      </c>
      <c r="W895" s="152" t="str">
        <f>+IF(AND(Tabla2[[#This Row],[venc]]="venc",Tabla2[[#This Row],[Columna1]]="por pagar"),"vencida","no")</f>
        <v>no</v>
      </c>
    </row>
    <row r="896" spans="1:23" x14ac:dyDescent="0.3">
      <c r="A896">
        <v>30</v>
      </c>
      <c r="B896">
        <v>0</v>
      </c>
      <c r="D896" t="s">
        <v>554</v>
      </c>
      <c r="E896" s="156">
        <v>44552</v>
      </c>
      <c r="F896" t="s">
        <v>422</v>
      </c>
      <c r="G896" s="156">
        <v>44518</v>
      </c>
      <c r="H896">
        <v>10765</v>
      </c>
      <c r="I896">
        <v>2304000</v>
      </c>
      <c r="K896">
        <v>437760</v>
      </c>
      <c r="M896">
        <v>0</v>
      </c>
      <c r="N896">
        <v>2.5000000000000001E-2</v>
      </c>
      <c r="O896">
        <v>57600</v>
      </c>
      <c r="P896" s="117">
        <v>2684160</v>
      </c>
      <c r="Q896" s="117" t="s">
        <v>1021</v>
      </c>
      <c r="R896" s="150">
        <v>0</v>
      </c>
      <c r="S896" s="117" t="b">
        <f>OR(COUNTIF(Tabla2[[#This Row],[PROVEEDOR]],"*"&amp;'Palabra no opera'!$A$2&amp;"*"))</f>
        <v>0</v>
      </c>
      <c r="T896" s="150">
        <f>+$W$5-Tabla2[[#This Row],[FECHA DE FACTURACIÓN]]</f>
        <v>316</v>
      </c>
      <c r="U896" t="str">
        <f>+IF(Tabla2[[#This Row],[dias de credito]]&gt;=Tabla2[[#This Row],[PLAZO Días]],"venc", "No venc")</f>
        <v>venc</v>
      </c>
      <c r="V896" t="str">
        <f>+IF(Tabla2[[#This Row],[FECHA DE PAGO]]&gt;0,"pagada","por pagar")</f>
        <v>pagada</v>
      </c>
      <c r="W896" s="152" t="str">
        <f>+IF(AND(Tabla2[[#This Row],[venc]]="venc",Tabla2[[#This Row],[Columna1]]="por pagar"),"vencida","no")</f>
        <v>no</v>
      </c>
    </row>
    <row r="897" spans="1:23" x14ac:dyDescent="0.3">
      <c r="A897">
        <v>30</v>
      </c>
      <c r="B897">
        <v>1865958.0154999997</v>
      </c>
      <c r="D897" t="s">
        <v>718</v>
      </c>
      <c r="E897" s="156">
        <v>44552</v>
      </c>
      <c r="F897" t="s">
        <v>508</v>
      </c>
      <c r="G897" s="156">
        <v>44513</v>
      </c>
      <c r="H897" t="s">
        <v>539</v>
      </c>
      <c r="I897">
        <v>968910</v>
      </c>
      <c r="K897">
        <v>184092.9</v>
      </c>
      <c r="M897">
        <v>0</v>
      </c>
      <c r="N897">
        <v>0</v>
      </c>
      <c r="O897">
        <v>0</v>
      </c>
      <c r="P897" s="117">
        <v>1153002.8999999999</v>
      </c>
      <c r="Q897" s="117" t="s">
        <v>1021</v>
      </c>
      <c r="R897" s="150">
        <v>0</v>
      </c>
      <c r="S897" s="117" t="b">
        <f>OR(COUNTIF(Tabla2[[#This Row],[PROVEEDOR]],"*"&amp;'Palabra no opera'!$A$2&amp;"*"))</f>
        <v>0</v>
      </c>
      <c r="T897" s="150">
        <f>+$W$5-Tabla2[[#This Row],[FECHA DE FACTURACIÓN]]</f>
        <v>321</v>
      </c>
      <c r="U897" t="str">
        <f>+IF(Tabla2[[#This Row],[dias de credito]]&gt;=Tabla2[[#This Row],[PLAZO Días]],"venc", "No venc")</f>
        <v>venc</v>
      </c>
      <c r="V897" t="str">
        <f>+IF(Tabla2[[#This Row],[FECHA DE PAGO]]&gt;0,"pagada","por pagar")</f>
        <v>pagada</v>
      </c>
      <c r="W897" s="152" t="str">
        <f>+IF(AND(Tabla2[[#This Row],[venc]]="venc",Tabla2[[#This Row],[Columna1]]="por pagar"),"vencida","no")</f>
        <v>no</v>
      </c>
    </row>
    <row r="898" spans="1:23" x14ac:dyDescent="0.3">
      <c r="A898">
        <v>30</v>
      </c>
      <c r="B898">
        <v>0</v>
      </c>
      <c r="D898" t="s">
        <v>1653</v>
      </c>
      <c r="E898" s="156">
        <v>44552</v>
      </c>
      <c r="F898" t="s">
        <v>24</v>
      </c>
      <c r="G898" s="156">
        <v>44512</v>
      </c>
      <c r="H898" t="s">
        <v>527</v>
      </c>
      <c r="I898">
        <v>4635150</v>
      </c>
      <c r="K898">
        <v>880678.5</v>
      </c>
      <c r="M898">
        <v>0</v>
      </c>
      <c r="N898">
        <v>2.5000000000000001E-2</v>
      </c>
      <c r="O898">
        <v>115878.75</v>
      </c>
      <c r="P898" s="117">
        <v>5399949.75</v>
      </c>
      <c r="Q898" s="117" t="s">
        <v>1021</v>
      </c>
      <c r="R898" s="150">
        <v>0</v>
      </c>
      <c r="S898" s="117" t="b">
        <f>OR(COUNTIF(Tabla2[[#This Row],[PROVEEDOR]],"*"&amp;'Palabra no opera'!$A$2&amp;"*"))</f>
        <v>0</v>
      </c>
      <c r="T898" s="150">
        <f>+$W$5-Tabla2[[#This Row],[FECHA DE FACTURACIÓN]]</f>
        <v>322</v>
      </c>
      <c r="U898" t="str">
        <f>+IF(Tabla2[[#This Row],[dias de credito]]&gt;=Tabla2[[#This Row],[PLAZO Días]],"venc", "No venc")</f>
        <v>venc</v>
      </c>
      <c r="V898" t="str">
        <f>+IF(Tabla2[[#This Row],[FECHA DE PAGO]]&gt;0,"pagada","por pagar")</f>
        <v>pagada</v>
      </c>
      <c r="W898" s="152" t="str">
        <f>+IF(AND(Tabla2[[#This Row],[venc]]="venc",Tabla2[[#This Row],[Columna1]]="por pagar"),"vencida","no")</f>
        <v>no</v>
      </c>
    </row>
    <row r="899" spans="1:23" x14ac:dyDescent="0.3">
      <c r="A899">
        <v>45</v>
      </c>
      <c r="B899">
        <v>7497238</v>
      </c>
      <c r="D899" t="s">
        <v>272</v>
      </c>
      <c r="E899" s="156">
        <v>44552</v>
      </c>
      <c r="F899" t="s">
        <v>10</v>
      </c>
      <c r="G899" s="156">
        <v>44503</v>
      </c>
      <c r="H899" t="s">
        <v>524</v>
      </c>
      <c r="I899">
        <v>8899600</v>
      </c>
      <c r="K899">
        <v>1690924</v>
      </c>
      <c r="M899">
        <v>0</v>
      </c>
      <c r="N899">
        <v>0</v>
      </c>
      <c r="O899">
        <v>0</v>
      </c>
      <c r="P899" s="117">
        <v>10590524</v>
      </c>
      <c r="Q899" s="117" t="s">
        <v>1021</v>
      </c>
      <c r="R899" s="150">
        <v>0</v>
      </c>
      <c r="S899" s="117" t="b">
        <f>OR(COUNTIF(Tabla2[[#This Row],[PROVEEDOR]],"*"&amp;'Palabra no opera'!$A$2&amp;"*"))</f>
        <v>0</v>
      </c>
      <c r="T899" s="150">
        <f>+$W$5-Tabla2[[#This Row],[FECHA DE FACTURACIÓN]]</f>
        <v>331</v>
      </c>
      <c r="U899" t="str">
        <f>+IF(Tabla2[[#This Row],[dias de credito]]&gt;=Tabla2[[#This Row],[PLAZO Días]],"venc", "No venc")</f>
        <v>venc</v>
      </c>
      <c r="V899" t="str">
        <f>+IF(Tabla2[[#This Row],[FECHA DE PAGO]]&gt;0,"pagada","por pagar")</f>
        <v>pagada</v>
      </c>
      <c r="W899" s="152" t="str">
        <f>+IF(AND(Tabla2[[#This Row],[venc]]="venc",Tabla2[[#This Row],[Columna1]]="por pagar"),"vencida","no")</f>
        <v>no</v>
      </c>
    </row>
    <row r="900" spans="1:23" x14ac:dyDescent="0.3">
      <c r="A900">
        <v>45</v>
      </c>
      <c r="B900">
        <v>7497238</v>
      </c>
      <c r="D900" t="s">
        <v>272</v>
      </c>
      <c r="E900" s="156">
        <v>44552</v>
      </c>
      <c r="F900" t="s">
        <v>10</v>
      </c>
      <c r="G900" s="156">
        <v>44503</v>
      </c>
      <c r="H900" t="s">
        <v>525</v>
      </c>
      <c r="I900">
        <v>-7200000</v>
      </c>
      <c r="K900">
        <v>-1368000</v>
      </c>
      <c r="M900">
        <v>0</v>
      </c>
      <c r="N900">
        <v>0</v>
      </c>
      <c r="O900">
        <v>0</v>
      </c>
      <c r="P900" s="117">
        <v>-8568000</v>
      </c>
      <c r="Q900" s="117" t="s">
        <v>1021</v>
      </c>
      <c r="R900" s="150">
        <v>0</v>
      </c>
      <c r="S900" s="117" t="b">
        <f>OR(COUNTIF(Tabla2[[#This Row],[PROVEEDOR]],"*"&amp;'Palabra no opera'!$A$2&amp;"*"))</f>
        <v>0</v>
      </c>
      <c r="T900" s="150">
        <f>+$W$5-Tabla2[[#This Row],[FECHA DE FACTURACIÓN]]</f>
        <v>331</v>
      </c>
      <c r="U900" t="str">
        <f>+IF(Tabla2[[#This Row],[dias de credito]]&gt;=Tabla2[[#This Row],[PLAZO Días]],"venc", "No venc")</f>
        <v>venc</v>
      </c>
      <c r="V900" t="str">
        <f>+IF(Tabla2[[#This Row],[FECHA DE PAGO]]&gt;0,"pagada","por pagar")</f>
        <v>pagada</v>
      </c>
      <c r="W900" s="152" t="str">
        <f>+IF(AND(Tabla2[[#This Row],[venc]]="venc",Tabla2[[#This Row],[Columna1]]="por pagar"),"vencida","no")</f>
        <v>no</v>
      </c>
    </row>
    <row r="901" spans="1:23" x14ac:dyDescent="0.3">
      <c r="A901">
        <v>30</v>
      </c>
      <c r="B901">
        <v>0</v>
      </c>
      <c r="D901" t="s">
        <v>139</v>
      </c>
      <c r="E901" s="156">
        <v>44552</v>
      </c>
      <c r="F901" t="s">
        <v>625</v>
      </c>
      <c r="G901" s="156">
        <v>44494</v>
      </c>
      <c r="H901" t="s">
        <v>1507</v>
      </c>
      <c r="I901">
        <v>1255000</v>
      </c>
      <c r="K901">
        <v>0</v>
      </c>
      <c r="M901">
        <v>0</v>
      </c>
      <c r="N901">
        <v>0</v>
      </c>
      <c r="O901">
        <v>0</v>
      </c>
      <c r="P901" s="117">
        <v>1255000</v>
      </c>
      <c r="Q901" s="117" t="s">
        <v>1021</v>
      </c>
      <c r="R901" s="150">
        <v>0</v>
      </c>
      <c r="S901" s="117" t="b">
        <f>OR(COUNTIF(Tabla2[[#This Row],[PROVEEDOR]],"*"&amp;'Palabra no opera'!$A$2&amp;"*"))</f>
        <v>0</v>
      </c>
      <c r="T901" s="150">
        <f>+$W$5-Tabla2[[#This Row],[FECHA DE FACTURACIÓN]]</f>
        <v>340</v>
      </c>
      <c r="U901" t="str">
        <f>+IF(Tabla2[[#This Row],[dias de credito]]&gt;=Tabla2[[#This Row],[PLAZO Días]],"venc", "No venc")</f>
        <v>venc</v>
      </c>
      <c r="V901" t="str">
        <f>+IF(Tabla2[[#This Row],[FECHA DE PAGO]]&gt;0,"pagada","por pagar")</f>
        <v>pagada</v>
      </c>
      <c r="W901" s="152" t="str">
        <f>+IF(AND(Tabla2[[#This Row],[venc]]="venc",Tabla2[[#This Row],[Columna1]]="por pagar"),"vencida","no")</f>
        <v>no</v>
      </c>
    </row>
    <row r="902" spans="1:23" x14ac:dyDescent="0.3">
      <c r="A902">
        <v>30</v>
      </c>
      <c r="B902">
        <v>0</v>
      </c>
      <c r="D902" t="s">
        <v>139</v>
      </c>
      <c r="E902" s="156">
        <v>44552</v>
      </c>
      <c r="F902" t="s">
        <v>625</v>
      </c>
      <c r="G902" s="156">
        <v>44494</v>
      </c>
      <c r="H902" t="s">
        <v>1508</v>
      </c>
      <c r="I902">
        <v>4715000</v>
      </c>
      <c r="K902">
        <v>0</v>
      </c>
      <c r="M902">
        <v>0</v>
      </c>
      <c r="N902">
        <v>0</v>
      </c>
      <c r="O902">
        <v>0</v>
      </c>
      <c r="P902" s="117">
        <v>4715000</v>
      </c>
      <c r="Q902" s="117" t="s">
        <v>1021</v>
      </c>
      <c r="R902" s="150">
        <v>0</v>
      </c>
      <c r="S902" s="117" t="b">
        <f>OR(COUNTIF(Tabla2[[#This Row],[PROVEEDOR]],"*"&amp;'Palabra no opera'!$A$2&amp;"*"))</f>
        <v>0</v>
      </c>
      <c r="T902" s="150">
        <f>+$W$5-Tabla2[[#This Row],[FECHA DE FACTURACIÓN]]</f>
        <v>340</v>
      </c>
      <c r="U902" t="str">
        <f>+IF(Tabla2[[#This Row],[dias de credito]]&gt;=Tabla2[[#This Row],[PLAZO Días]],"venc", "No venc")</f>
        <v>venc</v>
      </c>
      <c r="V902" t="str">
        <f>+IF(Tabla2[[#This Row],[FECHA DE PAGO]]&gt;0,"pagada","por pagar")</f>
        <v>pagada</v>
      </c>
      <c r="W902" s="152" t="str">
        <f>+IF(AND(Tabla2[[#This Row],[venc]]="venc",Tabla2[[#This Row],[Columna1]]="por pagar"),"vencida","no")</f>
        <v>no</v>
      </c>
    </row>
    <row r="903" spans="1:23" x14ac:dyDescent="0.3">
      <c r="A903">
        <v>30</v>
      </c>
      <c r="B903">
        <v>0</v>
      </c>
      <c r="D903" t="s">
        <v>139</v>
      </c>
      <c r="E903" s="156">
        <v>44552</v>
      </c>
      <c r="F903" t="s">
        <v>625</v>
      </c>
      <c r="G903" s="156">
        <v>44494</v>
      </c>
      <c r="H903" t="s">
        <v>1509</v>
      </c>
      <c r="I903">
        <v>5036000</v>
      </c>
      <c r="K903">
        <v>0</v>
      </c>
      <c r="M903">
        <v>0</v>
      </c>
      <c r="N903">
        <v>0</v>
      </c>
      <c r="O903">
        <v>0</v>
      </c>
      <c r="P903" s="117">
        <v>5036000</v>
      </c>
      <c r="Q903" s="117" t="s">
        <v>1021</v>
      </c>
      <c r="R903" s="150">
        <v>0</v>
      </c>
      <c r="S903" s="117" t="b">
        <f>OR(COUNTIF(Tabla2[[#This Row],[PROVEEDOR]],"*"&amp;'Palabra no opera'!$A$2&amp;"*"))</f>
        <v>0</v>
      </c>
      <c r="T903" s="150">
        <f>+$W$5-Tabla2[[#This Row],[FECHA DE FACTURACIÓN]]</f>
        <v>340</v>
      </c>
      <c r="U903" t="str">
        <f>+IF(Tabla2[[#This Row],[dias de credito]]&gt;=Tabla2[[#This Row],[PLAZO Días]],"venc", "No venc")</f>
        <v>venc</v>
      </c>
      <c r="V903" t="str">
        <f>+IF(Tabla2[[#This Row],[FECHA DE PAGO]]&gt;0,"pagada","por pagar")</f>
        <v>pagada</v>
      </c>
      <c r="W903" s="152" t="str">
        <f>+IF(AND(Tabla2[[#This Row],[venc]]="venc",Tabla2[[#This Row],[Columna1]]="por pagar"),"vencida","no")</f>
        <v>no</v>
      </c>
    </row>
    <row r="904" spans="1:23" x14ac:dyDescent="0.3">
      <c r="A904">
        <v>30</v>
      </c>
      <c r="B904">
        <v>2111011.8149999999</v>
      </c>
      <c r="D904" t="s">
        <v>251</v>
      </c>
      <c r="E904" s="156">
        <v>44552</v>
      </c>
      <c r="F904" t="s">
        <v>216</v>
      </c>
      <c r="G904" s="156">
        <v>44494</v>
      </c>
      <c r="H904">
        <v>410</v>
      </c>
      <c r="I904">
        <v>1807563</v>
      </c>
      <c r="K904">
        <v>343436.97000000003</v>
      </c>
      <c r="M904">
        <v>0</v>
      </c>
      <c r="N904">
        <v>2.5000000000000001E-2</v>
      </c>
      <c r="O904">
        <v>45189.075000000004</v>
      </c>
      <c r="P904" s="117">
        <v>2105810.895</v>
      </c>
      <c r="Q904" s="117" t="s">
        <v>1021</v>
      </c>
      <c r="R904" s="150">
        <v>0</v>
      </c>
      <c r="S904" s="117" t="b">
        <f>OR(COUNTIF(Tabla2[[#This Row],[PROVEEDOR]],"*"&amp;'Palabra no opera'!$A$2&amp;"*"))</f>
        <v>0</v>
      </c>
      <c r="T904" s="150">
        <f>+$W$5-Tabla2[[#This Row],[FECHA DE FACTURACIÓN]]</f>
        <v>340</v>
      </c>
      <c r="U904" t="str">
        <f>+IF(Tabla2[[#This Row],[dias de credito]]&gt;=Tabla2[[#This Row],[PLAZO Días]],"venc", "No venc")</f>
        <v>venc</v>
      </c>
      <c r="V904" t="str">
        <f>+IF(Tabla2[[#This Row],[FECHA DE PAGO]]&gt;0,"pagada","por pagar")</f>
        <v>pagada</v>
      </c>
      <c r="W904" s="152" t="str">
        <f>+IF(AND(Tabla2[[#This Row],[venc]]="venc",Tabla2[[#This Row],[Columna1]]="por pagar"),"vencida","no")</f>
        <v>no</v>
      </c>
    </row>
    <row r="905" spans="1:23" x14ac:dyDescent="0.3">
      <c r="A905">
        <v>0</v>
      </c>
      <c r="B905">
        <v>0</v>
      </c>
      <c r="D905" t="s">
        <v>171</v>
      </c>
      <c r="E905" s="156">
        <v>44552</v>
      </c>
      <c r="F905" t="s">
        <v>939</v>
      </c>
      <c r="G905" s="156">
        <v>44393</v>
      </c>
      <c r="H905" t="s">
        <v>559</v>
      </c>
      <c r="I905">
        <v>-21000</v>
      </c>
      <c r="K905">
        <v>-3990</v>
      </c>
      <c r="M905">
        <v>0</v>
      </c>
      <c r="N905">
        <v>0</v>
      </c>
      <c r="O905">
        <v>0</v>
      </c>
      <c r="P905" s="117">
        <v>-24990</v>
      </c>
      <c r="Q905" s="117" t="s">
        <v>1021</v>
      </c>
      <c r="R905" s="150">
        <v>0</v>
      </c>
      <c r="S905" s="117" t="b">
        <f>OR(COUNTIF(Tabla2[[#This Row],[PROVEEDOR]],"*"&amp;'Palabra no opera'!$A$2&amp;"*"))</f>
        <v>1</v>
      </c>
      <c r="T905" s="150">
        <f>+$W$5-Tabla2[[#This Row],[FECHA DE FACTURACIÓN]]</f>
        <v>441</v>
      </c>
      <c r="U905" t="str">
        <f>+IF(Tabla2[[#This Row],[dias de credito]]&gt;=Tabla2[[#This Row],[PLAZO Días]],"venc", "No venc")</f>
        <v>venc</v>
      </c>
      <c r="V905" t="str">
        <f>+IF(Tabla2[[#This Row],[FECHA DE PAGO]]&gt;0,"pagada","por pagar")</f>
        <v>pagada</v>
      </c>
      <c r="W905" s="152" t="str">
        <f>+IF(AND(Tabla2[[#This Row],[venc]]="venc",Tabla2[[#This Row],[Columna1]]="por pagar"),"vencida","no")</f>
        <v>no</v>
      </c>
    </row>
    <row r="906" spans="1:23" x14ac:dyDescent="0.3">
      <c r="A906">
        <v>30</v>
      </c>
      <c r="B906">
        <v>0</v>
      </c>
      <c r="D906" t="s">
        <v>139</v>
      </c>
      <c r="E906" s="156">
        <v>44551</v>
      </c>
      <c r="F906" t="s">
        <v>644</v>
      </c>
      <c r="G906" s="156">
        <v>44551</v>
      </c>
      <c r="H906" t="s">
        <v>1548</v>
      </c>
      <c r="I906">
        <v>92000</v>
      </c>
      <c r="K906">
        <v>0</v>
      </c>
      <c r="M906">
        <v>0</v>
      </c>
      <c r="N906">
        <v>0</v>
      </c>
      <c r="O906">
        <v>0</v>
      </c>
      <c r="P906" s="117">
        <v>92000</v>
      </c>
      <c r="Q906" s="117" t="s">
        <v>1021</v>
      </c>
      <c r="R906" s="150">
        <v>0</v>
      </c>
      <c r="S906" s="117" t="b">
        <f>OR(COUNTIF(Tabla2[[#This Row],[PROVEEDOR]],"*"&amp;'Palabra no opera'!$A$2&amp;"*"))</f>
        <v>0</v>
      </c>
      <c r="T906" s="150">
        <f>+$W$5-Tabla2[[#This Row],[FECHA DE FACTURACIÓN]]</f>
        <v>283</v>
      </c>
      <c r="U906" t="str">
        <f>+IF(Tabla2[[#This Row],[dias de credito]]&gt;=Tabla2[[#This Row],[PLAZO Días]],"venc", "No venc")</f>
        <v>venc</v>
      </c>
      <c r="V906" t="str">
        <f>+IF(Tabla2[[#This Row],[FECHA DE PAGO]]&gt;0,"pagada","por pagar")</f>
        <v>pagada</v>
      </c>
      <c r="W906" s="152" t="str">
        <f>+IF(AND(Tabla2[[#This Row],[venc]]="venc",Tabla2[[#This Row],[Columna1]]="por pagar"),"vencida","no")</f>
        <v>no</v>
      </c>
    </row>
    <row r="907" spans="1:23" x14ac:dyDescent="0.3">
      <c r="A907">
        <v>30</v>
      </c>
      <c r="B907">
        <v>0</v>
      </c>
      <c r="D907" t="s">
        <v>258</v>
      </c>
      <c r="E907" s="156">
        <v>44551</v>
      </c>
      <c r="F907" t="s">
        <v>667</v>
      </c>
      <c r="G907" s="156">
        <v>44518</v>
      </c>
      <c r="H907" t="s">
        <v>1528</v>
      </c>
      <c r="I907">
        <v>1163000</v>
      </c>
      <c r="K907">
        <v>0</v>
      </c>
      <c r="M907">
        <v>0</v>
      </c>
      <c r="N907">
        <v>0</v>
      </c>
      <c r="O907">
        <v>0</v>
      </c>
      <c r="P907" s="117">
        <v>1163000</v>
      </c>
      <c r="Q907" s="117" t="s">
        <v>1021</v>
      </c>
      <c r="R907" s="150">
        <v>0</v>
      </c>
      <c r="S907" s="117" t="b">
        <f>OR(COUNTIF(Tabla2[[#This Row],[PROVEEDOR]],"*"&amp;'Palabra no opera'!$A$2&amp;"*"))</f>
        <v>0</v>
      </c>
      <c r="T907" s="150">
        <f>+$W$5-Tabla2[[#This Row],[FECHA DE FACTURACIÓN]]</f>
        <v>316</v>
      </c>
      <c r="U907" t="str">
        <f>+IF(Tabla2[[#This Row],[dias de credito]]&gt;=Tabla2[[#This Row],[PLAZO Días]],"venc", "No venc")</f>
        <v>venc</v>
      </c>
      <c r="V907" t="str">
        <f>+IF(Tabla2[[#This Row],[FECHA DE PAGO]]&gt;0,"pagada","por pagar")</f>
        <v>pagada</v>
      </c>
      <c r="W907" s="152" t="str">
        <f>+IF(AND(Tabla2[[#This Row],[venc]]="venc",Tabla2[[#This Row],[Columna1]]="por pagar"),"vencida","no")</f>
        <v>no</v>
      </c>
    </row>
    <row r="908" spans="1:23" x14ac:dyDescent="0.3">
      <c r="A908">
        <v>30</v>
      </c>
      <c r="B908">
        <v>0</v>
      </c>
      <c r="D908" t="s">
        <v>622</v>
      </c>
      <c r="E908" s="156">
        <v>44551</v>
      </c>
      <c r="F908" t="s">
        <v>623</v>
      </c>
      <c r="G908" s="156">
        <v>44495</v>
      </c>
      <c r="H908" t="s">
        <v>1511</v>
      </c>
      <c r="I908">
        <v>3345300</v>
      </c>
      <c r="K908">
        <v>0</v>
      </c>
      <c r="M908">
        <v>0</v>
      </c>
      <c r="N908">
        <v>0</v>
      </c>
      <c r="O908">
        <v>0</v>
      </c>
      <c r="P908" s="117">
        <v>3345300</v>
      </c>
      <c r="Q908" s="117" t="s">
        <v>1021</v>
      </c>
      <c r="R908" s="150">
        <v>0</v>
      </c>
      <c r="S908" s="117" t="b">
        <f>OR(COUNTIF(Tabla2[[#This Row],[PROVEEDOR]],"*"&amp;'Palabra no opera'!$A$2&amp;"*"))</f>
        <v>0</v>
      </c>
      <c r="T908" s="150">
        <f>+$W$5-Tabla2[[#This Row],[FECHA DE FACTURACIÓN]]</f>
        <v>339</v>
      </c>
      <c r="U908" t="str">
        <f>+IF(Tabla2[[#This Row],[dias de credito]]&gt;=Tabla2[[#This Row],[PLAZO Días]],"venc", "No venc")</f>
        <v>venc</v>
      </c>
      <c r="V908" t="str">
        <f>+IF(Tabla2[[#This Row],[FECHA DE PAGO]]&gt;0,"pagada","por pagar")</f>
        <v>pagada</v>
      </c>
      <c r="W908" s="152" t="str">
        <f>+IF(AND(Tabla2[[#This Row],[venc]]="venc",Tabla2[[#This Row],[Columna1]]="por pagar"),"vencida","no")</f>
        <v>no</v>
      </c>
    </row>
    <row r="909" spans="1:23" x14ac:dyDescent="0.3">
      <c r="A909">
        <v>30</v>
      </c>
      <c r="B909">
        <v>0</v>
      </c>
      <c r="D909" t="s">
        <v>139</v>
      </c>
      <c r="E909" s="156">
        <v>44550</v>
      </c>
      <c r="F909" t="s">
        <v>635</v>
      </c>
      <c r="G909" s="156">
        <v>44550</v>
      </c>
      <c r="H909" t="s">
        <v>1546</v>
      </c>
      <c r="I909">
        <v>610000</v>
      </c>
      <c r="K909">
        <v>0</v>
      </c>
      <c r="M909">
        <v>0</v>
      </c>
      <c r="N909">
        <v>0</v>
      </c>
      <c r="O909">
        <v>0</v>
      </c>
      <c r="P909" s="117">
        <v>610000</v>
      </c>
      <c r="Q909" s="117" t="s">
        <v>1021</v>
      </c>
      <c r="R909" s="150">
        <v>0</v>
      </c>
      <c r="S909" s="117" t="b">
        <f>OR(COUNTIF(Tabla2[[#This Row],[PROVEEDOR]],"*"&amp;'Palabra no opera'!$A$2&amp;"*"))</f>
        <v>0</v>
      </c>
      <c r="T909" s="150">
        <f>+$W$5-Tabla2[[#This Row],[FECHA DE FACTURACIÓN]]</f>
        <v>284</v>
      </c>
      <c r="U909" t="str">
        <f>+IF(Tabla2[[#This Row],[dias de credito]]&gt;=Tabla2[[#This Row],[PLAZO Días]],"venc", "No venc")</f>
        <v>venc</v>
      </c>
      <c r="V909" t="str">
        <f>+IF(Tabla2[[#This Row],[FECHA DE PAGO]]&gt;0,"pagada","por pagar")</f>
        <v>pagada</v>
      </c>
      <c r="W909" s="152" t="str">
        <f>+IF(AND(Tabla2[[#This Row],[venc]]="venc",Tabla2[[#This Row],[Columna1]]="por pagar"),"vencida","no")</f>
        <v>no</v>
      </c>
    </row>
    <row r="910" spans="1:23" x14ac:dyDescent="0.3">
      <c r="A910">
        <v>30</v>
      </c>
      <c r="B910">
        <v>27452.91</v>
      </c>
      <c r="D910" t="s">
        <v>949</v>
      </c>
      <c r="E910" s="156">
        <v>44550</v>
      </c>
      <c r="F910" t="s">
        <v>118</v>
      </c>
      <c r="G910" s="156">
        <v>44546</v>
      </c>
      <c r="H910" t="s">
        <v>566</v>
      </c>
      <c r="I910">
        <v>627659</v>
      </c>
      <c r="K910">
        <v>0</v>
      </c>
      <c r="M910">
        <v>0</v>
      </c>
      <c r="N910">
        <v>0</v>
      </c>
      <c r="O910">
        <v>0</v>
      </c>
      <c r="P910" s="117">
        <v>627659</v>
      </c>
      <c r="Q910" s="117" t="s">
        <v>1021</v>
      </c>
      <c r="R910" s="150">
        <v>0</v>
      </c>
      <c r="S910" s="117" t="b">
        <f>OR(COUNTIF(Tabla2[[#This Row],[PROVEEDOR]],"*"&amp;'Palabra no opera'!$A$2&amp;"*"))</f>
        <v>0</v>
      </c>
      <c r="T910" s="150">
        <f>+$W$5-Tabla2[[#This Row],[FECHA DE FACTURACIÓN]]</f>
        <v>288</v>
      </c>
      <c r="U910" t="str">
        <f>+IF(Tabla2[[#This Row],[dias de credito]]&gt;=Tabla2[[#This Row],[PLAZO Días]],"venc", "No venc")</f>
        <v>venc</v>
      </c>
      <c r="V910" t="str">
        <f>+IF(Tabla2[[#This Row],[FECHA DE PAGO]]&gt;0,"pagada","por pagar")</f>
        <v>pagada</v>
      </c>
      <c r="W910" s="152" t="str">
        <f>+IF(AND(Tabla2[[#This Row],[venc]]="venc",Tabla2[[#This Row],[Columna1]]="por pagar"),"vencida","no")</f>
        <v>no</v>
      </c>
    </row>
    <row r="911" spans="1:23" x14ac:dyDescent="0.3">
      <c r="A911">
        <v>30</v>
      </c>
      <c r="B911">
        <v>0</v>
      </c>
      <c r="D911" t="s">
        <v>268</v>
      </c>
      <c r="E911" s="156">
        <v>44550</v>
      </c>
      <c r="F911" t="s">
        <v>930</v>
      </c>
      <c r="G911" s="156">
        <v>44544</v>
      </c>
      <c r="H911">
        <v>765</v>
      </c>
      <c r="I911">
        <v>500000</v>
      </c>
      <c r="K911">
        <v>0</v>
      </c>
      <c r="M911">
        <v>0</v>
      </c>
      <c r="N911">
        <v>3.5000000000000003E-2</v>
      </c>
      <c r="O911">
        <v>17500</v>
      </c>
      <c r="P911" s="117">
        <v>482500</v>
      </c>
      <c r="Q911" s="117" t="s">
        <v>1021</v>
      </c>
      <c r="R911" s="150">
        <v>0</v>
      </c>
      <c r="S911" s="117" t="b">
        <f>OR(COUNTIF(Tabla2[[#This Row],[PROVEEDOR]],"*"&amp;'Palabra no opera'!$A$2&amp;"*"))</f>
        <v>1</v>
      </c>
      <c r="T911" s="150">
        <f>+$W$5-Tabla2[[#This Row],[FECHA DE FACTURACIÓN]]</f>
        <v>290</v>
      </c>
      <c r="U911" t="str">
        <f>+IF(Tabla2[[#This Row],[dias de credito]]&gt;=Tabla2[[#This Row],[PLAZO Días]],"venc", "No venc")</f>
        <v>venc</v>
      </c>
      <c r="V911" t="str">
        <f>+IF(Tabla2[[#This Row],[FECHA DE PAGO]]&gt;0,"pagada","por pagar")</f>
        <v>pagada</v>
      </c>
      <c r="W911" s="152" t="str">
        <f>+IF(AND(Tabla2[[#This Row],[venc]]="venc",Tabla2[[#This Row],[Columna1]]="por pagar"),"vencida","no")</f>
        <v>no</v>
      </c>
    </row>
    <row r="912" spans="1:23" x14ac:dyDescent="0.3">
      <c r="A912">
        <v>30</v>
      </c>
      <c r="B912">
        <v>2192943.5750000002</v>
      </c>
      <c r="D912" t="s">
        <v>273</v>
      </c>
      <c r="E912" s="156">
        <v>44550</v>
      </c>
      <c r="F912" t="s">
        <v>1638</v>
      </c>
      <c r="G912" s="156">
        <v>44533</v>
      </c>
      <c r="H912" t="s">
        <v>557</v>
      </c>
      <c r="I912">
        <v>297278.40000000002</v>
      </c>
      <c r="K912">
        <v>56482.896000000008</v>
      </c>
      <c r="M912">
        <v>0</v>
      </c>
      <c r="N912">
        <v>0</v>
      </c>
      <c r="O912">
        <v>0</v>
      </c>
      <c r="P912" s="117">
        <v>353761.29600000003</v>
      </c>
      <c r="Q912" s="117" t="s">
        <v>1021</v>
      </c>
      <c r="R912" s="150">
        <v>0</v>
      </c>
      <c r="S912" s="117" t="b">
        <f>OR(COUNTIF(Tabla2[[#This Row],[PROVEEDOR]],"*"&amp;'Palabra no opera'!$A$2&amp;"*"))</f>
        <v>0</v>
      </c>
      <c r="T912" s="150">
        <f>+$W$5-Tabla2[[#This Row],[FECHA DE FACTURACIÓN]]</f>
        <v>301</v>
      </c>
      <c r="U912" t="str">
        <f>+IF(Tabla2[[#This Row],[dias de credito]]&gt;=Tabla2[[#This Row],[PLAZO Días]],"venc", "No venc")</f>
        <v>venc</v>
      </c>
      <c r="V912" t="str">
        <f>+IF(Tabla2[[#This Row],[FECHA DE PAGO]]&gt;0,"pagada","por pagar")</f>
        <v>pagada</v>
      </c>
      <c r="W912" s="152" t="str">
        <f>+IF(AND(Tabla2[[#This Row],[venc]]="venc",Tabla2[[#This Row],[Columna1]]="por pagar"),"vencida","no")</f>
        <v>no</v>
      </c>
    </row>
    <row r="913" spans="1:23" x14ac:dyDescent="0.3">
      <c r="A913">
        <v>30</v>
      </c>
      <c r="B913">
        <v>0</v>
      </c>
      <c r="D913">
        <v>0</v>
      </c>
      <c r="E913" s="156">
        <v>44550</v>
      </c>
      <c r="F913" t="s">
        <v>932</v>
      </c>
      <c r="G913" s="156">
        <v>44531</v>
      </c>
      <c r="H913" t="s">
        <v>581</v>
      </c>
      <c r="I913">
        <v>5450061</v>
      </c>
      <c r="K913">
        <v>0</v>
      </c>
      <c r="M913">
        <v>0</v>
      </c>
      <c r="N913">
        <v>0</v>
      </c>
      <c r="O913">
        <v>0</v>
      </c>
      <c r="P913" s="117">
        <v>5450061</v>
      </c>
      <c r="Q913" s="117" t="s">
        <v>1021</v>
      </c>
      <c r="R913" s="150">
        <v>0</v>
      </c>
      <c r="S913" s="117" t="b">
        <f>OR(COUNTIF(Tabla2[[#This Row],[PROVEEDOR]],"*"&amp;'Palabra no opera'!$A$2&amp;"*"))</f>
        <v>1</v>
      </c>
      <c r="T913" s="150">
        <f>+$W$5-Tabla2[[#This Row],[FECHA DE FACTURACIÓN]]</f>
        <v>303</v>
      </c>
      <c r="U913" t="str">
        <f>+IF(Tabla2[[#This Row],[dias de credito]]&gt;=Tabla2[[#This Row],[PLAZO Días]],"venc", "No venc")</f>
        <v>venc</v>
      </c>
      <c r="V913" t="str">
        <f>+IF(Tabla2[[#This Row],[FECHA DE PAGO]]&gt;0,"pagada","por pagar")</f>
        <v>pagada</v>
      </c>
      <c r="W913" s="152" t="str">
        <f>+IF(AND(Tabla2[[#This Row],[venc]]="venc",Tabla2[[#This Row],[Columna1]]="por pagar"),"vencida","no")</f>
        <v>no</v>
      </c>
    </row>
    <row r="914" spans="1:23" x14ac:dyDescent="0.3">
      <c r="A914">
        <v>30</v>
      </c>
      <c r="B914">
        <v>6259125.5999999996</v>
      </c>
      <c r="D914" t="s">
        <v>264</v>
      </c>
      <c r="E914" s="156">
        <v>44550</v>
      </c>
      <c r="F914" t="s">
        <v>1448</v>
      </c>
      <c r="G914" s="156">
        <v>44513</v>
      </c>
      <c r="H914">
        <v>24746</v>
      </c>
      <c r="I914">
        <v>1294560</v>
      </c>
      <c r="K914">
        <v>245966.4</v>
      </c>
      <c r="M914">
        <v>0</v>
      </c>
      <c r="N914">
        <v>2.5000000000000001E-2</v>
      </c>
      <c r="O914">
        <v>32364</v>
      </c>
      <c r="P914" s="117">
        <v>1508162.4</v>
      </c>
      <c r="Q914" s="117" t="s">
        <v>1021</v>
      </c>
      <c r="R914" s="150">
        <v>0</v>
      </c>
      <c r="S914" s="117" t="b">
        <f>OR(COUNTIF(Tabla2[[#This Row],[PROVEEDOR]],"*"&amp;'Palabra no opera'!$A$2&amp;"*"))</f>
        <v>0</v>
      </c>
      <c r="T914" s="150">
        <f>+$W$5-Tabla2[[#This Row],[FECHA DE FACTURACIÓN]]</f>
        <v>321</v>
      </c>
      <c r="U914" t="str">
        <f>+IF(Tabla2[[#This Row],[dias de credito]]&gt;=Tabla2[[#This Row],[PLAZO Días]],"venc", "No venc")</f>
        <v>venc</v>
      </c>
      <c r="V914" t="str">
        <f>+IF(Tabla2[[#This Row],[FECHA DE PAGO]]&gt;0,"pagada","por pagar")</f>
        <v>pagada</v>
      </c>
      <c r="W914" s="152" t="str">
        <f>+IF(AND(Tabla2[[#This Row],[venc]]="venc",Tabla2[[#This Row],[Columna1]]="por pagar"),"vencida","no")</f>
        <v>no</v>
      </c>
    </row>
    <row r="915" spans="1:23" x14ac:dyDescent="0.3">
      <c r="A915">
        <v>30</v>
      </c>
      <c r="B915">
        <v>6259125.5999999996</v>
      </c>
      <c r="D915" t="s">
        <v>264</v>
      </c>
      <c r="E915" s="156">
        <v>44550</v>
      </c>
      <c r="F915" t="s">
        <v>1448</v>
      </c>
      <c r="G915" s="156">
        <v>44512</v>
      </c>
      <c r="H915">
        <v>24688</v>
      </c>
      <c r="I915">
        <v>897164.80000000005</v>
      </c>
      <c r="K915">
        <v>170461.31200000001</v>
      </c>
      <c r="M915">
        <v>0</v>
      </c>
      <c r="N915">
        <v>2.5000000000000001E-2</v>
      </c>
      <c r="O915">
        <v>22429.120000000003</v>
      </c>
      <c r="P915" s="117">
        <v>1045196.992</v>
      </c>
      <c r="Q915" s="117" t="s">
        <v>1021</v>
      </c>
      <c r="R915" s="150">
        <v>0</v>
      </c>
      <c r="S915" s="117" t="b">
        <f>OR(COUNTIF(Tabla2[[#This Row],[PROVEEDOR]],"*"&amp;'Palabra no opera'!$A$2&amp;"*"))</f>
        <v>0</v>
      </c>
      <c r="T915" s="150">
        <f>+$W$5-Tabla2[[#This Row],[FECHA DE FACTURACIÓN]]</f>
        <v>322</v>
      </c>
      <c r="U915" t="str">
        <f>+IF(Tabla2[[#This Row],[dias de credito]]&gt;=Tabla2[[#This Row],[PLAZO Días]],"venc", "No venc")</f>
        <v>venc</v>
      </c>
      <c r="V915" t="str">
        <f>+IF(Tabla2[[#This Row],[FECHA DE PAGO]]&gt;0,"pagada","por pagar")</f>
        <v>pagada</v>
      </c>
      <c r="W915" s="152" t="str">
        <f>+IF(AND(Tabla2[[#This Row],[venc]]="venc",Tabla2[[#This Row],[Columna1]]="por pagar"),"vencida","no")</f>
        <v>no</v>
      </c>
    </row>
    <row r="916" spans="1:23" x14ac:dyDescent="0.3">
      <c r="A916">
        <v>30</v>
      </c>
      <c r="B916">
        <v>0</v>
      </c>
      <c r="D916" t="s">
        <v>139</v>
      </c>
      <c r="E916" s="156">
        <v>44547</v>
      </c>
      <c r="F916" t="s">
        <v>673</v>
      </c>
      <c r="G916" s="156">
        <v>44547</v>
      </c>
      <c r="I916">
        <v>2100000</v>
      </c>
      <c r="K916">
        <v>0</v>
      </c>
      <c r="M916">
        <v>0</v>
      </c>
      <c r="N916">
        <v>0</v>
      </c>
      <c r="O916">
        <v>0</v>
      </c>
      <c r="P916" s="117">
        <v>2100000</v>
      </c>
      <c r="Q916" s="117" t="s">
        <v>1021</v>
      </c>
      <c r="R916" s="150">
        <v>0</v>
      </c>
      <c r="S916" s="117" t="b">
        <f>OR(COUNTIF(Tabla2[[#This Row],[PROVEEDOR]],"*"&amp;'Palabra no opera'!$A$2&amp;"*"))</f>
        <v>0</v>
      </c>
      <c r="T916" s="150">
        <f>+$W$5-Tabla2[[#This Row],[FECHA DE FACTURACIÓN]]</f>
        <v>287</v>
      </c>
      <c r="U916" t="str">
        <f>+IF(Tabla2[[#This Row],[dias de credito]]&gt;=Tabla2[[#This Row],[PLAZO Días]],"venc", "No venc")</f>
        <v>venc</v>
      </c>
      <c r="V916" t="str">
        <f>+IF(Tabla2[[#This Row],[FECHA DE PAGO]]&gt;0,"pagada","por pagar")</f>
        <v>pagada</v>
      </c>
      <c r="W916" s="152" t="str">
        <f>+IF(AND(Tabla2[[#This Row],[venc]]="venc",Tabla2[[#This Row],[Columna1]]="por pagar"),"vencida","no")</f>
        <v>no</v>
      </c>
    </row>
    <row r="917" spans="1:23" x14ac:dyDescent="0.3">
      <c r="A917">
        <v>30</v>
      </c>
      <c r="B917">
        <v>0</v>
      </c>
      <c r="D917">
        <v>0</v>
      </c>
      <c r="E917" s="156">
        <v>44547</v>
      </c>
      <c r="F917" t="s">
        <v>643</v>
      </c>
      <c r="G917" s="156">
        <v>44547</v>
      </c>
      <c r="H917" t="s">
        <v>1544</v>
      </c>
      <c r="I917">
        <v>320000</v>
      </c>
      <c r="K917">
        <v>0</v>
      </c>
      <c r="M917">
        <v>0</v>
      </c>
      <c r="N917">
        <v>0</v>
      </c>
      <c r="O917">
        <v>0</v>
      </c>
      <c r="P917" s="117">
        <v>320000</v>
      </c>
      <c r="Q917" s="117" t="s">
        <v>1021</v>
      </c>
      <c r="R917" s="150">
        <v>0</v>
      </c>
      <c r="S917" s="117" t="b">
        <f>OR(COUNTIF(Tabla2[[#This Row],[PROVEEDOR]],"*"&amp;'Palabra no opera'!$A$2&amp;"*"))</f>
        <v>0</v>
      </c>
      <c r="T917" s="150">
        <f>+$W$5-Tabla2[[#This Row],[FECHA DE FACTURACIÓN]]</f>
        <v>287</v>
      </c>
      <c r="U917" t="str">
        <f>+IF(Tabla2[[#This Row],[dias de credito]]&gt;=Tabla2[[#This Row],[PLAZO Días]],"venc", "No venc")</f>
        <v>venc</v>
      </c>
      <c r="V917" t="str">
        <f>+IF(Tabla2[[#This Row],[FECHA DE PAGO]]&gt;0,"pagada","por pagar")</f>
        <v>pagada</v>
      </c>
      <c r="W917" s="152" t="str">
        <f>+IF(AND(Tabla2[[#This Row],[venc]]="venc",Tabla2[[#This Row],[Columna1]]="por pagar"),"vencida","no")</f>
        <v>no</v>
      </c>
    </row>
    <row r="918" spans="1:23" x14ac:dyDescent="0.3">
      <c r="A918">
        <v>30</v>
      </c>
      <c r="B918">
        <v>0</v>
      </c>
      <c r="D918">
        <v>0</v>
      </c>
      <c r="E918" s="156">
        <v>44547</v>
      </c>
      <c r="F918" t="s">
        <v>643</v>
      </c>
      <c r="G918" s="156">
        <v>44547</v>
      </c>
      <c r="H918" t="s">
        <v>1545</v>
      </c>
      <c r="I918">
        <v>963000</v>
      </c>
      <c r="K918">
        <v>0</v>
      </c>
      <c r="M918">
        <v>0</v>
      </c>
      <c r="N918">
        <v>0</v>
      </c>
      <c r="O918">
        <v>0</v>
      </c>
      <c r="P918" s="117">
        <v>963000</v>
      </c>
      <c r="Q918" s="117" t="s">
        <v>1021</v>
      </c>
      <c r="R918" s="150">
        <v>0</v>
      </c>
      <c r="S918" s="117" t="b">
        <f>OR(COUNTIF(Tabla2[[#This Row],[PROVEEDOR]],"*"&amp;'Palabra no opera'!$A$2&amp;"*"))</f>
        <v>0</v>
      </c>
      <c r="T918" s="150">
        <f>+$W$5-Tabla2[[#This Row],[FECHA DE FACTURACIÓN]]</f>
        <v>287</v>
      </c>
      <c r="U918" t="str">
        <f>+IF(Tabla2[[#This Row],[dias de credito]]&gt;=Tabla2[[#This Row],[PLAZO Días]],"venc", "No venc")</f>
        <v>venc</v>
      </c>
      <c r="V918" t="str">
        <f>+IF(Tabla2[[#This Row],[FECHA DE PAGO]]&gt;0,"pagada","por pagar")</f>
        <v>pagada</v>
      </c>
      <c r="W918" s="152" t="str">
        <f>+IF(AND(Tabla2[[#This Row],[venc]]="venc",Tabla2[[#This Row],[Columna1]]="por pagar"),"vencida","no")</f>
        <v>no</v>
      </c>
    </row>
    <row r="919" spans="1:23" x14ac:dyDescent="0.3">
      <c r="A919">
        <v>30</v>
      </c>
      <c r="B919">
        <v>0</v>
      </c>
      <c r="D919" t="s">
        <v>431</v>
      </c>
      <c r="E919" s="156">
        <v>44546</v>
      </c>
      <c r="F919" t="s">
        <v>430</v>
      </c>
      <c r="G919" s="156">
        <v>44508</v>
      </c>
      <c r="H919" t="s">
        <v>1517</v>
      </c>
      <c r="I919">
        <v>1650000</v>
      </c>
      <c r="K919">
        <v>313500</v>
      </c>
      <c r="M919">
        <v>0</v>
      </c>
      <c r="N919">
        <v>2.5000000000000001E-2</v>
      </c>
      <c r="O919">
        <v>41250</v>
      </c>
      <c r="P919" s="117">
        <v>1922250</v>
      </c>
      <c r="Q919" s="117" t="s">
        <v>1021</v>
      </c>
      <c r="R919" s="150">
        <v>0</v>
      </c>
      <c r="S919" s="117" t="b">
        <f>OR(COUNTIF(Tabla2[[#This Row],[PROVEEDOR]],"*"&amp;'Palabra no opera'!$A$2&amp;"*"))</f>
        <v>0</v>
      </c>
      <c r="T919" s="150">
        <f>+$W$5-Tabla2[[#This Row],[FECHA DE FACTURACIÓN]]</f>
        <v>326</v>
      </c>
      <c r="U919" t="str">
        <f>+IF(Tabla2[[#This Row],[dias de credito]]&gt;=Tabla2[[#This Row],[PLAZO Días]],"venc", "No venc")</f>
        <v>venc</v>
      </c>
      <c r="V919" t="str">
        <f>+IF(Tabla2[[#This Row],[FECHA DE PAGO]]&gt;0,"pagada","por pagar")</f>
        <v>pagada</v>
      </c>
      <c r="W919" s="152" t="str">
        <f>+IF(AND(Tabla2[[#This Row],[venc]]="venc",Tabla2[[#This Row],[Columna1]]="por pagar"),"vencida","no")</f>
        <v>no</v>
      </c>
    </row>
    <row r="920" spans="1:23" x14ac:dyDescent="0.3">
      <c r="A920">
        <v>30</v>
      </c>
      <c r="B920">
        <v>0</v>
      </c>
      <c r="D920" t="s">
        <v>861</v>
      </c>
      <c r="E920" s="156">
        <v>44546</v>
      </c>
      <c r="F920" t="s">
        <v>633</v>
      </c>
      <c r="G920" s="156">
        <v>44498</v>
      </c>
      <c r="H920" t="s">
        <v>1514</v>
      </c>
      <c r="I920">
        <v>180800</v>
      </c>
      <c r="K920">
        <v>0</v>
      </c>
      <c r="M920">
        <v>0</v>
      </c>
      <c r="N920">
        <v>0</v>
      </c>
      <c r="O920">
        <v>0</v>
      </c>
      <c r="P920" s="117">
        <v>180800</v>
      </c>
      <c r="Q920" s="117" t="s">
        <v>1021</v>
      </c>
      <c r="R920" s="150">
        <v>0</v>
      </c>
      <c r="S920" s="117" t="b">
        <f>OR(COUNTIF(Tabla2[[#This Row],[PROVEEDOR]],"*"&amp;'Palabra no opera'!$A$2&amp;"*"))</f>
        <v>0</v>
      </c>
      <c r="T920" s="150">
        <f>+$W$5-Tabla2[[#This Row],[FECHA DE FACTURACIÓN]]</f>
        <v>336</v>
      </c>
      <c r="U920" t="str">
        <f>+IF(Tabla2[[#This Row],[dias de credito]]&gt;=Tabla2[[#This Row],[PLAZO Días]],"venc", "No venc")</f>
        <v>venc</v>
      </c>
      <c r="V920" t="str">
        <f>+IF(Tabla2[[#This Row],[FECHA DE PAGO]]&gt;0,"pagada","por pagar")</f>
        <v>pagada</v>
      </c>
      <c r="W920" s="152" t="str">
        <f>+IF(AND(Tabla2[[#This Row],[venc]]="venc",Tabla2[[#This Row],[Columna1]]="por pagar"),"vencida","no")</f>
        <v>no</v>
      </c>
    </row>
    <row r="921" spans="1:23" x14ac:dyDescent="0.3">
      <c r="A921">
        <v>30</v>
      </c>
      <c r="B921">
        <v>0</v>
      </c>
      <c r="D921" t="s">
        <v>861</v>
      </c>
      <c r="E921" s="156">
        <v>44546</v>
      </c>
      <c r="F921" t="s">
        <v>633</v>
      </c>
      <c r="G921" s="156">
        <v>44494</v>
      </c>
      <c r="H921" t="s">
        <v>1510</v>
      </c>
      <c r="I921">
        <v>740200</v>
      </c>
      <c r="K921">
        <v>0</v>
      </c>
      <c r="M921">
        <v>0</v>
      </c>
      <c r="N921">
        <v>0</v>
      </c>
      <c r="O921">
        <v>0</v>
      </c>
      <c r="P921" s="117">
        <v>740200</v>
      </c>
      <c r="Q921" s="117" t="s">
        <v>1021</v>
      </c>
      <c r="R921" s="150">
        <v>0</v>
      </c>
      <c r="S921" s="117" t="b">
        <f>OR(COUNTIF(Tabla2[[#This Row],[PROVEEDOR]],"*"&amp;'Palabra no opera'!$A$2&amp;"*"))</f>
        <v>0</v>
      </c>
      <c r="T921" s="150">
        <f>+$W$5-Tabla2[[#This Row],[FECHA DE FACTURACIÓN]]</f>
        <v>340</v>
      </c>
      <c r="U921" t="str">
        <f>+IF(Tabla2[[#This Row],[dias de credito]]&gt;=Tabla2[[#This Row],[PLAZO Días]],"venc", "No venc")</f>
        <v>venc</v>
      </c>
      <c r="V921" t="str">
        <f>+IF(Tabla2[[#This Row],[FECHA DE PAGO]]&gt;0,"pagada","por pagar")</f>
        <v>pagada</v>
      </c>
      <c r="W921" s="152" t="str">
        <f>+IF(AND(Tabla2[[#This Row],[venc]]="venc",Tabla2[[#This Row],[Columna1]]="por pagar"),"vencida","no")</f>
        <v>no</v>
      </c>
    </row>
    <row r="922" spans="1:23" x14ac:dyDescent="0.3">
      <c r="A922">
        <v>30</v>
      </c>
      <c r="B922">
        <v>0</v>
      </c>
      <c r="D922">
        <v>0</v>
      </c>
      <c r="E922" s="156">
        <v>44545</v>
      </c>
      <c r="F922" t="s">
        <v>445</v>
      </c>
      <c r="G922" s="156">
        <v>44545</v>
      </c>
      <c r="H922" t="s">
        <v>562</v>
      </c>
      <c r="I922">
        <v>4470000</v>
      </c>
      <c r="K922">
        <v>849300</v>
      </c>
      <c r="M922">
        <v>0</v>
      </c>
      <c r="N922">
        <v>2.5000000000000001E-2</v>
      </c>
      <c r="O922">
        <v>111750</v>
      </c>
      <c r="P922" s="117">
        <v>5207550</v>
      </c>
      <c r="Q922" s="117" t="s">
        <v>1021</v>
      </c>
      <c r="R922" s="150">
        <v>0</v>
      </c>
      <c r="S922" s="117" t="b">
        <f>OR(COUNTIF(Tabla2[[#This Row],[PROVEEDOR]],"*"&amp;'Palabra no opera'!$A$2&amp;"*"))</f>
        <v>0</v>
      </c>
      <c r="T922" s="150">
        <f>+$W$5-Tabla2[[#This Row],[FECHA DE FACTURACIÓN]]</f>
        <v>289</v>
      </c>
      <c r="U922" t="str">
        <f>+IF(Tabla2[[#This Row],[dias de credito]]&gt;=Tabla2[[#This Row],[PLAZO Días]],"venc", "No venc")</f>
        <v>venc</v>
      </c>
      <c r="V922" t="str">
        <f>+IF(Tabla2[[#This Row],[FECHA DE PAGO]]&gt;0,"pagada","por pagar")</f>
        <v>pagada</v>
      </c>
      <c r="W922" s="152" t="str">
        <f>+IF(AND(Tabla2[[#This Row],[venc]]="venc",Tabla2[[#This Row],[Columna1]]="por pagar"),"vencida","no")</f>
        <v>no</v>
      </c>
    </row>
    <row r="923" spans="1:23" x14ac:dyDescent="0.3">
      <c r="A923">
        <v>30</v>
      </c>
      <c r="B923">
        <v>8457900</v>
      </c>
      <c r="D923" t="s">
        <v>1027</v>
      </c>
      <c r="E923" s="156">
        <v>44545</v>
      </c>
      <c r="F923" t="s">
        <v>11</v>
      </c>
      <c r="G923" s="156">
        <v>44503</v>
      </c>
      <c r="H923" t="s">
        <v>519</v>
      </c>
      <c r="I923">
        <v>4086050</v>
      </c>
      <c r="K923">
        <v>776349.5</v>
      </c>
      <c r="M923">
        <v>0</v>
      </c>
      <c r="N923">
        <v>2.5000000000000001E-2</v>
      </c>
      <c r="O923">
        <v>102151.25</v>
      </c>
      <c r="P923" s="117">
        <v>4760248.25</v>
      </c>
      <c r="Q923" s="117" t="s">
        <v>1021</v>
      </c>
      <c r="R923" s="150">
        <v>0</v>
      </c>
      <c r="S923" s="117" t="b">
        <f>OR(COUNTIF(Tabla2[[#This Row],[PROVEEDOR]],"*"&amp;'Palabra no opera'!$A$2&amp;"*"))</f>
        <v>0</v>
      </c>
      <c r="T923" s="150">
        <f>+$W$5-Tabla2[[#This Row],[FECHA DE FACTURACIÓN]]</f>
        <v>331</v>
      </c>
      <c r="U923" t="str">
        <f>+IF(Tabla2[[#This Row],[dias de credito]]&gt;=Tabla2[[#This Row],[PLAZO Días]],"venc", "No venc")</f>
        <v>venc</v>
      </c>
      <c r="V923" t="str">
        <f>+IF(Tabla2[[#This Row],[FECHA DE PAGO]]&gt;0,"pagada","por pagar")</f>
        <v>pagada</v>
      </c>
      <c r="W923" s="152" t="str">
        <f>+IF(AND(Tabla2[[#This Row],[venc]]="venc",Tabla2[[#This Row],[Columna1]]="por pagar"),"vencida","no")</f>
        <v>no</v>
      </c>
    </row>
    <row r="924" spans="1:23" x14ac:dyDescent="0.3">
      <c r="A924">
        <v>30</v>
      </c>
      <c r="B924">
        <v>0</v>
      </c>
      <c r="D924" t="s">
        <v>139</v>
      </c>
      <c r="E924" s="156">
        <v>44543</v>
      </c>
      <c r="F924" t="s">
        <v>55</v>
      </c>
      <c r="G924" s="156">
        <v>44542</v>
      </c>
      <c r="H924">
        <v>55546</v>
      </c>
      <c r="I924">
        <v>14909000</v>
      </c>
      <c r="K924">
        <v>0</v>
      </c>
      <c r="M924">
        <v>0</v>
      </c>
      <c r="N924">
        <v>0</v>
      </c>
      <c r="O924">
        <v>0</v>
      </c>
      <c r="P924" s="117">
        <v>14909000</v>
      </c>
      <c r="Q924" s="117" t="s">
        <v>1021</v>
      </c>
      <c r="R924" s="150">
        <v>0</v>
      </c>
      <c r="S924" s="117" t="b">
        <f>OR(COUNTIF(Tabla2[[#This Row],[PROVEEDOR]],"*"&amp;'Palabra no opera'!$A$2&amp;"*"))</f>
        <v>0</v>
      </c>
      <c r="T924" s="150">
        <f>+$W$5-Tabla2[[#This Row],[FECHA DE FACTURACIÓN]]</f>
        <v>292</v>
      </c>
      <c r="U924" t="str">
        <f>+IF(Tabla2[[#This Row],[dias de credito]]&gt;=Tabla2[[#This Row],[PLAZO Días]],"venc", "No venc")</f>
        <v>venc</v>
      </c>
      <c r="V924" t="str">
        <f>+IF(Tabla2[[#This Row],[FECHA DE PAGO]]&gt;0,"pagada","por pagar")</f>
        <v>pagada</v>
      </c>
      <c r="W924" s="152" t="str">
        <f>+IF(AND(Tabla2[[#This Row],[venc]]="venc",Tabla2[[#This Row],[Columna1]]="por pagar"),"vencida","no")</f>
        <v>no</v>
      </c>
    </row>
    <row r="925" spans="1:23" x14ac:dyDescent="0.3">
      <c r="A925">
        <v>30</v>
      </c>
      <c r="B925">
        <v>27452.91</v>
      </c>
      <c r="D925" t="s">
        <v>949</v>
      </c>
      <c r="E925" s="156">
        <v>44543</v>
      </c>
      <c r="F925" t="s">
        <v>118</v>
      </c>
      <c r="G925" s="156">
        <v>44542</v>
      </c>
      <c r="H925" t="s">
        <v>1360</v>
      </c>
      <c r="I925">
        <v>1715000</v>
      </c>
      <c r="K925">
        <v>0</v>
      </c>
      <c r="M925">
        <v>0</v>
      </c>
      <c r="N925">
        <v>0</v>
      </c>
      <c r="O925">
        <v>0</v>
      </c>
      <c r="P925" s="117">
        <v>1715000</v>
      </c>
      <c r="Q925" s="117" t="s">
        <v>1021</v>
      </c>
      <c r="R925" s="150">
        <v>0</v>
      </c>
      <c r="S925" s="117" t="b">
        <f>OR(COUNTIF(Tabla2[[#This Row],[PROVEEDOR]],"*"&amp;'Palabra no opera'!$A$2&amp;"*"))</f>
        <v>0</v>
      </c>
      <c r="T925" s="150">
        <f>+$W$5-Tabla2[[#This Row],[FECHA DE FACTURACIÓN]]</f>
        <v>292</v>
      </c>
      <c r="U925" t="str">
        <f>+IF(Tabla2[[#This Row],[dias de credito]]&gt;=Tabla2[[#This Row],[PLAZO Días]],"venc", "No venc")</f>
        <v>venc</v>
      </c>
      <c r="V925" t="str">
        <f>+IF(Tabla2[[#This Row],[FECHA DE PAGO]]&gt;0,"pagada","por pagar")</f>
        <v>pagada</v>
      </c>
      <c r="W925" s="152" t="str">
        <f>+IF(AND(Tabla2[[#This Row],[venc]]="venc",Tabla2[[#This Row],[Columna1]]="por pagar"),"vencida","no")</f>
        <v>no</v>
      </c>
    </row>
    <row r="926" spans="1:23" x14ac:dyDescent="0.3">
      <c r="A926">
        <v>30</v>
      </c>
      <c r="B926">
        <v>0</v>
      </c>
      <c r="D926">
        <v>0</v>
      </c>
      <c r="E926" s="156">
        <v>44543</v>
      </c>
      <c r="F926" t="s">
        <v>700</v>
      </c>
      <c r="G926" s="156">
        <v>44539</v>
      </c>
      <c r="H926" t="s">
        <v>1541</v>
      </c>
      <c r="I926">
        <v>1001000</v>
      </c>
      <c r="K926">
        <v>0</v>
      </c>
      <c r="M926">
        <v>0</v>
      </c>
      <c r="N926">
        <v>0</v>
      </c>
      <c r="O926">
        <v>0</v>
      </c>
      <c r="P926" s="117">
        <v>1001000</v>
      </c>
      <c r="Q926" s="117" t="s">
        <v>1021</v>
      </c>
      <c r="R926" s="150">
        <v>0</v>
      </c>
      <c r="S926" s="117" t="b">
        <f>OR(COUNTIF(Tabla2[[#This Row],[PROVEEDOR]],"*"&amp;'Palabra no opera'!$A$2&amp;"*"))</f>
        <v>0</v>
      </c>
      <c r="T926" s="150">
        <f>+$W$5-Tabla2[[#This Row],[FECHA DE FACTURACIÓN]]</f>
        <v>295</v>
      </c>
      <c r="U926" t="str">
        <f>+IF(Tabla2[[#This Row],[dias de credito]]&gt;=Tabla2[[#This Row],[PLAZO Días]],"venc", "No venc")</f>
        <v>venc</v>
      </c>
      <c r="V926" t="str">
        <f>+IF(Tabla2[[#This Row],[FECHA DE PAGO]]&gt;0,"pagada","por pagar")</f>
        <v>pagada</v>
      </c>
      <c r="W926" s="152" t="str">
        <f>+IF(AND(Tabla2[[#This Row],[venc]]="venc",Tabla2[[#This Row],[Columna1]]="por pagar"),"vencida","no")</f>
        <v>no</v>
      </c>
    </row>
    <row r="927" spans="1:23" x14ac:dyDescent="0.3">
      <c r="A927">
        <v>30</v>
      </c>
      <c r="B927">
        <v>0</v>
      </c>
      <c r="D927" t="s">
        <v>250</v>
      </c>
      <c r="E927" s="156">
        <v>44543</v>
      </c>
      <c r="F927" t="s">
        <v>1451</v>
      </c>
      <c r="G927" s="156">
        <v>44536</v>
      </c>
      <c r="H927">
        <v>176</v>
      </c>
      <c r="I927">
        <v>767000</v>
      </c>
      <c r="K927">
        <v>0</v>
      </c>
      <c r="M927">
        <v>0</v>
      </c>
      <c r="N927">
        <v>0.01</v>
      </c>
      <c r="O927">
        <v>7670</v>
      </c>
      <c r="P927" s="117">
        <v>759330</v>
      </c>
      <c r="Q927" s="117" t="s">
        <v>1021</v>
      </c>
      <c r="R927" s="150">
        <v>0</v>
      </c>
      <c r="S927" s="117" t="b">
        <f>OR(COUNTIF(Tabla2[[#This Row],[PROVEEDOR]],"*"&amp;'Palabra no opera'!$A$2&amp;"*"))</f>
        <v>0</v>
      </c>
      <c r="T927" s="150">
        <f>+$W$5-Tabla2[[#This Row],[FECHA DE FACTURACIÓN]]</f>
        <v>298</v>
      </c>
      <c r="U927" t="str">
        <f>+IF(Tabla2[[#This Row],[dias de credito]]&gt;=Tabla2[[#This Row],[PLAZO Días]],"venc", "No venc")</f>
        <v>venc</v>
      </c>
      <c r="V927" t="str">
        <f>+IF(Tabla2[[#This Row],[FECHA DE PAGO]]&gt;0,"pagada","por pagar")</f>
        <v>pagada</v>
      </c>
      <c r="W927" s="152" t="str">
        <f>+IF(AND(Tabla2[[#This Row],[venc]]="venc",Tabla2[[#This Row],[Columna1]]="por pagar"),"vencida","no")</f>
        <v>no</v>
      </c>
    </row>
    <row r="928" spans="1:23" x14ac:dyDescent="0.3">
      <c r="A928">
        <v>30</v>
      </c>
      <c r="B928">
        <v>0</v>
      </c>
      <c r="D928" t="s">
        <v>676</v>
      </c>
      <c r="E928" s="156">
        <v>44543</v>
      </c>
      <c r="F928" t="s">
        <v>940</v>
      </c>
      <c r="G928" s="156">
        <v>44531</v>
      </c>
      <c r="H928">
        <v>65384</v>
      </c>
      <c r="I928">
        <v>302624.74</v>
      </c>
      <c r="K928">
        <v>0</v>
      </c>
      <c r="M928">
        <v>0</v>
      </c>
      <c r="N928">
        <v>0</v>
      </c>
      <c r="O928">
        <v>0</v>
      </c>
      <c r="P928" s="117">
        <v>302624.74</v>
      </c>
      <c r="Q928" s="117" t="s">
        <v>1021</v>
      </c>
      <c r="R928" s="150">
        <v>0</v>
      </c>
      <c r="S928" s="117" t="b">
        <f>OR(COUNTIF(Tabla2[[#This Row],[PROVEEDOR]],"*"&amp;'Palabra no opera'!$A$2&amp;"*"))</f>
        <v>1</v>
      </c>
      <c r="T928" s="150">
        <f>+$W$5-Tabla2[[#This Row],[FECHA DE FACTURACIÓN]]</f>
        <v>303</v>
      </c>
      <c r="U928" t="str">
        <f>+IF(Tabla2[[#This Row],[dias de credito]]&gt;=Tabla2[[#This Row],[PLAZO Días]],"venc", "No venc")</f>
        <v>venc</v>
      </c>
      <c r="V928" t="str">
        <f>+IF(Tabla2[[#This Row],[FECHA DE PAGO]]&gt;0,"pagada","por pagar")</f>
        <v>pagada</v>
      </c>
      <c r="W928" s="152" t="str">
        <f>+IF(AND(Tabla2[[#This Row],[venc]]="venc",Tabla2[[#This Row],[Columna1]]="por pagar"),"vencida","no")</f>
        <v>no</v>
      </c>
    </row>
    <row r="929" spans="1:23" x14ac:dyDescent="0.3">
      <c r="A929">
        <v>30</v>
      </c>
      <c r="B929">
        <v>0</v>
      </c>
      <c r="D929" t="s">
        <v>1036</v>
      </c>
      <c r="E929" s="156">
        <v>44543</v>
      </c>
      <c r="F929" t="s">
        <v>927</v>
      </c>
      <c r="G929" s="156">
        <v>44531</v>
      </c>
      <c r="H929" t="s">
        <v>312</v>
      </c>
      <c r="I929">
        <v>727051</v>
      </c>
      <c r="K929">
        <v>0</v>
      </c>
      <c r="M929">
        <v>0</v>
      </c>
      <c r="N929">
        <v>0</v>
      </c>
      <c r="O929">
        <v>0</v>
      </c>
      <c r="P929" s="117">
        <v>727051</v>
      </c>
      <c r="Q929" s="117" t="s">
        <v>1021</v>
      </c>
      <c r="R929" s="150">
        <v>0</v>
      </c>
      <c r="S929" s="117" t="b">
        <f>OR(COUNTIF(Tabla2[[#This Row],[PROVEEDOR]],"*"&amp;'Palabra no opera'!$A$2&amp;"*"))</f>
        <v>1</v>
      </c>
      <c r="T929" s="150">
        <f>+$W$5-Tabla2[[#This Row],[FECHA DE FACTURACIÓN]]</f>
        <v>303</v>
      </c>
      <c r="U929" t="str">
        <f>+IF(Tabla2[[#This Row],[dias de credito]]&gt;=Tabla2[[#This Row],[PLAZO Días]],"venc", "No venc")</f>
        <v>venc</v>
      </c>
      <c r="V929" t="str">
        <f>+IF(Tabla2[[#This Row],[FECHA DE PAGO]]&gt;0,"pagada","por pagar")</f>
        <v>pagada</v>
      </c>
      <c r="W929" s="152" t="str">
        <f>+IF(AND(Tabla2[[#This Row],[venc]]="venc",Tabla2[[#This Row],[Columna1]]="por pagar"),"vencida","no")</f>
        <v>no</v>
      </c>
    </row>
    <row r="930" spans="1:23" x14ac:dyDescent="0.3">
      <c r="A930">
        <v>30</v>
      </c>
      <c r="B930">
        <v>0</v>
      </c>
      <c r="D930" t="s">
        <v>1036</v>
      </c>
      <c r="E930" s="156">
        <v>44543</v>
      </c>
      <c r="F930" t="s">
        <v>927</v>
      </c>
      <c r="G930" s="156">
        <v>44531</v>
      </c>
      <c r="H930" t="s">
        <v>313</v>
      </c>
      <c r="I930">
        <v>743959</v>
      </c>
      <c r="K930">
        <v>0</v>
      </c>
      <c r="M930">
        <v>0</v>
      </c>
      <c r="N930">
        <v>0</v>
      </c>
      <c r="O930">
        <v>0</v>
      </c>
      <c r="P930" s="117">
        <v>743959</v>
      </c>
      <c r="Q930" s="117" t="s">
        <v>1021</v>
      </c>
      <c r="R930" s="150">
        <v>0</v>
      </c>
      <c r="S930" s="117" t="b">
        <f>OR(COUNTIF(Tabla2[[#This Row],[PROVEEDOR]],"*"&amp;'Palabra no opera'!$A$2&amp;"*"))</f>
        <v>1</v>
      </c>
      <c r="T930" s="150">
        <f>+$W$5-Tabla2[[#This Row],[FECHA DE FACTURACIÓN]]</f>
        <v>303</v>
      </c>
      <c r="U930" t="str">
        <f>+IF(Tabla2[[#This Row],[dias de credito]]&gt;=Tabla2[[#This Row],[PLAZO Días]],"venc", "No venc")</f>
        <v>venc</v>
      </c>
      <c r="V930" t="str">
        <f>+IF(Tabla2[[#This Row],[FECHA DE PAGO]]&gt;0,"pagada","por pagar")</f>
        <v>pagada</v>
      </c>
      <c r="W930" s="152" t="str">
        <f>+IF(AND(Tabla2[[#This Row],[venc]]="venc",Tabla2[[#This Row],[Columna1]]="por pagar"),"vencida","no")</f>
        <v>no</v>
      </c>
    </row>
    <row r="931" spans="1:23" x14ac:dyDescent="0.3">
      <c r="A931">
        <v>30</v>
      </c>
      <c r="B931">
        <v>0</v>
      </c>
      <c r="D931">
        <v>0</v>
      </c>
      <c r="E931" s="156">
        <v>44543</v>
      </c>
      <c r="F931" t="s">
        <v>932</v>
      </c>
      <c r="G931" s="156">
        <v>44531</v>
      </c>
      <c r="H931" t="s">
        <v>307</v>
      </c>
      <c r="I931">
        <v>293847</v>
      </c>
      <c r="K931">
        <v>0</v>
      </c>
      <c r="M931">
        <v>0</v>
      </c>
      <c r="N931">
        <v>0</v>
      </c>
      <c r="O931">
        <v>0</v>
      </c>
      <c r="P931" s="117">
        <v>293847</v>
      </c>
      <c r="Q931" s="117" t="s">
        <v>1021</v>
      </c>
      <c r="R931" s="150">
        <v>0</v>
      </c>
      <c r="S931" s="117" t="b">
        <f>OR(COUNTIF(Tabla2[[#This Row],[PROVEEDOR]],"*"&amp;'Palabra no opera'!$A$2&amp;"*"))</f>
        <v>1</v>
      </c>
      <c r="T931" s="150">
        <f>+$W$5-Tabla2[[#This Row],[FECHA DE FACTURACIÓN]]</f>
        <v>303</v>
      </c>
      <c r="U931" t="str">
        <f>+IF(Tabla2[[#This Row],[dias de credito]]&gt;=Tabla2[[#This Row],[PLAZO Días]],"venc", "No venc")</f>
        <v>venc</v>
      </c>
      <c r="V931" t="str">
        <f>+IF(Tabla2[[#This Row],[FECHA DE PAGO]]&gt;0,"pagada","por pagar")</f>
        <v>pagada</v>
      </c>
      <c r="W931" s="152" t="str">
        <f>+IF(AND(Tabla2[[#This Row],[venc]]="venc",Tabla2[[#This Row],[Columna1]]="por pagar"),"vencida","no")</f>
        <v>no</v>
      </c>
    </row>
    <row r="932" spans="1:23" x14ac:dyDescent="0.3">
      <c r="A932">
        <v>30</v>
      </c>
      <c r="B932">
        <v>0</v>
      </c>
      <c r="D932" t="s">
        <v>687</v>
      </c>
      <c r="E932" s="156">
        <v>44543</v>
      </c>
      <c r="F932" t="s">
        <v>688</v>
      </c>
      <c r="G932" s="156">
        <v>44517</v>
      </c>
      <c r="H932" t="s">
        <v>1527</v>
      </c>
      <c r="I932">
        <v>-49000</v>
      </c>
      <c r="K932">
        <v>0</v>
      </c>
      <c r="M932">
        <v>0</v>
      </c>
      <c r="N932">
        <v>0</v>
      </c>
      <c r="O932">
        <v>0</v>
      </c>
      <c r="P932" s="117">
        <v>-49000</v>
      </c>
      <c r="Q932" s="117" t="s">
        <v>1021</v>
      </c>
      <c r="R932" s="150">
        <v>0</v>
      </c>
      <c r="S932" s="117" t="b">
        <f>OR(COUNTIF(Tabla2[[#This Row],[PROVEEDOR]],"*"&amp;'Palabra no opera'!$A$2&amp;"*"))</f>
        <v>0</v>
      </c>
      <c r="T932" s="150">
        <f>+$W$5-Tabla2[[#This Row],[FECHA DE FACTURACIÓN]]</f>
        <v>317</v>
      </c>
      <c r="U932" t="str">
        <f>+IF(Tabla2[[#This Row],[dias de credito]]&gt;=Tabla2[[#This Row],[PLAZO Días]],"venc", "No venc")</f>
        <v>venc</v>
      </c>
      <c r="V932" t="str">
        <f>+IF(Tabla2[[#This Row],[FECHA DE PAGO]]&gt;0,"pagada","por pagar")</f>
        <v>pagada</v>
      </c>
      <c r="W932" s="152" t="str">
        <f>+IF(AND(Tabla2[[#This Row],[venc]]="venc",Tabla2[[#This Row],[Columna1]]="por pagar"),"vencida","no")</f>
        <v>no</v>
      </c>
    </row>
    <row r="933" spans="1:23" x14ac:dyDescent="0.3">
      <c r="A933">
        <v>30</v>
      </c>
      <c r="B933">
        <v>0</v>
      </c>
      <c r="D933" t="s">
        <v>687</v>
      </c>
      <c r="E933" s="156">
        <v>44543</v>
      </c>
      <c r="F933" t="s">
        <v>688</v>
      </c>
      <c r="G933" s="156">
        <v>44511</v>
      </c>
      <c r="H933" t="s">
        <v>1521</v>
      </c>
      <c r="I933">
        <v>1750000</v>
      </c>
      <c r="K933">
        <v>0</v>
      </c>
      <c r="M933">
        <v>0</v>
      </c>
      <c r="N933">
        <v>0</v>
      </c>
      <c r="O933">
        <v>0</v>
      </c>
      <c r="P933" s="117">
        <v>1750000</v>
      </c>
      <c r="Q933" s="117" t="s">
        <v>1021</v>
      </c>
      <c r="R933" s="150">
        <v>0</v>
      </c>
      <c r="S933" s="117" t="b">
        <f>OR(COUNTIF(Tabla2[[#This Row],[PROVEEDOR]],"*"&amp;'Palabra no opera'!$A$2&amp;"*"))</f>
        <v>0</v>
      </c>
      <c r="T933" s="150">
        <f>+$W$5-Tabla2[[#This Row],[FECHA DE FACTURACIÓN]]</f>
        <v>323</v>
      </c>
      <c r="U933" t="str">
        <f>+IF(Tabla2[[#This Row],[dias de credito]]&gt;=Tabla2[[#This Row],[PLAZO Días]],"venc", "No venc")</f>
        <v>venc</v>
      </c>
      <c r="V933" t="str">
        <f>+IF(Tabla2[[#This Row],[FECHA DE PAGO]]&gt;0,"pagada","por pagar")</f>
        <v>pagada</v>
      </c>
      <c r="W933" s="152" t="str">
        <f>+IF(AND(Tabla2[[#This Row],[venc]]="venc",Tabla2[[#This Row],[Columna1]]="por pagar"),"vencida","no")</f>
        <v>no</v>
      </c>
    </row>
    <row r="934" spans="1:23" x14ac:dyDescent="0.3">
      <c r="A934">
        <v>30</v>
      </c>
      <c r="B934">
        <v>0</v>
      </c>
      <c r="D934" t="s">
        <v>1024</v>
      </c>
      <c r="E934" s="156">
        <v>44543</v>
      </c>
      <c r="F934" t="s">
        <v>32</v>
      </c>
      <c r="G934" s="156">
        <v>44510</v>
      </c>
      <c r="H934" t="s">
        <v>532</v>
      </c>
      <c r="I934">
        <v>2248066.5</v>
      </c>
      <c r="K934">
        <v>427132.63500000001</v>
      </c>
      <c r="M934">
        <v>0</v>
      </c>
      <c r="N934">
        <v>2.5000000000000001E-2</v>
      </c>
      <c r="O934">
        <v>56201.662500000006</v>
      </c>
      <c r="P934" s="117">
        <v>2618997.4724999997</v>
      </c>
      <c r="Q934" s="117" t="s">
        <v>1021</v>
      </c>
      <c r="R934" s="150">
        <v>0</v>
      </c>
      <c r="S934" s="117" t="b">
        <f>OR(COUNTIF(Tabla2[[#This Row],[PROVEEDOR]],"*"&amp;'Palabra no opera'!$A$2&amp;"*"))</f>
        <v>0</v>
      </c>
      <c r="T934" s="150">
        <f>+$W$5-Tabla2[[#This Row],[FECHA DE FACTURACIÓN]]</f>
        <v>324</v>
      </c>
      <c r="U934" t="str">
        <f>+IF(Tabla2[[#This Row],[dias de credito]]&gt;=Tabla2[[#This Row],[PLAZO Días]],"venc", "No venc")</f>
        <v>venc</v>
      </c>
      <c r="V934" t="str">
        <f>+IF(Tabla2[[#This Row],[FECHA DE PAGO]]&gt;0,"pagada","por pagar")</f>
        <v>pagada</v>
      </c>
      <c r="W934" s="152" t="str">
        <f>+IF(AND(Tabla2[[#This Row],[venc]]="venc",Tabla2[[#This Row],[Columna1]]="por pagar"),"vencida","no")</f>
        <v>no</v>
      </c>
    </row>
    <row r="935" spans="1:23" x14ac:dyDescent="0.3">
      <c r="A935">
        <v>30</v>
      </c>
      <c r="B935">
        <v>0</v>
      </c>
      <c r="D935" t="s">
        <v>687</v>
      </c>
      <c r="E935" s="156">
        <v>44543</v>
      </c>
      <c r="F935" t="s">
        <v>688</v>
      </c>
      <c r="G935" s="156">
        <v>44509</v>
      </c>
      <c r="H935" t="s">
        <v>1518</v>
      </c>
      <c r="I935">
        <v>1470000</v>
      </c>
      <c r="K935">
        <v>0</v>
      </c>
      <c r="M935">
        <v>0</v>
      </c>
      <c r="N935">
        <v>0</v>
      </c>
      <c r="O935">
        <v>0</v>
      </c>
      <c r="P935" s="117">
        <v>1470000</v>
      </c>
      <c r="Q935" s="117" t="s">
        <v>1021</v>
      </c>
      <c r="R935" s="150">
        <v>0</v>
      </c>
      <c r="S935" s="117" t="b">
        <f>OR(COUNTIF(Tabla2[[#This Row],[PROVEEDOR]],"*"&amp;'Palabra no opera'!$A$2&amp;"*"))</f>
        <v>0</v>
      </c>
      <c r="T935" s="150">
        <f>+$W$5-Tabla2[[#This Row],[FECHA DE FACTURACIÓN]]</f>
        <v>325</v>
      </c>
      <c r="U935" t="str">
        <f>+IF(Tabla2[[#This Row],[dias de credito]]&gt;=Tabla2[[#This Row],[PLAZO Días]],"venc", "No venc")</f>
        <v>venc</v>
      </c>
      <c r="V935" t="str">
        <f>+IF(Tabla2[[#This Row],[FECHA DE PAGO]]&gt;0,"pagada","por pagar")</f>
        <v>pagada</v>
      </c>
      <c r="W935" s="152" t="str">
        <f>+IF(AND(Tabla2[[#This Row],[venc]]="venc",Tabla2[[#This Row],[Columna1]]="por pagar"),"vencida","no")</f>
        <v>no</v>
      </c>
    </row>
    <row r="936" spans="1:23" x14ac:dyDescent="0.3">
      <c r="A936">
        <v>30</v>
      </c>
      <c r="B936">
        <v>6259125.5999999996</v>
      </c>
      <c r="D936" t="s">
        <v>264</v>
      </c>
      <c r="E936" s="156">
        <v>44543</v>
      </c>
      <c r="F936" t="s">
        <v>1448</v>
      </c>
      <c r="G936" s="156">
        <v>44509</v>
      </c>
      <c r="H936">
        <v>24521</v>
      </c>
      <c r="I936">
        <v>3180000</v>
      </c>
      <c r="K936">
        <v>604200</v>
      </c>
      <c r="M936">
        <v>0</v>
      </c>
      <c r="N936">
        <v>2.5000000000000001E-2</v>
      </c>
      <c r="O936">
        <v>79500</v>
      </c>
      <c r="P936" s="117">
        <v>3704700</v>
      </c>
      <c r="Q936" s="117" t="s">
        <v>1021</v>
      </c>
      <c r="R936" s="150">
        <v>0</v>
      </c>
      <c r="S936" s="117" t="b">
        <f>OR(COUNTIF(Tabla2[[#This Row],[PROVEEDOR]],"*"&amp;'Palabra no opera'!$A$2&amp;"*"))</f>
        <v>0</v>
      </c>
      <c r="T936" s="150">
        <f>+$W$5-Tabla2[[#This Row],[FECHA DE FACTURACIÓN]]</f>
        <v>325</v>
      </c>
      <c r="U936" t="str">
        <f>+IF(Tabla2[[#This Row],[dias de credito]]&gt;=Tabla2[[#This Row],[PLAZO Días]],"venc", "No venc")</f>
        <v>venc</v>
      </c>
      <c r="V936" t="str">
        <f>+IF(Tabla2[[#This Row],[FECHA DE PAGO]]&gt;0,"pagada","por pagar")</f>
        <v>pagada</v>
      </c>
      <c r="W936" s="152" t="str">
        <f>+IF(AND(Tabla2[[#This Row],[venc]]="venc",Tabla2[[#This Row],[Columna1]]="por pagar"),"vencida","no")</f>
        <v>no</v>
      </c>
    </row>
    <row r="937" spans="1:23" x14ac:dyDescent="0.3">
      <c r="A937">
        <v>30</v>
      </c>
      <c r="B937">
        <v>1580500</v>
      </c>
      <c r="D937" t="s">
        <v>139</v>
      </c>
      <c r="E937" s="156">
        <v>44543</v>
      </c>
      <c r="F937" t="s">
        <v>686</v>
      </c>
      <c r="G937" s="156">
        <v>44506</v>
      </c>
      <c r="H937" t="s">
        <v>1516</v>
      </c>
      <c r="I937">
        <v>529000</v>
      </c>
      <c r="K937">
        <v>0</v>
      </c>
      <c r="M937">
        <v>0</v>
      </c>
      <c r="N937">
        <v>0</v>
      </c>
      <c r="O937">
        <v>0</v>
      </c>
      <c r="P937" s="117">
        <v>529000</v>
      </c>
      <c r="Q937" s="117" t="s">
        <v>1021</v>
      </c>
      <c r="R937" s="150">
        <v>0</v>
      </c>
      <c r="S937" s="117" t="b">
        <f>OR(COUNTIF(Tabla2[[#This Row],[PROVEEDOR]],"*"&amp;'Palabra no opera'!$A$2&amp;"*"))</f>
        <v>0</v>
      </c>
      <c r="T937" s="150">
        <f>+$W$5-Tabla2[[#This Row],[FECHA DE FACTURACIÓN]]</f>
        <v>328</v>
      </c>
      <c r="U937" t="str">
        <f>+IF(Tabla2[[#This Row],[dias de credito]]&gt;=Tabla2[[#This Row],[PLAZO Días]],"venc", "No venc")</f>
        <v>venc</v>
      </c>
      <c r="V937" t="str">
        <f>+IF(Tabla2[[#This Row],[FECHA DE PAGO]]&gt;0,"pagada","por pagar")</f>
        <v>pagada</v>
      </c>
      <c r="W937" s="152" t="str">
        <f>+IF(AND(Tabla2[[#This Row],[venc]]="venc",Tabla2[[#This Row],[Columna1]]="por pagar"),"vencida","no")</f>
        <v>no</v>
      </c>
    </row>
    <row r="938" spans="1:23" x14ac:dyDescent="0.3">
      <c r="A938">
        <v>30</v>
      </c>
      <c r="B938">
        <v>19675613.1195</v>
      </c>
      <c r="D938" t="s">
        <v>256</v>
      </c>
      <c r="E938" s="156">
        <v>44543</v>
      </c>
      <c r="F938" t="s">
        <v>18</v>
      </c>
      <c r="G938" s="156">
        <v>44497</v>
      </c>
      <c r="H938">
        <v>1045170</v>
      </c>
      <c r="I938">
        <v>4549510.08</v>
      </c>
      <c r="K938">
        <v>864406.91520000005</v>
      </c>
      <c r="M938">
        <v>0</v>
      </c>
      <c r="N938">
        <v>2.5000000000000001E-2</v>
      </c>
      <c r="O938">
        <v>113737.75200000001</v>
      </c>
      <c r="P938" s="117">
        <v>5300179.2431999994</v>
      </c>
      <c r="Q938" s="117" t="s">
        <v>1021</v>
      </c>
      <c r="R938" s="150">
        <v>0</v>
      </c>
      <c r="S938" s="117" t="b">
        <f>OR(COUNTIF(Tabla2[[#This Row],[PROVEEDOR]],"*"&amp;'Palabra no opera'!$A$2&amp;"*"))</f>
        <v>0</v>
      </c>
      <c r="T938" s="150">
        <f>+$W$5-Tabla2[[#This Row],[FECHA DE FACTURACIÓN]]</f>
        <v>337</v>
      </c>
      <c r="U938" t="str">
        <f>+IF(Tabla2[[#This Row],[dias de credito]]&gt;=Tabla2[[#This Row],[PLAZO Días]],"venc", "No venc")</f>
        <v>venc</v>
      </c>
      <c r="V938" t="str">
        <f>+IF(Tabla2[[#This Row],[FECHA DE PAGO]]&gt;0,"pagada","por pagar")</f>
        <v>pagada</v>
      </c>
      <c r="W938" s="152" t="str">
        <f>+IF(AND(Tabla2[[#This Row],[venc]]="venc",Tabla2[[#This Row],[Columna1]]="por pagar"),"vencida","no")</f>
        <v>no</v>
      </c>
    </row>
    <row r="939" spans="1:23" x14ac:dyDescent="0.3">
      <c r="A939">
        <v>30</v>
      </c>
      <c r="B939">
        <v>2516204.2100999998</v>
      </c>
      <c r="D939" t="s">
        <v>261</v>
      </c>
      <c r="E939" s="156">
        <v>44543</v>
      </c>
      <c r="F939" t="s">
        <v>512</v>
      </c>
      <c r="G939" s="156">
        <v>44495</v>
      </c>
      <c r="H939">
        <v>144</v>
      </c>
      <c r="I939">
        <v>1340840.3400000001</v>
      </c>
      <c r="K939">
        <v>254759.66460000002</v>
      </c>
      <c r="M939">
        <v>0</v>
      </c>
      <c r="N939">
        <v>2.5000000000000001E-2</v>
      </c>
      <c r="O939">
        <v>33521.008500000004</v>
      </c>
      <c r="P939" s="117">
        <v>1562078.9961000001</v>
      </c>
      <c r="Q939" s="117" t="s">
        <v>1021</v>
      </c>
      <c r="R939" s="150">
        <v>0</v>
      </c>
      <c r="S939" s="117" t="b">
        <f>OR(COUNTIF(Tabla2[[#This Row],[PROVEEDOR]],"*"&amp;'Palabra no opera'!$A$2&amp;"*"))</f>
        <v>0</v>
      </c>
      <c r="T939" s="150">
        <f>+$W$5-Tabla2[[#This Row],[FECHA DE FACTURACIÓN]]</f>
        <v>339</v>
      </c>
      <c r="U939" t="str">
        <f>+IF(Tabla2[[#This Row],[dias de credito]]&gt;=Tabla2[[#This Row],[PLAZO Días]],"venc", "No venc")</f>
        <v>venc</v>
      </c>
      <c r="V939" t="str">
        <f>+IF(Tabla2[[#This Row],[FECHA DE PAGO]]&gt;0,"pagada","por pagar")</f>
        <v>pagada</v>
      </c>
      <c r="W939" s="152" t="str">
        <f>+IF(AND(Tabla2[[#This Row],[venc]]="venc",Tabla2[[#This Row],[Columna1]]="por pagar"),"vencida","no")</f>
        <v>no</v>
      </c>
    </row>
    <row r="940" spans="1:23" x14ac:dyDescent="0.3">
      <c r="A940">
        <v>90</v>
      </c>
      <c r="B940">
        <v>5541947.6899999995</v>
      </c>
      <c r="D940" t="s">
        <v>253</v>
      </c>
      <c r="E940" s="156">
        <v>44543</v>
      </c>
      <c r="F940" t="s">
        <v>12</v>
      </c>
      <c r="G940" s="156">
        <v>44462</v>
      </c>
      <c r="H940" t="s">
        <v>479</v>
      </c>
      <c r="I940">
        <v>5963030</v>
      </c>
      <c r="K940">
        <v>1132975.7</v>
      </c>
      <c r="M940">
        <v>0</v>
      </c>
      <c r="N940">
        <v>2.5000000000000001E-2</v>
      </c>
      <c r="O940">
        <v>149075.75</v>
      </c>
      <c r="P940" s="117">
        <v>6946929.9500000002</v>
      </c>
      <c r="Q940" s="117" t="s">
        <v>1021</v>
      </c>
      <c r="R940" s="150">
        <v>0</v>
      </c>
      <c r="S940" s="117" t="b">
        <f>OR(COUNTIF(Tabla2[[#This Row],[PROVEEDOR]],"*"&amp;'Palabra no opera'!$A$2&amp;"*"))</f>
        <v>0</v>
      </c>
      <c r="T940" s="150">
        <f>+$W$5-Tabla2[[#This Row],[FECHA DE FACTURACIÓN]]</f>
        <v>372</v>
      </c>
      <c r="U940" t="str">
        <f>+IF(Tabla2[[#This Row],[dias de credito]]&gt;=Tabla2[[#This Row],[PLAZO Días]],"venc", "No venc")</f>
        <v>venc</v>
      </c>
      <c r="V940" t="str">
        <f>+IF(Tabla2[[#This Row],[FECHA DE PAGO]]&gt;0,"pagada","por pagar")</f>
        <v>pagada</v>
      </c>
      <c r="W940" s="152" t="str">
        <f>+IF(AND(Tabla2[[#This Row],[venc]]="venc",Tabla2[[#This Row],[Columna1]]="por pagar"),"vencida","no")</f>
        <v>no</v>
      </c>
    </row>
    <row r="941" spans="1:23" x14ac:dyDescent="0.3">
      <c r="A941">
        <v>30</v>
      </c>
      <c r="B941">
        <v>0</v>
      </c>
      <c r="D941" t="s">
        <v>139</v>
      </c>
      <c r="E941" s="156">
        <v>44541</v>
      </c>
      <c r="F941" t="s">
        <v>673</v>
      </c>
      <c r="G941" s="156">
        <v>44541</v>
      </c>
      <c r="I941">
        <v>1000000</v>
      </c>
      <c r="K941">
        <v>0</v>
      </c>
      <c r="M941">
        <v>0</v>
      </c>
      <c r="N941">
        <v>0</v>
      </c>
      <c r="O941">
        <v>0</v>
      </c>
      <c r="P941" s="117">
        <v>1000000</v>
      </c>
      <c r="Q941" s="117" t="s">
        <v>1021</v>
      </c>
      <c r="R941" s="150">
        <v>0</v>
      </c>
      <c r="S941" s="117" t="b">
        <f>OR(COUNTIF(Tabla2[[#This Row],[PROVEEDOR]],"*"&amp;'Palabra no opera'!$A$2&amp;"*"))</f>
        <v>0</v>
      </c>
      <c r="T941" s="150">
        <f>+$W$5-Tabla2[[#This Row],[FECHA DE FACTURACIÓN]]</f>
        <v>293</v>
      </c>
      <c r="U941" t="str">
        <f>+IF(Tabla2[[#This Row],[dias de credito]]&gt;=Tabla2[[#This Row],[PLAZO Días]],"venc", "No venc")</f>
        <v>venc</v>
      </c>
      <c r="V941" t="str">
        <f>+IF(Tabla2[[#This Row],[FECHA DE PAGO]]&gt;0,"pagada","por pagar")</f>
        <v>pagada</v>
      </c>
      <c r="W941" s="152" t="str">
        <f>+IF(AND(Tabla2[[#This Row],[venc]]="venc",Tabla2[[#This Row],[Columna1]]="por pagar"),"vencida","no")</f>
        <v>no</v>
      </c>
    </row>
    <row r="942" spans="1:23" x14ac:dyDescent="0.3">
      <c r="A942">
        <v>30</v>
      </c>
      <c r="B942">
        <v>0</v>
      </c>
      <c r="D942" t="s">
        <v>139</v>
      </c>
      <c r="E942" s="156">
        <v>44540</v>
      </c>
      <c r="F942" t="s">
        <v>638</v>
      </c>
      <c r="G942" s="156">
        <v>44539</v>
      </c>
      <c r="H942" t="s">
        <v>1358</v>
      </c>
      <c r="I942">
        <v>7237400</v>
      </c>
      <c r="K942">
        <v>0</v>
      </c>
      <c r="M942">
        <v>0</v>
      </c>
      <c r="N942">
        <v>0</v>
      </c>
      <c r="O942">
        <v>0</v>
      </c>
      <c r="P942" s="117">
        <v>7237400</v>
      </c>
      <c r="Q942" s="117" t="s">
        <v>1021</v>
      </c>
      <c r="R942" s="150">
        <v>0</v>
      </c>
      <c r="S942" s="117" t="b">
        <f>OR(COUNTIF(Tabla2[[#This Row],[PROVEEDOR]],"*"&amp;'Palabra no opera'!$A$2&amp;"*"))</f>
        <v>0</v>
      </c>
      <c r="T942" s="150">
        <f>+$W$5-Tabla2[[#This Row],[FECHA DE FACTURACIÓN]]</f>
        <v>295</v>
      </c>
      <c r="U942" t="str">
        <f>+IF(Tabla2[[#This Row],[dias de credito]]&gt;=Tabla2[[#This Row],[PLAZO Días]],"venc", "No venc")</f>
        <v>venc</v>
      </c>
      <c r="V942" t="str">
        <f>+IF(Tabla2[[#This Row],[FECHA DE PAGO]]&gt;0,"pagada","por pagar")</f>
        <v>pagada</v>
      </c>
      <c r="W942" s="152" t="str">
        <f>+IF(AND(Tabla2[[#This Row],[venc]]="venc",Tabla2[[#This Row],[Columna1]]="por pagar"),"vencida","no")</f>
        <v>no</v>
      </c>
    </row>
    <row r="943" spans="1:23" x14ac:dyDescent="0.3">
      <c r="A943">
        <v>30</v>
      </c>
      <c r="B943">
        <v>0</v>
      </c>
      <c r="D943" t="s">
        <v>380</v>
      </c>
      <c r="E943" s="156">
        <v>44540</v>
      </c>
      <c r="F943" t="s">
        <v>56</v>
      </c>
      <c r="G943" s="156">
        <v>44539</v>
      </c>
      <c r="H943" t="s">
        <v>560</v>
      </c>
      <c r="I943">
        <v>3853480</v>
      </c>
      <c r="K943">
        <v>732161.2</v>
      </c>
      <c r="M943">
        <v>0</v>
      </c>
      <c r="N943">
        <v>0</v>
      </c>
      <c r="O943">
        <v>0</v>
      </c>
      <c r="P943" s="117">
        <v>4585641.2</v>
      </c>
      <c r="Q943" s="117" t="s">
        <v>1021</v>
      </c>
      <c r="R943" s="150">
        <v>0</v>
      </c>
      <c r="S943" s="117" t="b">
        <f>OR(COUNTIF(Tabla2[[#This Row],[PROVEEDOR]],"*"&amp;'Palabra no opera'!$A$2&amp;"*"))</f>
        <v>0</v>
      </c>
      <c r="T943" s="150">
        <f>+$W$5-Tabla2[[#This Row],[FECHA DE FACTURACIÓN]]</f>
        <v>295</v>
      </c>
      <c r="U943" t="str">
        <f>+IF(Tabla2[[#This Row],[dias de credito]]&gt;=Tabla2[[#This Row],[PLAZO Días]],"venc", "No venc")</f>
        <v>venc</v>
      </c>
      <c r="V943" t="str">
        <f>+IF(Tabla2[[#This Row],[FECHA DE PAGO]]&gt;0,"pagada","por pagar")</f>
        <v>pagada</v>
      </c>
      <c r="W943" s="152" t="str">
        <f>+IF(AND(Tabla2[[#This Row],[venc]]="venc",Tabla2[[#This Row],[Columna1]]="por pagar"),"vencida","no")</f>
        <v>no</v>
      </c>
    </row>
    <row r="944" spans="1:23" x14ac:dyDescent="0.3">
      <c r="A944">
        <v>10</v>
      </c>
      <c r="B944">
        <v>0</v>
      </c>
      <c r="D944">
        <v>0</v>
      </c>
      <c r="E944" s="156">
        <v>44540</v>
      </c>
      <c r="F944" t="s">
        <v>909</v>
      </c>
      <c r="G944" s="156">
        <v>44539</v>
      </c>
      <c r="H944" t="s">
        <v>555</v>
      </c>
      <c r="I944">
        <v>100840.34</v>
      </c>
      <c r="K944">
        <v>19159.6646</v>
      </c>
      <c r="M944">
        <v>0</v>
      </c>
      <c r="N944">
        <v>0</v>
      </c>
      <c r="O944">
        <v>0</v>
      </c>
      <c r="P944" s="117">
        <v>120000.0046</v>
      </c>
      <c r="Q944" s="117" t="s">
        <v>1021</v>
      </c>
      <c r="R944" s="150">
        <v>0</v>
      </c>
      <c r="S944" s="117" t="b">
        <f>OR(COUNTIF(Tabla2[[#This Row],[PROVEEDOR]],"*"&amp;'Palabra no opera'!$A$2&amp;"*"))</f>
        <v>1</v>
      </c>
      <c r="T944" s="150">
        <f>+$W$5-Tabla2[[#This Row],[FECHA DE FACTURACIÓN]]</f>
        <v>295</v>
      </c>
      <c r="U944" t="str">
        <f>+IF(Tabla2[[#This Row],[dias de credito]]&gt;=Tabla2[[#This Row],[PLAZO Días]],"venc", "No venc")</f>
        <v>venc</v>
      </c>
      <c r="V944" t="str">
        <f>+IF(Tabla2[[#This Row],[FECHA DE PAGO]]&gt;0,"pagada","por pagar")</f>
        <v>pagada</v>
      </c>
      <c r="W944" s="152" t="str">
        <f>+IF(AND(Tabla2[[#This Row],[venc]]="venc",Tabla2[[#This Row],[Columna1]]="por pagar"),"vencida","no")</f>
        <v>no</v>
      </c>
    </row>
    <row r="945" spans="1:23" x14ac:dyDescent="0.3">
      <c r="A945">
        <v>13</v>
      </c>
      <c r="B945">
        <v>0</v>
      </c>
      <c r="D945">
        <v>0</v>
      </c>
      <c r="E945" s="156">
        <v>44540</v>
      </c>
      <c r="F945" t="s">
        <v>934</v>
      </c>
      <c r="G945" s="156">
        <v>44531</v>
      </c>
      <c r="I945">
        <v>934412</v>
      </c>
      <c r="K945">
        <v>0</v>
      </c>
      <c r="M945">
        <v>0</v>
      </c>
      <c r="N945">
        <v>0</v>
      </c>
      <c r="O945">
        <v>0</v>
      </c>
      <c r="P945" s="117">
        <v>934412</v>
      </c>
      <c r="Q945" s="117" t="s">
        <v>1021</v>
      </c>
      <c r="R945" s="150">
        <v>0</v>
      </c>
      <c r="S945" s="117" t="b">
        <f>OR(COUNTIF(Tabla2[[#This Row],[PROVEEDOR]],"*"&amp;'Palabra no opera'!$A$2&amp;"*"))</f>
        <v>1</v>
      </c>
      <c r="T945" s="150">
        <f>+$W$5-Tabla2[[#This Row],[FECHA DE FACTURACIÓN]]</f>
        <v>303</v>
      </c>
      <c r="U945" t="str">
        <f>+IF(Tabla2[[#This Row],[dias de credito]]&gt;=Tabla2[[#This Row],[PLAZO Días]],"venc", "No venc")</f>
        <v>venc</v>
      </c>
      <c r="V945" t="str">
        <f>+IF(Tabla2[[#This Row],[FECHA DE PAGO]]&gt;0,"pagada","por pagar")</f>
        <v>pagada</v>
      </c>
      <c r="W945" s="152" t="str">
        <f>+IF(AND(Tabla2[[#This Row],[venc]]="venc",Tabla2[[#This Row],[Columna1]]="por pagar"),"vencida","no")</f>
        <v>no</v>
      </c>
    </row>
    <row r="946" spans="1:23" x14ac:dyDescent="0.3">
      <c r="A946">
        <v>30</v>
      </c>
      <c r="B946">
        <v>5225000</v>
      </c>
      <c r="D946" t="s">
        <v>139</v>
      </c>
      <c r="E946" s="156">
        <v>44539</v>
      </c>
      <c r="F946" t="s">
        <v>629</v>
      </c>
      <c r="G946" s="156">
        <v>44496</v>
      </c>
      <c r="H946" t="s">
        <v>1334</v>
      </c>
      <c r="I946">
        <v>3265000</v>
      </c>
      <c r="K946">
        <v>0</v>
      </c>
      <c r="M946">
        <v>0</v>
      </c>
      <c r="N946">
        <v>0</v>
      </c>
      <c r="O946">
        <v>0</v>
      </c>
      <c r="P946" s="117">
        <v>3265000</v>
      </c>
      <c r="Q946" s="117" t="s">
        <v>1021</v>
      </c>
      <c r="R946" s="150">
        <v>0</v>
      </c>
      <c r="S946" s="117" t="b">
        <f>OR(COUNTIF(Tabla2[[#This Row],[PROVEEDOR]],"*"&amp;'Palabra no opera'!$A$2&amp;"*"))</f>
        <v>0</v>
      </c>
      <c r="T946" s="150">
        <f>+$W$5-Tabla2[[#This Row],[FECHA DE FACTURACIÓN]]</f>
        <v>338</v>
      </c>
      <c r="U946" t="str">
        <f>+IF(Tabla2[[#This Row],[dias de credito]]&gt;=Tabla2[[#This Row],[PLAZO Días]],"venc", "No venc")</f>
        <v>venc</v>
      </c>
      <c r="V946" t="str">
        <f>+IF(Tabla2[[#This Row],[FECHA DE PAGO]]&gt;0,"pagada","por pagar")</f>
        <v>pagada</v>
      </c>
      <c r="W946" s="152" t="str">
        <f>+IF(AND(Tabla2[[#This Row],[venc]]="venc",Tabla2[[#This Row],[Columna1]]="por pagar"),"vencida","no")</f>
        <v>no</v>
      </c>
    </row>
    <row r="947" spans="1:23" x14ac:dyDescent="0.3">
      <c r="A947">
        <v>30</v>
      </c>
      <c r="B947">
        <v>0</v>
      </c>
      <c r="D947" t="s">
        <v>139</v>
      </c>
      <c r="E947" s="156">
        <v>44537</v>
      </c>
      <c r="F947" t="s">
        <v>53</v>
      </c>
      <c r="G947" s="156">
        <v>44536</v>
      </c>
      <c r="H947">
        <v>286942</v>
      </c>
      <c r="I947">
        <v>2175000</v>
      </c>
      <c r="K947">
        <v>0</v>
      </c>
      <c r="M947">
        <v>0</v>
      </c>
      <c r="N947">
        <v>0</v>
      </c>
      <c r="O947">
        <v>0</v>
      </c>
      <c r="P947" s="117">
        <v>2175000</v>
      </c>
      <c r="Q947" s="117" t="s">
        <v>1021</v>
      </c>
      <c r="R947" s="150">
        <v>0</v>
      </c>
      <c r="S947" s="117" t="b">
        <f>OR(COUNTIF(Tabla2[[#This Row],[PROVEEDOR]],"*"&amp;'Palabra no opera'!$A$2&amp;"*"))</f>
        <v>0</v>
      </c>
      <c r="T947" s="150">
        <f>+$W$5-Tabla2[[#This Row],[FECHA DE FACTURACIÓN]]</f>
        <v>298</v>
      </c>
      <c r="U947" t="str">
        <f>+IF(Tabla2[[#This Row],[dias de credito]]&gt;=Tabla2[[#This Row],[PLAZO Días]],"venc", "No venc")</f>
        <v>venc</v>
      </c>
      <c r="V947" t="str">
        <f>+IF(Tabla2[[#This Row],[FECHA DE PAGO]]&gt;0,"pagada","por pagar")</f>
        <v>pagada</v>
      </c>
      <c r="W947" s="152" t="str">
        <f>+IF(AND(Tabla2[[#This Row],[venc]]="venc",Tabla2[[#This Row],[Columna1]]="por pagar"),"vencida","no")</f>
        <v>no</v>
      </c>
    </row>
    <row r="948" spans="1:23" x14ac:dyDescent="0.3">
      <c r="A948">
        <v>30</v>
      </c>
      <c r="B948">
        <v>326474.88</v>
      </c>
      <c r="D948" t="s">
        <v>949</v>
      </c>
      <c r="E948" s="156">
        <v>44537</v>
      </c>
      <c r="F948" t="s">
        <v>345</v>
      </c>
      <c r="G948" s="156">
        <v>44536</v>
      </c>
      <c r="H948" t="s">
        <v>1356</v>
      </c>
      <c r="I948">
        <v>1781000</v>
      </c>
      <c r="K948">
        <v>0</v>
      </c>
      <c r="M948">
        <v>0</v>
      </c>
      <c r="N948">
        <v>0</v>
      </c>
      <c r="O948">
        <v>0</v>
      </c>
      <c r="P948" s="117">
        <v>1781000</v>
      </c>
      <c r="Q948" s="117" t="s">
        <v>1021</v>
      </c>
      <c r="R948" s="150">
        <v>0</v>
      </c>
      <c r="S948" s="117" t="b">
        <f>OR(COUNTIF(Tabla2[[#This Row],[PROVEEDOR]],"*"&amp;'Palabra no opera'!$A$2&amp;"*"))</f>
        <v>0</v>
      </c>
      <c r="T948" s="150">
        <f>+$W$5-Tabla2[[#This Row],[FECHA DE FACTURACIÓN]]</f>
        <v>298</v>
      </c>
      <c r="U948" t="str">
        <f>+IF(Tabla2[[#This Row],[dias de credito]]&gt;=Tabla2[[#This Row],[PLAZO Días]],"venc", "No venc")</f>
        <v>venc</v>
      </c>
      <c r="V948" t="str">
        <f>+IF(Tabla2[[#This Row],[FECHA DE PAGO]]&gt;0,"pagada","por pagar")</f>
        <v>pagada</v>
      </c>
      <c r="W948" s="152" t="str">
        <f>+IF(AND(Tabla2[[#This Row],[venc]]="venc",Tabla2[[#This Row],[Columna1]]="por pagar"),"vencida","no")</f>
        <v>no</v>
      </c>
    </row>
    <row r="949" spans="1:23" x14ac:dyDescent="0.3">
      <c r="A949">
        <v>30</v>
      </c>
      <c r="B949">
        <v>0</v>
      </c>
      <c r="D949">
        <v>0</v>
      </c>
      <c r="E949" s="156">
        <v>44537</v>
      </c>
      <c r="F949" t="s">
        <v>908</v>
      </c>
      <c r="G949" s="156">
        <v>44523</v>
      </c>
      <c r="H949" t="s">
        <v>1346</v>
      </c>
      <c r="I949">
        <v>1848739.49</v>
      </c>
      <c r="K949">
        <v>351260.50310000003</v>
      </c>
      <c r="M949">
        <v>0</v>
      </c>
      <c r="N949">
        <v>0.04</v>
      </c>
      <c r="O949">
        <v>73949.579599999997</v>
      </c>
      <c r="P949" s="117">
        <v>2126050.4135000003</v>
      </c>
      <c r="Q949" s="117" t="s">
        <v>1021</v>
      </c>
      <c r="R949" s="150">
        <v>0</v>
      </c>
      <c r="S949" s="117" t="b">
        <f>OR(COUNTIF(Tabla2[[#This Row],[PROVEEDOR]],"*"&amp;'Palabra no opera'!$A$2&amp;"*"))</f>
        <v>1</v>
      </c>
      <c r="T949" s="150">
        <f>+$W$5-Tabla2[[#This Row],[FECHA DE FACTURACIÓN]]</f>
        <v>311</v>
      </c>
      <c r="U949" t="str">
        <f>+IF(Tabla2[[#This Row],[dias de credito]]&gt;=Tabla2[[#This Row],[PLAZO Días]],"venc", "No venc")</f>
        <v>venc</v>
      </c>
      <c r="V949" t="str">
        <f>+IF(Tabla2[[#This Row],[FECHA DE PAGO]]&gt;0,"pagada","por pagar")</f>
        <v>pagada</v>
      </c>
      <c r="W949" s="152" t="str">
        <f>+IF(AND(Tabla2[[#This Row],[venc]]="venc",Tabla2[[#This Row],[Columna1]]="por pagar"),"vencida","no")</f>
        <v>no</v>
      </c>
    </row>
    <row r="950" spans="1:23" x14ac:dyDescent="0.3">
      <c r="A950">
        <v>30</v>
      </c>
      <c r="B950">
        <v>146262.9</v>
      </c>
      <c r="D950" t="s">
        <v>262</v>
      </c>
      <c r="E950" s="156">
        <v>44537</v>
      </c>
      <c r="F950" t="s">
        <v>17</v>
      </c>
      <c r="G950" s="156">
        <v>44517</v>
      </c>
      <c r="H950">
        <v>1840769</v>
      </c>
      <c r="I950">
        <v>775710</v>
      </c>
      <c r="K950">
        <v>147384.9</v>
      </c>
      <c r="M950">
        <v>0</v>
      </c>
      <c r="N950">
        <v>0</v>
      </c>
      <c r="O950">
        <v>0</v>
      </c>
      <c r="P950" s="117">
        <v>923094.9</v>
      </c>
      <c r="Q950" s="117" t="s">
        <v>1021</v>
      </c>
      <c r="R950" s="150">
        <v>0</v>
      </c>
      <c r="S950" s="117" t="b">
        <f>OR(COUNTIF(Tabla2[[#This Row],[PROVEEDOR]],"*"&amp;'Palabra no opera'!$A$2&amp;"*"))</f>
        <v>0</v>
      </c>
      <c r="T950" s="150">
        <f>+$W$5-Tabla2[[#This Row],[FECHA DE FACTURACIÓN]]</f>
        <v>317</v>
      </c>
      <c r="U950" t="str">
        <f>+IF(Tabla2[[#This Row],[dias de credito]]&gt;=Tabla2[[#This Row],[PLAZO Días]],"venc", "No venc")</f>
        <v>venc</v>
      </c>
      <c r="V950" t="str">
        <f>+IF(Tabla2[[#This Row],[FECHA DE PAGO]]&gt;0,"pagada","por pagar")</f>
        <v>pagada</v>
      </c>
      <c r="W950" s="152" t="str">
        <f>+IF(AND(Tabla2[[#This Row],[venc]]="venc",Tabla2[[#This Row],[Columna1]]="por pagar"),"vencida","no")</f>
        <v>no</v>
      </c>
    </row>
    <row r="951" spans="1:23" x14ac:dyDescent="0.3">
      <c r="A951">
        <v>30</v>
      </c>
      <c r="B951">
        <v>146262.9</v>
      </c>
      <c r="D951" t="s">
        <v>262</v>
      </c>
      <c r="E951" s="156">
        <v>44537</v>
      </c>
      <c r="F951" t="s">
        <v>17</v>
      </c>
      <c r="G951" s="156">
        <v>44517</v>
      </c>
      <c r="H951">
        <v>1840740</v>
      </c>
      <c r="I951">
        <v>753350</v>
      </c>
      <c r="K951">
        <v>143136.5</v>
      </c>
      <c r="M951">
        <v>0</v>
      </c>
      <c r="N951">
        <v>0</v>
      </c>
      <c r="O951">
        <v>0</v>
      </c>
      <c r="P951" s="117">
        <v>896486.5</v>
      </c>
      <c r="Q951" s="117" t="s">
        <v>1021</v>
      </c>
      <c r="R951" s="150">
        <v>0</v>
      </c>
      <c r="S951" s="117" t="b">
        <f>OR(COUNTIF(Tabla2[[#This Row],[PROVEEDOR]],"*"&amp;'Palabra no opera'!$A$2&amp;"*"))</f>
        <v>0</v>
      </c>
      <c r="T951" s="150">
        <f>+$W$5-Tabla2[[#This Row],[FECHA DE FACTURACIÓN]]</f>
        <v>317</v>
      </c>
      <c r="U951" t="str">
        <f>+IF(Tabla2[[#This Row],[dias de credito]]&gt;=Tabla2[[#This Row],[PLAZO Días]],"venc", "No venc")</f>
        <v>venc</v>
      </c>
      <c r="V951" t="str">
        <f>+IF(Tabla2[[#This Row],[FECHA DE PAGO]]&gt;0,"pagada","por pagar")</f>
        <v>pagada</v>
      </c>
      <c r="W951" s="152" t="str">
        <f>+IF(AND(Tabla2[[#This Row],[venc]]="venc",Tabla2[[#This Row],[Columna1]]="por pagar"),"vencida","no")</f>
        <v>no</v>
      </c>
    </row>
    <row r="952" spans="1:23" x14ac:dyDescent="0.3">
      <c r="A952">
        <v>30</v>
      </c>
      <c r="B952">
        <v>146262.9</v>
      </c>
      <c r="D952" t="s">
        <v>262</v>
      </c>
      <c r="E952" s="156">
        <v>44537</v>
      </c>
      <c r="F952" t="s">
        <v>17</v>
      </c>
      <c r="G952" s="156">
        <v>44517</v>
      </c>
      <c r="H952">
        <v>1840884</v>
      </c>
      <c r="I952">
        <v>361000</v>
      </c>
      <c r="K952">
        <v>68590</v>
      </c>
      <c r="M952">
        <v>0</v>
      </c>
      <c r="N952">
        <v>0</v>
      </c>
      <c r="O952">
        <v>0</v>
      </c>
      <c r="P952" s="117">
        <v>429590</v>
      </c>
      <c r="Q952" s="117" t="s">
        <v>1021</v>
      </c>
      <c r="R952" s="150">
        <v>0</v>
      </c>
      <c r="S952" s="117" t="b">
        <f>OR(COUNTIF(Tabla2[[#This Row],[PROVEEDOR]],"*"&amp;'Palabra no opera'!$A$2&amp;"*"))</f>
        <v>0</v>
      </c>
      <c r="T952" s="150">
        <f>+$W$5-Tabla2[[#This Row],[FECHA DE FACTURACIÓN]]</f>
        <v>317</v>
      </c>
      <c r="U952" t="str">
        <f>+IF(Tabla2[[#This Row],[dias de credito]]&gt;=Tabla2[[#This Row],[PLAZO Días]],"venc", "No venc")</f>
        <v>venc</v>
      </c>
      <c r="V952" t="str">
        <f>+IF(Tabla2[[#This Row],[FECHA DE PAGO]]&gt;0,"pagada","por pagar")</f>
        <v>pagada</v>
      </c>
      <c r="W952" s="152" t="str">
        <f>+IF(AND(Tabla2[[#This Row],[venc]]="venc",Tabla2[[#This Row],[Columna1]]="por pagar"),"vencida","no")</f>
        <v>no</v>
      </c>
    </row>
    <row r="953" spans="1:23" x14ac:dyDescent="0.3">
      <c r="A953">
        <v>30</v>
      </c>
      <c r="B953">
        <v>0</v>
      </c>
      <c r="D953" t="s">
        <v>554</v>
      </c>
      <c r="E953" s="156">
        <v>44537</v>
      </c>
      <c r="F953" t="s">
        <v>422</v>
      </c>
      <c r="G953" s="156">
        <v>44497</v>
      </c>
      <c r="H953">
        <v>10615</v>
      </c>
      <c r="I953">
        <v>1380000</v>
      </c>
      <c r="K953">
        <v>262200</v>
      </c>
      <c r="M953">
        <v>0</v>
      </c>
      <c r="N953">
        <v>2.5000000000000001E-2</v>
      </c>
      <c r="O953">
        <v>34500</v>
      </c>
      <c r="P953" s="117">
        <v>1607700</v>
      </c>
      <c r="Q953" s="117" t="s">
        <v>1021</v>
      </c>
      <c r="R953" s="150">
        <v>0</v>
      </c>
      <c r="S953" s="117" t="b">
        <f>OR(COUNTIF(Tabla2[[#This Row],[PROVEEDOR]],"*"&amp;'Palabra no opera'!$A$2&amp;"*"))</f>
        <v>0</v>
      </c>
      <c r="T953" s="150">
        <f>+$W$5-Tabla2[[#This Row],[FECHA DE FACTURACIÓN]]</f>
        <v>337</v>
      </c>
      <c r="U953" t="str">
        <f>+IF(Tabla2[[#This Row],[dias de credito]]&gt;=Tabla2[[#This Row],[PLAZO Días]],"venc", "No venc")</f>
        <v>venc</v>
      </c>
      <c r="V953" t="str">
        <f>+IF(Tabla2[[#This Row],[FECHA DE PAGO]]&gt;0,"pagada","por pagar")</f>
        <v>pagada</v>
      </c>
      <c r="W953" s="152" t="str">
        <f>+IF(AND(Tabla2[[#This Row],[venc]]="venc",Tabla2[[#This Row],[Columna1]]="por pagar"),"vencida","no")</f>
        <v>no</v>
      </c>
    </row>
    <row r="954" spans="1:23" x14ac:dyDescent="0.3">
      <c r="A954">
        <v>30</v>
      </c>
      <c r="B954">
        <v>0</v>
      </c>
      <c r="D954" t="s">
        <v>277</v>
      </c>
      <c r="E954" s="156">
        <v>44537</v>
      </c>
      <c r="F954" t="s">
        <v>131</v>
      </c>
      <c r="G954" s="156">
        <v>44491</v>
      </c>
      <c r="H954">
        <v>43</v>
      </c>
      <c r="I954">
        <v>522353</v>
      </c>
      <c r="K954">
        <v>99247.07</v>
      </c>
      <c r="M954">
        <v>0</v>
      </c>
      <c r="N954">
        <v>0</v>
      </c>
      <c r="O954">
        <v>0</v>
      </c>
      <c r="P954" s="117">
        <v>621600.07000000007</v>
      </c>
      <c r="Q954" s="117" t="s">
        <v>1021</v>
      </c>
      <c r="R954" s="150">
        <v>0</v>
      </c>
      <c r="S954" s="117" t="b">
        <f>OR(COUNTIF(Tabla2[[#This Row],[PROVEEDOR]],"*"&amp;'Palabra no opera'!$A$2&amp;"*"))</f>
        <v>0</v>
      </c>
      <c r="T954" s="150">
        <f>+$W$5-Tabla2[[#This Row],[FECHA DE FACTURACIÓN]]</f>
        <v>343</v>
      </c>
      <c r="U954" t="str">
        <f>+IF(Tabla2[[#This Row],[dias de credito]]&gt;=Tabla2[[#This Row],[PLAZO Días]],"venc", "No venc")</f>
        <v>venc</v>
      </c>
      <c r="V954" t="str">
        <f>+IF(Tabla2[[#This Row],[FECHA DE PAGO]]&gt;0,"pagada","por pagar")</f>
        <v>pagada</v>
      </c>
      <c r="W954" s="152" t="str">
        <f>+IF(AND(Tabla2[[#This Row],[venc]]="venc",Tabla2[[#This Row],[Columna1]]="por pagar"),"vencida","no")</f>
        <v>no</v>
      </c>
    </row>
    <row r="955" spans="1:23" x14ac:dyDescent="0.3">
      <c r="A955">
        <v>30</v>
      </c>
      <c r="B955">
        <v>8190204</v>
      </c>
      <c r="D955" t="s">
        <v>263</v>
      </c>
      <c r="E955" s="156">
        <v>44537</v>
      </c>
      <c r="F955" t="s">
        <v>1637</v>
      </c>
      <c r="G955" s="156">
        <v>44490</v>
      </c>
      <c r="H955">
        <v>23042</v>
      </c>
      <c r="I955">
        <v>2798870</v>
      </c>
      <c r="J955">
        <v>110990</v>
      </c>
      <c r="K955">
        <v>510697.2</v>
      </c>
      <c r="M955">
        <v>0</v>
      </c>
      <c r="N955">
        <v>2.5000000000000001E-2</v>
      </c>
      <c r="O955">
        <v>67197</v>
      </c>
      <c r="P955" s="117">
        <v>3131380.2</v>
      </c>
      <c r="Q955" s="117" t="s">
        <v>1021</v>
      </c>
      <c r="R955" s="150">
        <v>0</v>
      </c>
      <c r="S955" s="117" t="b">
        <f>OR(COUNTIF(Tabla2[[#This Row],[PROVEEDOR]],"*"&amp;'Palabra no opera'!$A$2&amp;"*"))</f>
        <v>0</v>
      </c>
      <c r="T955" s="150">
        <f>+$W$5-Tabla2[[#This Row],[FECHA DE FACTURACIÓN]]</f>
        <v>344</v>
      </c>
      <c r="U955" t="str">
        <f>+IF(Tabla2[[#This Row],[dias de credito]]&gt;=Tabla2[[#This Row],[PLAZO Días]],"venc", "No venc")</f>
        <v>venc</v>
      </c>
      <c r="V955" t="str">
        <f>+IF(Tabla2[[#This Row],[FECHA DE PAGO]]&gt;0,"pagada","por pagar")</f>
        <v>pagada</v>
      </c>
      <c r="W955" s="152" t="str">
        <f>+IF(AND(Tabla2[[#This Row],[venc]]="venc",Tabla2[[#This Row],[Columna1]]="por pagar"),"vencida","no")</f>
        <v>no</v>
      </c>
    </row>
    <row r="956" spans="1:23" x14ac:dyDescent="0.3">
      <c r="A956">
        <v>30</v>
      </c>
      <c r="B956">
        <v>0</v>
      </c>
      <c r="D956" t="s">
        <v>554</v>
      </c>
      <c r="E956" s="156">
        <v>44537</v>
      </c>
      <c r="F956" t="s">
        <v>422</v>
      </c>
      <c r="G956" s="156">
        <v>44489</v>
      </c>
      <c r="H956">
        <v>10568</v>
      </c>
      <c r="I956">
        <v>580000</v>
      </c>
      <c r="K956">
        <v>110200</v>
      </c>
      <c r="M956">
        <v>0</v>
      </c>
      <c r="N956">
        <v>0</v>
      </c>
      <c r="O956">
        <v>0</v>
      </c>
      <c r="P956" s="117">
        <v>690200</v>
      </c>
      <c r="Q956" s="117" t="s">
        <v>1021</v>
      </c>
      <c r="R956" s="150">
        <v>0</v>
      </c>
      <c r="S956" s="117" t="b">
        <f>OR(COUNTIF(Tabla2[[#This Row],[PROVEEDOR]],"*"&amp;'Palabra no opera'!$A$2&amp;"*"))</f>
        <v>0</v>
      </c>
      <c r="T956" s="150">
        <f>+$W$5-Tabla2[[#This Row],[FECHA DE FACTURACIÓN]]</f>
        <v>345</v>
      </c>
      <c r="U956" t="str">
        <f>+IF(Tabla2[[#This Row],[dias de credito]]&gt;=Tabla2[[#This Row],[PLAZO Días]],"venc", "No venc")</f>
        <v>venc</v>
      </c>
      <c r="V956" t="str">
        <f>+IF(Tabla2[[#This Row],[FECHA DE PAGO]]&gt;0,"pagada","por pagar")</f>
        <v>pagada</v>
      </c>
      <c r="W956" s="152" t="str">
        <f>+IF(AND(Tabla2[[#This Row],[venc]]="venc",Tabla2[[#This Row],[Columna1]]="por pagar"),"vencida","no")</f>
        <v>no</v>
      </c>
    </row>
    <row r="957" spans="1:23" x14ac:dyDescent="0.3">
      <c r="A957">
        <v>45</v>
      </c>
      <c r="B957">
        <v>7497238</v>
      </c>
      <c r="D957" t="s">
        <v>272</v>
      </c>
      <c r="E957" s="156">
        <v>44537</v>
      </c>
      <c r="F957" t="s">
        <v>10</v>
      </c>
      <c r="G957" s="156">
        <v>44488</v>
      </c>
      <c r="H957" t="s">
        <v>496</v>
      </c>
      <c r="I957">
        <v>408000</v>
      </c>
      <c r="K957">
        <v>77520</v>
      </c>
      <c r="M957">
        <v>0</v>
      </c>
      <c r="N957">
        <v>0</v>
      </c>
      <c r="O957">
        <v>0</v>
      </c>
      <c r="P957" s="117">
        <v>485520</v>
      </c>
      <c r="Q957" s="117" t="s">
        <v>1021</v>
      </c>
      <c r="R957" s="150">
        <v>0</v>
      </c>
      <c r="S957" s="117" t="b">
        <f>OR(COUNTIF(Tabla2[[#This Row],[PROVEEDOR]],"*"&amp;'Palabra no opera'!$A$2&amp;"*"))</f>
        <v>0</v>
      </c>
      <c r="T957" s="150">
        <f>+$W$5-Tabla2[[#This Row],[FECHA DE FACTURACIÓN]]</f>
        <v>346</v>
      </c>
      <c r="U957" t="str">
        <f>+IF(Tabla2[[#This Row],[dias de credito]]&gt;=Tabla2[[#This Row],[PLAZO Días]],"venc", "No venc")</f>
        <v>venc</v>
      </c>
      <c r="V957" t="str">
        <f>+IF(Tabla2[[#This Row],[FECHA DE PAGO]]&gt;0,"pagada","por pagar")</f>
        <v>pagada</v>
      </c>
      <c r="W957" s="152" t="str">
        <f>+IF(AND(Tabla2[[#This Row],[venc]]="venc",Tabla2[[#This Row],[Columna1]]="por pagar"),"vencida","no")</f>
        <v>no</v>
      </c>
    </row>
    <row r="958" spans="1:23" x14ac:dyDescent="0.3">
      <c r="A958">
        <v>30</v>
      </c>
      <c r="B958">
        <v>8190204</v>
      </c>
      <c r="D958" t="s">
        <v>263</v>
      </c>
      <c r="E958" s="156">
        <v>44537</v>
      </c>
      <c r="F958" t="s">
        <v>1637</v>
      </c>
      <c r="G958" s="156">
        <v>44482</v>
      </c>
      <c r="H958">
        <v>22907</v>
      </c>
      <c r="I958">
        <v>300000</v>
      </c>
      <c r="K958">
        <v>57000</v>
      </c>
      <c r="M958">
        <v>0</v>
      </c>
      <c r="N958">
        <v>0</v>
      </c>
      <c r="O958">
        <v>0</v>
      </c>
      <c r="P958" s="117">
        <v>357000</v>
      </c>
      <c r="Q958" s="117" t="s">
        <v>1021</v>
      </c>
      <c r="R958" s="150">
        <v>0</v>
      </c>
      <c r="S958" s="117" t="b">
        <f>OR(COUNTIF(Tabla2[[#This Row],[PROVEEDOR]],"*"&amp;'Palabra no opera'!$A$2&amp;"*"))</f>
        <v>0</v>
      </c>
      <c r="T958" s="150">
        <f>+$W$5-Tabla2[[#This Row],[FECHA DE FACTURACIÓN]]</f>
        <v>352</v>
      </c>
      <c r="U958" t="str">
        <f>+IF(Tabla2[[#This Row],[dias de credito]]&gt;=Tabla2[[#This Row],[PLAZO Días]],"venc", "No venc")</f>
        <v>venc</v>
      </c>
      <c r="V958" t="str">
        <f>+IF(Tabla2[[#This Row],[FECHA DE PAGO]]&gt;0,"pagada","por pagar")</f>
        <v>pagada</v>
      </c>
      <c r="W958" s="152" t="str">
        <f>+IF(AND(Tabla2[[#This Row],[venc]]="venc",Tabla2[[#This Row],[Columna1]]="por pagar"),"vencida","no")</f>
        <v>no</v>
      </c>
    </row>
    <row r="959" spans="1:23" x14ac:dyDescent="0.3">
      <c r="A959">
        <v>45</v>
      </c>
      <c r="B959">
        <v>30078253.170000002</v>
      </c>
      <c r="D959" t="s">
        <v>884</v>
      </c>
      <c r="E959" s="156">
        <v>44537</v>
      </c>
      <c r="F959" t="s">
        <v>19</v>
      </c>
      <c r="G959" s="156">
        <v>44481</v>
      </c>
      <c r="H959" t="s">
        <v>491</v>
      </c>
      <c r="I959">
        <v>2475375</v>
      </c>
      <c r="K959">
        <v>470321.25</v>
      </c>
      <c r="M959">
        <v>0</v>
      </c>
      <c r="N959">
        <v>0</v>
      </c>
      <c r="O959">
        <v>0</v>
      </c>
      <c r="P959" s="117">
        <v>2945696.25</v>
      </c>
      <c r="Q959" s="117" t="s">
        <v>1021</v>
      </c>
      <c r="R959" s="150">
        <v>0</v>
      </c>
      <c r="S959" s="117" t="b">
        <f>OR(COUNTIF(Tabla2[[#This Row],[PROVEEDOR]],"*"&amp;'Palabra no opera'!$A$2&amp;"*"))</f>
        <v>0</v>
      </c>
      <c r="T959" s="150">
        <f>+$W$5-Tabla2[[#This Row],[FECHA DE FACTURACIÓN]]</f>
        <v>353</v>
      </c>
      <c r="U959" t="str">
        <f>+IF(Tabla2[[#This Row],[dias de credito]]&gt;=Tabla2[[#This Row],[PLAZO Días]],"venc", "No venc")</f>
        <v>venc</v>
      </c>
      <c r="V959" t="str">
        <f>+IF(Tabla2[[#This Row],[FECHA DE PAGO]]&gt;0,"pagada","por pagar")</f>
        <v>pagada</v>
      </c>
      <c r="W959" s="152" t="str">
        <f>+IF(AND(Tabla2[[#This Row],[venc]]="venc",Tabla2[[#This Row],[Columna1]]="por pagar"),"vencida","no")</f>
        <v>no</v>
      </c>
    </row>
    <row r="960" spans="1:23" x14ac:dyDescent="0.3">
      <c r="A960">
        <v>30</v>
      </c>
      <c r="B960">
        <v>8190204</v>
      </c>
      <c r="D960" t="s">
        <v>263</v>
      </c>
      <c r="E960" s="156">
        <v>44537</v>
      </c>
      <c r="F960" t="s">
        <v>1637</v>
      </c>
      <c r="G960" s="156">
        <v>44475</v>
      </c>
      <c r="H960">
        <v>22816</v>
      </c>
      <c r="I960">
        <v>870000</v>
      </c>
      <c r="K960">
        <v>165300</v>
      </c>
      <c r="M960">
        <v>0</v>
      </c>
      <c r="N960">
        <v>0</v>
      </c>
      <c r="O960">
        <v>0</v>
      </c>
      <c r="P960" s="117">
        <v>1035300</v>
      </c>
      <c r="Q960" s="117" t="s">
        <v>1021</v>
      </c>
      <c r="R960" s="150">
        <v>0</v>
      </c>
      <c r="S960" s="117" t="b">
        <f>OR(COUNTIF(Tabla2[[#This Row],[PROVEEDOR]],"*"&amp;'Palabra no opera'!$A$2&amp;"*"))</f>
        <v>0</v>
      </c>
      <c r="T960" s="150">
        <f>+$W$5-Tabla2[[#This Row],[FECHA DE FACTURACIÓN]]</f>
        <v>359</v>
      </c>
      <c r="U960" t="str">
        <f>+IF(Tabla2[[#This Row],[dias de credito]]&gt;=Tabla2[[#This Row],[PLAZO Días]],"venc", "No venc")</f>
        <v>venc</v>
      </c>
      <c r="V960" t="str">
        <f>+IF(Tabla2[[#This Row],[FECHA DE PAGO]]&gt;0,"pagada","por pagar")</f>
        <v>pagada</v>
      </c>
      <c r="W960" s="152" t="str">
        <f>+IF(AND(Tabla2[[#This Row],[venc]]="venc",Tabla2[[#This Row],[Columna1]]="por pagar"),"vencida","no")</f>
        <v>no</v>
      </c>
    </row>
    <row r="961" spans="1:23" x14ac:dyDescent="0.3">
      <c r="A961">
        <v>30</v>
      </c>
      <c r="B961">
        <v>9032827.5</v>
      </c>
      <c r="D961" t="s">
        <v>432</v>
      </c>
      <c r="E961" s="156">
        <v>44537</v>
      </c>
      <c r="F961" t="s">
        <v>33</v>
      </c>
      <c r="G961" s="156">
        <v>44447</v>
      </c>
      <c r="H961">
        <v>1408</v>
      </c>
      <c r="I961">
        <v>2298000</v>
      </c>
      <c r="K961">
        <v>436620</v>
      </c>
      <c r="M961">
        <v>0</v>
      </c>
      <c r="N961">
        <v>2.5000000000000001E-2</v>
      </c>
      <c r="O961">
        <v>57450</v>
      </c>
      <c r="P961" s="117">
        <v>2677170</v>
      </c>
      <c r="Q961" s="117" t="s">
        <v>1021</v>
      </c>
      <c r="R961" s="150">
        <v>0</v>
      </c>
      <c r="S961" s="117" t="b">
        <f>OR(COUNTIF(Tabla2[[#This Row],[PROVEEDOR]],"*"&amp;'Palabra no opera'!$A$2&amp;"*"))</f>
        <v>0</v>
      </c>
      <c r="T961" s="150">
        <f>+$W$5-Tabla2[[#This Row],[FECHA DE FACTURACIÓN]]</f>
        <v>387</v>
      </c>
      <c r="U961" t="str">
        <f>+IF(Tabla2[[#This Row],[dias de credito]]&gt;=Tabla2[[#This Row],[PLAZO Días]],"venc", "No venc")</f>
        <v>venc</v>
      </c>
      <c r="V961" t="str">
        <f>+IF(Tabla2[[#This Row],[FECHA DE PAGO]]&gt;0,"pagada","por pagar")</f>
        <v>pagada</v>
      </c>
      <c r="W961" s="152" t="str">
        <f>+IF(AND(Tabla2[[#This Row],[venc]]="venc",Tabla2[[#This Row],[Columna1]]="por pagar"),"vencida","no")</f>
        <v>no</v>
      </c>
    </row>
    <row r="962" spans="1:23" x14ac:dyDescent="0.3">
      <c r="A962">
        <v>90</v>
      </c>
      <c r="B962">
        <v>18086014.540000003</v>
      </c>
      <c r="D962" t="s">
        <v>271</v>
      </c>
      <c r="E962" s="156">
        <v>44537</v>
      </c>
      <c r="F962" t="s">
        <v>9</v>
      </c>
      <c r="G962" s="156">
        <v>44435</v>
      </c>
      <c r="H962">
        <v>71594</v>
      </c>
      <c r="I962">
        <v>289527</v>
      </c>
      <c r="K962">
        <v>55010.13</v>
      </c>
      <c r="M962">
        <v>0</v>
      </c>
      <c r="N962">
        <v>0</v>
      </c>
      <c r="O962">
        <v>0</v>
      </c>
      <c r="P962" s="117">
        <v>344537.13</v>
      </c>
      <c r="Q962" s="117" t="s">
        <v>1021</v>
      </c>
      <c r="R962" s="150">
        <v>0</v>
      </c>
      <c r="S962" s="117" t="b">
        <f>OR(COUNTIF(Tabla2[[#This Row],[PROVEEDOR]],"*"&amp;'Palabra no opera'!$A$2&amp;"*"))</f>
        <v>0</v>
      </c>
      <c r="T962" s="150">
        <f>+$W$5-Tabla2[[#This Row],[FECHA DE FACTURACIÓN]]</f>
        <v>399</v>
      </c>
      <c r="U962" t="str">
        <f>+IF(Tabla2[[#This Row],[dias de credito]]&gt;=Tabla2[[#This Row],[PLAZO Días]],"venc", "No venc")</f>
        <v>venc</v>
      </c>
      <c r="V962" t="str">
        <f>+IF(Tabla2[[#This Row],[FECHA DE PAGO]]&gt;0,"pagada","por pagar")</f>
        <v>pagada</v>
      </c>
      <c r="W962" s="152" t="str">
        <f>+IF(AND(Tabla2[[#This Row],[venc]]="venc",Tabla2[[#This Row],[Columna1]]="por pagar"),"vencida","no")</f>
        <v>no</v>
      </c>
    </row>
    <row r="963" spans="1:23" x14ac:dyDescent="0.3">
      <c r="A963">
        <v>30</v>
      </c>
      <c r="B963">
        <v>0</v>
      </c>
      <c r="D963" t="s">
        <v>139</v>
      </c>
      <c r="E963" s="156">
        <v>44536</v>
      </c>
      <c r="F963" t="s">
        <v>689</v>
      </c>
      <c r="G963" s="156">
        <v>44531</v>
      </c>
      <c r="H963" t="s">
        <v>1535</v>
      </c>
      <c r="I963">
        <v>2377245</v>
      </c>
      <c r="K963">
        <v>0</v>
      </c>
      <c r="M963">
        <v>0</v>
      </c>
      <c r="N963">
        <v>0</v>
      </c>
      <c r="O963">
        <v>0</v>
      </c>
      <c r="P963" s="117">
        <v>2377245</v>
      </c>
      <c r="Q963" s="117" t="s">
        <v>1021</v>
      </c>
      <c r="R963" s="150">
        <v>0</v>
      </c>
      <c r="S963" s="117" t="b">
        <f>OR(COUNTIF(Tabla2[[#This Row],[PROVEEDOR]],"*"&amp;'Palabra no opera'!$A$2&amp;"*"))</f>
        <v>0</v>
      </c>
      <c r="T963" s="150">
        <f>+$W$5-Tabla2[[#This Row],[FECHA DE FACTURACIÓN]]</f>
        <v>303</v>
      </c>
      <c r="U963" t="str">
        <f>+IF(Tabla2[[#This Row],[dias de credito]]&gt;=Tabla2[[#This Row],[PLAZO Días]],"venc", "No venc")</f>
        <v>venc</v>
      </c>
      <c r="V963" t="str">
        <f>+IF(Tabla2[[#This Row],[FECHA DE PAGO]]&gt;0,"pagada","por pagar")</f>
        <v>pagada</v>
      </c>
      <c r="W963" s="152" t="str">
        <f>+IF(AND(Tabla2[[#This Row],[venc]]="venc",Tabla2[[#This Row],[Columna1]]="por pagar"),"vencida","no")</f>
        <v>no</v>
      </c>
    </row>
    <row r="964" spans="1:23" x14ac:dyDescent="0.3">
      <c r="A964">
        <v>10</v>
      </c>
      <c r="B964">
        <v>0</v>
      </c>
      <c r="D964" t="s">
        <v>139</v>
      </c>
      <c r="E964" s="156">
        <v>44536</v>
      </c>
      <c r="F964" t="s">
        <v>23</v>
      </c>
      <c r="G964" s="156">
        <v>44531</v>
      </c>
      <c r="H964">
        <v>286942</v>
      </c>
      <c r="I964">
        <v>10287615</v>
      </c>
      <c r="K964">
        <v>0</v>
      </c>
      <c r="M964">
        <v>0</v>
      </c>
      <c r="N964">
        <v>0</v>
      </c>
      <c r="O964">
        <v>0</v>
      </c>
      <c r="P964" s="117">
        <v>10287615</v>
      </c>
      <c r="Q964" s="117" t="s">
        <v>1021</v>
      </c>
      <c r="R964" s="150">
        <v>0</v>
      </c>
      <c r="S964" s="117" t="b">
        <f>OR(COUNTIF(Tabla2[[#This Row],[PROVEEDOR]],"*"&amp;'Palabra no opera'!$A$2&amp;"*"))</f>
        <v>0</v>
      </c>
      <c r="T964" s="150">
        <f>+$W$5-Tabla2[[#This Row],[FECHA DE FACTURACIÓN]]</f>
        <v>303</v>
      </c>
      <c r="U964" t="str">
        <f>+IF(Tabla2[[#This Row],[dias de credito]]&gt;=Tabla2[[#This Row],[PLAZO Días]],"venc", "No venc")</f>
        <v>venc</v>
      </c>
      <c r="V964" t="str">
        <f>+IF(Tabla2[[#This Row],[FECHA DE PAGO]]&gt;0,"pagada","por pagar")</f>
        <v>pagada</v>
      </c>
      <c r="W964" s="152" t="str">
        <f>+IF(AND(Tabla2[[#This Row],[venc]]="venc",Tabla2[[#This Row],[Columna1]]="por pagar"),"vencida","no")</f>
        <v>no</v>
      </c>
    </row>
    <row r="965" spans="1:23" x14ac:dyDescent="0.3">
      <c r="A965">
        <v>30</v>
      </c>
      <c r="B965">
        <v>3450150</v>
      </c>
      <c r="D965" t="s">
        <v>402</v>
      </c>
      <c r="E965" s="156">
        <v>44536</v>
      </c>
      <c r="F965" t="s">
        <v>691</v>
      </c>
      <c r="G965" s="156">
        <v>44490</v>
      </c>
      <c r="H965" t="s">
        <v>1436</v>
      </c>
      <c r="I965">
        <v>133000</v>
      </c>
      <c r="K965">
        <v>0</v>
      </c>
      <c r="M965">
        <v>0</v>
      </c>
      <c r="N965">
        <v>0</v>
      </c>
      <c r="O965">
        <v>0</v>
      </c>
      <c r="P965" s="117">
        <v>133000</v>
      </c>
      <c r="Q965" s="117" t="s">
        <v>1021</v>
      </c>
      <c r="R965" s="150">
        <v>0</v>
      </c>
      <c r="S965" s="117" t="b">
        <f>OR(COUNTIF(Tabla2[[#This Row],[PROVEEDOR]],"*"&amp;'Palabra no opera'!$A$2&amp;"*"))</f>
        <v>0</v>
      </c>
      <c r="T965" s="150">
        <f>+$W$5-Tabla2[[#This Row],[FECHA DE FACTURACIÓN]]</f>
        <v>344</v>
      </c>
      <c r="U965" t="str">
        <f>+IF(Tabla2[[#This Row],[dias de credito]]&gt;=Tabla2[[#This Row],[PLAZO Días]],"venc", "No venc")</f>
        <v>venc</v>
      </c>
      <c r="V965" t="str">
        <f>+IF(Tabla2[[#This Row],[FECHA DE PAGO]]&gt;0,"pagada","por pagar")</f>
        <v>pagada</v>
      </c>
      <c r="W965" s="152" t="str">
        <f>+IF(AND(Tabla2[[#This Row],[venc]]="venc",Tabla2[[#This Row],[Columna1]]="por pagar"),"vencida","no")</f>
        <v>no</v>
      </c>
    </row>
    <row r="966" spans="1:23" x14ac:dyDescent="0.3">
      <c r="A966">
        <v>30</v>
      </c>
      <c r="B966">
        <v>3450150</v>
      </c>
      <c r="D966" t="s">
        <v>402</v>
      </c>
      <c r="E966" s="156">
        <v>44536</v>
      </c>
      <c r="F966" t="s">
        <v>691</v>
      </c>
      <c r="G966" s="156">
        <v>44490</v>
      </c>
      <c r="H966" t="s">
        <v>1437</v>
      </c>
      <c r="I966">
        <v>712300</v>
      </c>
      <c r="K966">
        <v>0</v>
      </c>
      <c r="M966">
        <v>0</v>
      </c>
      <c r="N966">
        <v>0</v>
      </c>
      <c r="O966">
        <v>0</v>
      </c>
      <c r="P966" s="117">
        <v>712300</v>
      </c>
      <c r="Q966" s="117" t="s">
        <v>1021</v>
      </c>
      <c r="R966" s="150">
        <v>0</v>
      </c>
      <c r="S966" s="117" t="b">
        <f>OR(COUNTIF(Tabla2[[#This Row],[PROVEEDOR]],"*"&amp;'Palabra no opera'!$A$2&amp;"*"))</f>
        <v>0</v>
      </c>
      <c r="T966" s="150">
        <f>+$W$5-Tabla2[[#This Row],[FECHA DE FACTURACIÓN]]</f>
        <v>344</v>
      </c>
      <c r="U966" t="str">
        <f>+IF(Tabla2[[#This Row],[dias de credito]]&gt;=Tabla2[[#This Row],[PLAZO Días]],"venc", "No venc")</f>
        <v>venc</v>
      </c>
      <c r="V966" t="str">
        <f>+IF(Tabla2[[#This Row],[FECHA DE PAGO]]&gt;0,"pagada","por pagar")</f>
        <v>pagada</v>
      </c>
      <c r="W966" s="152" t="str">
        <f>+IF(AND(Tabla2[[#This Row],[venc]]="venc",Tabla2[[#This Row],[Columna1]]="por pagar"),"vencida","no")</f>
        <v>no</v>
      </c>
    </row>
    <row r="967" spans="1:23" x14ac:dyDescent="0.3">
      <c r="A967">
        <v>30</v>
      </c>
      <c r="B967">
        <v>0</v>
      </c>
      <c r="D967" t="s">
        <v>139</v>
      </c>
      <c r="E967" s="156">
        <v>44533</v>
      </c>
      <c r="F967" t="s">
        <v>661</v>
      </c>
      <c r="G967" s="156">
        <v>44533</v>
      </c>
      <c r="H967" t="s">
        <v>1355</v>
      </c>
      <c r="I967">
        <v>424000</v>
      </c>
      <c r="K967">
        <v>0</v>
      </c>
      <c r="M967">
        <v>0</v>
      </c>
      <c r="N967">
        <v>0</v>
      </c>
      <c r="O967">
        <v>0</v>
      </c>
      <c r="P967" s="117">
        <v>424000</v>
      </c>
      <c r="Q967" s="117" t="s">
        <v>1021</v>
      </c>
      <c r="R967" s="150">
        <v>0</v>
      </c>
      <c r="S967" s="117" t="b">
        <f>OR(COUNTIF(Tabla2[[#This Row],[PROVEEDOR]],"*"&amp;'Palabra no opera'!$A$2&amp;"*"))</f>
        <v>0</v>
      </c>
      <c r="T967" s="150">
        <f>+$W$5-Tabla2[[#This Row],[FECHA DE FACTURACIÓN]]</f>
        <v>301</v>
      </c>
      <c r="U967" t="str">
        <f>+IF(Tabla2[[#This Row],[dias de credito]]&gt;=Tabla2[[#This Row],[PLAZO Días]],"venc", "No venc")</f>
        <v>venc</v>
      </c>
      <c r="V967" t="str">
        <f>+IF(Tabla2[[#This Row],[FECHA DE PAGO]]&gt;0,"pagada","por pagar")</f>
        <v>pagada</v>
      </c>
      <c r="W967" s="152" t="str">
        <f>+IF(AND(Tabla2[[#This Row],[venc]]="venc",Tabla2[[#This Row],[Columna1]]="por pagar"),"vencida","no")</f>
        <v>no</v>
      </c>
    </row>
    <row r="968" spans="1:23" x14ac:dyDescent="0.3">
      <c r="A968">
        <v>30</v>
      </c>
      <c r="B968">
        <v>0</v>
      </c>
      <c r="D968" t="s">
        <v>139</v>
      </c>
      <c r="E968" s="156">
        <v>44533</v>
      </c>
      <c r="F968" t="s">
        <v>673</v>
      </c>
      <c r="G968" s="156">
        <v>44533</v>
      </c>
      <c r="I968">
        <v>1000000</v>
      </c>
      <c r="K968">
        <v>0</v>
      </c>
      <c r="M968">
        <v>0</v>
      </c>
      <c r="N968">
        <v>0</v>
      </c>
      <c r="O968">
        <v>0</v>
      </c>
      <c r="P968" s="117">
        <v>1000000</v>
      </c>
      <c r="Q968" s="117" t="s">
        <v>1021</v>
      </c>
      <c r="R968" s="150">
        <v>0</v>
      </c>
      <c r="S968" s="117" t="b">
        <f>OR(COUNTIF(Tabla2[[#This Row],[PROVEEDOR]],"*"&amp;'Palabra no opera'!$A$2&amp;"*"))</f>
        <v>0</v>
      </c>
      <c r="T968" s="150">
        <f>+$W$5-Tabla2[[#This Row],[FECHA DE FACTURACIÓN]]</f>
        <v>301</v>
      </c>
      <c r="U968" t="str">
        <f>+IF(Tabla2[[#This Row],[dias de credito]]&gt;=Tabla2[[#This Row],[PLAZO Días]],"venc", "No venc")</f>
        <v>venc</v>
      </c>
      <c r="V968" t="str">
        <f>+IF(Tabla2[[#This Row],[FECHA DE PAGO]]&gt;0,"pagada","por pagar")</f>
        <v>pagada</v>
      </c>
      <c r="W968" s="152" t="str">
        <f>+IF(AND(Tabla2[[#This Row],[venc]]="venc",Tabla2[[#This Row],[Columna1]]="por pagar"),"vencida","no")</f>
        <v>no</v>
      </c>
    </row>
    <row r="969" spans="1:23" x14ac:dyDescent="0.3">
      <c r="A969">
        <v>90</v>
      </c>
      <c r="B969">
        <v>124999.98</v>
      </c>
      <c r="D969" t="s">
        <v>260</v>
      </c>
      <c r="E969" s="156">
        <v>44533</v>
      </c>
      <c r="F969" t="s">
        <v>77</v>
      </c>
      <c r="G969" s="156">
        <v>44533</v>
      </c>
      <c r="H969" t="s">
        <v>1520</v>
      </c>
      <c r="I969">
        <v>-11772165</v>
      </c>
      <c r="K969">
        <v>-2236711.35</v>
      </c>
      <c r="M969">
        <v>0</v>
      </c>
      <c r="N969">
        <v>0</v>
      </c>
      <c r="O969">
        <v>0</v>
      </c>
      <c r="P969" s="117">
        <v>-14008876.35</v>
      </c>
      <c r="Q969" s="117" t="s">
        <v>1021</v>
      </c>
      <c r="R969" s="150">
        <v>0</v>
      </c>
      <c r="S969" s="117" t="b">
        <f>OR(COUNTIF(Tabla2[[#This Row],[PROVEEDOR]],"*"&amp;'Palabra no opera'!$A$2&amp;"*"))</f>
        <v>0</v>
      </c>
      <c r="T969" s="150">
        <f>+$W$5-Tabla2[[#This Row],[FECHA DE FACTURACIÓN]]</f>
        <v>301</v>
      </c>
      <c r="U969" t="str">
        <f>+IF(Tabla2[[#This Row],[dias de credito]]&gt;=Tabla2[[#This Row],[PLAZO Días]],"venc", "No venc")</f>
        <v>venc</v>
      </c>
      <c r="V969" t="str">
        <f>+IF(Tabla2[[#This Row],[FECHA DE PAGO]]&gt;0,"pagada","por pagar")</f>
        <v>pagada</v>
      </c>
      <c r="W969" s="152" t="str">
        <f>+IF(AND(Tabla2[[#This Row],[venc]]="venc",Tabla2[[#This Row],[Columna1]]="por pagar"),"vencida","no")</f>
        <v>no</v>
      </c>
    </row>
    <row r="970" spans="1:23" x14ac:dyDescent="0.3">
      <c r="A970">
        <v>90</v>
      </c>
      <c r="B970">
        <v>18086014.540000003</v>
      </c>
      <c r="D970" t="s">
        <v>271</v>
      </c>
      <c r="E970" s="156">
        <v>44533</v>
      </c>
      <c r="F970" t="s">
        <v>9</v>
      </c>
      <c r="G970" s="156">
        <v>44533</v>
      </c>
      <c r="H970" t="s">
        <v>1338</v>
      </c>
      <c r="I970">
        <v>-6253444</v>
      </c>
      <c r="K970">
        <v>-1188154.3600000001</v>
      </c>
      <c r="M970">
        <v>0</v>
      </c>
      <c r="N970">
        <v>0</v>
      </c>
      <c r="O970">
        <v>0</v>
      </c>
      <c r="P970" s="117">
        <v>-7441598.3600000003</v>
      </c>
      <c r="Q970" s="117" t="s">
        <v>1021</v>
      </c>
      <c r="R970" s="150">
        <v>0</v>
      </c>
      <c r="S970" s="117" t="b">
        <f>OR(COUNTIF(Tabla2[[#This Row],[PROVEEDOR]],"*"&amp;'Palabra no opera'!$A$2&amp;"*"))</f>
        <v>0</v>
      </c>
      <c r="T970" s="150">
        <f>+$W$5-Tabla2[[#This Row],[FECHA DE FACTURACIÓN]]</f>
        <v>301</v>
      </c>
      <c r="U970" t="str">
        <f>+IF(Tabla2[[#This Row],[dias de credito]]&gt;=Tabla2[[#This Row],[PLAZO Días]],"venc", "No venc")</f>
        <v>venc</v>
      </c>
      <c r="V970" t="str">
        <f>+IF(Tabla2[[#This Row],[FECHA DE PAGO]]&gt;0,"pagada","por pagar")</f>
        <v>pagada</v>
      </c>
      <c r="W970" s="152" t="str">
        <f>+IF(AND(Tabla2[[#This Row],[venc]]="venc",Tabla2[[#This Row],[Columna1]]="por pagar"),"vencida","no")</f>
        <v>no</v>
      </c>
    </row>
    <row r="971" spans="1:23" x14ac:dyDescent="0.3">
      <c r="A971">
        <v>30</v>
      </c>
      <c r="B971">
        <v>326474.88</v>
      </c>
      <c r="D971" t="s">
        <v>949</v>
      </c>
      <c r="E971" s="156">
        <v>44533</v>
      </c>
      <c r="F971" t="s">
        <v>345</v>
      </c>
      <c r="G971" s="156">
        <v>44523</v>
      </c>
      <c r="H971" t="s">
        <v>544</v>
      </c>
      <c r="I971">
        <v>3402</v>
      </c>
      <c r="K971">
        <v>0</v>
      </c>
      <c r="M971">
        <v>0</v>
      </c>
      <c r="N971">
        <v>0</v>
      </c>
      <c r="O971">
        <v>0</v>
      </c>
      <c r="P971" s="117">
        <v>3402</v>
      </c>
      <c r="Q971" s="117" t="s">
        <v>1021</v>
      </c>
      <c r="R971" s="150">
        <v>0</v>
      </c>
      <c r="S971" s="117" t="b">
        <f>OR(COUNTIF(Tabla2[[#This Row],[PROVEEDOR]],"*"&amp;'Palabra no opera'!$A$2&amp;"*"))</f>
        <v>0</v>
      </c>
      <c r="T971" s="150">
        <f>+$W$5-Tabla2[[#This Row],[FECHA DE FACTURACIÓN]]</f>
        <v>311</v>
      </c>
      <c r="U971" t="str">
        <f>+IF(Tabla2[[#This Row],[dias de credito]]&gt;=Tabla2[[#This Row],[PLAZO Días]],"venc", "No venc")</f>
        <v>venc</v>
      </c>
      <c r="V971" t="str">
        <f>+IF(Tabla2[[#This Row],[FECHA DE PAGO]]&gt;0,"pagada","por pagar")</f>
        <v>pagada</v>
      </c>
      <c r="W971" s="152" t="str">
        <f>+IF(AND(Tabla2[[#This Row],[venc]]="venc",Tabla2[[#This Row],[Columna1]]="por pagar"),"vencida","no")</f>
        <v>no</v>
      </c>
    </row>
    <row r="972" spans="1:23" x14ac:dyDescent="0.3">
      <c r="A972">
        <v>90</v>
      </c>
      <c r="B972">
        <v>124999.98</v>
      </c>
      <c r="D972" t="s">
        <v>260</v>
      </c>
      <c r="E972" s="156">
        <v>44533</v>
      </c>
      <c r="F972" t="s">
        <v>77</v>
      </c>
      <c r="G972" s="156">
        <v>44523</v>
      </c>
      <c r="H972" t="s">
        <v>1520</v>
      </c>
      <c r="I972">
        <v>-2000000</v>
      </c>
      <c r="K972">
        <v>-380000</v>
      </c>
      <c r="M972">
        <v>0</v>
      </c>
      <c r="N972">
        <v>0</v>
      </c>
      <c r="O972">
        <v>0</v>
      </c>
      <c r="P972" s="117">
        <v>-2380000</v>
      </c>
      <c r="Q972" s="117" t="s">
        <v>1021</v>
      </c>
      <c r="R972" s="150">
        <v>0</v>
      </c>
      <c r="S972" s="117" t="b">
        <f>OR(COUNTIF(Tabla2[[#This Row],[PROVEEDOR]],"*"&amp;'Palabra no opera'!$A$2&amp;"*"))</f>
        <v>0</v>
      </c>
      <c r="T972" s="150">
        <f>+$W$5-Tabla2[[#This Row],[FECHA DE FACTURACIÓN]]</f>
        <v>311</v>
      </c>
      <c r="U972" t="str">
        <f>+IF(Tabla2[[#This Row],[dias de credito]]&gt;=Tabla2[[#This Row],[PLAZO Días]],"venc", "No venc")</f>
        <v>venc</v>
      </c>
      <c r="V972" t="str">
        <f>+IF(Tabla2[[#This Row],[FECHA DE PAGO]]&gt;0,"pagada","por pagar")</f>
        <v>pagada</v>
      </c>
      <c r="W972" s="152" t="str">
        <f>+IF(AND(Tabla2[[#This Row],[venc]]="venc",Tabla2[[#This Row],[Columna1]]="por pagar"),"vencida","no")</f>
        <v>no</v>
      </c>
    </row>
    <row r="973" spans="1:23" x14ac:dyDescent="0.3">
      <c r="A973">
        <v>90</v>
      </c>
      <c r="B973">
        <v>18086014.540000003</v>
      </c>
      <c r="D973" t="s">
        <v>271</v>
      </c>
      <c r="E973" s="156">
        <v>44533</v>
      </c>
      <c r="F973" t="s">
        <v>9</v>
      </c>
      <c r="G973" s="156">
        <v>44523</v>
      </c>
      <c r="H973" t="s">
        <v>1338</v>
      </c>
      <c r="I973">
        <v>-6000000</v>
      </c>
      <c r="K973">
        <v>-1140000</v>
      </c>
      <c r="M973">
        <v>0</v>
      </c>
      <c r="N973">
        <v>0</v>
      </c>
      <c r="O973">
        <v>0</v>
      </c>
      <c r="P973" s="117">
        <v>-7140000</v>
      </c>
      <c r="Q973" s="117" t="s">
        <v>1021</v>
      </c>
      <c r="R973" s="150">
        <v>0</v>
      </c>
      <c r="S973" s="117" t="b">
        <f>OR(COUNTIF(Tabla2[[#This Row],[PROVEEDOR]],"*"&amp;'Palabra no opera'!$A$2&amp;"*"))</f>
        <v>0</v>
      </c>
      <c r="T973" s="150">
        <f>+$W$5-Tabla2[[#This Row],[FECHA DE FACTURACIÓN]]</f>
        <v>311</v>
      </c>
      <c r="U973" t="str">
        <f>+IF(Tabla2[[#This Row],[dias de credito]]&gt;=Tabla2[[#This Row],[PLAZO Días]],"venc", "No venc")</f>
        <v>venc</v>
      </c>
      <c r="V973" t="str">
        <f>+IF(Tabla2[[#This Row],[FECHA DE PAGO]]&gt;0,"pagada","por pagar")</f>
        <v>pagada</v>
      </c>
      <c r="W973" s="152" t="str">
        <f>+IF(AND(Tabla2[[#This Row],[venc]]="venc",Tabla2[[#This Row],[Columna1]]="por pagar"),"vencida","no")</f>
        <v>no</v>
      </c>
    </row>
    <row r="974" spans="1:23" x14ac:dyDescent="0.3">
      <c r="A974">
        <v>30</v>
      </c>
      <c r="B974">
        <v>-101001.25</v>
      </c>
      <c r="D974" t="s">
        <v>274</v>
      </c>
      <c r="E974" s="156">
        <v>44533</v>
      </c>
      <c r="F974" t="s">
        <v>14</v>
      </c>
      <c r="G974" s="156">
        <v>44516</v>
      </c>
      <c r="H974" t="s">
        <v>534</v>
      </c>
      <c r="I974">
        <v>160672</v>
      </c>
      <c r="K974">
        <v>30527.68</v>
      </c>
      <c r="M974">
        <v>0</v>
      </c>
      <c r="N974">
        <v>0</v>
      </c>
      <c r="O974">
        <v>0</v>
      </c>
      <c r="P974" s="117">
        <v>191199.68</v>
      </c>
      <c r="Q974" s="117" t="s">
        <v>1021</v>
      </c>
      <c r="R974" s="150">
        <v>0</v>
      </c>
      <c r="S974" s="117" t="b">
        <f>OR(COUNTIF(Tabla2[[#This Row],[PROVEEDOR]],"*"&amp;'Palabra no opera'!$A$2&amp;"*"))</f>
        <v>0</v>
      </c>
      <c r="T974" s="150">
        <f>+$W$5-Tabla2[[#This Row],[FECHA DE FACTURACIÓN]]</f>
        <v>318</v>
      </c>
      <c r="U974" t="str">
        <f>+IF(Tabla2[[#This Row],[dias de credito]]&gt;=Tabla2[[#This Row],[PLAZO Días]],"venc", "No venc")</f>
        <v>venc</v>
      </c>
      <c r="V974" t="str">
        <f>+IF(Tabla2[[#This Row],[FECHA DE PAGO]]&gt;0,"pagada","por pagar")</f>
        <v>pagada</v>
      </c>
      <c r="W974" s="152" t="str">
        <f>+IF(AND(Tabla2[[#This Row],[venc]]="venc",Tabla2[[#This Row],[Columna1]]="por pagar"),"vencida","no")</f>
        <v>no</v>
      </c>
    </row>
    <row r="975" spans="1:23" x14ac:dyDescent="0.3">
      <c r="A975">
        <v>90</v>
      </c>
      <c r="B975">
        <v>124999.98</v>
      </c>
      <c r="D975" t="s">
        <v>260</v>
      </c>
      <c r="E975" s="156">
        <v>44533</v>
      </c>
      <c r="F975" t="s">
        <v>77</v>
      </c>
      <c r="G975" s="156">
        <v>44512</v>
      </c>
      <c r="H975" t="s">
        <v>1520</v>
      </c>
      <c r="I975">
        <v>-2000000</v>
      </c>
      <c r="K975">
        <v>-380000</v>
      </c>
      <c r="M975">
        <v>0</v>
      </c>
      <c r="N975">
        <v>0</v>
      </c>
      <c r="O975">
        <v>0</v>
      </c>
      <c r="P975" s="117">
        <v>-2380000</v>
      </c>
      <c r="Q975" s="117" t="s">
        <v>1021</v>
      </c>
      <c r="R975" s="150">
        <v>0</v>
      </c>
      <c r="S975" s="117" t="b">
        <f>OR(COUNTIF(Tabla2[[#This Row],[PROVEEDOR]],"*"&amp;'Palabra no opera'!$A$2&amp;"*"))</f>
        <v>0</v>
      </c>
      <c r="T975" s="150">
        <f>+$W$5-Tabla2[[#This Row],[FECHA DE FACTURACIÓN]]</f>
        <v>322</v>
      </c>
      <c r="U975" t="str">
        <f>+IF(Tabla2[[#This Row],[dias de credito]]&gt;=Tabla2[[#This Row],[PLAZO Días]],"venc", "No venc")</f>
        <v>venc</v>
      </c>
      <c r="V975" t="str">
        <f>+IF(Tabla2[[#This Row],[FECHA DE PAGO]]&gt;0,"pagada","por pagar")</f>
        <v>pagada</v>
      </c>
      <c r="W975" s="152" t="str">
        <f>+IF(AND(Tabla2[[#This Row],[venc]]="venc",Tabla2[[#This Row],[Columna1]]="por pagar"),"vencida","no")</f>
        <v>no</v>
      </c>
    </row>
    <row r="976" spans="1:23" x14ac:dyDescent="0.3">
      <c r="A976">
        <v>90</v>
      </c>
      <c r="B976">
        <v>124999.98</v>
      </c>
      <c r="D976" t="s">
        <v>260</v>
      </c>
      <c r="E976" s="156">
        <v>44533</v>
      </c>
      <c r="F976" t="s">
        <v>77</v>
      </c>
      <c r="G976" s="156">
        <v>44510</v>
      </c>
      <c r="H976" t="s">
        <v>1520</v>
      </c>
      <c r="I976">
        <v>-3000000</v>
      </c>
      <c r="K976">
        <v>-570000</v>
      </c>
      <c r="M976">
        <v>0</v>
      </c>
      <c r="N976">
        <v>0</v>
      </c>
      <c r="O976">
        <v>0</v>
      </c>
      <c r="P976" s="117">
        <v>-3570000</v>
      </c>
      <c r="Q976" s="117" t="s">
        <v>1021</v>
      </c>
      <c r="R976" s="150">
        <v>0</v>
      </c>
      <c r="S976" s="117" t="b">
        <f>OR(COUNTIF(Tabla2[[#This Row],[PROVEEDOR]],"*"&amp;'Palabra no opera'!$A$2&amp;"*"))</f>
        <v>0</v>
      </c>
      <c r="T976" s="150">
        <f>+$W$5-Tabla2[[#This Row],[FECHA DE FACTURACIÓN]]</f>
        <v>324</v>
      </c>
      <c r="U976" t="str">
        <f>+IF(Tabla2[[#This Row],[dias de credito]]&gt;=Tabla2[[#This Row],[PLAZO Días]],"venc", "No venc")</f>
        <v>venc</v>
      </c>
      <c r="V976" t="str">
        <f>+IF(Tabla2[[#This Row],[FECHA DE PAGO]]&gt;0,"pagada","por pagar")</f>
        <v>pagada</v>
      </c>
      <c r="W976" s="152" t="str">
        <f>+IF(AND(Tabla2[[#This Row],[venc]]="venc",Tabla2[[#This Row],[Columna1]]="por pagar"),"vencida","no")</f>
        <v>no</v>
      </c>
    </row>
    <row r="977" spans="1:23" x14ac:dyDescent="0.3">
      <c r="A977">
        <v>30</v>
      </c>
      <c r="B977">
        <v>749999.88</v>
      </c>
      <c r="D977" t="s">
        <v>249</v>
      </c>
      <c r="E977" s="156">
        <v>44533</v>
      </c>
      <c r="F977" t="s">
        <v>49</v>
      </c>
      <c r="G977" s="156">
        <v>44503</v>
      </c>
      <c r="H977">
        <v>4693</v>
      </c>
      <c r="I977">
        <v>100840.4</v>
      </c>
      <c r="K977">
        <v>19159.675999999999</v>
      </c>
      <c r="M977">
        <v>0</v>
      </c>
      <c r="N977">
        <v>0</v>
      </c>
      <c r="O977">
        <v>0</v>
      </c>
      <c r="P977" s="117">
        <v>120000.076</v>
      </c>
      <c r="Q977" s="117" t="s">
        <v>1021</v>
      </c>
      <c r="R977" s="150">
        <v>0</v>
      </c>
      <c r="S977" s="117" t="b">
        <f>OR(COUNTIF(Tabla2[[#This Row],[PROVEEDOR]],"*"&amp;'Palabra no opera'!$A$2&amp;"*"))</f>
        <v>0</v>
      </c>
      <c r="T977" s="150">
        <f>+$W$5-Tabla2[[#This Row],[FECHA DE FACTURACIÓN]]</f>
        <v>331</v>
      </c>
      <c r="U977" t="str">
        <f>+IF(Tabla2[[#This Row],[dias de credito]]&gt;=Tabla2[[#This Row],[PLAZO Días]],"venc", "No venc")</f>
        <v>venc</v>
      </c>
      <c r="V977" t="str">
        <f>+IF(Tabla2[[#This Row],[FECHA DE PAGO]]&gt;0,"pagada","por pagar")</f>
        <v>pagada</v>
      </c>
      <c r="W977" s="152" t="str">
        <f>+IF(AND(Tabla2[[#This Row],[venc]]="venc",Tabla2[[#This Row],[Columna1]]="por pagar"),"vencida","no")</f>
        <v>no</v>
      </c>
    </row>
    <row r="978" spans="1:23" x14ac:dyDescent="0.3">
      <c r="A978">
        <v>90</v>
      </c>
      <c r="B978">
        <v>18086014.540000003</v>
      </c>
      <c r="D978" t="s">
        <v>271</v>
      </c>
      <c r="E978" s="156">
        <v>44533</v>
      </c>
      <c r="F978" t="s">
        <v>9</v>
      </c>
      <c r="G978" s="156">
        <v>44498</v>
      </c>
      <c r="H978" t="s">
        <v>1338</v>
      </c>
      <c r="I978">
        <v>-5000000</v>
      </c>
      <c r="K978">
        <v>-950000</v>
      </c>
      <c r="M978">
        <v>0</v>
      </c>
      <c r="N978">
        <v>0</v>
      </c>
      <c r="O978">
        <v>0</v>
      </c>
      <c r="P978" s="117">
        <v>-5950000</v>
      </c>
      <c r="Q978" s="117" t="s">
        <v>1021</v>
      </c>
      <c r="R978" s="150">
        <v>0</v>
      </c>
      <c r="S978" s="117" t="b">
        <f>OR(COUNTIF(Tabla2[[#This Row],[PROVEEDOR]],"*"&amp;'Palabra no opera'!$A$2&amp;"*"))</f>
        <v>0</v>
      </c>
      <c r="T978" s="150">
        <f>+$W$5-Tabla2[[#This Row],[FECHA DE FACTURACIÓN]]</f>
        <v>336</v>
      </c>
      <c r="U978" t="str">
        <f>+IF(Tabla2[[#This Row],[dias de credito]]&gt;=Tabla2[[#This Row],[PLAZO Días]],"venc", "No venc")</f>
        <v>venc</v>
      </c>
      <c r="V978" t="str">
        <f>+IF(Tabla2[[#This Row],[FECHA DE PAGO]]&gt;0,"pagada","por pagar")</f>
        <v>pagada</v>
      </c>
      <c r="W978" s="152" t="str">
        <f>+IF(AND(Tabla2[[#This Row],[venc]]="venc",Tabla2[[#This Row],[Columna1]]="por pagar"),"vencida","no")</f>
        <v>no</v>
      </c>
    </row>
    <row r="979" spans="1:23" x14ac:dyDescent="0.3">
      <c r="A979">
        <v>30</v>
      </c>
      <c r="B979">
        <v>749999.88</v>
      </c>
      <c r="D979" t="s">
        <v>249</v>
      </c>
      <c r="E979" s="156">
        <v>44533</v>
      </c>
      <c r="F979" t="s">
        <v>49</v>
      </c>
      <c r="G979" s="156">
        <v>44494</v>
      </c>
      <c r="H979">
        <v>4554</v>
      </c>
      <c r="I979">
        <v>617646.41</v>
      </c>
      <c r="K979">
        <v>117352.81790000001</v>
      </c>
      <c r="M979">
        <v>0</v>
      </c>
      <c r="N979">
        <v>0</v>
      </c>
      <c r="O979">
        <v>0</v>
      </c>
      <c r="P979" s="117">
        <v>734999.22790000006</v>
      </c>
      <c r="Q979" s="117" t="s">
        <v>1021</v>
      </c>
      <c r="R979" s="150">
        <v>0</v>
      </c>
      <c r="S979" s="117" t="b">
        <f>OR(COUNTIF(Tabla2[[#This Row],[PROVEEDOR]],"*"&amp;'Palabra no opera'!$A$2&amp;"*"))</f>
        <v>0</v>
      </c>
      <c r="T979" s="150">
        <f>+$W$5-Tabla2[[#This Row],[FECHA DE FACTURACIÓN]]</f>
        <v>340</v>
      </c>
      <c r="U979" t="str">
        <f>+IF(Tabla2[[#This Row],[dias de credito]]&gt;=Tabla2[[#This Row],[PLAZO Días]],"venc", "No venc")</f>
        <v>venc</v>
      </c>
      <c r="V979" t="str">
        <f>+IF(Tabla2[[#This Row],[FECHA DE PAGO]]&gt;0,"pagada","por pagar")</f>
        <v>pagada</v>
      </c>
      <c r="W979" s="152" t="str">
        <f>+IF(AND(Tabla2[[#This Row],[venc]]="venc",Tabla2[[#This Row],[Columna1]]="por pagar"),"vencida","no")</f>
        <v>no</v>
      </c>
    </row>
    <row r="980" spans="1:23" x14ac:dyDescent="0.3">
      <c r="A980">
        <v>30</v>
      </c>
      <c r="B980">
        <v>0</v>
      </c>
      <c r="D980" t="s">
        <v>505</v>
      </c>
      <c r="E980" s="156">
        <v>44533</v>
      </c>
      <c r="F980" t="s">
        <v>408</v>
      </c>
      <c r="G980" s="156">
        <v>44494</v>
      </c>
      <c r="H980">
        <v>147279</v>
      </c>
      <c r="I980">
        <v>370237</v>
      </c>
      <c r="K980">
        <v>70345.03</v>
      </c>
      <c r="M980">
        <v>0</v>
      </c>
      <c r="N980">
        <v>0</v>
      </c>
      <c r="O980">
        <v>0</v>
      </c>
      <c r="P980" s="117">
        <v>440582.03</v>
      </c>
      <c r="Q980" s="117" t="s">
        <v>1021</v>
      </c>
      <c r="R980" s="150">
        <v>0</v>
      </c>
      <c r="S980" s="117" t="b">
        <f>OR(COUNTIF(Tabla2[[#This Row],[PROVEEDOR]],"*"&amp;'Palabra no opera'!$A$2&amp;"*"))</f>
        <v>0</v>
      </c>
      <c r="T980" s="150">
        <f>+$W$5-Tabla2[[#This Row],[FECHA DE FACTURACIÓN]]</f>
        <v>340</v>
      </c>
      <c r="U980" t="str">
        <f>+IF(Tabla2[[#This Row],[dias de credito]]&gt;=Tabla2[[#This Row],[PLAZO Días]],"venc", "No venc")</f>
        <v>venc</v>
      </c>
      <c r="V980" t="str">
        <f>+IF(Tabla2[[#This Row],[FECHA DE PAGO]]&gt;0,"pagada","por pagar")</f>
        <v>pagada</v>
      </c>
      <c r="W980" s="152" t="str">
        <f>+IF(AND(Tabla2[[#This Row],[venc]]="venc",Tabla2[[#This Row],[Columna1]]="por pagar"),"vencida","no")</f>
        <v>no</v>
      </c>
    </row>
    <row r="981" spans="1:23" x14ac:dyDescent="0.3">
      <c r="A981">
        <v>30</v>
      </c>
      <c r="B981">
        <v>0</v>
      </c>
      <c r="D981" t="s">
        <v>505</v>
      </c>
      <c r="E981" s="156">
        <v>44533</v>
      </c>
      <c r="F981" t="s">
        <v>408</v>
      </c>
      <c r="G981" s="156">
        <v>44492</v>
      </c>
      <c r="H981">
        <v>147039</v>
      </c>
      <c r="I981">
        <v>3784145</v>
      </c>
      <c r="K981">
        <v>718987.55</v>
      </c>
      <c r="M981">
        <v>0</v>
      </c>
      <c r="N981">
        <v>0</v>
      </c>
      <c r="O981">
        <v>0</v>
      </c>
      <c r="P981" s="117">
        <v>4503132.55</v>
      </c>
      <c r="Q981" s="117" t="s">
        <v>1021</v>
      </c>
      <c r="R981" s="150">
        <v>0</v>
      </c>
      <c r="S981" s="117" t="b">
        <f>OR(COUNTIF(Tabla2[[#This Row],[PROVEEDOR]],"*"&amp;'Palabra no opera'!$A$2&amp;"*"))</f>
        <v>0</v>
      </c>
      <c r="T981" s="150">
        <f>+$W$5-Tabla2[[#This Row],[FECHA DE FACTURACIÓN]]</f>
        <v>342</v>
      </c>
      <c r="U981" t="str">
        <f>+IF(Tabla2[[#This Row],[dias de credito]]&gt;=Tabla2[[#This Row],[PLAZO Días]],"venc", "No venc")</f>
        <v>venc</v>
      </c>
      <c r="V981" t="str">
        <f>+IF(Tabla2[[#This Row],[FECHA DE PAGO]]&gt;0,"pagada","por pagar")</f>
        <v>pagada</v>
      </c>
      <c r="W981" s="152" t="str">
        <f>+IF(AND(Tabla2[[#This Row],[venc]]="venc",Tabla2[[#This Row],[Columna1]]="por pagar"),"vencida","no")</f>
        <v>no</v>
      </c>
    </row>
    <row r="982" spans="1:23" x14ac:dyDescent="0.3">
      <c r="A982">
        <v>30</v>
      </c>
      <c r="B982">
        <v>0</v>
      </c>
      <c r="D982" t="s">
        <v>290</v>
      </c>
      <c r="E982" s="156">
        <v>44533</v>
      </c>
      <c r="F982" t="s">
        <v>47</v>
      </c>
      <c r="G982" s="156">
        <v>44474</v>
      </c>
      <c r="H982">
        <v>32109</v>
      </c>
      <c r="I982">
        <v>1524544</v>
      </c>
      <c r="K982">
        <v>289663.35999999999</v>
      </c>
      <c r="M982">
        <v>0</v>
      </c>
      <c r="N982">
        <v>2.5000000000000001E-2</v>
      </c>
      <c r="O982">
        <v>38113.599999999999</v>
      </c>
      <c r="P982" s="117">
        <v>1776093.7599999998</v>
      </c>
      <c r="Q982" s="117" t="s">
        <v>1021</v>
      </c>
      <c r="R982" s="150">
        <v>0</v>
      </c>
      <c r="S982" s="117" t="b">
        <f>OR(COUNTIF(Tabla2[[#This Row],[PROVEEDOR]],"*"&amp;'Palabra no opera'!$A$2&amp;"*"))</f>
        <v>0</v>
      </c>
      <c r="T982" s="150">
        <f>+$W$5-Tabla2[[#This Row],[FECHA DE FACTURACIÓN]]</f>
        <v>360</v>
      </c>
      <c r="U982" t="str">
        <f>+IF(Tabla2[[#This Row],[dias de credito]]&gt;=Tabla2[[#This Row],[PLAZO Días]],"venc", "No venc")</f>
        <v>venc</v>
      </c>
      <c r="V982" t="str">
        <f>+IF(Tabla2[[#This Row],[FECHA DE PAGO]]&gt;0,"pagada","por pagar")</f>
        <v>pagada</v>
      </c>
      <c r="W982" s="152" t="str">
        <f>+IF(AND(Tabla2[[#This Row],[venc]]="venc",Tabla2[[#This Row],[Columna1]]="por pagar"),"vencida","no")</f>
        <v>no</v>
      </c>
    </row>
    <row r="983" spans="1:23" x14ac:dyDescent="0.3">
      <c r="A983">
        <v>90</v>
      </c>
      <c r="B983">
        <v>5541947.6899999995</v>
      </c>
      <c r="D983" t="s">
        <v>253</v>
      </c>
      <c r="E983" s="156">
        <v>44533</v>
      </c>
      <c r="F983" t="s">
        <v>12</v>
      </c>
      <c r="G983" s="156">
        <v>44438</v>
      </c>
      <c r="H983" t="s">
        <v>455</v>
      </c>
      <c r="I983">
        <v>1033614</v>
      </c>
      <c r="K983">
        <v>196386.66</v>
      </c>
      <c r="M983">
        <v>0</v>
      </c>
      <c r="N983">
        <v>2.5000000000000001E-2</v>
      </c>
      <c r="O983">
        <v>25840.350000000002</v>
      </c>
      <c r="P983" s="117">
        <v>1204160.3099999998</v>
      </c>
      <c r="Q983" s="117" t="s">
        <v>1021</v>
      </c>
      <c r="R983" s="150">
        <v>0</v>
      </c>
      <c r="S983" s="117" t="b">
        <f>OR(COUNTIF(Tabla2[[#This Row],[PROVEEDOR]],"*"&amp;'Palabra no opera'!$A$2&amp;"*"))</f>
        <v>0</v>
      </c>
      <c r="T983" s="150">
        <f>+$W$5-Tabla2[[#This Row],[FECHA DE FACTURACIÓN]]</f>
        <v>396</v>
      </c>
      <c r="U983" t="str">
        <f>+IF(Tabla2[[#This Row],[dias de credito]]&gt;=Tabla2[[#This Row],[PLAZO Días]],"venc", "No venc")</f>
        <v>venc</v>
      </c>
      <c r="V983" t="str">
        <f>+IF(Tabla2[[#This Row],[FECHA DE PAGO]]&gt;0,"pagada","por pagar")</f>
        <v>pagada</v>
      </c>
      <c r="W983" s="152" t="str">
        <f>+IF(AND(Tabla2[[#This Row],[venc]]="venc",Tabla2[[#This Row],[Columna1]]="por pagar"),"vencida","no")</f>
        <v>no</v>
      </c>
    </row>
    <row r="984" spans="1:23" x14ac:dyDescent="0.3">
      <c r="A984">
        <v>90</v>
      </c>
      <c r="B984">
        <v>18086014.540000003</v>
      </c>
      <c r="D984" t="s">
        <v>271</v>
      </c>
      <c r="E984" s="156">
        <v>44533</v>
      </c>
      <c r="F984" t="s">
        <v>9</v>
      </c>
      <c r="G984" s="156">
        <v>44435</v>
      </c>
      <c r="H984">
        <v>71593</v>
      </c>
      <c r="I984">
        <v>14809823</v>
      </c>
      <c r="K984">
        <v>2813866.37</v>
      </c>
      <c r="M984">
        <v>0</v>
      </c>
      <c r="N984">
        <v>2.5000000000000001E-2</v>
      </c>
      <c r="O984">
        <v>370245.57500000001</v>
      </c>
      <c r="P984" s="117">
        <v>17253443.795000002</v>
      </c>
      <c r="Q984" s="117" t="s">
        <v>1021</v>
      </c>
      <c r="R984" s="150">
        <v>0</v>
      </c>
      <c r="S984" s="117" t="b">
        <f>OR(COUNTIF(Tabla2[[#This Row],[PROVEEDOR]],"*"&amp;'Palabra no opera'!$A$2&amp;"*"))</f>
        <v>0</v>
      </c>
      <c r="T984" s="150">
        <f>+$W$5-Tabla2[[#This Row],[FECHA DE FACTURACIÓN]]</f>
        <v>399</v>
      </c>
      <c r="U984" t="str">
        <f>+IF(Tabla2[[#This Row],[dias de credito]]&gt;=Tabla2[[#This Row],[PLAZO Días]],"venc", "No venc")</f>
        <v>venc</v>
      </c>
      <c r="V984" t="str">
        <f>+IF(Tabla2[[#This Row],[FECHA DE PAGO]]&gt;0,"pagada","por pagar")</f>
        <v>pagada</v>
      </c>
      <c r="W984" s="152" t="str">
        <f>+IF(AND(Tabla2[[#This Row],[venc]]="venc",Tabla2[[#This Row],[Columna1]]="por pagar"),"vencida","no")</f>
        <v>no</v>
      </c>
    </row>
    <row r="985" spans="1:23" x14ac:dyDescent="0.3">
      <c r="A985">
        <v>90</v>
      </c>
      <c r="B985">
        <v>5541947.6899999995</v>
      </c>
      <c r="D985" t="s">
        <v>253</v>
      </c>
      <c r="E985" s="156">
        <v>44533</v>
      </c>
      <c r="F985" t="s">
        <v>12</v>
      </c>
      <c r="G985" s="156">
        <v>44433</v>
      </c>
      <c r="H985" t="s">
        <v>436</v>
      </c>
      <c r="I985">
        <v>949580</v>
      </c>
      <c r="K985">
        <v>180420.2</v>
      </c>
      <c r="M985">
        <v>0</v>
      </c>
      <c r="N985">
        <v>0</v>
      </c>
      <c r="O985">
        <v>0</v>
      </c>
      <c r="P985" s="117">
        <v>1130000.2</v>
      </c>
      <c r="Q985" s="117" t="s">
        <v>1021</v>
      </c>
      <c r="R985" s="150">
        <v>0</v>
      </c>
      <c r="S985" s="117" t="b">
        <f>OR(COUNTIF(Tabla2[[#This Row],[PROVEEDOR]],"*"&amp;'Palabra no opera'!$A$2&amp;"*"))</f>
        <v>0</v>
      </c>
      <c r="T985" s="150">
        <f>+$W$5-Tabla2[[#This Row],[FECHA DE FACTURACIÓN]]</f>
        <v>401</v>
      </c>
      <c r="U985" t="str">
        <f>+IF(Tabla2[[#This Row],[dias de credito]]&gt;=Tabla2[[#This Row],[PLAZO Días]],"venc", "No venc")</f>
        <v>venc</v>
      </c>
      <c r="V985" t="str">
        <f>+IF(Tabla2[[#This Row],[FECHA DE PAGO]]&gt;0,"pagada","por pagar")</f>
        <v>pagada</v>
      </c>
      <c r="W985" s="152" t="str">
        <f>+IF(AND(Tabla2[[#This Row],[venc]]="venc",Tabla2[[#This Row],[Columna1]]="por pagar"),"vencida","no")</f>
        <v>no</v>
      </c>
    </row>
    <row r="986" spans="1:23" x14ac:dyDescent="0.3">
      <c r="A986">
        <v>90</v>
      </c>
      <c r="B986">
        <v>5541947.6899999995</v>
      </c>
      <c r="D986" t="s">
        <v>253</v>
      </c>
      <c r="E986" s="156">
        <v>44533</v>
      </c>
      <c r="F986" t="s">
        <v>12</v>
      </c>
      <c r="G986" s="156">
        <v>44431</v>
      </c>
      <c r="H986" t="s">
        <v>435</v>
      </c>
      <c r="I986">
        <v>1527733</v>
      </c>
      <c r="K986">
        <v>290269.27</v>
      </c>
      <c r="M986">
        <v>0</v>
      </c>
      <c r="N986">
        <v>2.5000000000000001E-2</v>
      </c>
      <c r="O986">
        <v>38193.325000000004</v>
      </c>
      <c r="P986" s="117">
        <v>1779808.9450000001</v>
      </c>
      <c r="Q986" s="117" t="s">
        <v>1021</v>
      </c>
      <c r="R986" s="150">
        <v>0</v>
      </c>
      <c r="S986" s="117" t="b">
        <f>OR(COUNTIF(Tabla2[[#This Row],[PROVEEDOR]],"*"&amp;'Palabra no opera'!$A$2&amp;"*"))</f>
        <v>0</v>
      </c>
      <c r="T986" s="150">
        <f>+$W$5-Tabla2[[#This Row],[FECHA DE FACTURACIÓN]]</f>
        <v>403</v>
      </c>
      <c r="U986" t="str">
        <f>+IF(Tabla2[[#This Row],[dias de credito]]&gt;=Tabla2[[#This Row],[PLAZO Días]],"venc", "No venc")</f>
        <v>venc</v>
      </c>
      <c r="V986" t="str">
        <f>+IF(Tabla2[[#This Row],[FECHA DE PAGO]]&gt;0,"pagada","por pagar")</f>
        <v>pagada</v>
      </c>
      <c r="W986" s="152" t="str">
        <f>+IF(AND(Tabla2[[#This Row],[venc]]="venc",Tabla2[[#This Row],[Columna1]]="por pagar"),"vencida","no")</f>
        <v>no</v>
      </c>
    </row>
    <row r="987" spans="1:23" x14ac:dyDescent="0.3">
      <c r="A987">
        <v>90</v>
      </c>
      <c r="B987">
        <v>124999.98</v>
      </c>
      <c r="D987" t="s">
        <v>260</v>
      </c>
      <c r="E987" s="156">
        <v>44533</v>
      </c>
      <c r="F987" t="s">
        <v>77</v>
      </c>
      <c r="G987" s="156">
        <v>44414</v>
      </c>
      <c r="H987" t="s">
        <v>409</v>
      </c>
      <c r="I987">
        <v>16113446</v>
      </c>
      <c r="K987">
        <v>3061554.74</v>
      </c>
      <c r="M987">
        <v>0</v>
      </c>
      <c r="N987">
        <v>2.5000000000000001E-2</v>
      </c>
      <c r="O987">
        <v>402836.15</v>
      </c>
      <c r="P987" s="117">
        <v>18772164.590000004</v>
      </c>
      <c r="Q987" s="117" t="s">
        <v>1021</v>
      </c>
      <c r="R987" s="150">
        <v>0</v>
      </c>
      <c r="S987" s="117" t="b">
        <f>OR(COUNTIF(Tabla2[[#This Row],[PROVEEDOR]],"*"&amp;'Palabra no opera'!$A$2&amp;"*"))</f>
        <v>0</v>
      </c>
      <c r="T987" s="150">
        <f>+$W$5-Tabla2[[#This Row],[FECHA DE FACTURACIÓN]]</f>
        <v>420</v>
      </c>
      <c r="U987" t="str">
        <f>+IF(Tabla2[[#This Row],[dias de credito]]&gt;=Tabla2[[#This Row],[PLAZO Días]],"venc", "No venc")</f>
        <v>venc</v>
      </c>
      <c r="V987" t="str">
        <f>+IF(Tabla2[[#This Row],[FECHA DE PAGO]]&gt;0,"pagada","por pagar")</f>
        <v>pagada</v>
      </c>
      <c r="W987" s="152" t="str">
        <f>+IF(AND(Tabla2[[#This Row],[venc]]="venc",Tabla2[[#This Row],[Columna1]]="por pagar"),"vencida","no")</f>
        <v>no</v>
      </c>
    </row>
    <row r="988" spans="1:23" x14ac:dyDescent="0.3">
      <c r="A988">
        <v>30</v>
      </c>
      <c r="B988">
        <v>0</v>
      </c>
      <c r="D988">
        <v>0</v>
      </c>
      <c r="E988" s="156">
        <v>44532</v>
      </c>
      <c r="F988" t="s">
        <v>701</v>
      </c>
      <c r="G988" s="156">
        <v>44532</v>
      </c>
      <c r="H988">
        <v>310</v>
      </c>
      <c r="I988">
        <v>130252</v>
      </c>
      <c r="K988">
        <v>24747.88</v>
      </c>
      <c r="M988">
        <v>0</v>
      </c>
      <c r="N988">
        <v>0</v>
      </c>
      <c r="O988">
        <v>0</v>
      </c>
      <c r="P988" s="117">
        <v>154999.88</v>
      </c>
      <c r="Q988" s="117" t="s">
        <v>1021</v>
      </c>
      <c r="R988" s="150">
        <v>0</v>
      </c>
      <c r="S988" s="117" t="b">
        <f>OR(COUNTIF(Tabla2[[#This Row],[PROVEEDOR]],"*"&amp;'Palabra no opera'!$A$2&amp;"*"))</f>
        <v>0</v>
      </c>
      <c r="T988" s="150">
        <f>+$W$5-Tabla2[[#This Row],[FECHA DE FACTURACIÓN]]</f>
        <v>302</v>
      </c>
      <c r="U988" t="str">
        <f>+IF(Tabla2[[#This Row],[dias de credito]]&gt;=Tabla2[[#This Row],[PLAZO Días]],"venc", "No venc")</f>
        <v>venc</v>
      </c>
      <c r="V988" t="str">
        <f>+IF(Tabla2[[#This Row],[FECHA DE PAGO]]&gt;0,"pagada","por pagar")</f>
        <v>pagada</v>
      </c>
      <c r="W988" s="152" t="str">
        <f>+IF(AND(Tabla2[[#This Row],[venc]]="venc",Tabla2[[#This Row],[Columna1]]="por pagar"),"vencida","no")</f>
        <v>no</v>
      </c>
    </row>
    <row r="989" spans="1:23" x14ac:dyDescent="0.3">
      <c r="A989">
        <v>30</v>
      </c>
      <c r="B989">
        <v>0</v>
      </c>
      <c r="D989" t="s">
        <v>139</v>
      </c>
      <c r="E989" s="156">
        <v>44532</v>
      </c>
      <c r="F989" t="s">
        <v>644</v>
      </c>
      <c r="G989" s="156">
        <v>44532</v>
      </c>
      <c r="H989" t="s">
        <v>1536</v>
      </c>
      <c r="I989">
        <v>124000</v>
      </c>
      <c r="K989">
        <v>0</v>
      </c>
      <c r="M989">
        <v>0</v>
      </c>
      <c r="N989">
        <v>0</v>
      </c>
      <c r="O989">
        <v>0</v>
      </c>
      <c r="P989" s="117">
        <v>124000</v>
      </c>
      <c r="Q989" s="117" t="s">
        <v>1021</v>
      </c>
      <c r="R989" s="150">
        <v>0</v>
      </c>
      <c r="S989" s="117" t="b">
        <f>OR(COUNTIF(Tabla2[[#This Row],[PROVEEDOR]],"*"&amp;'Palabra no opera'!$A$2&amp;"*"))</f>
        <v>0</v>
      </c>
      <c r="T989" s="150">
        <f>+$W$5-Tabla2[[#This Row],[FECHA DE FACTURACIÓN]]</f>
        <v>302</v>
      </c>
      <c r="U989" t="str">
        <f>+IF(Tabla2[[#This Row],[dias de credito]]&gt;=Tabla2[[#This Row],[PLAZO Días]],"venc", "No venc")</f>
        <v>venc</v>
      </c>
      <c r="V989" t="str">
        <f>+IF(Tabla2[[#This Row],[FECHA DE PAGO]]&gt;0,"pagada","por pagar")</f>
        <v>pagada</v>
      </c>
      <c r="W989" s="152" t="str">
        <f>+IF(AND(Tabla2[[#This Row],[venc]]="venc",Tabla2[[#This Row],[Columna1]]="por pagar"),"vencida","no")</f>
        <v>no</v>
      </c>
    </row>
    <row r="990" spans="1:23" x14ac:dyDescent="0.3">
      <c r="A990">
        <v>90</v>
      </c>
      <c r="B990">
        <v>64586412</v>
      </c>
      <c r="D990" t="s">
        <v>368</v>
      </c>
      <c r="E990" s="156">
        <v>44531</v>
      </c>
      <c r="F990" t="s">
        <v>31</v>
      </c>
      <c r="G990" s="156">
        <v>44531</v>
      </c>
      <c r="H990">
        <v>55161</v>
      </c>
      <c r="I990">
        <v>536088</v>
      </c>
      <c r="K990">
        <v>0</v>
      </c>
      <c r="M990">
        <v>0</v>
      </c>
      <c r="N990">
        <v>0</v>
      </c>
      <c r="O990">
        <v>0</v>
      </c>
      <c r="P990" s="117">
        <v>536088</v>
      </c>
      <c r="Q990" s="117" t="s">
        <v>1021</v>
      </c>
      <c r="R990" s="150">
        <v>0</v>
      </c>
      <c r="S990" s="117" t="b">
        <f>OR(COUNTIF(Tabla2[[#This Row],[PROVEEDOR]],"*"&amp;'Palabra no opera'!$A$2&amp;"*"))</f>
        <v>0</v>
      </c>
      <c r="T990" s="150">
        <f>+$W$5-Tabla2[[#This Row],[FECHA DE FACTURACIÓN]]</f>
        <v>303</v>
      </c>
      <c r="U990" t="str">
        <f>+IF(Tabla2[[#This Row],[dias de credito]]&gt;=Tabla2[[#This Row],[PLAZO Días]],"venc", "No venc")</f>
        <v>venc</v>
      </c>
      <c r="V990" t="str">
        <f>+IF(Tabla2[[#This Row],[FECHA DE PAGO]]&gt;0,"pagada","por pagar")</f>
        <v>pagada</v>
      </c>
      <c r="W990" s="152" t="str">
        <f>+IF(AND(Tabla2[[#This Row],[venc]]="venc",Tabla2[[#This Row],[Columna1]]="por pagar"),"vencida","no")</f>
        <v>no</v>
      </c>
    </row>
    <row r="991" spans="1:23" x14ac:dyDescent="0.3">
      <c r="A991">
        <v>90</v>
      </c>
      <c r="B991">
        <v>64586412</v>
      </c>
      <c r="D991" t="s">
        <v>368</v>
      </c>
      <c r="E991" s="156">
        <v>44531</v>
      </c>
      <c r="F991" t="s">
        <v>31</v>
      </c>
      <c r="G991" s="156">
        <v>44487</v>
      </c>
      <c r="H991">
        <v>55161</v>
      </c>
      <c r="I991">
        <v>31856297.426000003</v>
      </c>
      <c r="K991">
        <v>0</v>
      </c>
      <c r="M991">
        <v>0</v>
      </c>
      <c r="N991">
        <v>0</v>
      </c>
      <c r="O991">
        <v>0</v>
      </c>
      <c r="P991" s="117">
        <v>31856297.426000003</v>
      </c>
      <c r="Q991" s="117" t="s">
        <v>1021</v>
      </c>
      <c r="R991" s="150">
        <v>0</v>
      </c>
      <c r="S991" s="117" t="b">
        <f>OR(COUNTIF(Tabla2[[#This Row],[PROVEEDOR]],"*"&amp;'Palabra no opera'!$A$2&amp;"*"))</f>
        <v>0</v>
      </c>
      <c r="T991" s="150">
        <f>+$W$5-Tabla2[[#This Row],[FECHA DE FACTURACIÓN]]</f>
        <v>347</v>
      </c>
      <c r="U991" t="str">
        <f>+IF(Tabla2[[#This Row],[dias de credito]]&gt;=Tabla2[[#This Row],[PLAZO Días]],"venc", "No venc")</f>
        <v>venc</v>
      </c>
      <c r="V991" t="str">
        <f>+IF(Tabla2[[#This Row],[FECHA DE PAGO]]&gt;0,"pagada","por pagar")</f>
        <v>pagada</v>
      </c>
      <c r="W991" s="152" t="str">
        <f>+IF(AND(Tabla2[[#This Row],[venc]]="venc",Tabla2[[#This Row],[Columna1]]="por pagar"),"vencida","no")</f>
        <v>no</v>
      </c>
    </row>
    <row r="992" spans="1:23" x14ac:dyDescent="0.3">
      <c r="A992">
        <v>30</v>
      </c>
      <c r="B992">
        <v>0</v>
      </c>
      <c r="D992" t="s">
        <v>139</v>
      </c>
      <c r="E992" s="156">
        <v>44530</v>
      </c>
      <c r="F992" t="s">
        <v>644</v>
      </c>
      <c r="G992" s="156">
        <v>44530</v>
      </c>
      <c r="H992" t="s">
        <v>1186</v>
      </c>
      <c r="I992">
        <v>78000</v>
      </c>
      <c r="K992">
        <v>0</v>
      </c>
      <c r="M992">
        <v>0</v>
      </c>
      <c r="N992">
        <v>0</v>
      </c>
      <c r="O992">
        <v>0</v>
      </c>
      <c r="P992" s="117">
        <v>78000</v>
      </c>
      <c r="Q992" s="117" t="s">
        <v>1021</v>
      </c>
      <c r="R992" s="150">
        <v>0</v>
      </c>
      <c r="S992" s="117" t="b">
        <f>OR(COUNTIF(Tabla2[[#This Row],[PROVEEDOR]],"*"&amp;'Palabra no opera'!$A$2&amp;"*"))</f>
        <v>0</v>
      </c>
      <c r="T992" s="150">
        <f>+$W$5-Tabla2[[#This Row],[FECHA DE FACTURACIÓN]]</f>
        <v>304</v>
      </c>
      <c r="U992" t="str">
        <f>+IF(Tabla2[[#This Row],[dias de credito]]&gt;=Tabla2[[#This Row],[PLAZO Días]],"venc", "No venc")</f>
        <v>venc</v>
      </c>
      <c r="V992" t="str">
        <f>+IF(Tabla2[[#This Row],[FECHA DE PAGO]]&gt;0,"pagada","por pagar")</f>
        <v>pagada</v>
      </c>
      <c r="W992" s="152" t="str">
        <f>+IF(AND(Tabla2[[#This Row],[venc]]="venc",Tabla2[[#This Row],[Columna1]]="por pagar"),"vencida","no")</f>
        <v>no</v>
      </c>
    </row>
    <row r="993" spans="1:23" x14ac:dyDescent="0.3">
      <c r="A993">
        <v>30</v>
      </c>
      <c r="B993">
        <v>0</v>
      </c>
      <c r="D993" t="s">
        <v>139</v>
      </c>
      <c r="E993" s="156">
        <v>44530</v>
      </c>
      <c r="F993" t="s">
        <v>644</v>
      </c>
      <c r="G993" s="156">
        <v>44530</v>
      </c>
      <c r="H993" t="s">
        <v>1314</v>
      </c>
      <c r="I993">
        <v>154000</v>
      </c>
      <c r="K993">
        <v>0</v>
      </c>
      <c r="M993">
        <v>0</v>
      </c>
      <c r="N993">
        <v>0</v>
      </c>
      <c r="O993">
        <v>0</v>
      </c>
      <c r="P993" s="117">
        <v>154000</v>
      </c>
      <c r="Q993" s="117" t="s">
        <v>1021</v>
      </c>
      <c r="R993" s="150">
        <v>0</v>
      </c>
      <c r="S993" s="117" t="b">
        <f>OR(COUNTIF(Tabla2[[#This Row],[PROVEEDOR]],"*"&amp;'Palabra no opera'!$A$2&amp;"*"))</f>
        <v>0</v>
      </c>
      <c r="T993" s="150">
        <f>+$W$5-Tabla2[[#This Row],[FECHA DE FACTURACIÓN]]</f>
        <v>304</v>
      </c>
      <c r="U993" t="str">
        <f>+IF(Tabla2[[#This Row],[dias de credito]]&gt;=Tabla2[[#This Row],[PLAZO Días]],"venc", "No venc")</f>
        <v>venc</v>
      </c>
      <c r="V993" t="str">
        <f>+IF(Tabla2[[#This Row],[FECHA DE PAGO]]&gt;0,"pagada","por pagar")</f>
        <v>pagada</v>
      </c>
      <c r="W993" s="152" t="str">
        <f>+IF(AND(Tabla2[[#This Row],[venc]]="venc",Tabla2[[#This Row],[Columna1]]="por pagar"),"vencida","no")</f>
        <v>no</v>
      </c>
    </row>
    <row r="994" spans="1:23" x14ac:dyDescent="0.3">
      <c r="A994">
        <v>30</v>
      </c>
      <c r="B994">
        <v>0</v>
      </c>
      <c r="D994" t="s">
        <v>139</v>
      </c>
      <c r="E994" s="156">
        <v>44530</v>
      </c>
      <c r="F994" t="s">
        <v>644</v>
      </c>
      <c r="G994" s="156">
        <v>44530</v>
      </c>
      <c r="H994" t="s">
        <v>1350</v>
      </c>
      <c r="I994">
        <v>385000</v>
      </c>
      <c r="K994">
        <v>0</v>
      </c>
      <c r="M994">
        <v>0</v>
      </c>
      <c r="N994">
        <v>0</v>
      </c>
      <c r="O994">
        <v>0</v>
      </c>
      <c r="P994" s="117">
        <v>385000</v>
      </c>
      <c r="Q994" s="117" t="s">
        <v>1021</v>
      </c>
      <c r="R994" s="150">
        <v>0</v>
      </c>
      <c r="S994" s="117" t="b">
        <f>OR(COUNTIF(Tabla2[[#This Row],[PROVEEDOR]],"*"&amp;'Palabra no opera'!$A$2&amp;"*"))</f>
        <v>0</v>
      </c>
      <c r="T994" s="150">
        <f>+$W$5-Tabla2[[#This Row],[FECHA DE FACTURACIÓN]]</f>
        <v>304</v>
      </c>
      <c r="U994" t="str">
        <f>+IF(Tabla2[[#This Row],[dias de credito]]&gt;=Tabla2[[#This Row],[PLAZO Días]],"venc", "No venc")</f>
        <v>venc</v>
      </c>
      <c r="V994" t="str">
        <f>+IF(Tabla2[[#This Row],[FECHA DE PAGO]]&gt;0,"pagada","por pagar")</f>
        <v>pagada</v>
      </c>
      <c r="W994" s="152" t="str">
        <f>+IF(AND(Tabla2[[#This Row],[venc]]="venc",Tabla2[[#This Row],[Columna1]]="por pagar"),"vencida","no")</f>
        <v>no</v>
      </c>
    </row>
    <row r="995" spans="1:23" x14ac:dyDescent="0.3">
      <c r="A995">
        <v>30</v>
      </c>
      <c r="B995">
        <v>0</v>
      </c>
      <c r="D995" t="s">
        <v>139</v>
      </c>
      <c r="E995" s="156">
        <v>44530</v>
      </c>
      <c r="F995" t="s">
        <v>644</v>
      </c>
      <c r="G995" s="156">
        <v>44530</v>
      </c>
      <c r="H995" t="s">
        <v>75</v>
      </c>
      <c r="I995">
        <v>739000</v>
      </c>
      <c r="K995">
        <v>0</v>
      </c>
      <c r="M995">
        <v>0</v>
      </c>
      <c r="N995">
        <v>0</v>
      </c>
      <c r="O995">
        <v>0</v>
      </c>
      <c r="P995" s="117">
        <v>739000</v>
      </c>
      <c r="Q995" s="117" t="s">
        <v>1021</v>
      </c>
      <c r="R995" s="150">
        <v>0</v>
      </c>
      <c r="S995" s="117" t="b">
        <f>OR(COUNTIF(Tabla2[[#This Row],[PROVEEDOR]],"*"&amp;'Palabra no opera'!$A$2&amp;"*"))</f>
        <v>0</v>
      </c>
      <c r="T995" s="150">
        <f>+$W$5-Tabla2[[#This Row],[FECHA DE FACTURACIÓN]]</f>
        <v>304</v>
      </c>
      <c r="U995" t="str">
        <f>+IF(Tabla2[[#This Row],[dias de credito]]&gt;=Tabla2[[#This Row],[PLAZO Días]],"venc", "No venc")</f>
        <v>venc</v>
      </c>
      <c r="V995" t="str">
        <f>+IF(Tabla2[[#This Row],[FECHA DE PAGO]]&gt;0,"pagada","por pagar")</f>
        <v>pagada</v>
      </c>
      <c r="W995" s="152" t="str">
        <f>+IF(AND(Tabla2[[#This Row],[venc]]="venc",Tabla2[[#This Row],[Columna1]]="por pagar"),"vencida","no")</f>
        <v>no</v>
      </c>
    </row>
    <row r="996" spans="1:23" x14ac:dyDescent="0.3">
      <c r="A996">
        <v>30</v>
      </c>
      <c r="B996">
        <v>0</v>
      </c>
      <c r="D996" t="s">
        <v>139</v>
      </c>
      <c r="E996" s="156">
        <v>44530</v>
      </c>
      <c r="F996" t="s">
        <v>644</v>
      </c>
      <c r="G996" s="156">
        <v>44530</v>
      </c>
      <c r="H996" t="s">
        <v>1187</v>
      </c>
      <c r="I996">
        <v>755000</v>
      </c>
      <c r="K996">
        <v>0</v>
      </c>
      <c r="M996">
        <v>0</v>
      </c>
      <c r="N996">
        <v>0</v>
      </c>
      <c r="O996">
        <v>0</v>
      </c>
      <c r="P996" s="117">
        <v>755000</v>
      </c>
      <c r="Q996" s="117" t="s">
        <v>1021</v>
      </c>
      <c r="R996" s="150">
        <v>0</v>
      </c>
      <c r="S996" s="117" t="b">
        <f>OR(COUNTIF(Tabla2[[#This Row],[PROVEEDOR]],"*"&amp;'Palabra no opera'!$A$2&amp;"*"))</f>
        <v>0</v>
      </c>
      <c r="T996" s="150">
        <f>+$W$5-Tabla2[[#This Row],[FECHA DE FACTURACIÓN]]</f>
        <v>304</v>
      </c>
      <c r="U996" t="str">
        <f>+IF(Tabla2[[#This Row],[dias de credito]]&gt;=Tabla2[[#This Row],[PLAZO Días]],"venc", "No venc")</f>
        <v>venc</v>
      </c>
      <c r="V996" t="str">
        <f>+IF(Tabla2[[#This Row],[FECHA DE PAGO]]&gt;0,"pagada","por pagar")</f>
        <v>pagada</v>
      </c>
      <c r="W996" s="152" t="str">
        <f>+IF(AND(Tabla2[[#This Row],[venc]]="venc",Tabla2[[#This Row],[Columna1]]="por pagar"),"vencida","no")</f>
        <v>no</v>
      </c>
    </row>
    <row r="997" spans="1:23" x14ac:dyDescent="0.3">
      <c r="A997">
        <v>30</v>
      </c>
      <c r="B997">
        <v>0</v>
      </c>
      <c r="D997" t="s">
        <v>139</v>
      </c>
      <c r="E997" s="156">
        <v>44530</v>
      </c>
      <c r="F997" t="s">
        <v>644</v>
      </c>
      <c r="G997" s="156">
        <v>44530</v>
      </c>
      <c r="H997" t="s">
        <v>1188</v>
      </c>
      <c r="I997">
        <v>3153500</v>
      </c>
      <c r="K997">
        <v>0</v>
      </c>
      <c r="M997">
        <v>0</v>
      </c>
      <c r="N997">
        <v>0</v>
      </c>
      <c r="O997">
        <v>0</v>
      </c>
      <c r="P997" s="117">
        <v>3153500</v>
      </c>
      <c r="Q997" s="117" t="s">
        <v>1021</v>
      </c>
      <c r="R997" s="150">
        <v>0</v>
      </c>
      <c r="S997" s="117" t="b">
        <f>OR(COUNTIF(Tabla2[[#This Row],[PROVEEDOR]],"*"&amp;'Palabra no opera'!$A$2&amp;"*"))</f>
        <v>0</v>
      </c>
      <c r="T997" s="150">
        <f>+$W$5-Tabla2[[#This Row],[FECHA DE FACTURACIÓN]]</f>
        <v>304</v>
      </c>
      <c r="U997" t="str">
        <f>+IF(Tabla2[[#This Row],[dias de credito]]&gt;=Tabla2[[#This Row],[PLAZO Días]],"venc", "No venc")</f>
        <v>venc</v>
      </c>
      <c r="V997" t="str">
        <f>+IF(Tabla2[[#This Row],[FECHA DE PAGO]]&gt;0,"pagada","por pagar")</f>
        <v>pagada</v>
      </c>
      <c r="W997" s="152" t="str">
        <f>+IF(AND(Tabla2[[#This Row],[venc]]="venc",Tabla2[[#This Row],[Columna1]]="por pagar"),"vencida","no")</f>
        <v>no</v>
      </c>
    </row>
    <row r="998" spans="1:23" x14ac:dyDescent="0.3">
      <c r="A998">
        <v>30</v>
      </c>
      <c r="B998">
        <v>0</v>
      </c>
      <c r="D998" t="s">
        <v>547</v>
      </c>
      <c r="E998" s="156">
        <v>44530</v>
      </c>
      <c r="F998" t="s">
        <v>510</v>
      </c>
      <c r="G998" s="156">
        <v>44494</v>
      </c>
      <c r="H998" t="s">
        <v>511</v>
      </c>
      <c r="I998">
        <v>1152264</v>
      </c>
      <c r="K998">
        <v>218930.16</v>
      </c>
      <c r="M998">
        <v>0</v>
      </c>
      <c r="N998">
        <v>0</v>
      </c>
      <c r="O998">
        <v>0</v>
      </c>
      <c r="P998" s="117">
        <v>1371194.16</v>
      </c>
      <c r="Q998" s="117" t="s">
        <v>1021</v>
      </c>
      <c r="R998" s="150">
        <v>0</v>
      </c>
      <c r="S998" s="117" t="b">
        <f>OR(COUNTIF(Tabla2[[#This Row],[PROVEEDOR]],"*"&amp;'Palabra no opera'!$A$2&amp;"*"))</f>
        <v>0</v>
      </c>
      <c r="T998" s="150">
        <f>+$W$5-Tabla2[[#This Row],[FECHA DE FACTURACIÓN]]</f>
        <v>340</v>
      </c>
      <c r="U998" t="str">
        <f>+IF(Tabla2[[#This Row],[dias de credito]]&gt;=Tabla2[[#This Row],[PLAZO Días]],"venc", "No venc")</f>
        <v>venc</v>
      </c>
      <c r="V998" t="str">
        <f>+IF(Tabla2[[#This Row],[FECHA DE PAGO]]&gt;0,"pagada","por pagar")</f>
        <v>pagada</v>
      </c>
      <c r="W998" s="152" t="str">
        <f>+IF(AND(Tabla2[[#This Row],[venc]]="venc",Tabla2[[#This Row],[Columna1]]="por pagar"),"vencida","no")</f>
        <v>no</v>
      </c>
    </row>
    <row r="999" spans="1:23" x14ac:dyDescent="0.3">
      <c r="A999">
        <v>30</v>
      </c>
      <c r="B999">
        <v>0</v>
      </c>
      <c r="D999" t="s">
        <v>547</v>
      </c>
      <c r="E999" s="156">
        <v>44530</v>
      </c>
      <c r="F999" t="s">
        <v>905</v>
      </c>
      <c r="G999" s="156">
        <v>44489</v>
      </c>
      <c r="H999" t="s">
        <v>513</v>
      </c>
      <c r="I999">
        <v>3176062</v>
      </c>
      <c r="K999">
        <v>603451.78</v>
      </c>
      <c r="M999">
        <v>0</v>
      </c>
      <c r="N999">
        <v>0</v>
      </c>
      <c r="O999">
        <v>0</v>
      </c>
      <c r="P999" s="117">
        <v>3779513.7800000003</v>
      </c>
      <c r="Q999" s="117" t="s">
        <v>1021</v>
      </c>
      <c r="R999" s="150">
        <v>0</v>
      </c>
      <c r="S999" s="117" t="b">
        <f>OR(COUNTIF(Tabla2[[#This Row],[PROVEEDOR]],"*"&amp;'Palabra no opera'!$A$2&amp;"*"))</f>
        <v>1</v>
      </c>
      <c r="T999" s="150">
        <f>+$W$5-Tabla2[[#This Row],[FECHA DE FACTURACIÓN]]</f>
        <v>345</v>
      </c>
      <c r="U999" t="str">
        <f>+IF(Tabla2[[#This Row],[dias de credito]]&gt;=Tabla2[[#This Row],[PLAZO Días]],"venc", "No venc")</f>
        <v>venc</v>
      </c>
      <c r="V999" t="str">
        <f>+IF(Tabla2[[#This Row],[FECHA DE PAGO]]&gt;0,"pagada","por pagar")</f>
        <v>pagada</v>
      </c>
      <c r="W999" s="152" t="str">
        <f>+IF(AND(Tabla2[[#This Row],[venc]]="venc",Tabla2[[#This Row],[Columna1]]="por pagar"),"vencida","no")</f>
        <v>no</v>
      </c>
    </row>
    <row r="1000" spans="1:23" x14ac:dyDescent="0.3">
      <c r="A1000">
        <v>30</v>
      </c>
      <c r="B1000">
        <v>0</v>
      </c>
      <c r="D1000" t="s">
        <v>139</v>
      </c>
      <c r="E1000" s="156">
        <v>44527</v>
      </c>
      <c r="F1000" t="s">
        <v>638</v>
      </c>
      <c r="G1000" s="156">
        <v>44525</v>
      </c>
      <c r="H1000" t="s">
        <v>1347</v>
      </c>
      <c r="I1000">
        <v>636000</v>
      </c>
      <c r="K1000">
        <v>0</v>
      </c>
      <c r="M1000">
        <v>0</v>
      </c>
      <c r="N1000">
        <v>0</v>
      </c>
      <c r="O1000">
        <v>0</v>
      </c>
      <c r="P1000" s="117">
        <v>636000</v>
      </c>
      <c r="Q1000" s="117" t="s">
        <v>1021</v>
      </c>
      <c r="R1000" s="150">
        <v>0</v>
      </c>
      <c r="S1000" s="117" t="b">
        <f>OR(COUNTIF(Tabla2[[#This Row],[PROVEEDOR]],"*"&amp;'Palabra no opera'!$A$2&amp;"*"))</f>
        <v>0</v>
      </c>
      <c r="T1000" s="150">
        <f>+$W$5-Tabla2[[#This Row],[FECHA DE FACTURACIÓN]]</f>
        <v>309</v>
      </c>
      <c r="U1000" t="str">
        <f>+IF(Tabla2[[#This Row],[dias de credito]]&gt;=Tabla2[[#This Row],[PLAZO Días]],"venc", "No venc")</f>
        <v>venc</v>
      </c>
      <c r="V1000" t="str">
        <f>+IF(Tabla2[[#This Row],[FECHA DE PAGO]]&gt;0,"pagada","por pagar")</f>
        <v>pagada</v>
      </c>
      <c r="W1000" s="152" t="str">
        <f>+IF(AND(Tabla2[[#This Row],[venc]]="venc",Tabla2[[#This Row],[Columna1]]="por pagar"),"vencida","no")</f>
        <v>no</v>
      </c>
    </row>
    <row r="1001" spans="1:23" x14ac:dyDescent="0.3">
      <c r="A1001">
        <v>30</v>
      </c>
      <c r="B1001">
        <v>0</v>
      </c>
      <c r="D1001" t="s">
        <v>650</v>
      </c>
      <c r="E1001" s="156">
        <v>44527</v>
      </c>
      <c r="F1001" t="s">
        <v>913</v>
      </c>
      <c r="G1001" s="156">
        <v>44501</v>
      </c>
      <c r="H1001" t="s">
        <v>1340</v>
      </c>
      <c r="I1001">
        <v>3061166</v>
      </c>
      <c r="K1001">
        <v>581621.54</v>
      </c>
      <c r="M1001">
        <v>0</v>
      </c>
      <c r="N1001">
        <v>0</v>
      </c>
      <c r="O1001">
        <v>0</v>
      </c>
      <c r="P1001" s="117">
        <v>3642787.54</v>
      </c>
      <c r="Q1001" s="117" t="s">
        <v>1021</v>
      </c>
      <c r="R1001" s="150">
        <v>0</v>
      </c>
      <c r="S1001" s="117" t="b">
        <f>OR(COUNTIF(Tabla2[[#This Row],[PROVEEDOR]],"*"&amp;'Palabra no opera'!$A$2&amp;"*"))</f>
        <v>1</v>
      </c>
      <c r="T1001" s="150">
        <f>+$W$5-Tabla2[[#This Row],[FECHA DE FACTURACIÓN]]</f>
        <v>333</v>
      </c>
      <c r="U1001" t="str">
        <f>+IF(Tabla2[[#This Row],[dias de credito]]&gt;=Tabla2[[#This Row],[PLAZO Días]],"venc", "No venc")</f>
        <v>venc</v>
      </c>
      <c r="V1001" t="str">
        <f>+IF(Tabla2[[#This Row],[FECHA DE PAGO]]&gt;0,"pagada","por pagar")</f>
        <v>pagada</v>
      </c>
      <c r="W1001" s="152" t="str">
        <f>+IF(AND(Tabla2[[#This Row],[venc]]="venc",Tabla2[[#This Row],[Columna1]]="por pagar"),"vencida","no")</f>
        <v>no</v>
      </c>
    </row>
    <row r="1002" spans="1:23" x14ac:dyDescent="0.3">
      <c r="A1002">
        <v>30</v>
      </c>
      <c r="B1002">
        <v>0</v>
      </c>
      <c r="D1002" t="s">
        <v>650</v>
      </c>
      <c r="E1002" s="156">
        <v>44527</v>
      </c>
      <c r="F1002" t="s">
        <v>913</v>
      </c>
      <c r="G1002" s="156">
        <v>44501</v>
      </c>
      <c r="H1002" t="s">
        <v>1341</v>
      </c>
      <c r="I1002">
        <v>716544</v>
      </c>
      <c r="K1002">
        <v>136143.36000000002</v>
      </c>
      <c r="M1002">
        <v>0</v>
      </c>
      <c r="N1002">
        <v>0</v>
      </c>
      <c r="O1002">
        <v>0</v>
      </c>
      <c r="P1002" s="117">
        <v>852687.35999999999</v>
      </c>
      <c r="Q1002" s="117" t="s">
        <v>1021</v>
      </c>
      <c r="R1002" s="150">
        <v>0</v>
      </c>
      <c r="S1002" s="117" t="b">
        <f>OR(COUNTIF(Tabla2[[#This Row],[PROVEEDOR]],"*"&amp;'Palabra no opera'!$A$2&amp;"*"))</f>
        <v>1</v>
      </c>
      <c r="T1002" s="150">
        <f>+$W$5-Tabla2[[#This Row],[FECHA DE FACTURACIÓN]]</f>
        <v>333</v>
      </c>
      <c r="U1002" t="str">
        <f>+IF(Tabla2[[#This Row],[dias de credito]]&gt;=Tabla2[[#This Row],[PLAZO Días]],"venc", "No venc")</f>
        <v>venc</v>
      </c>
      <c r="V1002" t="str">
        <f>+IF(Tabla2[[#This Row],[FECHA DE PAGO]]&gt;0,"pagada","por pagar")</f>
        <v>pagada</v>
      </c>
      <c r="W1002" s="152" t="str">
        <f>+IF(AND(Tabla2[[#This Row],[venc]]="venc",Tabla2[[#This Row],[Columna1]]="por pagar"),"vencida","no")</f>
        <v>no</v>
      </c>
    </row>
    <row r="1003" spans="1:23" x14ac:dyDescent="0.3">
      <c r="A1003">
        <v>30</v>
      </c>
      <c r="B1003">
        <v>0</v>
      </c>
      <c r="D1003" t="s">
        <v>1688</v>
      </c>
      <c r="E1003" s="156">
        <v>44527</v>
      </c>
      <c r="F1003" t="s">
        <v>928</v>
      </c>
      <c r="G1003" s="156">
        <v>44501</v>
      </c>
      <c r="H1003" t="s">
        <v>591</v>
      </c>
      <c r="I1003">
        <v>3124305</v>
      </c>
      <c r="K1003">
        <v>0</v>
      </c>
      <c r="M1003">
        <v>0</v>
      </c>
      <c r="N1003">
        <v>3.5000000000000003E-2</v>
      </c>
      <c r="O1003">
        <v>109350.67500000002</v>
      </c>
      <c r="P1003" s="117">
        <v>3014954.3250000002</v>
      </c>
      <c r="Q1003" s="117" t="s">
        <v>1021</v>
      </c>
      <c r="R1003" s="150">
        <v>0</v>
      </c>
      <c r="S1003" s="117" t="b">
        <f>OR(COUNTIF(Tabla2[[#This Row],[PROVEEDOR]],"*"&amp;'Palabra no opera'!$A$2&amp;"*"))</f>
        <v>1</v>
      </c>
      <c r="T1003" s="150">
        <f>+$W$5-Tabla2[[#This Row],[FECHA DE FACTURACIÓN]]</f>
        <v>333</v>
      </c>
      <c r="U1003" t="str">
        <f>+IF(Tabla2[[#This Row],[dias de credito]]&gt;=Tabla2[[#This Row],[PLAZO Días]],"venc", "No venc")</f>
        <v>venc</v>
      </c>
      <c r="V1003" t="str">
        <f>+IF(Tabla2[[#This Row],[FECHA DE PAGO]]&gt;0,"pagada","por pagar")</f>
        <v>pagada</v>
      </c>
      <c r="W1003" s="152" t="str">
        <f>+IF(AND(Tabla2[[#This Row],[venc]]="venc",Tabla2[[#This Row],[Columna1]]="por pagar"),"vencida","no")</f>
        <v>no</v>
      </c>
    </row>
    <row r="1004" spans="1:23" x14ac:dyDescent="0.3">
      <c r="A1004">
        <v>30</v>
      </c>
      <c r="B1004">
        <v>0</v>
      </c>
      <c r="D1004" t="s">
        <v>259</v>
      </c>
      <c r="E1004" s="156">
        <v>44527</v>
      </c>
      <c r="F1004" t="s">
        <v>918</v>
      </c>
      <c r="G1004" s="156">
        <v>44501</v>
      </c>
      <c r="H1004">
        <v>9319</v>
      </c>
      <c r="I1004">
        <v>1547710</v>
      </c>
      <c r="K1004">
        <v>0</v>
      </c>
      <c r="M1004">
        <v>0</v>
      </c>
      <c r="N1004">
        <v>0</v>
      </c>
      <c r="O1004">
        <v>0</v>
      </c>
      <c r="P1004" s="117">
        <v>1547710</v>
      </c>
      <c r="Q1004" s="117" t="s">
        <v>1021</v>
      </c>
      <c r="R1004" s="150">
        <v>0</v>
      </c>
      <c r="S1004" s="117" t="b">
        <f>OR(COUNTIF(Tabla2[[#This Row],[PROVEEDOR]],"*"&amp;'Palabra no opera'!$A$2&amp;"*"))</f>
        <v>1</v>
      </c>
      <c r="T1004" s="150">
        <f>+$W$5-Tabla2[[#This Row],[FECHA DE FACTURACIÓN]]</f>
        <v>333</v>
      </c>
      <c r="U1004" t="str">
        <f>+IF(Tabla2[[#This Row],[dias de credito]]&gt;=Tabla2[[#This Row],[PLAZO Días]],"venc", "No venc")</f>
        <v>venc</v>
      </c>
      <c r="V1004" t="str">
        <f>+IF(Tabla2[[#This Row],[FECHA DE PAGO]]&gt;0,"pagada","por pagar")</f>
        <v>pagada</v>
      </c>
      <c r="W1004" s="152" t="str">
        <f>+IF(AND(Tabla2[[#This Row],[venc]]="venc",Tabla2[[#This Row],[Columna1]]="por pagar"),"vencida","no")</f>
        <v>no</v>
      </c>
    </row>
    <row r="1005" spans="1:23" x14ac:dyDescent="0.3">
      <c r="A1005">
        <v>30</v>
      </c>
      <c r="B1005">
        <v>0</v>
      </c>
      <c r="D1005" t="s">
        <v>433</v>
      </c>
      <c r="E1005" s="156">
        <v>44527</v>
      </c>
      <c r="F1005" t="s">
        <v>925</v>
      </c>
      <c r="G1005" s="156">
        <v>44501</v>
      </c>
      <c r="H1005" t="s">
        <v>1343</v>
      </c>
      <c r="I1005">
        <v>2789636</v>
      </c>
      <c r="K1005">
        <v>0</v>
      </c>
      <c r="M1005">
        <v>0</v>
      </c>
      <c r="N1005">
        <v>3.5000000000000003E-2</v>
      </c>
      <c r="O1005">
        <v>97637.260000000009</v>
      </c>
      <c r="P1005" s="117">
        <v>2691998.74</v>
      </c>
      <c r="Q1005" s="117" t="s">
        <v>1021</v>
      </c>
      <c r="R1005" s="150">
        <v>0</v>
      </c>
      <c r="S1005" s="117" t="b">
        <f>OR(COUNTIF(Tabla2[[#This Row],[PROVEEDOR]],"*"&amp;'Palabra no opera'!$A$2&amp;"*"))</f>
        <v>1</v>
      </c>
      <c r="T1005" s="150">
        <f>+$W$5-Tabla2[[#This Row],[FECHA DE FACTURACIÓN]]</f>
        <v>333</v>
      </c>
      <c r="U1005" t="str">
        <f>+IF(Tabla2[[#This Row],[dias de credito]]&gt;=Tabla2[[#This Row],[PLAZO Días]],"venc", "No venc")</f>
        <v>venc</v>
      </c>
      <c r="V1005" t="str">
        <f>+IF(Tabla2[[#This Row],[FECHA DE PAGO]]&gt;0,"pagada","por pagar")</f>
        <v>pagada</v>
      </c>
      <c r="W1005" s="152" t="str">
        <f>+IF(AND(Tabla2[[#This Row],[venc]]="venc",Tabla2[[#This Row],[Columna1]]="por pagar"),"vencida","no")</f>
        <v>no</v>
      </c>
    </row>
    <row r="1006" spans="1:23" x14ac:dyDescent="0.3">
      <c r="A1006">
        <v>30</v>
      </c>
      <c r="B1006">
        <v>0</v>
      </c>
      <c r="D1006" t="s">
        <v>267</v>
      </c>
      <c r="E1006" s="156">
        <v>44527</v>
      </c>
      <c r="F1006" t="s">
        <v>941</v>
      </c>
      <c r="G1006" s="156">
        <v>44501</v>
      </c>
      <c r="H1006" t="s">
        <v>517</v>
      </c>
      <c r="I1006">
        <v>203897</v>
      </c>
      <c r="K1006">
        <v>38740.43</v>
      </c>
      <c r="M1006">
        <v>0</v>
      </c>
      <c r="N1006">
        <v>3.5000000000000003E-2</v>
      </c>
      <c r="O1006">
        <v>7136.3950000000004</v>
      </c>
      <c r="P1006" s="117">
        <v>235501.035</v>
      </c>
      <c r="Q1006" s="117" t="s">
        <v>1021</v>
      </c>
      <c r="R1006" s="150">
        <v>0</v>
      </c>
      <c r="S1006" s="117" t="b">
        <f>OR(COUNTIF(Tabla2[[#This Row],[PROVEEDOR]],"*"&amp;'Palabra no opera'!$A$2&amp;"*"))</f>
        <v>1</v>
      </c>
      <c r="T1006" s="150">
        <f>+$W$5-Tabla2[[#This Row],[FECHA DE FACTURACIÓN]]</f>
        <v>333</v>
      </c>
      <c r="U1006" t="str">
        <f>+IF(Tabla2[[#This Row],[dias de credito]]&gt;=Tabla2[[#This Row],[PLAZO Días]],"venc", "No venc")</f>
        <v>venc</v>
      </c>
      <c r="V1006" t="str">
        <f>+IF(Tabla2[[#This Row],[FECHA DE PAGO]]&gt;0,"pagada","por pagar")</f>
        <v>pagada</v>
      </c>
      <c r="W1006" s="152" t="str">
        <f>+IF(AND(Tabla2[[#This Row],[venc]]="venc",Tabla2[[#This Row],[Columna1]]="por pagar"),"vencida","no")</f>
        <v>no</v>
      </c>
    </row>
    <row r="1007" spans="1:23" x14ac:dyDescent="0.3">
      <c r="A1007">
        <v>20</v>
      </c>
      <c r="B1007">
        <v>0</v>
      </c>
      <c r="D1007" t="s">
        <v>275</v>
      </c>
      <c r="E1007" s="156">
        <v>44527</v>
      </c>
      <c r="F1007" t="s">
        <v>942</v>
      </c>
      <c r="G1007" s="156">
        <v>44501</v>
      </c>
      <c r="H1007">
        <v>40950</v>
      </c>
      <c r="I1007">
        <v>4430000</v>
      </c>
      <c r="K1007">
        <v>841700</v>
      </c>
      <c r="M1007">
        <v>0</v>
      </c>
      <c r="N1007">
        <v>3.5000000000000003E-2</v>
      </c>
      <c r="O1007">
        <v>155050.00000000003</v>
      </c>
      <c r="P1007" s="117">
        <v>5116650</v>
      </c>
      <c r="Q1007" s="117" t="s">
        <v>1021</v>
      </c>
      <c r="R1007" s="150">
        <v>0</v>
      </c>
      <c r="S1007" s="117" t="b">
        <f>OR(COUNTIF(Tabla2[[#This Row],[PROVEEDOR]],"*"&amp;'Palabra no opera'!$A$2&amp;"*"))</f>
        <v>1</v>
      </c>
      <c r="T1007" s="150">
        <f>+$W$5-Tabla2[[#This Row],[FECHA DE FACTURACIÓN]]</f>
        <v>333</v>
      </c>
      <c r="U1007" t="str">
        <f>+IF(Tabla2[[#This Row],[dias de credito]]&gt;=Tabla2[[#This Row],[PLAZO Días]],"venc", "No venc")</f>
        <v>venc</v>
      </c>
      <c r="V1007" t="str">
        <f>+IF(Tabla2[[#This Row],[FECHA DE PAGO]]&gt;0,"pagada","por pagar")</f>
        <v>pagada</v>
      </c>
      <c r="W1007" s="152" t="str">
        <f>+IF(AND(Tabla2[[#This Row],[venc]]="venc",Tabla2[[#This Row],[Columna1]]="por pagar"),"vencida","no")</f>
        <v>no</v>
      </c>
    </row>
    <row r="1008" spans="1:23" x14ac:dyDescent="0.3">
      <c r="A1008">
        <v>30</v>
      </c>
      <c r="B1008">
        <v>0</v>
      </c>
      <c r="D1008">
        <v>0</v>
      </c>
      <c r="E1008" s="156">
        <v>44525</v>
      </c>
      <c r="F1008" t="s">
        <v>648</v>
      </c>
      <c r="G1008" s="156">
        <v>44525</v>
      </c>
      <c r="H1008" t="s">
        <v>1348</v>
      </c>
      <c r="I1008">
        <v>350000</v>
      </c>
      <c r="K1008">
        <v>0</v>
      </c>
      <c r="M1008">
        <v>0</v>
      </c>
      <c r="N1008">
        <v>0</v>
      </c>
      <c r="O1008">
        <v>0</v>
      </c>
      <c r="P1008" s="117">
        <v>350000</v>
      </c>
      <c r="Q1008" s="117" t="s">
        <v>1021</v>
      </c>
      <c r="R1008" s="150">
        <v>0</v>
      </c>
      <c r="S1008" s="117" t="b">
        <f>OR(COUNTIF(Tabla2[[#This Row],[PROVEEDOR]],"*"&amp;'Palabra no opera'!$A$2&amp;"*"))</f>
        <v>0</v>
      </c>
      <c r="T1008" s="150">
        <f>+$W$5-Tabla2[[#This Row],[FECHA DE FACTURACIÓN]]</f>
        <v>309</v>
      </c>
      <c r="U1008" t="str">
        <f>+IF(Tabla2[[#This Row],[dias de credito]]&gt;=Tabla2[[#This Row],[PLAZO Días]],"venc", "No venc")</f>
        <v>venc</v>
      </c>
      <c r="V1008" t="str">
        <f>+IF(Tabla2[[#This Row],[FECHA DE PAGO]]&gt;0,"pagada","por pagar")</f>
        <v>pagada</v>
      </c>
      <c r="W1008" s="152" t="str">
        <f>+IF(AND(Tabla2[[#This Row],[venc]]="venc",Tabla2[[#This Row],[Columna1]]="por pagar"),"vencida","no")</f>
        <v>no</v>
      </c>
    </row>
    <row r="1009" spans="1:23" x14ac:dyDescent="0.3">
      <c r="A1009">
        <v>30</v>
      </c>
      <c r="B1009">
        <v>0</v>
      </c>
      <c r="D1009" t="s">
        <v>139</v>
      </c>
      <c r="E1009" s="156">
        <v>44525</v>
      </c>
      <c r="F1009" t="s">
        <v>673</v>
      </c>
      <c r="G1009" s="156">
        <v>44525</v>
      </c>
      <c r="I1009">
        <v>1000000</v>
      </c>
      <c r="K1009">
        <v>0</v>
      </c>
      <c r="M1009">
        <v>0</v>
      </c>
      <c r="N1009">
        <v>0</v>
      </c>
      <c r="O1009">
        <v>0</v>
      </c>
      <c r="P1009" s="117">
        <v>1000000</v>
      </c>
      <c r="Q1009" s="117" t="s">
        <v>1021</v>
      </c>
      <c r="R1009" s="150">
        <v>0</v>
      </c>
      <c r="S1009" s="117" t="b">
        <f>OR(COUNTIF(Tabla2[[#This Row],[PROVEEDOR]],"*"&amp;'Palabra no opera'!$A$2&amp;"*"))</f>
        <v>0</v>
      </c>
      <c r="T1009" s="150">
        <f>+$W$5-Tabla2[[#This Row],[FECHA DE FACTURACIÓN]]</f>
        <v>309</v>
      </c>
      <c r="U1009" t="str">
        <f>+IF(Tabla2[[#This Row],[dias de credito]]&gt;=Tabla2[[#This Row],[PLAZO Días]],"venc", "No venc")</f>
        <v>venc</v>
      </c>
      <c r="V1009" t="str">
        <f>+IF(Tabla2[[#This Row],[FECHA DE PAGO]]&gt;0,"pagada","por pagar")</f>
        <v>pagada</v>
      </c>
      <c r="W1009" s="152" t="str">
        <f>+IF(AND(Tabla2[[#This Row],[venc]]="venc",Tabla2[[#This Row],[Columna1]]="por pagar"),"vencida","no")</f>
        <v>no</v>
      </c>
    </row>
    <row r="1010" spans="1:23" x14ac:dyDescent="0.3">
      <c r="A1010">
        <v>30</v>
      </c>
      <c r="B1010">
        <v>2192943.5750000002</v>
      </c>
      <c r="D1010" t="s">
        <v>273</v>
      </c>
      <c r="E1010" s="156">
        <v>44524</v>
      </c>
      <c r="F1010" t="s">
        <v>1638</v>
      </c>
      <c r="G1010" s="156">
        <v>44489</v>
      </c>
      <c r="H1010" t="s">
        <v>500</v>
      </c>
      <c r="I1010">
        <v>475143.2</v>
      </c>
      <c r="K1010">
        <v>90277.207999999999</v>
      </c>
      <c r="M1010">
        <v>0</v>
      </c>
      <c r="N1010">
        <v>0</v>
      </c>
      <c r="O1010">
        <v>0</v>
      </c>
      <c r="P1010" s="117">
        <v>565420.40800000005</v>
      </c>
      <c r="Q1010" s="117" t="s">
        <v>1021</v>
      </c>
      <c r="R1010" s="150">
        <v>0</v>
      </c>
      <c r="S1010" s="117" t="b">
        <f>OR(COUNTIF(Tabla2[[#This Row],[PROVEEDOR]],"*"&amp;'Palabra no opera'!$A$2&amp;"*"))</f>
        <v>0</v>
      </c>
      <c r="T1010" s="150">
        <f>+$W$5-Tabla2[[#This Row],[FECHA DE FACTURACIÓN]]</f>
        <v>345</v>
      </c>
      <c r="U1010" t="str">
        <f>+IF(Tabla2[[#This Row],[dias de credito]]&gt;=Tabla2[[#This Row],[PLAZO Días]],"venc", "No venc")</f>
        <v>venc</v>
      </c>
      <c r="V1010" t="str">
        <f>+IF(Tabla2[[#This Row],[FECHA DE PAGO]]&gt;0,"pagada","por pagar")</f>
        <v>pagada</v>
      </c>
      <c r="W1010" s="152" t="str">
        <f>+IF(AND(Tabla2[[#This Row],[venc]]="venc",Tabla2[[#This Row],[Columna1]]="por pagar"),"vencida","no")</f>
        <v>no</v>
      </c>
    </row>
    <row r="1011" spans="1:23" x14ac:dyDescent="0.3">
      <c r="A1011">
        <v>30</v>
      </c>
      <c r="B1011">
        <v>2192943.5750000002</v>
      </c>
      <c r="D1011" t="s">
        <v>273</v>
      </c>
      <c r="E1011" s="156">
        <v>44524</v>
      </c>
      <c r="F1011" t="s">
        <v>1638</v>
      </c>
      <c r="G1011" s="156">
        <v>44489</v>
      </c>
      <c r="H1011" t="s">
        <v>501</v>
      </c>
      <c r="I1011">
        <v>137143.20000000001</v>
      </c>
      <c r="K1011">
        <v>26057.208000000002</v>
      </c>
      <c r="M1011">
        <v>0</v>
      </c>
      <c r="N1011">
        <v>0</v>
      </c>
      <c r="O1011">
        <v>0</v>
      </c>
      <c r="P1011" s="117">
        <v>163200.40800000002</v>
      </c>
      <c r="Q1011" s="117" t="s">
        <v>1021</v>
      </c>
      <c r="R1011" s="150">
        <v>0</v>
      </c>
      <c r="S1011" s="117" t="b">
        <f>OR(COUNTIF(Tabla2[[#This Row],[PROVEEDOR]],"*"&amp;'Palabra no opera'!$A$2&amp;"*"))</f>
        <v>0</v>
      </c>
      <c r="T1011" s="150">
        <f>+$W$5-Tabla2[[#This Row],[FECHA DE FACTURACIÓN]]</f>
        <v>345</v>
      </c>
      <c r="U1011" t="str">
        <f>+IF(Tabla2[[#This Row],[dias de credito]]&gt;=Tabla2[[#This Row],[PLAZO Días]],"venc", "No venc")</f>
        <v>venc</v>
      </c>
      <c r="V1011" t="str">
        <f>+IF(Tabla2[[#This Row],[FECHA DE PAGO]]&gt;0,"pagada","por pagar")</f>
        <v>pagada</v>
      </c>
      <c r="W1011" s="152" t="str">
        <f>+IF(AND(Tabla2[[#This Row],[venc]]="venc",Tabla2[[#This Row],[Columna1]]="por pagar"),"vencida","no")</f>
        <v>no</v>
      </c>
    </row>
    <row r="1012" spans="1:23" x14ac:dyDescent="0.3">
      <c r="A1012">
        <v>30</v>
      </c>
      <c r="B1012">
        <v>3921000</v>
      </c>
      <c r="D1012" t="s">
        <v>139</v>
      </c>
      <c r="E1012" s="156">
        <v>44524</v>
      </c>
      <c r="F1012" t="s">
        <v>671</v>
      </c>
      <c r="G1012" s="156">
        <v>44454</v>
      </c>
      <c r="H1012" t="s">
        <v>1498</v>
      </c>
      <c r="I1012">
        <v>4740000</v>
      </c>
      <c r="K1012">
        <v>0</v>
      </c>
      <c r="M1012">
        <v>0</v>
      </c>
      <c r="N1012">
        <v>0</v>
      </c>
      <c r="O1012">
        <v>0</v>
      </c>
      <c r="P1012" s="117">
        <v>4740000</v>
      </c>
      <c r="Q1012" s="117" t="s">
        <v>1021</v>
      </c>
      <c r="R1012" s="150">
        <v>0</v>
      </c>
      <c r="S1012" s="117" t="b">
        <f>OR(COUNTIF(Tabla2[[#This Row],[PROVEEDOR]],"*"&amp;'Palabra no opera'!$A$2&amp;"*"))</f>
        <v>0</v>
      </c>
      <c r="T1012" s="150">
        <f>+$W$5-Tabla2[[#This Row],[FECHA DE FACTURACIÓN]]</f>
        <v>380</v>
      </c>
      <c r="U1012" t="str">
        <f>+IF(Tabla2[[#This Row],[dias de credito]]&gt;=Tabla2[[#This Row],[PLAZO Días]],"venc", "No venc")</f>
        <v>venc</v>
      </c>
      <c r="V1012" t="str">
        <f>+IF(Tabla2[[#This Row],[FECHA DE PAGO]]&gt;0,"pagada","por pagar")</f>
        <v>pagada</v>
      </c>
      <c r="W1012" s="152" t="str">
        <f>+IF(AND(Tabla2[[#This Row],[venc]]="venc",Tabla2[[#This Row],[Columna1]]="por pagar"),"vencida","no")</f>
        <v>no</v>
      </c>
    </row>
    <row r="1013" spans="1:23" x14ac:dyDescent="0.3">
      <c r="A1013">
        <v>30</v>
      </c>
      <c r="B1013">
        <v>0</v>
      </c>
      <c r="D1013" t="s">
        <v>139</v>
      </c>
      <c r="E1013" s="156">
        <v>44523</v>
      </c>
      <c r="F1013" t="s">
        <v>644</v>
      </c>
      <c r="G1013" s="156">
        <v>44523</v>
      </c>
      <c r="H1013" t="s">
        <v>1530</v>
      </c>
      <c r="I1013">
        <v>35000</v>
      </c>
      <c r="K1013">
        <v>0</v>
      </c>
      <c r="M1013">
        <v>0</v>
      </c>
      <c r="N1013">
        <v>0</v>
      </c>
      <c r="O1013">
        <v>0</v>
      </c>
      <c r="P1013" s="117">
        <v>35000</v>
      </c>
      <c r="Q1013" s="117" t="s">
        <v>1021</v>
      </c>
      <c r="R1013" s="150">
        <v>0</v>
      </c>
      <c r="S1013" s="117" t="b">
        <f>OR(COUNTIF(Tabla2[[#This Row],[PROVEEDOR]],"*"&amp;'Palabra no opera'!$A$2&amp;"*"))</f>
        <v>0</v>
      </c>
      <c r="T1013" s="150">
        <f>+$W$5-Tabla2[[#This Row],[FECHA DE FACTURACIÓN]]</f>
        <v>311</v>
      </c>
      <c r="U1013" t="str">
        <f>+IF(Tabla2[[#This Row],[dias de credito]]&gt;=Tabla2[[#This Row],[PLAZO Días]],"venc", "No venc")</f>
        <v>venc</v>
      </c>
      <c r="V1013" t="str">
        <f>+IF(Tabla2[[#This Row],[FECHA DE PAGO]]&gt;0,"pagada","por pagar")</f>
        <v>pagada</v>
      </c>
      <c r="W1013" s="152" t="str">
        <f>+IF(AND(Tabla2[[#This Row],[venc]]="venc",Tabla2[[#This Row],[Columna1]]="por pagar"),"vencida","no")</f>
        <v>no</v>
      </c>
    </row>
    <row r="1014" spans="1:23" x14ac:dyDescent="0.3">
      <c r="A1014">
        <v>30</v>
      </c>
      <c r="B1014">
        <v>6259125.5999999996</v>
      </c>
      <c r="D1014" t="s">
        <v>264</v>
      </c>
      <c r="E1014" s="156">
        <v>44523</v>
      </c>
      <c r="F1014" t="s">
        <v>1448</v>
      </c>
      <c r="G1014" s="156">
        <v>44488</v>
      </c>
      <c r="H1014">
        <v>23594</v>
      </c>
      <c r="I1014">
        <v>936200</v>
      </c>
      <c r="K1014">
        <v>177878</v>
      </c>
      <c r="M1014">
        <v>0</v>
      </c>
      <c r="N1014">
        <v>2.5000000000000001E-2</v>
      </c>
      <c r="O1014">
        <v>23405</v>
      </c>
      <c r="P1014" s="117">
        <v>1090673</v>
      </c>
      <c r="Q1014" s="117" t="s">
        <v>1021</v>
      </c>
      <c r="R1014" s="150">
        <v>0</v>
      </c>
      <c r="S1014" s="117" t="b">
        <f>OR(COUNTIF(Tabla2[[#This Row],[PROVEEDOR]],"*"&amp;'Palabra no opera'!$A$2&amp;"*"))</f>
        <v>0</v>
      </c>
      <c r="T1014" s="150">
        <f>+$W$5-Tabla2[[#This Row],[FECHA DE FACTURACIÓN]]</f>
        <v>346</v>
      </c>
      <c r="U1014" t="str">
        <f>+IF(Tabla2[[#This Row],[dias de credito]]&gt;=Tabla2[[#This Row],[PLAZO Días]],"venc", "No venc")</f>
        <v>venc</v>
      </c>
      <c r="V1014" t="str">
        <f>+IF(Tabla2[[#This Row],[FECHA DE PAGO]]&gt;0,"pagada","por pagar")</f>
        <v>pagada</v>
      </c>
      <c r="W1014" s="152" t="str">
        <f>+IF(AND(Tabla2[[#This Row],[venc]]="venc",Tabla2[[#This Row],[Columna1]]="por pagar"),"vencida","no")</f>
        <v>no</v>
      </c>
    </row>
    <row r="1015" spans="1:23" x14ac:dyDescent="0.3">
      <c r="A1015">
        <v>30</v>
      </c>
      <c r="B1015">
        <v>19675613.1195</v>
      </c>
      <c r="D1015" t="s">
        <v>256</v>
      </c>
      <c r="E1015" s="156">
        <v>44523</v>
      </c>
      <c r="F1015" t="s">
        <v>18</v>
      </c>
      <c r="G1015" s="156">
        <v>44484</v>
      </c>
      <c r="H1015">
        <v>1044547</v>
      </c>
      <c r="I1015">
        <v>4632580.5599999996</v>
      </c>
      <c r="K1015">
        <v>880190.30639999988</v>
      </c>
      <c r="M1015">
        <v>0</v>
      </c>
      <c r="N1015">
        <v>2.5000000000000001E-2</v>
      </c>
      <c r="O1015">
        <v>115814.514</v>
      </c>
      <c r="P1015" s="117">
        <v>5396956.3523999993</v>
      </c>
      <c r="Q1015" s="117" t="s">
        <v>1021</v>
      </c>
      <c r="R1015" s="150">
        <v>0</v>
      </c>
      <c r="S1015" s="117" t="b">
        <f>OR(COUNTIF(Tabla2[[#This Row],[PROVEEDOR]],"*"&amp;'Palabra no opera'!$A$2&amp;"*"))</f>
        <v>0</v>
      </c>
      <c r="T1015" s="150">
        <f>+$W$5-Tabla2[[#This Row],[FECHA DE FACTURACIÓN]]</f>
        <v>350</v>
      </c>
      <c r="U1015" t="str">
        <f>+IF(Tabla2[[#This Row],[dias de credito]]&gt;=Tabla2[[#This Row],[PLAZO Días]],"venc", "No venc")</f>
        <v>venc</v>
      </c>
      <c r="V1015" t="str">
        <f>+IF(Tabla2[[#This Row],[FECHA DE PAGO]]&gt;0,"pagada","por pagar")</f>
        <v>pagada</v>
      </c>
      <c r="W1015" s="152" t="str">
        <f>+IF(AND(Tabla2[[#This Row],[venc]]="venc",Tabla2[[#This Row],[Columna1]]="por pagar"),"vencida","no")</f>
        <v>no</v>
      </c>
    </row>
    <row r="1016" spans="1:23" x14ac:dyDescent="0.3">
      <c r="A1016">
        <v>30</v>
      </c>
      <c r="B1016">
        <v>146262.9</v>
      </c>
      <c r="D1016" t="s">
        <v>262</v>
      </c>
      <c r="E1016" s="156">
        <v>44523</v>
      </c>
      <c r="F1016" t="s">
        <v>17</v>
      </c>
      <c r="G1016" s="156">
        <v>44483</v>
      </c>
      <c r="H1016" t="s">
        <v>1329</v>
      </c>
      <c r="I1016">
        <v>1753211.05</v>
      </c>
      <c r="K1016">
        <v>333110.09950000001</v>
      </c>
      <c r="M1016">
        <v>0</v>
      </c>
      <c r="N1016">
        <v>0</v>
      </c>
      <c r="O1016">
        <v>0</v>
      </c>
      <c r="P1016" s="117">
        <v>2086321.1495000001</v>
      </c>
      <c r="Q1016" s="117" t="s">
        <v>1021</v>
      </c>
      <c r="R1016" s="150">
        <v>0</v>
      </c>
      <c r="S1016" s="117" t="b">
        <f>OR(COUNTIF(Tabla2[[#This Row],[PROVEEDOR]],"*"&amp;'Palabra no opera'!$A$2&amp;"*"))</f>
        <v>0</v>
      </c>
      <c r="T1016" s="150">
        <f>+$W$5-Tabla2[[#This Row],[FECHA DE FACTURACIÓN]]</f>
        <v>351</v>
      </c>
      <c r="U1016" t="str">
        <f>+IF(Tabla2[[#This Row],[dias de credito]]&gt;=Tabla2[[#This Row],[PLAZO Días]],"venc", "No venc")</f>
        <v>venc</v>
      </c>
      <c r="V1016" t="str">
        <f>+IF(Tabla2[[#This Row],[FECHA DE PAGO]]&gt;0,"pagada","por pagar")</f>
        <v>pagada</v>
      </c>
      <c r="W1016" s="152" t="str">
        <f>+IF(AND(Tabla2[[#This Row],[venc]]="venc",Tabla2[[#This Row],[Columna1]]="por pagar"),"vencida","no")</f>
        <v>no</v>
      </c>
    </row>
    <row r="1017" spans="1:23" x14ac:dyDescent="0.3">
      <c r="A1017">
        <v>30</v>
      </c>
      <c r="B1017">
        <v>0</v>
      </c>
      <c r="D1017" t="s">
        <v>270</v>
      </c>
      <c r="E1017" s="156">
        <v>44523</v>
      </c>
      <c r="F1017" t="s">
        <v>39</v>
      </c>
      <c r="G1017" s="156">
        <v>44481</v>
      </c>
      <c r="H1017">
        <v>876</v>
      </c>
      <c r="I1017">
        <v>305486</v>
      </c>
      <c r="K1017">
        <v>58042.340000000004</v>
      </c>
      <c r="M1017">
        <v>0</v>
      </c>
      <c r="N1017">
        <v>0</v>
      </c>
      <c r="O1017">
        <v>0</v>
      </c>
      <c r="P1017" s="117">
        <v>363528.34</v>
      </c>
      <c r="Q1017" s="117" t="s">
        <v>1021</v>
      </c>
      <c r="R1017" s="150">
        <v>0</v>
      </c>
      <c r="S1017" s="117" t="b">
        <f>OR(COUNTIF(Tabla2[[#This Row],[PROVEEDOR]],"*"&amp;'Palabra no opera'!$A$2&amp;"*"))</f>
        <v>0</v>
      </c>
      <c r="T1017" s="150">
        <f>+$W$5-Tabla2[[#This Row],[FECHA DE FACTURACIÓN]]</f>
        <v>353</v>
      </c>
      <c r="U1017" t="str">
        <f>+IF(Tabla2[[#This Row],[dias de credito]]&gt;=Tabla2[[#This Row],[PLAZO Días]],"venc", "No venc")</f>
        <v>venc</v>
      </c>
      <c r="V1017" t="str">
        <f>+IF(Tabla2[[#This Row],[FECHA DE PAGO]]&gt;0,"pagada","por pagar")</f>
        <v>pagada</v>
      </c>
      <c r="W1017" s="152" t="str">
        <f>+IF(AND(Tabla2[[#This Row],[venc]]="venc",Tabla2[[#This Row],[Columna1]]="por pagar"),"vencida","no")</f>
        <v>no</v>
      </c>
    </row>
    <row r="1018" spans="1:23" x14ac:dyDescent="0.3">
      <c r="A1018">
        <v>30</v>
      </c>
      <c r="B1018">
        <v>0</v>
      </c>
      <c r="D1018" t="s">
        <v>261</v>
      </c>
      <c r="E1018" s="156">
        <v>44523</v>
      </c>
      <c r="F1018" t="s">
        <v>746</v>
      </c>
      <c r="G1018" s="156">
        <v>44471</v>
      </c>
      <c r="H1018" t="s">
        <v>484</v>
      </c>
      <c r="I1018">
        <v>56302.52</v>
      </c>
      <c r="K1018">
        <v>10697.478799999999</v>
      </c>
      <c r="M1018">
        <v>0</v>
      </c>
      <c r="N1018">
        <v>0</v>
      </c>
      <c r="O1018">
        <v>0</v>
      </c>
      <c r="P1018" s="117">
        <v>66999.998800000001</v>
      </c>
      <c r="Q1018" s="117" t="s">
        <v>1021</v>
      </c>
      <c r="R1018" s="150">
        <v>0</v>
      </c>
      <c r="S1018" s="117" t="b">
        <f>OR(COUNTIF(Tabla2[[#This Row],[PROVEEDOR]],"*"&amp;'Palabra no opera'!$A$2&amp;"*"))</f>
        <v>0</v>
      </c>
      <c r="T1018" s="150">
        <f>+$W$5-Tabla2[[#This Row],[FECHA DE FACTURACIÓN]]</f>
        <v>363</v>
      </c>
      <c r="U1018" t="str">
        <f>+IF(Tabla2[[#This Row],[dias de credito]]&gt;=Tabla2[[#This Row],[PLAZO Días]],"venc", "No venc")</f>
        <v>venc</v>
      </c>
      <c r="V1018" t="str">
        <f>+IF(Tabla2[[#This Row],[FECHA DE PAGO]]&gt;0,"pagada","por pagar")</f>
        <v>pagada</v>
      </c>
      <c r="W1018" s="152" t="str">
        <f>+IF(AND(Tabla2[[#This Row],[venc]]="venc",Tabla2[[#This Row],[Columna1]]="por pagar"),"vencida","no")</f>
        <v>no</v>
      </c>
    </row>
    <row r="1019" spans="1:23" x14ac:dyDescent="0.3">
      <c r="A1019">
        <v>45</v>
      </c>
      <c r="B1019">
        <v>30078253.170000002</v>
      </c>
      <c r="D1019" t="s">
        <v>884</v>
      </c>
      <c r="E1019" s="156">
        <v>44523</v>
      </c>
      <c r="F1019" t="s">
        <v>19</v>
      </c>
      <c r="G1019" s="156">
        <v>44469</v>
      </c>
      <c r="H1019" t="s">
        <v>483</v>
      </c>
      <c r="I1019">
        <v>10316800</v>
      </c>
      <c r="K1019">
        <v>1960192</v>
      </c>
      <c r="M1019">
        <v>0</v>
      </c>
      <c r="N1019">
        <v>0</v>
      </c>
      <c r="O1019">
        <v>0</v>
      </c>
      <c r="P1019" s="117">
        <v>12276992</v>
      </c>
      <c r="Q1019" s="117" t="s">
        <v>1021</v>
      </c>
      <c r="R1019" s="150">
        <v>0</v>
      </c>
      <c r="S1019" s="117" t="b">
        <f>OR(COUNTIF(Tabla2[[#This Row],[PROVEEDOR]],"*"&amp;'Palabra no opera'!$A$2&amp;"*"))</f>
        <v>0</v>
      </c>
      <c r="T1019" s="150">
        <f>+$W$5-Tabla2[[#This Row],[FECHA DE FACTURACIÓN]]</f>
        <v>365</v>
      </c>
      <c r="U1019" t="str">
        <f>+IF(Tabla2[[#This Row],[dias de credito]]&gt;=Tabla2[[#This Row],[PLAZO Días]],"venc", "No venc")</f>
        <v>venc</v>
      </c>
      <c r="V1019" t="str">
        <f>+IF(Tabla2[[#This Row],[FECHA DE PAGO]]&gt;0,"pagada","por pagar")</f>
        <v>pagada</v>
      </c>
      <c r="W1019" s="152" t="str">
        <f>+IF(AND(Tabla2[[#This Row],[venc]]="venc",Tabla2[[#This Row],[Columna1]]="por pagar"),"vencida","no")</f>
        <v>no</v>
      </c>
    </row>
    <row r="1020" spans="1:23" x14ac:dyDescent="0.3">
      <c r="A1020">
        <v>45</v>
      </c>
      <c r="B1020">
        <v>30078253.170000002</v>
      </c>
      <c r="D1020" t="s">
        <v>884</v>
      </c>
      <c r="E1020" s="156">
        <v>44523</v>
      </c>
      <c r="F1020" t="s">
        <v>19</v>
      </c>
      <c r="G1020" s="156">
        <v>44460</v>
      </c>
      <c r="H1020" t="s">
        <v>477</v>
      </c>
      <c r="I1020">
        <v>3429810</v>
      </c>
      <c r="K1020">
        <v>651663.9</v>
      </c>
      <c r="M1020">
        <v>0</v>
      </c>
      <c r="N1020">
        <v>0</v>
      </c>
      <c r="O1020">
        <v>0</v>
      </c>
      <c r="P1020" s="117">
        <v>4081473.9</v>
      </c>
      <c r="Q1020" s="117" t="s">
        <v>1021</v>
      </c>
      <c r="R1020" s="150">
        <v>0</v>
      </c>
      <c r="S1020" s="117" t="b">
        <f>OR(COUNTIF(Tabla2[[#This Row],[PROVEEDOR]],"*"&amp;'Palabra no opera'!$A$2&amp;"*"))</f>
        <v>0</v>
      </c>
      <c r="T1020" s="150">
        <f>+$W$5-Tabla2[[#This Row],[FECHA DE FACTURACIÓN]]</f>
        <v>374</v>
      </c>
      <c r="U1020" t="str">
        <f>+IF(Tabla2[[#This Row],[dias de credito]]&gt;=Tabla2[[#This Row],[PLAZO Días]],"venc", "No venc")</f>
        <v>venc</v>
      </c>
      <c r="V1020" t="str">
        <f>+IF(Tabla2[[#This Row],[FECHA DE PAGO]]&gt;0,"pagada","por pagar")</f>
        <v>pagada</v>
      </c>
      <c r="W1020" s="152" t="str">
        <f>+IF(AND(Tabla2[[#This Row],[venc]]="venc",Tabla2[[#This Row],[Columna1]]="por pagar"),"vencida","no")</f>
        <v>no</v>
      </c>
    </row>
    <row r="1021" spans="1:23" x14ac:dyDescent="0.3">
      <c r="A1021">
        <v>30</v>
      </c>
      <c r="B1021">
        <v>0</v>
      </c>
      <c r="D1021" t="s">
        <v>261</v>
      </c>
      <c r="E1021" s="156">
        <v>44523</v>
      </c>
      <c r="F1021" t="s">
        <v>746</v>
      </c>
      <c r="G1021" s="156">
        <v>44460</v>
      </c>
      <c r="H1021">
        <v>1759</v>
      </c>
      <c r="I1021">
        <v>2299075.62</v>
      </c>
      <c r="K1021">
        <v>436824.36780000001</v>
      </c>
      <c r="M1021">
        <v>0</v>
      </c>
      <c r="N1021">
        <v>2.5000000000000001E-2</v>
      </c>
      <c r="O1021">
        <v>57476.890500000009</v>
      </c>
      <c r="P1021" s="117">
        <v>2678423.0973</v>
      </c>
      <c r="Q1021" s="117" t="s">
        <v>1021</v>
      </c>
      <c r="R1021" s="150">
        <v>0</v>
      </c>
      <c r="S1021" s="117" t="b">
        <f>OR(COUNTIF(Tabla2[[#This Row],[PROVEEDOR]],"*"&amp;'Palabra no opera'!$A$2&amp;"*"))</f>
        <v>0</v>
      </c>
      <c r="T1021" s="150">
        <f>+$W$5-Tabla2[[#This Row],[FECHA DE FACTURACIÓN]]</f>
        <v>374</v>
      </c>
      <c r="U1021" t="str">
        <f>+IF(Tabla2[[#This Row],[dias de credito]]&gt;=Tabla2[[#This Row],[PLAZO Días]],"venc", "No venc")</f>
        <v>venc</v>
      </c>
      <c r="V1021" t="str">
        <f>+IF(Tabla2[[#This Row],[FECHA DE PAGO]]&gt;0,"pagada","por pagar")</f>
        <v>pagada</v>
      </c>
      <c r="W1021" s="152" t="str">
        <f>+IF(AND(Tabla2[[#This Row],[venc]]="venc",Tabla2[[#This Row],[Columna1]]="por pagar"),"vencida","no")</f>
        <v>no</v>
      </c>
    </row>
    <row r="1022" spans="1:23" x14ac:dyDescent="0.3">
      <c r="A1022">
        <v>30</v>
      </c>
      <c r="B1022">
        <v>0</v>
      </c>
      <c r="D1022">
        <v>0</v>
      </c>
      <c r="E1022" s="156">
        <v>44522</v>
      </c>
      <c r="F1022" t="s">
        <v>627</v>
      </c>
      <c r="G1022" s="156">
        <v>44457</v>
      </c>
      <c r="H1022" t="s">
        <v>1308</v>
      </c>
      <c r="I1022">
        <v>500000</v>
      </c>
      <c r="K1022">
        <v>0</v>
      </c>
      <c r="M1022">
        <v>0</v>
      </c>
      <c r="N1022">
        <v>0</v>
      </c>
      <c r="O1022">
        <v>0</v>
      </c>
      <c r="P1022" s="117">
        <v>500000</v>
      </c>
      <c r="Q1022" s="117" t="s">
        <v>1021</v>
      </c>
      <c r="R1022" s="150">
        <v>0</v>
      </c>
      <c r="S1022" s="117" t="b">
        <f>OR(COUNTIF(Tabla2[[#This Row],[PROVEEDOR]],"*"&amp;'Palabra no opera'!$A$2&amp;"*"))</f>
        <v>0</v>
      </c>
      <c r="T1022" s="150">
        <f>+$W$5-Tabla2[[#This Row],[FECHA DE FACTURACIÓN]]</f>
        <v>377</v>
      </c>
      <c r="U1022" t="str">
        <f>+IF(Tabla2[[#This Row],[dias de credito]]&gt;=Tabla2[[#This Row],[PLAZO Días]],"venc", "No venc")</f>
        <v>venc</v>
      </c>
      <c r="V1022" t="str">
        <f>+IF(Tabla2[[#This Row],[FECHA DE PAGO]]&gt;0,"pagada","por pagar")</f>
        <v>pagada</v>
      </c>
      <c r="W1022" s="152" t="str">
        <f>+IF(AND(Tabla2[[#This Row],[venc]]="venc",Tabla2[[#This Row],[Columna1]]="por pagar"),"vencida","no")</f>
        <v>no</v>
      </c>
    </row>
    <row r="1023" spans="1:23" x14ac:dyDescent="0.3">
      <c r="A1023">
        <v>30</v>
      </c>
      <c r="B1023">
        <v>0</v>
      </c>
      <c r="D1023" t="s">
        <v>139</v>
      </c>
      <c r="E1023" s="156">
        <v>44520</v>
      </c>
      <c r="F1023" t="s">
        <v>673</v>
      </c>
      <c r="G1023" s="156">
        <v>44520</v>
      </c>
      <c r="I1023">
        <v>1000000</v>
      </c>
      <c r="K1023">
        <v>0</v>
      </c>
      <c r="M1023">
        <v>0</v>
      </c>
      <c r="N1023">
        <v>0</v>
      </c>
      <c r="O1023">
        <v>0</v>
      </c>
      <c r="P1023" s="117">
        <v>1000000</v>
      </c>
      <c r="Q1023" s="117" t="s">
        <v>1021</v>
      </c>
      <c r="R1023" s="150">
        <v>0</v>
      </c>
      <c r="S1023" s="117" t="b">
        <f>OR(COUNTIF(Tabla2[[#This Row],[PROVEEDOR]],"*"&amp;'Palabra no opera'!$A$2&amp;"*"))</f>
        <v>0</v>
      </c>
      <c r="T1023" s="150">
        <f>+$W$5-Tabla2[[#This Row],[FECHA DE FACTURACIÓN]]</f>
        <v>314</v>
      </c>
      <c r="U1023" t="str">
        <f>+IF(Tabla2[[#This Row],[dias de credito]]&gt;=Tabla2[[#This Row],[PLAZO Días]],"venc", "No venc")</f>
        <v>venc</v>
      </c>
      <c r="V1023" t="str">
        <f>+IF(Tabla2[[#This Row],[FECHA DE PAGO]]&gt;0,"pagada","por pagar")</f>
        <v>pagada</v>
      </c>
      <c r="W1023" s="152" t="str">
        <f>+IF(AND(Tabla2[[#This Row],[venc]]="venc",Tabla2[[#This Row],[Columna1]]="por pagar"),"vencida","no")</f>
        <v>no</v>
      </c>
    </row>
    <row r="1024" spans="1:23" x14ac:dyDescent="0.3">
      <c r="A1024">
        <v>30</v>
      </c>
      <c r="B1024">
        <v>0</v>
      </c>
      <c r="D1024" t="s">
        <v>139</v>
      </c>
      <c r="E1024" s="156">
        <v>44520</v>
      </c>
      <c r="F1024" t="s">
        <v>644</v>
      </c>
      <c r="G1024" s="156">
        <v>44520</v>
      </c>
      <c r="H1024" t="s">
        <v>537</v>
      </c>
      <c r="I1024">
        <v>350000</v>
      </c>
      <c r="K1024">
        <v>0</v>
      </c>
      <c r="M1024">
        <v>0</v>
      </c>
      <c r="N1024">
        <v>0</v>
      </c>
      <c r="O1024">
        <v>0</v>
      </c>
      <c r="P1024" s="117">
        <v>350000</v>
      </c>
      <c r="Q1024" s="117" t="s">
        <v>1021</v>
      </c>
      <c r="R1024" s="150">
        <v>0</v>
      </c>
      <c r="S1024" s="117" t="b">
        <f>OR(COUNTIF(Tabla2[[#This Row],[PROVEEDOR]],"*"&amp;'Palabra no opera'!$A$2&amp;"*"))</f>
        <v>0</v>
      </c>
      <c r="T1024" s="150">
        <f>+$W$5-Tabla2[[#This Row],[FECHA DE FACTURACIÓN]]</f>
        <v>314</v>
      </c>
      <c r="U1024" t="str">
        <f>+IF(Tabla2[[#This Row],[dias de credito]]&gt;=Tabla2[[#This Row],[PLAZO Días]],"venc", "No venc")</f>
        <v>venc</v>
      </c>
      <c r="V1024" t="str">
        <f>+IF(Tabla2[[#This Row],[FECHA DE PAGO]]&gt;0,"pagada","por pagar")</f>
        <v>pagada</v>
      </c>
      <c r="W1024" s="152" t="str">
        <f>+IF(AND(Tabla2[[#This Row],[venc]]="venc",Tabla2[[#This Row],[Columna1]]="por pagar"),"vencida","no")</f>
        <v>no</v>
      </c>
    </row>
    <row r="1025" spans="1:23" x14ac:dyDescent="0.3">
      <c r="A1025">
        <v>30</v>
      </c>
      <c r="B1025">
        <v>0</v>
      </c>
      <c r="D1025" t="s">
        <v>547</v>
      </c>
      <c r="E1025" s="156">
        <v>44519</v>
      </c>
      <c r="F1025" t="s">
        <v>905</v>
      </c>
      <c r="G1025" s="156">
        <v>44470</v>
      </c>
      <c r="H1025" t="s">
        <v>489</v>
      </c>
      <c r="I1025">
        <v>2433607</v>
      </c>
      <c r="K1025">
        <v>462385.33</v>
      </c>
      <c r="M1025">
        <v>0</v>
      </c>
      <c r="N1025">
        <v>0</v>
      </c>
      <c r="O1025">
        <v>0</v>
      </c>
      <c r="P1025" s="117">
        <v>2895992.33</v>
      </c>
      <c r="Q1025" s="117" t="s">
        <v>1021</v>
      </c>
      <c r="R1025" s="150">
        <v>0</v>
      </c>
      <c r="S1025" s="117" t="b">
        <f>OR(COUNTIF(Tabla2[[#This Row],[PROVEEDOR]],"*"&amp;'Palabra no opera'!$A$2&amp;"*"))</f>
        <v>1</v>
      </c>
      <c r="T1025" s="150">
        <f>+$W$5-Tabla2[[#This Row],[FECHA DE FACTURACIÓN]]</f>
        <v>364</v>
      </c>
      <c r="U1025" t="str">
        <f>+IF(Tabla2[[#This Row],[dias de credito]]&gt;=Tabla2[[#This Row],[PLAZO Días]],"venc", "No venc")</f>
        <v>venc</v>
      </c>
      <c r="V1025" t="str">
        <f>+IF(Tabla2[[#This Row],[FECHA DE PAGO]]&gt;0,"pagada","por pagar")</f>
        <v>pagada</v>
      </c>
      <c r="W1025" s="152" t="str">
        <f>+IF(AND(Tabla2[[#This Row],[venc]]="venc",Tabla2[[#This Row],[Columna1]]="por pagar"),"vencida","no")</f>
        <v>no</v>
      </c>
    </row>
    <row r="1026" spans="1:23" x14ac:dyDescent="0.3">
      <c r="A1026">
        <v>45</v>
      </c>
      <c r="B1026">
        <v>0</v>
      </c>
      <c r="D1026" t="s">
        <v>631</v>
      </c>
      <c r="E1026" s="156">
        <v>44517</v>
      </c>
      <c r="F1026" t="s">
        <v>529</v>
      </c>
      <c r="G1026" s="156">
        <v>44517</v>
      </c>
      <c r="H1026" t="s">
        <v>531</v>
      </c>
      <c r="I1026">
        <v>2471127</v>
      </c>
      <c r="K1026">
        <v>0</v>
      </c>
      <c r="M1026">
        <v>0</v>
      </c>
      <c r="N1026">
        <v>0</v>
      </c>
      <c r="O1026">
        <v>0</v>
      </c>
      <c r="P1026" s="117">
        <v>2471127</v>
      </c>
      <c r="Q1026" s="117" t="s">
        <v>1021</v>
      </c>
      <c r="R1026" s="150">
        <v>0</v>
      </c>
      <c r="S1026" s="117" t="b">
        <f>OR(COUNTIF(Tabla2[[#This Row],[PROVEEDOR]],"*"&amp;'Palabra no opera'!$A$2&amp;"*"))</f>
        <v>0</v>
      </c>
      <c r="T1026" s="150">
        <f>+$W$5-Tabla2[[#This Row],[FECHA DE FACTURACIÓN]]</f>
        <v>317</v>
      </c>
      <c r="U1026" t="str">
        <f>+IF(Tabla2[[#This Row],[dias de credito]]&gt;=Tabla2[[#This Row],[PLAZO Días]],"venc", "No venc")</f>
        <v>venc</v>
      </c>
      <c r="V1026" t="str">
        <f>+IF(Tabla2[[#This Row],[FECHA DE PAGO]]&gt;0,"pagada","por pagar")</f>
        <v>pagada</v>
      </c>
      <c r="W1026" s="152" t="str">
        <f>+IF(AND(Tabla2[[#This Row],[venc]]="venc",Tabla2[[#This Row],[Columna1]]="por pagar"),"vencida","no")</f>
        <v>no</v>
      </c>
    </row>
    <row r="1027" spans="1:23" x14ac:dyDescent="0.3">
      <c r="A1027">
        <v>30</v>
      </c>
      <c r="B1027">
        <v>4656887.12</v>
      </c>
      <c r="D1027" t="s">
        <v>170</v>
      </c>
      <c r="E1027" s="156">
        <v>44517</v>
      </c>
      <c r="F1027" t="s">
        <v>20</v>
      </c>
      <c r="G1027" s="156">
        <v>44477</v>
      </c>
      <c r="H1027">
        <v>5290</v>
      </c>
      <c r="I1027">
        <v>2908629</v>
      </c>
      <c r="K1027">
        <v>552639.51</v>
      </c>
      <c r="M1027">
        <v>0</v>
      </c>
      <c r="N1027">
        <v>2.5000000000000001E-2</v>
      </c>
      <c r="O1027">
        <v>72715.725000000006</v>
      </c>
      <c r="P1027" s="117">
        <v>3388552.7849999997</v>
      </c>
      <c r="Q1027" s="117" t="s">
        <v>1021</v>
      </c>
      <c r="R1027" s="150">
        <v>0</v>
      </c>
      <c r="S1027" s="117" t="b">
        <f>OR(COUNTIF(Tabla2[[#This Row],[PROVEEDOR]],"*"&amp;'Palabra no opera'!$A$2&amp;"*"))</f>
        <v>0</v>
      </c>
      <c r="T1027" s="150">
        <f>+$W$5-Tabla2[[#This Row],[FECHA DE FACTURACIÓN]]</f>
        <v>357</v>
      </c>
      <c r="U1027" t="str">
        <f>+IF(Tabla2[[#This Row],[dias de credito]]&gt;=Tabla2[[#This Row],[PLAZO Días]],"venc", "No venc")</f>
        <v>venc</v>
      </c>
      <c r="V1027" t="str">
        <f>+IF(Tabla2[[#This Row],[FECHA DE PAGO]]&gt;0,"pagada","por pagar")</f>
        <v>pagada</v>
      </c>
      <c r="W1027" s="152" t="str">
        <f>+IF(AND(Tabla2[[#This Row],[venc]]="venc",Tabla2[[#This Row],[Columna1]]="por pagar"),"vencida","no")</f>
        <v>no</v>
      </c>
    </row>
    <row r="1028" spans="1:23" x14ac:dyDescent="0.3">
      <c r="A1028">
        <v>30</v>
      </c>
      <c r="B1028">
        <v>8457900</v>
      </c>
      <c r="D1028" t="s">
        <v>1027</v>
      </c>
      <c r="E1028" s="156">
        <v>44517</v>
      </c>
      <c r="F1028" t="s">
        <v>11</v>
      </c>
      <c r="G1028" s="156">
        <v>44477</v>
      </c>
      <c r="H1028" t="s">
        <v>487</v>
      </c>
      <c r="I1028">
        <v>3300000</v>
      </c>
      <c r="K1028">
        <v>627000</v>
      </c>
      <c r="M1028">
        <v>0</v>
      </c>
      <c r="N1028">
        <v>2.5000000000000001E-2</v>
      </c>
      <c r="O1028">
        <v>82500</v>
      </c>
      <c r="P1028" s="117">
        <v>3844500</v>
      </c>
      <c r="Q1028" s="117" t="s">
        <v>1021</v>
      </c>
      <c r="R1028" s="150">
        <v>0</v>
      </c>
      <c r="S1028" s="117" t="b">
        <f>OR(COUNTIF(Tabla2[[#This Row],[PROVEEDOR]],"*"&amp;'Palabra no opera'!$A$2&amp;"*"))</f>
        <v>0</v>
      </c>
      <c r="T1028" s="150">
        <f>+$W$5-Tabla2[[#This Row],[FECHA DE FACTURACIÓN]]</f>
        <v>357</v>
      </c>
      <c r="U1028" t="str">
        <f>+IF(Tabla2[[#This Row],[dias de credito]]&gt;=Tabla2[[#This Row],[PLAZO Días]],"venc", "No venc")</f>
        <v>venc</v>
      </c>
      <c r="V1028" t="str">
        <f>+IF(Tabla2[[#This Row],[FECHA DE PAGO]]&gt;0,"pagada","por pagar")</f>
        <v>pagada</v>
      </c>
      <c r="W1028" s="152" t="str">
        <f>+IF(AND(Tabla2[[#This Row],[venc]]="venc",Tabla2[[#This Row],[Columna1]]="por pagar"),"vencida","no")</f>
        <v>no</v>
      </c>
    </row>
    <row r="1029" spans="1:23" x14ac:dyDescent="0.3">
      <c r="A1029">
        <v>30</v>
      </c>
      <c r="B1029">
        <v>4656887.12</v>
      </c>
      <c r="D1029" t="s">
        <v>170</v>
      </c>
      <c r="E1029" s="156">
        <v>44517</v>
      </c>
      <c r="F1029" t="s">
        <v>20</v>
      </c>
      <c r="G1029" s="156">
        <v>44476</v>
      </c>
      <c r="H1029" t="s">
        <v>1326</v>
      </c>
      <c r="I1029">
        <v>-237267</v>
      </c>
      <c r="K1029">
        <v>-45080.73</v>
      </c>
      <c r="M1029">
        <v>0</v>
      </c>
      <c r="N1029">
        <v>0</v>
      </c>
      <c r="O1029">
        <v>0</v>
      </c>
      <c r="P1029" s="117">
        <v>-282347.73</v>
      </c>
      <c r="Q1029" s="117" t="s">
        <v>1021</v>
      </c>
      <c r="R1029" s="150">
        <v>0</v>
      </c>
      <c r="S1029" s="117" t="b">
        <f>OR(COUNTIF(Tabla2[[#This Row],[PROVEEDOR]],"*"&amp;'Palabra no opera'!$A$2&amp;"*"))</f>
        <v>0</v>
      </c>
      <c r="T1029" s="150">
        <f>+$W$5-Tabla2[[#This Row],[FECHA DE FACTURACIÓN]]</f>
        <v>358</v>
      </c>
      <c r="U1029" t="str">
        <f>+IF(Tabla2[[#This Row],[dias de credito]]&gt;=Tabla2[[#This Row],[PLAZO Días]],"venc", "No venc")</f>
        <v>venc</v>
      </c>
      <c r="V1029" t="str">
        <f>+IF(Tabla2[[#This Row],[FECHA DE PAGO]]&gt;0,"pagada","por pagar")</f>
        <v>pagada</v>
      </c>
      <c r="W1029" s="152" t="str">
        <f>+IF(AND(Tabla2[[#This Row],[venc]]="venc",Tabla2[[#This Row],[Columna1]]="por pagar"),"vencida","no")</f>
        <v>no</v>
      </c>
    </row>
    <row r="1030" spans="1:23" x14ac:dyDescent="0.3">
      <c r="A1030">
        <v>30</v>
      </c>
      <c r="B1030">
        <v>749999.88</v>
      </c>
      <c r="D1030" t="s">
        <v>249</v>
      </c>
      <c r="E1030" s="156">
        <v>44517</v>
      </c>
      <c r="F1030" t="s">
        <v>49</v>
      </c>
      <c r="G1030" s="156">
        <v>44474</v>
      </c>
      <c r="H1030" t="s">
        <v>490</v>
      </c>
      <c r="I1030">
        <v>2336134</v>
      </c>
      <c r="K1030">
        <v>443865.46</v>
      </c>
      <c r="M1030">
        <v>0</v>
      </c>
      <c r="N1030">
        <v>2.5000000000000001E-2</v>
      </c>
      <c r="O1030">
        <v>58403.350000000006</v>
      </c>
      <c r="P1030" s="117">
        <v>2721596.11</v>
      </c>
      <c r="Q1030" s="117" t="s">
        <v>1021</v>
      </c>
      <c r="R1030" s="150">
        <v>0</v>
      </c>
      <c r="S1030" s="117" t="b">
        <f>OR(COUNTIF(Tabla2[[#This Row],[PROVEEDOR]],"*"&amp;'Palabra no opera'!$A$2&amp;"*"))</f>
        <v>0</v>
      </c>
      <c r="T1030" s="150">
        <f>+$W$5-Tabla2[[#This Row],[FECHA DE FACTURACIÓN]]</f>
        <v>360</v>
      </c>
      <c r="U1030" t="str">
        <f>+IF(Tabla2[[#This Row],[dias de credito]]&gt;=Tabla2[[#This Row],[PLAZO Días]],"venc", "No venc")</f>
        <v>venc</v>
      </c>
      <c r="V1030" t="str">
        <f>+IF(Tabla2[[#This Row],[FECHA DE PAGO]]&gt;0,"pagada","por pagar")</f>
        <v>pagada</v>
      </c>
      <c r="W1030" s="152" t="str">
        <f>+IF(AND(Tabla2[[#This Row],[venc]]="venc",Tabla2[[#This Row],[Columna1]]="por pagar"),"vencida","no")</f>
        <v>no</v>
      </c>
    </row>
    <row r="1031" spans="1:23" x14ac:dyDescent="0.3">
      <c r="A1031">
        <v>30</v>
      </c>
      <c r="B1031">
        <v>4656887.12</v>
      </c>
      <c r="D1031" t="s">
        <v>170</v>
      </c>
      <c r="E1031" s="156">
        <v>44517</v>
      </c>
      <c r="F1031" t="s">
        <v>20</v>
      </c>
      <c r="G1031" s="156">
        <v>44467</v>
      </c>
      <c r="H1031">
        <v>5196</v>
      </c>
      <c r="I1031">
        <v>1014100</v>
      </c>
      <c r="K1031">
        <v>192679</v>
      </c>
      <c r="M1031">
        <v>0</v>
      </c>
      <c r="N1031">
        <v>2.5000000000000001E-2</v>
      </c>
      <c r="O1031">
        <v>25352.5</v>
      </c>
      <c r="P1031" s="117">
        <v>1181426.5</v>
      </c>
      <c r="Q1031" s="117" t="s">
        <v>1021</v>
      </c>
      <c r="R1031" s="150">
        <v>0</v>
      </c>
      <c r="S1031" s="117" t="b">
        <f>OR(COUNTIF(Tabla2[[#This Row],[PROVEEDOR]],"*"&amp;'Palabra no opera'!$A$2&amp;"*"))</f>
        <v>0</v>
      </c>
      <c r="T1031" s="150">
        <f>+$W$5-Tabla2[[#This Row],[FECHA DE FACTURACIÓN]]</f>
        <v>367</v>
      </c>
      <c r="U1031" t="str">
        <f>+IF(Tabla2[[#This Row],[dias de credito]]&gt;=Tabla2[[#This Row],[PLAZO Días]],"venc", "No venc")</f>
        <v>venc</v>
      </c>
      <c r="V1031" t="str">
        <f>+IF(Tabla2[[#This Row],[FECHA DE PAGO]]&gt;0,"pagada","por pagar")</f>
        <v>pagada</v>
      </c>
      <c r="W1031" s="152" t="str">
        <f>+IF(AND(Tabla2[[#This Row],[venc]]="venc",Tabla2[[#This Row],[Columna1]]="por pagar"),"vencida","no")</f>
        <v>no</v>
      </c>
    </row>
    <row r="1032" spans="1:23" x14ac:dyDescent="0.3">
      <c r="A1032">
        <v>30</v>
      </c>
      <c r="B1032">
        <v>19675613.1195</v>
      </c>
      <c r="D1032" t="s">
        <v>256</v>
      </c>
      <c r="E1032" s="156">
        <v>44517</v>
      </c>
      <c r="F1032" t="s">
        <v>18</v>
      </c>
      <c r="G1032" s="156">
        <v>44467</v>
      </c>
      <c r="H1032">
        <v>1043661</v>
      </c>
      <c r="I1032">
        <v>1593286.4</v>
      </c>
      <c r="K1032">
        <v>302724.41599999997</v>
      </c>
      <c r="M1032">
        <v>0</v>
      </c>
      <c r="N1032">
        <v>2.5000000000000001E-2</v>
      </c>
      <c r="O1032">
        <v>39832.160000000003</v>
      </c>
      <c r="P1032" s="117">
        <v>1856178.656</v>
      </c>
      <c r="Q1032" s="117" t="s">
        <v>1021</v>
      </c>
      <c r="R1032" s="150">
        <v>0</v>
      </c>
      <c r="S1032" s="117" t="b">
        <f>OR(COUNTIF(Tabla2[[#This Row],[PROVEEDOR]],"*"&amp;'Palabra no opera'!$A$2&amp;"*"))</f>
        <v>0</v>
      </c>
      <c r="T1032" s="150">
        <f>+$W$5-Tabla2[[#This Row],[FECHA DE FACTURACIÓN]]</f>
        <v>367</v>
      </c>
      <c r="U1032" t="str">
        <f>+IF(Tabla2[[#This Row],[dias de credito]]&gt;=Tabla2[[#This Row],[PLAZO Días]],"venc", "No venc")</f>
        <v>venc</v>
      </c>
      <c r="V1032" t="str">
        <f>+IF(Tabla2[[#This Row],[FECHA DE PAGO]]&gt;0,"pagada","por pagar")</f>
        <v>pagada</v>
      </c>
      <c r="W1032" s="152" t="str">
        <f>+IF(AND(Tabla2[[#This Row],[venc]]="venc",Tabla2[[#This Row],[Columna1]]="por pagar"),"vencida","no")</f>
        <v>no</v>
      </c>
    </row>
    <row r="1033" spans="1:23" x14ac:dyDescent="0.3">
      <c r="A1033">
        <v>30</v>
      </c>
      <c r="B1033">
        <v>19675613.1195</v>
      </c>
      <c r="D1033" t="s">
        <v>256</v>
      </c>
      <c r="E1033" s="156">
        <v>44517</v>
      </c>
      <c r="F1033" t="s">
        <v>18</v>
      </c>
      <c r="G1033" s="156">
        <v>44462</v>
      </c>
      <c r="H1033" t="s">
        <v>533</v>
      </c>
      <c r="I1033">
        <v>-60000</v>
      </c>
      <c r="K1033">
        <v>-11400</v>
      </c>
      <c r="M1033">
        <v>0</v>
      </c>
      <c r="N1033">
        <v>0</v>
      </c>
      <c r="O1033">
        <v>0</v>
      </c>
      <c r="P1033" s="117">
        <v>-71400</v>
      </c>
      <c r="Q1033" s="117" t="s">
        <v>1021</v>
      </c>
      <c r="R1033" s="150">
        <v>0</v>
      </c>
      <c r="S1033" s="117" t="b">
        <f>OR(COUNTIF(Tabla2[[#This Row],[PROVEEDOR]],"*"&amp;'Palabra no opera'!$A$2&amp;"*"))</f>
        <v>0</v>
      </c>
      <c r="T1033" s="150">
        <f>+$W$5-Tabla2[[#This Row],[FECHA DE FACTURACIÓN]]</f>
        <v>372</v>
      </c>
      <c r="U1033" t="str">
        <f>+IF(Tabla2[[#This Row],[dias de credito]]&gt;=Tabla2[[#This Row],[PLAZO Días]],"venc", "No venc")</f>
        <v>venc</v>
      </c>
      <c r="V1033" t="str">
        <f>+IF(Tabla2[[#This Row],[FECHA DE PAGO]]&gt;0,"pagada","por pagar")</f>
        <v>pagada</v>
      </c>
      <c r="W1033" s="152" t="str">
        <f>+IF(AND(Tabla2[[#This Row],[venc]]="venc",Tabla2[[#This Row],[Columna1]]="por pagar"),"vencida","no")</f>
        <v>no</v>
      </c>
    </row>
    <row r="1034" spans="1:23" x14ac:dyDescent="0.3">
      <c r="A1034">
        <v>90</v>
      </c>
      <c r="B1034">
        <v>5541947.6899999995</v>
      </c>
      <c r="D1034" t="s">
        <v>253</v>
      </c>
      <c r="E1034" s="156">
        <v>44517</v>
      </c>
      <c r="F1034" t="s">
        <v>12</v>
      </c>
      <c r="G1034" s="156">
        <v>44445</v>
      </c>
      <c r="H1034" t="s">
        <v>495</v>
      </c>
      <c r="I1034">
        <v>0</v>
      </c>
      <c r="K1034">
        <v>0</v>
      </c>
      <c r="M1034">
        <v>0</v>
      </c>
      <c r="N1034">
        <v>0</v>
      </c>
      <c r="O1034">
        <v>0</v>
      </c>
      <c r="P1034" s="117">
        <v>0</v>
      </c>
      <c r="Q1034" s="117" t="s">
        <v>1021</v>
      </c>
      <c r="R1034" s="150">
        <v>0</v>
      </c>
      <c r="S1034" s="117" t="b">
        <f>OR(COUNTIF(Tabla2[[#This Row],[PROVEEDOR]],"*"&amp;'Palabra no opera'!$A$2&amp;"*"))</f>
        <v>0</v>
      </c>
      <c r="T1034" s="150">
        <f>+$W$5-Tabla2[[#This Row],[FECHA DE FACTURACIÓN]]</f>
        <v>389</v>
      </c>
      <c r="U1034" t="str">
        <f>+IF(Tabla2[[#This Row],[dias de credito]]&gt;=Tabla2[[#This Row],[PLAZO Días]],"venc", "No venc")</f>
        <v>venc</v>
      </c>
      <c r="V1034" t="str">
        <f>+IF(Tabla2[[#This Row],[FECHA DE PAGO]]&gt;0,"pagada","por pagar")</f>
        <v>pagada</v>
      </c>
      <c r="W1034" s="152" t="str">
        <f>+IF(AND(Tabla2[[#This Row],[venc]]="venc",Tabla2[[#This Row],[Columna1]]="por pagar"),"vencida","no")</f>
        <v>no</v>
      </c>
    </row>
    <row r="1035" spans="1:23" x14ac:dyDescent="0.3">
      <c r="A1035">
        <v>90</v>
      </c>
      <c r="B1035">
        <v>5541947.6899999995</v>
      </c>
      <c r="D1035" t="s">
        <v>253</v>
      </c>
      <c r="E1035" s="156">
        <v>44517</v>
      </c>
      <c r="F1035" t="s">
        <v>12</v>
      </c>
      <c r="G1035" s="156">
        <v>44420</v>
      </c>
      <c r="H1035" t="s">
        <v>425</v>
      </c>
      <c r="I1035">
        <v>1086554</v>
      </c>
      <c r="K1035">
        <v>206445.26</v>
      </c>
      <c r="M1035">
        <v>0</v>
      </c>
      <c r="N1035">
        <v>2.5000000000000001E-2</v>
      </c>
      <c r="O1035">
        <v>27163.850000000002</v>
      </c>
      <c r="P1035" s="117">
        <v>1265835.4099999999</v>
      </c>
      <c r="Q1035" s="117" t="s">
        <v>1021</v>
      </c>
      <c r="R1035" s="150">
        <v>0</v>
      </c>
      <c r="S1035" s="117" t="b">
        <f>OR(COUNTIF(Tabla2[[#This Row],[PROVEEDOR]],"*"&amp;'Palabra no opera'!$A$2&amp;"*"))</f>
        <v>0</v>
      </c>
      <c r="T1035" s="150">
        <f>+$W$5-Tabla2[[#This Row],[FECHA DE FACTURACIÓN]]</f>
        <v>414</v>
      </c>
      <c r="U1035" t="str">
        <f>+IF(Tabla2[[#This Row],[dias de credito]]&gt;=Tabla2[[#This Row],[PLAZO Días]],"venc", "No venc")</f>
        <v>venc</v>
      </c>
      <c r="V1035" t="str">
        <f>+IF(Tabla2[[#This Row],[FECHA DE PAGO]]&gt;0,"pagada","por pagar")</f>
        <v>pagada</v>
      </c>
      <c r="W1035" s="152" t="str">
        <f>+IF(AND(Tabla2[[#This Row],[venc]]="venc",Tabla2[[#This Row],[Columna1]]="por pagar"),"vencida","no")</f>
        <v>no</v>
      </c>
    </row>
    <row r="1036" spans="1:23" x14ac:dyDescent="0.3">
      <c r="A1036">
        <v>30</v>
      </c>
      <c r="B1036">
        <v>0</v>
      </c>
      <c r="D1036" t="s">
        <v>676</v>
      </c>
      <c r="E1036" s="156">
        <v>44516</v>
      </c>
      <c r="F1036" t="s">
        <v>940</v>
      </c>
      <c r="G1036" s="156">
        <v>44501</v>
      </c>
      <c r="H1036">
        <v>64995</v>
      </c>
      <c r="I1036">
        <v>302624.74</v>
      </c>
      <c r="K1036">
        <v>0</v>
      </c>
      <c r="M1036">
        <v>0</v>
      </c>
      <c r="N1036">
        <v>0</v>
      </c>
      <c r="O1036">
        <v>0</v>
      </c>
      <c r="P1036" s="117">
        <v>302624.74</v>
      </c>
      <c r="Q1036" s="117" t="s">
        <v>1021</v>
      </c>
      <c r="R1036" s="150">
        <v>0</v>
      </c>
      <c r="S1036" s="117" t="b">
        <f>OR(COUNTIF(Tabla2[[#This Row],[PROVEEDOR]],"*"&amp;'Palabra no opera'!$A$2&amp;"*"))</f>
        <v>1</v>
      </c>
      <c r="T1036" s="150">
        <f>+$W$5-Tabla2[[#This Row],[FECHA DE FACTURACIÓN]]</f>
        <v>333</v>
      </c>
      <c r="U1036" t="str">
        <f>+IF(Tabla2[[#This Row],[dias de credito]]&gt;=Tabla2[[#This Row],[PLAZO Días]],"venc", "No venc")</f>
        <v>venc</v>
      </c>
      <c r="V1036" t="str">
        <f>+IF(Tabla2[[#This Row],[FECHA DE PAGO]]&gt;0,"pagada","por pagar")</f>
        <v>pagada</v>
      </c>
      <c r="W1036" s="152" t="str">
        <f>+IF(AND(Tabla2[[#This Row],[venc]]="venc",Tabla2[[#This Row],[Columna1]]="por pagar"),"vencida","no")</f>
        <v>no</v>
      </c>
    </row>
    <row r="1037" spans="1:23" x14ac:dyDescent="0.3">
      <c r="A1037">
        <v>30</v>
      </c>
      <c r="B1037">
        <v>0</v>
      </c>
      <c r="D1037" t="s">
        <v>1036</v>
      </c>
      <c r="E1037" s="156">
        <v>44516</v>
      </c>
      <c r="F1037" t="s">
        <v>927</v>
      </c>
      <c r="G1037" s="156">
        <v>44501</v>
      </c>
      <c r="H1037" t="s">
        <v>312</v>
      </c>
      <c r="I1037">
        <v>727051</v>
      </c>
      <c r="K1037">
        <v>0</v>
      </c>
      <c r="M1037">
        <v>0</v>
      </c>
      <c r="N1037">
        <v>0</v>
      </c>
      <c r="O1037">
        <v>0</v>
      </c>
      <c r="P1037" s="117">
        <v>727051</v>
      </c>
      <c r="Q1037" s="117" t="s">
        <v>1021</v>
      </c>
      <c r="R1037" s="150">
        <v>0</v>
      </c>
      <c r="S1037" s="117" t="b">
        <f>OR(COUNTIF(Tabla2[[#This Row],[PROVEEDOR]],"*"&amp;'Palabra no opera'!$A$2&amp;"*"))</f>
        <v>1</v>
      </c>
      <c r="T1037" s="150">
        <f>+$W$5-Tabla2[[#This Row],[FECHA DE FACTURACIÓN]]</f>
        <v>333</v>
      </c>
      <c r="U1037" t="str">
        <f>+IF(Tabla2[[#This Row],[dias de credito]]&gt;=Tabla2[[#This Row],[PLAZO Días]],"venc", "No venc")</f>
        <v>venc</v>
      </c>
      <c r="V1037" t="str">
        <f>+IF(Tabla2[[#This Row],[FECHA DE PAGO]]&gt;0,"pagada","por pagar")</f>
        <v>pagada</v>
      </c>
      <c r="W1037" s="152" t="str">
        <f>+IF(AND(Tabla2[[#This Row],[venc]]="venc",Tabla2[[#This Row],[Columna1]]="por pagar"),"vencida","no")</f>
        <v>no</v>
      </c>
    </row>
    <row r="1038" spans="1:23" x14ac:dyDescent="0.3">
      <c r="A1038">
        <v>30</v>
      </c>
      <c r="B1038">
        <v>0</v>
      </c>
      <c r="D1038" t="s">
        <v>1036</v>
      </c>
      <c r="E1038" s="156">
        <v>44516</v>
      </c>
      <c r="F1038" t="s">
        <v>927</v>
      </c>
      <c r="G1038" s="156">
        <v>44501</v>
      </c>
      <c r="H1038" t="s">
        <v>313</v>
      </c>
      <c r="I1038">
        <v>743959</v>
      </c>
      <c r="K1038">
        <v>0</v>
      </c>
      <c r="M1038">
        <v>0</v>
      </c>
      <c r="N1038">
        <v>0</v>
      </c>
      <c r="O1038">
        <v>0</v>
      </c>
      <c r="P1038" s="117">
        <v>743959</v>
      </c>
      <c r="Q1038" s="117" t="s">
        <v>1021</v>
      </c>
      <c r="R1038" s="150">
        <v>0</v>
      </c>
      <c r="S1038" s="117" t="b">
        <f>OR(COUNTIF(Tabla2[[#This Row],[PROVEEDOR]],"*"&amp;'Palabra no opera'!$A$2&amp;"*"))</f>
        <v>1</v>
      </c>
      <c r="T1038" s="150">
        <f>+$W$5-Tabla2[[#This Row],[FECHA DE FACTURACIÓN]]</f>
        <v>333</v>
      </c>
      <c r="U1038" t="str">
        <f>+IF(Tabla2[[#This Row],[dias de credito]]&gt;=Tabla2[[#This Row],[PLAZO Días]],"venc", "No venc")</f>
        <v>venc</v>
      </c>
      <c r="V1038" t="str">
        <f>+IF(Tabla2[[#This Row],[FECHA DE PAGO]]&gt;0,"pagada","por pagar")</f>
        <v>pagada</v>
      </c>
      <c r="W1038" s="152" t="str">
        <f>+IF(AND(Tabla2[[#This Row],[venc]]="venc",Tabla2[[#This Row],[Columna1]]="por pagar"),"vencida","no")</f>
        <v>no</v>
      </c>
    </row>
    <row r="1039" spans="1:23" x14ac:dyDescent="0.3">
      <c r="A1039">
        <v>30</v>
      </c>
      <c r="B1039">
        <v>0</v>
      </c>
      <c r="D1039">
        <v>0</v>
      </c>
      <c r="E1039" s="156">
        <v>44516</v>
      </c>
      <c r="F1039" t="s">
        <v>932</v>
      </c>
      <c r="G1039" s="156">
        <v>44501</v>
      </c>
      <c r="H1039" t="s">
        <v>580</v>
      </c>
      <c r="I1039">
        <v>268209</v>
      </c>
      <c r="K1039">
        <v>0</v>
      </c>
      <c r="M1039">
        <v>0</v>
      </c>
      <c r="N1039">
        <v>0</v>
      </c>
      <c r="O1039">
        <v>0</v>
      </c>
      <c r="P1039" s="117">
        <v>268209</v>
      </c>
      <c r="Q1039" s="117" t="s">
        <v>1021</v>
      </c>
      <c r="R1039" s="150">
        <v>0</v>
      </c>
      <c r="S1039" s="117" t="b">
        <f>OR(COUNTIF(Tabla2[[#This Row],[PROVEEDOR]],"*"&amp;'Palabra no opera'!$A$2&amp;"*"))</f>
        <v>1</v>
      </c>
      <c r="T1039" s="150">
        <f>+$W$5-Tabla2[[#This Row],[FECHA DE FACTURACIÓN]]</f>
        <v>333</v>
      </c>
      <c r="U1039" t="str">
        <f>+IF(Tabla2[[#This Row],[dias de credito]]&gt;=Tabla2[[#This Row],[PLAZO Días]],"venc", "No venc")</f>
        <v>venc</v>
      </c>
      <c r="V1039" t="str">
        <f>+IF(Tabla2[[#This Row],[FECHA DE PAGO]]&gt;0,"pagada","por pagar")</f>
        <v>pagada</v>
      </c>
      <c r="W1039" s="152" t="str">
        <f>+IF(AND(Tabla2[[#This Row],[venc]]="venc",Tabla2[[#This Row],[Columna1]]="por pagar"),"vencida","no")</f>
        <v>no</v>
      </c>
    </row>
    <row r="1040" spans="1:23" x14ac:dyDescent="0.3">
      <c r="A1040">
        <v>30</v>
      </c>
      <c r="B1040">
        <v>0</v>
      </c>
      <c r="D1040">
        <v>0</v>
      </c>
      <c r="E1040" s="156">
        <v>44516</v>
      </c>
      <c r="F1040" t="s">
        <v>932</v>
      </c>
      <c r="G1040" s="156">
        <v>44501</v>
      </c>
      <c r="H1040" t="s">
        <v>307</v>
      </c>
      <c r="I1040">
        <v>313385</v>
      </c>
      <c r="K1040">
        <v>0</v>
      </c>
      <c r="M1040">
        <v>0</v>
      </c>
      <c r="N1040">
        <v>0</v>
      </c>
      <c r="O1040">
        <v>0</v>
      </c>
      <c r="P1040" s="117">
        <v>313385</v>
      </c>
      <c r="Q1040" s="117" t="s">
        <v>1021</v>
      </c>
      <c r="R1040" s="150">
        <v>0</v>
      </c>
      <c r="S1040" s="117" t="b">
        <f>OR(COUNTIF(Tabla2[[#This Row],[PROVEEDOR]],"*"&amp;'Palabra no opera'!$A$2&amp;"*"))</f>
        <v>1</v>
      </c>
      <c r="T1040" s="150">
        <f>+$W$5-Tabla2[[#This Row],[FECHA DE FACTURACIÓN]]</f>
        <v>333</v>
      </c>
      <c r="U1040" t="str">
        <f>+IF(Tabla2[[#This Row],[dias de credito]]&gt;=Tabla2[[#This Row],[PLAZO Días]],"venc", "No venc")</f>
        <v>venc</v>
      </c>
      <c r="V1040" t="str">
        <f>+IF(Tabla2[[#This Row],[FECHA DE PAGO]]&gt;0,"pagada","por pagar")</f>
        <v>pagada</v>
      </c>
      <c r="W1040" s="152" t="str">
        <f>+IF(AND(Tabla2[[#This Row],[venc]]="venc",Tabla2[[#This Row],[Columna1]]="por pagar"),"vencida","no")</f>
        <v>no</v>
      </c>
    </row>
    <row r="1041" spans="1:23" x14ac:dyDescent="0.3">
      <c r="A1041">
        <v>13</v>
      </c>
      <c r="B1041">
        <v>0</v>
      </c>
      <c r="D1041">
        <v>0</v>
      </c>
      <c r="E1041" s="156">
        <v>44516</v>
      </c>
      <c r="F1041" t="s">
        <v>934</v>
      </c>
      <c r="G1041" s="156">
        <v>44501</v>
      </c>
      <c r="I1041">
        <v>895265</v>
      </c>
      <c r="K1041">
        <v>0</v>
      </c>
      <c r="M1041">
        <v>0</v>
      </c>
      <c r="N1041">
        <v>0</v>
      </c>
      <c r="O1041">
        <v>0</v>
      </c>
      <c r="P1041" s="117">
        <v>895265</v>
      </c>
      <c r="Q1041" s="117" t="s">
        <v>1021</v>
      </c>
      <c r="R1041" s="150">
        <v>0</v>
      </c>
      <c r="S1041" s="117" t="b">
        <f>OR(COUNTIF(Tabla2[[#This Row],[PROVEEDOR]],"*"&amp;'Palabra no opera'!$A$2&amp;"*"))</f>
        <v>1</v>
      </c>
      <c r="T1041" s="150">
        <f>+$W$5-Tabla2[[#This Row],[FECHA DE FACTURACIÓN]]</f>
        <v>333</v>
      </c>
      <c r="U1041" t="str">
        <f>+IF(Tabla2[[#This Row],[dias de credito]]&gt;=Tabla2[[#This Row],[PLAZO Días]],"venc", "No venc")</f>
        <v>venc</v>
      </c>
      <c r="V1041" t="str">
        <f>+IF(Tabla2[[#This Row],[FECHA DE PAGO]]&gt;0,"pagada","por pagar")</f>
        <v>pagada</v>
      </c>
      <c r="W1041" s="152" t="str">
        <f>+IF(AND(Tabla2[[#This Row],[venc]]="venc",Tabla2[[#This Row],[Columna1]]="por pagar"),"vencida","no")</f>
        <v>no</v>
      </c>
    </row>
    <row r="1042" spans="1:23" x14ac:dyDescent="0.3">
      <c r="A1042">
        <v>30</v>
      </c>
      <c r="B1042">
        <v>0</v>
      </c>
      <c r="D1042" t="s">
        <v>141</v>
      </c>
      <c r="E1042" s="156">
        <v>44516</v>
      </c>
      <c r="F1042" t="s">
        <v>935</v>
      </c>
      <c r="G1042" s="156">
        <v>44501</v>
      </c>
      <c r="I1042">
        <v>326243</v>
      </c>
      <c r="K1042">
        <v>0</v>
      </c>
      <c r="M1042">
        <v>0</v>
      </c>
      <c r="N1042">
        <v>0</v>
      </c>
      <c r="O1042">
        <v>0</v>
      </c>
      <c r="P1042" s="117">
        <v>326243</v>
      </c>
      <c r="Q1042" s="117" t="s">
        <v>1021</v>
      </c>
      <c r="R1042" s="150">
        <v>0</v>
      </c>
      <c r="S1042" s="117" t="b">
        <f>OR(COUNTIF(Tabla2[[#This Row],[PROVEEDOR]],"*"&amp;'Palabra no opera'!$A$2&amp;"*"))</f>
        <v>1</v>
      </c>
      <c r="T1042" s="150">
        <f>+$W$5-Tabla2[[#This Row],[FECHA DE FACTURACIÓN]]</f>
        <v>333</v>
      </c>
      <c r="U1042" t="str">
        <f>+IF(Tabla2[[#This Row],[dias de credito]]&gt;=Tabla2[[#This Row],[PLAZO Días]],"venc", "No venc")</f>
        <v>venc</v>
      </c>
      <c r="V1042" t="str">
        <f>+IF(Tabla2[[#This Row],[FECHA DE PAGO]]&gt;0,"pagada","por pagar")</f>
        <v>pagada</v>
      </c>
      <c r="W1042" s="152" t="str">
        <f>+IF(AND(Tabla2[[#This Row],[venc]]="venc",Tabla2[[#This Row],[Columna1]]="por pagar"),"vencida","no")</f>
        <v>no</v>
      </c>
    </row>
    <row r="1043" spans="1:23" x14ac:dyDescent="0.3">
      <c r="A1043">
        <v>90</v>
      </c>
      <c r="B1043">
        <v>0</v>
      </c>
      <c r="D1043" t="s">
        <v>139</v>
      </c>
      <c r="E1043" s="156">
        <v>44516</v>
      </c>
      <c r="F1043" t="s">
        <v>651</v>
      </c>
      <c r="G1043" s="156">
        <v>44439</v>
      </c>
      <c r="H1043" t="s">
        <v>1489</v>
      </c>
      <c r="I1043">
        <v>605000</v>
      </c>
      <c r="K1043">
        <v>0</v>
      </c>
      <c r="M1043">
        <v>0</v>
      </c>
      <c r="N1043">
        <v>0</v>
      </c>
      <c r="O1043">
        <v>0</v>
      </c>
      <c r="P1043" s="117">
        <v>605000</v>
      </c>
      <c r="Q1043" s="117" t="s">
        <v>1021</v>
      </c>
      <c r="R1043" s="150">
        <v>0</v>
      </c>
      <c r="S1043" s="117" t="b">
        <f>OR(COUNTIF(Tabla2[[#This Row],[PROVEEDOR]],"*"&amp;'Palabra no opera'!$A$2&amp;"*"))</f>
        <v>0</v>
      </c>
      <c r="T1043" s="150">
        <f>+$W$5-Tabla2[[#This Row],[FECHA DE FACTURACIÓN]]</f>
        <v>395</v>
      </c>
      <c r="U1043" t="str">
        <f>+IF(Tabla2[[#This Row],[dias de credito]]&gt;=Tabla2[[#This Row],[PLAZO Días]],"venc", "No venc")</f>
        <v>venc</v>
      </c>
      <c r="V1043" t="str">
        <f>+IF(Tabla2[[#This Row],[FECHA DE PAGO]]&gt;0,"pagada","por pagar")</f>
        <v>pagada</v>
      </c>
      <c r="W1043" s="152" t="str">
        <f>+IF(AND(Tabla2[[#This Row],[venc]]="venc",Tabla2[[#This Row],[Columna1]]="por pagar"),"vencida","no")</f>
        <v>no</v>
      </c>
    </row>
    <row r="1044" spans="1:23" x14ac:dyDescent="0.3">
      <c r="A1044">
        <v>30</v>
      </c>
      <c r="B1044">
        <v>0</v>
      </c>
      <c r="D1044" t="s">
        <v>139</v>
      </c>
      <c r="E1044" s="156">
        <v>44513</v>
      </c>
      <c r="F1044" t="s">
        <v>635</v>
      </c>
      <c r="G1044" s="156">
        <v>44513</v>
      </c>
      <c r="H1044" t="s">
        <v>1524</v>
      </c>
      <c r="I1044">
        <v>990000</v>
      </c>
      <c r="K1044">
        <v>0</v>
      </c>
      <c r="M1044">
        <v>0</v>
      </c>
      <c r="N1044">
        <v>0</v>
      </c>
      <c r="O1044">
        <v>0</v>
      </c>
      <c r="P1044" s="117">
        <v>990000</v>
      </c>
      <c r="Q1044" s="117" t="s">
        <v>1021</v>
      </c>
      <c r="R1044" s="150">
        <v>0</v>
      </c>
      <c r="S1044" s="117" t="b">
        <f>OR(COUNTIF(Tabla2[[#This Row],[PROVEEDOR]],"*"&amp;'Palabra no opera'!$A$2&amp;"*"))</f>
        <v>0</v>
      </c>
      <c r="T1044" s="150">
        <f>+$W$5-Tabla2[[#This Row],[FECHA DE FACTURACIÓN]]</f>
        <v>321</v>
      </c>
      <c r="U1044" t="str">
        <f>+IF(Tabla2[[#This Row],[dias de credito]]&gt;=Tabla2[[#This Row],[PLAZO Días]],"venc", "No venc")</f>
        <v>venc</v>
      </c>
      <c r="V1044" t="str">
        <f>+IF(Tabla2[[#This Row],[FECHA DE PAGO]]&gt;0,"pagada","por pagar")</f>
        <v>pagada</v>
      </c>
      <c r="W1044" s="152" t="str">
        <f>+IF(AND(Tabla2[[#This Row],[venc]]="venc",Tabla2[[#This Row],[Columna1]]="por pagar"),"vencida","no")</f>
        <v>no</v>
      </c>
    </row>
    <row r="1045" spans="1:23" x14ac:dyDescent="0.3">
      <c r="A1045">
        <v>30</v>
      </c>
      <c r="B1045">
        <v>0</v>
      </c>
      <c r="D1045" t="s">
        <v>139</v>
      </c>
      <c r="E1045" s="156">
        <v>44512</v>
      </c>
      <c r="F1045" t="s">
        <v>673</v>
      </c>
      <c r="G1045" s="156">
        <v>44512</v>
      </c>
      <c r="I1045">
        <v>1000000</v>
      </c>
      <c r="K1045">
        <v>0</v>
      </c>
      <c r="M1045">
        <v>0</v>
      </c>
      <c r="N1045">
        <v>0</v>
      </c>
      <c r="O1045">
        <v>0</v>
      </c>
      <c r="P1045" s="117">
        <v>1000000</v>
      </c>
      <c r="Q1045" s="117" t="s">
        <v>1021</v>
      </c>
      <c r="R1045" s="150">
        <v>0</v>
      </c>
      <c r="S1045" s="117" t="b">
        <f>OR(COUNTIF(Tabla2[[#This Row],[PROVEEDOR]],"*"&amp;'Palabra no opera'!$A$2&amp;"*"))</f>
        <v>0</v>
      </c>
      <c r="T1045" s="150">
        <f>+$W$5-Tabla2[[#This Row],[FECHA DE FACTURACIÓN]]</f>
        <v>322</v>
      </c>
      <c r="U1045" t="str">
        <f>+IF(Tabla2[[#This Row],[dias de credito]]&gt;=Tabla2[[#This Row],[PLAZO Días]],"venc", "No venc")</f>
        <v>venc</v>
      </c>
      <c r="V1045" t="str">
        <f>+IF(Tabla2[[#This Row],[FECHA DE PAGO]]&gt;0,"pagada","por pagar")</f>
        <v>pagada</v>
      </c>
      <c r="W1045" s="152" t="str">
        <f>+IF(AND(Tabla2[[#This Row],[venc]]="venc",Tabla2[[#This Row],[Columna1]]="por pagar"),"vencida","no")</f>
        <v>no</v>
      </c>
    </row>
    <row r="1046" spans="1:23" x14ac:dyDescent="0.3">
      <c r="A1046">
        <v>30</v>
      </c>
      <c r="B1046">
        <v>0</v>
      </c>
      <c r="D1046">
        <v>0</v>
      </c>
      <c r="E1046" s="156">
        <v>44512</v>
      </c>
      <c r="F1046" t="s">
        <v>536</v>
      </c>
      <c r="G1046" s="156">
        <v>44512</v>
      </c>
      <c r="H1046">
        <v>65</v>
      </c>
      <c r="I1046">
        <v>1976320</v>
      </c>
      <c r="K1046">
        <v>375500.79999999999</v>
      </c>
      <c r="M1046">
        <v>0</v>
      </c>
      <c r="N1046">
        <v>2.5000000000000001E-2</v>
      </c>
      <c r="O1046">
        <v>49408</v>
      </c>
      <c r="P1046" s="117">
        <v>2302412.7999999998</v>
      </c>
      <c r="Q1046" s="117" t="s">
        <v>1021</v>
      </c>
      <c r="R1046" s="150">
        <v>0</v>
      </c>
      <c r="S1046" s="117" t="b">
        <f>OR(COUNTIF(Tabla2[[#This Row],[PROVEEDOR]],"*"&amp;'Palabra no opera'!$A$2&amp;"*"))</f>
        <v>0</v>
      </c>
      <c r="T1046" s="150">
        <f>+$W$5-Tabla2[[#This Row],[FECHA DE FACTURACIÓN]]</f>
        <v>322</v>
      </c>
      <c r="U1046" t="str">
        <f>+IF(Tabla2[[#This Row],[dias de credito]]&gt;=Tabla2[[#This Row],[PLAZO Días]],"venc", "No venc")</f>
        <v>venc</v>
      </c>
      <c r="V1046" t="str">
        <f>+IF(Tabla2[[#This Row],[FECHA DE PAGO]]&gt;0,"pagada","por pagar")</f>
        <v>pagada</v>
      </c>
      <c r="W1046" s="152" t="str">
        <f>+IF(AND(Tabla2[[#This Row],[venc]]="venc",Tabla2[[#This Row],[Columna1]]="por pagar"),"vencida","no")</f>
        <v>no</v>
      </c>
    </row>
    <row r="1047" spans="1:23" x14ac:dyDescent="0.3">
      <c r="A1047">
        <v>30</v>
      </c>
      <c r="B1047">
        <v>0</v>
      </c>
      <c r="D1047" t="s">
        <v>139</v>
      </c>
      <c r="E1047" s="156">
        <v>44512</v>
      </c>
      <c r="F1047" t="s">
        <v>638</v>
      </c>
      <c r="G1047" s="156">
        <v>44511</v>
      </c>
      <c r="H1047" t="s">
        <v>1345</v>
      </c>
      <c r="I1047">
        <v>3847000</v>
      </c>
      <c r="K1047">
        <v>0</v>
      </c>
      <c r="M1047">
        <v>0</v>
      </c>
      <c r="N1047">
        <v>0</v>
      </c>
      <c r="O1047">
        <v>0</v>
      </c>
      <c r="P1047" s="117">
        <v>3847000</v>
      </c>
      <c r="Q1047" s="117" t="s">
        <v>1021</v>
      </c>
      <c r="R1047" s="150">
        <v>0</v>
      </c>
      <c r="S1047" s="117" t="b">
        <f>OR(COUNTIF(Tabla2[[#This Row],[PROVEEDOR]],"*"&amp;'Palabra no opera'!$A$2&amp;"*"))</f>
        <v>0</v>
      </c>
      <c r="T1047" s="150">
        <f>+$W$5-Tabla2[[#This Row],[FECHA DE FACTURACIÓN]]</f>
        <v>323</v>
      </c>
      <c r="U1047" t="str">
        <f>+IF(Tabla2[[#This Row],[dias de credito]]&gt;=Tabla2[[#This Row],[PLAZO Días]],"venc", "No venc")</f>
        <v>venc</v>
      </c>
      <c r="V1047" t="str">
        <f>+IF(Tabla2[[#This Row],[FECHA DE PAGO]]&gt;0,"pagada","por pagar")</f>
        <v>pagada</v>
      </c>
      <c r="W1047" s="152" t="str">
        <f>+IF(AND(Tabla2[[#This Row],[venc]]="venc",Tabla2[[#This Row],[Columna1]]="por pagar"),"vencida","no")</f>
        <v>no</v>
      </c>
    </row>
    <row r="1048" spans="1:23" x14ac:dyDescent="0.3">
      <c r="A1048">
        <v>30</v>
      </c>
      <c r="B1048">
        <v>0</v>
      </c>
      <c r="D1048" t="s">
        <v>250</v>
      </c>
      <c r="E1048" s="156">
        <v>44510</v>
      </c>
      <c r="F1048" t="s">
        <v>1451</v>
      </c>
      <c r="G1048" s="156">
        <v>44508</v>
      </c>
      <c r="H1048">
        <v>159</v>
      </c>
      <c r="I1048">
        <v>624000</v>
      </c>
      <c r="K1048">
        <v>0</v>
      </c>
      <c r="M1048">
        <v>0</v>
      </c>
      <c r="N1048">
        <v>0.01</v>
      </c>
      <c r="O1048">
        <v>6240</v>
      </c>
      <c r="P1048" s="117">
        <v>617760</v>
      </c>
      <c r="Q1048" s="117" t="s">
        <v>1021</v>
      </c>
      <c r="R1048" s="150">
        <v>0</v>
      </c>
      <c r="S1048" s="117" t="b">
        <f>OR(COUNTIF(Tabla2[[#This Row],[PROVEEDOR]],"*"&amp;'Palabra no opera'!$A$2&amp;"*"))</f>
        <v>0</v>
      </c>
      <c r="T1048" s="150">
        <f>+$W$5-Tabla2[[#This Row],[FECHA DE FACTURACIÓN]]</f>
        <v>326</v>
      </c>
      <c r="U1048" t="str">
        <f>+IF(Tabla2[[#This Row],[dias de credito]]&gt;=Tabla2[[#This Row],[PLAZO Días]],"venc", "No venc")</f>
        <v>venc</v>
      </c>
      <c r="V1048" t="str">
        <f>+IF(Tabla2[[#This Row],[FECHA DE PAGO]]&gt;0,"pagada","por pagar")</f>
        <v>pagada</v>
      </c>
      <c r="W1048" s="152" t="str">
        <f>+IF(AND(Tabla2[[#This Row],[venc]]="venc",Tabla2[[#This Row],[Columna1]]="por pagar"),"vencida","no")</f>
        <v>no</v>
      </c>
    </row>
    <row r="1049" spans="1:23" x14ac:dyDescent="0.3">
      <c r="A1049">
        <v>30</v>
      </c>
      <c r="B1049">
        <v>326474.88</v>
      </c>
      <c r="D1049" t="s">
        <v>949</v>
      </c>
      <c r="E1049" s="156">
        <v>44510</v>
      </c>
      <c r="F1049" t="s">
        <v>345</v>
      </c>
      <c r="G1049" s="156">
        <v>44505</v>
      </c>
      <c r="H1049" t="s">
        <v>522</v>
      </c>
      <c r="I1049">
        <v>551501.68000000005</v>
      </c>
      <c r="K1049">
        <v>0</v>
      </c>
      <c r="M1049">
        <v>0</v>
      </c>
      <c r="N1049">
        <v>0</v>
      </c>
      <c r="O1049">
        <v>0</v>
      </c>
      <c r="P1049" s="117">
        <v>551501.68000000005</v>
      </c>
      <c r="Q1049" s="117" t="s">
        <v>1021</v>
      </c>
      <c r="R1049" s="150">
        <v>0</v>
      </c>
      <c r="S1049" s="117" t="b">
        <f>OR(COUNTIF(Tabla2[[#This Row],[PROVEEDOR]],"*"&amp;'Palabra no opera'!$A$2&amp;"*"))</f>
        <v>0</v>
      </c>
      <c r="T1049" s="150">
        <f>+$W$5-Tabla2[[#This Row],[FECHA DE FACTURACIÓN]]</f>
        <v>329</v>
      </c>
      <c r="U1049" t="str">
        <f>+IF(Tabla2[[#This Row],[dias de credito]]&gt;=Tabla2[[#This Row],[PLAZO Días]],"venc", "No venc")</f>
        <v>venc</v>
      </c>
      <c r="V1049" t="str">
        <f>+IF(Tabla2[[#This Row],[FECHA DE PAGO]]&gt;0,"pagada","por pagar")</f>
        <v>pagada</v>
      </c>
      <c r="W1049" s="152" t="str">
        <f>+IF(AND(Tabla2[[#This Row],[venc]]="venc",Tabla2[[#This Row],[Columna1]]="por pagar"),"vencida","no")</f>
        <v>no</v>
      </c>
    </row>
    <row r="1050" spans="1:23" x14ac:dyDescent="0.3">
      <c r="A1050">
        <v>30</v>
      </c>
      <c r="B1050">
        <v>6259125.5999999996</v>
      </c>
      <c r="D1050" t="s">
        <v>264</v>
      </c>
      <c r="E1050" s="156">
        <v>44510</v>
      </c>
      <c r="F1050" t="s">
        <v>1448</v>
      </c>
      <c r="G1050" s="156">
        <v>44475</v>
      </c>
      <c r="H1050">
        <v>23081</v>
      </c>
      <c r="I1050">
        <v>1770000</v>
      </c>
      <c r="K1050">
        <v>336300</v>
      </c>
      <c r="M1050">
        <v>0</v>
      </c>
      <c r="N1050">
        <v>2.5000000000000001E-2</v>
      </c>
      <c r="O1050">
        <v>44250</v>
      </c>
      <c r="P1050" s="117">
        <v>2062050</v>
      </c>
      <c r="Q1050" s="117" t="s">
        <v>1021</v>
      </c>
      <c r="R1050" s="150">
        <v>0</v>
      </c>
      <c r="S1050" s="117" t="b">
        <f>OR(COUNTIF(Tabla2[[#This Row],[PROVEEDOR]],"*"&amp;'Palabra no opera'!$A$2&amp;"*"))</f>
        <v>0</v>
      </c>
      <c r="T1050" s="150">
        <f>+$W$5-Tabla2[[#This Row],[FECHA DE FACTURACIÓN]]</f>
        <v>359</v>
      </c>
      <c r="U1050" t="str">
        <f>+IF(Tabla2[[#This Row],[dias de credito]]&gt;=Tabla2[[#This Row],[PLAZO Días]],"venc", "No venc")</f>
        <v>venc</v>
      </c>
      <c r="V1050" t="str">
        <f>+IF(Tabla2[[#This Row],[FECHA DE PAGO]]&gt;0,"pagada","por pagar")</f>
        <v>pagada</v>
      </c>
      <c r="W1050" s="152" t="str">
        <f>+IF(AND(Tabla2[[#This Row],[venc]]="venc",Tabla2[[#This Row],[Columna1]]="por pagar"),"vencida","no")</f>
        <v>no</v>
      </c>
    </row>
    <row r="1051" spans="1:23" x14ac:dyDescent="0.3">
      <c r="A1051">
        <v>30</v>
      </c>
      <c r="B1051">
        <v>146262.9</v>
      </c>
      <c r="D1051" t="s">
        <v>262</v>
      </c>
      <c r="E1051" s="156">
        <v>44510</v>
      </c>
      <c r="F1051" t="s">
        <v>17</v>
      </c>
      <c r="G1051" s="156">
        <v>44475</v>
      </c>
      <c r="H1051" t="s">
        <v>1325</v>
      </c>
      <c r="I1051">
        <v>1336624</v>
      </c>
      <c r="K1051">
        <v>253958.56</v>
      </c>
      <c r="M1051">
        <v>0</v>
      </c>
      <c r="N1051">
        <v>0</v>
      </c>
      <c r="O1051">
        <v>0</v>
      </c>
      <c r="P1051" s="117">
        <v>1590582.56</v>
      </c>
      <c r="Q1051" s="117" t="s">
        <v>1021</v>
      </c>
      <c r="R1051" s="150">
        <v>0</v>
      </c>
      <c r="S1051" s="117" t="b">
        <f>OR(COUNTIF(Tabla2[[#This Row],[PROVEEDOR]],"*"&amp;'Palabra no opera'!$A$2&amp;"*"))</f>
        <v>0</v>
      </c>
      <c r="T1051" s="150">
        <f>+$W$5-Tabla2[[#This Row],[FECHA DE FACTURACIÓN]]</f>
        <v>359</v>
      </c>
      <c r="U1051" t="str">
        <f>+IF(Tabla2[[#This Row],[dias de credito]]&gt;=Tabla2[[#This Row],[PLAZO Días]],"venc", "No venc")</f>
        <v>venc</v>
      </c>
      <c r="V1051" t="str">
        <f>+IF(Tabla2[[#This Row],[FECHA DE PAGO]]&gt;0,"pagada","por pagar")</f>
        <v>pagada</v>
      </c>
      <c r="W1051" s="152" t="str">
        <f>+IF(AND(Tabla2[[#This Row],[venc]]="venc",Tabla2[[#This Row],[Columna1]]="por pagar"),"vencida","no")</f>
        <v>no</v>
      </c>
    </row>
    <row r="1052" spans="1:23" x14ac:dyDescent="0.3">
      <c r="A1052">
        <v>30</v>
      </c>
      <c r="B1052">
        <v>0</v>
      </c>
      <c r="D1052" t="s">
        <v>547</v>
      </c>
      <c r="E1052" s="156">
        <v>44510</v>
      </c>
      <c r="F1052" t="s">
        <v>510</v>
      </c>
      <c r="G1052" s="156">
        <v>44474</v>
      </c>
      <c r="H1052" t="s">
        <v>488</v>
      </c>
      <c r="I1052">
        <v>2312400</v>
      </c>
      <c r="K1052">
        <v>439356</v>
      </c>
      <c r="M1052">
        <v>0</v>
      </c>
      <c r="N1052">
        <v>0</v>
      </c>
      <c r="O1052">
        <v>0</v>
      </c>
      <c r="P1052" s="117">
        <v>2751756</v>
      </c>
      <c r="Q1052" s="117" t="s">
        <v>1021</v>
      </c>
      <c r="R1052" s="150">
        <v>0</v>
      </c>
      <c r="S1052" s="117" t="b">
        <f>OR(COUNTIF(Tabla2[[#This Row],[PROVEEDOR]],"*"&amp;'Palabra no opera'!$A$2&amp;"*"))</f>
        <v>0</v>
      </c>
      <c r="T1052" s="150">
        <f>+$W$5-Tabla2[[#This Row],[FECHA DE FACTURACIÓN]]</f>
        <v>360</v>
      </c>
      <c r="U1052" t="str">
        <f>+IF(Tabla2[[#This Row],[dias de credito]]&gt;=Tabla2[[#This Row],[PLAZO Días]],"venc", "No venc")</f>
        <v>venc</v>
      </c>
      <c r="V1052" t="str">
        <f>+IF(Tabla2[[#This Row],[FECHA DE PAGO]]&gt;0,"pagada","por pagar")</f>
        <v>pagada</v>
      </c>
      <c r="W1052" s="152" t="str">
        <f>+IF(AND(Tabla2[[#This Row],[venc]]="venc",Tabla2[[#This Row],[Columna1]]="por pagar"),"vencida","no")</f>
        <v>no</v>
      </c>
    </row>
    <row r="1053" spans="1:23" x14ac:dyDescent="0.3">
      <c r="A1053">
        <v>30</v>
      </c>
      <c r="B1053">
        <v>146262.9</v>
      </c>
      <c r="D1053" t="s">
        <v>262</v>
      </c>
      <c r="E1053" s="156">
        <v>44510</v>
      </c>
      <c r="F1053" t="s">
        <v>17</v>
      </c>
      <c r="G1053" s="156">
        <v>44474</v>
      </c>
      <c r="H1053">
        <v>1822901</v>
      </c>
      <c r="I1053">
        <v>521600</v>
      </c>
      <c r="K1053">
        <v>99104</v>
      </c>
      <c r="M1053">
        <v>0</v>
      </c>
      <c r="N1053">
        <v>0</v>
      </c>
      <c r="O1053">
        <v>0</v>
      </c>
      <c r="P1053" s="117">
        <v>620704</v>
      </c>
      <c r="Q1053" s="117" t="s">
        <v>1021</v>
      </c>
      <c r="R1053" s="150">
        <v>0</v>
      </c>
      <c r="S1053" s="117" t="b">
        <f>OR(COUNTIF(Tabla2[[#This Row],[PROVEEDOR]],"*"&amp;'Palabra no opera'!$A$2&amp;"*"))</f>
        <v>0</v>
      </c>
      <c r="T1053" s="150">
        <f>+$W$5-Tabla2[[#This Row],[FECHA DE FACTURACIÓN]]</f>
        <v>360</v>
      </c>
      <c r="U1053" t="str">
        <f>+IF(Tabla2[[#This Row],[dias de credito]]&gt;=Tabla2[[#This Row],[PLAZO Días]],"venc", "No venc")</f>
        <v>venc</v>
      </c>
      <c r="V1053" t="str">
        <f>+IF(Tabla2[[#This Row],[FECHA DE PAGO]]&gt;0,"pagada","por pagar")</f>
        <v>pagada</v>
      </c>
      <c r="W1053" s="152" t="str">
        <f>+IF(AND(Tabla2[[#This Row],[venc]]="venc",Tabla2[[#This Row],[Columna1]]="por pagar"),"vencida","no")</f>
        <v>no</v>
      </c>
    </row>
    <row r="1054" spans="1:23" x14ac:dyDescent="0.3">
      <c r="A1054">
        <v>30</v>
      </c>
      <c r="B1054">
        <v>146262.9</v>
      </c>
      <c r="D1054" t="s">
        <v>262</v>
      </c>
      <c r="E1054" s="156">
        <v>44510</v>
      </c>
      <c r="F1054" t="s">
        <v>17</v>
      </c>
      <c r="G1054" s="156">
        <v>44474</v>
      </c>
      <c r="H1054">
        <v>1823038</v>
      </c>
      <c r="I1054">
        <v>501900</v>
      </c>
      <c r="K1054">
        <v>95361</v>
      </c>
      <c r="M1054">
        <v>0</v>
      </c>
      <c r="N1054">
        <v>0</v>
      </c>
      <c r="O1054">
        <v>0</v>
      </c>
      <c r="P1054" s="117">
        <v>597261</v>
      </c>
      <c r="Q1054" s="117" t="s">
        <v>1021</v>
      </c>
      <c r="R1054" s="150">
        <v>0</v>
      </c>
      <c r="S1054" s="117" t="b">
        <f>OR(COUNTIF(Tabla2[[#This Row],[PROVEEDOR]],"*"&amp;'Palabra no opera'!$A$2&amp;"*"))</f>
        <v>0</v>
      </c>
      <c r="T1054" s="150">
        <f>+$W$5-Tabla2[[#This Row],[FECHA DE FACTURACIÓN]]</f>
        <v>360</v>
      </c>
      <c r="U1054" t="str">
        <f>+IF(Tabla2[[#This Row],[dias de credito]]&gt;=Tabla2[[#This Row],[PLAZO Días]],"venc", "No venc")</f>
        <v>venc</v>
      </c>
      <c r="V1054" t="str">
        <f>+IF(Tabla2[[#This Row],[FECHA DE PAGO]]&gt;0,"pagada","por pagar")</f>
        <v>pagada</v>
      </c>
      <c r="W1054" s="152" t="str">
        <f>+IF(AND(Tabla2[[#This Row],[venc]]="venc",Tabla2[[#This Row],[Columna1]]="por pagar"),"vencida","no")</f>
        <v>no</v>
      </c>
    </row>
    <row r="1055" spans="1:23" x14ac:dyDescent="0.3">
      <c r="A1055">
        <v>30</v>
      </c>
      <c r="B1055">
        <v>6259125.5999999996</v>
      </c>
      <c r="D1055" t="s">
        <v>264</v>
      </c>
      <c r="E1055" s="156">
        <v>44510</v>
      </c>
      <c r="F1055" t="s">
        <v>1448</v>
      </c>
      <c r="G1055" s="156">
        <v>44471</v>
      </c>
      <c r="H1055">
        <v>22921</v>
      </c>
      <c r="I1055">
        <v>3732000</v>
      </c>
      <c r="K1055">
        <v>709080</v>
      </c>
      <c r="M1055">
        <v>0</v>
      </c>
      <c r="N1055">
        <v>2.5000000000000001E-2</v>
      </c>
      <c r="O1055">
        <v>93300</v>
      </c>
      <c r="P1055" s="117">
        <v>4347780</v>
      </c>
      <c r="Q1055" s="117" t="s">
        <v>1021</v>
      </c>
      <c r="R1055" s="150">
        <v>0</v>
      </c>
      <c r="S1055" s="117" t="b">
        <f>OR(COUNTIF(Tabla2[[#This Row],[PROVEEDOR]],"*"&amp;'Palabra no opera'!$A$2&amp;"*"))</f>
        <v>0</v>
      </c>
      <c r="T1055" s="150">
        <f>+$W$5-Tabla2[[#This Row],[FECHA DE FACTURACIÓN]]</f>
        <v>363</v>
      </c>
      <c r="U1055" t="str">
        <f>+IF(Tabla2[[#This Row],[dias de credito]]&gt;=Tabla2[[#This Row],[PLAZO Días]],"venc", "No venc")</f>
        <v>venc</v>
      </c>
      <c r="V1055" t="str">
        <f>+IF(Tabla2[[#This Row],[FECHA DE PAGO]]&gt;0,"pagada","por pagar")</f>
        <v>pagada</v>
      </c>
      <c r="W1055" s="152" t="str">
        <f>+IF(AND(Tabla2[[#This Row],[venc]]="venc",Tabla2[[#This Row],[Columna1]]="por pagar"),"vencida","no")</f>
        <v>no</v>
      </c>
    </row>
    <row r="1056" spans="1:23" x14ac:dyDescent="0.3">
      <c r="A1056">
        <v>30</v>
      </c>
      <c r="B1056">
        <v>3921000</v>
      </c>
      <c r="D1056" t="s">
        <v>139</v>
      </c>
      <c r="E1056" s="156">
        <v>44510</v>
      </c>
      <c r="F1056" t="s">
        <v>671</v>
      </c>
      <c r="G1056" s="156">
        <v>44449</v>
      </c>
      <c r="H1056" t="s">
        <v>1497</v>
      </c>
      <c r="I1056">
        <v>1140000</v>
      </c>
      <c r="K1056">
        <v>0</v>
      </c>
      <c r="M1056">
        <v>0</v>
      </c>
      <c r="N1056">
        <v>0</v>
      </c>
      <c r="O1056">
        <v>0</v>
      </c>
      <c r="P1056" s="117">
        <v>1140000</v>
      </c>
      <c r="Q1056" s="117" t="s">
        <v>1021</v>
      </c>
      <c r="R1056" s="150">
        <v>0</v>
      </c>
      <c r="S1056" s="117" t="b">
        <f>OR(COUNTIF(Tabla2[[#This Row],[PROVEEDOR]],"*"&amp;'Palabra no opera'!$A$2&amp;"*"))</f>
        <v>0</v>
      </c>
      <c r="T1056" s="150">
        <f>+$W$5-Tabla2[[#This Row],[FECHA DE FACTURACIÓN]]</f>
        <v>385</v>
      </c>
      <c r="U1056" t="str">
        <f>+IF(Tabla2[[#This Row],[dias de credito]]&gt;=Tabla2[[#This Row],[PLAZO Días]],"venc", "No venc")</f>
        <v>venc</v>
      </c>
      <c r="V1056" t="str">
        <f>+IF(Tabla2[[#This Row],[FECHA DE PAGO]]&gt;0,"pagada","por pagar")</f>
        <v>pagada</v>
      </c>
      <c r="W1056" s="152" t="str">
        <f>+IF(AND(Tabla2[[#This Row],[venc]]="venc",Tabla2[[#This Row],[Columna1]]="por pagar"),"vencida","no")</f>
        <v>no</v>
      </c>
    </row>
    <row r="1057" spans="1:23" x14ac:dyDescent="0.3">
      <c r="A1057">
        <v>45</v>
      </c>
      <c r="B1057">
        <v>7497238</v>
      </c>
      <c r="D1057" t="s">
        <v>272</v>
      </c>
      <c r="E1057" s="156">
        <v>44510</v>
      </c>
      <c r="F1057" t="s">
        <v>10</v>
      </c>
      <c r="G1057" s="156">
        <v>44448</v>
      </c>
      <c r="H1057" t="s">
        <v>468</v>
      </c>
      <c r="I1057">
        <v>725000</v>
      </c>
      <c r="K1057">
        <v>137750</v>
      </c>
      <c r="M1057">
        <v>0</v>
      </c>
      <c r="N1057">
        <v>0</v>
      </c>
      <c r="O1057">
        <v>0</v>
      </c>
      <c r="P1057" s="117">
        <v>862750</v>
      </c>
      <c r="Q1057" s="117" t="s">
        <v>1021</v>
      </c>
      <c r="R1057" s="150">
        <v>0</v>
      </c>
      <c r="S1057" s="117" t="b">
        <f>OR(COUNTIF(Tabla2[[#This Row],[PROVEEDOR]],"*"&amp;'Palabra no opera'!$A$2&amp;"*"))</f>
        <v>0</v>
      </c>
      <c r="T1057" s="150">
        <f>+$W$5-Tabla2[[#This Row],[FECHA DE FACTURACIÓN]]</f>
        <v>386</v>
      </c>
      <c r="U1057" t="str">
        <f>+IF(Tabla2[[#This Row],[dias de credito]]&gt;=Tabla2[[#This Row],[PLAZO Días]],"venc", "No venc")</f>
        <v>venc</v>
      </c>
      <c r="V1057" t="str">
        <f>+IF(Tabla2[[#This Row],[FECHA DE PAGO]]&gt;0,"pagada","por pagar")</f>
        <v>pagada</v>
      </c>
      <c r="W1057" s="152" t="str">
        <f>+IF(AND(Tabla2[[#This Row],[venc]]="venc",Tabla2[[#This Row],[Columna1]]="por pagar"),"vencida","no")</f>
        <v>no</v>
      </c>
    </row>
    <row r="1058" spans="1:23" x14ac:dyDescent="0.3">
      <c r="A1058">
        <v>45</v>
      </c>
      <c r="B1058">
        <v>7497238</v>
      </c>
      <c r="D1058" t="s">
        <v>272</v>
      </c>
      <c r="E1058" s="156">
        <v>44510</v>
      </c>
      <c r="F1058" t="s">
        <v>10</v>
      </c>
      <c r="G1058" s="156">
        <v>44438</v>
      </c>
      <c r="H1058" t="s">
        <v>449</v>
      </c>
      <c r="I1058">
        <v>400000</v>
      </c>
      <c r="K1058">
        <v>76000</v>
      </c>
      <c r="M1058">
        <v>0</v>
      </c>
      <c r="N1058">
        <v>0</v>
      </c>
      <c r="O1058">
        <v>0</v>
      </c>
      <c r="P1058" s="117">
        <v>476000</v>
      </c>
      <c r="Q1058" s="117" t="s">
        <v>1021</v>
      </c>
      <c r="R1058" s="150">
        <v>0</v>
      </c>
      <c r="S1058" s="117" t="b">
        <f>OR(COUNTIF(Tabla2[[#This Row],[PROVEEDOR]],"*"&amp;'Palabra no opera'!$A$2&amp;"*"))</f>
        <v>0</v>
      </c>
      <c r="T1058" s="150">
        <f>+$W$5-Tabla2[[#This Row],[FECHA DE FACTURACIÓN]]</f>
        <v>396</v>
      </c>
      <c r="U1058" t="str">
        <f>+IF(Tabla2[[#This Row],[dias de credito]]&gt;=Tabla2[[#This Row],[PLAZO Días]],"venc", "No venc")</f>
        <v>venc</v>
      </c>
      <c r="V1058" t="str">
        <f>+IF(Tabla2[[#This Row],[FECHA DE PAGO]]&gt;0,"pagada","por pagar")</f>
        <v>pagada</v>
      </c>
      <c r="W1058" s="152" t="str">
        <f>+IF(AND(Tabla2[[#This Row],[venc]]="venc",Tabla2[[#This Row],[Columna1]]="por pagar"),"vencida","no")</f>
        <v>no</v>
      </c>
    </row>
    <row r="1059" spans="1:23" x14ac:dyDescent="0.3">
      <c r="A1059">
        <v>30</v>
      </c>
      <c r="B1059">
        <v>0</v>
      </c>
      <c r="D1059" t="s">
        <v>139</v>
      </c>
      <c r="E1059" s="156">
        <v>44509</v>
      </c>
      <c r="F1059" t="s">
        <v>644</v>
      </c>
      <c r="G1059" s="156">
        <v>44509</v>
      </c>
      <c r="H1059" t="s">
        <v>1344</v>
      </c>
      <c r="I1059">
        <v>40000</v>
      </c>
      <c r="K1059">
        <v>0</v>
      </c>
      <c r="M1059">
        <v>0</v>
      </c>
      <c r="N1059">
        <v>0</v>
      </c>
      <c r="O1059">
        <v>0</v>
      </c>
      <c r="P1059" s="117">
        <v>40000</v>
      </c>
      <c r="Q1059" s="117" t="s">
        <v>1021</v>
      </c>
      <c r="R1059" s="150">
        <v>0</v>
      </c>
      <c r="S1059" s="117" t="b">
        <f>OR(COUNTIF(Tabla2[[#This Row],[PROVEEDOR]],"*"&amp;'Palabra no opera'!$A$2&amp;"*"))</f>
        <v>0</v>
      </c>
      <c r="T1059" s="150">
        <f>+$W$5-Tabla2[[#This Row],[FECHA DE FACTURACIÓN]]</f>
        <v>325</v>
      </c>
      <c r="U1059" t="str">
        <f>+IF(Tabla2[[#This Row],[dias de credito]]&gt;=Tabla2[[#This Row],[PLAZO Días]],"venc", "No venc")</f>
        <v>venc</v>
      </c>
      <c r="V1059" t="str">
        <f>+IF(Tabla2[[#This Row],[FECHA DE PAGO]]&gt;0,"pagada","por pagar")</f>
        <v>pagada</v>
      </c>
      <c r="W1059" s="152" t="str">
        <f>+IF(AND(Tabla2[[#This Row],[venc]]="venc",Tabla2[[#This Row],[Columna1]]="por pagar"),"vencida","no")</f>
        <v>no</v>
      </c>
    </row>
    <row r="1060" spans="1:23" x14ac:dyDescent="0.3">
      <c r="A1060">
        <v>30</v>
      </c>
      <c r="B1060">
        <v>0</v>
      </c>
      <c r="D1060" t="s">
        <v>139</v>
      </c>
      <c r="E1060" s="156">
        <v>44509</v>
      </c>
      <c r="F1060" t="s">
        <v>695</v>
      </c>
      <c r="G1060" s="156">
        <v>44506</v>
      </c>
      <c r="H1060" t="s">
        <v>523</v>
      </c>
      <c r="I1060">
        <v>461000</v>
      </c>
      <c r="K1060">
        <v>0</v>
      </c>
      <c r="M1060">
        <v>0</v>
      </c>
      <c r="N1060">
        <v>0</v>
      </c>
      <c r="O1060">
        <v>0</v>
      </c>
      <c r="P1060" s="117">
        <v>461000</v>
      </c>
      <c r="Q1060" s="117" t="s">
        <v>1021</v>
      </c>
      <c r="R1060" s="150">
        <v>0</v>
      </c>
      <c r="S1060" s="117" t="b">
        <f>OR(COUNTIF(Tabla2[[#This Row],[PROVEEDOR]],"*"&amp;'Palabra no opera'!$A$2&amp;"*"))</f>
        <v>0</v>
      </c>
      <c r="T1060" s="150">
        <f>+$W$5-Tabla2[[#This Row],[FECHA DE FACTURACIÓN]]</f>
        <v>328</v>
      </c>
      <c r="U1060" t="str">
        <f>+IF(Tabla2[[#This Row],[dias de credito]]&gt;=Tabla2[[#This Row],[PLAZO Días]],"venc", "No venc")</f>
        <v>venc</v>
      </c>
      <c r="V1060" t="str">
        <f>+IF(Tabla2[[#This Row],[FECHA DE PAGO]]&gt;0,"pagada","por pagar")</f>
        <v>pagada</v>
      </c>
      <c r="W1060" s="152" t="str">
        <f>+IF(AND(Tabla2[[#This Row],[venc]]="venc",Tabla2[[#This Row],[Columna1]]="por pagar"),"vencida","no")</f>
        <v>no</v>
      </c>
    </row>
    <row r="1061" spans="1:23" x14ac:dyDescent="0.3">
      <c r="A1061">
        <v>30</v>
      </c>
      <c r="B1061">
        <v>0</v>
      </c>
      <c r="D1061" t="s">
        <v>969</v>
      </c>
      <c r="E1061" s="156">
        <v>44509</v>
      </c>
      <c r="F1061" t="s">
        <v>1112</v>
      </c>
      <c r="G1061" s="156">
        <v>44504</v>
      </c>
      <c r="I1061">
        <v>168360</v>
      </c>
      <c r="K1061">
        <v>31988.400000000001</v>
      </c>
      <c r="M1061">
        <v>0</v>
      </c>
      <c r="N1061">
        <v>0</v>
      </c>
      <c r="O1061">
        <v>0</v>
      </c>
      <c r="P1061" s="117">
        <v>200348.4</v>
      </c>
      <c r="Q1061" s="117" t="s">
        <v>1021</v>
      </c>
      <c r="R1061" s="150">
        <v>0</v>
      </c>
      <c r="S1061" s="117" t="b">
        <f>OR(COUNTIF(Tabla2[[#This Row],[PROVEEDOR]],"*"&amp;'Palabra no opera'!$A$2&amp;"*"))</f>
        <v>1</v>
      </c>
      <c r="T1061" s="150">
        <f>+$W$5-Tabla2[[#This Row],[FECHA DE FACTURACIÓN]]</f>
        <v>330</v>
      </c>
      <c r="U1061" t="str">
        <f>+IF(Tabla2[[#This Row],[dias de credito]]&gt;=Tabla2[[#This Row],[PLAZO Días]],"venc", "No venc")</f>
        <v>venc</v>
      </c>
      <c r="V1061" t="str">
        <f>+IF(Tabla2[[#This Row],[FECHA DE PAGO]]&gt;0,"pagada","por pagar")</f>
        <v>pagada</v>
      </c>
      <c r="W1061" s="152" t="str">
        <f>+IF(AND(Tabla2[[#This Row],[venc]]="venc",Tabla2[[#This Row],[Columna1]]="por pagar"),"vencida","no")</f>
        <v>no</v>
      </c>
    </row>
    <row r="1062" spans="1:23" x14ac:dyDescent="0.3">
      <c r="A1062">
        <v>30</v>
      </c>
      <c r="B1062">
        <v>0</v>
      </c>
      <c r="D1062" t="s">
        <v>431</v>
      </c>
      <c r="E1062" s="156">
        <v>44509</v>
      </c>
      <c r="F1062" t="s">
        <v>677</v>
      </c>
      <c r="G1062" s="156">
        <v>44480</v>
      </c>
      <c r="H1062" t="s">
        <v>1505</v>
      </c>
      <c r="I1062">
        <v>1750000</v>
      </c>
      <c r="K1062">
        <v>0</v>
      </c>
      <c r="M1062">
        <v>0</v>
      </c>
      <c r="N1062">
        <v>0</v>
      </c>
      <c r="O1062">
        <v>0</v>
      </c>
      <c r="P1062" s="117">
        <v>1750000</v>
      </c>
      <c r="Q1062" s="117" t="s">
        <v>1021</v>
      </c>
      <c r="R1062" s="150">
        <v>0</v>
      </c>
      <c r="S1062" s="117" t="b">
        <f>OR(COUNTIF(Tabla2[[#This Row],[PROVEEDOR]],"*"&amp;'Palabra no opera'!$A$2&amp;"*"))</f>
        <v>0</v>
      </c>
      <c r="T1062" s="150">
        <f>+$W$5-Tabla2[[#This Row],[FECHA DE FACTURACIÓN]]</f>
        <v>354</v>
      </c>
      <c r="U1062" t="str">
        <f>+IF(Tabla2[[#This Row],[dias de credito]]&gt;=Tabla2[[#This Row],[PLAZO Días]],"venc", "No venc")</f>
        <v>venc</v>
      </c>
      <c r="V1062" t="str">
        <f>+IF(Tabla2[[#This Row],[FECHA DE PAGO]]&gt;0,"pagada","por pagar")</f>
        <v>pagada</v>
      </c>
      <c r="W1062" s="152" t="str">
        <f>+IF(AND(Tabla2[[#This Row],[venc]]="venc",Tabla2[[#This Row],[Columna1]]="por pagar"),"vencida","no")</f>
        <v>no</v>
      </c>
    </row>
    <row r="1063" spans="1:23" x14ac:dyDescent="0.3">
      <c r="A1063">
        <v>30</v>
      </c>
      <c r="B1063">
        <v>5225000</v>
      </c>
      <c r="D1063" t="s">
        <v>139</v>
      </c>
      <c r="E1063" s="156">
        <v>44509</v>
      </c>
      <c r="F1063" t="s">
        <v>629</v>
      </c>
      <c r="G1063" s="156">
        <v>44467</v>
      </c>
      <c r="H1063" t="s">
        <v>1312</v>
      </c>
      <c r="I1063">
        <v>2408000</v>
      </c>
      <c r="K1063">
        <v>0</v>
      </c>
      <c r="M1063">
        <v>0</v>
      </c>
      <c r="N1063">
        <v>0</v>
      </c>
      <c r="O1063">
        <v>0</v>
      </c>
      <c r="P1063" s="117">
        <v>2408000</v>
      </c>
      <c r="Q1063" s="117" t="s">
        <v>1021</v>
      </c>
      <c r="R1063" s="150">
        <v>0</v>
      </c>
      <c r="S1063" s="117" t="b">
        <f>OR(COUNTIF(Tabla2[[#This Row],[PROVEEDOR]],"*"&amp;'Palabra no opera'!$A$2&amp;"*"))</f>
        <v>0</v>
      </c>
      <c r="T1063" s="150">
        <f>+$W$5-Tabla2[[#This Row],[FECHA DE FACTURACIÓN]]</f>
        <v>367</v>
      </c>
      <c r="U1063" t="str">
        <f>+IF(Tabla2[[#This Row],[dias de credito]]&gt;=Tabla2[[#This Row],[PLAZO Días]],"venc", "No venc")</f>
        <v>venc</v>
      </c>
      <c r="V1063" t="str">
        <f>+IF(Tabla2[[#This Row],[FECHA DE PAGO]]&gt;0,"pagada","por pagar")</f>
        <v>pagada</v>
      </c>
      <c r="W1063" s="152" t="str">
        <f>+IF(AND(Tabla2[[#This Row],[venc]]="venc",Tabla2[[#This Row],[Columna1]]="por pagar"),"vencida","no")</f>
        <v>no</v>
      </c>
    </row>
    <row r="1064" spans="1:23" x14ac:dyDescent="0.3">
      <c r="A1064">
        <v>30</v>
      </c>
      <c r="B1064">
        <v>2324000</v>
      </c>
      <c r="D1064" t="s">
        <v>251</v>
      </c>
      <c r="E1064" s="156">
        <v>44509</v>
      </c>
      <c r="F1064" t="s">
        <v>699</v>
      </c>
      <c r="G1064" s="156">
        <v>44445</v>
      </c>
      <c r="H1064" t="s">
        <v>1490</v>
      </c>
      <c r="I1064">
        <v>748000</v>
      </c>
      <c r="K1064">
        <v>0</v>
      </c>
      <c r="M1064">
        <v>0</v>
      </c>
      <c r="N1064">
        <v>0</v>
      </c>
      <c r="O1064">
        <v>0</v>
      </c>
      <c r="P1064" s="117">
        <v>748000</v>
      </c>
      <c r="Q1064" s="117" t="s">
        <v>1021</v>
      </c>
      <c r="R1064" s="150">
        <v>0</v>
      </c>
      <c r="S1064" s="117" t="b">
        <f>OR(COUNTIF(Tabla2[[#This Row],[PROVEEDOR]],"*"&amp;'Palabra no opera'!$A$2&amp;"*"))</f>
        <v>0</v>
      </c>
      <c r="T1064" s="150">
        <f>+$W$5-Tabla2[[#This Row],[FECHA DE FACTURACIÓN]]</f>
        <v>389</v>
      </c>
      <c r="U1064" t="str">
        <f>+IF(Tabla2[[#This Row],[dias de credito]]&gt;=Tabla2[[#This Row],[PLAZO Días]],"venc", "No venc")</f>
        <v>venc</v>
      </c>
      <c r="V1064" t="str">
        <f>+IF(Tabla2[[#This Row],[FECHA DE PAGO]]&gt;0,"pagada","por pagar")</f>
        <v>pagada</v>
      </c>
      <c r="W1064" s="152" t="str">
        <f>+IF(AND(Tabla2[[#This Row],[venc]]="venc",Tabla2[[#This Row],[Columna1]]="por pagar"),"vencida","no")</f>
        <v>no</v>
      </c>
    </row>
    <row r="1065" spans="1:23" x14ac:dyDescent="0.3">
      <c r="A1065">
        <v>30</v>
      </c>
      <c r="B1065">
        <v>2324000</v>
      </c>
      <c r="D1065" t="s">
        <v>251</v>
      </c>
      <c r="E1065" s="156">
        <v>44509</v>
      </c>
      <c r="F1065" t="s">
        <v>699</v>
      </c>
      <c r="G1065" s="156">
        <v>44445</v>
      </c>
      <c r="H1065" t="s">
        <v>1491</v>
      </c>
      <c r="I1065">
        <v>1370000</v>
      </c>
      <c r="K1065">
        <v>0</v>
      </c>
      <c r="M1065">
        <v>0</v>
      </c>
      <c r="N1065">
        <v>0</v>
      </c>
      <c r="O1065">
        <v>0</v>
      </c>
      <c r="P1065" s="117">
        <v>1370000</v>
      </c>
      <c r="Q1065" s="117" t="s">
        <v>1021</v>
      </c>
      <c r="R1065" s="150">
        <v>0</v>
      </c>
      <c r="S1065" s="117" t="b">
        <f>OR(COUNTIF(Tabla2[[#This Row],[PROVEEDOR]],"*"&amp;'Palabra no opera'!$A$2&amp;"*"))</f>
        <v>0</v>
      </c>
      <c r="T1065" s="150">
        <f>+$W$5-Tabla2[[#This Row],[FECHA DE FACTURACIÓN]]</f>
        <v>389</v>
      </c>
      <c r="U1065" t="str">
        <f>+IF(Tabla2[[#This Row],[dias de credito]]&gt;=Tabla2[[#This Row],[PLAZO Días]],"venc", "No venc")</f>
        <v>venc</v>
      </c>
      <c r="V1065" t="str">
        <f>+IF(Tabla2[[#This Row],[FECHA DE PAGO]]&gt;0,"pagada","por pagar")</f>
        <v>pagada</v>
      </c>
      <c r="W1065" s="152" t="str">
        <f>+IF(AND(Tabla2[[#This Row],[venc]]="venc",Tabla2[[#This Row],[Columna1]]="por pagar"),"vencida","no")</f>
        <v>no</v>
      </c>
    </row>
    <row r="1066" spans="1:23" x14ac:dyDescent="0.3">
      <c r="A1066">
        <v>30</v>
      </c>
      <c r="B1066">
        <v>0</v>
      </c>
      <c r="D1066" t="s">
        <v>139</v>
      </c>
      <c r="E1066" s="156">
        <v>44505</v>
      </c>
      <c r="F1066" t="s">
        <v>27</v>
      </c>
      <c r="G1066" s="156">
        <v>44504</v>
      </c>
      <c r="H1066" t="s">
        <v>521</v>
      </c>
      <c r="I1066">
        <v>6054360</v>
      </c>
      <c r="K1066">
        <v>0</v>
      </c>
      <c r="M1066">
        <v>0</v>
      </c>
      <c r="N1066">
        <v>0</v>
      </c>
      <c r="O1066">
        <v>0</v>
      </c>
      <c r="P1066" s="117">
        <v>6054360</v>
      </c>
      <c r="Q1066" s="117" t="s">
        <v>1021</v>
      </c>
      <c r="R1066" s="150">
        <v>0</v>
      </c>
      <c r="S1066" s="117" t="b">
        <f>OR(COUNTIF(Tabla2[[#This Row],[PROVEEDOR]],"*"&amp;'Palabra no opera'!$A$2&amp;"*"))</f>
        <v>0</v>
      </c>
      <c r="T1066" s="150">
        <f>+$W$5-Tabla2[[#This Row],[FECHA DE FACTURACIÓN]]</f>
        <v>330</v>
      </c>
      <c r="U1066" t="str">
        <f>+IF(Tabla2[[#This Row],[dias de credito]]&gt;=Tabla2[[#This Row],[PLAZO Días]],"venc", "No venc")</f>
        <v>venc</v>
      </c>
      <c r="V1066" t="str">
        <f>+IF(Tabla2[[#This Row],[FECHA DE PAGO]]&gt;0,"pagada","por pagar")</f>
        <v>pagada</v>
      </c>
      <c r="W1066" s="152" t="str">
        <f>+IF(AND(Tabla2[[#This Row],[venc]]="venc",Tabla2[[#This Row],[Columna1]]="por pagar"),"vencida","no")</f>
        <v>no</v>
      </c>
    </row>
    <row r="1067" spans="1:23" x14ac:dyDescent="0.3">
      <c r="A1067">
        <v>30</v>
      </c>
      <c r="B1067">
        <v>0</v>
      </c>
      <c r="D1067" t="s">
        <v>139</v>
      </c>
      <c r="E1067" s="156">
        <v>44504</v>
      </c>
      <c r="F1067" t="s">
        <v>673</v>
      </c>
      <c r="G1067" s="156">
        <v>44504</v>
      </c>
      <c r="I1067">
        <v>1000000</v>
      </c>
      <c r="K1067">
        <v>0</v>
      </c>
      <c r="M1067">
        <v>0</v>
      </c>
      <c r="N1067">
        <v>0</v>
      </c>
      <c r="O1067">
        <v>0</v>
      </c>
      <c r="P1067" s="117">
        <v>1000000</v>
      </c>
      <c r="Q1067" s="117" t="s">
        <v>1021</v>
      </c>
      <c r="R1067" s="150">
        <v>0</v>
      </c>
      <c r="S1067" s="117" t="b">
        <f>OR(COUNTIF(Tabla2[[#This Row],[PROVEEDOR]],"*"&amp;'Palabra no opera'!$A$2&amp;"*"))</f>
        <v>0</v>
      </c>
      <c r="T1067" s="150">
        <f>+$W$5-Tabla2[[#This Row],[FECHA DE FACTURACIÓN]]</f>
        <v>330</v>
      </c>
      <c r="U1067" t="str">
        <f>+IF(Tabla2[[#This Row],[dias de credito]]&gt;=Tabla2[[#This Row],[PLAZO Días]],"venc", "No venc")</f>
        <v>venc</v>
      </c>
      <c r="V1067" t="str">
        <f>+IF(Tabla2[[#This Row],[FECHA DE PAGO]]&gt;0,"pagada","por pagar")</f>
        <v>pagada</v>
      </c>
      <c r="W1067" s="152" t="str">
        <f>+IF(AND(Tabla2[[#This Row],[venc]]="venc",Tabla2[[#This Row],[Columna1]]="por pagar"),"vencida","no")</f>
        <v>no</v>
      </c>
    </row>
    <row r="1068" spans="1:23" x14ac:dyDescent="0.3">
      <c r="A1068">
        <v>60</v>
      </c>
      <c r="B1068">
        <v>0</v>
      </c>
      <c r="D1068">
        <v>0</v>
      </c>
      <c r="E1068" s="156">
        <v>44504</v>
      </c>
      <c r="F1068" t="s">
        <v>920</v>
      </c>
      <c r="G1068" s="156">
        <v>44489</v>
      </c>
      <c r="H1068" t="s">
        <v>1332</v>
      </c>
      <c r="I1068">
        <v>800000</v>
      </c>
      <c r="K1068">
        <v>0</v>
      </c>
      <c r="M1068">
        <v>0</v>
      </c>
      <c r="N1068">
        <v>0</v>
      </c>
      <c r="O1068">
        <v>0</v>
      </c>
      <c r="P1068" s="117">
        <v>800000</v>
      </c>
      <c r="Q1068" s="117" t="s">
        <v>1021</v>
      </c>
      <c r="R1068" s="150">
        <v>0</v>
      </c>
      <c r="S1068" s="117" t="b">
        <f>OR(COUNTIF(Tabla2[[#This Row],[PROVEEDOR]],"*"&amp;'Palabra no opera'!$A$2&amp;"*"))</f>
        <v>1</v>
      </c>
      <c r="T1068" s="150">
        <f>+$W$5-Tabla2[[#This Row],[FECHA DE FACTURACIÓN]]</f>
        <v>345</v>
      </c>
      <c r="U1068" t="str">
        <f>+IF(Tabla2[[#This Row],[dias de credito]]&gt;=Tabla2[[#This Row],[PLAZO Días]],"venc", "No venc")</f>
        <v>venc</v>
      </c>
      <c r="V1068" t="str">
        <f>+IF(Tabla2[[#This Row],[FECHA DE PAGO]]&gt;0,"pagada","por pagar")</f>
        <v>pagada</v>
      </c>
      <c r="W1068" s="152" t="str">
        <f>+IF(AND(Tabla2[[#This Row],[venc]]="venc",Tabla2[[#This Row],[Columna1]]="por pagar"),"vencida","no")</f>
        <v>no</v>
      </c>
    </row>
    <row r="1069" spans="1:23" x14ac:dyDescent="0.3">
      <c r="A1069">
        <v>60</v>
      </c>
      <c r="B1069">
        <v>0</v>
      </c>
      <c r="D1069" t="s">
        <v>631</v>
      </c>
      <c r="E1069" s="156">
        <v>44503</v>
      </c>
      <c r="F1069" t="s">
        <v>528</v>
      </c>
      <c r="G1069" s="156">
        <v>44500</v>
      </c>
      <c r="H1069" t="s">
        <v>1339</v>
      </c>
      <c r="I1069">
        <v>571961.4</v>
      </c>
      <c r="K1069">
        <v>0</v>
      </c>
      <c r="M1069">
        <v>0</v>
      </c>
      <c r="N1069">
        <v>0</v>
      </c>
      <c r="O1069">
        <v>0</v>
      </c>
      <c r="P1069" s="117">
        <v>571961.4</v>
      </c>
      <c r="Q1069" s="117" t="s">
        <v>1021</v>
      </c>
      <c r="R1069" s="150">
        <v>0</v>
      </c>
      <c r="S1069" s="117" t="b">
        <f>OR(COUNTIF(Tabla2[[#This Row],[PROVEEDOR]],"*"&amp;'Palabra no opera'!$A$2&amp;"*"))</f>
        <v>0</v>
      </c>
      <c r="T1069" s="150">
        <f>+$W$5-Tabla2[[#This Row],[FECHA DE FACTURACIÓN]]</f>
        <v>334</v>
      </c>
      <c r="U1069" t="str">
        <f>+IF(Tabla2[[#This Row],[dias de credito]]&gt;=Tabla2[[#This Row],[PLAZO Días]],"venc", "No venc")</f>
        <v>venc</v>
      </c>
      <c r="V1069" t="str">
        <f>+IF(Tabla2[[#This Row],[FECHA DE PAGO]]&gt;0,"pagada","por pagar")</f>
        <v>pagada</v>
      </c>
      <c r="W1069" s="152" t="str">
        <f>+IF(AND(Tabla2[[#This Row],[venc]]="venc",Tabla2[[#This Row],[Columna1]]="por pagar"),"vencida","no")</f>
        <v>no</v>
      </c>
    </row>
    <row r="1070" spans="1:23" x14ac:dyDescent="0.3">
      <c r="A1070">
        <v>45</v>
      </c>
      <c r="B1070">
        <v>0</v>
      </c>
      <c r="D1070" t="s">
        <v>631</v>
      </c>
      <c r="E1070" s="156">
        <v>44503</v>
      </c>
      <c r="F1070" t="s">
        <v>530</v>
      </c>
      <c r="G1070" s="156">
        <v>44495</v>
      </c>
      <c r="H1070" t="s">
        <v>506</v>
      </c>
      <c r="I1070">
        <v>2424870</v>
      </c>
      <c r="K1070">
        <v>0</v>
      </c>
      <c r="M1070">
        <v>0</v>
      </c>
      <c r="N1070">
        <v>0</v>
      </c>
      <c r="O1070">
        <v>0</v>
      </c>
      <c r="P1070" s="117">
        <v>2424870</v>
      </c>
      <c r="Q1070" s="117" t="s">
        <v>1021</v>
      </c>
      <c r="R1070" s="150">
        <v>0</v>
      </c>
      <c r="S1070" s="117" t="b">
        <f>OR(COUNTIF(Tabla2[[#This Row],[PROVEEDOR]],"*"&amp;'Palabra no opera'!$A$2&amp;"*"))</f>
        <v>0</v>
      </c>
      <c r="T1070" s="150">
        <f>+$W$5-Tabla2[[#This Row],[FECHA DE FACTURACIÓN]]</f>
        <v>339</v>
      </c>
      <c r="U1070" t="str">
        <f>+IF(Tabla2[[#This Row],[dias de credito]]&gt;=Tabla2[[#This Row],[PLAZO Días]],"venc", "No venc")</f>
        <v>venc</v>
      </c>
      <c r="V1070" t="str">
        <f>+IF(Tabla2[[#This Row],[FECHA DE PAGO]]&gt;0,"pagada","por pagar")</f>
        <v>pagada</v>
      </c>
      <c r="W1070" s="152" t="str">
        <f>+IF(AND(Tabla2[[#This Row],[venc]]="venc",Tabla2[[#This Row],[Columna1]]="por pagar"),"vencida","no")</f>
        <v>no</v>
      </c>
    </row>
    <row r="1071" spans="1:23" x14ac:dyDescent="0.3">
      <c r="A1071">
        <v>45</v>
      </c>
      <c r="B1071">
        <v>0</v>
      </c>
      <c r="D1071" t="s">
        <v>631</v>
      </c>
      <c r="E1071" s="156">
        <v>44503</v>
      </c>
      <c r="F1071" t="s">
        <v>530</v>
      </c>
      <c r="G1071" s="156">
        <v>44490</v>
      </c>
      <c r="H1071" t="s">
        <v>502</v>
      </c>
      <c r="I1071">
        <v>1636363.8599999999</v>
      </c>
      <c r="K1071">
        <v>0</v>
      </c>
      <c r="M1071">
        <v>0</v>
      </c>
      <c r="N1071">
        <v>0</v>
      </c>
      <c r="O1071">
        <v>0</v>
      </c>
      <c r="P1071" s="117">
        <v>1636363.8599999999</v>
      </c>
      <c r="Q1071" s="117" t="s">
        <v>1021</v>
      </c>
      <c r="R1071" s="150">
        <v>0</v>
      </c>
      <c r="S1071" s="117" t="b">
        <f>OR(COUNTIF(Tabla2[[#This Row],[PROVEEDOR]],"*"&amp;'Palabra no opera'!$A$2&amp;"*"))</f>
        <v>0</v>
      </c>
      <c r="T1071" s="150">
        <f>+$W$5-Tabla2[[#This Row],[FECHA DE FACTURACIÓN]]</f>
        <v>344</v>
      </c>
      <c r="U1071" t="str">
        <f>+IF(Tabla2[[#This Row],[dias de credito]]&gt;=Tabla2[[#This Row],[PLAZO Días]],"venc", "No venc")</f>
        <v>venc</v>
      </c>
      <c r="V1071" t="str">
        <f>+IF(Tabla2[[#This Row],[FECHA DE PAGO]]&gt;0,"pagada","por pagar")</f>
        <v>pagada</v>
      </c>
      <c r="W1071" s="152" t="str">
        <f>+IF(AND(Tabla2[[#This Row],[venc]]="venc",Tabla2[[#This Row],[Columna1]]="por pagar"),"vencida","no")</f>
        <v>no</v>
      </c>
    </row>
    <row r="1072" spans="1:23" x14ac:dyDescent="0.3">
      <c r="A1072">
        <v>60</v>
      </c>
      <c r="B1072">
        <v>0</v>
      </c>
      <c r="D1072" t="s">
        <v>631</v>
      </c>
      <c r="E1072" s="156">
        <v>44503</v>
      </c>
      <c r="F1072" t="s">
        <v>528</v>
      </c>
      <c r="G1072" s="156">
        <v>44470</v>
      </c>
      <c r="H1072" t="s">
        <v>1317</v>
      </c>
      <c r="I1072">
        <v>184752</v>
      </c>
      <c r="K1072">
        <v>0</v>
      </c>
      <c r="M1072">
        <v>0</v>
      </c>
      <c r="N1072">
        <v>0</v>
      </c>
      <c r="O1072">
        <v>0</v>
      </c>
      <c r="P1072" s="117">
        <v>184752</v>
      </c>
      <c r="Q1072" s="117" t="s">
        <v>1021</v>
      </c>
      <c r="R1072" s="150">
        <v>0</v>
      </c>
      <c r="S1072" s="117" t="b">
        <f>OR(COUNTIF(Tabla2[[#This Row],[PROVEEDOR]],"*"&amp;'Palabra no opera'!$A$2&amp;"*"))</f>
        <v>0</v>
      </c>
      <c r="T1072" s="150">
        <f>+$W$5-Tabla2[[#This Row],[FECHA DE FACTURACIÓN]]</f>
        <v>364</v>
      </c>
      <c r="U1072" t="str">
        <f>+IF(Tabla2[[#This Row],[dias de credito]]&gt;=Tabla2[[#This Row],[PLAZO Días]],"venc", "No venc")</f>
        <v>venc</v>
      </c>
      <c r="V1072" t="str">
        <f>+IF(Tabla2[[#This Row],[FECHA DE PAGO]]&gt;0,"pagada","por pagar")</f>
        <v>pagada</v>
      </c>
      <c r="W1072" s="152" t="str">
        <f>+IF(AND(Tabla2[[#This Row],[venc]]="venc",Tabla2[[#This Row],[Columna1]]="por pagar"),"vencida","no")</f>
        <v>no</v>
      </c>
    </row>
    <row r="1073" spans="1:23" x14ac:dyDescent="0.3">
      <c r="A1073">
        <v>30</v>
      </c>
      <c r="B1073">
        <v>8457900</v>
      </c>
      <c r="D1073" t="s">
        <v>1027</v>
      </c>
      <c r="E1073" s="156">
        <v>44503</v>
      </c>
      <c r="F1073" t="s">
        <v>11</v>
      </c>
      <c r="G1073" s="156">
        <v>44454</v>
      </c>
      <c r="H1073" t="s">
        <v>474</v>
      </c>
      <c r="I1073">
        <v>1980000</v>
      </c>
      <c r="K1073">
        <v>376200</v>
      </c>
      <c r="M1073">
        <v>0</v>
      </c>
      <c r="N1073">
        <v>2.5000000000000001E-2</v>
      </c>
      <c r="O1073">
        <v>49500</v>
      </c>
      <c r="P1073" s="117">
        <v>2306700</v>
      </c>
      <c r="Q1073" s="117" t="s">
        <v>1021</v>
      </c>
      <c r="R1073" s="150">
        <v>0</v>
      </c>
      <c r="S1073" s="117" t="b">
        <f>OR(COUNTIF(Tabla2[[#This Row],[PROVEEDOR]],"*"&amp;'Palabra no opera'!$A$2&amp;"*"))</f>
        <v>0</v>
      </c>
      <c r="T1073" s="150">
        <f>+$W$5-Tabla2[[#This Row],[FECHA DE FACTURACIÓN]]</f>
        <v>380</v>
      </c>
      <c r="U1073" t="str">
        <f>+IF(Tabla2[[#This Row],[dias de credito]]&gt;=Tabla2[[#This Row],[PLAZO Días]],"venc", "No venc")</f>
        <v>venc</v>
      </c>
      <c r="V1073" t="str">
        <f>+IF(Tabla2[[#This Row],[FECHA DE PAGO]]&gt;0,"pagada","por pagar")</f>
        <v>pagada</v>
      </c>
      <c r="W1073" s="152" t="str">
        <f>+IF(AND(Tabla2[[#This Row],[venc]]="venc",Tabla2[[#This Row],[Columna1]]="por pagar"),"vencida","no")</f>
        <v>no</v>
      </c>
    </row>
    <row r="1074" spans="1:23" x14ac:dyDescent="0.3">
      <c r="A1074">
        <v>90</v>
      </c>
      <c r="B1074">
        <v>0</v>
      </c>
      <c r="D1074" t="s">
        <v>139</v>
      </c>
      <c r="E1074" s="156">
        <v>44503</v>
      </c>
      <c r="F1074" t="s">
        <v>651</v>
      </c>
      <c r="G1074" s="156">
        <v>44412</v>
      </c>
      <c r="H1074" t="s">
        <v>1480</v>
      </c>
      <c r="I1074">
        <v>7943000</v>
      </c>
      <c r="K1074">
        <v>0</v>
      </c>
      <c r="M1074">
        <v>0</v>
      </c>
      <c r="N1074">
        <v>0</v>
      </c>
      <c r="O1074">
        <v>0</v>
      </c>
      <c r="P1074" s="117">
        <v>7943000</v>
      </c>
      <c r="Q1074" s="117" t="s">
        <v>1021</v>
      </c>
      <c r="R1074" s="150">
        <v>0</v>
      </c>
      <c r="S1074" s="117" t="b">
        <f>OR(COUNTIF(Tabla2[[#This Row],[PROVEEDOR]],"*"&amp;'Palabra no opera'!$A$2&amp;"*"))</f>
        <v>0</v>
      </c>
      <c r="T1074" s="150">
        <f>+$W$5-Tabla2[[#This Row],[FECHA DE FACTURACIÓN]]</f>
        <v>422</v>
      </c>
      <c r="U1074" t="str">
        <f>+IF(Tabla2[[#This Row],[dias de credito]]&gt;=Tabla2[[#This Row],[PLAZO Días]],"venc", "No venc")</f>
        <v>venc</v>
      </c>
      <c r="V1074" t="str">
        <f>+IF(Tabla2[[#This Row],[FECHA DE PAGO]]&gt;0,"pagada","por pagar")</f>
        <v>pagada</v>
      </c>
      <c r="W1074" s="152" t="str">
        <f>+IF(AND(Tabla2[[#This Row],[venc]]="venc",Tabla2[[#This Row],[Columna1]]="por pagar"),"vencida","no")</f>
        <v>no</v>
      </c>
    </row>
    <row r="1075" spans="1:23" x14ac:dyDescent="0.3">
      <c r="A1075">
        <v>30</v>
      </c>
      <c r="B1075">
        <v>0</v>
      </c>
      <c r="D1075" t="s">
        <v>139</v>
      </c>
      <c r="E1075" s="156">
        <v>44502</v>
      </c>
      <c r="F1075" t="s">
        <v>55</v>
      </c>
      <c r="G1075" s="156">
        <v>44501</v>
      </c>
      <c r="H1075">
        <v>55161</v>
      </c>
      <c r="I1075">
        <v>8172000</v>
      </c>
      <c r="K1075">
        <v>0</v>
      </c>
      <c r="M1075">
        <v>0</v>
      </c>
      <c r="N1075">
        <v>0</v>
      </c>
      <c r="O1075">
        <v>0</v>
      </c>
      <c r="P1075" s="117">
        <v>8172000</v>
      </c>
      <c r="Q1075" s="117" t="s">
        <v>1021</v>
      </c>
      <c r="R1075" s="150">
        <v>0</v>
      </c>
      <c r="S1075" s="117" t="b">
        <f>OR(COUNTIF(Tabla2[[#This Row],[PROVEEDOR]],"*"&amp;'Palabra no opera'!$A$2&amp;"*"))</f>
        <v>0</v>
      </c>
      <c r="T1075" s="150">
        <f>+$W$5-Tabla2[[#This Row],[FECHA DE FACTURACIÓN]]</f>
        <v>333</v>
      </c>
      <c r="U1075" t="str">
        <f>+IF(Tabla2[[#This Row],[dias de credito]]&gt;=Tabla2[[#This Row],[PLAZO Días]],"venc", "No venc")</f>
        <v>venc</v>
      </c>
      <c r="V1075" t="str">
        <f>+IF(Tabla2[[#This Row],[FECHA DE PAGO]]&gt;0,"pagada","por pagar")</f>
        <v>pagada</v>
      </c>
      <c r="W1075" s="152" t="str">
        <f>+IF(AND(Tabla2[[#This Row],[venc]]="venc",Tabla2[[#This Row],[Columna1]]="por pagar"),"vencida","no")</f>
        <v>no</v>
      </c>
    </row>
    <row r="1076" spans="1:23" x14ac:dyDescent="0.3">
      <c r="A1076">
        <v>30</v>
      </c>
      <c r="B1076">
        <v>27452.91</v>
      </c>
      <c r="D1076" t="s">
        <v>949</v>
      </c>
      <c r="E1076" s="156">
        <v>44502</v>
      </c>
      <c r="F1076" t="s">
        <v>118</v>
      </c>
      <c r="G1076" s="156">
        <v>44501</v>
      </c>
      <c r="H1076" t="s">
        <v>1342</v>
      </c>
      <c r="I1076">
        <v>1481000</v>
      </c>
      <c r="K1076">
        <v>0</v>
      </c>
      <c r="M1076">
        <v>0</v>
      </c>
      <c r="N1076">
        <v>0</v>
      </c>
      <c r="O1076">
        <v>0</v>
      </c>
      <c r="P1076" s="117">
        <v>1481000</v>
      </c>
      <c r="Q1076" s="117" t="s">
        <v>1021</v>
      </c>
      <c r="R1076" s="150">
        <v>0</v>
      </c>
      <c r="S1076" s="117" t="b">
        <f>OR(COUNTIF(Tabla2[[#This Row],[PROVEEDOR]],"*"&amp;'Palabra no opera'!$A$2&amp;"*"))</f>
        <v>0</v>
      </c>
      <c r="T1076" s="150">
        <f>+$W$5-Tabla2[[#This Row],[FECHA DE FACTURACIÓN]]</f>
        <v>333</v>
      </c>
      <c r="U1076" t="str">
        <f>+IF(Tabla2[[#This Row],[dias de credito]]&gt;=Tabla2[[#This Row],[PLAZO Días]],"venc", "No venc")</f>
        <v>venc</v>
      </c>
      <c r="V1076" t="str">
        <f>+IF(Tabla2[[#This Row],[FECHA DE PAGO]]&gt;0,"pagada","por pagar")</f>
        <v>pagada</v>
      </c>
      <c r="W1076" s="152" t="str">
        <f>+IF(AND(Tabla2[[#This Row],[venc]]="venc",Tabla2[[#This Row],[Columna1]]="por pagar"),"vencida","no")</f>
        <v>no</v>
      </c>
    </row>
    <row r="1077" spans="1:23" x14ac:dyDescent="0.3">
      <c r="A1077">
        <v>30</v>
      </c>
      <c r="B1077">
        <v>0</v>
      </c>
      <c r="D1077" t="s">
        <v>547</v>
      </c>
      <c r="E1077" s="156">
        <v>44502</v>
      </c>
      <c r="F1077" t="s">
        <v>905</v>
      </c>
      <c r="G1077" s="156">
        <v>44440</v>
      </c>
      <c r="H1077" t="s">
        <v>465</v>
      </c>
      <c r="I1077">
        <v>2267904</v>
      </c>
      <c r="K1077">
        <v>430901.76000000001</v>
      </c>
      <c r="M1077">
        <v>0</v>
      </c>
      <c r="N1077">
        <v>0</v>
      </c>
      <c r="O1077">
        <v>0</v>
      </c>
      <c r="P1077" s="117">
        <v>2698805.76</v>
      </c>
      <c r="Q1077" s="117" t="s">
        <v>1021</v>
      </c>
      <c r="R1077" s="150">
        <v>0</v>
      </c>
      <c r="S1077" s="117" t="b">
        <f>OR(COUNTIF(Tabla2[[#This Row],[PROVEEDOR]],"*"&amp;'Palabra no opera'!$A$2&amp;"*"))</f>
        <v>1</v>
      </c>
      <c r="T1077" s="150">
        <f>+$W$5-Tabla2[[#This Row],[FECHA DE FACTURACIÓN]]</f>
        <v>394</v>
      </c>
      <c r="U1077" t="str">
        <f>+IF(Tabla2[[#This Row],[dias de credito]]&gt;=Tabla2[[#This Row],[PLAZO Días]],"venc", "No venc")</f>
        <v>venc</v>
      </c>
      <c r="V1077" t="str">
        <f>+IF(Tabla2[[#This Row],[FECHA DE PAGO]]&gt;0,"pagada","por pagar")</f>
        <v>pagada</v>
      </c>
      <c r="W1077" s="152" t="str">
        <f>+IF(AND(Tabla2[[#This Row],[venc]]="venc",Tabla2[[#This Row],[Columna1]]="por pagar"),"vencida","no")</f>
        <v>no</v>
      </c>
    </row>
    <row r="1078" spans="1:23" x14ac:dyDescent="0.3">
      <c r="A1078">
        <v>30</v>
      </c>
      <c r="B1078">
        <v>0</v>
      </c>
      <c r="D1078" t="s">
        <v>139</v>
      </c>
      <c r="E1078" s="156">
        <v>44500</v>
      </c>
      <c r="F1078" t="s">
        <v>644</v>
      </c>
      <c r="G1078" s="156">
        <v>44500</v>
      </c>
      <c r="H1078" t="s">
        <v>1187</v>
      </c>
      <c r="I1078">
        <v>101500</v>
      </c>
      <c r="K1078">
        <v>0</v>
      </c>
      <c r="M1078">
        <v>0</v>
      </c>
      <c r="N1078">
        <v>0</v>
      </c>
      <c r="O1078">
        <v>0</v>
      </c>
      <c r="P1078" s="117">
        <v>101500</v>
      </c>
      <c r="Q1078" s="117" t="s">
        <v>1021</v>
      </c>
      <c r="R1078" s="150">
        <v>0</v>
      </c>
      <c r="S1078" s="117" t="b">
        <f>OR(COUNTIF(Tabla2[[#This Row],[PROVEEDOR]],"*"&amp;'Palabra no opera'!$A$2&amp;"*"))</f>
        <v>0</v>
      </c>
      <c r="T1078" s="150">
        <f>+$W$5-Tabla2[[#This Row],[FECHA DE FACTURACIÓN]]</f>
        <v>334</v>
      </c>
      <c r="U1078" t="str">
        <f>+IF(Tabla2[[#This Row],[dias de credito]]&gt;=Tabla2[[#This Row],[PLAZO Días]],"venc", "No venc")</f>
        <v>venc</v>
      </c>
      <c r="V1078" t="str">
        <f>+IF(Tabla2[[#This Row],[FECHA DE PAGO]]&gt;0,"pagada","por pagar")</f>
        <v>pagada</v>
      </c>
      <c r="W1078" s="152" t="str">
        <f>+IF(AND(Tabla2[[#This Row],[venc]]="venc",Tabla2[[#This Row],[Columna1]]="por pagar"),"vencida","no")</f>
        <v>no</v>
      </c>
    </row>
    <row r="1079" spans="1:23" x14ac:dyDescent="0.3">
      <c r="A1079">
        <v>30</v>
      </c>
      <c r="B1079">
        <v>0</v>
      </c>
      <c r="D1079" t="s">
        <v>139</v>
      </c>
      <c r="E1079" s="156">
        <v>44500</v>
      </c>
      <c r="F1079" t="s">
        <v>644</v>
      </c>
      <c r="G1079" s="156">
        <v>44500</v>
      </c>
      <c r="H1079" t="s">
        <v>1186</v>
      </c>
      <c r="I1079">
        <v>213000</v>
      </c>
      <c r="K1079">
        <v>0</v>
      </c>
      <c r="M1079">
        <v>0</v>
      </c>
      <c r="N1079">
        <v>0</v>
      </c>
      <c r="O1079">
        <v>0</v>
      </c>
      <c r="P1079" s="117">
        <v>213000</v>
      </c>
      <c r="Q1079" s="117" t="s">
        <v>1021</v>
      </c>
      <c r="R1079" s="150">
        <v>0</v>
      </c>
      <c r="S1079" s="117" t="b">
        <f>OR(COUNTIF(Tabla2[[#This Row],[PROVEEDOR]],"*"&amp;'Palabra no opera'!$A$2&amp;"*"))</f>
        <v>0</v>
      </c>
      <c r="T1079" s="150">
        <f>+$W$5-Tabla2[[#This Row],[FECHA DE FACTURACIÓN]]</f>
        <v>334</v>
      </c>
      <c r="U1079" t="str">
        <f>+IF(Tabla2[[#This Row],[dias de credito]]&gt;=Tabla2[[#This Row],[PLAZO Días]],"venc", "No venc")</f>
        <v>venc</v>
      </c>
      <c r="V1079" t="str">
        <f>+IF(Tabla2[[#This Row],[FECHA DE PAGO]]&gt;0,"pagada","por pagar")</f>
        <v>pagada</v>
      </c>
      <c r="W1079" s="152" t="str">
        <f>+IF(AND(Tabla2[[#This Row],[venc]]="venc",Tabla2[[#This Row],[Columna1]]="por pagar"),"vencida","no")</f>
        <v>no</v>
      </c>
    </row>
    <row r="1080" spans="1:23" x14ac:dyDescent="0.3">
      <c r="A1080">
        <v>30</v>
      </c>
      <c r="B1080">
        <v>0</v>
      </c>
      <c r="D1080" t="s">
        <v>139</v>
      </c>
      <c r="E1080" s="156">
        <v>44500</v>
      </c>
      <c r="F1080" t="s">
        <v>644</v>
      </c>
      <c r="G1080" s="156">
        <v>44500</v>
      </c>
      <c r="H1080" t="s">
        <v>1295</v>
      </c>
      <c r="I1080">
        <v>244000</v>
      </c>
      <c r="K1080">
        <v>0</v>
      </c>
      <c r="M1080">
        <v>0</v>
      </c>
      <c r="N1080">
        <v>0</v>
      </c>
      <c r="O1080">
        <v>0</v>
      </c>
      <c r="P1080" s="117">
        <v>244000</v>
      </c>
      <c r="Q1080" s="117" t="s">
        <v>1021</v>
      </c>
      <c r="R1080" s="150">
        <v>0</v>
      </c>
      <c r="S1080" s="117" t="b">
        <f>OR(COUNTIF(Tabla2[[#This Row],[PROVEEDOR]],"*"&amp;'Palabra no opera'!$A$2&amp;"*"))</f>
        <v>0</v>
      </c>
      <c r="T1080" s="150">
        <f>+$W$5-Tabla2[[#This Row],[FECHA DE FACTURACIÓN]]</f>
        <v>334</v>
      </c>
      <c r="U1080" t="str">
        <f>+IF(Tabla2[[#This Row],[dias de credito]]&gt;=Tabla2[[#This Row],[PLAZO Días]],"venc", "No venc")</f>
        <v>venc</v>
      </c>
      <c r="V1080" t="str">
        <f>+IF(Tabla2[[#This Row],[FECHA DE PAGO]]&gt;0,"pagada","por pagar")</f>
        <v>pagada</v>
      </c>
      <c r="W1080" s="152" t="str">
        <f>+IF(AND(Tabla2[[#This Row],[venc]]="venc",Tabla2[[#This Row],[Columna1]]="por pagar"),"vencida","no")</f>
        <v>no</v>
      </c>
    </row>
    <row r="1081" spans="1:23" x14ac:dyDescent="0.3">
      <c r="A1081">
        <v>30</v>
      </c>
      <c r="B1081">
        <v>0</v>
      </c>
      <c r="D1081" t="s">
        <v>139</v>
      </c>
      <c r="E1081" s="156">
        <v>44500</v>
      </c>
      <c r="F1081" t="s">
        <v>644</v>
      </c>
      <c r="G1081" s="156">
        <v>44500</v>
      </c>
      <c r="H1081" t="s">
        <v>75</v>
      </c>
      <c r="I1081">
        <v>440400</v>
      </c>
      <c r="K1081">
        <v>0</v>
      </c>
      <c r="M1081">
        <v>0</v>
      </c>
      <c r="N1081">
        <v>0</v>
      </c>
      <c r="O1081">
        <v>0</v>
      </c>
      <c r="P1081" s="117">
        <v>440400</v>
      </c>
      <c r="Q1081" s="117" t="s">
        <v>1021</v>
      </c>
      <c r="R1081" s="150">
        <v>0</v>
      </c>
      <c r="S1081" s="117" t="b">
        <f>OR(COUNTIF(Tabla2[[#This Row],[PROVEEDOR]],"*"&amp;'Palabra no opera'!$A$2&amp;"*"))</f>
        <v>0</v>
      </c>
      <c r="T1081" s="150">
        <f>+$W$5-Tabla2[[#This Row],[FECHA DE FACTURACIÓN]]</f>
        <v>334</v>
      </c>
      <c r="U1081" t="str">
        <f>+IF(Tabla2[[#This Row],[dias de credito]]&gt;=Tabla2[[#This Row],[PLAZO Días]],"venc", "No venc")</f>
        <v>venc</v>
      </c>
      <c r="V1081" t="str">
        <f>+IF(Tabla2[[#This Row],[FECHA DE PAGO]]&gt;0,"pagada","por pagar")</f>
        <v>pagada</v>
      </c>
      <c r="W1081" s="152" t="str">
        <f>+IF(AND(Tabla2[[#This Row],[venc]]="venc",Tabla2[[#This Row],[Columna1]]="por pagar"),"vencida","no")</f>
        <v>no</v>
      </c>
    </row>
    <row r="1082" spans="1:23" x14ac:dyDescent="0.3">
      <c r="A1082">
        <v>30</v>
      </c>
      <c r="B1082">
        <v>0</v>
      </c>
      <c r="D1082" t="s">
        <v>139</v>
      </c>
      <c r="E1082" s="156">
        <v>44500</v>
      </c>
      <c r="F1082" t="s">
        <v>644</v>
      </c>
      <c r="G1082" s="156">
        <v>44500</v>
      </c>
      <c r="H1082" t="s">
        <v>1314</v>
      </c>
      <c r="I1082">
        <v>453200</v>
      </c>
      <c r="K1082">
        <v>0</v>
      </c>
      <c r="M1082">
        <v>0</v>
      </c>
      <c r="N1082">
        <v>0</v>
      </c>
      <c r="O1082">
        <v>0</v>
      </c>
      <c r="P1082" s="117">
        <v>453200</v>
      </c>
      <c r="Q1082" s="117" t="s">
        <v>1021</v>
      </c>
      <c r="R1082" s="150">
        <v>0</v>
      </c>
      <c r="S1082" s="117" t="b">
        <f>OR(COUNTIF(Tabla2[[#This Row],[PROVEEDOR]],"*"&amp;'Palabra no opera'!$A$2&amp;"*"))</f>
        <v>0</v>
      </c>
      <c r="T1082" s="150">
        <f>+$W$5-Tabla2[[#This Row],[FECHA DE FACTURACIÓN]]</f>
        <v>334</v>
      </c>
      <c r="U1082" t="str">
        <f>+IF(Tabla2[[#This Row],[dias de credito]]&gt;=Tabla2[[#This Row],[PLAZO Días]],"venc", "No venc")</f>
        <v>venc</v>
      </c>
      <c r="V1082" t="str">
        <f>+IF(Tabla2[[#This Row],[FECHA DE PAGO]]&gt;0,"pagada","por pagar")</f>
        <v>pagada</v>
      </c>
      <c r="W1082" s="152" t="str">
        <f>+IF(AND(Tabla2[[#This Row],[venc]]="venc",Tabla2[[#This Row],[Columna1]]="por pagar"),"vencida","no")</f>
        <v>no</v>
      </c>
    </row>
    <row r="1083" spans="1:23" x14ac:dyDescent="0.3">
      <c r="A1083">
        <v>30</v>
      </c>
      <c r="B1083">
        <v>0</v>
      </c>
      <c r="D1083" t="s">
        <v>139</v>
      </c>
      <c r="E1083" s="156">
        <v>44500</v>
      </c>
      <c r="F1083" t="s">
        <v>644</v>
      </c>
      <c r="G1083" s="156">
        <v>44500</v>
      </c>
      <c r="H1083" t="s">
        <v>1188</v>
      </c>
      <c r="I1083">
        <v>2991750</v>
      </c>
      <c r="K1083">
        <v>0</v>
      </c>
      <c r="M1083">
        <v>0</v>
      </c>
      <c r="N1083">
        <v>0</v>
      </c>
      <c r="O1083">
        <v>0</v>
      </c>
      <c r="P1083" s="117">
        <v>2991750</v>
      </c>
      <c r="Q1083" s="117" t="s">
        <v>1021</v>
      </c>
      <c r="R1083" s="150">
        <v>0</v>
      </c>
      <c r="S1083" s="117" t="b">
        <f>OR(COUNTIF(Tabla2[[#This Row],[PROVEEDOR]],"*"&amp;'Palabra no opera'!$A$2&amp;"*"))</f>
        <v>0</v>
      </c>
      <c r="T1083" s="150">
        <f>+$W$5-Tabla2[[#This Row],[FECHA DE FACTURACIÓN]]</f>
        <v>334</v>
      </c>
      <c r="U1083" t="str">
        <f>+IF(Tabla2[[#This Row],[dias de credito]]&gt;=Tabla2[[#This Row],[PLAZO Días]],"venc", "No venc")</f>
        <v>venc</v>
      </c>
      <c r="V1083" t="str">
        <f>+IF(Tabla2[[#This Row],[FECHA DE PAGO]]&gt;0,"pagada","por pagar")</f>
        <v>pagada</v>
      </c>
      <c r="W1083" s="152" t="str">
        <f>+IF(AND(Tabla2[[#This Row],[venc]]="venc",Tabla2[[#This Row],[Columna1]]="por pagar"),"vencida","no")</f>
        <v>no</v>
      </c>
    </row>
    <row r="1084" spans="1:23" x14ac:dyDescent="0.3">
      <c r="A1084">
        <v>30</v>
      </c>
      <c r="B1084">
        <v>0</v>
      </c>
      <c r="D1084" t="s">
        <v>139</v>
      </c>
      <c r="E1084" s="156">
        <v>44498</v>
      </c>
      <c r="F1084" t="s">
        <v>673</v>
      </c>
      <c r="G1084" s="156">
        <v>44498</v>
      </c>
      <c r="I1084">
        <v>1000000</v>
      </c>
      <c r="K1084">
        <v>0</v>
      </c>
      <c r="M1084">
        <v>0</v>
      </c>
      <c r="N1084">
        <v>0</v>
      </c>
      <c r="O1084">
        <v>0</v>
      </c>
      <c r="P1084" s="117">
        <v>1000000</v>
      </c>
      <c r="Q1084" s="117" t="s">
        <v>1021</v>
      </c>
      <c r="R1084" s="150">
        <v>0</v>
      </c>
      <c r="S1084" s="117" t="b">
        <f>OR(COUNTIF(Tabla2[[#This Row],[PROVEEDOR]],"*"&amp;'Palabra no opera'!$A$2&amp;"*"))</f>
        <v>0</v>
      </c>
      <c r="T1084" s="150">
        <f>+$W$5-Tabla2[[#This Row],[FECHA DE FACTURACIÓN]]</f>
        <v>336</v>
      </c>
      <c r="U1084" t="str">
        <f>+IF(Tabla2[[#This Row],[dias de credito]]&gt;=Tabla2[[#This Row],[PLAZO Días]],"venc", "No venc")</f>
        <v>venc</v>
      </c>
      <c r="V1084" t="str">
        <f>+IF(Tabla2[[#This Row],[FECHA DE PAGO]]&gt;0,"pagada","por pagar")</f>
        <v>pagada</v>
      </c>
      <c r="W1084" s="152" t="str">
        <f>+IF(AND(Tabla2[[#This Row],[venc]]="venc",Tabla2[[#This Row],[Columna1]]="por pagar"),"vencida","no")</f>
        <v>no</v>
      </c>
    </row>
    <row r="1085" spans="1:23" x14ac:dyDescent="0.3">
      <c r="A1085">
        <v>30</v>
      </c>
      <c r="B1085">
        <v>0</v>
      </c>
      <c r="D1085" t="s">
        <v>139</v>
      </c>
      <c r="E1085" s="156">
        <v>44498</v>
      </c>
      <c r="F1085" t="s">
        <v>644</v>
      </c>
      <c r="G1085" s="156">
        <v>44498</v>
      </c>
      <c r="H1085" t="s">
        <v>1337</v>
      </c>
      <c r="I1085">
        <v>35000</v>
      </c>
      <c r="K1085">
        <v>0</v>
      </c>
      <c r="M1085">
        <v>0</v>
      </c>
      <c r="N1085">
        <v>0</v>
      </c>
      <c r="O1085">
        <v>0</v>
      </c>
      <c r="P1085" s="117">
        <v>35000</v>
      </c>
      <c r="Q1085" s="117" t="s">
        <v>1021</v>
      </c>
      <c r="R1085" s="150">
        <v>0</v>
      </c>
      <c r="S1085" s="117" t="b">
        <f>OR(COUNTIF(Tabla2[[#This Row],[PROVEEDOR]],"*"&amp;'Palabra no opera'!$A$2&amp;"*"))</f>
        <v>0</v>
      </c>
      <c r="T1085" s="150">
        <f>+$W$5-Tabla2[[#This Row],[FECHA DE FACTURACIÓN]]</f>
        <v>336</v>
      </c>
      <c r="U1085" t="str">
        <f>+IF(Tabla2[[#This Row],[dias de credito]]&gt;=Tabla2[[#This Row],[PLAZO Días]],"venc", "No venc")</f>
        <v>venc</v>
      </c>
      <c r="V1085" t="str">
        <f>+IF(Tabla2[[#This Row],[FECHA DE PAGO]]&gt;0,"pagada","por pagar")</f>
        <v>pagada</v>
      </c>
      <c r="W1085" s="152" t="str">
        <f>+IF(AND(Tabla2[[#This Row],[venc]]="venc",Tabla2[[#This Row],[Columna1]]="por pagar"),"vencida","no")</f>
        <v>no</v>
      </c>
    </row>
    <row r="1086" spans="1:23" x14ac:dyDescent="0.3">
      <c r="A1086">
        <v>30</v>
      </c>
      <c r="B1086">
        <v>0</v>
      </c>
      <c r="D1086" t="s">
        <v>139</v>
      </c>
      <c r="E1086" s="156">
        <v>44498</v>
      </c>
      <c r="F1086" t="s">
        <v>638</v>
      </c>
      <c r="G1086" s="156">
        <v>44497</v>
      </c>
      <c r="H1086" t="s">
        <v>1336</v>
      </c>
      <c r="I1086">
        <v>3984500</v>
      </c>
      <c r="K1086">
        <v>0</v>
      </c>
      <c r="M1086">
        <v>0</v>
      </c>
      <c r="N1086">
        <v>0</v>
      </c>
      <c r="O1086">
        <v>0</v>
      </c>
      <c r="P1086" s="117">
        <v>3984500</v>
      </c>
      <c r="Q1086" s="117" t="s">
        <v>1021</v>
      </c>
      <c r="R1086" s="150">
        <v>0</v>
      </c>
      <c r="S1086" s="117" t="b">
        <f>OR(COUNTIF(Tabla2[[#This Row],[PROVEEDOR]],"*"&amp;'Palabra no opera'!$A$2&amp;"*"))</f>
        <v>0</v>
      </c>
      <c r="T1086" s="150">
        <f>+$W$5-Tabla2[[#This Row],[FECHA DE FACTURACIÓN]]</f>
        <v>337</v>
      </c>
      <c r="U1086" t="str">
        <f>+IF(Tabla2[[#This Row],[dias de credito]]&gt;=Tabla2[[#This Row],[PLAZO Días]],"venc", "No venc")</f>
        <v>venc</v>
      </c>
      <c r="V1086" t="str">
        <f>+IF(Tabla2[[#This Row],[FECHA DE PAGO]]&gt;0,"pagada","por pagar")</f>
        <v>pagada</v>
      </c>
      <c r="W1086" s="152" t="str">
        <f>+IF(AND(Tabla2[[#This Row],[venc]]="venc",Tabla2[[#This Row],[Columna1]]="por pagar"),"vencida","no")</f>
        <v>no</v>
      </c>
    </row>
    <row r="1087" spans="1:23" x14ac:dyDescent="0.3">
      <c r="A1087">
        <v>180</v>
      </c>
      <c r="B1087">
        <v>0</v>
      </c>
      <c r="D1087" t="s">
        <v>509</v>
      </c>
      <c r="E1087" s="156">
        <v>44498</v>
      </c>
      <c r="F1087" t="s">
        <v>915</v>
      </c>
      <c r="G1087" s="156">
        <v>44492</v>
      </c>
      <c r="H1087">
        <v>273100</v>
      </c>
      <c r="I1087">
        <v>440292</v>
      </c>
      <c r="K1087">
        <v>83655.48</v>
      </c>
      <c r="M1087">
        <v>0</v>
      </c>
      <c r="N1087">
        <v>0</v>
      </c>
      <c r="O1087">
        <v>0</v>
      </c>
      <c r="P1087" s="117">
        <v>523947.48</v>
      </c>
      <c r="Q1087" s="117" t="s">
        <v>1021</v>
      </c>
      <c r="R1087" s="150">
        <v>0</v>
      </c>
      <c r="S1087" s="117" t="b">
        <f>OR(COUNTIF(Tabla2[[#This Row],[PROVEEDOR]],"*"&amp;'Palabra no opera'!$A$2&amp;"*"))</f>
        <v>1</v>
      </c>
      <c r="T1087" s="150">
        <f>+$W$5-Tabla2[[#This Row],[FECHA DE FACTURACIÓN]]</f>
        <v>342</v>
      </c>
      <c r="U1087" t="str">
        <f>+IF(Tabla2[[#This Row],[dias de credito]]&gt;=Tabla2[[#This Row],[PLAZO Días]],"venc", "No venc")</f>
        <v>venc</v>
      </c>
      <c r="V1087" t="str">
        <f>+IF(Tabla2[[#This Row],[FECHA DE PAGO]]&gt;0,"pagada","por pagar")</f>
        <v>pagada</v>
      </c>
      <c r="W1087" s="152" t="str">
        <f>+IF(AND(Tabla2[[#This Row],[venc]]="venc",Tabla2[[#This Row],[Columna1]]="por pagar"),"vencida","no")</f>
        <v>no</v>
      </c>
    </row>
    <row r="1088" spans="1:23" x14ac:dyDescent="0.3">
      <c r="A1088">
        <v>30</v>
      </c>
      <c r="B1088">
        <v>0</v>
      </c>
      <c r="D1088" t="s">
        <v>139</v>
      </c>
      <c r="E1088" s="156">
        <v>44498</v>
      </c>
      <c r="F1088" t="s">
        <v>1130</v>
      </c>
      <c r="G1088" s="156">
        <v>44489</v>
      </c>
      <c r="H1088" t="s">
        <v>1304</v>
      </c>
      <c r="I1088">
        <v>149700</v>
      </c>
      <c r="K1088">
        <v>0</v>
      </c>
      <c r="M1088">
        <v>0</v>
      </c>
      <c r="N1088">
        <v>0</v>
      </c>
      <c r="O1088">
        <v>0</v>
      </c>
      <c r="P1088" s="117">
        <v>149700</v>
      </c>
      <c r="Q1088" s="117" t="s">
        <v>1021</v>
      </c>
      <c r="R1088" s="150">
        <v>0</v>
      </c>
      <c r="S1088" s="117" t="b">
        <f>OR(COUNTIF(Tabla2[[#This Row],[PROVEEDOR]],"*"&amp;'Palabra no opera'!$A$2&amp;"*"))</f>
        <v>1</v>
      </c>
      <c r="T1088" s="150">
        <f>+$W$5-Tabla2[[#This Row],[FECHA DE FACTURACIÓN]]</f>
        <v>345</v>
      </c>
      <c r="U1088" t="str">
        <f>+IF(Tabla2[[#This Row],[dias de credito]]&gt;=Tabla2[[#This Row],[PLAZO Días]],"venc", "No venc")</f>
        <v>venc</v>
      </c>
      <c r="V1088" t="str">
        <f>+IF(Tabla2[[#This Row],[FECHA DE PAGO]]&gt;0,"pagada","por pagar")</f>
        <v>pagada</v>
      </c>
      <c r="W1088" s="152" t="str">
        <f>+IF(AND(Tabla2[[#This Row],[venc]]="venc",Tabla2[[#This Row],[Columna1]]="por pagar"),"vencida","no")</f>
        <v>no</v>
      </c>
    </row>
    <row r="1089" spans="1:23" x14ac:dyDescent="0.3">
      <c r="A1089">
        <v>30</v>
      </c>
      <c r="B1089">
        <v>0</v>
      </c>
      <c r="D1089" t="s">
        <v>505</v>
      </c>
      <c r="E1089" s="156">
        <v>44498</v>
      </c>
      <c r="F1089" t="s">
        <v>408</v>
      </c>
      <c r="G1089" s="156">
        <v>44464</v>
      </c>
      <c r="H1089">
        <v>141124</v>
      </c>
      <c r="I1089">
        <v>1048754</v>
      </c>
      <c r="K1089">
        <v>199263.26</v>
      </c>
      <c r="M1089">
        <v>0</v>
      </c>
      <c r="N1089">
        <v>0</v>
      </c>
      <c r="O1089">
        <v>0</v>
      </c>
      <c r="P1089" s="117">
        <v>1248017.26</v>
      </c>
      <c r="Q1089" s="117" t="s">
        <v>1021</v>
      </c>
      <c r="R1089" s="150">
        <v>0</v>
      </c>
      <c r="S1089" s="117" t="b">
        <f>OR(COUNTIF(Tabla2[[#This Row],[PROVEEDOR]],"*"&amp;'Palabra no opera'!$A$2&amp;"*"))</f>
        <v>0</v>
      </c>
      <c r="T1089" s="150">
        <f>+$W$5-Tabla2[[#This Row],[FECHA DE FACTURACIÓN]]</f>
        <v>370</v>
      </c>
      <c r="U1089" t="str">
        <f>+IF(Tabla2[[#This Row],[dias de credito]]&gt;=Tabla2[[#This Row],[PLAZO Días]],"venc", "No venc")</f>
        <v>venc</v>
      </c>
      <c r="V1089" t="str">
        <f>+IF(Tabla2[[#This Row],[FECHA DE PAGO]]&gt;0,"pagada","por pagar")</f>
        <v>pagada</v>
      </c>
      <c r="W1089" s="152" t="str">
        <f>+IF(AND(Tabla2[[#This Row],[venc]]="venc",Tabla2[[#This Row],[Columna1]]="por pagar"),"vencida","no")</f>
        <v>no</v>
      </c>
    </row>
    <row r="1090" spans="1:23" x14ac:dyDescent="0.3">
      <c r="A1090">
        <v>30</v>
      </c>
      <c r="B1090">
        <v>146262.9</v>
      </c>
      <c r="D1090" t="s">
        <v>262</v>
      </c>
      <c r="E1090" s="156">
        <v>44498</v>
      </c>
      <c r="F1090" t="s">
        <v>17</v>
      </c>
      <c r="G1090" s="156">
        <v>44460</v>
      </c>
      <c r="H1090">
        <v>1815851</v>
      </c>
      <c r="I1090">
        <v>718000</v>
      </c>
      <c r="K1090">
        <v>136420</v>
      </c>
      <c r="M1090">
        <v>0</v>
      </c>
      <c r="N1090">
        <v>0</v>
      </c>
      <c r="O1090">
        <v>0</v>
      </c>
      <c r="P1090" s="117">
        <v>854420</v>
      </c>
      <c r="Q1090" s="117" t="s">
        <v>1021</v>
      </c>
      <c r="R1090" s="150">
        <v>0</v>
      </c>
      <c r="S1090" s="117" t="b">
        <f>OR(COUNTIF(Tabla2[[#This Row],[PROVEEDOR]],"*"&amp;'Palabra no opera'!$A$2&amp;"*"))</f>
        <v>0</v>
      </c>
      <c r="T1090" s="150">
        <f>+$W$5-Tabla2[[#This Row],[FECHA DE FACTURACIÓN]]</f>
        <v>374</v>
      </c>
      <c r="U1090" t="str">
        <f>+IF(Tabla2[[#This Row],[dias de credito]]&gt;=Tabla2[[#This Row],[PLAZO Días]],"venc", "No venc")</f>
        <v>venc</v>
      </c>
      <c r="V1090" t="str">
        <f>+IF(Tabla2[[#This Row],[FECHA DE PAGO]]&gt;0,"pagada","por pagar")</f>
        <v>pagada</v>
      </c>
      <c r="W1090" s="152" t="str">
        <f>+IF(AND(Tabla2[[#This Row],[venc]]="venc",Tabla2[[#This Row],[Columna1]]="por pagar"),"vencida","no")</f>
        <v>no</v>
      </c>
    </row>
    <row r="1091" spans="1:23" x14ac:dyDescent="0.3">
      <c r="A1091">
        <v>45</v>
      </c>
      <c r="B1091">
        <v>30078253.170000002</v>
      </c>
      <c r="D1091" t="s">
        <v>884</v>
      </c>
      <c r="E1091" s="156">
        <v>44498</v>
      </c>
      <c r="F1091" t="s">
        <v>19</v>
      </c>
      <c r="G1091" s="156">
        <v>44441</v>
      </c>
      <c r="H1091" t="s">
        <v>463</v>
      </c>
      <c r="I1091">
        <v>708480</v>
      </c>
      <c r="K1091">
        <v>134611.20000000001</v>
      </c>
      <c r="M1091">
        <v>0</v>
      </c>
      <c r="N1091">
        <v>0</v>
      </c>
      <c r="O1091">
        <v>0</v>
      </c>
      <c r="P1091" s="117">
        <v>843091.2</v>
      </c>
      <c r="Q1091" s="117" t="s">
        <v>1021</v>
      </c>
      <c r="R1091" s="150">
        <v>0</v>
      </c>
      <c r="S1091" s="117" t="b">
        <f>OR(COUNTIF(Tabla2[[#This Row],[PROVEEDOR]],"*"&amp;'Palabra no opera'!$A$2&amp;"*"))</f>
        <v>0</v>
      </c>
      <c r="T1091" s="150">
        <f>+$W$5-Tabla2[[#This Row],[FECHA DE FACTURACIÓN]]</f>
        <v>393</v>
      </c>
      <c r="U1091" t="str">
        <f>+IF(Tabla2[[#This Row],[dias de credito]]&gt;=Tabla2[[#This Row],[PLAZO Días]],"venc", "No venc")</f>
        <v>venc</v>
      </c>
      <c r="V1091" t="str">
        <f>+IF(Tabla2[[#This Row],[FECHA DE PAGO]]&gt;0,"pagada","por pagar")</f>
        <v>pagada</v>
      </c>
      <c r="W1091" s="152" t="str">
        <f>+IF(AND(Tabla2[[#This Row],[venc]]="venc",Tabla2[[#This Row],[Columna1]]="por pagar"),"vencida","no")</f>
        <v>no</v>
      </c>
    </row>
    <row r="1092" spans="1:23" x14ac:dyDescent="0.3">
      <c r="A1092">
        <v>30</v>
      </c>
      <c r="B1092">
        <v>1865958.0154999997</v>
      </c>
      <c r="D1092" t="s">
        <v>718</v>
      </c>
      <c r="E1092" s="156">
        <v>44498</v>
      </c>
      <c r="F1092" t="s">
        <v>508</v>
      </c>
      <c r="G1092" s="156">
        <v>44439</v>
      </c>
      <c r="H1092" t="s">
        <v>464</v>
      </c>
      <c r="I1092">
        <v>854457</v>
      </c>
      <c r="K1092">
        <v>162346.83000000002</v>
      </c>
      <c r="M1092">
        <v>0</v>
      </c>
      <c r="N1092">
        <v>0</v>
      </c>
      <c r="O1092">
        <v>0</v>
      </c>
      <c r="P1092" s="117">
        <v>1016803.8300000001</v>
      </c>
      <c r="Q1092" s="117" t="s">
        <v>1021</v>
      </c>
      <c r="R1092" s="150">
        <v>0</v>
      </c>
      <c r="S1092" s="117" t="b">
        <f>OR(COUNTIF(Tabla2[[#This Row],[PROVEEDOR]],"*"&amp;'Palabra no opera'!$A$2&amp;"*"))</f>
        <v>0</v>
      </c>
      <c r="T1092" s="150">
        <f>+$W$5-Tabla2[[#This Row],[FECHA DE FACTURACIÓN]]</f>
        <v>395</v>
      </c>
      <c r="U1092" t="str">
        <f>+IF(Tabla2[[#This Row],[dias de credito]]&gt;=Tabla2[[#This Row],[PLAZO Días]],"venc", "No venc")</f>
        <v>venc</v>
      </c>
      <c r="V1092" t="str">
        <f>+IF(Tabla2[[#This Row],[FECHA DE PAGO]]&gt;0,"pagada","por pagar")</f>
        <v>pagada</v>
      </c>
      <c r="W1092" s="152" t="str">
        <f>+IF(AND(Tabla2[[#This Row],[venc]]="venc",Tabla2[[#This Row],[Columna1]]="por pagar"),"vencida","no")</f>
        <v>no</v>
      </c>
    </row>
    <row r="1093" spans="1:23" x14ac:dyDescent="0.3">
      <c r="A1093">
        <v>30</v>
      </c>
      <c r="B1093">
        <v>8190204</v>
      </c>
      <c r="D1093" t="s">
        <v>263</v>
      </c>
      <c r="E1093" s="156">
        <v>44498</v>
      </c>
      <c r="F1093" t="s">
        <v>1637</v>
      </c>
      <c r="G1093" s="156">
        <v>44434</v>
      </c>
      <c r="H1093">
        <v>22248</v>
      </c>
      <c r="I1093">
        <v>1912672</v>
      </c>
      <c r="J1093">
        <v>88792</v>
      </c>
      <c r="K1093">
        <v>346537.2</v>
      </c>
      <c r="M1093">
        <v>0</v>
      </c>
      <c r="N1093">
        <v>2.5000000000000001E-2</v>
      </c>
      <c r="O1093">
        <v>45597</v>
      </c>
      <c r="P1093" s="117">
        <v>2124820.2000000002</v>
      </c>
      <c r="Q1093" s="117" t="s">
        <v>1021</v>
      </c>
      <c r="R1093" s="150">
        <v>0</v>
      </c>
      <c r="S1093" s="117" t="b">
        <f>OR(COUNTIF(Tabla2[[#This Row],[PROVEEDOR]],"*"&amp;'Palabra no opera'!$A$2&amp;"*"))</f>
        <v>0</v>
      </c>
      <c r="T1093" s="150">
        <f>+$W$5-Tabla2[[#This Row],[FECHA DE FACTURACIÓN]]</f>
        <v>400</v>
      </c>
      <c r="U1093" t="str">
        <f>+IF(Tabla2[[#This Row],[dias de credito]]&gt;=Tabla2[[#This Row],[PLAZO Días]],"venc", "No venc")</f>
        <v>venc</v>
      </c>
      <c r="V1093" t="str">
        <f>+IF(Tabla2[[#This Row],[FECHA DE PAGO]]&gt;0,"pagada","por pagar")</f>
        <v>pagada</v>
      </c>
      <c r="W1093" s="152" t="str">
        <f>+IF(AND(Tabla2[[#This Row],[venc]]="venc",Tabla2[[#This Row],[Columna1]]="por pagar"),"vencida","no")</f>
        <v>no</v>
      </c>
    </row>
    <row r="1094" spans="1:23" x14ac:dyDescent="0.3">
      <c r="A1094">
        <v>30</v>
      </c>
      <c r="B1094">
        <v>8190204</v>
      </c>
      <c r="D1094" t="s">
        <v>263</v>
      </c>
      <c r="E1094" s="156">
        <v>44498</v>
      </c>
      <c r="F1094" t="s">
        <v>1637</v>
      </c>
      <c r="G1094" s="156">
        <v>44427</v>
      </c>
      <c r="H1094">
        <v>22156</v>
      </c>
      <c r="I1094">
        <v>376000</v>
      </c>
      <c r="K1094">
        <v>71440</v>
      </c>
      <c r="M1094">
        <v>0</v>
      </c>
      <c r="N1094">
        <v>0</v>
      </c>
      <c r="O1094">
        <v>0</v>
      </c>
      <c r="P1094" s="117">
        <v>447440</v>
      </c>
      <c r="Q1094" s="117" t="s">
        <v>1021</v>
      </c>
      <c r="R1094" s="150">
        <v>0</v>
      </c>
      <c r="S1094" s="117" t="b">
        <f>OR(COUNTIF(Tabla2[[#This Row],[PROVEEDOR]],"*"&amp;'Palabra no opera'!$A$2&amp;"*"))</f>
        <v>0</v>
      </c>
      <c r="T1094" s="150">
        <f>+$W$5-Tabla2[[#This Row],[FECHA DE FACTURACIÓN]]</f>
        <v>407</v>
      </c>
      <c r="U1094" t="str">
        <f>+IF(Tabla2[[#This Row],[dias de credito]]&gt;=Tabla2[[#This Row],[PLAZO Días]],"venc", "No venc")</f>
        <v>venc</v>
      </c>
      <c r="V1094" t="str">
        <f>+IF(Tabla2[[#This Row],[FECHA DE PAGO]]&gt;0,"pagada","por pagar")</f>
        <v>pagada</v>
      </c>
      <c r="W1094" s="152" t="str">
        <f>+IF(AND(Tabla2[[#This Row],[venc]]="venc",Tabla2[[#This Row],[Columna1]]="por pagar"),"vencida","no")</f>
        <v>no</v>
      </c>
    </row>
    <row r="1095" spans="1:23" x14ac:dyDescent="0.3">
      <c r="A1095">
        <v>30</v>
      </c>
      <c r="B1095">
        <v>0</v>
      </c>
      <c r="D1095" t="s">
        <v>259</v>
      </c>
      <c r="E1095" s="156">
        <v>44498</v>
      </c>
      <c r="F1095" t="s">
        <v>918</v>
      </c>
      <c r="G1095" s="156">
        <v>44314</v>
      </c>
      <c r="H1095" t="s">
        <v>1213</v>
      </c>
      <c r="I1095">
        <v>240387</v>
      </c>
      <c r="K1095">
        <v>0</v>
      </c>
      <c r="M1095">
        <v>0</v>
      </c>
      <c r="N1095">
        <v>0</v>
      </c>
      <c r="O1095">
        <v>0</v>
      </c>
      <c r="P1095" s="117">
        <v>240387</v>
      </c>
      <c r="Q1095" s="117" t="s">
        <v>1021</v>
      </c>
      <c r="R1095" s="150">
        <v>0</v>
      </c>
      <c r="S1095" s="117" t="b">
        <f>OR(COUNTIF(Tabla2[[#This Row],[PROVEEDOR]],"*"&amp;'Palabra no opera'!$A$2&amp;"*"))</f>
        <v>1</v>
      </c>
      <c r="T1095" s="150">
        <f>+$W$5-Tabla2[[#This Row],[FECHA DE FACTURACIÓN]]</f>
        <v>520</v>
      </c>
      <c r="U1095" t="str">
        <f>+IF(Tabla2[[#This Row],[dias de credito]]&gt;=Tabla2[[#This Row],[PLAZO Días]],"venc", "No venc")</f>
        <v>venc</v>
      </c>
      <c r="V1095" t="str">
        <f>+IF(Tabla2[[#This Row],[FECHA DE PAGO]]&gt;0,"pagada","por pagar")</f>
        <v>pagada</v>
      </c>
      <c r="W1095" s="152" t="str">
        <f>+IF(AND(Tabla2[[#This Row],[venc]]="venc",Tabla2[[#This Row],[Columna1]]="por pagar"),"vencida","no")</f>
        <v>no</v>
      </c>
    </row>
    <row r="1096" spans="1:23" x14ac:dyDescent="0.3">
      <c r="A1096">
        <v>60</v>
      </c>
      <c r="B1096">
        <v>8889300</v>
      </c>
      <c r="D1096">
        <v>0</v>
      </c>
      <c r="E1096" s="156">
        <v>44497</v>
      </c>
      <c r="F1096" t="s">
        <v>1429</v>
      </c>
      <c r="G1096" s="156">
        <v>44428</v>
      </c>
      <c r="H1096" t="s">
        <v>457</v>
      </c>
      <c r="I1096">
        <v>5056294</v>
      </c>
      <c r="K1096">
        <v>960695.86</v>
      </c>
      <c r="M1096">
        <v>0</v>
      </c>
      <c r="N1096">
        <v>0</v>
      </c>
      <c r="O1096">
        <v>0</v>
      </c>
      <c r="P1096" s="117">
        <v>6016989.8600000003</v>
      </c>
      <c r="Q1096" s="117" t="s">
        <v>1021</v>
      </c>
      <c r="R1096" s="150">
        <v>0</v>
      </c>
      <c r="S1096" s="117" t="b">
        <f>OR(COUNTIF(Tabla2[[#This Row],[PROVEEDOR]],"*"&amp;'Palabra no opera'!$A$2&amp;"*"))</f>
        <v>1</v>
      </c>
      <c r="T1096" s="150">
        <f>+$W$5-Tabla2[[#This Row],[FECHA DE FACTURACIÓN]]</f>
        <v>406</v>
      </c>
      <c r="U1096" t="str">
        <f>+IF(Tabla2[[#This Row],[dias de credito]]&gt;=Tabla2[[#This Row],[PLAZO Días]],"venc", "No venc")</f>
        <v>venc</v>
      </c>
      <c r="V1096" t="str">
        <f>+IF(Tabla2[[#This Row],[FECHA DE PAGO]]&gt;0,"pagada","por pagar")</f>
        <v>pagada</v>
      </c>
      <c r="W1096" s="152" t="str">
        <f>+IF(AND(Tabla2[[#This Row],[venc]]="venc",Tabla2[[#This Row],[Columna1]]="por pagar"),"vencida","no")</f>
        <v>no</v>
      </c>
    </row>
    <row r="1097" spans="1:23" x14ac:dyDescent="0.3">
      <c r="A1097">
        <v>30</v>
      </c>
      <c r="B1097">
        <v>0</v>
      </c>
      <c r="D1097" t="s">
        <v>139</v>
      </c>
      <c r="E1097" s="156">
        <v>44496</v>
      </c>
      <c r="F1097" t="s">
        <v>644</v>
      </c>
      <c r="G1097" s="156">
        <v>44496</v>
      </c>
      <c r="H1097" t="s">
        <v>1335</v>
      </c>
      <c r="I1097">
        <v>18000</v>
      </c>
      <c r="K1097">
        <v>0</v>
      </c>
      <c r="M1097">
        <v>0</v>
      </c>
      <c r="N1097">
        <v>0</v>
      </c>
      <c r="O1097">
        <v>0</v>
      </c>
      <c r="P1097" s="117">
        <v>18000</v>
      </c>
      <c r="Q1097" s="117" t="s">
        <v>1021</v>
      </c>
      <c r="R1097" s="150">
        <v>0</v>
      </c>
      <c r="S1097" s="117" t="b">
        <f>OR(COUNTIF(Tabla2[[#This Row],[PROVEEDOR]],"*"&amp;'Palabra no opera'!$A$2&amp;"*"))</f>
        <v>0</v>
      </c>
      <c r="T1097" s="150">
        <f>+$W$5-Tabla2[[#This Row],[FECHA DE FACTURACIÓN]]</f>
        <v>338</v>
      </c>
      <c r="U1097" t="str">
        <f>+IF(Tabla2[[#This Row],[dias de credito]]&gt;=Tabla2[[#This Row],[PLAZO Días]],"venc", "No venc")</f>
        <v>venc</v>
      </c>
      <c r="V1097" t="str">
        <f>+IF(Tabla2[[#This Row],[FECHA DE PAGO]]&gt;0,"pagada","por pagar")</f>
        <v>pagada</v>
      </c>
      <c r="W1097" s="152" t="str">
        <f>+IF(AND(Tabla2[[#This Row],[venc]]="venc",Tabla2[[#This Row],[Columna1]]="por pagar"),"vencida","no")</f>
        <v>no</v>
      </c>
    </row>
    <row r="1098" spans="1:23" x14ac:dyDescent="0.3">
      <c r="A1098">
        <v>20</v>
      </c>
      <c r="B1098">
        <v>0</v>
      </c>
      <c r="D1098" t="s">
        <v>275</v>
      </c>
      <c r="E1098" s="156">
        <v>44496</v>
      </c>
      <c r="F1098" t="s">
        <v>942</v>
      </c>
      <c r="G1098" s="156">
        <v>44496</v>
      </c>
      <c r="H1098" t="s">
        <v>1465</v>
      </c>
      <c r="I1098">
        <v>-956806</v>
      </c>
      <c r="K1098">
        <v>-181793.14</v>
      </c>
      <c r="M1098">
        <v>0</v>
      </c>
      <c r="N1098">
        <v>0</v>
      </c>
      <c r="O1098">
        <v>0</v>
      </c>
      <c r="P1098" s="117">
        <v>-1138599.1400000001</v>
      </c>
      <c r="Q1098" s="117" t="s">
        <v>1021</v>
      </c>
      <c r="R1098" s="150">
        <v>0</v>
      </c>
      <c r="S1098" s="117" t="b">
        <f>OR(COUNTIF(Tabla2[[#This Row],[PROVEEDOR]],"*"&amp;'Palabra no opera'!$A$2&amp;"*"))</f>
        <v>1</v>
      </c>
      <c r="T1098" s="150">
        <f>+$W$5-Tabla2[[#This Row],[FECHA DE FACTURACIÓN]]</f>
        <v>338</v>
      </c>
      <c r="U1098" t="str">
        <f>+IF(Tabla2[[#This Row],[dias de credito]]&gt;=Tabla2[[#This Row],[PLAZO Días]],"venc", "No venc")</f>
        <v>venc</v>
      </c>
      <c r="V1098" t="str">
        <f>+IF(Tabla2[[#This Row],[FECHA DE PAGO]]&gt;0,"pagada","por pagar")</f>
        <v>pagada</v>
      </c>
      <c r="W1098" s="152" t="str">
        <f>+IF(AND(Tabla2[[#This Row],[venc]]="venc",Tabla2[[#This Row],[Columna1]]="por pagar"),"vencida","no")</f>
        <v>no</v>
      </c>
    </row>
    <row r="1099" spans="1:23" x14ac:dyDescent="0.3">
      <c r="A1099">
        <v>30</v>
      </c>
      <c r="B1099">
        <v>0</v>
      </c>
      <c r="D1099" t="s">
        <v>1688</v>
      </c>
      <c r="E1099" s="156">
        <v>44496</v>
      </c>
      <c r="F1099" t="s">
        <v>928</v>
      </c>
      <c r="G1099" s="156">
        <v>44480</v>
      </c>
      <c r="H1099" t="s">
        <v>1328</v>
      </c>
      <c r="I1099">
        <v>756882</v>
      </c>
      <c r="K1099">
        <v>0</v>
      </c>
      <c r="M1099">
        <v>0</v>
      </c>
      <c r="N1099">
        <v>3.5000000000000003E-2</v>
      </c>
      <c r="O1099">
        <v>26490.870000000003</v>
      </c>
      <c r="P1099" s="117">
        <v>730391.13</v>
      </c>
      <c r="Q1099" s="117" t="s">
        <v>1021</v>
      </c>
      <c r="R1099" s="150">
        <v>0</v>
      </c>
      <c r="S1099" s="117" t="b">
        <f>OR(COUNTIF(Tabla2[[#This Row],[PROVEEDOR]],"*"&amp;'Palabra no opera'!$A$2&amp;"*"))</f>
        <v>1</v>
      </c>
      <c r="T1099" s="150">
        <f>+$W$5-Tabla2[[#This Row],[FECHA DE FACTURACIÓN]]</f>
        <v>354</v>
      </c>
      <c r="U1099" t="str">
        <f>+IF(Tabla2[[#This Row],[dias de credito]]&gt;=Tabla2[[#This Row],[PLAZO Días]],"venc", "No venc")</f>
        <v>venc</v>
      </c>
      <c r="V1099" t="str">
        <f>+IF(Tabla2[[#This Row],[FECHA DE PAGO]]&gt;0,"pagada","por pagar")</f>
        <v>pagada</v>
      </c>
      <c r="W1099" s="152" t="str">
        <f>+IF(AND(Tabla2[[#This Row],[venc]]="venc",Tabla2[[#This Row],[Columna1]]="por pagar"),"vencida","no")</f>
        <v>no</v>
      </c>
    </row>
    <row r="1100" spans="1:23" x14ac:dyDescent="0.3">
      <c r="A1100">
        <v>30</v>
      </c>
      <c r="B1100">
        <v>0</v>
      </c>
      <c r="D1100" t="s">
        <v>650</v>
      </c>
      <c r="E1100" s="156">
        <v>44496</v>
      </c>
      <c r="F1100" t="s">
        <v>913</v>
      </c>
      <c r="G1100" s="156">
        <v>44470</v>
      </c>
      <c r="H1100" t="s">
        <v>1318</v>
      </c>
      <c r="I1100">
        <v>3061166</v>
      </c>
      <c r="K1100">
        <v>581621.54</v>
      </c>
      <c r="M1100">
        <v>0</v>
      </c>
      <c r="N1100">
        <v>0</v>
      </c>
      <c r="O1100">
        <v>0</v>
      </c>
      <c r="P1100" s="117">
        <v>3642787.54</v>
      </c>
      <c r="Q1100" s="117" t="s">
        <v>1021</v>
      </c>
      <c r="R1100" s="150">
        <v>0</v>
      </c>
      <c r="S1100" s="117" t="b">
        <f>OR(COUNTIF(Tabla2[[#This Row],[PROVEEDOR]],"*"&amp;'Palabra no opera'!$A$2&amp;"*"))</f>
        <v>1</v>
      </c>
      <c r="T1100" s="150">
        <f>+$W$5-Tabla2[[#This Row],[FECHA DE FACTURACIÓN]]</f>
        <v>364</v>
      </c>
      <c r="U1100" t="str">
        <f>+IF(Tabla2[[#This Row],[dias de credito]]&gt;=Tabla2[[#This Row],[PLAZO Días]],"venc", "No venc")</f>
        <v>venc</v>
      </c>
      <c r="V1100" t="str">
        <f>+IF(Tabla2[[#This Row],[FECHA DE PAGO]]&gt;0,"pagada","por pagar")</f>
        <v>pagada</v>
      </c>
      <c r="W1100" s="152" t="str">
        <f>+IF(AND(Tabla2[[#This Row],[venc]]="venc",Tabla2[[#This Row],[Columna1]]="por pagar"),"vencida","no")</f>
        <v>no</v>
      </c>
    </row>
    <row r="1101" spans="1:23" x14ac:dyDescent="0.3">
      <c r="A1101">
        <v>30</v>
      </c>
      <c r="B1101">
        <v>0</v>
      </c>
      <c r="D1101" t="s">
        <v>650</v>
      </c>
      <c r="E1101" s="156">
        <v>44496</v>
      </c>
      <c r="F1101" t="s">
        <v>913</v>
      </c>
      <c r="G1101" s="156">
        <v>44470</v>
      </c>
      <c r="H1101" t="s">
        <v>1319</v>
      </c>
      <c r="I1101">
        <v>716544</v>
      </c>
      <c r="K1101">
        <v>136143.36000000002</v>
      </c>
      <c r="M1101">
        <v>0</v>
      </c>
      <c r="N1101">
        <v>0</v>
      </c>
      <c r="O1101">
        <v>0</v>
      </c>
      <c r="P1101" s="117">
        <v>852687.35999999999</v>
      </c>
      <c r="Q1101" s="117" t="s">
        <v>1021</v>
      </c>
      <c r="R1101" s="150">
        <v>0</v>
      </c>
      <c r="S1101" s="117" t="b">
        <f>OR(COUNTIF(Tabla2[[#This Row],[PROVEEDOR]],"*"&amp;'Palabra no opera'!$A$2&amp;"*"))</f>
        <v>1</v>
      </c>
      <c r="T1101" s="150">
        <f>+$W$5-Tabla2[[#This Row],[FECHA DE FACTURACIÓN]]</f>
        <v>364</v>
      </c>
      <c r="U1101" t="str">
        <f>+IF(Tabla2[[#This Row],[dias de credito]]&gt;=Tabla2[[#This Row],[PLAZO Días]],"venc", "No venc")</f>
        <v>venc</v>
      </c>
      <c r="V1101" t="str">
        <f>+IF(Tabla2[[#This Row],[FECHA DE PAGO]]&gt;0,"pagada","por pagar")</f>
        <v>pagada</v>
      </c>
      <c r="W1101" s="152" t="str">
        <f>+IF(AND(Tabla2[[#This Row],[venc]]="venc",Tabla2[[#This Row],[Columna1]]="por pagar"),"vencida","no")</f>
        <v>no</v>
      </c>
    </row>
    <row r="1102" spans="1:23" x14ac:dyDescent="0.3">
      <c r="A1102">
        <v>30</v>
      </c>
      <c r="B1102">
        <v>0</v>
      </c>
      <c r="D1102" t="s">
        <v>1688</v>
      </c>
      <c r="E1102" s="156">
        <v>44496</v>
      </c>
      <c r="F1102" t="s">
        <v>928</v>
      </c>
      <c r="G1102" s="156">
        <v>44470</v>
      </c>
      <c r="H1102" t="s">
        <v>590</v>
      </c>
      <c r="I1102">
        <v>3124305</v>
      </c>
      <c r="K1102">
        <v>0</v>
      </c>
      <c r="M1102">
        <v>0</v>
      </c>
      <c r="N1102">
        <v>3.5000000000000003E-2</v>
      </c>
      <c r="O1102">
        <v>109350.67500000002</v>
      </c>
      <c r="P1102" s="117">
        <v>3014954.3250000002</v>
      </c>
      <c r="Q1102" s="117" t="s">
        <v>1021</v>
      </c>
      <c r="R1102" s="150">
        <v>0</v>
      </c>
      <c r="S1102" s="117" t="b">
        <f>OR(COUNTIF(Tabla2[[#This Row],[PROVEEDOR]],"*"&amp;'Palabra no opera'!$A$2&amp;"*"))</f>
        <v>1</v>
      </c>
      <c r="T1102" s="150">
        <f>+$W$5-Tabla2[[#This Row],[FECHA DE FACTURACIÓN]]</f>
        <v>364</v>
      </c>
      <c r="U1102" t="str">
        <f>+IF(Tabla2[[#This Row],[dias de credito]]&gt;=Tabla2[[#This Row],[PLAZO Días]],"venc", "No venc")</f>
        <v>venc</v>
      </c>
      <c r="V1102" t="str">
        <f>+IF(Tabla2[[#This Row],[FECHA DE PAGO]]&gt;0,"pagada","por pagar")</f>
        <v>pagada</v>
      </c>
      <c r="W1102" s="152" t="str">
        <f>+IF(AND(Tabla2[[#This Row],[venc]]="venc",Tabla2[[#This Row],[Columna1]]="por pagar"),"vencida","no")</f>
        <v>no</v>
      </c>
    </row>
    <row r="1103" spans="1:23" x14ac:dyDescent="0.3">
      <c r="A1103">
        <v>30</v>
      </c>
      <c r="B1103">
        <v>0</v>
      </c>
      <c r="D1103" t="s">
        <v>259</v>
      </c>
      <c r="E1103" s="156">
        <v>44496</v>
      </c>
      <c r="F1103" t="s">
        <v>918</v>
      </c>
      <c r="G1103" s="156">
        <v>44470</v>
      </c>
      <c r="H1103">
        <v>9120</v>
      </c>
      <c r="I1103">
        <v>1547710</v>
      </c>
      <c r="K1103">
        <v>0</v>
      </c>
      <c r="M1103">
        <v>0</v>
      </c>
      <c r="N1103">
        <v>0</v>
      </c>
      <c r="O1103">
        <v>0</v>
      </c>
      <c r="P1103" s="117">
        <v>1547710</v>
      </c>
      <c r="Q1103" s="117" t="s">
        <v>1021</v>
      </c>
      <c r="R1103" s="150">
        <v>0</v>
      </c>
      <c r="S1103" s="117" t="b">
        <f>OR(COUNTIF(Tabla2[[#This Row],[PROVEEDOR]],"*"&amp;'Palabra no opera'!$A$2&amp;"*"))</f>
        <v>1</v>
      </c>
      <c r="T1103" s="150">
        <f>+$W$5-Tabla2[[#This Row],[FECHA DE FACTURACIÓN]]</f>
        <v>364</v>
      </c>
      <c r="U1103" t="str">
        <f>+IF(Tabla2[[#This Row],[dias de credito]]&gt;=Tabla2[[#This Row],[PLAZO Días]],"venc", "No venc")</f>
        <v>venc</v>
      </c>
      <c r="V1103" t="str">
        <f>+IF(Tabla2[[#This Row],[FECHA DE PAGO]]&gt;0,"pagada","por pagar")</f>
        <v>pagada</v>
      </c>
      <c r="W1103" s="152" t="str">
        <f>+IF(AND(Tabla2[[#This Row],[venc]]="venc",Tabla2[[#This Row],[Columna1]]="por pagar"),"vencida","no")</f>
        <v>no</v>
      </c>
    </row>
    <row r="1104" spans="1:23" x14ac:dyDescent="0.3">
      <c r="A1104">
        <v>30</v>
      </c>
      <c r="B1104">
        <v>0</v>
      </c>
      <c r="D1104" t="s">
        <v>433</v>
      </c>
      <c r="E1104" s="156">
        <v>44496</v>
      </c>
      <c r="F1104" t="s">
        <v>925</v>
      </c>
      <c r="G1104" s="156">
        <v>44470</v>
      </c>
      <c r="H1104" t="s">
        <v>1322</v>
      </c>
      <c r="I1104">
        <v>2789636</v>
      </c>
      <c r="K1104">
        <v>0</v>
      </c>
      <c r="M1104">
        <v>0</v>
      </c>
      <c r="N1104">
        <v>3.5000000000000003E-2</v>
      </c>
      <c r="O1104">
        <v>97637.260000000009</v>
      </c>
      <c r="P1104" s="117">
        <v>2691998.74</v>
      </c>
      <c r="Q1104" s="117" t="s">
        <v>1021</v>
      </c>
      <c r="R1104" s="150">
        <v>0</v>
      </c>
      <c r="S1104" s="117" t="b">
        <f>OR(COUNTIF(Tabla2[[#This Row],[PROVEEDOR]],"*"&amp;'Palabra no opera'!$A$2&amp;"*"))</f>
        <v>1</v>
      </c>
      <c r="T1104" s="150">
        <f>+$W$5-Tabla2[[#This Row],[FECHA DE FACTURACIÓN]]</f>
        <v>364</v>
      </c>
      <c r="U1104" t="str">
        <f>+IF(Tabla2[[#This Row],[dias de credito]]&gt;=Tabla2[[#This Row],[PLAZO Días]],"venc", "No venc")</f>
        <v>venc</v>
      </c>
      <c r="V1104" t="str">
        <f>+IF(Tabla2[[#This Row],[FECHA DE PAGO]]&gt;0,"pagada","por pagar")</f>
        <v>pagada</v>
      </c>
      <c r="W1104" s="152" t="str">
        <f>+IF(AND(Tabla2[[#This Row],[venc]]="venc",Tabla2[[#This Row],[Columna1]]="por pagar"),"vencida","no")</f>
        <v>no</v>
      </c>
    </row>
    <row r="1105" spans="1:23" x14ac:dyDescent="0.3">
      <c r="A1105">
        <v>30</v>
      </c>
      <c r="B1105">
        <v>0</v>
      </c>
      <c r="D1105" t="s">
        <v>267</v>
      </c>
      <c r="E1105" s="156">
        <v>44496</v>
      </c>
      <c r="F1105" t="s">
        <v>941</v>
      </c>
      <c r="G1105" s="156">
        <v>44470</v>
      </c>
      <c r="H1105" t="s">
        <v>504</v>
      </c>
      <c r="I1105">
        <v>203897</v>
      </c>
      <c r="K1105">
        <v>38740.43</v>
      </c>
      <c r="M1105">
        <v>0</v>
      </c>
      <c r="N1105">
        <v>3.5000000000000003E-2</v>
      </c>
      <c r="O1105">
        <v>7136.3950000000004</v>
      </c>
      <c r="P1105" s="117">
        <v>235501.035</v>
      </c>
      <c r="Q1105" s="117" t="s">
        <v>1021</v>
      </c>
      <c r="R1105" s="150">
        <v>0</v>
      </c>
      <c r="S1105" s="117" t="b">
        <f>OR(COUNTIF(Tabla2[[#This Row],[PROVEEDOR]],"*"&amp;'Palabra no opera'!$A$2&amp;"*"))</f>
        <v>1</v>
      </c>
      <c r="T1105" s="150">
        <f>+$W$5-Tabla2[[#This Row],[FECHA DE FACTURACIÓN]]</f>
        <v>364</v>
      </c>
      <c r="U1105" t="str">
        <f>+IF(Tabla2[[#This Row],[dias de credito]]&gt;=Tabla2[[#This Row],[PLAZO Días]],"venc", "No venc")</f>
        <v>venc</v>
      </c>
      <c r="V1105" t="str">
        <f>+IF(Tabla2[[#This Row],[FECHA DE PAGO]]&gt;0,"pagada","por pagar")</f>
        <v>pagada</v>
      </c>
      <c r="W1105" s="152" t="str">
        <f>+IF(AND(Tabla2[[#This Row],[venc]]="venc",Tabla2[[#This Row],[Columna1]]="por pagar"),"vencida","no")</f>
        <v>no</v>
      </c>
    </row>
    <row r="1106" spans="1:23" x14ac:dyDescent="0.3">
      <c r="A1106">
        <v>20</v>
      </c>
      <c r="B1106">
        <v>0</v>
      </c>
      <c r="D1106" t="s">
        <v>275</v>
      </c>
      <c r="E1106" s="156">
        <v>44496</v>
      </c>
      <c r="F1106" t="s">
        <v>942</v>
      </c>
      <c r="G1106" s="156">
        <v>44470</v>
      </c>
      <c r="H1106">
        <v>40617</v>
      </c>
      <c r="I1106">
        <v>4430000</v>
      </c>
      <c r="K1106">
        <v>841700</v>
      </c>
      <c r="M1106">
        <v>0</v>
      </c>
      <c r="N1106">
        <v>3.5000000000000003E-2</v>
      </c>
      <c r="O1106">
        <v>155050.00000000003</v>
      </c>
      <c r="P1106" s="117">
        <v>5116650</v>
      </c>
      <c r="Q1106" s="117" t="s">
        <v>1021</v>
      </c>
      <c r="R1106" s="150">
        <v>0</v>
      </c>
      <c r="S1106" s="117" t="b">
        <f>OR(COUNTIF(Tabla2[[#This Row],[PROVEEDOR]],"*"&amp;'Palabra no opera'!$A$2&amp;"*"))</f>
        <v>1</v>
      </c>
      <c r="T1106" s="150">
        <f>+$W$5-Tabla2[[#This Row],[FECHA DE FACTURACIÓN]]</f>
        <v>364</v>
      </c>
      <c r="U1106" t="str">
        <f>+IF(Tabla2[[#This Row],[dias de credito]]&gt;=Tabla2[[#This Row],[PLAZO Días]],"venc", "No venc")</f>
        <v>venc</v>
      </c>
      <c r="V1106" t="str">
        <f>+IF(Tabla2[[#This Row],[FECHA DE PAGO]]&gt;0,"pagada","por pagar")</f>
        <v>pagada</v>
      </c>
      <c r="W1106" s="152" t="str">
        <f>+IF(AND(Tabla2[[#This Row],[venc]]="venc",Tabla2[[#This Row],[Columna1]]="por pagar"),"vencida","no")</f>
        <v>no</v>
      </c>
    </row>
    <row r="1107" spans="1:23" x14ac:dyDescent="0.3">
      <c r="A1107">
        <v>20</v>
      </c>
      <c r="B1107">
        <v>0</v>
      </c>
      <c r="D1107" t="s">
        <v>275</v>
      </c>
      <c r="E1107" s="156">
        <v>44496</v>
      </c>
      <c r="F1107" t="s">
        <v>942</v>
      </c>
      <c r="G1107" s="156">
        <v>44461</v>
      </c>
      <c r="H1107" t="s">
        <v>1465</v>
      </c>
      <c r="I1107">
        <v>-956801</v>
      </c>
      <c r="K1107">
        <v>-181792.19</v>
      </c>
      <c r="M1107">
        <v>0</v>
      </c>
      <c r="N1107">
        <v>0</v>
      </c>
      <c r="O1107">
        <v>0</v>
      </c>
      <c r="P1107" s="117">
        <v>-1138593.19</v>
      </c>
      <c r="Q1107" s="117" t="s">
        <v>1021</v>
      </c>
      <c r="R1107" s="150">
        <v>0</v>
      </c>
      <c r="S1107" s="117" t="b">
        <f>OR(COUNTIF(Tabla2[[#This Row],[PROVEEDOR]],"*"&amp;'Palabra no opera'!$A$2&amp;"*"))</f>
        <v>1</v>
      </c>
      <c r="T1107" s="150">
        <f>+$W$5-Tabla2[[#This Row],[FECHA DE FACTURACIÓN]]</f>
        <v>373</v>
      </c>
      <c r="U1107" t="str">
        <f>+IF(Tabla2[[#This Row],[dias de credito]]&gt;=Tabla2[[#This Row],[PLAZO Días]],"venc", "No venc")</f>
        <v>venc</v>
      </c>
      <c r="V1107" t="str">
        <f>+IF(Tabla2[[#This Row],[FECHA DE PAGO]]&gt;0,"pagada","por pagar")</f>
        <v>pagada</v>
      </c>
      <c r="W1107" s="152" t="str">
        <f>+IF(AND(Tabla2[[#This Row],[venc]]="venc",Tabla2[[#This Row],[Columna1]]="por pagar"),"vencida","no")</f>
        <v>no</v>
      </c>
    </row>
    <row r="1108" spans="1:23" x14ac:dyDescent="0.3">
      <c r="A1108">
        <v>30</v>
      </c>
      <c r="B1108">
        <v>0</v>
      </c>
      <c r="D1108" t="s">
        <v>291</v>
      </c>
      <c r="E1108" s="156">
        <v>44496</v>
      </c>
      <c r="F1108" t="s">
        <v>26</v>
      </c>
      <c r="G1108" s="156">
        <v>44449</v>
      </c>
      <c r="H1108" t="s">
        <v>472</v>
      </c>
      <c r="I1108">
        <v>2720000</v>
      </c>
      <c r="K1108">
        <v>516800</v>
      </c>
      <c r="M1108">
        <v>0</v>
      </c>
      <c r="N1108">
        <v>2.5000000000000001E-2</v>
      </c>
      <c r="O1108">
        <v>68000</v>
      </c>
      <c r="P1108" s="117">
        <v>3168800</v>
      </c>
      <c r="Q1108" s="117" t="s">
        <v>1021</v>
      </c>
      <c r="R1108" s="150">
        <v>0</v>
      </c>
      <c r="S1108" s="117" t="b">
        <f>OR(COUNTIF(Tabla2[[#This Row],[PROVEEDOR]],"*"&amp;'Palabra no opera'!$A$2&amp;"*"))</f>
        <v>0</v>
      </c>
      <c r="T1108" s="150">
        <f>+$W$5-Tabla2[[#This Row],[FECHA DE FACTURACIÓN]]</f>
        <v>385</v>
      </c>
      <c r="U1108" t="str">
        <f>+IF(Tabla2[[#This Row],[dias de credito]]&gt;=Tabla2[[#This Row],[PLAZO Días]],"venc", "No venc")</f>
        <v>venc</v>
      </c>
      <c r="V1108" t="str">
        <f>+IF(Tabla2[[#This Row],[FECHA DE PAGO]]&gt;0,"pagada","por pagar")</f>
        <v>pagada</v>
      </c>
      <c r="W1108" s="152" t="str">
        <f>+IF(AND(Tabla2[[#This Row],[venc]]="venc",Tabla2[[#This Row],[Columna1]]="por pagar"),"vencida","no")</f>
        <v>no</v>
      </c>
    </row>
    <row r="1109" spans="1:23" x14ac:dyDescent="0.3">
      <c r="A1109">
        <v>20</v>
      </c>
      <c r="B1109">
        <v>0</v>
      </c>
      <c r="D1109" t="s">
        <v>275</v>
      </c>
      <c r="E1109" s="156">
        <v>44496</v>
      </c>
      <c r="F1109" t="s">
        <v>942</v>
      </c>
      <c r="G1109" s="156">
        <v>44432</v>
      </c>
      <c r="H1109" t="s">
        <v>1465</v>
      </c>
      <c r="I1109">
        <v>-956801</v>
      </c>
      <c r="K1109">
        <v>-181792.19</v>
      </c>
      <c r="M1109">
        <v>0</v>
      </c>
      <c r="N1109">
        <v>0</v>
      </c>
      <c r="O1109">
        <v>0</v>
      </c>
      <c r="P1109" s="117">
        <v>-1138593.19</v>
      </c>
      <c r="Q1109" s="117" t="s">
        <v>1021</v>
      </c>
      <c r="R1109" s="150">
        <v>0</v>
      </c>
      <c r="S1109" s="117" t="b">
        <f>OR(COUNTIF(Tabla2[[#This Row],[PROVEEDOR]],"*"&amp;'Palabra no opera'!$A$2&amp;"*"))</f>
        <v>1</v>
      </c>
      <c r="T1109" s="150">
        <f>+$W$5-Tabla2[[#This Row],[FECHA DE FACTURACIÓN]]</f>
        <v>402</v>
      </c>
      <c r="U1109" t="str">
        <f>+IF(Tabla2[[#This Row],[dias de credito]]&gt;=Tabla2[[#This Row],[PLAZO Días]],"venc", "No venc")</f>
        <v>venc</v>
      </c>
      <c r="V1109" t="str">
        <f>+IF(Tabla2[[#This Row],[FECHA DE PAGO]]&gt;0,"pagada","por pagar")</f>
        <v>pagada</v>
      </c>
      <c r="W1109" s="152" t="str">
        <f>+IF(AND(Tabla2[[#This Row],[venc]]="venc",Tabla2[[#This Row],[Columna1]]="por pagar"),"vencida","no")</f>
        <v>no</v>
      </c>
    </row>
    <row r="1110" spans="1:23" x14ac:dyDescent="0.3">
      <c r="A1110">
        <v>20</v>
      </c>
      <c r="B1110">
        <v>0</v>
      </c>
      <c r="D1110" t="s">
        <v>275</v>
      </c>
      <c r="E1110" s="156">
        <v>44496</v>
      </c>
      <c r="F1110" t="s">
        <v>942</v>
      </c>
      <c r="G1110" s="156">
        <v>44396</v>
      </c>
      <c r="H1110" t="s">
        <v>1465</v>
      </c>
      <c r="I1110">
        <v>-956801</v>
      </c>
      <c r="K1110">
        <v>-181792.19</v>
      </c>
      <c r="M1110">
        <v>0</v>
      </c>
      <c r="N1110">
        <v>0</v>
      </c>
      <c r="O1110">
        <v>0</v>
      </c>
      <c r="P1110" s="117">
        <v>-1138593.19</v>
      </c>
      <c r="Q1110" s="117" t="s">
        <v>1021</v>
      </c>
      <c r="R1110" s="150">
        <v>0</v>
      </c>
      <c r="S1110" s="117" t="b">
        <f>OR(COUNTIF(Tabla2[[#This Row],[PROVEEDOR]],"*"&amp;'Palabra no opera'!$A$2&amp;"*"))</f>
        <v>1</v>
      </c>
      <c r="T1110" s="150">
        <f>+$W$5-Tabla2[[#This Row],[FECHA DE FACTURACIÓN]]</f>
        <v>438</v>
      </c>
      <c r="U1110" t="str">
        <f>+IF(Tabla2[[#This Row],[dias de credito]]&gt;=Tabla2[[#This Row],[PLAZO Días]],"venc", "No venc")</f>
        <v>venc</v>
      </c>
      <c r="V1110" t="str">
        <f>+IF(Tabla2[[#This Row],[FECHA DE PAGO]]&gt;0,"pagada","por pagar")</f>
        <v>pagada</v>
      </c>
      <c r="W1110" s="152" t="str">
        <f>+IF(AND(Tabla2[[#This Row],[venc]]="venc",Tabla2[[#This Row],[Columna1]]="por pagar"),"vencida","no")</f>
        <v>no</v>
      </c>
    </row>
    <row r="1111" spans="1:23" x14ac:dyDescent="0.3">
      <c r="A1111">
        <v>20</v>
      </c>
      <c r="B1111">
        <v>0</v>
      </c>
      <c r="D1111" t="s">
        <v>275</v>
      </c>
      <c r="E1111" s="156">
        <v>44496</v>
      </c>
      <c r="F1111" t="s">
        <v>942</v>
      </c>
      <c r="G1111" s="156">
        <v>44369</v>
      </c>
      <c r="H1111" t="s">
        <v>1465</v>
      </c>
      <c r="I1111">
        <v>-956801</v>
      </c>
      <c r="K1111">
        <v>-181792.19</v>
      </c>
      <c r="M1111">
        <v>0</v>
      </c>
      <c r="N1111">
        <v>0</v>
      </c>
      <c r="O1111">
        <v>0</v>
      </c>
      <c r="P1111" s="117">
        <v>-1138593.19</v>
      </c>
      <c r="Q1111" s="117" t="s">
        <v>1021</v>
      </c>
      <c r="R1111" s="150">
        <v>0</v>
      </c>
      <c r="S1111" s="117" t="b">
        <f>OR(COUNTIF(Tabla2[[#This Row],[PROVEEDOR]],"*"&amp;'Palabra no opera'!$A$2&amp;"*"))</f>
        <v>1</v>
      </c>
      <c r="T1111" s="150">
        <f>+$W$5-Tabla2[[#This Row],[FECHA DE FACTURACIÓN]]</f>
        <v>465</v>
      </c>
      <c r="U1111" t="str">
        <f>+IF(Tabla2[[#This Row],[dias de credito]]&gt;=Tabla2[[#This Row],[PLAZO Días]],"venc", "No venc")</f>
        <v>venc</v>
      </c>
      <c r="V1111" t="str">
        <f>+IF(Tabla2[[#This Row],[FECHA DE PAGO]]&gt;0,"pagada","por pagar")</f>
        <v>pagada</v>
      </c>
      <c r="W1111" s="152" t="str">
        <f>+IF(AND(Tabla2[[#This Row],[venc]]="venc",Tabla2[[#This Row],[Columna1]]="por pagar"),"vencida","no")</f>
        <v>no</v>
      </c>
    </row>
    <row r="1112" spans="1:23" x14ac:dyDescent="0.3">
      <c r="A1112">
        <v>20</v>
      </c>
      <c r="B1112">
        <v>0</v>
      </c>
      <c r="D1112" t="s">
        <v>275</v>
      </c>
      <c r="E1112" s="156">
        <v>44496</v>
      </c>
      <c r="F1112" t="s">
        <v>942</v>
      </c>
      <c r="G1112" s="156">
        <v>44287</v>
      </c>
      <c r="H1112">
        <v>38743</v>
      </c>
      <c r="I1112">
        <v>4142000</v>
      </c>
      <c r="K1112">
        <v>786980</v>
      </c>
      <c r="M1112">
        <v>0</v>
      </c>
      <c r="N1112">
        <v>3.5000000000000003E-2</v>
      </c>
      <c r="O1112">
        <v>144970</v>
      </c>
      <c r="P1112" s="117">
        <v>4784010</v>
      </c>
      <c r="Q1112" s="117" t="s">
        <v>1021</v>
      </c>
      <c r="R1112" s="150">
        <v>0</v>
      </c>
      <c r="S1112" s="117" t="b">
        <f>OR(COUNTIF(Tabla2[[#This Row],[PROVEEDOR]],"*"&amp;'Palabra no opera'!$A$2&amp;"*"))</f>
        <v>1</v>
      </c>
      <c r="T1112" s="150">
        <f>+$W$5-Tabla2[[#This Row],[FECHA DE FACTURACIÓN]]</f>
        <v>547</v>
      </c>
      <c r="U1112" t="str">
        <f>+IF(Tabla2[[#This Row],[dias de credito]]&gt;=Tabla2[[#This Row],[PLAZO Días]],"venc", "No venc")</f>
        <v>venc</v>
      </c>
      <c r="V1112" t="str">
        <f>+IF(Tabla2[[#This Row],[FECHA DE PAGO]]&gt;0,"pagada","por pagar")</f>
        <v>pagada</v>
      </c>
      <c r="W1112" s="152" t="str">
        <f>+IF(AND(Tabla2[[#This Row],[venc]]="venc",Tabla2[[#This Row],[Columna1]]="por pagar"),"vencida","no")</f>
        <v>no</v>
      </c>
    </row>
    <row r="1113" spans="1:23" x14ac:dyDescent="0.3">
      <c r="A1113">
        <v>30</v>
      </c>
      <c r="B1113">
        <v>0</v>
      </c>
      <c r="D1113" t="s">
        <v>380</v>
      </c>
      <c r="E1113" s="156">
        <v>44495</v>
      </c>
      <c r="F1113" t="s">
        <v>56</v>
      </c>
      <c r="G1113" s="156">
        <v>44494</v>
      </c>
      <c r="H1113" t="s">
        <v>507</v>
      </c>
      <c r="I1113">
        <v>3584000</v>
      </c>
      <c r="K1113">
        <v>680960</v>
      </c>
      <c r="M1113">
        <v>0</v>
      </c>
      <c r="N1113">
        <v>0</v>
      </c>
      <c r="O1113">
        <v>0</v>
      </c>
      <c r="P1113" s="117">
        <v>4264960</v>
      </c>
      <c r="Q1113" s="117" t="s">
        <v>1021</v>
      </c>
      <c r="R1113" s="150">
        <v>0</v>
      </c>
      <c r="S1113" s="117" t="b">
        <f>OR(COUNTIF(Tabla2[[#This Row],[PROVEEDOR]],"*"&amp;'Palabra no opera'!$A$2&amp;"*"))</f>
        <v>0</v>
      </c>
      <c r="T1113" s="150">
        <f>+$W$5-Tabla2[[#This Row],[FECHA DE FACTURACIÓN]]</f>
        <v>340</v>
      </c>
      <c r="U1113" t="str">
        <f>+IF(Tabla2[[#This Row],[dias de credito]]&gt;=Tabla2[[#This Row],[PLAZO Días]],"venc", "No venc")</f>
        <v>venc</v>
      </c>
      <c r="V1113" t="str">
        <f>+IF(Tabla2[[#This Row],[FECHA DE PAGO]]&gt;0,"pagada","por pagar")</f>
        <v>pagada</v>
      </c>
      <c r="W1113" s="152" t="str">
        <f>+IF(AND(Tabla2[[#This Row],[venc]]="venc",Tabla2[[#This Row],[Columna1]]="por pagar"),"vencida","no")</f>
        <v>no</v>
      </c>
    </row>
    <row r="1114" spans="1:23" x14ac:dyDescent="0.3">
      <c r="A1114">
        <v>30</v>
      </c>
      <c r="B1114">
        <v>0</v>
      </c>
      <c r="D1114" t="s">
        <v>139</v>
      </c>
      <c r="E1114" s="156">
        <v>44494</v>
      </c>
      <c r="F1114" t="s">
        <v>53</v>
      </c>
      <c r="G1114" s="156">
        <v>44493</v>
      </c>
      <c r="H1114">
        <v>285759</v>
      </c>
      <c r="I1114">
        <v>4847000</v>
      </c>
      <c r="K1114">
        <v>0</v>
      </c>
      <c r="M1114">
        <v>0</v>
      </c>
      <c r="N1114">
        <v>0</v>
      </c>
      <c r="O1114">
        <v>0</v>
      </c>
      <c r="P1114" s="117">
        <v>4847000</v>
      </c>
      <c r="Q1114" s="117" t="s">
        <v>1021</v>
      </c>
      <c r="R1114" s="150">
        <v>0</v>
      </c>
      <c r="S1114" s="117" t="b">
        <f>OR(COUNTIF(Tabla2[[#This Row],[PROVEEDOR]],"*"&amp;'Palabra no opera'!$A$2&amp;"*"))</f>
        <v>0</v>
      </c>
      <c r="T1114" s="150">
        <f>+$W$5-Tabla2[[#This Row],[FECHA DE FACTURACIÓN]]</f>
        <v>341</v>
      </c>
      <c r="U1114" t="str">
        <f>+IF(Tabla2[[#This Row],[dias de credito]]&gt;=Tabla2[[#This Row],[PLAZO Días]],"venc", "No venc")</f>
        <v>venc</v>
      </c>
      <c r="V1114" t="str">
        <f>+IF(Tabla2[[#This Row],[FECHA DE PAGO]]&gt;0,"pagada","por pagar")</f>
        <v>pagada</v>
      </c>
      <c r="W1114" s="152" t="str">
        <f>+IF(AND(Tabla2[[#This Row],[venc]]="venc",Tabla2[[#This Row],[Columna1]]="por pagar"),"vencida","no")</f>
        <v>no</v>
      </c>
    </row>
    <row r="1115" spans="1:23" x14ac:dyDescent="0.3">
      <c r="A1115">
        <v>30</v>
      </c>
      <c r="B1115">
        <v>326474.88</v>
      </c>
      <c r="D1115" t="s">
        <v>949</v>
      </c>
      <c r="E1115" s="156">
        <v>44494</v>
      </c>
      <c r="F1115" t="s">
        <v>345</v>
      </c>
      <c r="G1115" s="156">
        <v>44493</v>
      </c>
      <c r="H1115" t="s">
        <v>1333</v>
      </c>
      <c r="I1115">
        <v>1141000</v>
      </c>
      <c r="K1115">
        <v>0</v>
      </c>
      <c r="M1115">
        <v>0</v>
      </c>
      <c r="N1115">
        <v>0</v>
      </c>
      <c r="O1115">
        <v>0</v>
      </c>
      <c r="P1115" s="117">
        <v>1141000</v>
      </c>
      <c r="Q1115" s="117" t="s">
        <v>1021</v>
      </c>
      <c r="R1115" s="150">
        <v>0</v>
      </c>
      <c r="S1115" s="117" t="b">
        <f>OR(COUNTIF(Tabla2[[#This Row],[PROVEEDOR]],"*"&amp;'Palabra no opera'!$A$2&amp;"*"))</f>
        <v>0</v>
      </c>
      <c r="T1115" s="150">
        <f>+$W$5-Tabla2[[#This Row],[FECHA DE FACTURACIÓN]]</f>
        <v>341</v>
      </c>
      <c r="U1115" t="str">
        <f>+IF(Tabla2[[#This Row],[dias de credito]]&gt;=Tabla2[[#This Row],[PLAZO Días]],"venc", "No venc")</f>
        <v>venc</v>
      </c>
      <c r="V1115" t="str">
        <f>+IF(Tabla2[[#This Row],[FECHA DE PAGO]]&gt;0,"pagada","por pagar")</f>
        <v>pagada</v>
      </c>
      <c r="W1115" s="152" t="str">
        <f>+IF(AND(Tabla2[[#This Row],[venc]]="venc",Tabla2[[#This Row],[Columna1]]="por pagar"),"vencida","no")</f>
        <v>no</v>
      </c>
    </row>
    <row r="1116" spans="1:23" x14ac:dyDescent="0.3">
      <c r="A1116">
        <v>20</v>
      </c>
      <c r="B1116">
        <v>0</v>
      </c>
      <c r="D1116" t="s">
        <v>498</v>
      </c>
      <c r="E1116" s="156">
        <v>44494</v>
      </c>
      <c r="F1116" t="s">
        <v>497</v>
      </c>
      <c r="G1116" s="156">
        <v>44488</v>
      </c>
      <c r="H1116" t="s">
        <v>499</v>
      </c>
      <c r="I1116">
        <v>12000000</v>
      </c>
      <c r="K1116">
        <v>0</v>
      </c>
      <c r="M1116">
        <v>0</v>
      </c>
      <c r="N1116">
        <v>0.04</v>
      </c>
      <c r="O1116">
        <v>480000</v>
      </c>
      <c r="P1116" s="117">
        <v>11520000</v>
      </c>
      <c r="Q1116" s="117" t="s">
        <v>1021</v>
      </c>
      <c r="R1116" s="150">
        <v>0</v>
      </c>
      <c r="S1116" s="117" t="b">
        <f>OR(COUNTIF(Tabla2[[#This Row],[PROVEEDOR]],"*"&amp;'Palabra no opera'!$A$2&amp;"*"))</f>
        <v>0</v>
      </c>
      <c r="T1116" s="150">
        <f>+$W$5-Tabla2[[#This Row],[FECHA DE FACTURACIÓN]]</f>
        <v>346</v>
      </c>
      <c r="U1116" t="str">
        <f>+IF(Tabla2[[#This Row],[dias de credito]]&gt;=Tabla2[[#This Row],[PLAZO Días]],"venc", "No venc")</f>
        <v>venc</v>
      </c>
      <c r="V1116" t="str">
        <f>+IF(Tabla2[[#This Row],[FECHA DE PAGO]]&gt;0,"pagada","por pagar")</f>
        <v>pagada</v>
      </c>
      <c r="W1116" s="152" t="str">
        <f>+IF(AND(Tabla2[[#This Row],[venc]]="venc",Tabla2[[#This Row],[Columna1]]="por pagar"),"vencida","no")</f>
        <v>no</v>
      </c>
    </row>
    <row r="1117" spans="1:23" x14ac:dyDescent="0.3">
      <c r="A1117">
        <v>30</v>
      </c>
      <c r="B1117">
        <v>1580500</v>
      </c>
      <c r="D1117" t="s">
        <v>139</v>
      </c>
      <c r="E1117" s="156">
        <v>44494</v>
      </c>
      <c r="F1117" t="s">
        <v>686</v>
      </c>
      <c r="G1117" s="156">
        <v>44460</v>
      </c>
      <c r="H1117" t="s">
        <v>1501</v>
      </c>
      <c r="I1117">
        <v>796800</v>
      </c>
      <c r="K1117">
        <v>0</v>
      </c>
      <c r="M1117">
        <v>0</v>
      </c>
      <c r="N1117">
        <v>0</v>
      </c>
      <c r="O1117">
        <v>0</v>
      </c>
      <c r="P1117" s="117">
        <v>796800</v>
      </c>
      <c r="Q1117" s="117" t="s">
        <v>1021</v>
      </c>
      <c r="R1117" s="150">
        <v>0</v>
      </c>
      <c r="S1117" s="117" t="b">
        <f>OR(COUNTIF(Tabla2[[#This Row],[PROVEEDOR]],"*"&amp;'Palabra no opera'!$A$2&amp;"*"))</f>
        <v>0</v>
      </c>
      <c r="T1117" s="150">
        <f>+$W$5-Tabla2[[#This Row],[FECHA DE FACTURACIÓN]]</f>
        <v>374</v>
      </c>
      <c r="U1117" t="str">
        <f>+IF(Tabla2[[#This Row],[dias de credito]]&gt;=Tabla2[[#This Row],[PLAZO Días]],"venc", "No venc")</f>
        <v>venc</v>
      </c>
      <c r="V1117" t="str">
        <f>+IF(Tabla2[[#This Row],[FECHA DE PAGO]]&gt;0,"pagada","por pagar")</f>
        <v>pagada</v>
      </c>
      <c r="W1117" s="152" t="str">
        <f>+IF(AND(Tabla2[[#This Row],[venc]]="venc",Tabla2[[#This Row],[Columna1]]="por pagar"),"vencida","no")</f>
        <v>no</v>
      </c>
    </row>
    <row r="1118" spans="1:23" x14ac:dyDescent="0.3">
      <c r="A1118">
        <v>30</v>
      </c>
      <c r="B1118">
        <v>0</v>
      </c>
      <c r="D1118" t="s">
        <v>431</v>
      </c>
      <c r="E1118" s="156">
        <v>44494</v>
      </c>
      <c r="F1118" t="s">
        <v>677</v>
      </c>
      <c r="G1118" s="156">
        <v>44459</v>
      </c>
      <c r="H1118" t="s">
        <v>1500</v>
      </c>
      <c r="I1118">
        <v>1082500</v>
      </c>
      <c r="K1118">
        <v>0</v>
      </c>
      <c r="M1118">
        <v>0</v>
      </c>
      <c r="N1118">
        <v>0</v>
      </c>
      <c r="O1118">
        <v>0</v>
      </c>
      <c r="P1118" s="117">
        <v>1082500</v>
      </c>
      <c r="Q1118" s="117" t="s">
        <v>1021</v>
      </c>
      <c r="R1118" s="150">
        <v>0</v>
      </c>
      <c r="S1118" s="117" t="b">
        <f>OR(COUNTIF(Tabla2[[#This Row],[PROVEEDOR]],"*"&amp;'Palabra no opera'!$A$2&amp;"*"))</f>
        <v>0</v>
      </c>
      <c r="T1118" s="150">
        <f>+$W$5-Tabla2[[#This Row],[FECHA DE FACTURACIÓN]]</f>
        <v>375</v>
      </c>
      <c r="U1118" t="str">
        <f>+IF(Tabla2[[#This Row],[dias de credito]]&gt;=Tabla2[[#This Row],[PLAZO Días]],"venc", "No venc")</f>
        <v>venc</v>
      </c>
      <c r="V1118" t="str">
        <f>+IF(Tabla2[[#This Row],[FECHA DE PAGO]]&gt;0,"pagada","por pagar")</f>
        <v>pagada</v>
      </c>
      <c r="W1118" s="152" t="str">
        <f>+IF(AND(Tabla2[[#This Row],[venc]]="venc",Tabla2[[#This Row],[Columna1]]="por pagar"),"vencida","no")</f>
        <v>no</v>
      </c>
    </row>
    <row r="1119" spans="1:23" x14ac:dyDescent="0.3">
      <c r="A1119">
        <v>30</v>
      </c>
      <c r="B1119">
        <v>5225000</v>
      </c>
      <c r="D1119" t="s">
        <v>139</v>
      </c>
      <c r="E1119" s="156">
        <v>44494</v>
      </c>
      <c r="F1119" t="s">
        <v>629</v>
      </c>
      <c r="G1119" s="156">
        <v>44445</v>
      </c>
      <c r="H1119" t="s">
        <v>1302</v>
      </c>
      <c r="I1119">
        <v>75000</v>
      </c>
      <c r="K1119">
        <v>0</v>
      </c>
      <c r="M1119">
        <v>0</v>
      </c>
      <c r="N1119">
        <v>0</v>
      </c>
      <c r="O1119">
        <v>0</v>
      </c>
      <c r="P1119" s="117">
        <v>75000</v>
      </c>
      <c r="Q1119" s="117" t="s">
        <v>1021</v>
      </c>
      <c r="R1119" s="150">
        <v>0</v>
      </c>
      <c r="S1119" s="117" t="b">
        <f>OR(COUNTIF(Tabla2[[#This Row],[PROVEEDOR]],"*"&amp;'Palabra no opera'!$A$2&amp;"*"))</f>
        <v>0</v>
      </c>
      <c r="T1119" s="150">
        <f>+$W$5-Tabla2[[#This Row],[FECHA DE FACTURACIÓN]]</f>
        <v>389</v>
      </c>
      <c r="U1119" t="str">
        <f>+IF(Tabla2[[#This Row],[dias de credito]]&gt;=Tabla2[[#This Row],[PLAZO Días]],"venc", "No venc")</f>
        <v>venc</v>
      </c>
      <c r="V1119" t="str">
        <f>+IF(Tabla2[[#This Row],[FECHA DE PAGO]]&gt;0,"pagada","por pagar")</f>
        <v>pagada</v>
      </c>
      <c r="W1119" s="152" t="str">
        <f>+IF(AND(Tabla2[[#This Row],[venc]]="venc",Tabla2[[#This Row],[Columna1]]="por pagar"),"vencida","no")</f>
        <v>no</v>
      </c>
    </row>
    <row r="1120" spans="1:23" x14ac:dyDescent="0.3">
      <c r="A1120">
        <v>30</v>
      </c>
      <c r="B1120">
        <v>0</v>
      </c>
      <c r="D1120" t="s">
        <v>622</v>
      </c>
      <c r="E1120" s="156">
        <v>44494</v>
      </c>
      <c r="F1120" t="s">
        <v>623</v>
      </c>
      <c r="G1120" s="156">
        <v>44420</v>
      </c>
      <c r="H1120" t="s">
        <v>1482</v>
      </c>
      <c r="I1120">
        <v>2195400</v>
      </c>
      <c r="K1120">
        <v>0</v>
      </c>
      <c r="M1120">
        <v>0</v>
      </c>
      <c r="N1120">
        <v>0</v>
      </c>
      <c r="O1120">
        <v>0</v>
      </c>
      <c r="P1120" s="117">
        <v>2195400</v>
      </c>
      <c r="Q1120" s="117" t="s">
        <v>1021</v>
      </c>
      <c r="R1120" s="150">
        <v>0</v>
      </c>
      <c r="S1120" s="117" t="b">
        <f>OR(COUNTIF(Tabla2[[#This Row],[PROVEEDOR]],"*"&amp;'Palabra no opera'!$A$2&amp;"*"))</f>
        <v>0</v>
      </c>
      <c r="T1120" s="150">
        <f>+$W$5-Tabla2[[#This Row],[FECHA DE FACTURACIÓN]]</f>
        <v>414</v>
      </c>
      <c r="U1120" t="str">
        <f>+IF(Tabla2[[#This Row],[dias de credito]]&gt;=Tabla2[[#This Row],[PLAZO Días]],"venc", "No venc")</f>
        <v>venc</v>
      </c>
      <c r="V1120" t="str">
        <f>+IF(Tabla2[[#This Row],[FECHA DE PAGO]]&gt;0,"pagada","por pagar")</f>
        <v>pagada</v>
      </c>
      <c r="W1120" s="152" t="str">
        <f>+IF(AND(Tabla2[[#This Row],[venc]]="venc",Tabla2[[#This Row],[Columna1]]="por pagar"),"vencida","no")</f>
        <v>no</v>
      </c>
    </row>
    <row r="1121" spans="1:23" x14ac:dyDescent="0.3">
      <c r="A1121">
        <v>30</v>
      </c>
      <c r="B1121">
        <v>0</v>
      </c>
      <c r="D1121" t="s">
        <v>139</v>
      </c>
      <c r="E1121" s="156">
        <v>44492</v>
      </c>
      <c r="F1121" t="s">
        <v>689</v>
      </c>
      <c r="G1121" s="156">
        <v>44491</v>
      </c>
      <c r="H1121" t="s">
        <v>1506</v>
      </c>
      <c r="I1121">
        <v>1327986</v>
      </c>
      <c r="K1121">
        <v>0</v>
      </c>
      <c r="M1121">
        <v>0</v>
      </c>
      <c r="N1121">
        <v>0</v>
      </c>
      <c r="O1121">
        <v>0</v>
      </c>
      <c r="P1121" s="117">
        <v>1327986</v>
      </c>
      <c r="Q1121" s="117" t="s">
        <v>1021</v>
      </c>
      <c r="R1121" s="150">
        <v>0</v>
      </c>
      <c r="S1121" s="117" t="b">
        <f>OR(COUNTIF(Tabla2[[#This Row],[PROVEEDOR]],"*"&amp;'Palabra no opera'!$A$2&amp;"*"))</f>
        <v>0</v>
      </c>
      <c r="T1121" s="150">
        <f>+$W$5-Tabla2[[#This Row],[FECHA DE FACTURACIÓN]]</f>
        <v>343</v>
      </c>
      <c r="U1121" t="str">
        <f>+IF(Tabla2[[#This Row],[dias de credito]]&gt;=Tabla2[[#This Row],[PLAZO Días]],"venc", "No venc")</f>
        <v>venc</v>
      </c>
      <c r="V1121" t="str">
        <f>+IF(Tabla2[[#This Row],[FECHA DE PAGO]]&gt;0,"pagada","por pagar")</f>
        <v>pagada</v>
      </c>
      <c r="W1121" s="152" t="str">
        <f>+IF(AND(Tabla2[[#This Row],[venc]]="venc",Tabla2[[#This Row],[Columna1]]="por pagar"),"vencida","no")</f>
        <v>no</v>
      </c>
    </row>
    <row r="1122" spans="1:23" x14ac:dyDescent="0.3">
      <c r="A1122">
        <v>30</v>
      </c>
      <c r="B1122">
        <v>0</v>
      </c>
      <c r="D1122" t="s">
        <v>250</v>
      </c>
      <c r="E1122" s="156">
        <v>44491</v>
      </c>
      <c r="F1122" t="s">
        <v>1451</v>
      </c>
      <c r="G1122" s="156">
        <v>44488</v>
      </c>
      <c r="H1122">
        <v>151</v>
      </c>
      <c r="I1122">
        <v>740000</v>
      </c>
      <c r="K1122">
        <v>0</v>
      </c>
      <c r="M1122">
        <v>0</v>
      </c>
      <c r="N1122">
        <v>0.01</v>
      </c>
      <c r="O1122">
        <v>7400</v>
      </c>
      <c r="P1122" s="117">
        <v>732600</v>
      </c>
      <c r="Q1122" s="117" t="s">
        <v>1021</v>
      </c>
      <c r="R1122" s="150">
        <v>0</v>
      </c>
      <c r="S1122" s="117" t="b">
        <f>OR(COUNTIF(Tabla2[[#This Row],[PROVEEDOR]],"*"&amp;'Palabra no opera'!$A$2&amp;"*"))</f>
        <v>0</v>
      </c>
      <c r="T1122" s="150">
        <f>+$W$5-Tabla2[[#This Row],[FECHA DE FACTURACIÓN]]</f>
        <v>346</v>
      </c>
      <c r="U1122" t="str">
        <f>+IF(Tabla2[[#This Row],[dias de credito]]&gt;=Tabla2[[#This Row],[PLAZO Días]],"venc", "No venc")</f>
        <v>venc</v>
      </c>
      <c r="V1122" t="str">
        <f>+IF(Tabla2[[#This Row],[FECHA DE PAGO]]&gt;0,"pagada","por pagar")</f>
        <v>pagada</v>
      </c>
      <c r="W1122" s="152" t="str">
        <f>+IF(AND(Tabla2[[#This Row],[venc]]="venc",Tabla2[[#This Row],[Columna1]]="por pagar"),"vencida","no")</f>
        <v>no</v>
      </c>
    </row>
    <row r="1123" spans="1:23" x14ac:dyDescent="0.3">
      <c r="A1123">
        <v>90</v>
      </c>
      <c r="B1123">
        <v>5541947.6899999995</v>
      </c>
      <c r="D1123" t="s">
        <v>253</v>
      </c>
      <c r="E1123" s="156">
        <v>44491</v>
      </c>
      <c r="F1123" t="s">
        <v>12</v>
      </c>
      <c r="G1123" s="156">
        <v>44445</v>
      </c>
      <c r="H1123" t="s">
        <v>494</v>
      </c>
      <c r="I1123">
        <v>0</v>
      </c>
      <c r="K1123">
        <v>0</v>
      </c>
      <c r="M1123">
        <v>0</v>
      </c>
      <c r="N1123">
        <v>0</v>
      </c>
      <c r="O1123">
        <v>0</v>
      </c>
      <c r="P1123" s="117">
        <v>0</v>
      </c>
      <c r="Q1123" s="117" t="s">
        <v>1021</v>
      </c>
      <c r="R1123" s="150">
        <v>0</v>
      </c>
      <c r="S1123" s="117" t="b">
        <f>OR(COUNTIF(Tabla2[[#This Row],[PROVEEDOR]],"*"&amp;'Palabra no opera'!$A$2&amp;"*"))</f>
        <v>0</v>
      </c>
      <c r="T1123" s="150">
        <f>+$W$5-Tabla2[[#This Row],[FECHA DE FACTURACIÓN]]</f>
        <v>389</v>
      </c>
      <c r="U1123" t="str">
        <f>+IF(Tabla2[[#This Row],[dias de credito]]&gt;=Tabla2[[#This Row],[PLAZO Días]],"venc", "No venc")</f>
        <v>venc</v>
      </c>
      <c r="V1123" t="str">
        <f>+IF(Tabla2[[#This Row],[FECHA DE PAGO]]&gt;0,"pagada","por pagar")</f>
        <v>pagada</v>
      </c>
      <c r="W1123" s="152" t="str">
        <f>+IF(AND(Tabla2[[#This Row],[venc]]="venc",Tabla2[[#This Row],[Columna1]]="por pagar"),"vencida","no")</f>
        <v>no</v>
      </c>
    </row>
    <row r="1124" spans="1:23" x14ac:dyDescent="0.3">
      <c r="A1124">
        <v>45</v>
      </c>
      <c r="B1124">
        <v>30078253.170000002</v>
      </c>
      <c r="D1124" t="s">
        <v>884</v>
      </c>
      <c r="E1124" s="156">
        <v>44491</v>
      </c>
      <c r="F1124" t="s">
        <v>19</v>
      </c>
      <c r="G1124" s="156">
        <v>44441</v>
      </c>
      <c r="H1124" t="s">
        <v>462</v>
      </c>
      <c r="I1124">
        <v>10347345</v>
      </c>
      <c r="K1124">
        <v>1965995.55</v>
      </c>
      <c r="M1124">
        <v>0</v>
      </c>
      <c r="N1124">
        <v>0</v>
      </c>
      <c r="O1124">
        <v>0</v>
      </c>
      <c r="P1124" s="117">
        <v>12313340.550000001</v>
      </c>
      <c r="Q1124" s="117" t="s">
        <v>1021</v>
      </c>
      <c r="R1124" s="150">
        <v>0</v>
      </c>
      <c r="S1124" s="117" t="b">
        <f>OR(COUNTIF(Tabla2[[#This Row],[PROVEEDOR]],"*"&amp;'Palabra no opera'!$A$2&amp;"*"))</f>
        <v>0</v>
      </c>
      <c r="T1124" s="150">
        <f>+$W$5-Tabla2[[#This Row],[FECHA DE FACTURACIÓN]]</f>
        <v>393</v>
      </c>
      <c r="U1124" t="str">
        <f>+IF(Tabla2[[#This Row],[dias de credito]]&gt;=Tabla2[[#This Row],[PLAZO Días]],"venc", "No venc")</f>
        <v>venc</v>
      </c>
      <c r="V1124" t="str">
        <f>+IF(Tabla2[[#This Row],[FECHA DE PAGO]]&gt;0,"pagada","por pagar")</f>
        <v>pagada</v>
      </c>
      <c r="W1124" s="152" t="str">
        <f>+IF(AND(Tabla2[[#This Row],[venc]]="venc",Tabla2[[#This Row],[Columna1]]="por pagar"),"vencida","no")</f>
        <v>no</v>
      </c>
    </row>
    <row r="1125" spans="1:23" x14ac:dyDescent="0.3">
      <c r="A1125">
        <v>90</v>
      </c>
      <c r="B1125">
        <v>0</v>
      </c>
      <c r="D1125" t="s">
        <v>503</v>
      </c>
      <c r="E1125" s="156">
        <v>44491</v>
      </c>
      <c r="F1125" t="s">
        <v>387</v>
      </c>
      <c r="G1125" s="156">
        <v>44396</v>
      </c>
      <c r="H1125" t="s">
        <v>388</v>
      </c>
      <c r="I1125">
        <v>4774790</v>
      </c>
      <c r="K1125">
        <v>907210.1</v>
      </c>
      <c r="M1125">
        <v>0</v>
      </c>
      <c r="N1125">
        <v>2.5000000000000001E-2</v>
      </c>
      <c r="O1125">
        <v>119369.75</v>
      </c>
      <c r="P1125" s="117">
        <v>5562630.3499999996</v>
      </c>
      <c r="Q1125" s="117" t="s">
        <v>1021</v>
      </c>
      <c r="R1125" s="150">
        <v>0</v>
      </c>
      <c r="S1125" s="117" t="b">
        <f>OR(COUNTIF(Tabla2[[#This Row],[PROVEEDOR]],"*"&amp;'Palabra no opera'!$A$2&amp;"*"))</f>
        <v>0</v>
      </c>
      <c r="T1125" s="150">
        <f>+$W$5-Tabla2[[#This Row],[FECHA DE FACTURACIÓN]]</f>
        <v>438</v>
      </c>
      <c r="U1125" t="str">
        <f>+IF(Tabla2[[#This Row],[dias de credito]]&gt;=Tabla2[[#This Row],[PLAZO Días]],"venc", "No venc")</f>
        <v>venc</v>
      </c>
      <c r="V1125" t="str">
        <f>+IF(Tabla2[[#This Row],[FECHA DE PAGO]]&gt;0,"pagada","por pagar")</f>
        <v>pagada</v>
      </c>
      <c r="W1125" s="152" t="str">
        <f>+IF(AND(Tabla2[[#This Row],[venc]]="venc",Tabla2[[#This Row],[Columna1]]="por pagar"),"vencida","no")</f>
        <v>no</v>
      </c>
    </row>
    <row r="1126" spans="1:23" x14ac:dyDescent="0.3">
      <c r="A1126">
        <v>90</v>
      </c>
      <c r="B1126">
        <v>5541947.6899999995</v>
      </c>
      <c r="D1126" t="s">
        <v>253</v>
      </c>
      <c r="E1126" s="156">
        <v>44491</v>
      </c>
      <c r="F1126" t="s">
        <v>12</v>
      </c>
      <c r="G1126" s="156">
        <v>44390</v>
      </c>
      <c r="H1126" t="s">
        <v>385</v>
      </c>
      <c r="I1126">
        <v>6247056</v>
      </c>
      <c r="K1126">
        <v>1186940.6399999999</v>
      </c>
      <c r="M1126">
        <v>0</v>
      </c>
      <c r="N1126">
        <v>2.5000000000000001E-2</v>
      </c>
      <c r="O1126">
        <v>156176.4</v>
      </c>
      <c r="P1126" s="117">
        <v>7277820.2399999993</v>
      </c>
      <c r="Q1126" s="117" t="s">
        <v>1021</v>
      </c>
      <c r="R1126" s="150">
        <v>0</v>
      </c>
      <c r="S1126" s="117" t="b">
        <f>OR(COUNTIF(Tabla2[[#This Row],[PROVEEDOR]],"*"&amp;'Palabra no opera'!$A$2&amp;"*"))</f>
        <v>0</v>
      </c>
      <c r="T1126" s="150">
        <f>+$W$5-Tabla2[[#This Row],[FECHA DE FACTURACIÓN]]</f>
        <v>444</v>
      </c>
      <c r="U1126" t="str">
        <f>+IF(Tabla2[[#This Row],[dias de credito]]&gt;=Tabla2[[#This Row],[PLAZO Días]],"venc", "No venc")</f>
        <v>venc</v>
      </c>
      <c r="V1126" t="str">
        <f>+IF(Tabla2[[#This Row],[FECHA DE PAGO]]&gt;0,"pagada","por pagar")</f>
        <v>pagada</v>
      </c>
      <c r="W1126" s="152" t="str">
        <f>+IF(AND(Tabla2[[#This Row],[venc]]="venc",Tabla2[[#This Row],[Columna1]]="por pagar"),"vencida","no")</f>
        <v>no</v>
      </c>
    </row>
    <row r="1127" spans="1:23" x14ac:dyDescent="0.3">
      <c r="A1127">
        <v>30</v>
      </c>
      <c r="B1127">
        <v>0</v>
      </c>
      <c r="D1127" t="s">
        <v>139</v>
      </c>
      <c r="E1127" s="156">
        <v>44490</v>
      </c>
      <c r="F1127" t="s">
        <v>673</v>
      </c>
      <c r="G1127" s="156">
        <v>44490</v>
      </c>
      <c r="I1127">
        <v>1000000</v>
      </c>
      <c r="K1127">
        <v>0</v>
      </c>
      <c r="M1127">
        <v>0</v>
      </c>
      <c r="N1127">
        <v>0</v>
      </c>
      <c r="O1127">
        <v>0</v>
      </c>
      <c r="P1127" s="117">
        <v>1000000</v>
      </c>
      <c r="Q1127" s="117" t="s">
        <v>1021</v>
      </c>
      <c r="R1127" s="150">
        <v>0</v>
      </c>
      <c r="S1127" s="117" t="b">
        <f>OR(COUNTIF(Tabla2[[#This Row],[PROVEEDOR]],"*"&amp;'Palabra no opera'!$A$2&amp;"*"))</f>
        <v>0</v>
      </c>
      <c r="T1127" s="150">
        <f>+$W$5-Tabla2[[#This Row],[FECHA DE FACTURACIÓN]]</f>
        <v>344</v>
      </c>
      <c r="U1127" t="str">
        <f>+IF(Tabla2[[#This Row],[dias de credito]]&gt;=Tabla2[[#This Row],[PLAZO Días]],"venc", "No venc")</f>
        <v>venc</v>
      </c>
      <c r="V1127" t="str">
        <f>+IF(Tabla2[[#This Row],[FECHA DE PAGO]]&gt;0,"pagada","por pagar")</f>
        <v>pagada</v>
      </c>
      <c r="W1127" s="152" t="str">
        <f>+IF(AND(Tabla2[[#This Row],[venc]]="venc",Tabla2[[#This Row],[Columna1]]="por pagar"),"vencida","no")</f>
        <v>no</v>
      </c>
    </row>
    <row r="1128" spans="1:23" x14ac:dyDescent="0.3">
      <c r="A1128">
        <v>20</v>
      </c>
      <c r="B1128">
        <v>0</v>
      </c>
      <c r="D1128">
        <v>0</v>
      </c>
      <c r="E1128" s="156">
        <v>44490</v>
      </c>
      <c r="F1128" t="s">
        <v>692</v>
      </c>
      <c r="G1128" s="156">
        <v>44479</v>
      </c>
      <c r="I1128">
        <v>108000</v>
      </c>
      <c r="K1128">
        <v>0</v>
      </c>
      <c r="M1128">
        <v>0</v>
      </c>
      <c r="N1128">
        <v>0</v>
      </c>
      <c r="O1128">
        <v>0</v>
      </c>
      <c r="P1128" s="117">
        <v>108000</v>
      </c>
      <c r="Q1128" s="117" t="s">
        <v>1021</v>
      </c>
      <c r="R1128" s="150">
        <v>0</v>
      </c>
      <c r="S1128" s="117" t="b">
        <f>OR(COUNTIF(Tabla2[[#This Row],[PROVEEDOR]],"*"&amp;'Palabra no opera'!$A$2&amp;"*"))</f>
        <v>0</v>
      </c>
      <c r="T1128" s="150">
        <f>+$W$5-Tabla2[[#This Row],[FECHA DE FACTURACIÓN]]</f>
        <v>355</v>
      </c>
      <c r="U1128" t="str">
        <f>+IF(Tabla2[[#This Row],[dias de credito]]&gt;=Tabla2[[#This Row],[PLAZO Días]],"venc", "No venc")</f>
        <v>venc</v>
      </c>
      <c r="V1128" t="str">
        <f>+IF(Tabla2[[#This Row],[FECHA DE PAGO]]&gt;0,"pagada","por pagar")</f>
        <v>pagada</v>
      </c>
      <c r="W1128" s="152" t="str">
        <f>+IF(AND(Tabla2[[#This Row],[venc]]="venc",Tabla2[[#This Row],[Columna1]]="por pagar"),"vencida","no")</f>
        <v>no</v>
      </c>
    </row>
    <row r="1129" spans="1:23" x14ac:dyDescent="0.3">
      <c r="A1129">
        <v>30</v>
      </c>
      <c r="B1129">
        <v>0</v>
      </c>
      <c r="D1129" t="s">
        <v>258</v>
      </c>
      <c r="E1129" s="156">
        <v>44490</v>
      </c>
      <c r="F1129" t="s">
        <v>667</v>
      </c>
      <c r="G1129" s="156">
        <v>44459</v>
      </c>
      <c r="H1129" t="s">
        <v>1499</v>
      </c>
      <c r="I1129">
        <v>1500000</v>
      </c>
      <c r="K1129">
        <v>0</v>
      </c>
      <c r="M1129">
        <v>0</v>
      </c>
      <c r="N1129">
        <v>0</v>
      </c>
      <c r="O1129">
        <v>0</v>
      </c>
      <c r="P1129" s="117">
        <v>1500000</v>
      </c>
      <c r="Q1129" s="117" t="s">
        <v>1021</v>
      </c>
      <c r="R1129" s="150">
        <v>0</v>
      </c>
      <c r="S1129" s="117" t="b">
        <f>OR(COUNTIF(Tabla2[[#This Row],[PROVEEDOR]],"*"&amp;'Palabra no opera'!$A$2&amp;"*"))</f>
        <v>0</v>
      </c>
      <c r="T1129" s="150">
        <f>+$W$5-Tabla2[[#This Row],[FECHA DE FACTURACIÓN]]</f>
        <v>375</v>
      </c>
      <c r="U1129" t="str">
        <f>+IF(Tabla2[[#This Row],[dias de credito]]&gt;=Tabla2[[#This Row],[PLAZO Días]],"venc", "No venc")</f>
        <v>venc</v>
      </c>
      <c r="V1129" t="str">
        <f>+IF(Tabla2[[#This Row],[FECHA DE PAGO]]&gt;0,"pagada","por pagar")</f>
        <v>pagada</v>
      </c>
      <c r="W1129" s="152" t="str">
        <f>+IF(AND(Tabla2[[#This Row],[venc]]="venc",Tabla2[[#This Row],[Columna1]]="por pagar"),"vencida","no")</f>
        <v>no</v>
      </c>
    </row>
    <row r="1130" spans="1:23" x14ac:dyDescent="0.3">
      <c r="A1130">
        <v>30</v>
      </c>
      <c r="B1130">
        <v>0</v>
      </c>
      <c r="D1130" t="s">
        <v>139</v>
      </c>
      <c r="E1130" s="156">
        <v>44489</v>
      </c>
      <c r="F1130" t="s">
        <v>53</v>
      </c>
      <c r="G1130" s="156">
        <v>44488</v>
      </c>
      <c r="H1130">
        <v>285851</v>
      </c>
      <c r="I1130">
        <v>1531000</v>
      </c>
      <c r="K1130">
        <v>0</v>
      </c>
      <c r="M1130">
        <v>0</v>
      </c>
      <c r="N1130">
        <v>0</v>
      </c>
      <c r="O1130">
        <v>0</v>
      </c>
      <c r="P1130" s="117">
        <v>1531000</v>
      </c>
      <c r="Q1130" s="117" t="s">
        <v>1021</v>
      </c>
      <c r="R1130" s="150">
        <v>0</v>
      </c>
      <c r="S1130" s="117" t="b">
        <f>OR(COUNTIF(Tabla2[[#This Row],[PROVEEDOR]],"*"&amp;'Palabra no opera'!$A$2&amp;"*"))</f>
        <v>0</v>
      </c>
      <c r="T1130" s="150">
        <f>+$W$5-Tabla2[[#This Row],[FECHA DE FACTURACIÓN]]</f>
        <v>346</v>
      </c>
      <c r="U1130" t="str">
        <f>+IF(Tabla2[[#This Row],[dias de credito]]&gt;=Tabla2[[#This Row],[PLAZO Días]],"venc", "No venc")</f>
        <v>venc</v>
      </c>
      <c r="V1130" t="str">
        <f>+IF(Tabla2[[#This Row],[FECHA DE PAGO]]&gt;0,"pagada","por pagar")</f>
        <v>pagada</v>
      </c>
      <c r="W1130" s="152" t="str">
        <f>+IF(AND(Tabla2[[#This Row],[venc]]="venc",Tabla2[[#This Row],[Columna1]]="por pagar"),"vencida","no")</f>
        <v>no</v>
      </c>
    </row>
    <row r="1131" spans="1:23" x14ac:dyDescent="0.3">
      <c r="A1131">
        <v>30</v>
      </c>
      <c r="B1131">
        <v>326474.88</v>
      </c>
      <c r="D1131" t="s">
        <v>949</v>
      </c>
      <c r="E1131" s="156">
        <v>44489</v>
      </c>
      <c r="F1131" t="s">
        <v>345</v>
      </c>
      <c r="G1131" s="156">
        <v>44488</v>
      </c>
      <c r="H1131" t="s">
        <v>1331</v>
      </c>
      <c r="I1131">
        <v>1781000</v>
      </c>
      <c r="K1131">
        <v>0</v>
      </c>
      <c r="M1131">
        <v>0</v>
      </c>
      <c r="N1131">
        <v>0</v>
      </c>
      <c r="O1131">
        <v>0</v>
      </c>
      <c r="P1131" s="117">
        <v>1781000</v>
      </c>
      <c r="Q1131" s="117" t="s">
        <v>1021</v>
      </c>
      <c r="R1131" s="150">
        <v>0</v>
      </c>
      <c r="S1131" s="117" t="b">
        <f>OR(COUNTIF(Tabla2[[#This Row],[PROVEEDOR]],"*"&amp;'Palabra no opera'!$A$2&amp;"*"))</f>
        <v>0</v>
      </c>
      <c r="T1131" s="150">
        <f>+$W$5-Tabla2[[#This Row],[FECHA DE FACTURACIÓN]]</f>
        <v>346</v>
      </c>
      <c r="U1131" t="str">
        <f>+IF(Tabla2[[#This Row],[dias de credito]]&gt;=Tabla2[[#This Row],[PLAZO Días]],"venc", "No venc")</f>
        <v>venc</v>
      </c>
      <c r="V1131" t="str">
        <f>+IF(Tabla2[[#This Row],[FECHA DE PAGO]]&gt;0,"pagada","por pagar")</f>
        <v>pagada</v>
      </c>
      <c r="W1131" s="152" t="str">
        <f>+IF(AND(Tabla2[[#This Row],[venc]]="venc",Tabla2[[#This Row],[Columna1]]="por pagar"),"vencida","no")</f>
        <v>no</v>
      </c>
    </row>
    <row r="1132" spans="1:23" x14ac:dyDescent="0.3">
      <c r="A1132">
        <v>30</v>
      </c>
      <c r="B1132">
        <v>3450150</v>
      </c>
      <c r="D1132" t="s">
        <v>402</v>
      </c>
      <c r="E1132" s="156">
        <v>44488</v>
      </c>
      <c r="F1132" t="s">
        <v>691</v>
      </c>
      <c r="G1132" s="156">
        <v>44456</v>
      </c>
      <c r="H1132" t="s">
        <v>1435</v>
      </c>
      <c r="I1132">
        <v>1192550</v>
      </c>
      <c r="K1132">
        <v>0</v>
      </c>
      <c r="M1132">
        <v>0</v>
      </c>
      <c r="N1132">
        <v>0</v>
      </c>
      <c r="O1132">
        <v>0</v>
      </c>
      <c r="P1132" s="117">
        <v>1192550</v>
      </c>
      <c r="Q1132" s="117" t="s">
        <v>1021</v>
      </c>
      <c r="R1132" s="150">
        <v>0</v>
      </c>
      <c r="S1132" s="117" t="b">
        <f>OR(COUNTIF(Tabla2[[#This Row],[PROVEEDOR]],"*"&amp;'Palabra no opera'!$A$2&amp;"*"))</f>
        <v>0</v>
      </c>
      <c r="T1132" s="150">
        <f>+$W$5-Tabla2[[#This Row],[FECHA DE FACTURACIÓN]]</f>
        <v>378</v>
      </c>
      <c r="U1132" t="str">
        <f>+IF(Tabla2[[#This Row],[dias de credito]]&gt;=Tabla2[[#This Row],[PLAZO Días]],"venc", "No venc")</f>
        <v>venc</v>
      </c>
      <c r="V1132" t="str">
        <f>+IF(Tabla2[[#This Row],[FECHA DE PAGO]]&gt;0,"pagada","por pagar")</f>
        <v>pagada</v>
      </c>
      <c r="W1132" s="152" t="str">
        <f>+IF(AND(Tabla2[[#This Row],[venc]]="venc",Tabla2[[#This Row],[Columna1]]="por pagar"),"vencida","no")</f>
        <v>no</v>
      </c>
    </row>
    <row r="1133" spans="1:23" x14ac:dyDescent="0.3">
      <c r="A1133">
        <v>30</v>
      </c>
      <c r="B1133">
        <v>19675613.1195</v>
      </c>
      <c r="D1133" t="s">
        <v>256</v>
      </c>
      <c r="E1133" s="156">
        <v>44488</v>
      </c>
      <c r="F1133" t="s">
        <v>18</v>
      </c>
      <c r="G1133" s="156">
        <v>44456</v>
      </c>
      <c r="H1133">
        <v>1043275</v>
      </c>
      <c r="I1133">
        <v>526630.07999999996</v>
      </c>
      <c r="K1133">
        <v>100059.71519999999</v>
      </c>
      <c r="M1133">
        <v>0</v>
      </c>
      <c r="N1133">
        <v>0</v>
      </c>
      <c r="O1133">
        <v>0</v>
      </c>
      <c r="P1133" s="117">
        <v>626689.79519999993</v>
      </c>
      <c r="Q1133" s="117" t="s">
        <v>1021</v>
      </c>
      <c r="R1133" s="150">
        <v>0</v>
      </c>
      <c r="S1133" s="117" t="b">
        <f>OR(COUNTIF(Tabla2[[#This Row],[PROVEEDOR]],"*"&amp;'Palabra no opera'!$A$2&amp;"*"))</f>
        <v>0</v>
      </c>
      <c r="T1133" s="150">
        <f>+$W$5-Tabla2[[#This Row],[FECHA DE FACTURACIÓN]]</f>
        <v>378</v>
      </c>
      <c r="U1133" t="str">
        <f>+IF(Tabla2[[#This Row],[dias de credito]]&gt;=Tabla2[[#This Row],[PLAZO Días]],"venc", "No venc")</f>
        <v>venc</v>
      </c>
      <c r="V1133" t="str">
        <f>+IF(Tabla2[[#This Row],[FECHA DE PAGO]]&gt;0,"pagada","por pagar")</f>
        <v>pagada</v>
      </c>
      <c r="W1133" s="152" t="str">
        <f>+IF(AND(Tabla2[[#This Row],[venc]]="venc",Tabla2[[#This Row],[Columna1]]="por pagar"),"vencida","no")</f>
        <v>no</v>
      </c>
    </row>
    <row r="1134" spans="1:23" x14ac:dyDescent="0.3">
      <c r="A1134">
        <v>30</v>
      </c>
      <c r="B1134">
        <v>146262.9</v>
      </c>
      <c r="D1134" t="s">
        <v>262</v>
      </c>
      <c r="E1134" s="156">
        <v>44488</v>
      </c>
      <c r="F1134" t="s">
        <v>17</v>
      </c>
      <c r="G1134" s="156">
        <v>44456</v>
      </c>
      <c r="H1134">
        <v>1815050</v>
      </c>
      <c r="I1134">
        <v>210000</v>
      </c>
      <c r="K1134">
        <v>39900</v>
      </c>
      <c r="M1134">
        <v>0</v>
      </c>
      <c r="N1134">
        <v>0</v>
      </c>
      <c r="O1134">
        <v>0</v>
      </c>
      <c r="P1134" s="117">
        <v>249900</v>
      </c>
      <c r="Q1134" s="117" t="s">
        <v>1021</v>
      </c>
      <c r="R1134" s="150">
        <v>0</v>
      </c>
      <c r="S1134" s="117" t="b">
        <f>OR(COUNTIF(Tabla2[[#This Row],[PROVEEDOR]],"*"&amp;'Palabra no opera'!$A$2&amp;"*"))</f>
        <v>0</v>
      </c>
      <c r="T1134" s="150">
        <f>+$W$5-Tabla2[[#This Row],[FECHA DE FACTURACIÓN]]</f>
        <v>378</v>
      </c>
      <c r="U1134" t="str">
        <f>+IF(Tabla2[[#This Row],[dias de credito]]&gt;=Tabla2[[#This Row],[PLAZO Días]],"venc", "No venc")</f>
        <v>venc</v>
      </c>
      <c r="V1134" t="str">
        <f>+IF(Tabla2[[#This Row],[FECHA DE PAGO]]&gt;0,"pagada","por pagar")</f>
        <v>pagada</v>
      </c>
      <c r="W1134" s="152" t="str">
        <f>+IF(AND(Tabla2[[#This Row],[venc]]="venc",Tabla2[[#This Row],[Columna1]]="por pagar"),"vencida","no")</f>
        <v>no</v>
      </c>
    </row>
    <row r="1135" spans="1:23" x14ac:dyDescent="0.3">
      <c r="A1135">
        <v>90</v>
      </c>
      <c r="B1135">
        <v>5541947.6899999995</v>
      </c>
      <c r="D1135" t="s">
        <v>253</v>
      </c>
      <c r="E1135" s="156">
        <v>44488</v>
      </c>
      <c r="F1135" t="s">
        <v>12</v>
      </c>
      <c r="G1135" s="156">
        <v>44445</v>
      </c>
      <c r="H1135" t="s">
        <v>493</v>
      </c>
      <c r="I1135">
        <v>0</v>
      </c>
      <c r="K1135">
        <v>0</v>
      </c>
      <c r="M1135">
        <v>0</v>
      </c>
      <c r="N1135">
        <v>0</v>
      </c>
      <c r="O1135">
        <v>0</v>
      </c>
      <c r="P1135" s="117">
        <v>0</v>
      </c>
      <c r="Q1135" s="117" t="s">
        <v>1021</v>
      </c>
      <c r="R1135" s="150">
        <v>0</v>
      </c>
      <c r="S1135" s="117" t="b">
        <f>OR(COUNTIF(Tabla2[[#This Row],[PROVEEDOR]],"*"&amp;'Palabra no opera'!$A$2&amp;"*"))</f>
        <v>0</v>
      </c>
      <c r="T1135" s="150">
        <f>+$W$5-Tabla2[[#This Row],[FECHA DE FACTURACIÓN]]</f>
        <v>389</v>
      </c>
      <c r="U1135" t="str">
        <f>+IF(Tabla2[[#This Row],[dias de credito]]&gt;=Tabla2[[#This Row],[PLAZO Días]],"venc", "No venc")</f>
        <v>venc</v>
      </c>
      <c r="V1135" t="str">
        <f>+IF(Tabla2[[#This Row],[FECHA DE PAGO]]&gt;0,"pagada","por pagar")</f>
        <v>pagada</v>
      </c>
      <c r="W1135" s="152" t="str">
        <f>+IF(AND(Tabla2[[#This Row],[venc]]="venc",Tabla2[[#This Row],[Columna1]]="por pagar"),"vencida","no")</f>
        <v>no</v>
      </c>
    </row>
    <row r="1136" spans="1:23" x14ac:dyDescent="0.3">
      <c r="A1136">
        <v>30</v>
      </c>
      <c r="B1136">
        <v>19675613.1195</v>
      </c>
      <c r="D1136" t="s">
        <v>256</v>
      </c>
      <c r="E1136" s="156">
        <v>44488</v>
      </c>
      <c r="F1136" t="s">
        <v>18</v>
      </c>
      <c r="G1136" s="156">
        <v>44441</v>
      </c>
      <c r="H1136">
        <v>1042560</v>
      </c>
      <c r="I1136">
        <v>658286.4</v>
      </c>
      <c r="K1136">
        <v>125074.41600000001</v>
      </c>
      <c r="M1136">
        <v>0</v>
      </c>
      <c r="N1136">
        <v>0</v>
      </c>
      <c r="O1136">
        <v>0</v>
      </c>
      <c r="P1136" s="117">
        <v>783360.81599999999</v>
      </c>
      <c r="Q1136" s="117" t="s">
        <v>1021</v>
      </c>
      <c r="R1136" s="150">
        <v>0</v>
      </c>
      <c r="S1136" s="117" t="b">
        <f>OR(COUNTIF(Tabla2[[#This Row],[PROVEEDOR]],"*"&amp;'Palabra no opera'!$A$2&amp;"*"))</f>
        <v>0</v>
      </c>
      <c r="T1136" s="150">
        <f>+$W$5-Tabla2[[#This Row],[FECHA DE FACTURACIÓN]]</f>
        <v>393</v>
      </c>
      <c r="U1136" t="str">
        <f>+IF(Tabla2[[#This Row],[dias de credito]]&gt;=Tabla2[[#This Row],[PLAZO Días]],"venc", "No venc")</f>
        <v>venc</v>
      </c>
      <c r="V1136" t="str">
        <f>+IF(Tabla2[[#This Row],[FECHA DE PAGO]]&gt;0,"pagada","por pagar")</f>
        <v>pagada</v>
      </c>
      <c r="W1136" s="152" t="str">
        <f>+IF(AND(Tabla2[[#This Row],[venc]]="venc",Tabla2[[#This Row],[Columna1]]="por pagar"),"vencida","no")</f>
        <v>no</v>
      </c>
    </row>
    <row r="1137" spans="1:23" x14ac:dyDescent="0.3">
      <c r="A1137">
        <v>30</v>
      </c>
      <c r="B1137">
        <v>19675613.1195</v>
      </c>
      <c r="D1137" t="s">
        <v>256</v>
      </c>
      <c r="E1137" s="156">
        <v>44488</v>
      </c>
      <c r="F1137" t="s">
        <v>18</v>
      </c>
      <c r="G1137" s="156">
        <v>44439</v>
      </c>
      <c r="H1137">
        <v>1042459</v>
      </c>
      <c r="I1137">
        <v>3346303.2</v>
      </c>
      <c r="K1137">
        <v>635797.60800000001</v>
      </c>
      <c r="M1137">
        <v>0</v>
      </c>
      <c r="N1137">
        <v>2.5000000000000001E-2</v>
      </c>
      <c r="O1137">
        <v>83657.580000000016</v>
      </c>
      <c r="P1137" s="117">
        <v>3898443.2280000001</v>
      </c>
      <c r="Q1137" s="117" t="s">
        <v>1021</v>
      </c>
      <c r="R1137" s="150">
        <v>0</v>
      </c>
      <c r="S1137" s="117" t="b">
        <f>OR(COUNTIF(Tabla2[[#This Row],[PROVEEDOR]],"*"&amp;'Palabra no opera'!$A$2&amp;"*"))</f>
        <v>0</v>
      </c>
      <c r="T1137" s="150">
        <f>+$W$5-Tabla2[[#This Row],[FECHA DE FACTURACIÓN]]</f>
        <v>395</v>
      </c>
      <c r="U1137" t="str">
        <f>+IF(Tabla2[[#This Row],[dias de credito]]&gt;=Tabla2[[#This Row],[PLAZO Días]],"venc", "No venc")</f>
        <v>venc</v>
      </c>
      <c r="V1137" t="str">
        <f>+IF(Tabla2[[#This Row],[FECHA DE PAGO]]&gt;0,"pagada","por pagar")</f>
        <v>pagada</v>
      </c>
      <c r="W1137" s="152" t="str">
        <f>+IF(AND(Tabla2[[#This Row],[venc]]="venc",Tabla2[[#This Row],[Columna1]]="por pagar"),"vencida","no")</f>
        <v>no</v>
      </c>
    </row>
    <row r="1138" spans="1:23" x14ac:dyDescent="0.3">
      <c r="A1138">
        <v>30</v>
      </c>
      <c r="B1138">
        <v>0</v>
      </c>
      <c r="D1138" t="s">
        <v>277</v>
      </c>
      <c r="E1138" s="156">
        <v>44488</v>
      </c>
      <c r="F1138" t="s">
        <v>131</v>
      </c>
      <c r="G1138" s="156">
        <v>44432</v>
      </c>
      <c r="H1138">
        <v>40</v>
      </c>
      <c r="I1138">
        <v>522353</v>
      </c>
      <c r="K1138">
        <v>99247.07</v>
      </c>
      <c r="M1138">
        <v>0</v>
      </c>
      <c r="N1138">
        <v>0</v>
      </c>
      <c r="O1138">
        <v>0</v>
      </c>
      <c r="P1138" s="117">
        <v>621600.07000000007</v>
      </c>
      <c r="Q1138" s="117" t="s">
        <v>1021</v>
      </c>
      <c r="R1138" s="150">
        <v>0</v>
      </c>
      <c r="S1138" s="117" t="b">
        <f>OR(COUNTIF(Tabla2[[#This Row],[PROVEEDOR]],"*"&amp;'Palabra no opera'!$A$2&amp;"*"))</f>
        <v>0</v>
      </c>
      <c r="T1138" s="150">
        <f>+$W$5-Tabla2[[#This Row],[FECHA DE FACTURACIÓN]]</f>
        <v>402</v>
      </c>
      <c r="U1138" t="str">
        <f>+IF(Tabla2[[#This Row],[dias de credito]]&gt;=Tabla2[[#This Row],[PLAZO Días]],"venc", "No venc")</f>
        <v>venc</v>
      </c>
      <c r="V1138" t="str">
        <f>+IF(Tabla2[[#This Row],[FECHA DE PAGO]]&gt;0,"pagada","por pagar")</f>
        <v>pagada</v>
      </c>
      <c r="W1138" s="152" t="str">
        <f>+IF(AND(Tabla2[[#This Row],[venc]]="venc",Tabla2[[#This Row],[Columna1]]="por pagar"),"vencida","no")</f>
        <v>no</v>
      </c>
    </row>
    <row r="1139" spans="1:23" x14ac:dyDescent="0.3">
      <c r="A1139">
        <v>60</v>
      </c>
      <c r="B1139">
        <v>8889300</v>
      </c>
      <c r="D1139">
        <v>0</v>
      </c>
      <c r="E1139" s="156">
        <v>44488</v>
      </c>
      <c r="F1139" t="s">
        <v>1429</v>
      </c>
      <c r="G1139" s="156">
        <v>44428</v>
      </c>
      <c r="H1139" t="s">
        <v>459</v>
      </c>
      <c r="I1139">
        <v>6142846</v>
      </c>
      <c r="K1139">
        <v>1167140.74</v>
      </c>
      <c r="M1139">
        <v>0</v>
      </c>
      <c r="N1139">
        <v>0</v>
      </c>
      <c r="O1139">
        <v>0</v>
      </c>
      <c r="P1139" s="117">
        <v>7309986.7400000002</v>
      </c>
      <c r="Q1139" s="117" t="s">
        <v>1021</v>
      </c>
      <c r="R1139" s="150">
        <v>0</v>
      </c>
      <c r="S1139" s="117" t="b">
        <f>OR(COUNTIF(Tabla2[[#This Row],[PROVEEDOR]],"*"&amp;'Palabra no opera'!$A$2&amp;"*"))</f>
        <v>1</v>
      </c>
      <c r="T1139" s="150">
        <f>+$W$5-Tabla2[[#This Row],[FECHA DE FACTURACIÓN]]</f>
        <v>406</v>
      </c>
      <c r="U1139" t="str">
        <f>+IF(Tabla2[[#This Row],[dias de credito]]&gt;=Tabla2[[#This Row],[PLAZO Días]],"venc", "No venc")</f>
        <v>venc</v>
      </c>
      <c r="V1139" t="str">
        <f>+IF(Tabla2[[#This Row],[FECHA DE PAGO]]&gt;0,"pagada","por pagar")</f>
        <v>pagada</v>
      </c>
      <c r="W1139" s="152" t="str">
        <f>+IF(AND(Tabla2[[#This Row],[venc]]="venc",Tabla2[[#This Row],[Columna1]]="por pagar"),"vencida","no")</f>
        <v>no</v>
      </c>
    </row>
    <row r="1140" spans="1:23" x14ac:dyDescent="0.3">
      <c r="A1140">
        <v>90</v>
      </c>
      <c r="B1140">
        <v>5541947.6899999995</v>
      </c>
      <c r="D1140" t="s">
        <v>253</v>
      </c>
      <c r="E1140" s="156">
        <v>44488</v>
      </c>
      <c r="F1140" t="s">
        <v>12</v>
      </c>
      <c r="G1140" s="156">
        <v>44383</v>
      </c>
      <c r="H1140" t="s">
        <v>378</v>
      </c>
      <c r="I1140">
        <v>3039496</v>
      </c>
      <c r="K1140">
        <v>577504.24</v>
      </c>
      <c r="M1140">
        <v>0</v>
      </c>
      <c r="N1140">
        <v>2.5000000000000001E-2</v>
      </c>
      <c r="O1140">
        <v>75987.400000000009</v>
      </c>
      <c r="P1140" s="117">
        <v>3541012.8400000003</v>
      </c>
      <c r="Q1140" s="117" t="s">
        <v>1021</v>
      </c>
      <c r="R1140" s="150">
        <v>0</v>
      </c>
      <c r="S1140" s="117" t="b">
        <f>OR(COUNTIF(Tabla2[[#This Row],[PROVEEDOR]],"*"&amp;'Palabra no opera'!$A$2&amp;"*"))</f>
        <v>0</v>
      </c>
      <c r="T1140" s="150">
        <f>+$W$5-Tabla2[[#This Row],[FECHA DE FACTURACIÓN]]</f>
        <v>451</v>
      </c>
      <c r="U1140" t="str">
        <f>+IF(Tabla2[[#This Row],[dias de credito]]&gt;=Tabla2[[#This Row],[PLAZO Días]],"venc", "No venc")</f>
        <v>venc</v>
      </c>
      <c r="V1140" t="str">
        <f>+IF(Tabla2[[#This Row],[FECHA DE PAGO]]&gt;0,"pagada","por pagar")</f>
        <v>pagada</v>
      </c>
      <c r="W1140" s="152" t="str">
        <f>+IF(AND(Tabla2[[#This Row],[venc]]="venc",Tabla2[[#This Row],[Columna1]]="por pagar"),"vencida","no")</f>
        <v>no</v>
      </c>
    </row>
    <row r="1141" spans="1:23" x14ac:dyDescent="0.3">
      <c r="A1141">
        <v>10</v>
      </c>
      <c r="B1141">
        <v>0</v>
      </c>
      <c r="D1141" t="s">
        <v>139</v>
      </c>
      <c r="E1141" s="156">
        <v>44487</v>
      </c>
      <c r="F1141" t="s">
        <v>23</v>
      </c>
      <c r="G1141" s="156">
        <v>44476</v>
      </c>
      <c r="H1141">
        <v>285851</v>
      </c>
      <c r="I1141">
        <v>18021500</v>
      </c>
      <c r="K1141">
        <v>0</v>
      </c>
      <c r="M1141">
        <v>0</v>
      </c>
      <c r="N1141">
        <v>0</v>
      </c>
      <c r="O1141">
        <v>0</v>
      </c>
      <c r="P1141" s="117">
        <v>18021500</v>
      </c>
      <c r="Q1141" s="117" t="s">
        <v>1021</v>
      </c>
      <c r="R1141" s="150">
        <v>0</v>
      </c>
      <c r="S1141" s="117" t="b">
        <f>OR(COUNTIF(Tabla2[[#This Row],[PROVEEDOR]],"*"&amp;'Palabra no opera'!$A$2&amp;"*"))</f>
        <v>0</v>
      </c>
      <c r="T1141" s="150">
        <f>+$W$5-Tabla2[[#This Row],[FECHA DE FACTURACIÓN]]</f>
        <v>358</v>
      </c>
      <c r="U1141" t="str">
        <f>+IF(Tabla2[[#This Row],[dias de credito]]&gt;=Tabla2[[#This Row],[PLAZO Días]],"venc", "No venc")</f>
        <v>venc</v>
      </c>
      <c r="V1141" t="str">
        <f>+IF(Tabla2[[#This Row],[FECHA DE PAGO]]&gt;0,"pagada","por pagar")</f>
        <v>pagada</v>
      </c>
      <c r="W1141" s="152" t="str">
        <f>+IF(AND(Tabla2[[#This Row],[venc]]="venc",Tabla2[[#This Row],[Columna1]]="por pagar"),"vencida","no")</f>
        <v>no</v>
      </c>
    </row>
    <row r="1142" spans="1:23" x14ac:dyDescent="0.3">
      <c r="A1142">
        <v>30</v>
      </c>
      <c r="B1142">
        <v>0</v>
      </c>
      <c r="D1142" t="s">
        <v>1653</v>
      </c>
      <c r="E1142" s="156">
        <v>44485</v>
      </c>
      <c r="F1142" t="s">
        <v>24</v>
      </c>
      <c r="G1142" s="156">
        <v>44435</v>
      </c>
      <c r="H1142" t="s">
        <v>454</v>
      </c>
      <c r="I1142">
        <v>3096632</v>
      </c>
      <c r="K1142">
        <v>588360.07999999996</v>
      </c>
      <c r="M1142">
        <v>0</v>
      </c>
      <c r="N1142">
        <v>2.5000000000000001E-2</v>
      </c>
      <c r="O1142">
        <v>77415.8</v>
      </c>
      <c r="P1142" s="117">
        <v>3607576.2800000003</v>
      </c>
      <c r="Q1142" s="117" t="s">
        <v>1021</v>
      </c>
      <c r="R1142" s="150">
        <v>0</v>
      </c>
      <c r="S1142" s="117" t="b">
        <f>OR(COUNTIF(Tabla2[[#This Row],[PROVEEDOR]],"*"&amp;'Palabra no opera'!$A$2&amp;"*"))</f>
        <v>0</v>
      </c>
      <c r="T1142" s="150">
        <f>+$W$5-Tabla2[[#This Row],[FECHA DE FACTURACIÓN]]</f>
        <v>399</v>
      </c>
      <c r="U1142" t="str">
        <f>+IF(Tabla2[[#This Row],[dias de credito]]&gt;=Tabla2[[#This Row],[PLAZO Días]],"venc", "No venc")</f>
        <v>venc</v>
      </c>
      <c r="V1142" t="str">
        <f>+IF(Tabla2[[#This Row],[FECHA DE PAGO]]&gt;0,"pagada","por pagar")</f>
        <v>pagada</v>
      </c>
      <c r="W1142" s="152" t="str">
        <f>+IF(AND(Tabla2[[#This Row],[venc]]="venc",Tabla2[[#This Row],[Columna1]]="por pagar"),"vencida","no")</f>
        <v>no</v>
      </c>
    </row>
    <row r="1143" spans="1:23" x14ac:dyDescent="0.3">
      <c r="A1143">
        <v>30</v>
      </c>
      <c r="B1143">
        <v>0</v>
      </c>
      <c r="D1143" t="s">
        <v>1653</v>
      </c>
      <c r="E1143" s="156">
        <v>44485</v>
      </c>
      <c r="F1143" t="s">
        <v>24</v>
      </c>
      <c r="G1143" s="156">
        <v>44420</v>
      </c>
      <c r="H1143" t="s">
        <v>412</v>
      </c>
      <c r="I1143">
        <v>1162100</v>
      </c>
      <c r="K1143">
        <v>220799</v>
      </c>
      <c r="M1143">
        <v>0</v>
      </c>
      <c r="N1143">
        <v>2.5000000000000001E-2</v>
      </c>
      <c r="O1143">
        <v>29052.5</v>
      </c>
      <c r="P1143" s="117">
        <v>1353846.5</v>
      </c>
      <c r="Q1143" s="117" t="s">
        <v>1021</v>
      </c>
      <c r="R1143" s="150">
        <v>0</v>
      </c>
      <c r="S1143" s="117" t="b">
        <f>OR(COUNTIF(Tabla2[[#This Row],[PROVEEDOR]],"*"&amp;'Palabra no opera'!$A$2&amp;"*"))</f>
        <v>0</v>
      </c>
      <c r="T1143" s="150">
        <f>+$W$5-Tabla2[[#This Row],[FECHA DE FACTURACIÓN]]</f>
        <v>414</v>
      </c>
      <c r="U1143" t="str">
        <f>+IF(Tabla2[[#This Row],[dias de credito]]&gt;=Tabla2[[#This Row],[PLAZO Días]],"venc", "No venc")</f>
        <v>venc</v>
      </c>
      <c r="V1143" t="str">
        <f>+IF(Tabla2[[#This Row],[FECHA DE PAGO]]&gt;0,"pagada","por pagar")</f>
        <v>pagada</v>
      </c>
      <c r="W1143" s="152" t="str">
        <f>+IF(AND(Tabla2[[#This Row],[venc]]="venc",Tabla2[[#This Row],[Columna1]]="por pagar"),"vencida","no")</f>
        <v>no</v>
      </c>
    </row>
    <row r="1144" spans="1:23" x14ac:dyDescent="0.3">
      <c r="A1144">
        <v>30</v>
      </c>
      <c r="B1144">
        <v>0</v>
      </c>
      <c r="D1144">
        <v>0</v>
      </c>
      <c r="E1144" s="156">
        <v>44484</v>
      </c>
      <c r="F1144" t="s">
        <v>931</v>
      </c>
      <c r="G1144" s="156">
        <v>44483</v>
      </c>
      <c r="H1144" t="s">
        <v>1330</v>
      </c>
      <c r="I1144">
        <v>524986</v>
      </c>
      <c r="K1144">
        <v>99747.34</v>
      </c>
      <c r="M1144">
        <v>0</v>
      </c>
      <c r="N1144">
        <v>3.5000000000000003E-2</v>
      </c>
      <c r="O1144">
        <v>18374.510000000002</v>
      </c>
      <c r="P1144" s="117">
        <v>606358.82999999996</v>
      </c>
      <c r="Q1144" s="117" t="s">
        <v>1021</v>
      </c>
      <c r="R1144" s="150">
        <v>0</v>
      </c>
      <c r="S1144" s="117" t="b">
        <f>OR(COUNTIF(Tabla2[[#This Row],[PROVEEDOR]],"*"&amp;'Palabra no opera'!$A$2&amp;"*"))</f>
        <v>1</v>
      </c>
      <c r="T1144" s="150">
        <f>+$W$5-Tabla2[[#This Row],[FECHA DE FACTURACIÓN]]</f>
        <v>351</v>
      </c>
      <c r="U1144" t="str">
        <f>+IF(Tabla2[[#This Row],[dias de credito]]&gt;=Tabla2[[#This Row],[PLAZO Días]],"venc", "No venc")</f>
        <v>venc</v>
      </c>
      <c r="V1144" t="str">
        <f>+IF(Tabla2[[#This Row],[FECHA DE PAGO]]&gt;0,"pagada","por pagar")</f>
        <v>pagada</v>
      </c>
      <c r="W1144" s="152" t="str">
        <f>+IF(AND(Tabla2[[#This Row],[venc]]="venc",Tabla2[[#This Row],[Columna1]]="por pagar"),"vencida","no")</f>
        <v>no</v>
      </c>
    </row>
    <row r="1145" spans="1:23" x14ac:dyDescent="0.3">
      <c r="A1145">
        <v>10</v>
      </c>
      <c r="B1145">
        <v>0</v>
      </c>
      <c r="D1145" t="s">
        <v>139</v>
      </c>
      <c r="E1145" s="156">
        <v>44484</v>
      </c>
      <c r="F1145" t="s">
        <v>23</v>
      </c>
      <c r="G1145" s="156">
        <v>44475</v>
      </c>
      <c r="H1145">
        <v>285759</v>
      </c>
      <c r="I1145">
        <v>7167218</v>
      </c>
      <c r="K1145">
        <v>0</v>
      </c>
      <c r="M1145">
        <v>0</v>
      </c>
      <c r="N1145">
        <v>0</v>
      </c>
      <c r="O1145">
        <v>0</v>
      </c>
      <c r="P1145" s="117">
        <v>7167218</v>
      </c>
      <c r="Q1145" s="117" t="s">
        <v>1021</v>
      </c>
      <c r="R1145" s="150">
        <v>0</v>
      </c>
      <c r="S1145" s="117" t="b">
        <f>OR(COUNTIF(Tabla2[[#This Row],[PROVEEDOR]],"*"&amp;'Palabra no opera'!$A$2&amp;"*"))</f>
        <v>0</v>
      </c>
      <c r="T1145" s="150">
        <f>+$W$5-Tabla2[[#This Row],[FECHA DE FACTURACIÓN]]</f>
        <v>359</v>
      </c>
      <c r="U1145" t="str">
        <f>+IF(Tabla2[[#This Row],[dias de credito]]&gt;=Tabla2[[#This Row],[PLAZO Días]],"venc", "No venc")</f>
        <v>venc</v>
      </c>
      <c r="V1145" t="str">
        <f>+IF(Tabla2[[#This Row],[FECHA DE PAGO]]&gt;0,"pagada","por pagar")</f>
        <v>pagada</v>
      </c>
      <c r="W1145" s="152" t="str">
        <f>+IF(AND(Tabla2[[#This Row],[venc]]="venc",Tabla2[[#This Row],[Columna1]]="por pagar"),"vencida","no")</f>
        <v>no</v>
      </c>
    </row>
    <row r="1146" spans="1:23" x14ac:dyDescent="0.3">
      <c r="A1146">
        <v>30</v>
      </c>
      <c r="B1146">
        <v>0</v>
      </c>
      <c r="D1146" t="s">
        <v>178</v>
      </c>
      <c r="E1146" s="156">
        <v>44484</v>
      </c>
      <c r="F1146" t="s">
        <v>907</v>
      </c>
      <c r="G1146" s="156">
        <v>44473</v>
      </c>
      <c r="H1146" t="s">
        <v>1324</v>
      </c>
      <c r="I1146">
        <v>1869843</v>
      </c>
      <c r="K1146">
        <v>355270.17</v>
      </c>
      <c r="M1146">
        <v>0</v>
      </c>
      <c r="N1146">
        <v>0</v>
      </c>
      <c r="O1146">
        <v>0</v>
      </c>
      <c r="P1146" s="117">
        <v>2225113.17</v>
      </c>
      <c r="Q1146" s="117" t="s">
        <v>1021</v>
      </c>
      <c r="R1146" s="150">
        <v>0</v>
      </c>
      <c r="S1146" s="117" t="b">
        <f>OR(COUNTIF(Tabla2[[#This Row],[PROVEEDOR]],"*"&amp;'Palabra no opera'!$A$2&amp;"*"))</f>
        <v>1</v>
      </c>
      <c r="T1146" s="150">
        <f>+$W$5-Tabla2[[#This Row],[FECHA DE FACTURACIÓN]]</f>
        <v>361</v>
      </c>
      <c r="U1146" t="str">
        <f>+IF(Tabla2[[#This Row],[dias de credito]]&gt;=Tabla2[[#This Row],[PLAZO Días]],"venc", "No venc")</f>
        <v>venc</v>
      </c>
      <c r="V1146" t="str">
        <f>+IF(Tabla2[[#This Row],[FECHA DE PAGO]]&gt;0,"pagada","por pagar")</f>
        <v>pagada</v>
      </c>
      <c r="W1146" s="152" t="str">
        <f>+IF(AND(Tabla2[[#This Row],[venc]]="venc",Tabla2[[#This Row],[Columna1]]="por pagar"),"vencida","no")</f>
        <v>no</v>
      </c>
    </row>
    <row r="1147" spans="1:23" x14ac:dyDescent="0.3">
      <c r="A1147">
        <v>45</v>
      </c>
      <c r="B1147">
        <v>0</v>
      </c>
      <c r="D1147">
        <v>0</v>
      </c>
      <c r="E1147" s="156">
        <v>44484</v>
      </c>
      <c r="F1147" t="s">
        <v>922</v>
      </c>
      <c r="G1147" s="156">
        <v>44470</v>
      </c>
      <c r="H1147" t="s">
        <v>1321</v>
      </c>
      <c r="I1147">
        <v>199164</v>
      </c>
      <c r="K1147">
        <v>0</v>
      </c>
      <c r="M1147">
        <v>0</v>
      </c>
      <c r="N1147">
        <v>0</v>
      </c>
      <c r="O1147">
        <v>0</v>
      </c>
      <c r="P1147" s="117">
        <v>199164</v>
      </c>
      <c r="Q1147" s="117" t="s">
        <v>1021</v>
      </c>
      <c r="R1147" s="150">
        <v>0</v>
      </c>
      <c r="S1147" s="117" t="b">
        <f>OR(COUNTIF(Tabla2[[#This Row],[PROVEEDOR]],"*"&amp;'Palabra no opera'!$A$2&amp;"*"))</f>
        <v>1</v>
      </c>
      <c r="T1147" s="150">
        <f>+$W$5-Tabla2[[#This Row],[FECHA DE FACTURACIÓN]]</f>
        <v>364</v>
      </c>
      <c r="U1147" t="str">
        <f>+IF(Tabla2[[#This Row],[dias de credito]]&gt;=Tabla2[[#This Row],[PLAZO Días]],"venc", "No venc")</f>
        <v>venc</v>
      </c>
      <c r="V1147" t="str">
        <f>+IF(Tabla2[[#This Row],[FECHA DE PAGO]]&gt;0,"pagada","por pagar")</f>
        <v>pagada</v>
      </c>
      <c r="W1147" s="152" t="str">
        <f>+IF(AND(Tabla2[[#This Row],[venc]]="venc",Tabla2[[#This Row],[Columna1]]="por pagar"),"vencida","no")</f>
        <v>no</v>
      </c>
    </row>
    <row r="1148" spans="1:23" x14ac:dyDescent="0.3">
      <c r="A1148">
        <v>30</v>
      </c>
      <c r="B1148">
        <v>0</v>
      </c>
      <c r="D1148" t="s">
        <v>1036</v>
      </c>
      <c r="E1148" s="156">
        <v>44484</v>
      </c>
      <c r="F1148" t="s">
        <v>927</v>
      </c>
      <c r="G1148" s="156">
        <v>44470</v>
      </c>
      <c r="H1148" t="s">
        <v>312</v>
      </c>
      <c r="I1148">
        <v>727051</v>
      </c>
      <c r="K1148">
        <v>0</v>
      </c>
      <c r="M1148">
        <v>0</v>
      </c>
      <c r="N1148">
        <v>0</v>
      </c>
      <c r="O1148">
        <v>0</v>
      </c>
      <c r="P1148" s="117">
        <v>727051</v>
      </c>
      <c r="Q1148" s="117" t="s">
        <v>1021</v>
      </c>
      <c r="R1148" s="150">
        <v>0</v>
      </c>
      <c r="S1148" s="117" t="b">
        <f>OR(COUNTIF(Tabla2[[#This Row],[PROVEEDOR]],"*"&amp;'Palabra no opera'!$A$2&amp;"*"))</f>
        <v>1</v>
      </c>
      <c r="T1148" s="150">
        <f>+$W$5-Tabla2[[#This Row],[FECHA DE FACTURACIÓN]]</f>
        <v>364</v>
      </c>
      <c r="U1148" t="str">
        <f>+IF(Tabla2[[#This Row],[dias de credito]]&gt;=Tabla2[[#This Row],[PLAZO Días]],"venc", "No venc")</f>
        <v>venc</v>
      </c>
      <c r="V1148" t="str">
        <f>+IF(Tabla2[[#This Row],[FECHA DE PAGO]]&gt;0,"pagada","por pagar")</f>
        <v>pagada</v>
      </c>
      <c r="W1148" s="152" t="str">
        <f>+IF(AND(Tabla2[[#This Row],[venc]]="venc",Tabla2[[#This Row],[Columna1]]="por pagar"),"vencida","no")</f>
        <v>no</v>
      </c>
    </row>
    <row r="1149" spans="1:23" x14ac:dyDescent="0.3">
      <c r="A1149">
        <v>30</v>
      </c>
      <c r="B1149">
        <v>0</v>
      </c>
      <c r="D1149" t="s">
        <v>1036</v>
      </c>
      <c r="E1149" s="156">
        <v>44484</v>
      </c>
      <c r="F1149" t="s">
        <v>927</v>
      </c>
      <c r="G1149" s="156">
        <v>44470</v>
      </c>
      <c r="H1149" t="s">
        <v>313</v>
      </c>
      <c r="I1149">
        <v>743959</v>
      </c>
      <c r="K1149">
        <v>0</v>
      </c>
      <c r="M1149">
        <v>0</v>
      </c>
      <c r="N1149">
        <v>0</v>
      </c>
      <c r="O1149">
        <v>0</v>
      </c>
      <c r="P1149" s="117">
        <v>743959</v>
      </c>
      <c r="Q1149" s="117" t="s">
        <v>1021</v>
      </c>
      <c r="R1149" s="150">
        <v>0</v>
      </c>
      <c r="S1149" s="117" t="b">
        <f>OR(COUNTIF(Tabla2[[#This Row],[PROVEEDOR]],"*"&amp;'Palabra no opera'!$A$2&amp;"*"))</f>
        <v>1</v>
      </c>
      <c r="T1149" s="150">
        <f>+$W$5-Tabla2[[#This Row],[FECHA DE FACTURACIÓN]]</f>
        <v>364</v>
      </c>
      <c r="U1149" t="str">
        <f>+IF(Tabla2[[#This Row],[dias de credito]]&gt;=Tabla2[[#This Row],[PLAZO Días]],"venc", "No venc")</f>
        <v>venc</v>
      </c>
      <c r="V1149" t="str">
        <f>+IF(Tabla2[[#This Row],[FECHA DE PAGO]]&gt;0,"pagada","por pagar")</f>
        <v>pagada</v>
      </c>
      <c r="W1149" s="152" t="str">
        <f>+IF(AND(Tabla2[[#This Row],[venc]]="venc",Tabla2[[#This Row],[Columna1]]="por pagar"),"vencida","no")</f>
        <v>no</v>
      </c>
    </row>
    <row r="1150" spans="1:23" x14ac:dyDescent="0.3">
      <c r="A1150">
        <v>13</v>
      </c>
      <c r="B1150">
        <v>0</v>
      </c>
      <c r="D1150">
        <v>0</v>
      </c>
      <c r="E1150" s="156">
        <v>44484</v>
      </c>
      <c r="F1150" t="s">
        <v>934</v>
      </c>
      <c r="G1150" s="156">
        <v>44470</v>
      </c>
      <c r="I1150">
        <v>871998</v>
      </c>
      <c r="K1150">
        <v>0</v>
      </c>
      <c r="M1150">
        <v>0</v>
      </c>
      <c r="N1150">
        <v>0</v>
      </c>
      <c r="O1150">
        <v>0</v>
      </c>
      <c r="P1150" s="117">
        <v>871998</v>
      </c>
      <c r="Q1150" s="117" t="s">
        <v>1021</v>
      </c>
      <c r="R1150" s="150">
        <v>0</v>
      </c>
      <c r="S1150" s="117" t="b">
        <f>OR(COUNTIF(Tabla2[[#This Row],[PROVEEDOR]],"*"&amp;'Palabra no opera'!$A$2&amp;"*"))</f>
        <v>1</v>
      </c>
      <c r="T1150" s="150">
        <f>+$W$5-Tabla2[[#This Row],[FECHA DE FACTURACIÓN]]</f>
        <v>364</v>
      </c>
      <c r="U1150" t="str">
        <f>+IF(Tabla2[[#This Row],[dias de credito]]&gt;=Tabla2[[#This Row],[PLAZO Días]],"venc", "No venc")</f>
        <v>venc</v>
      </c>
      <c r="V1150" t="str">
        <f>+IF(Tabla2[[#This Row],[FECHA DE PAGO]]&gt;0,"pagada","por pagar")</f>
        <v>pagada</v>
      </c>
      <c r="W1150" s="152" t="str">
        <f>+IF(AND(Tabla2[[#This Row],[venc]]="venc",Tabla2[[#This Row],[Columna1]]="por pagar"),"vencida","no")</f>
        <v>no</v>
      </c>
    </row>
    <row r="1151" spans="1:23" x14ac:dyDescent="0.3">
      <c r="A1151">
        <v>30</v>
      </c>
      <c r="B1151">
        <v>0</v>
      </c>
      <c r="D1151" t="s">
        <v>141</v>
      </c>
      <c r="E1151" s="156">
        <v>44484</v>
      </c>
      <c r="F1151" t="s">
        <v>935</v>
      </c>
      <c r="G1151" s="156">
        <v>44470</v>
      </c>
      <c r="I1151">
        <v>329148</v>
      </c>
      <c r="K1151">
        <v>0</v>
      </c>
      <c r="M1151">
        <v>0</v>
      </c>
      <c r="N1151">
        <v>0</v>
      </c>
      <c r="O1151">
        <v>0</v>
      </c>
      <c r="P1151" s="117">
        <v>329148</v>
      </c>
      <c r="Q1151" s="117" t="s">
        <v>1021</v>
      </c>
      <c r="R1151" s="150">
        <v>0</v>
      </c>
      <c r="S1151" s="117" t="b">
        <f>OR(COUNTIF(Tabla2[[#This Row],[PROVEEDOR]],"*"&amp;'Palabra no opera'!$A$2&amp;"*"))</f>
        <v>1</v>
      </c>
      <c r="T1151" s="150">
        <f>+$W$5-Tabla2[[#This Row],[FECHA DE FACTURACIÓN]]</f>
        <v>364</v>
      </c>
      <c r="U1151" t="str">
        <f>+IF(Tabla2[[#This Row],[dias de credito]]&gt;=Tabla2[[#This Row],[PLAZO Días]],"venc", "No venc")</f>
        <v>venc</v>
      </c>
      <c r="V1151" t="str">
        <f>+IF(Tabla2[[#This Row],[FECHA DE PAGO]]&gt;0,"pagada","por pagar")</f>
        <v>pagada</v>
      </c>
      <c r="W1151" s="152" t="str">
        <f>+IF(AND(Tabla2[[#This Row],[venc]]="venc",Tabla2[[#This Row],[Columna1]]="por pagar"),"vencida","no")</f>
        <v>no</v>
      </c>
    </row>
    <row r="1152" spans="1:23" x14ac:dyDescent="0.3">
      <c r="A1152">
        <v>30</v>
      </c>
      <c r="B1152">
        <v>0</v>
      </c>
      <c r="D1152" t="s">
        <v>139</v>
      </c>
      <c r="E1152" s="156">
        <v>44484</v>
      </c>
      <c r="F1152" t="s">
        <v>1130</v>
      </c>
      <c r="G1152" s="156">
        <v>44466</v>
      </c>
      <c r="H1152" t="s">
        <v>1311</v>
      </c>
      <c r="I1152">
        <v>1217933</v>
      </c>
      <c r="K1152">
        <v>0</v>
      </c>
      <c r="M1152">
        <v>0</v>
      </c>
      <c r="N1152">
        <v>0</v>
      </c>
      <c r="O1152">
        <v>0</v>
      </c>
      <c r="P1152" s="117">
        <v>1217933</v>
      </c>
      <c r="Q1152" s="117" t="s">
        <v>1021</v>
      </c>
      <c r="R1152" s="150">
        <v>0</v>
      </c>
      <c r="S1152" s="117" t="b">
        <f>OR(COUNTIF(Tabla2[[#This Row],[PROVEEDOR]],"*"&amp;'Palabra no opera'!$A$2&amp;"*"))</f>
        <v>1</v>
      </c>
      <c r="T1152" s="150">
        <f>+$W$5-Tabla2[[#This Row],[FECHA DE FACTURACIÓN]]</f>
        <v>368</v>
      </c>
      <c r="U1152" t="str">
        <f>+IF(Tabla2[[#This Row],[dias de credito]]&gt;=Tabla2[[#This Row],[PLAZO Días]],"venc", "No venc")</f>
        <v>venc</v>
      </c>
      <c r="V1152" t="str">
        <f>+IF(Tabla2[[#This Row],[FECHA DE PAGO]]&gt;0,"pagada","por pagar")</f>
        <v>pagada</v>
      </c>
      <c r="W1152" s="152" t="str">
        <f>+IF(AND(Tabla2[[#This Row],[venc]]="venc",Tabla2[[#This Row],[Columna1]]="por pagar"),"vencida","no")</f>
        <v>no</v>
      </c>
    </row>
    <row r="1153" spans="1:23" x14ac:dyDescent="0.3">
      <c r="A1153">
        <v>30</v>
      </c>
      <c r="B1153">
        <v>0</v>
      </c>
      <c r="D1153" t="s">
        <v>423</v>
      </c>
      <c r="E1153" s="156">
        <v>44484</v>
      </c>
      <c r="F1153" t="s">
        <v>698</v>
      </c>
      <c r="G1153" s="156">
        <v>44428</v>
      </c>
      <c r="H1153" t="s">
        <v>1486</v>
      </c>
      <c r="I1153">
        <v>4000</v>
      </c>
      <c r="K1153">
        <v>0</v>
      </c>
      <c r="M1153">
        <v>0</v>
      </c>
      <c r="N1153">
        <v>0</v>
      </c>
      <c r="O1153">
        <v>0</v>
      </c>
      <c r="P1153" s="117">
        <v>4000</v>
      </c>
      <c r="Q1153" s="117" t="s">
        <v>1021</v>
      </c>
      <c r="R1153" s="150">
        <v>0</v>
      </c>
      <c r="S1153" s="117" t="b">
        <f>OR(COUNTIF(Tabla2[[#This Row],[PROVEEDOR]],"*"&amp;'Palabra no opera'!$A$2&amp;"*"))</f>
        <v>0</v>
      </c>
      <c r="T1153" s="150">
        <f>+$W$5-Tabla2[[#This Row],[FECHA DE FACTURACIÓN]]</f>
        <v>406</v>
      </c>
      <c r="U1153" t="str">
        <f>+IF(Tabla2[[#This Row],[dias de credito]]&gt;=Tabla2[[#This Row],[PLAZO Días]],"venc", "No venc")</f>
        <v>venc</v>
      </c>
      <c r="V1153" t="str">
        <f>+IF(Tabla2[[#This Row],[FECHA DE PAGO]]&gt;0,"pagada","por pagar")</f>
        <v>pagada</v>
      </c>
      <c r="W1153" s="152" t="str">
        <f>+IF(AND(Tabla2[[#This Row],[venc]]="venc",Tabla2[[#This Row],[Columna1]]="por pagar"),"vencida","no")</f>
        <v>no</v>
      </c>
    </row>
    <row r="1154" spans="1:23" x14ac:dyDescent="0.3">
      <c r="A1154">
        <v>30</v>
      </c>
      <c r="B1154">
        <v>0</v>
      </c>
      <c r="D1154" t="s">
        <v>423</v>
      </c>
      <c r="E1154" s="156">
        <v>44484</v>
      </c>
      <c r="F1154" t="s">
        <v>698</v>
      </c>
      <c r="G1154" s="156">
        <v>44416</v>
      </c>
      <c r="H1154" t="s">
        <v>1481</v>
      </c>
      <c r="I1154">
        <v>420000</v>
      </c>
      <c r="K1154">
        <v>0</v>
      </c>
      <c r="M1154">
        <v>0</v>
      </c>
      <c r="N1154">
        <v>0</v>
      </c>
      <c r="O1154">
        <v>0</v>
      </c>
      <c r="P1154" s="117">
        <v>420000</v>
      </c>
      <c r="Q1154" s="117" t="s">
        <v>1021</v>
      </c>
      <c r="R1154" s="150">
        <v>0</v>
      </c>
      <c r="S1154" s="117" t="b">
        <f>OR(COUNTIF(Tabla2[[#This Row],[PROVEEDOR]],"*"&amp;'Palabra no opera'!$A$2&amp;"*"))</f>
        <v>0</v>
      </c>
      <c r="T1154" s="150">
        <f>+$W$5-Tabla2[[#This Row],[FECHA DE FACTURACIÓN]]</f>
        <v>418</v>
      </c>
      <c r="U1154" t="str">
        <f>+IF(Tabla2[[#This Row],[dias de credito]]&gt;=Tabla2[[#This Row],[PLAZO Días]],"venc", "No venc")</f>
        <v>venc</v>
      </c>
      <c r="V1154" t="str">
        <f>+IF(Tabla2[[#This Row],[FECHA DE PAGO]]&gt;0,"pagada","por pagar")</f>
        <v>pagada</v>
      </c>
      <c r="W1154" s="152" t="str">
        <f>+IF(AND(Tabla2[[#This Row],[venc]]="venc",Tabla2[[#This Row],[Columna1]]="por pagar"),"vencida","no")</f>
        <v>no</v>
      </c>
    </row>
    <row r="1155" spans="1:23" x14ac:dyDescent="0.3">
      <c r="A1155">
        <v>30</v>
      </c>
      <c r="B1155">
        <v>0</v>
      </c>
      <c r="D1155" t="s">
        <v>139</v>
      </c>
      <c r="E1155" s="156">
        <v>44483</v>
      </c>
      <c r="F1155" t="s">
        <v>673</v>
      </c>
      <c r="G1155" s="156">
        <v>44483</v>
      </c>
      <c r="I1155">
        <v>1000000</v>
      </c>
      <c r="K1155">
        <v>0</v>
      </c>
      <c r="M1155">
        <v>0</v>
      </c>
      <c r="N1155">
        <v>0</v>
      </c>
      <c r="O1155">
        <v>0</v>
      </c>
      <c r="P1155" s="117">
        <v>1000000</v>
      </c>
      <c r="Q1155" s="117" t="s">
        <v>1021</v>
      </c>
      <c r="R1155" s="150">
        <v>0</v>
      </c>
      <c r="S1155" s="117" t="b">
        <f>OR(COUNTIF(Tabla2[[#This Row],[PROVEEDOR]],"*"&amp;'Palabra no opera'!$A$2&amp;"*"))</f>
        <v>0</v>
      </c>
      <c r="T1155" s="150">
        <f>+$W$5-Tabla2[[#This Row],[FECHA DE FACTURACIÓN]]</f>
        <v>351</v>
      </c>
      <c r="U1155" t="str">
        <f>+IF(Tabla2[[#This Row],[dias de credito]]&gt;=Tabla2[[#This Row],[PLAZO Días]],"venc", "No venc")</f>
        <v>venc</v>
      </c>
      <c r="V1155" t="str">
        <f>+IF(Tabla2[[#This Row],[FECHA DE PAGO]]&gt;0,"pagada","por pagar")</f>
        <v>pagada</v>
      </c>
      <c r="W1155" s="152" t="str">
        <f>+IF(AND(Tabla2[[#This Row],[venc]]="venc",Tabla2[[#This Row],[Columna1]]="por pagar"),"vencida","no")</f>
        <v>no</v>
      </c>
    </row>
    <row r="1156" spans="1:23" x14ac:dyDescent="0.3">
      <c r="A1156">
        <v>30</v>
      </c>
      <c r="B1156">
        <v>0</v>
      </c>
      <c r="D1156" t="s">
        <v>968</v>
      </c>
      <c r="E1156" s="156">
        <v>44483</v>
      </c>
      <c r="F1156" t="s">
        <v>656</v>
      </c>
      <c r="G1156" s="156">
        <v>44473</v>
      </c>
      <c r="H1156" t="s">
        <v>1323</v>
      </c>
      <c r="I1156">
        <v>325000</v>
      </c>
      <c r="K1156">
        <v>0</v>
      </c>
      <c r="M1156">
        <v>0</v>
      </c>
      <c r="N1156">
        <v>0</v>
      </c>
      <c r="O1156">
        <v>0</v>
      </c>
      <c r="P1156" s="117">
        <v>325000</v>
      </c>
      <c r="Q1156" s="117" t="s">
        <v>1021</v>
      </c>
      <c r="R1156" s="150">
        <v>0</v>
      </c>
      <c r="S1156" s="117" t="b">
        <f>OR(COUNTIF(Tabla2[[#This Row],[PROVEEDOR]],"*"&amp;'Palabra no opera'!$A$2&amp;"*"))</f>
        <v>0</v>
      </c>
      <c r="T1156" s="150">
        <f>+$W$5-Tabla2[[#This Row],[FECHA DE FACTURACIÓN]]</f>
        <v>361</v>
      </c>
      <c r="U1156" t="str">
        <f>+IF(Tabla2[[#This Row],[dias de credito]]&gt;=Tabla2[[#This Row],[PLAZO Días]],"venc", "No venc")</f>
        <v>venc</v>
      </c>
      <c r="V1156" t="str">
        <f>+IF(Tabla2[[#This Row],[FECHA DE PAGO]]&gt;0,"pagada","por pagar")</f>
        <v>pagada</v>
      </c>
      <c r="W1156" s="152" t="str">
        <f>+IF(AND(Tabla2[[#This Row],[venc]]="venc",Tabla2[[#This Row],[Columna1]]="por pagar"),"vencida","no")</f>
        <v>no</v>
      </c>
    </row>
    <row r="1157" spans="1:23" x14ac:dyDescent="0.3">
      <c r="A1157">
        <v>30</v>
      </c>
      <c r="B1157">
        <v>0</v>
      </c>
      <c r="D1157" t="s">
        <v>676</v>
      </c>
      <c r="E1157" s="156">
        <v>44483</v>
      </c>
      <c r="F1157" t="s">
        <v>940</v>
      </c>
      <c r="G1157" s="156">
        <v>44470</v>
      </c>
      <c r="H1157" t="s">
        <v>1320</v>
      </c>
      <c r="I1157">
        <v>122980</v>
      </c>
      <c r="K1157">
        <v>0</v>
      </c>
      <c r="M1157">
        <v>0</v>
      </c>
      <c r="N1157">
        <v>0</v>
      </c>
      <c r="O1157">
        <v>0</v>
      </c>
      <c r="P1157" s="117">
        <v>122980</v>
      </c>
      <c r="Q1157" s="117" t="s">
        <v>1021</v>
      </c>
      <c r="R1157" s="150">
        <v>0</v>
      </c>
      <c r="S1157" s="117" t="b">
        <f>OR(COUNTIF(Tabla2[[#This Row],[PROVEEDOR]],"*"&amp;'Palabra no opera'!$A$2&amp;"*"))</f>
        <v>1</v>
      </c>
      <c r="T1157" s="150">
        <f>+$W$5-Tabla2[[#This Row],[FECHA DE FACTURACIÓN]]</f>
        <v>364</v>
      </c>
      <c r="U1157" t="str">
        <f>+IF(Tabla2[[#This Row],[dias de credito]]&gt;=Tabla2[[#This Row],[PLAZO Días]],"venc", "No venc")</f>
        <v>venc</v>
      </c>
      <c r="V1157" t="str">
        <f>+IF(Tabla2[[#This Row],[FECHA DE PAGO]]&gt;0,"pagada","por pagar")</f>
        <v>pagada</v>
      </c>
      <c r="W1157" s="152" t="str">
        <f>+IF(AND(Tabla2[[#This Row],[venc]]="venc",Tabla2[[#This Row],[Columna1]]="por pagar"),"vencida","no")</f>
        <v>no</v>
      </c>
    </row>
    <row r="1158" spans="1:23" x14ac:dyDescent="0.3">
      <c r="A1158">
        <v>30</v>
      </c>
      <c r="B1158">
        <v>0</v>
      </c>
      <c r="D1158" t="s">
        <v>676</v>
      </c>
      <c r="E1158" s="156">
        <v>44483</v>
      </c>
      <c r="F1158" t="s">
        <v>940</v>
      </c>
      <c r="G1158" s="156">
        <v>44470</v>
      </c>
      <c r="H1158">
        <v>64608</v>
      </c>
      <c r="I1158">
        <v>302624.74</v>
      </c>
      <c r="K1158">
        <v>0</v>
      </c>
      <c r="M1158">
        <v>0</v>
      </c>
      <c r="N1158">
        <v>0</v>
      </c>
      <c r="O1158">
        <v>0</v>
      </c>
      <c r="P1158" s="117">
        <v>302624.74</v>
      </c>
      <c r="Q1158" s="117" t="s">
        <v>1021</v>
      </c>
      <c r="R1158" s="150">
        <v>0</v>
      </c>
      <c r="S1158" s="117" t="b">
        <f>OR(COUNTIF(Tabla2[[#This Row],[PROVEEDOR]],"*"&amp;'Palabra no opera'!$A$2&amp;"*"))</f>
        <v>1</v>
      </c>
      <c r="T1158" s="150">
        <f>+$W$5-Tabla2[[#This Row],[FECHA DE FACTURACIÓN]]</f>
        <v>364</v>
      </c>
      <c r="U1158" t="str">
        <f>+IF(Tabla2[[#This Row],[dias de credito]]&gt;=Tabla2[[#This Row],[PLAZO Días]],"venc", "No venc")</f>
        <v>venc</v>
      </c>
      <c r="V1158" t="str">
        <f>+IF(Tabla2[[#This Row],[FECHA DE PAGO]]&gt;0,"pagada","por pagar")</f>
        <v>pagada</v>
      </c>
      <c r="W1158" s="152" t="str">
        <f>+IF(AND(Tabla2[[#This Row],[venc]]="venc",Tabla2[[#This Row],[Columna1]]="por pagar"),"vencida","no")</f>
        <v>no</v>
      </c>
    </row>
    <row r="1159" spans="1:23" x14ac:dyDescent="0.3">
      <c r="A1159">
        <v>30</v>
      </c>
      <c r="B1159">
        <v>0</v>
      </c>
      <c r="D1159">
        <v>0</v>
      </c>
      <c r="E1159" s="156">
        <v>44483</v>
      </c>
      <c r="F1159" t="s">
        <v>932</v>
      </c>
      <c r="G1159" s="156">
        <v>44470</v>
      </c>
      <c r="H1159" t="s">
        <v>307</v>
      </c>
      <c r="I1159">
        <v>313385</v>
      </c>
      <c r="K1159">
        <v>0</v>
      </c>
      <c r="M1159">
        <v>0</v>
      </c>
      <c r="N1159">
        <v>0</v>
      </c>
      <c r="O1159">
        <v>0</v>
      </c>
      <c r="P1159" s="117">
        <v>313385</v>
      </c>
      <c r="Q1159" s="117" t="s">
        <v>1021</v>
      </c>
      <c r="R1159" s="150">
        <v>0</v>
      </c>
      <c r="S1159" s="117" t="b">
        <f>OR(COUNTIF(Tabla2[[#This Row],[PROVEEDOR]],"*"&amp;'Palabra no opera'!$A$2&amp;"*"))</f>
        <v>1</v>
      </c>
      <c r="T1159" s="150">
        <f>+$W$5-Tabla2[[#This Row],[FECHA DE FACTURACIÓN]]</f>
        <v>364</v>
      </c>
      <c r="U1159" t="str">
        <f>+IF(Tabla2[[#This Row],[dias de credito]]&gt;=Tabla2[[#This Row],[PLAZO Días]],"venc", "No venc")</f>
        <v>venc</v>
      </c>
      <c r="V1159" t="str">
        <f>+IF(Tabla2[[#This Row],[FECHA DE PAGO]]&gt;0,"pagada","por pagar")</f>
        <v>pagada</v>
      </c>
      <c r="W1159" s="152" t="str">
        <f>+IF(AND(Tabla2[[#This Row],[venc]]="venc",Tabla2[[#This Row],[Columna1]]="por pagar"),"vencida","no")</f>
        <v>no</v>
      </c>
    </row>
    <row r="1160" spans="1:23" x14ac:dyDescent="0.3">
      <c r="A1160">
        <v>30</v>
      </c>
      <c r="B1160">
        <v>6259125.5999999996</v>
      </c>
      <c r="D1160" t="s">
        <v>264</v>
      </c>
      <c r="E1160" s="156">
        <v>44483</v>
      </c>
      <c r="F1160" t="s">
        <v>1448</v>
      </c>
      <c r="G1160" s="156">
        <v>44446</v>
      </c>
      <c r="H1160">
        <v>21793</v>
      </c>
      <c r="I1160">
        <v>1314400</v>
      </c>
      <c r="K1160">
        <v>249736</v>
      </c>
      <c r="M1160">
        <v>0</v>
      </c>
      <c r="N1160">
        <v>2.5000000000000001E-2</v>
      </c>
      <c r="O1160">
        <v>32860</v>
      </c>
      <c r="P1160" s="117">
        <v>1531276</v>
      </c>
      <c r="Q1160" s="117" t="s">
        <v>1021</v>
      </c>
      <c r="R1160" s="150">
        <v>0</v>
      </c>
      <c r="S1160" s="117" t="b">
        <f>OR(COUNTIF(Tabla2[[#This Row],[PROVEEDOR]],"*"&amp;'Palabra no opera'!$A$2&amp;"*"))</f>
        <v>0</v>
      </c>
      <c r="T1160" s="150">
        <f>+$W$5-Tabla2[[#This Row],[FECHA DE FACTURACIÓN]]</f>
        <v>388</v>
      </c>
      <c r="U1160" t="str">
        <f>+IF(Tabla2[[#This Row],[dias de credito]]&gt;=Tabla2[[#This Row],[PLAZO Días]],"venc", "No venc")</f>
        <v>venc</v>
      </c>
      <c r="V1160" t="str">
        <f>+IF(Tabla2[[#This Row],[FECHA DE PAGO]]&gt;0,"pagada","por pagar")</f>
        <v>pagada</v>
      </c>
      <c r="W1160" s="152" t="str">
        <f>+IF(AND(Tabla2[[#This Row],[venc]]="venc",Tabla2[[#This Row],[Columna1]]="por pagar"),"vencida","no")</f>
        <v>no</v>
      </c>
    </row>
    <row r="1161" spans="1:23" x14ac:dyDescent="0.3">
      <c r="A1161">
        <v>30</v>
      </c>
      <c r="B1161">
        <v>0</v>
      </c>
      <c r="D1161" t="s">
        <v>968</v>
      </c>
      <c r="E1161" s="156">
        <v>44483</v>
      </c>
      <c r="F1161" t="s">
        <v>656</v>
      </c>
      <c r="G1161" s="156">
        <v>44440</v>
      </c>
      <c r="H1161" t="s">
        <v>1297</v>
      </c>
      <c r="I1161">
        <v>550000</v>
      </c>
      <c r="K1161">
        <v>0</v>
      </c>
      <c r="M1161">
        <v>0</v>
      </c>
      <c r="N1161">
        <v>0</v>
      </c>
      <c r="O1161">
        <v>0</v>
      </c>
      <c r="P1161" s="117">
        <v>550000</v>
      </c>
      <c r="Q1161" s="117" t="s">
        <v>1021</v>
      </c>
      <c r="R1161" s="150">
        <v>0</v>
      </c>
      <c r="S1161" s="117" t="b">
        <f>OR(COUNTIF(Tabla2[[#This Row],[PROVEEDOR]],"*"&amp;'Palabra no opera'!$A$2&amp;"*"))</f>
        <v>0</v>
      </c>
      <c r="T1161" s="150">
        <f>+$W$5-Tabla2[[#This Row],[FECHA DE FACTURACIÓN]]</f>
        <v>394</v>
      </c>
      <c r="U1161" t="str">
        <f>+IF(Tabla2[[#This Row],[dias de credito]]&gt;=Tabla2[[#This Row],[PLAZO Días]],"venc", "No venc")</f>
        <v>venc</v>
      </c>
      <c r="V1161" t="str">
        <f>+IF(Tabla2[[#This Row],[FECHA DE PAGO]]&gt;0,"pagada","por pagar")</f>
        <v>pagada</v>
      </c>
      <c r="W1161" s="152" t="str">
        <f>+IF(AND(Tabla2[[#This Row],[venc]]="venc",Tabla2[[#This Row],[Columna1]]="por pagar"),"vencida","no")</f>
        <v>no</v>
      </c>
    </row>
    <row r="1162" spans="1:23" x14ac:dyDescent="0.3">
      <c r="A1162">
        <v>30</v>
      </c>
      <c r="B1162">
        <v>0</v>
      </c>
      <c r="D1162" t="s">
        <v>968</v>
      </c>
      <c r="E1162" s="156">
        <v>44483</v>
      </c>
      <c r="F1162" t="s">
        <v>656</v>
      </c>
      <c r="G1162" s="156">
        <v>44433</v>
      </c>
      <c r="H1162" t="s">
        <v>1292</v>
      </c>
      <c r="I1162">
        <v>-120000</v>
      </c>
      <c r="K1162">
        <v>0</v>
      </c>
      <c r="M1162">
        <v>0</v>
      </c>
      <c r="N1162">
        <v>0</v>
      </c>
      <c r="O1162">
        <v>0</v>
      </c>
      <c r="P1162" s="117">
        <v>-120000</v>
      </c>
      <c r="Q1162" s="117" t="s">
        <v>1021</v>
      </c>
      <c r="R1162" s="150">
        <v>0</v>
      </c>
      <c r="S1162" s="117" t="b">
        <f>OR(COUNTIF(Tabla2[[#This Row],[PROVEEDOR]],"*"&amp;'Palabra no opera'!$A$2&amp;"*"))</f>
        <v>0</v>
      </c>
      <c r="T1162" s="150">
        <f>+$W$5-Tabla2[[#This Row],[FECHA DE FACTURACIÓN]]</f>
        <v>401</v>
      </c>
      <c r="U1162" t="str">
        <f>+IF(Tabla2[[#This Row],[dias de credito]]&gt;=Tabla2[[#This Row],[PLAZO Días]],"venc", "No venc")</f>
        <v>venc</v>
      </c>
      <c r="V1162" t="str">
        <f>+IF(Tabla2[[#This Row],[FECHA DE PAGO]]&gt;0,"pagada","por pagar")</f>
        <v>pagada</v>
      </c>
      <c r="W1162" s="152" t="str">
        <f>+IF(AND(Tabla2[[#This Row],[venc]]="venc",Tabla2[[#This Row],[Columna1]]="por pagar"),"vencida","no")</f>
        <v>no</v>
      </c>
    </row>
    <row r="1163" spans="1:23" x14ac:dyDescent="0.3">
      <c r="A1163">
        <v>30</v>
      </c>
      <c r="B1163">
        <v>5225000</v>
      </c>
      <c r="D1163" t="s">
        <v>139</v>
      </c>
      <c r="E1163" s="156">
        <v>44482</v>
      </c>
      <c r="F1163" t="s">
        <v>629</v>
      </c>
      <c r="G1163" s="156">
        <v>44456</v>
      </c>
      <c r="H1163" t="s">
        <v>1307</v>
      </c>
      <c r="I1163">
        <v>2180000</v>
      </c>
      <c r="K1163">
        <v>0</v>
      </c>
      <c r="M1163">
        <v>0</v>
      </c>
      <c r="N1163">
        <v>0</v>
      </c>
      <c r="O1163">
        <v>0</v>
      </c>
      <c r="P1163" s="117">
        <v>2180000</v>
      </c>
      <c r="Q1163" s="117" t="s">
        <v>1021</v>
      </c>
      <c r="R1163" s="150">
        <v>0</v>
      </c>
      <c r="S1163" s="117" t="b">
        <f>OR(COUNTIF(Tabla2[[#This Row],[PROVEEDOR]],"*"&amp;'Palabra no opera'!$A$2&amp;"*"))</f>
        <v>0</v>
      </c>
      <c r="T1163" s="150">
        <f>+$W$5-Tabla2[[#This Row],[FECHA DE FACTURACIÓN]]</f>
        <v>378</v>
      </c>
      <c r="U1163" t="str">
        <f>+IF(Tabla2[[#This Row],[dias de credito]]&gt;=Tabla2[[#This Row],[PLAZO Días]],"venc", "No venc")</f>
        <v>venc</v>
      </c>
      <c r="V1163" t="str">
        <f>+IF(Tabla2[[#This Row],[FECHA DE PAGO]]&gt;0,"pagada","por pagar")</f>
        <v>pagada</v>
      </c>
      <c r="W1163" s="152" t="str">
        <f>+IF(AND(Tabla2[[#This Row],[venc]]="venc",Tabla2[[#This Row],[Columna1]]="por pagar"),"vencida","no")</f>
        <v>no</v>
      </c>
    </row>
    <row r="1164" spans="1:23" x14ac:dyDescent="0.3">
      <c r="A1164">
        <v>30</v>
      </c>
      <c r="B1164">
        <v>1580500</v>
      </c>
      <c r="D1164" t="s">
        <v>139</v>
      </c>
      <c r="E1164" s="156">
        <v>44482</v>
      </c>
      <c r="F1164" t="s">
        <v>686</v>
      </c>
      <c r="G1164" s="156">
        <v>44448</v>
      </c>
      <c r="H1164" t="s">
        <v>1496</v>
      </c>
      <c r="I1164">
        <v>821000</v>
      </c>
      <c r="K1164">
        <v>0</v>
      </c>
      <c r="M1164">
        <v>0</v>
      </c>
      <c r="N1164">
        <v>0</v>
      </c>
      <c r="O1164">
        <v>0</v>
      </c>
      <c r="P1164" s="117">
        <v>821000</v>
      </c>
      <c r="Q1164" s="117" t="s">
        <v>1021</v>
      </c>
      <c r="R1164" s="150">
        <v>0</v>
      </c>
      <c r="S1164" s="117" t="b">
        <f>OR(COUNTIF(Tabla2[[#This Row],[PROVEEDOR]],"*"&amp;'Palabra no opera'!$A$2&amp;"*"))</f>
        <v>0</v>
      </c>
      <c r="T1164" s="150">
        <f>+$W$5-Tabla2[[#This Row],[FECHA DE FACTURACIÓN]]</f>
        <v>386</v>
      </c>
      <c r="U1164" t="str">
        <f>+IF(Tabla2[[#This Row],[dias de credito]]&gt;=Tabla2[[#This Row],[PLAZO Días]],"venc", "No venc")</f>
        <v>venc</v>
      </c>
      <c r="V1164" t="str">
        <f>+IF(Tabla2[[#This Row],[FECHA DE PAGO]]&gt;0,"pagada","por pagar")</f>
        <v>pagada</v>
      </c>
      <c r="W1164" s="152" t="str">
        <f>+IF(AND(Tabla2[[#This Row],[venc]]="venc",Tabla2[[#This Row],[Columna1]]="por pagar"),"vencida","no")</f>
        <v>no</v>
      </c>
    </row>
    <row r="1165" spans="1:23" x14ac:dyDescent="0.3">
      <c r="A1165">
        <v>30</v>
      </c>
      <c r="B1165">
        <v>19675613.1195</v>
      </c>
      <c r="D1165" t="s">
        <v>256</v>
      </c>
      <c r="E1165" s="156">
        <v>44482</v>
      </c>
      <c r="F1165" t="s">
        <v>18</v>
      </c>
      <c r="G1165" s="156">
        <v>44435</v>
      </c>
      <c r="H1165">
        <v>1042278</v>
      </c>
      <c r="I1165">
        <v>3032560.8</v>
      </c>
      <c r="K1165">
        <v>576186.55200000003</v>
      </c>
      <c r="M1165">
        <v>0</v>
      </c>
      <c r="N1165">
        <v>2.5000000000000001E-2</v>
      </c>
      <c r="O1165">
        <v>75814.02</v>
      </c>
      <c r="P1165" s="117">
        <v>3532933.3319999999</v>
      </c>
      <c r="Q1165" s="117" t="s">
        <v>1021</v>
      </c>
      <c r="R1165" s="150">
        <v>0</v>
      </c>
      <c r="S1165" s="117" t="b">
        <f>OR(COUNTIF(Tabla2[[#This Row],[PROVEEDOR]],"*"&amp;'Palabra no opera'!$A$2&amp;"*"))</f>
        <v>0</v>
      </c>
      <c r="T1165" s="150">
        <f>+$W$5-Tabla2[[#This Row],[FECHA DE FACTURACIÓN]]</f>
        <v>399</v>
      </c>
      <c r="U1165" t="str">
        <f>+IF(Tabla2[[#This Row],[dias de credito]]&gt;=Tabla2[[#This Row],[PLAZO Días]],"venc", "No venc")</f>
        <v>venc</v>
      </c>
      <c r="V1165" t="str">
        <f>+IF(Tabla2[[#This Row],[FECHA DE PAGO]]&gt;0,"pagada","por pagar")</f>
        <v>pagada</v>
      </c>
      <c r="W1165" s="152" t="str">
        <f>+IF(AND(Tabla2[[#This Row],[venc]]="venc",Tabla2[[#This Row],[Columna1]]="por pagar"),"vencida","no")</f>
        <v>no</v>
      </c>
    </row>
    <row r="1166" spans="1:23" x14ac:dyDescent="0.3">
      <c r="A1166">
        <v>30</v>
      </c>
      <c r="B1166">
        <v>19675613.1195</v>
      </c>
      <c r="D1166" t="s">
        <v>256</v>
      </c>
      <c r="E1166" s="156">
        <v>44482</v>
      </c>
      <c r="F1166" t="s">
        <v>18</v>
      </c>
      <c r="G1166" s="156">
        <v>44432</v>
      </c>
      <c r="H1166">
        <v>1042098</v>
      </c>
      <c r="I1166">
        <v>4739218.08</v>
      </c>
      <c r="K1166">
        <v>900451.43520000007</v>
      </c>
      <c r="M1166">
        <v>0</v>
      </c>
      <c r="N1166">
        <v>2.5000000000000001E-2</v>
      </c>
      <c r="O1166">
        <v>118480.452</v>
      </c>
      <c r="P1166" s="117">
        <v>5521189.0632000007</v>
      </c>
      <c r="Q1166" s="117" t="s">
        <v>1021</v>
      </c>
      <c r="R1166" s="150">
        <v>0</v>
      </c>
      <c r="S1166" s="117" t="b">
        <f>OR(COUNTIF(Tabla2[[#This Row],[PROVEEDOR]],"*"&amp;'Palabra no opera'!$A$2&amp;"*"))</f>
        <v>0</v>
      </c>
      <c r="T1166" s="150">
        <f>+$W$5-Tabla2[[#This Row],[FECHA DE FACTURACIÓN]]</f>
        <v>402</v>
      </c>
      <c r="U1166" t="str">
        <f>+IF(Tabla2[[#This Row],[dias de credito]]&gt;=Tabla2[[#This Row],[PLAZO Días]],"venc", "No venc")</f>
        <v>venc</v>
      </c>
      <c r="V1166" t="str">
        <f>+IF(Tabla2[[#This Row],[FECHA DE PAGO]]&gt;0,"pagada","por pagar")</f>
        <v>pagada</v>
      </c>
      <c r="W1166" s="152" t="str">
        <f>+IF(AND(Tabla2[[#This Row],[venc]]="venc",Tabla2[[#This Row],[Columna1]]="por pagar"),"vencida","no")</f>
        <v>no</v>
      </c>
    </row>
    <row r="1167" spans="1:23" x14ac:dyDescent="0.3">
      <c r="A1167">
        <v>30</v>
      </c>
      <c r="B1167">
        <v>0</v>
      </c>
      <c r="D1167" t="s">
        <v>1024</v>
      </c>
      <c r="E1167" s="156">
        <v>44481</v>
      </c>
      <c r="F1167" t="s">
        <v>32</v>
      </c>
      <c r="G1167" s="156">
        <v>44432</v>
      </c>
      <c r="H1167">
        <v>14801</v>
      </c>
      <c r="I1167">
        <v>1064369.75</v>
      </c>
      <c r="K1167">
        <v>202230.2525</v>
      </c>
      <c r="M1167">
        <v>0</v>
      </c>
      <c r="N1167">
        <v>2.5000000000000001E-2</v>
      </c>
      <c r="O1167">
        <v>26609.243750000001</v>
      </c>
      <c r="P1167" s="117">
        <v>1239990.75875</v>
      </c>
      <c r="Q1167" s="117" t="s">
        <v>1021</v>
      </c>
      <c r="R1167" s="150">
        <v>0</v>
      </c>
      <c r="S1167" s="117" t="b">
        <f>OR(COUNTIF(Tabla2[[#This Row],[PROVEEDOR]],"*"&amp;'Palabra no opera'!$A$2&amp;"*"))</f>
        <v>0</v>
      </c>
      <c r="T1167" s="150">
        <f>+$W$5-Tabla2[[#This Row],[FECHA DE FACTURACIÓN]]</f>
        <v>402</v>
      </c>
      <c r="U1167" t="str">
        <f>+IF(Tabla2[[#This Row],[dias de credito]]&gt;=Tabla2[[#This Row],[PLAZO Días]],"venc", "No venc")</f>
        <v>venc</v>
      </c>
      <c r="V1167" t="str">
        <f>+IF(Tabla2[[#This Row],[FECHA DE PAGO]]&gt;0,"pagada","por pagar")</f>
        <v>pagada</v>
      </c>
      <c r="W1167" s="152" t="str">
        <f>+IF(AND(Tabla2[[#This Row],[venc]]="venc",Tabla2[[#This Row],[Columna1]]="por pagar"),"vencida","no")</f>
        <v>no</v>
      </c>
    </row>
    <row r="1168" spans="1:23" x14ac:dyDescent="0.3">
      <c r="A1168">
        <v>60</v>
      </c>
      <c r="B1168">
        <v>8889300</v>
      </c>
      <c r="D1168">
        <v>0</v>
      </c>
      <c r="E1168" s="156">
        <v>44481</v>
      </c>
      <c r="F1168" t="s">
        <v>1429</v>
      </c>
      <c r="G1168" s="156">
        <v>44427</v>
      </c>
      <c r="H1168" t="s">
        <v>458</v>
      </c>
      <c r="I1168">
        <v>1466370</v>
      </c>
      <c r="K1168">
        <v>278610.3</v>
      </c>
      <c r="M1168">
        <v>0</v>
      </c>
      <c r="N1168">
        <v>0</v>
      </c>
      <c r="O1168">
        <v>0</v>
      </c>
      <c r="P1168" s="117">
        <v>1744980.3</v>
      </c>
      <c r="Q1168" s="117" t="s">
        <v>1021</v>
      </c>
      <c r="R1168" s="150">
        <v>0</v>
      </c>
      <c r="S1168" s="117" t="b">
        <f>OR(COUNTIF(Tabla2[[#This Row],[PROVEEDOR]],"*"&amp;'Palabra no opera'!$A$2&amp;"*"))</f>
        <v>1</v>
      </c>
      <c r="T1168" s="150">
        <f>+$W$5-Tabla2[[#This Row],[FECHA DE FACTURACIÓN]]</f>
        <v>407</v>
      </c>
      <c r="U1168" t="str">
        <f>+IF(Tabla2[[#This Row],[dias de credito]]&gt;=Tabla2[[#This Row],[PLAZO Días]],"venc", "No venc")</f>
        <v>venc</v>
      </c>
      <c r="V1168" t="str">
        <f>+IF(Tabla2[[#This Row],[FECHA DE PAGO]]&gt;0,"pagada","por pagar")</f>
        <v>pagada</v>
      </c>
      <c r="W1168" s="152" t="str">
        <f>+IF(AND(Tabla2[[#This Row],[venc]]="venc",Tabla2[[#This Row],[Columna1]]="por pagar"),"vencida","no")</f>
        <v>no</v>
      </c>
    </row>
    <row r="1169" spans="1:23" x14ac:dyDescent="0.3">
      <c r="A1169">
        <v>30</v>
      </c>
      <c r="B1169">
        <v>0</v>
      </c>
      <c r="D1169" t="s">
        <v>431</v>
      </c>
      <c r="E1169" s="156">
        <v>44480</v>
      </c>
      <c r="F1169" t="s">
        <v>677</v>
      </c>
      <c r="G1169" s="156">
        <v>44448</v>
      </c>
      <c r="H1169" t="s">
        <v>1495</v>
      </c>
      <c r="I1169">
        <v>850000</v>
      </c>
      <c r="K1169">
        <v>0</v>
      </c>
      <c r="M1169">
        <v>0</v>
      </c>
      <c r="N1169">
        <v>0</v>
      </c>
      <c r="O1169">
        <v>0</v>
      </c>
      <c r="P1169" s="117">
        <v>850000</v>
      </c>
      <c r="Q1169" s="117" t="s">
        <v>1021</v>
      </c>
      <c r="R1169" s="150">
        <v>0</v>
      </c>
      <c r="S1169" s="117" t="b">
        <f>OR(COUNTIF(Tabla2[[#This Row],[PROVEEDOR]],"*"&amp;'Palabra no opera'!$A$2&amp;"*"))</f>
        <v>0</v>
      </c>
      <c r="T1169" s="150">
        <f>+$W$5-Tabla2[[#This Row],[FECHA DE FACTURACIÓN]]</f>
        <v>386</v>
      </c>
      <c r="U1169" t="str">
        <f>+IF(Tabla2[[#This Row],[dias de credito]]&gt;=Tabla2[[#This Row],[PLAZO Días]],"venc", "No venc")</f>
        <v>venc</v>
      </c>
      <c r="V1169" t="str">
        <f>+IF(Tabla2[[#This Row],[FECHA DE PAGO]]&gt;0,"pagada","por pagar")</f>
        <v>pagada</v>
      </c>
      <c r="W1169" s="152" t="str">
        <f>+IF(AND(Tabla2[[#This Row],[venc]]="venc",Tabla2[[#This Row],[Columna1]]="por pagar"),"vencida","no")</f>
        <v>no</v>
      </c>
    </row>
    <row r="1170" spans="1:23" x14ac:dyDescent="0.3">
      <c r="A1170">
        <v>30</v>
      </c>
      <c r="B1170">
        <v>0</v>
      </c>
      <c r="D1170" t="s">
        <v>139</v>
      </c>
      <c r="E1170" s="156">
        <v>44478</v>
      </c>
      <c r="F1170" t="s">
        <v>635</v>
      </c>
      <c r="G1170" s="156">
        <v>44478</v>
      </c>
      <c r="H1170" t="s">
        <v>1504</v>
      </c>
      <c r="I1170">
        <v>485000</v>
      </c>
      <c r="K1170">
        <v>0</v>
      </c>
      <c r="M1170">
        <v>0</v>
      </c>
      <c r="N1170">
        <v>0</v>
      </c>
      <c r="O1170">
        <v>0</v>
      </c>
      <c r="P1170" s="117">
        <v>485000</v>
      </c>
      <c r="Q1170" s="117" t="s">
        <v>1021</v>
      </c>
      <c r="R1170" s="150">
        <v>0</v>
      </c>
      <c r="S1170" s="117" t="b">
        <f>OR(COUNTIF(Tabla2[[#This Row],[PROVEEDOR]],"*"&amp;'Palabra no opera'!$A$2&amp;"*"))</f>
        <v>0</v>
      </c>
      <c r="T1170" s="150">
        <f>+$W$5-Tabla2[[#This Row],[FECHA DE FACTURACIÓN]]</f>
        <v>356</v>
      </c>
      <c r="U1170" t="str">
        <f>+IF(Tabla2[[#This Row],[dias de credito]]&gt;=Tabla2[[#This Row],[PLAZO Días]],"venc", "No venc")</f>
        <v>venc</v>
      </c>
      <c r="V1170" t="str">
        <f>+IF(Tabla2[[#This Row],[FECHA DE PAGO]]&gt;0,"pagada","por pagar")</f>
        <v>pagada</v>
      </c>
      <c r="W1170" s="152" t="str">
        <f>+IF(AND(Tabla2[[#This Row],[venc]]="venc",Tabla2[[#This Row],[Columna1]]="por pagar"),"vencida","no")</f>
        <v>no</v>
      </c>
    </row>
    <row r="1171" spans="1:23" x14ac:dyDescent="0.3">
      <c r="A1171">
        <v>30</v>
      </c>
      <c r="B1171">
        <v>0</v>
      </c>
      <c r="D1171" t="s">
        <v>139</v>
      </c>
      <c r="E1171" s="156">
        <v>44478</v>
      </c>
      <c r="F1171" t="s">
        <v>661</v>
      </c>
      <c r="G1171" s="156">
        <v>44478</v>
      </c>
      <c r="H1171" t="s">
        <v>1327</v>
      </c>
      <c r="I1171">
        <v>1576000</v>
      </c>
      <c r="K1171">
        <v>0</v>
      </c>
      <c r="M1171">
        <v>0</v>
      </c>
      <c r="N1171">
        <v>0</v>
      </c>
      <c r="O1171">
        <v>0</v>
      </c>
      <c r="P1171" s="117">
        <v>1576000</v>
      </c>
      <c r="Q1171" s="117" t="s">
        <v>1021</v>
      </c>
      <c r="R1171" s="150">
        <v>0</v>
      </c>
      <c r="S1171" s="117" t="b">
        <f>OR(COUNTIF(Tabla2[[#This Row],[PROVEEDOR]],"*"&amp;'Palabra no opera'!$A$2&amp;"*"))</f>
        <v>0</v>
      </c>
      <c r="T1171" s="150">
        <f>+$W$5-Tabla2[[#This Row],[FECHA DE FACTURACIÓN]]</f>
        <v>356</v>
      </c>
      <c r="U1171" t="str">
        <f>+IF(Tabla2[[#This Row],[dias de credito]]&gt;=Tabla2[[#This Row],[PLAZO Días]],"venc", "No venc")</f>
        <v>venc</v>
      </c>
      <c r="V1171" t="str">
        <f>+IF(Tabla2[[#This Row],[FECHA DE PAGO]]&gt;0,"pagada","por pagar")</f>
        <v>pagada</v>
      </c>
      <c r="W1171" s="152" t="str">
        <f>+IF(AND(Tabla2[[#This Row],[venc]]="venc",Tabla2[[#This Row],[Columna1]]="por pagar"),"vencida","no")</f>
        <v>no</v>
      </c>
    </row>
    <row r="1172" spans="1:23" x14ac:dyDescent="0.3">
      <c r="A1172">
        <v>30</v>
      </c>
      <c r="B1172">
        <v>0</v>
      </c>
      <c r="D1172">
        <v>0</v>
      </c>
      <c r="E1172" s="156">
        <v>44477</v>
      </c>
      <c r="F1172" t="s">
        <v>700</v>
      </c>
      <c r="G1172" s="156">
        <v>44477</v>
      </c>
      <c r="H1172" t="s">
        <v>1503</v>
      </c>
      <c r="I1172">
        <v>468000</v>
      </c>
      <c r="K1172">
        <v>0</v>
      </c>
      <c r="M1172">
        <v>0</v>
      </c>
      <c r="N1172">
        <v>0</v>
      </c>
      <c r="O1172">
        <v>0</v>
      </c>
      <c r="P1172" s="117">
        <v>468000</v>
      </c>
      <c r="Q1172" s="117" t="s">
        <v>1021</v>
      </c>
      <c r="R1172" s="150">
        <v>0</v>
      </c>
      <c r="S1172" s="117" t="b">
        <f>OR(COUNTIF(Tabla2[[#This Row],[PROVEEDOR]],"*"&amp;'Palabra no opera'!$A$2&amp;"*"))</f>
        <v>0</v>
      </c>
      <c r="T1172" s="150">
        <f>+$W$5-Tabla2[[#This Row],[FECHA DE FACTURACIÓN]]</f>
        <v>357</v>
      </c>
      <c r="U1172" t="str">
        <f>+IF(Tabla2[[#This Row],[dias de credito]]&gt;=Tabla2[[#This Row],[PLAZO Días]],"venc", "No venc")</f>
        <v>venc</v>
      </c>
      <c r="V1172" t="str">
        <f>+IF(Tabla2[[#This Row],[FECHA DE PAGO]]&gt;0,"pagada","por pagar")</f>
        <v>pagada</v>
      </c>
      <c r="W1172" s="152" t="str">
        <f>+IF(AND(Tabla2[[#This Row],[venc]]="venc",Tabla2[[#This Row],[Columna1]]="por pagar"),"vencida","no")</f>
        <v>no</v>
      </c>
    </row>
    <row r="1173" spans="1:23" x14ac:dyDescent="0.3">
      <c r="A1173">
        <v>30</v>
      </c>
      <c r="B1173">
        <v>0</v>
      </c>
      <c r="D1173">
        <v>0</v>
      </c>
      <c r="E1173" s="156">
        <v>44477</v>
      </c>
      <c r="F1173" t="s">
        <v>906</v>
      </c>
      <c r="G1173" s="156">
        <v>44470</v>
      </c>
      <c r="H1173" t="s">
        <v>1315</v>
      </c>
      <c r="I1173">
        <v>200000</v>
      </c>
      <c r="K1173">
        <v>0</v>
      </c>
      <c r="M1173">
        <v>0</v>
      </c>
      <c r="N1173">
        <v>0</v>
      </c>
      <c r="O1173">
        <v>0</v>
      </c>
      <c r="P1173" s="117">
        <v>200000</v>
      </c>
      <c r="Q1173" s="117" t="s">
        <v>1021</v>
      </c>
      <c r="R1173" s="150">
        <v>0</v>
      </c>
      <c r="S1173" s="117" t="b">
        <f>OR(COUNTIF(Tabla2[[#This Row],[PROVEEDOR]],"*"&amp;'Palabra no opera'!$A$2&amp;"*"))</f>
        <v>1</v>
      </c>
      <c r="T1173" s="150">
        <f>+$W$5-Tabla2[[#This Row],[FECHA DE FACTURACIÓN]]</f>
        <v>364</v>
      </c>
      <c r="U1173" t="str">
        <f>+IF(Tabla2[[#This Row],[dias de credito]]&gt;=Tabla2[[#This Row],[PLAZO Días]],"venc", "No venc")</f>
        <v>venc</v>
      </c>
      <c r="V1173" t="str">
        <f>+IF(Tabla2[[#This Row],[FECHA DE PAGO]]&gt;0,"pagada","por pagar")</f>
        <v>pagada</v>
      </c>
      <c r="W1173" s="152" t="str">
        <f>+IF(AND(Tabla2[[#This Row],[venc]]="venc",Tabla2[[#This Row],[Columna1]]="por pagar"),"vencida","no")</f>
        <v>no</v>
      </c>
    </row>
    <row r="1174" spans="1:23" x14ac:dyDescent="0.3">
      <c r="A1174">
        <v>30</v>
      </c>
      <c r="B1174">
        <v>0</v>
      </c>
      <c r="D1174" t="s">
        <v>687</v>
      </c>
      <c r="E1174" s="156">
        <v>44477</v>
      </c>
      <c r="F1174" t="s">
        <v>688</v>
      </c>
      <c r="G1174" s="156">
        <v>44432</v>
      </c>
      <c r="H1174" t="s">
        <v>1487</v>
      </c>
      <c r="I1174">
        <v>2317000</v>
      </c>
      <c r="K1174">
        <v>0</v>
      </c>
      <c r="M1174">
        <v>0</v>
      </c>
      <c r="N1174">
        <v>0</v>
      </c>
      <c r="O1174">
        <v>0</v>
      </c>
      <c r="P1174" s="117">
        <v>2317000</v>
      </c>
      <c r="Q1174" s="117" t="s">
        <v>1021</v>
      </c>
      <c r="R1174" s="150">
        <v>0</v>
      </c>
      <c r="S1174" s="117" t="b">
        <f>OR(COUNTIF(Tabla2[[#This Row],[PROVEEDOR]],"*"&amp;'Palabra no opera'!$A$2&amp;"*"))</f>
        <v>0</v>
      </c>
      <c r="T1174" s="150">
        <f>+$W$5-Tabla2[[#This Row],[FECHA DE FACTURACIÓN]]</f>
        <v>402</v>
      </c>
      <c r="U1174" t="str">
        <f>+IF(Tabla2[[#This Row],[dias de credito]]&gt;=Tabla2[[#This Row],[PLAZO Días]],"venc", "No venc")</f>
        <v>venc</v>
      </c>
      <c r="V1174" t="str">
        <f>+IF(Tabla2[[#This Row],[FECHA DE PAGO]]&gt;0,"pagada","por pagar")</f>
        <v>pagada</v>
      </c>
      <c r="W1174" s="152" t="str">
        <f>+IF(AND(Tabla2[[#This Row],[venc]]="venc",Tabla2[[#This Row],[Columna1]]="por pagar"),"vencida","no")</f>
        <v>no</v>
      </c>
    </row>
    <row r="1175" spans="1:23" x14ac:dyDescent="0.3">
      <c r="A1175">
        <v>30</v>
      </c>
      <c r="B1175">
        <v>0</v>
      </c>
      <c r="D1175" t="s">
        <v>139</v>
      </c>
      <c r="E1175" s="156">
        <v>44476</v>
      </c>
      <c r="F1175" t="s">
        <v>673</v>
      </c>
      <c r="G1175" s="156">
        <v>44476</v>
      </c>
      <c r="I1175">
        <v>1000000</v>
      </c>
      <c r="K1175">
        <v>0</v>
      </c>
      <c r="M1175">
        <v>0</v>
      </c>
      <c r="N1175">
        <v>0</v>
      </c>
      <c r="O1175">
        <v>0</v>
      </c>
      <c r="P1175" s="117">
        <v>1000000</v>
      </c>
      <c r="Q1175" s="117" t="s">
        <v>1021</v>
      </c>
      <c r="R1175" s="150">
        <v>0</v>
      </c>
      <c r="S1175" s="117" t="b">
        <f>OR(COUNTIF(Tabla2[[#This Row],[PROVEEDOR]],"*"&amp;'Palabra no opera'!$A$2&amp;"*"))</f>
        <v>0</v>
      </c>
      <c r="T1175" s="150">
        <f>+$W$5-Tabla2[[#This Row],[FECHA DE FACTURACIÓN]]</f>
        <v>358</v>
      </c>
      <c r="U1175" t="str">
        <f>+IF(Tabla2[[#This Row],[dias de credito]]&gt;=Tabla2[[#This Row],[PLAZO Días]],"venc", "No venc")</f>
        <v>venc</v>
      </c>
      <c r="V1175" t="str">
        <f>+IF(Tabla2[[#This Row],[FECHA DE PAGO]]&gt;0,"pagada","por pagar")</f>
        <v>pagada</v>
      </c>
      <c r="W1175" s="152" t="str">
        <f>+IF(AND(Tabla2[[#This Row],[venc]]="venc",Tabla2[[#This Row],[Columna1]]="por pagar"),"vencida","no")</f>
        <v>no</v>
      </c>
    </row>
    <row r="1176" spans="1:23" x14ac:dyDescent="0.3">
      <c r="A1176">
        <v>30</v>
      </c>
      <c r="B1176">
        <v>326474.88</v>
      </c>
      <c r="D1176" t="s">
        <v>949</v>
      </c>
      <c r="E1176" s="156">
        <v>44476</v>
      </c>
      <c r="F1176" t="s">
        <v>345</v>
      </c>
      <c r="G1176" s="156">
        <v>44468</v>
      </c>
      <c r="H1176" t="s">
        <v>482</v>
      </c>
      <c r="I1176">
        <v>1628.52</v>
      </c>
      <c r="K1176">
        <v>0</v>
      </c>
      <c r="M1176">
        <v>0</v>
      </c>
      <c r="N1176">
        <v>0</v>
      </c>
      <c r="O1176">
        <v>0</v>
      </c>
      <c r="P1176" s="117">
        <v>1628.52</v>
      </c>
      <c r="Q1176" s="117" t="s">
        <v>1021</v>
      </c>
      <c r="R1176" s="150">
        <v>0</v>
      </c>
      <c r="S1176" s="117" t="b">
        <f>OR(COUNTIF(Tabla2[[#This Row],[PROVEEDOR]],"*"&amp;'Palabra no opera'!$A$2&amp;"*"))</f>
        <v>0</v>
      </c>
      <c r="T1176" s="150">
        <f>+$W$5-Tabla2[[#This Row],[FECHA DE FACTURACIÓN]]</f>
        <v>366</v>
      </c>
      <c r="U1176" t="str">
        <f>+IF(Tabla2[[#This Row],[dias de credito]]&gt;=Tabla2[[#This Row],[PLAZO Días]],"venc", "No venc")</f>
        <v>venc</v>
      </c>
      <c r="V1176" t="str">
        <f>+IF(Tabla2[[#This Row],[FECHA DE PAGO]]&gt;0,"pagada","por pagar")</f>
        <v>pagada</v>
      </c>
      <c r="W1176" s="152" t="str">
        <f>+IF(AND(Tabla2[[#This Row],[venc]]="venc",Tabla2[[#This Row],[Columna1]]="por pagar"),"vencida","no")</f>
        <v>no</v>
      </c>
    </row>
    <row r="1177" spans="1:23" x14ac:dyDescent="0.3">
      <c r="A1177">
        <v>30</v>
      </c>
      <c r="B1177">
        <v>326474.88</v>
      </c>
      <c r="D1177" t="s">
        <v>949</v>
      </c>
      <c r="E1177" s="156">
        <v>44476</v>
      </c>
      <c r="F1177" t="s">
        <v>345</v>
      </c>
      <c r="G1177" s="156">
        <v>44468</v>
      </c>
      <c r="H1177" t="s">
        <v>481</v>
      </c>
      <c r="I1177">
        <v>4297</v>
      </c>
      <c r="K1177">
        <v>0</v>
      </c>
      <c r="M1177">
        <v>0</v>
      </c>
      <c r="N1177">
        <v>0</v>
      </c>
      <c r="O1177">
        <v>0</v>
      </c>
      <c r="P1177" s="117">
        <v>4297</v>
      </c>
      <c r="Q1177" s="117" t="s">
        <v>1021</v>
      </c>
      <c r="R1177" s="150">
        <v>0</v>
      </c>
      <c r="S1177" s="117" t="b">
        <f>OR(COUNTIF(Tabla2[[#This Row],[PROVEEDOR]],"*"&amp;'Palabra no opera'!$A$2&amp;"*"))</f>
        <v>0</v>
      </c>
      <c r="T1177" s="150">
        <f>+$W$5-Tabla2[[#This Row],[FECHA DE FACTURACIÓN]]</f>
        <v>366</v>
      </c>
      <c r="U1177" t="str">
        <f>+IF(Tabla2[[#This Row],[dias de credito]]&gt;=Tabla2[[#This Row],[PLAZO Días]],"venc", "No venc")</f>
        <v>venc</v>
      </c>
      <c r="V1177" t="str">
        <f>+IF(Tabla2[[#This Row],[FECHA DE PAGO]]&gt;0,"pagada","por pagar")</f>
        <v>pagada</v>
      </c>
      <c r="W1177" s="152" t="str">
        <f>+IF(AND(Tabla2[[#This Row],[venc]]="venc",Tabla2[[#This Row],[Columna1]]="por pagar"),"vencida","no")</f>
        <v>no</v>
      </c>
    </row>
    <row r="1178" spans="1:23" x14ac:dyDescent="0.3">
      <c r="A1178">
        <v>30</v>
      </c>
      <c r="B1178">
        <v>749999.88</v>
      </c>
      <c r="D1178" t="s">
        <v>249</v>
      </c>
      <c r="E1178" s="156">
        <v>44476</v>
      </c>
      <c r="F1178" t="s">
        <v>49</v>
      </c>
      <c r="G1178" s="156">
        <v>44446</v>
      </c>
      <c r="H1178">
        <v>3993</v>
      </c>
      <c r="I1178">
        <v>840336</v>
      </c>
      <c r="K1178">
        <v>159663.84</v>
      </c>
      <c r="M1178">
        <v>0</v>
      </c>
      <c r="N1178">
        <v>0</v>
      </c>
      <c r="O1178">
        <v>0</v>
      </c>
      <c r="P1178" s="117">
        <v>999999.84</v>
      </c>
      <c r="Q1178" s="117" t="s">
        <v>1021</v>
      </c>
      <c r="R1178" s="150">
        <v>0</v>
      </c>
      <c r="S1178" s="117" t="b">
        <f>OR(COUNTIF(Tabla2[[#This Row],[PROVEEDOR]],"*"&amp;'Palabra no opera'!$A$2&amp;"*"))</f>
        <v>0</v>
      </c>
      <c r="T1178" s="150">
        <f>+$W$5-Tabla2[[#This Row],[FECHA DE FACTURACIÓN]]</f>
        <v>388</v>
      </c>
      <c r="U1178" t="str">
        <f>+IF(Tabla2[[#This Row],[dias de credito]]&gt;=Tabla2[[#This Row],[PLAZO Días]],"venc", "No venc")</f>
        <v>venc</v>
      </c>
      <c r="V1178" t="str">
        <f>+IF(Tabla2[[#This Row],[FECHA DE PAGO]]&gt;0,"pagada","por pagar")</f>
        <v>pagada</v>
      </c>
      <c r="W1178" s="152" t="str">
        <f>+IF(AND(Tabla2[[#This Row],[venc]]="venc",Tabla2[[#This Row],[Columna1]]="por pagar"),"vencida","no")</f>
        <v>no</v>
      </c>
    </row>
    <row r="1179" spans="1:23" x14ac:dyDescent="0.3">
      <c r="A1179">
        <v>30</v>
      </c>
      <c r="B1179">
        <v>4656887.12</v>
      </c>
      <c r="D1179" t="s">
        <v>170</v>
      </c>
      <c r="E1179" s="156">
        <v>44476</v>
      </c>
      <c r="F1179" t="s">
        <v>20</v>
      </c>
      <c r="G1179" s="156">
        <v>44445</v>
      </c>
      <c r="H1179">
        <v>5004</v>
      </c>
      <c r="I1179">
        <v>1407490</v>
      </c>
      <c r="K1179">
        <v>267423.09999999998</v>
      </c>
      <c r="M1179">
        <v>0</v>
      </c>
      <c r="N1179">
        <v>2.5000000000000001E-2</v>
      </c>
      <c r="O1179">
        <v>35187.25</v>
      </c>
      <c r="P1179" s="117">
        <v>1639725.85</v>
      </c>
      <c r="Q1179" s="117" t="s">
        <v>1021</v>
      </c>
      <c r="R1179" s="150">
        <v>0</v>
      </c>
      <c r="S1179" s="117" t="b">
        <f>OR(COUNTIF(Tabla2[[#This Row],[PROVEEDOR]],"*"&amp;'Palabra no opera'!$A$2&amp;"*"))</f>
        <v>0</v>
      </c>
      <c r="T1179" s="150">
        <f>+$W$5-Tabla2[[#This Row],[FECHA DE FACTURACIÓN]]</f>
        <v>389</v>
      </c>
      <c r="U1179" t="str">
        <f>+IF(Tabla2[[#This Row],[dias de credito]]&gt;=Tabla2[[#This Row],[PLAZO Días]],"venc", "No venc")</f>
        <v>venc</v>
      </c>
      <c r="V1179" t="str">
        <f>+IF(Tabla2[[#This Row],[FECHA DE PAGO]]&gt;0,"pagada","por pagar")</f>
        <v>pagada</v>
      </c>
      <c r="W1179" s="152" t="str">
        <f>+IF(AND(Tabla2[[#This Row],[venc]]="venc",Tabla2[[#This Row],[Columna1]]="por pagar"),"vencida","no")</f>
        <v>no</v>
      </c>
    </row>
    <row r="1180" spans="1:23" x14ac:dyDescent="0.3">
      <c r="A1180">
        <v>30</v>
      </c>
      <c r="B1180">
        <v>4656887.12</v>
      </c>
      <c r="D1180" t="s">
        <v>170</v>
      </c>
      <c r="E1180" s="156">
        <v>44476</v>
      </c>
      <c r="F1180" t="s">
        <v>20</v>
      </c>
      <c r="G1180" s="156">
        <v>44445</v>
      </c>
      <c r="H1180">
        <v>5005</v>
      </c>
      <c r="I1180">
        <v>926808</v>
      </c>
      <c r="K1180">
        <v>176093.52</v>
      </c>
      <c r="M1180">
        <v>0</v>
      </c>
      <c r="N1180">
        <v>0</v>
      </c>
      <c r="O1180">
        <v>0</v>
      </c>
      <c r="P1180" s="117">
        <v>1102901.52</v>
      </c>
      <c r="Q1180" s="117" t="s">
        <v>1021</v>
      </c>
      <c r="R1180" s="150">
        <v>0</v>
      </c>
      <c r="S1180" s="117" t="b">
        <f>OR(COUNTIF(Tabla2[[#This Row],[PROVEEDOR]],"*"&amp;'Palabra no opera'!$A$2&amp;"*"))</f>
        <v>0</v>
      </c>
      <c r="T1180" s="150">
        <f>+$W$5-Tabla2[[#This Row],[FECHA DE FACTURACIÓN]]</f>
        <v>389</v>
      </c>
      <c r="U1180" t="str">
        <f>+IF(Tabla2[[#This Row],[dias de credito]]&gt;=Tabla2[[#This Row],[PLAZO Días]],"venc", "No venc")</f>
        <v>venc</v>
      </c>
      <c r="V1180" t="str">
        <f>+IF(Tabla2[[#This Row],[FECHA DE PAGO]]&gt;0,"pagada","por pagar")</f>
        <v>pagada</v>
      </c>
      <c r="W1180" s="152" t="str">
        <f>+IF(AND(Tabla2[[#This Row],[venc]]="venc",Tabla2[[#This Row],[Columna1]]="por pagar"),"vencida","no")</f>
        <v>no</v>
      </c>
    </row>
    <row r="1181" spans="1:23" x14ac:dyDescent="0.3">
      <c r="A1181">
        <v>30</v>
      </c>
      <c r="B1181">
        <v>0</v>
      </c>
      <c r="D1181" t="s">
        <v>270</v>
      </c>
      <c r="E1181" s="156">
        <v>44476</v>
      </c>
      <c r="F1181" t="s">
        <v>39</v>
      </c>
      <c r="G1181" s="156">
        <v>44442</v>
      </c>
      <c r="H1181">
        <v>785</v>
      </c>
      <c r="I1181">
        <v>519820</v>
      </c>
      <c r="K1181">
        <v>98765.8</v>
      </c>
      <c r="M1181">
        <v>0</v>
      </c>
      <c r="N1181">
        <v>0</v>
      </c>
      <c r="O1181">
        <v>0</v>
      </c>
      <c r="P1181" s="117">
        <v>618585.80000000005</v>
      </c>
      <c r="Q1181" s="117" t="s">
        <v>1021</v>
      </c>
      <c r="R1181" s="150">
        <v>0</v>
      </c>
      <c r="S1181" s="117" t="b">
        <f>OR(COUNTIF(Tabla2[[#This Row],[PROVEEDOR]],"*"&amp;'Palabra no opera'!$A$2&amp;"*"))</f>
        <v>0</v>
      </c>
      <c r="T1181" s="150">
        <f>+$W$5-Tabla2[[#This Row],[FECHA DE FACTURACIÓN]]</f>
        <v>392</v>
      </c>
      <c r="U1181" t="str">
        <f>+IF(Tabla2[[#This Row],[dias de credito]]&gt;=Tabla2[[#This Row],[PLAZO Días]],"venc", "No venc")</f>
        <v>venc</v>
      </c>
      <c r="V1181" t="str">
        <f>+IF(Tabla2[[#This Row],[FECHA DE PAGO]]&gt;0,"pagada","por pagar")</f>
        <v>pagada</v>
      </c>
      <c r="W1181" s="152" t="str">
        <f>+IF(AND(Tabla2[[#This Row],[venc]]="venc",Tabla2[[#This Row],[Columna1]]="por pagar"),"vencida","no")</f>
        <v>no</v>
      </c>
    </row>
    <row r="1182" spans="1:23" x14ac:dyDescent="0.3">
      <c r="A1182">
        <v>45</v>
      </c>
      <c r="B1182">
        <v>30078253.170000002</v>
      </c>
      <c r="D1182" t="s">
        <v>884</v>
      </c>
      <c r="E1182" s="156">
        <v>44476</v>
      </c>
      <c r="F1182" t="s">
        <v>19</v>
      </c>
      <c r="G1182" s="156">
        <v>44438</v>
      </c>
      <c r="H1182" t="s">
        <v>453</v>
      </c>
      <c r="I1182">
        <v>4283520</v>
      </c>
      <c r="K1182">
        <v>813868.8</v>
      </c>
      <c r="M1182">
        <v>0</v>
      </c>
      <c r="N1182">
        <v>0</v>
      </c>
      <c r="O1182">
        <v>0</v>
      </c>
      <c r="P1182" s="117">
        <v>5097388.8</v>
      </c>
      <c r="Q1182" s="117" t="s">
        <v>1021</v>
      </c>
      <c r="R1182" s="150">
        <v>0</v>
      </c>
      <c r="S1182" s="117" t="b">
        <f>OR(COUNTIF(Tabla2[[#This Row],[PROVEEDOR]],"*"&amp;'Palabra no opera'!$A$2&amp;"*"))</f>
        <v>0</v>
      </c>
      <c r="T1182" s="150">
        <f>+$W$5-Tabla2[[#This Row],[FECHA DE FACTURACIÓN]]</f>
        <v>396</v>
      </c>
      <c r="U1182" t="str">
        <f>+IF(Tabla2[[#This Row],[dias de credito]]&gt;=Tabla2[[#This Row],[PLAZO Días]],"venc", "No venc")</f>
        <v>venc</v>
      </c>
      <c r="V1182" t="str">
        <f>+IF(Tabla2[[#This Row],[FECHA DE PAGO]]&gt;0,"pagada","por pagar")</f>
        <v>pagada</v>
      </c>
      <c r="W1182" s="152" t="str">
        <f>+IF(AND(Tabla2[[#This Row],[venc]]="venc",Tabla2[[#This Row],[Columna1]]="por pagar"),"vencida","no")</f>
        <v>no</v>
      </c>
    </row>
    <row r="1183" spans="1:23" x14ac:dyDescent="0.3">
      <c r="A1183">
        <v>30</v>
      </c>
      <c r="B1183">
        <v>4656887.12</v>
      </c>
      <c r="D1183" t="s">
        <v>170</v>
      </c>
      <c r="E1183" s="156">
        <v>44476</v>
      </c>
      <c r="F1183" t="s">
        <v>20</v>
      </c>
      <c r="G1183" s="156">
        <v>44435</v>
      </c>
      <c r="H1183">
        <v>4659</v>
      </c>
      <c r="I1183">
        <v>1955400</v>
      </c>
      <c r="K1183">
        <v>371526</v>
      </c>
      <c r="M1183">
        <v>0</v>
      </c>
      <c r="N1183">
        <v>2.5000000000000001E-2</v>
      </c>
      <c r="O1183">
        <v>48885</v>
      </c>
      <c r="P1183" s="117">
        <v>2278041</v>
      </c>
      <c r="Q1183" s="117" t="s">
        <v>1021</v>
      </c>
      <c r="R1183" s="150">
        <v>0</v>
      </c>
      <c r="S1183" s="117" t="b">
        <f>OR(COUNTIF(Tabla2[[#This Row],[PROVEEDOR]],"*"&amp;'Palabra no opera'!$A$2&amp;"*"))</f>
        <v>0</v>
      </c>
      <c r="T1183" s="150">
        <f>+$W$5-Tabla2[[#This Row],[FECHA DE FACTURACIÓN]]</f>
        <v>399</v>
      </c>
      <c r="U1183" t="str">
        <f>+IF(Tabla2[[#This Row],[dias de credito]]&gt;=Tabla2[[#This Row],[PLAZO Días]],"venc", "No venc")</f>
        <v>venc</v>
      </c>
      <c r="V1183" t="str">
        <f>+IF(Tabla2[[#This Row],[FECHA DE PAGO]]&gt;0,"pagada","por pagar")</f>
        <v>pagada</v>
      </c>
      <c r="W1183" s="152" t="str">
        <f>+IF(AND(Tabla2[[#This Row],[venc]]="venc",Tabla2[[#This Row],[Columna1]]="por pagar"),"vencida","no")</f>
        <v>no</v>
      </c>
    </row>
    <row r="1184" spans="1:23" x14ac:dyDescent="0.3">
      <c r="A1184">
        <v>30</v>
      </c>
      <c r="B1184">
        <v>8457900</v>
      </c>
      <c r="D1184" t="s">
        <v>1027</v>
      </c>
      <c r="E1184" s="156">
        <v>44476</v>
      </c>
      <c r="F1184" t="s">
        <v>11</v>
      </c>
      <c r="G1184" s="156">
        <v>44426</v>
      </c>
      <c r="H1184" t="s">
        <v>429</v>
      </c>
      <c r="I1184">
        <v>4023025</v>
      </c>
      <c r="K1184">
        <v>764374.75</v>
      </c>
      <c r="M1184">
        <v>0</v>
      </c>
      <c r="N1184">
        <v>2.5000000000000001E-2</v>
      </c>
      <c r="O1184">
        <v>100575.625</v>
      </c>
      <c r="P1184" s="117">
        <v>4686824.125</v>
      </c>
      <c r="Q1184" s="117" t="s">
        <v>1021</v>
      </c>
      <c r="R1184" s="150">
        <v>0</v>
      </c>
      <c r="S1184" s="117" t="b">
        <f>OR(COUNTIF(Tabla2[[#This Row],[PROVEEDOR]],"*"&amp;'Palabra no opera'!$A$2&amp;"*"))</f>
        <v>0</v>
      </c>
      <c r="T1184" s="150">
        <f>+$W$5-Tabla2[[#This Row],[FECHA DE FACTURACIÓN]]</f>
        <v>408</v>
      </c>
      <c r="U1184" t="str">
        <f>+IF(Tabla2[[#This Row],[dias de credito]]&gt;=Tabla2[[#This Row],[PLAZO Días]],"venc", "No venc")</f>
        <v>venc</v>
      </c>
      <c r="V1184" t="str">
        <f>+IF(Tabla2[[#This Row],[FECHA DE PAGO]]&gt;0,"pagada","por pagar")</f>
        <v>pagada</v>
      </c>
      <c r="W1184" s="152" t="str">
        <f>+IF(AND(Tabla2[[#This Row],[venc]]="venc",Tabla2[[#This Row],[Columna1]]="por pagar"),"vencida","no")</f>
        <v>no</v>
      </c>
    </row>
    <row r="1185" spans="1:23" x14ac:dyDescent="0.3">
      <c r="A1185">
        <v>90</v>
      </c>
      <c r="B1185">
        <v>64586412</v>
      </c>
      <c r="D1185" t="s">
        <v>368</v>
      </c>
      <c r="E1185" s="156">
        <v>44476</v>
      </c>
      <c r="F1185" t="s">
        <v>31</v>
      </c>
      <c r="G1185" s="156">
        <v>44390</v>
      </c>
      <c r="H1185">
        <v>54504</v>
      </c>
      <c r="I1185">
        <v>53381991</v>
      </c>
      <c r="K1185">
        <v>0</v>
      </c>
      <c r="M1185">
        <v>0</v>
      </c>
      <c r="N1185">
        <v>0</v>
      </c>
      <c r="O1185">
        <v>0</v>
      </c>
      <c r="P1185" s="117">
        <v>53381991</v>
      </c>
      <c r="Q1185" s="117" t="s">
        <v>1021</v>
      </c>
      <c r="R1185" s="150">
        <v>0</v>
      </c>
      <c r="S1185" s="117" t="b">
        <f>OR(COUNTIF(Tabla2[[#This Row],[PROVEEDOR]],"*"&amp;'Palabra no opera'!$A$2&amp;"*"))</f>
        <v>0</v>
      </c>
      <c r="T1185" s="150">
        <f>+$W$5-Tabla2[[#This Row],[FECHA DE FACTURACIÓN]]</f>
        <v>444</v>
      </c>
      <c r="U1185" t="str">
        <f>+IF(Tabla2[[#This Row],[dias de credito]]&gt;=Tabla2[[#This Row],[PLAZO Días]],"venc", "No venc")</f>
        <v>venc</v>
      </c>
      <c r="V1185" t="str">
        <f>+IF(Tabla2[[#This Row],[FECHA DE PAGO]]&gt;0,"pagada","por pagar")</f>
        <v>pagada</v>
      </c>
      <c r="W1185" s="152" t="str">
        <f>+IF(AND(Tabla2[[#This Row],[venc]]="venc",Tabla2[[#This Row],[Columna1]]="por pagar"),"vencida","no")</f>
        <v>no</v>
      </c>
    </row>
    <row r="1186" spans="1:23" x14ac:dyDescent="0.3">
      <c r="A1186">
        <v>30</v>
      </c>
      <c r="B1186">
        <v>0</v>
      </c>
      <c r="D1186" t="s">
        <v>287</v>
      </c>
      <c r="E1186" s="156">
        <v>44476</v>
      </c>
      <c r="F1186" t="s">
        <v>176</v>
      </c>
      <c r="G1186" s="156">
        <v>44218</v>
      </c>
      <c r="H1186" t="s">
        <v>485</v>
      </c>
      <c r="I1186">
        <v>128000</v>
      </c>
      <c r="K1186">
        <v>24320</v>
      </c>
      <c r="M1186">
        <v>0</v>
      </c>
      <c r="N1186">
        <v>0</v>
      </c>
      <c r="O1186">
        <v>0</v>
      </c>
      <c r="P1186" s="117">
        <v>152320</v>
      </c>
      <c r="Q1186" s="117" t="s">
        <v>1021</v>
      </c>
      <c r="R1186" s="150">
        <v>0</v>
      </c>
      <c r="S1186" s="117" t="b">
        <f>OR(COUNTIF(Tabla2[[#This Row],[PROVEEDOR]],"*"&amp;'Palabra no opera'!$A$2&amp;"*"))</f>
        <v>0</v>
      </c>
      <c r="T1186" s="150">
        <f>+$W$5-Tabla2[[#This Row],[FECHA DE FACTURACIÓN]]</f>
        <v>616</v>
      </c>
      <c r="U1186" t="str">
        <f>+IF(Tabla2[[#This Row],[dias de credito]]&gt;=Tabla2[[#This Row],[PLAZO Días]],"venc", "No venc")</f>
        <v>venc</v>
      </c>
      <c r="V1186" t="str">
        <f>+IF(Tabla2[[#This Row],[FECHA DE PAGO]]&gt;0,"pagada","por pagar")</f>
        <v>pagada</v>
      </c>
      <c r="W1186" s="152" t="str">
        <f>+IF(AND(Tabla2[[#This Row],[venc]]="venc",Tabla2[[#This Row],[Columna1]]="por pagar"),"vencida","no")</f>
        <v>no</v>
      </c>
    </row>
    <row r="1187" spans="1:23" x14ac:dyDescent="0.3">
      <c r="A1187">
        <v>30</v>
      </c>
      <c r="B1187">
        <v>0</v>
      </c>
      <c r="D1187" t="s">
        <v>547</v>
      </c>
      <c r="E1187" s="156">
        <v>44473</v>
      </c>
      <c r="F1187" t="s">
        <v>905</v>
      </c>
      <c r="G1187" s="156">
        <v>44414</v>
      </c>
      <c r="H1187" t="s">
        <v>414</v>
      </c>
      <c r="I1187">
        <v>6178310</v>
      </c>
      <c r="K1187">
        <v>1173878.8999999999</v>
      </c>
      <c r="M1187">
        <v>0</v>
      </c>
      <c r="N1187">
        <v>0</v>
      </c>
      <c r="O1187">
        <v>0</v>
      </c>
      <c r="P1187" s="117">
        <v>7352188.9000000004</v>
      </c>
      <c r="Q1187" s="117" t="s">
        <v>1021</v>
      </c>
      <c r="R1187" s="150">
        <v>0</v>
      </c>
      <c r="S1187" s="117" t="b">
        <f>OR(COUNTIF(Tabla2[[#This Row],[PROVEEDOR]],"*"&amp;'Palabra no opera'!$A$2&amp;"*"))</f>
        <v>1</v>
      </c>
      <c r="T1187" s="150">
        <f>+$W$5-Tabla2[[#This Row],[FECHA DE FACTURACIÓN]]</f>
        <v>420</v>
      </c>
      <c r="U1187" t="str">
        <f>+IF(Tabla2[[#This Row],[dias de credito]]&gt;=Tabla2[[#This Row],[PLAZO Días]],"venc", "No venc")</f>
        <v>venc</v>
      </c>
      <c r="V1187" t="str">
        <f>+IF(Tabla2[[#This Row],[FECHA DE PAGO]]&gt;0,"pagada","por pagar")</f>
        <v>pagada</v>
      </c>
      <c r="W1187" s="152" t="str">
        <f>+IF(AND(Tabla2[[#This Row],[venc]]="venc",Tabla2[[#This Row],[Columna1]]="por pagar"),"vencida","no")</f>
        <v>no</v>
      </c>
    </row>
    <row r="1188" spans="1:23" x14ac:dyDescent="0.3">
      <c r="A1188">
        <v>30</v>
      </c>
      <c r="B1188">
        <v>0</v>
      </c>
      <c r="D1188" t="s">
        <v>139</v>
      </c>
      <c r="E1188" s="156">
        <v>44470</v>
      </c>
      <c r="F1188" t="s">
        <v>683</v>
      </c>
      <c r="G1188" s="156">
        <v>44470</v>
      </c>
      <c r="H1188" t="s">
        <v>1316</v>
      </c>
      <c r="I1188">
        <v>200000</v>
      </c>
      <c r="K1188">
        <v>0</v>
      </c>
      <c r="M1188">
        <v>0</v>
      </c>
      <c r="N1188">
        <v>0</v>
      </c>
      <c r="O1188">
        <v>0</v>
      </c>
      <c r="P1188" s="117">
        <v>200000</v>
      </c>
      <c r="Q1188" s="117" t="s">
        <v>1021</v>
      </c>
      <c r="R1188" s="150">
        <v>0</v>
      </c>
      <c r="S1188" s="117" t="b">
        <f>OR(COUNTIF(Tabla2[[#This Row],[PROVEEDOR]],"*"&amp;'Palabra no opera'!$A$2&amp;"*"))</f>
        <v>0</v>
      </c>
      <c r="T1188" s="150">
        <f>+$W$5-Tabla2[[#This Row],[FECHA DE FACTURACIÓN]]</f>
        <v>364</v>
      </c>
      <c r="U1188" t="str">
        <f>+IF(Tabla2[[#This Row],[dias de credito]]&gt;=Tabla2[[#This Row],[PLAZO Días]],"venc", "No venc")</f>
        <v>venc</v>
      </c>
      <c r="V1188" t="str">
        <f>+IF(Tabla2[[#This Row],[FECHA DE PAGO]]&gt;0,"pagada","por pagar")</f>
        <v>pagada</v>
      </c>
      <c r="W1188" s="152" t="str">
        <f>+IF(AND(Tabla2[[#This Row],[venc]]="venc",Tabla2[[#This Row],[Columna1]]="por pagar"),"vencida","no")</f>
        <v>no</v>
      </c>
    </row>
    <row r="1189" spans="1:23" x14ac:dyDescent="0.3">
      <c r="A1189">
        <v>30</v>
      </c>
      <c r="B1189">
        <v>0</v>
      </c>
      <c r="D1189">
        <v>0</v>
      </c>
      <c r="E1189" s="156">
        <v>44470</v>
      </c>
      <c r="F1189" t="s">
        <v>700</v>
      </c>
      <c r="G1189" s="156">
        <v>44470</v>
      </c>
      <c r="H1189" t="s">
        <v>1502</v>
      </c>
      <c r="I1189">
        <v>1170000</v>
      </c>
      <c r="K1189">
        <v>0</v>
      </c>
      <c r="M1189">
        <v>0</v>
      </c>
      <c r="N1189">
        <v>0</v>
      </c>
      <c r="O1189">
        <v>0</v>
      </c>
      <c r="P1189" s="117">
        <v>1170000</v>
      </c>
      <c r="Q1189" s="117" t="s">
        <v>1021</v>
      </c>
      <c r="R1189" s="150">
        <v>0</v>
      </c>
      <c r="S1189" s="117" t="b">
        <f>OR(COUNTIF(Tabla2[[#This Row],[PROVEEDOR]],"*"&amp;'Palabra no opera'!$A$2&amp;"*"))</f>
        <v>0</v>
      </c>
      <c r="T1189" s="150">
        <f>+$W$5-Tabla2[[#This Row],[FECHA DE FACTURACIÓN]]</f>
        <v>364</v>
      </c>
      <c r="U1189" t="str">
        <f>+IF(Tabla2[[#This Row],[dias de credito]]&gt;=Tabla2[[#This Row],[PLAZO Días]],"venc", "No venc")</f>
        <v>venc</v>
      </c>
      <c r="V1189" t="str">
        <f>+IF(Tabla2[[#This Row],[FECHA DE PAGO]]&gt;0,"pagada","por pagar")</f>
        <v>pagada</v>
      </c>
      <c r="W1189" s="152" t="str">
        <f>+IF(AND(Tabla2[[#This Row],[venc]]="venc",Tabla2[[#This Row],[Columna1]]="por pagar"),"vencida","no")</f>
        <v>no</v>
      </c>
    </row>
    <row r="1190" spans="1:23" x14ac:dyDescent="0.3">
      <c r="A1190">
        <v>30</v>
      </c>
      <c r="B1190">
        <v>0</v>
      </c>
      <c r="D1190" t="s">
        <v>139</v>
      </c>
      <c r="E1190" s="156">
        <v>44469</v>
      </c>
      <c r="F1190" t="s">
        <v>673</v>
      </c>
      <c r="G1190" s="156">
        <v>44469</v>
      </c>
      <c r="I1190">
        <v>1000000</v>
      </c>
      <c r="K1190">
        <v>0</v>
      </c>
      <c r="M1190">
        <v>0</v>
      </c>
      <c r="N1190">
        <v>0</v>
      </c>
      <c r="O1190">
        <v>0</v>
      </c>
      <c r="P1190" s="117">
        <v>1000000</v>
      </c>
      <c r="Q1190" s="117" t="s">
        <v>1021</v>
      </c>
      <c r="R1190" s="150">
        <v>0</v>
      </c>
      <c r="S1190" s="117" t="b">
        <f>OR(COUNTIF(Tabla2[[#This Row],[PROVEEDOR]],"*"&amp;'Palabra no opera'!$A$2&amp;"*"))</f>
        <v>0</v>
      </c>
      <c r="T1190" s="150">
        <f>+$W$5-Tabla2[[#This Row],[FECHA DE FACTURACIÓN]]</f>
        <v>365</v>
      </c>
      <c r="U1190" t="str">
        <f>+IF(Tabla2[[#This Row],[dias de credito]]&gt;=Tabla2[[#This Row],[PLAZO Días]],"venc", "No venc")</f>
        <v>venc</v>
      </c>
      <c r="V1190" t="str">
        <f>+IF(Tabla2[[#This Row],[FECHA DE PAGO]]&gt;0,"pagada","por pagar")</f>
        <v>pagada</v>
      </c>
      <c r="W1190" s="152" t="str">
        <f>+IF(AND(Tabla2[[#This Row],[venc]]="venc",Tabla2[[#This Row],[Columna1]]="por pagar"),"vencida","no")</f>
        <v>no</v>
      </c>
    </row>
    <row r="1191" spans="1:23" x14ac:dyDescent="0.3">
      <c r="A1191">
        <v>30</v>
      </c>
      <c r="B1191">
        <v>0</v>
      </c>
      <c r="D1191" t="s">
        <v>139</v>
      </c>
      <c r="E1191" s="156">
        <v>44469</v>
      </c>
      <c r="F1191" t="s">
        <v>644</v>
      </c>
      <c r="G1191" s="156">
        <v>44469</v>
      </c>
      <c r="H1191" t="s">
        <v>1314</v>
      </c>
      <c r="I1191">
        <v>93000</v>
      </c>
      <c r="K1191">
        <v>0</v>
      </c>
      <c r="M1191">
        <v>0</v>
      </c>
      <c r="N1191">
        <v>0</v>
      </c>
      <c r="O1191">
        <v>0</v>
      </c>
      <c r="P1191" s="117">
        <v>93000</v>
      </c>
      <c r="Q1191" s="117" t="s">
        <v>1021</v>
      </c>
      <c r="R1191" s="150">
        <v>0</v>
      </c>
      <c r="S1191" s="117" t="b">
        <f>OR(COUNTIF(Tabla2[[#This Row],[PROVEEDOR]],"*"&amp;'Palabra no opera'!$A$2&amp;"*"))</f>
        <v>0</v>
      </c>
      <c r="T1191" s="150">
        <f>+$W$5-Tabla2[[#This Row],[FECHA DE FACTURACIÓN]]</f>
        <v>365</v>
      </c>
      <c r="U1191" t="str">
        <f>+IF(Tabla2[[#This Row],[dias de credito]]&gt;=Tabla2[[#This Row],[PLAZO Días]],"venc", "No venc")</f>
        <v>venc</v>
      </c>
      <c r="V1191" t="str">
        <f>+IF(Tabla2[[#This Row],[FECHA DE PAGO]]&gt;0,"pagada","por pagar")</f>
        <v>pagada</v>
      </c>
      <c r="W1191" s="152" t="str">
        <f>+IF(AND(Tabla2[[#This Row],[venc]]="venc",Tabla2[[#This Row],[Columna1]]="por pagar"),"vencida","no")</f>
        <v>no</v>
      </c>
    </row>
    <row r="1192" spans="1:23" x14ac:dyDescent="0.3">
      <c r="A1192">
        <v>30</v>
      </c>
      <c r="B1192">
        <v>0</v>
      </c>
      <c r="D1192" t="s">
        <v>139</v>
      </c>
      <c r="E1192" s="156">
        <v>44469</v>
      </c>
      <c r="F1192" t="s">
        <v>644</v>
      </c>
      <c r="G1192" s="156">
        <v>44469</v>
      </c>
      <c r="H1192" t="s">
        <v>1295</v>
      </c>
      <c r="I1192">
        <v>140000</v>
      </c>
      <c r="K1192">
        <v>0</v>
      </c>
      <c r="M1192">
        <v>0</v>
      </c>
      <c r="N1192">
        <v>0</v>
      </c>
      <c r="O1192">
        <v>0</v>
      </c>
      <c r="P1192" s="117">
        <v>140000</v>
      </c>
      <c r="Q1192" s="117" t="s">
        <v>1021</v>
      </c>
      <c r="R1192" s="150">
        <v>0</v>
      </c>
      <c r="S1192" s="117" t="b">
        <f>OR(COUNTIF(Tabla2[[#This Row],[PROVEEDOR]],"*"&amp;'Palabra no opera'!$A$2&amp;"*"))</f>
        <v>0</v>
      </c>
      <c r="T1192" s="150">
        <f>+$W$5-Tabla2[[#This Row],[FECHA DE FACTURACIÓN]]</f>
        <v>365</v>
      </c>
      <c r="U1192" t="str">
        <f>+IF(Tabla2[[#This Row],[dias de credito]]&gt;=Tabla2[[#This Row],[PLAZO Días]],"venc", "No venc")</f>
        <v>venc</v>
      </c>
      <c r="V1192" t="str">
        <f>+IF(Tabla2[[#This Row],[FECHA DE PAGO]]&gt;0,"pagada","por pagar")</f>
        <v>pagada</v>
      </c>
      <c r="W1192" s="152" t="str">
        <f>+IF(AND(Tabla2[[#This Row],[venc]]="venc",Tabla2[[#This Row],[Columna1]]="por pagar"),"vencida","no")</f>
        <v>no</v>
      </c>
    </row>
    <row r="1193" spans="1:23" x14ac:dyDescent="0.3">
      <c r="A1193">
        <v>30</v>
      </c>
      <c r="B1193">
        <v>0</v>
      </c>
      <c r="D1193" t="s">
        <v>139</v>
      </c>
      <c r="E1193" s="156">
        <v>44469</v>
      </c>
      <c r="F1193" t="s">
        <v>644</v>
      </c>
      <c r="G1193" s="156">
        <v>44469</v>
      </c>
      <c r="H1193" t="s">
        <v>75</v>
      </c>
      <c r="I1193">
        <v>222000</v>
      </c>
      <c r="K1193">
        <v>0</v>
      </c>
      <c r="M1193">
        <v>0</v>
      </c>
      <c r="N1193">
        <v>0</v>
      </c>
      <c r="O1193">
        <v>0</v>
      </c>
      <c r="P1193" s="117">
        <v>222000</v>
      </c>
      <c r="Q1193" s="117" t="s">
        <v>1021</v>
      </c>
      <c r="R1193" s="150">
        <v>0</v>
      </c>
      <c r="S1193" s="117" t="b">
        <f>OR(COUNTIF(Tabla2[[#This Row],[PROVEEDOR]],"*"&amp;'Palabra no opera'!$A$2&amp;"*"))</f>
        <v>0</v>
      </c>
      <c r="T1193" s="150">
        <f>+$W$5-Tabla2[[#This Row],[FECHA DE FACTURACIÓN]]</f>
        <v>365</v>
      </c>
      <c r="U1193" t="str">
        <f>+IF(Tabla2[[#This Row],[dias de credito]]&gt;=Tabla2[[#This Row],[PLAZO Días]],"venc", "No venc")</f>
        <v>venc</v>
      </c>
      <c r="V1193" t="str">
        <f>+IF(Tabla2[[#This Row],[FECHA DE PAGO]]&gt;0,"pagada","por pagar")</f>
        <v>pagada</v>
      </c>
      <c r="W1193" s="152" t="str">
        <f>+IF(AND(Tabla2[[#This Row],[venc]]="venc",Tabla2[[#This Row],[Columna1]]="por pagar"),"vencida","no")</f>
        <v>no</v>
      </c>
    </row>
    <row r="1194" spans="1:23" x14ac:dyDescent="0.3">
      <c r="A1194">
        <v>30</v>
      </c>
      <c r="B1194">
        <v>0</v>
      </c>
      <c r="D1194" t="s">
        <v>139</v>
      </c>
      <c r="E1194" s="156">
        <v>44469</v>
      </c>
      <c r="F1194" t="s">
        <v>644</v>
      </c>
      <c r="G1194" s="156">
        <v>44469</v>
      </c>
      <c r="H1194" t="s">
        <v>1186</v>
      </c>
      <c r="I1194">
        <v>251000</v>
      </c>
      <c r="K1194">
        <v>0</v>
      </c>
      <c r="M1194">
        <v>0</v>
      </c>
      <c r="N1194">
        <v>0</v>
      </c>
      <c r="O1194">
        <v>0</v>
      </c>
      <c r="P1194" s="117">
        <v>251000</v>
      </c>
      <c r="Q1194" s="117" t="s">
        <v>1021</v>
      </c>
      <c r="R1194" s="150">
        <v>0</v>
      </c>
      <c r="S1194" s="117" t="b">
        <f>OR(COUNTIF(Tabla2[[#This Row],[PROVEEDOR]],"*"&amp;'Palabra no opera'!$A$2&amp;"*"))</f>
        <v>0</v>
      </c>
      <c r="T1194" s="150">
        <f>+$W$5-Tabla2[[#This Row],[FECHA DE FACTURACIÓN]]</f>
        <v>365</v>
      </c>
      <c r="U1194" t="str">
        <f>+IF(Tabla2[[#This Row],[dias de credito]]&gt;=Tabla2[[#This Row],[PLAZO Días]],"venc", "No venc")</f>
        <v>venc</v>
      </c>
      <c r="V1194" t="str">
        <f>+IF(Tabla2[[#This Row],[FECHA DE PAGO]]&gt;0,"pagada","por pagar")</f>
        <v>pagada</v>
      </c>
      <c r="W1194" s="152" t="str">
        <f>+IF(AND(Tabla2[[#This Row],[venc]]="venc",Tabla2[[#This Row],[Columna1]]="por pagar"),"vencida","no")</f>
        <v>no</v>
      </c>
    </row>
    <row r="1195" spans="1:23" x14ac:dyDescent="0.3">
      <c r="A1195">
        <v>30</v>
      </c>
      <c r="B1195">
        <v>0</v>
      </c>
      <c r="D1195" t="s">
        <v>139</v>
      </c>
      <c r="E1195" s="156">
        <v>44469</v>
      </c>
      <c r="F1195" t="s">
        <v>644</v>
      </c>
      <c r="G1195" s="156">
        <v>44469</v>
      </c>
      <c r="H1195" t="s">
        <v>1187</v>
      </c>
      <c r="I1195">
        <v>724000</v>
      </c>
      <c r="K1195">
        <v>0</v>
      </c>
      <c r="M1195">
        <v>0</v>
      </c>
      <c r="N1195">
        <v>0</v>
      </c>
      <c r="O1195">
        <v>0</v>
      </c>
      <c r="P1195" s="117">
        <v>724000</v>
      </c>
      <c r="Q1195" s="117" t="s">
        <v>1021</v>
      </c>
      <c r="R1195" s="150">
        <v>0</v>
      </c>
      <c r="S1195" s="117" t="b">
        <f>OR(COUNTIF(Tabla2[[#This Row],[PROVEEDOR]],"*"&amp;'Palabra no opera'!$A$2&amp;"*"))</f>
        <v>0</v>
      </c>
      <c r="T1195" s="150">
        <f>+$W$5-Tabla2[[#This Row],[FECHA DE FACTURACIÓN]]</f>
        <v>365</v>
      </c>
      <c r="U1195" t="str">
        <f>+IF(Tabla2[[#This Row],[dias de credito]]&gt;=Tabla2[[#This Row],[PLAZO Días]],"venc", "No venc")</f>
        <v>venc</v>
      </c>
      <c r="V1195" t="str">
        <f>+IF(Tabla2[[#This Row],[FECHA DE PAGO]]&gt;0,"pagada","por pagar")</f>
        <v>pagada</v>
      </c>
      <c r="W1195" s="152" t="str">
        <f>+IF(AND(Tabla2[[#This Row],[venc]]="venc",Tabla2[[#This Row],[Columna1]]="por pagar"),"vencida","no")</f>
        <v>no</v>
      </c>
    </row>
    <row r="1196" spans="1:23" x14ac:dyDescent="0.3">
      <c r="A1196">
        <v>30</v>
      </c>
      <c r="B1196">
        <v>0</v>
      </c>
      <c r="D1196" t="s">
        <v>139</v>
      </c>
      <c r="E1196" s="156">
        <v>44469</v>
      </c>
      <c r="F1196" t="s">
        <v>644</v>
      </c>
      <c r="G1196" s="156">
        <v>44469</v>
      </c>
      <c r="H1196" t="s">
        <v>1188</v>
      </c>
      <c r="I1196">
        <v>3116500</v>
      </c>
      <c r="K1196">
        <v>0</v>
      </c>
      <c r="M1196">
        <v>0</v>
      </c>
      <c r="N1196">
        <v>0</v>
      </c>
      <c r="O1196">
        <v>0</v>
      </c>
      <c r="P1196" s="117">
        <v>3116500</v>
      </c>
      <c r="Q1196" s="117" t="s">
        <v>1021</v>
      </c>
      <c r="R1196" s="150">
        <v>0</v>
      </c>
      <c r="S1196" s="117" t="b">
        <f>OR(COUNTIF(Tabla2[[#This Row],[PROVEEDOR]],"*"&amp;'Palabra no opera'!$A$2&amp;"*"))</f>
        <v>0</v>
      </c>
      <c r="T1196" s="150">
        <f>+$W$5-Tabla2[[#This Row],[FECHA DE FACTURACIÓN]]</f>
        <v>365</v>
      </c>
      <c r="U1196" t="str">
        <f>+IF(Tabla2[[#This Row],[dias de credito]]&gt;=Tabla2[[#This Row],[PLAZO Días]],"venc", "No venc")</f>
        <v>venc</v>
      </c>
      <c r="V1196" t="str">
        <f>+IF(Tabla2[[#This Row],[FECHA DE PAGO]]&gt;0,"pagada","por pagar")</f>
        <v>pagada</v>
      </c>
      <c r="W1196" s="152" t="str">
        <f>+IF(AND(Tabla2[[#This Row],[venc]]="venc",Tabla2[[#This Row],[Columna1]]="por pagar"),"vencida","no")</f>
        <v>no</v>
      </c>
    </row>
    <row r="1197" spans="1:23" x14ac:dyDescent="0.3">
      <c r="A1197">
        <v>30</v>
      </c>
      <c r="B1197">
        <v>0</v>
      </c>
      <c r="D1197" t="s">
        <v>139</v>
      </c>
      <c r="E1197" s="156">
        <v>44468</v>
      </c>
      <c r="F1197" t="s">
        <v>638</v>
      </c>
      <c r="G1197" s="156">
        <v>44467</v>
      </c>
      <c r="H1197" t="s">
        <v>1313</v>
      </c>
      <c r="I1197">
        <v>2029404</v>
      </c>
      <c r="K1197">
        <v>0</v>
      </c>
      <c r="M1197">
        <v>0</v>
      </c>
      <c r="N1197">
        <v>0</v>
      </c>
      <c r="O1197">
        <v>0</v>
      </c>
      <c r="P1197" s="117">
        <v>2029404</v>
      </c>
      <c r="Q1197" s="117" t="s">
        <v>1021</v>
      </c>
      <c r="R1197" s="150">
        <v>0</v>
      </c>
      <c r="S1197" s="117" t="b">
        <f>OR(COUNTIF(Tabla2[[#This Row],[PROVEEDOR]],"*"&amp;'Palabra no opera'!$A$2&amp;"*"))</f>
        <v>0</v>
      </c>
      <c r="T1197" s="150">
        <f>+$W$5-Tabla2[[#This Row],[FECHA DE FACTURACIÓN]]</f>
        <v>367</v>
      </c>
      <c r="U1197" t="str">
        <f>+IF(Tabla2[[#This Row],[dias de credito]]&gt;=Tabla2[[#This Row],[PLAZO Días]],"venc", "No venc")</f>
        <v>venc</v>
      </c>
      <c r="V1197" t="str">
        <f>+IF(Tabla2[[#This Row],[FECHA DE PAGO]]&gt;0,"pagada","por pagar")</f>
        <v>pagada</v>
      </c>
      <c r="W1197" s="152" t="str">
        <f>+IF(AND(Tabla2[[#This Row],[venc]]="venc",Tabla2[[#This Row],[Columna1]]="por pagar"),"vencida","no")</f>
        <v>no</v>
      </c>
    </row>
    <row r="1198" spans="1:23" x14ac:dyDescent="0.3">
      <c r="A1198">
        <v>30</v>
      </c>
      <c r="B1198">
        <v>0</v>
      </c>
      <c r="D1198" t="s">
        <v>139</v>
      </c>
      <c r="E1198" s="156">
        <v>44466</v>
      </c>
      <c r="F1198" t="s">
        <v>1130</v>
      </c>
      <c r="G1198" s="156">
        <v>44452</v>
      </c>
      <c r="H1198" t="s">
        <v>1304</v>
      </c>
      <c r="I1198">
        <v>199600</v>
      </c>
      <c r="K1198">
        <v>0</v>
      </c>
      <c r="M1198">
        <v>0</v>
      </c>
      <c r="N1198">
        <v>0</v>
      </c>
      <c r="O1198">
        <v>0</v>
      </c>
      <c r="P1198" s="117">
        <v>199600</v>
      </c>
      <c r="Q1198" s="117" t="s">
        <v>1021</v>
      </c>
      <c r="R1198" s="150">
        <v>0</v>
      </c>
      <c r="S1198" s="117" t="b">
        <f>OR(COUNTIF(Tabla2[[#This Row],[PROVEEDOR]],"*"&amp;'Palabra no opera'!$A$2&amp;"*"))</f>
        <v>1</v>
      </c>
      <c r="T1198" s="150">
        <f>+$W$5-Tabla2[[#This Row],[FECHA DE FACTURACIÓN]]</f>
        <v>382</v>
      </c>
      <c r="U1198" t="str">
        <f>+IF(Tabla2[[#This Row],[dias de credito]]&gt;=Tabla2[[#This Row],[PLAZO Días]],"venc", "No venc")</f>
        <v>venc</v>
      </c>
      <c r="V1198" t="str">
        <f>+IF(Tabla2[[#This Row],[FECHA DE PAGO]]&gt;0,"pagada","por pagar")</f>
        <v>pagada</v>
      </c>
      <c r="W1198" s="152" t="str">
        <f>+IF(AND(Tabla2[[#This Row],[venc]]="venc",Tabla2[[#This Row],[Columna1]]="por pagar"),"vencida","no")</f>
        <v>no</v>
      </c>
    </row>
    <row r="1199" spans="1:23" x14ac:dyDescent="0.3">
      <c r="A1199">
        <v>30</v>
      </c>
      <c r="B1199">
        <v>0</v>
      </c>
      <c r="D1199" t="s">
        <v>139</v>
      </c>
      <c r="E1199" s="156">
        <v>44466</v>
      </c>
      <c r="F1199" t="s">
        <v>1130</v>
      </c>
      <c r="G1199" s="156">
        <v>44448</v>
      </c>
      <c r="H1199" t="s">
        <v>1303</v>
      </c>
      <c r="I1199">
        <v>227900</v>
      </c>
      <c r="K1199">
        <v>0</v>
      </c>
      <c r="M1199">
        <v>0</v>
      </c>
      <c r="N1199">
        <v>0</v>
      </c>
      <c r="O1199">
        <v>0</v>
      </c>
      <c r="P1199" s="117">
        <v>227900</v>
      </c>
      <c r="Q1199" s="117" t="s">
        <v>1021</v>
      </c>
      <c r="R1199" s="150">
        <v>0</v>
      </c>
      <c r="S1199" s="117" t="b">
        <f>OR(COUNTIF(Tabla2[[#This Row],[PROVEEDOR]],"*"&amp;'Palabra no opera'!$A$2&amp;"*"))</f>
        <v>1</v>
      </c>
      <c r="T1199" s="150">
        <f>+$W$5-Tabla2[[#This Row],[FECHA DE FACTURACIÓN]]</f>
        <v>386</v>
      </c>
      <c r="U1199" t="str">
        <f>+IF(Tabla2[[#This Row],[dias de credito]]&gt;=Tabla2[[#This Row],[PLAZO Días]],"venc", "No venc")</f>
        <v>venc</v>
      </c>
      <c r="V1199" t="str">
        <f>+IF(Tabla2[[#This Row],[FECHA DE PAGO]]&gt;0,"pagada","por pagar")</f>
        <v>pagada</v>
      </c>
      <c r="W1199" s="152" t="str">
        <f>+IF(AND(Tabla2[[#This Row],[venc]]="venc",Tabla2[[#This Row],[Columna1]]="por pagar"),"vencida","no")</f>
        <v>no</v>
      </c>
    </row>
    <row r="1200" spans="1:23" x14ac:dyDescent="0.3">
      <c r="A1200">
        <v>30</v>
      </c>
      <c r="B1200">
        <v>3450150</v>
      </c>
      <c r="D1200" t="s">
        <v>402</v>
      </c>
      <c r="E1200" s="156">
        <v>44466</v>
      </c>
      <c r="F1200" t="s">
        <v>691</v>
      </c>
      <c r="G1200" s="156">
        <v>44432</v>
      </c>
      <c r="H1200" t="s">
        <v>1434</v>
      </c>
      <c r="I1200">
        <v>811750</v>
      </c>
      <c r="K1200">
        <v>0</v>
      </c>
      <c r="M1200">
        <v>0</v>
      </c>
      <c r="N1200">
        <v>0</v>
      </c>
      <c r="O1200">
        <v>0</v>
      </c>
      <c r="P1200" s="117">
        <v>811750</v>
      </c>
      <c r="Q1200" s="117" t="s">
        <v>1021</v>
      </c>
      <c r="R1200" s="150">
        <v>0</v>
      </c>
      <c r="S1200" s="117" t="b">
        <f>OR(COUNTIF(Tabla2[[#This Row],[PROVEEDOR]],"*"&amp;'Palabra no opera'!$A$2&amp;"*"))</f>
        <v>0</v>
      </c>
      <c r="T1200" s="150">
        <f>+$W$5-Tabla2[[#This Row],[FECHA DE FACTURACIÓN]]</f>
        <v>402</v>
      </c>
      <c r="U1200" t="str">
        <f>+IF(Tabla2[[#This Row],[dias de credito]]&gt;=Tabla2[[#This Row],[PLAZO Días]],"venc", "No venc")</f>
        <v>venc</v>
      </c>
      <c r="V1200" t="str">
        <f>+IF(Tabla2[[#This Row],[FECHA DE PAGO]]&gt;0,"pagada","por pagar")</f>
        <v>pagada</v>
      </c>
      <c r="W1200" s="152" t="str">
        <f>+IF(AND(Tabla2[[#This Row],[venc]]="venc",Tabla2[[#This Row],[Columna1]]="por pagar"),"vencida","no")</f>
        <v>no</v>
      </c>
    </row>
    <row r="1201" spans="1:23" x14ac:dyDescent="0.3">
      <c r="A1201">
        <v>30</v>
      </c>
      <c r="B1201">
        <v>5225000</v>
      </c>
      <c r="D1201" t="s">
        <v>139</v>
      </c>
      <c r="E1201" s="156">
        <v>44466</v>
      </c>
      <c r="F1201" t="s">
        <v>629</v>
      </c>
      <c r="G1201" s="156">
        <v>44425</v>
      </c>
      <c r="H1201" t="s">
        <v>1284</v>
      </c>
      <c r="I1201">
        <v>1019000</v>
      </c>
      <c r="K1201">
        <v>0</v>
      </c>
      <c r="M1201">
        <v>0</v>
      </c>
      <c r="N1201">
        <v>0</v>
      </c>
      <c r="O1201">
        <v>0</v>
      </c>
      <c r="P1201" s="117">
        <v>1019000</v>
      </c>
      <c r="Q1201" s="117" t="s">
        <v>1021</v>
      </c>
      <c r="R1201" s="150">
        <v>0</v>
      </c>
      <c r="S1201" s="117" t="b">
        <f>OR(COUNTIF(Tabla2[[#This Row],[PROVEEDOR]],"*"&amp;'Palabra no opera'!$A$2&amp;"*"))</f>
        <v>0</v>
      </c>
      <c r="T1201" s="150">
        <f>+$W$5-Tabla2[[#This Row],[FECHA DE FACTURACIÓN]]</f>
        <v>409</v>
      </c>
      <c r="U1201" t="str">
        <f>+IF(Tabla2[[#This Row],[dias de credito]]&gt;=Tabla2[[#This Row],[PLAZO Días]],"venc", "No venc")</f>
        <v>venc</v>
      </c>
      <c r="V1201" t="str">
        <f>+IF(Tabla2[[#This Row],[FECHA DE PAGO]]&gt;0,"pagada","por pagar")</f>
        <v>pagada</v>
      </c>
      <c r="W1201" s="152" t="str">
        <f>+IF(AND(Tabla2[[#This Row],[venc]]="venc",Tabla2[[#This Row],[Columna1]]="por pagar"),"vencida","no")</f>
        <v>no</v>
      </c>
    </row>
    <row r="1202" spans="1:23" x14ac:dyDescent="0.3">
      <c r="A1202">
        <v>30</v>
      </c>
      <c r="B1202">
        <v>0</v>
      </c>
      <c r="D1202" t="s">
        <v>650</v>
      </c>
      <c r="E1202" s="156">
        <v>44461</v>
      </c>
      <c r="F1202" t="s">
        <v>913</v>
      </c>
      <c r="G1202" s="156">
        <v>44440</v>
      </c>
      <c r="H1202" t="s">
        <v>1299</v>
      </c>
      <c r="I1202">
        <v>3061166</v>
      </c>
      <c r="K1202">
        <v>581621.54</v>
      </c>
      <c r="M1202">
        <v>0</v>
      </c>
      <c r="N1202">
        <v>0</v>
      </c>
      <c r="O1202">
        <v>0</v>
      </c>
      <c r="P1202" s="117">
        <v>3642787.54</v>
      </c>
      <c r="Q1202" s="117" t="s">
        <v>1021</v>
      </c>
      <c r="R1202" s="150">
        <v>0</v>
      </c>
      <c r="S1202" s="117" t="b">
        <f>OR(COUNTIF(Tabla2[[#This Row],[PROVEEDOR]],"*"&amp;'Palabra no opera'!$A$2&amp;"*"))</f>
        <v>1</v>
      </c>
      <c r="T1202" s="150">
        <f>+$W$5-Tabla2[[#This Row],[FECHA DE FACTURACIÓN]]</f>
        <v>394</v>
      </c>
      <c r="U1202" t="str">
        <f>+IF(Tabla2[[#This Row],[dias de credito]]&gt;=Tabla2[[#This Row],[PLAZO Días]],"venc", "No venc")</f>
        <v>venc</v>
      </c>
      <c r="V1202" t="str">
        <f>+IF(Tabla2[[#This Row],[FECHA DE PAGO]]&gt;0,"pagada","por pagar")</f>
        <v>pagada</v>
      </c>
      <c r="W1202" s="152" t="str">
        <f>+IF(AND(Tabla2[[#This Row],[venc]]="venc",Tabla2[[#This Row],[Columna1]]="por pagar"),"vencida","no")</f>
        <v>no</v>
      </c>
    </row>
    <row r="1203" spans="1:23" x14ac:dyDescent="0.3">
      <c r="A1203">
        <v>30</v>
      </c>
      <c r="B1203">
        <v>0</v>
      </c>
      <c r="D1203" t="s">
        <v>650</v>
      </c>
      <c r="E1203" s="156">
        <v>44461</v>
      </c>
      <c r="F1203" t="s">
        <v>913</v>
      </c>
      <c r="G1203" s="156">
        <v>44440</v>
      </c>
      <c r="H1203" t="s">
        <v>1300</v>
      </c>
      <c r="I1203">
        <v>716544</v>
      </c>
      <c r="K1203">
        <v>136143.36000000002</v>
      </c>
      <c r="M1203">
        <v>0</v>
      </c>
      <c r="N1203">
        <v>0</v>
      </c>
      <c r="O1203">
        <v>0</v>
      </c>
      <c r="P1203" s="117">
        <v>852687.35999999999</v>
      </c>
      <c r="Q1203" s="117" t="s">
        <v>1021</v>
      </c>
      <c r="R1203" s="150">
        <v>0</v>
      </c>
      <c r="S1203" s="117" t="b">
        <f>OR(COUNTIF(Tabla2[[#This Row],[PROVEEDOR]],"*"&amp;'Palabra no opera'!$A$2&amp;"*"))</f>
        <v>1</v>
      </c>
      <c r="T1203" s="150">
        <f>+$W$5-Tabla2[[#This Row],[FECHA DE FACTURACIÓN]]</f>
        <v>394</v>
      </c>
      <c r="U1203" t="str">
        <f>+IF(Tabla2[[#This Row],[dias de credito]]&gt;=Tabla2[[#This Row],[PLAZO Días]],"venc", "No venc")</f>
        <v>venc</v>
      </c>
      <c r="V1203" t="str">
        <f>+IF(Tabla2[[#This Row],[FECHA DE PAGO]]&gt;0,"pagada","por pagar")</f>
        <v>pagada</v>
      </c>
      <c r="W1203" s="152" t="str">
        <f>+IF(AND(Tabla2[[#This Row],[venc]]="venc",Tabla2[[#This Row],[Columna1]]="por pagar"),"vencida","no")</f>
        <v>no</v>
      </c>
    </row>
    <row r="1204" spans="1:23" x14ac:dyDescent="0.3">
      <c r="A1204">
        <v>30</v>
      </c>
      <c r="B1204">
        <v>0</v>
      </c>
      <c r="D1204" t="s">
        <v>1688</v>
      </c>
      <c r="E1204" s="156">
        <v>44461</v>
      </c>
      <c r="F1204" t="s">
        <v>928</v>
      </c>
      <c r="G1204" s="156">
        <v>44440</v>
      </c>
      <c r="H1204" t="s">
        <v>589</v>
      </c>
      <c r="I1204">
        <v>3023387</v>
      </c>
      <c r="K1204">
        <v>0</v>
      </c>
      <c r="M1204">
        <v>0</v>
      </c>
      <c r="N1204">
        <v>3.5000000000000003E-2</v>
      </c>
      <c r="O1204">
        <v>105818.54500000001</v>
      </c>
      <c r="P1204" s="117">
        <v>2917568.4550000001</v>
      </c>
      <c r="Q1204" s="117" t="s">
        <v>1021</v>
      </c>
      <c r="R1204" s="150">
        <v>0</v>
      </c>
      <c r="S1204" s="117" t="b">
        <f>OR(COUNTIF(Tabla2[[#This Row],[PROVEEDOR]],"*"&amp;'Palabra no opera'!$A$2&amp;"*"))</f>
        <v>1</v>
      </c>
      <c r="T1204" s="150">
        <f>+$W$5-Tabla2[[#This Row],[FECHA DE FACTURACIÓN]]</f>
        <v>394</v>
      </c>
      <c r="U1204" t="str">
        <f>+IF(Tabla2[[#This Row],[dias de credito]]&gt;=Tabla2[[#This Row],[PLAZO Días]],"venc", "No venc")</f>
        <v>venc</v>
      </c>
      <c r="V1204" t="str">
        <f>+IF(Tabla2[[#This Row],[FECHA DE PAGO]]&gt;0,"pagada","por pagar")</f>
        <v>pagada</v>
      </c>
      <c r="W1204" s="152" t="str">
        <f>+IF(AND(Tabla2[[#This Row],[venc]]="venc",Tabla2[[#This Row],[Columna1]]="por pagar"),"vencida","no")</f>
        <v>no</v>
      </c>
    </row>
    <row r="1205" spans="1:23" x14ac:dyDescent="0.3">
      <c r="A1205">
        <v>30</v>
      </c>
      <c r="B1205">
        <v>0</v>
      </c>
      <c r="D1205" t="s">
        <v>259</v>
      </c>
      <c r="E1205" s="156">
        <v>44461</v>
      </c>
      <c r="F1205" t="s">
        <v>918</v>
      </c>
      <c r="G1205" s="156">
        <v>44440</v>
      </c>
      <c r="H1205">
        <v>8919</v>
      </c>
      <c r="I1205">
        <v>1547710</v>
      </c>
      <c r="K1205">
        <v>0</v>
      </c>
      <c r="M1205">
        <v>0</v>
      </c>
      <c r="N1205">
        <v>0</v>
      </c>
      <c r="O1205">
        <v>0</v>
      </c>
      <c r="P1205" s="117">
        <v>1547710</v>
      </c>
      <c r="Q1205" s="117" t="s">
        <v>1021</v>
      </c>
      <c r="R1205" s="150">
        <v>0</v>
      </c>
      <c r="S1205" s="117" t="b">
        <f>OR(COUNTIF(Tabla2[[#This Row],[PROVEEDOR]],"*"&amp;'Palabra no opera'!$A$2&amp;"*"))</f>
        <v>1</v>
      </c>
      <c r="T1205" s="150">
        <f>+$W$5-Tabla2[[#This Row],[FECHA DE FACTURACIÓN]]</f>
        <v>394</v>
      </c>
      <c r="U1205" t="str">
        <f>+IF(Tabla2[[#This Row],[dias de credito]]&gt;=Tabla2[[#This Row],[PLAZO Días]],"venc", "No venc")</f>
        <v>venc</v>
      </c>
      <c r="V1205" t="str">
        <f>+IF(Tabla2[[#This Row],[FECHA DE PAGO]]&gt;0,"pagada","por pagar")</f>
        <v>pagada</v>
      </c>
      <c r="W1205" s="152" t="str">
        <f>+IF(AND(Tabla2[[#This Row],[venc]]="venc",Tabla2[[#This Row],[Columna1]]="por pagar"),"vencida","no")</f>
        <v>no</v>
      </c>
    </row>
    <row r="1206" spans="1:23" x14ac:dyDescent="0.3">
      <c r="A1206">
        <v>30</v>
      </c>
      <c r="B1206">
        <v>0</v>
      </c>
      <c r="D1206" t="s">
        <v>433</v>
      </c>
      <c r="E1206" s="156">
        <v>44461</v>
      </c>
      <c r="F1206" t="s">
        <v>925</v>
      </c>
      <c r="G1206" s="156">
        <v>44440</v>
      </c>
      <c r="H1206" t="s">
        <v>1301</v>
      </c>
      <c r="I1206">
        <v>2789636</v>
      </c>
      <c r="K1206">
        <v>0</v>
      </c>
      <c r="M1206">
        <v>0</v>
      </c>
      <c r="N1206">
        <v>3.5000000000000003E-2</v>
      </c>
      <c r="O1206">
        <v>97637.260000000009</v>
      </c>
      <c r="P1206" s="117">
        <v>2691998.74</v>
      </c>
      <c r="Q1206" s="117" t="s">
        <v>1021</v>
      </c>
      <c r="R1206" s="150">
        <v>0</v>
      </c>
      <c r="S1206" s="117" t="b">
        <f>OR(COUNTIF(Tabla2[[#This Row],[PROVEEDOR]],"*"&amp;'Palabra no opera'!$A$2&amp;"*"))</f>
        <v>1</v>
      </c>
      <c r="T1206" s="150">
        <f>+$W$5-Tabla2[[#This Row],[FECHA DE FACTURACIÓN]]</f>
        <v>394</v>
      </c>
      <c r="U1206" t="str">
        <f>+IF(Tabla2[[#This Row],[dias de credito]]&gt;=Tabla2[[#This Row],[PLAZO Días]],"venc", "No venc")</f>
        <v>venc</v>
      </c>
      <c r="V1206" t="str">
        <f>+IF(Tabla2[[#This Row],[FECHA DE PAGO]]&gt;0,"pagada","por pagar")</f>
        <v>pagada</v>
      </c>
      <c r="W1206" s="152" t="str">
        <f>+IF(AND(Tabla2[[#This Row],[venc]]="venc",Tabla2[[#This Row],[Columna1]]="por pagar"),"vencida","no")</f>
        <v>no</v>
      </c>
    </row>
    <row r="1207" spans="1:23" x14ac:dyDescent="0.3">
      <c r="A1207">
        <v>30</v>
      </c>
      <c r="B1207">
        <v>0</v>
      </c>
      <c r="D1207" t="s">
        <v>267</v>
      </c>
      <c r="E1207" s="156">
        <v>44461</v>
      </c>
      <c r="F1207" t="s">
        <v>941</v>
      </c>
      <c r="G1207" s="156">
        <v>44440</v>
      </c>
      <c r="H1207" t="s">
        <v>456</v>
      </c>
      <c r="I1207">
        <v>203897</v>
      </c>
      <c r="K1207">
        <v>38740.43</v>
      </c>
      <c r="M1207">
        <v>0</v>
      </c>
      <c r="N1207">
        <v>3.5000000000000003E-2</v>
      </c>
      <c r="O1207">
        <v>7136.3950000000004</v>
      </c>
      <c r="P1207" s="117">
        <v>235501.035</v>
      </c>
      <c r="Q1207" s="117" t="s">
        <v>1021</v>
      </c>
      <c r="R1207" s="150">
        <v>0</v>
      </c>
      <c r="S1207" s="117" t="b">
        <f>OR(COUNTIF(Tabla2[[#This Row],[PROVEEDOR]],"*"&amp;'Palabra no opera'!$A$2&amp;"*"))</f>
        <v>1</v>
      </c>
      <c r="T1207" s="150">
        <f>+$W$5-Tabla2[[#This Row],[FECHA DE FACTURACIÓN]]</f>
        <v>394</v>
      </c>
      <c r="U1207" t="str">
        <f>+IF(Tabla2[[#This Row],[dias de credito]]&gt;=Tabla2[[#This Row],[PLAZO Días]],"venc", "No venc")</f>
        <v>venc</v>
      </c>
      <c r="V1207" t="str">
        <f>+IF(Tabla2[[#This Row],[FECHA DE PAGO]]&gt;0,"pagada","por pagar")</f>
        <v>pagada</v>
      </c>
      <c r="W1207" s="152" t="str">
        <f>+IF(AND(Tabla2[[#This Row],[venc]]="venc",Tabla2[[#This Row],[Columna1]]="por pagar"),"vencida","no")</f>
        <v>no</v>
      </c>
    </row>
    <row r="1208" spans="1:23" x14ac:dyDescent="0.3">
      <c r="A1208">
        <v>20</v>
      </c>
      <c r="B1208">
        <v>0</v>
      </c>
      <c r="D1208" t="s">
        <v>275</v>
      </c>
      <c r="E1208" s="156">
        <v>44461</v>
      </c>
      <c r="F1208" t="s">
        <v>942</v>
      </c>
      <c r="G1208" s="156">
        <v>44440</v>
      </c>
      <c r="H1208">
        <v>40299</v>
      </c>
      <c r="I1208">
        <v>4430000</v>
      </c>
      <c r="K1208">
        <v>841700</v>
      </c>
      <c r="M1208">
        <v>0</v>
      </c>
      <c r="N1208">
        <v>3.5000000000000003E-2</v>
      </c>
      <c r="O1208">
        <v>155050.00000000003</v>
      </c>
      <c r="P1208" s="117">
        <v>5116650</v>
      </c>
      <c r="Q1208" s="117" t="s">
        <v>1021</v>
      </c>
      <c r="R1208" s="150">
        <v>0</v>
      </c>
      <c r="S1208" s="117" t="b">
        <f>OR(COUNTIF(Tabla2[[#This Row],[PROVEEDOR]],"*"&amp;'Palabra no opera'!$A$2&amp;"*"))</f>
        <v>1</v>
      </c>
      <c r="T1208" s="150">
        <f>+$W$5-Tabla2[[#This Row],[FECHA DE FACTURACIÓN]]</f>
        <v>394</v>
      </c>
      <c r="U1208" t="str">
        <f>+IF(Tabla2[[#This Row],[dias de credito]]&gt;=Tabla2[[#This Row],[PLAZO Días]],"venc", "No venc")</f>
        <v>venc</v>
      </c>
      <c r="V1208" t="str">
        <f>+IF(Tabla2[[#This Row],[FECHA DE PAGO]]&gt;0,"pagada","por pagar")</f>
        <v>pagada</v>
      </c>
      <c r="W1208" s="152" t="str">
        <f>+IF(AND(Tabla2[[#This Row],[venc]]="venc",Tabla2[[#This Row],[Columna1]]="por pagar"),"vencida","no")</f>
        <v>no</v>
      </c>
    </row>
    <row r="1209" spans="1:23" x14ac:dyDescent="0.3">
      <c r="A1209">
        <v>30</v>
      </c>
      <c r="B1209">
        <v>146262.9</v>
      </c>
      <c r="D1209" t="s">
        <v>262</v>
      </c>
      <c r="E1209" s="156">
        <v>44461</v>
      </c>
      <c r="F1209" t="s">
        <v>17</v>
      </c>
      <c r="G1209" s="156">
        <v>44432</v>
      </c>
      <c r="H1209">
        <v>1803380</v>
      </c>
      <c r="I1209">
        <v>849915</v>
      </c>
      <c r="K1209">
        <v>161483.85</v>
      </c>
      <c r="M1209">
        <v>0</v>
      </c>
      <c r="N1209">
        <v>0</v>
      </c>
      <c r="O1209">
        <v>0</v>
      </c>
      <c r="P1209" s="117">
        <v>1011398.85</v>
      </c>
      <c r="Q1209" s="117" t="s">
        <v>1021</v>
      </c>
      <c r="R1209" s="150">
        <v>0</v>
      </c>
      <c r="S1209" s="117" t="b">
        <f>OR(COUNTIF(Tabla2[[#This Row],[PROVEEDOR]],"*"&amp;'Palabra no opera'!$A$2&amp;"*"))</f>
        <v>0</v>
      </c>
      <c r="T1209" s="150">
        <f>+$W$5-Tabla2[[#This Row],[FECHA DE FACTURACIÓN]]</f>
        <v>402</v>
      </c>
      <c r="U1209" t="str">
        <f>+IF(Tabla2[[#This Row],[dias de credito]]&gt;=Tabla2[[#This Row],[PLAZO Días]],"venc", "No venc")</f>
        <v>venc</v>
      </c>
      <c r="V1209" t="str">
        <f>+IF(Tabla2[[#This Row],[FECHA DE PAGO]]&gt;0,"pagada","por pagar")</f>
        <v>pagada</v>
      </c>
      <c r="W1209" s="152" t="str">
        <f>+IF(AND(Tabla2[[#This Row],[venc]]="venc",Tabla2[[#This Row],[Columna1]]="por pagar"),"vencida","no")</f>
        <v>no</v>
      </c>
    </row>
    <row r="1210" spans="1:23" x14ac:dyDescent="0.3">
      <c r="A1210">
        <v>30</v>
      </c>
      <c r="B1210">
        <v>146262.9</v>
      </c>
      <c r="D1210" t="s">
        <v>262</v>
      </c>
      <c r="E1210" s="156">
        <v>44461</v>
      </c>
      <c r="F1210" t="s">
        <v>17</v>
      </c>
      <c r="G1210" s="156">
        <v>44426</v>
      </c>
      <c r="H1210">
        <v>1801133</v>
      </c>
      <c r="I1210">
        <v>577200</v>
      </c>
      <c r="K1210">
        <v>109668</v>
      </c>
      <c r="M1210">
        <v>0</v>
      </c>
      <c r="N1210">
        <v>0</v>
      </c>
      <c r="O1210">
        <v>0</v>
      </c>
      <c r="P1210" s="117">
        <v>686868</v>
      </c>
      <c r="Q1210" s="117" t="s">
        <v>1021</v>
      </c>
      <c r="R1210" s="150">
        <v>0</v>
      </c>
      <c r="S1210" s="117" t="b">
        <f>OR(COUNTIF(Tabla2[[#This Row],[PROVEEDOR]],"*"&amp;'Palabra no opera'!$A$2&amp;"*"))</f>
        <v>0</v>
      </c>
      <c r="T1210" s="150">
        <f>+$W$5-Tabla2[[#This Row],[FECHA DE FACTURACIÓN]]</f>
        <v>408</v>
      </c>
      <c r="U1210" t="str">
        <f>+IF(Tabla2[[#This Row],[dias de credito]]&gt;=Tabla2[[#This Row],[PLAZO Días]],"venc", "No venc")</f>
        <v>venc</v>
      </c>
      <c r="V1210" t="str">
        <f>+IF(Tabla2[[#This Row],[FECHA DE PAGO]]&gt;0,"pagada","por pagar")</f>
        <v>pagada</v>
      </c>
      <c r="W1210" s="152" t="str">
        <f>+IF(AND(Tabla2[[#This Row],[venc]]="venc",Tabla2[[#This Row],[Columna1]]="por pagar"),"vencida","no")</f>
        <v>no</v>
      </c>
    </row>
    <row r="1211" spans="1:23" x14ac:dyDescent="0.3">
      <c r="A1211">
        <v>30</v>
      </c>
      <c r="B1211">
        <v>146262.9</v>
      </c>
      <c r="D1211" t="s">
        <v>262</v>
      </c>
      <c r="E1211" s="156">
        <v>44461</v>
      </c>
      <c r="F1211" t="s">
        <v>17</v>
      </c>
      <c r="G1211" s="156">
        <v>44426</v>
      </c>
      <c r="H1211">
        <v>1801124</v>
      </c>
      <c r="I1211">
        <v>671300</v>
      </c>
      <c r="K1211">
        <v>127547</v>
      </c>
      <c r="M1211">
        <v>0</v>
      </c>
      <c r="N1211">
        <v>0</v>
      </c>
      <c r="O1211">
        <v>0</v>
      </c>
      <c r="P1211" s="117">
        <v>798847</v>
      </c>
      <c r="Q1211" s="117" t="s">
        <v>1021</v>
      </c>
      <c r="R1211" s="150">
        <v>0</v>
      </c>
      <c r="S1211" s="117" t="b">
        <f>OR(COUNTIF(Tabla2[[#This Row],[PROVEEDOR]],"*"&amp;'Palabra no opera'!$A$2&amp;"*"))</f>
        <v>0</v>
      </c>
      <c r="T1211" s="150">
        <f>+$W$5-Tabla2[[#This Row],[FECHA DE FACTURACIÓN]]</f>
        <v>408</v>
      </c>
      <c r="U1211" t="str">
        <f>+IF(Tabla2[[#This Row],[dias de credito]]&gt;=Tabla2[[#This Row],[PLAZO Días]],"venc", "No venc")</f>
        <v>venc</v>
      </c>
      <c r="V1211" t="str">
        <f>+IF(Tabla2[[#This Row],[FECHA DE PAGO]]&gt;0,"pagada","por pagar")</f>
        <v>pagada</v>
      </c>
      <c r="W1211" s="152" t="str">
        <f>+IF(AND(Tabla2[[#This Row],[venc]]="venc",Tabla2[[#This Row],[Columna1]]="por pagar"),"vencida","no")</f>
        <v>no</v>
      </c>
    </row>
    <row r="1212" spans="1:23" x14ac:dyDescent="0.3">
      <c r="A1212">
        <v>30</v>
      </c>
      <c r="B1212">
        <v>-101001.25</v>
      </c>
      <c r="D1212" t="s">
        <v>274</v>
      </c>
      <c r="E1212" s="156">
        <v>44461</v>
      </c>
      <c r="F1212" t="s">
        <v>14</v>
      </c>
      <c r="G1212" s="156">
        <v>44425</v>
      </c>
      <c r="H1212" t="s">
        <v>437</v>
      </c>
      <c r="I1212">
        <v>398992</v>
      </c>
      <c r="K1212">
        <v>75808.479999999996</v>
      </c>
      <c r="M1212">
        <v>0</v>
      </c>
      <c r="N1212">
        <v>0</v>
      </c>
      <c r="O1212">
        <v>0</v>
      </c>
      <c r="P1212" s="117">
        <v>474800.48</v>
      </c>
      <c r="Q1212" s="117" t="s">
        <v>1021</v>
      </c>
      <c r="R1212" s="150">
        <v>0</v>
      </c>
      <c r="S1212" s="117" t="b">
        <f>OR(COUNTIF(Tabla2[[#This Row],[PROVEEDOR]],"*"&amp;'Palabra no opera'!$A$2&amp;"*"))</f>
        <v>0</v>
      </c>
      <c r="T1212" s="150">
        <f>+$W$5-Tabla2[[#This Row],[FECHA DE FACTURACIÓN]]</f>
        <v>409</v>
      </c>
      <c r="U1212" t="str">
        <f>+IF(Tabla2[[#This Row],[dias de credito]]&gt;=Tabla2[[#This Row],[PLAZO Días]],"venc", "No venc")</f>
        <v>venc</v>
      </c>
      <c r="V1212" t="str">
        <f>+IF(Tabla2[[#This Row],[FECHA DE PAGO]]&gt;0,"pagada","por pagar")</f>
        <v>pagada</v>
      </c>
      <c r="W1212" s="152" t="str">
        <f>+IF(AND(Tabla2[[#This Row],[venc]]="venc",Tabla2[[#This Row],[Columna1]]="por pagar"),"vencida","no")</f>
        <v>no</v>
      </c>
    </row>
    <row r="1213" spans="1:23" x14ac:dyDescent="0.3">
      <c r="A1213">
        <v>30</v>
      </c>
      <c r="B1213">
        <v>0</v>
      </c>
      <c r="D1213" t="s">
        <v>547</v>
      </c>
      <c r="E1213" s="156">
        <v>44461</v>
      </c>
      <c r="F1213" t="s">
        <v>905</v>
      </c>
      <c r="G1213" s="156">
        <v>44414</v>
      </c>
      <c r="H1213" t="s">
        <v>413</v>
      </c>
      <c r="I1213">
        <v>1545262</v>
      </c>
      <c r="K1213">
        <v>293599.78000000003</v>
      </c>
      <c r="M1213">
        <v>0</v>
      </c>
      <c r="N1213">
        <v>0</v>
      </c>
      <c r="O1213">
        <v>0</v>
      </c>
      <c r="P1213" s="117">
        <v>1838861.78</v>
      </c>
      <c r="Q1213" s="117" t="s">
        <v>1021</v>
      </c>
      <c r="R1213" s="150">
        <v>0</v>
      </c>
      <c r="S1213" s="117" t="b">
        <f>OR(COUNTIF(Tabla2[[#This Row],[PROVEEDOR]],"*"&amp;'Palabra no opera'!$A$2&amp;"*"))</f>
        <v>1</v>
      </c>
      <c r="T1213" s="150">
        <f>+$W$5-Tabla2[[#This Row],[FECHA DE FACTURACIÓN]]</f>
        <v>420</v>
      </c>
      <c r="U1213" t="str">
        <f>+IF(Tabla2[[#This Row],[dias de credito]]&gt;=Tabla2[[#This Row],[PLAZO Días]],"venc", "No venc")</f>
        <v>venc</v>
      </c>
      <c r="V1213" t="str">
        <f>+IF(Tabla2[[#This Row],[FECHA DE PAGO]]&gt;0,"pagada","por pagar")</f>
        <v>pagada</v>
      </c>
      <c r="W1213" s="152" t="str">
        <f>+IF(AND(Tabla2[[#This Row],[venc]]="venc",Tabla2[[#This Row],[Columna1]]="por pagar"),"vencida","no")</f>
        <v>no</v>
      </c>
    </row>
    <row r="1214" spans="1:23" x14ac:dyDescent="0.3">
      <c r="A1214">
        <v>30</v>
      </c>
      <c r="B1214">
        <v>0</v>
      </c>
      <c r="D1214" t="s">
        <v>650</v>
      </c>
      <c r="E1214" s="156">
        <v>44461</v>
      </c>
      <c r="F1214" t="s">
        <v>913</v>
      </c>
      <c r="G1214" s="156">
        <v>44317</v>
      </c>
      <c r="H1214" t="s">
        <v>1215</v>
      </c>
      <c r="I1214">
        <v>3061166</v>
      </c>
      <c r="K1214">
        <v>581621.54</v>
      </c>
      <c r="M1214">
        <v>0</v>
      </c>
      <c r="N1214">
        <v>0</v>
      </c>
      <c r="O1214">
        <v>0</v>
      </c>
      <c r="P1214" s="117">
        <v>3642787.54</v>
      </c>
      <c r="Q1214" s="117" t="s">
        <v>1021</v>
      </c>
      <c r="R1214" s="150">
        <v>0</v>
      </c>
      <c r="S1214" s="117" t="b">
        <f>OR(COUNTIF(Tabla2[[#This Row],[PROVEEDOR]],"*"&amp;'Palabra no opera'!$A$2&amp;"*"))</f>
        <v>1</v>
      </c>
      <c r="T1214" s="150">
        <f>+$W$5-Tabla2[[#This Row],[FECHA DE FACTURACIÓN]]</f>
        <v>517</v>
      </c>
      <c r="U1214" t="str">
        <f>+IF(Tabla2[[#This Row],[dias de credito]]&gt;=Tabla2[[#This Row],[PLAZO Días]],"venc", "No venc")</f>
        <v>venc</v>
      </c>
      <c r="V1214" t="str">
        <f>+IF(Tabla2[[#This Row],[FECHA DE PAGO]]&gt;0,"pagada","por pagar")</f>
        <v>pagada</v>
      </c>
      <c r="W1214" s="152" t="str">
        <f>+IF(AND(Tabla2[[#This Row],[venc]]="venc",Tabla2[[#This Row],[Columna1]]="por pagar"),"vencida","no")</f>
        <v>no</v>
      </c>
    </row>
    <row r="1215" spans="1:23" x14ac:dyDescent="0.3">
      <c r="A1215">
        <v>30</v>
      </c>
      <c r="B1215">
        <v>0</v>
      </c>
      <c r="D1215" t="s">
        <v>139</v>
      </c>
      <c r="E1215" s="156">
        <v>44460</v>
      </c>
      <c r="F1215" t="s">
        <v>644</v>
      </c>
      <c r="G1215" s="156">
        <v>44460</v>
      </c>
      <c r="H1215" t="s">
        <v>1310</v>
      </c>
      <c r="I1215">
        <v>480000</v>
      </c>
      <c r="K1215">
        <v>0</v>
      </c>
      <c r="M1215">
        <v>0</v>
      </c>
      <c r="N1215">
        <v>0</v>
      </c>
      <c r="O1215">
        <v>0</v>
      </c>
      <c r="P1215" s="117">
        <v>480000</v>
      </c>
      <c r="Q1215" s="117" t="s">
        <v>1021</v>
      </c>
      <c r="R1215" s="150">
        <v>0</v>
      </c>
      <c r="S1215" s="117" t="b">
        <f>OR(COUNTIF(Tabla2[[#This Row],[PROVEEDOR]],"*"&amp;'Palabra no opera'!$A$2&amp;"*"))</f>
        <v>0</v>
      </c>
      <c r="T1215" s="150">
        <f>+$W$5-Tabla2[[#This Row],[FECHA DE FACTURACIÓN]]</f>
        <v>374</v>
      </c>
      <c r="U1215" t="str">
        <f>+IF(Tabla2[[#This Row],[dias de credito]]&gt;=Tabla2[[#This Row],[PLAZO Días]],"venc", "No venc")</f>
        <v>venc</v>
      </c>
      <c r="V1215" t="str">
        <f>+IF(Tabla2[[#This Row],[FECHA DE PAGO]]&gt;0,"pagada","por pagar")</f>
        <v>pagada</v>
      </c>
      <c r="W1215" s="152" t="str">
        <f>+IF(AND(Tabla2[[#This Row],[venc]]="venc",Tabla2[[#This Row],[Columna1]]="por pagar"),"vencida","no")</f>
        <v>no</v>
      </c>
    </row>
    <row r="1216" spans="1:23" x14ac:dyDescent="0.3">
      <c r="A1216">
        <v>30</v>
      </c>
      <c r="B1216">
        <v>0</v>
      </c>
      <c r="D1216" t="s">
        <v>139</v>
      </c>
      <c r="E1216" s="156">
        <v>44460</v>
      </c>
      <c r="F1216" t="s">
        <v>53</v>
      </c>
      <c r="G1216" s="156">
        <v>44459</v>
      </c>
      <c r="H1216">
        <v>284978</v>
      </c>
      <c r="I1216">
        <v>2619000</v>
      </c>
      <c r="K1216">
        <v>0</v>
      </c>
      <c r="M1216">
        <v>0</v>
      </c>
      <c r="N1216">
        <v>0</v>
      </c>
      <c r="O1216">
        <v>0</v>
      </c>
      <c r="P1216" s="117">
        <v>2619000</v>
      </c>
      <c r="Q1216" s="117" t="s">
        <v>1021</v>
      </c>
      <c r="R1216" s="150">
        <v>0</v>
      </c>
      <c r="S1216" s="117" t="b">
        <f>OR(COUNTIF(Tabla2[[#This Row],[PROVEEDOR]],"*"&amp;'Palabra no opera'!$A$2&amp;"*"))</f>
        <v>0</v>
      </c>
      <c r="T1216" s="150">
        <f>+$W$5-Tabla2[[#This Row],[FECHA DE FACTURACIÓN]]</f>
        <v>375</v>
      </c>
      <c r="U1216" t="str">
        <f>+IF(Tabla2[[#This Row],[dias de credito]]&gt;=Tabla2[[#This Row],[PLAZO Días]],"venc", "No venc")</f>
        <v>venc</v>
      </c>
      <c r="V1216" t="str">
        <f>+IF(Tabla2[[#This Row],[FECHA DE PAGO]]&gt;0,"pagada","por pagar")</f>
        <v>pagada</v>
      </c>
      <c r="W1216" s="152" t="str">
        <f>+IF(AND(Tabla2[[#This Row],[venc]]="venc",Tabla2[[#This Row],[Columna1]]="por pagar"),"vencida","no")</f>
        <v>no</v>
      </c>
    </row>
    <row r="1217" spans="1:23" x14ac:dyDescent="0.3">
      <c r="A1217">
        <v>30</v>
      </c>
      <c r="B1217">
        <v>326474.88</v>
      </c>
      <c r="D1217" t="s">
        <v>949</v>
      </c>
      <c r="E1217" s="156">
        <v>44460</v>
      </c>
      <c r="F1217" t="s">
        <v>345</v>
      </c>
      <c r="G1217" s="156">
        <v>44459</v>
      </c>
      <c r="H1217" t="s">
        <v>1309</v>
      </c>
      <c r="I1217">
        <v>1895000</v>
      </c>
      <c r="K1217">
        <v>0</v>
      </c>
      <c r="M1217">
        <v>0</v>
      </c>
      <c r="N1217">
        <v>0</v>
      </c>
      <c r="O1217">
        <v>0</v>
      </c>
      <c r="P1217" s="117">
        <v>1895000</v>
      </c>
      <c r="Q1217" s="117" t="s">
        <v>1021</v>
      </c>
      <c r="R1217" s="150">
        <v>0</v>
      </c>
      <c r="S1217" s="117" t="b">
        <f>OR(COUNTIF(Tabla2[[#This Row],[PROVEEDOR]],"*"&amp;'Palabra no opera'!$A$2&amp;"*"))</f>
        <v>0</v>
      </c>
      <c r="T1217" s="150">
        <f>+$W$5-Tabla2[[#This Row],[FECHA DE FACTURACIÓN]]</f>
        <v>375</v>
      </c>
      <c r="U1217" t="str">
        <f>+IF(Tabla2[[#This Row],[dias de credito]]&gt;=Tabla2[[#This Row],[PLAZO Días]],"venc", "No venc")</f>
        <v>venc</v>
      </c>
      <c r="V1217" t="str">
        <f>+IF(Tabla2[[#This Row],[FECHA DE PAGO]]&gt;0,"pagada","por pagar")</f>
        <v>pagada</v>
      </c>
      <c r="W1217" s="152" t="str">
        <f>+IF(AND(Tabla2[[#This Row],[venc]]="venc",Tabla2[[#This Row],[Columna1]]="por pagar"),"vencida","no")</f>
        <v>no</v>
      </c>
    </row>
    <row r="1218" spans="1:23" x14ac:dyDescent="0.3">
      <c r="A1218">
        <v>10</v>
      </c>
      <c r="B1218">
        <v>0</v>
      </c>
      <c r="D1218" t="s">
        <v>473</v>
      </c>
      <c r="E1218" s="156">
        <v>44460</v>
      </c>
      <c r="F1218" t="s">
        <v>916</v>
      </c>
      <c r="G1218" s="156">
        <v>44455</v>
      </c>
      <c r="H1218">
        <v>18203</v>
      </c>
      <c r="I1218">
        <v>405000</v>
      </c>
      <c r="K1218">
        <v>76950</v>
      </c>
      <c r="M1218">
        <v>0</v>
      </c>
      <c r="N1218">
        <v>0</v>
      </c>
      <c r="O1218">
        <v>0</v>
      </c>
      <c r="P1218" s="117">
        <v>481950</v>
      </c>
      <c r="Q1218" s="117" t="s">
        <v>1021</v>
      </c>
      <c r="R1218" s="150">
        <v>0</v>
      </c>
      <c r="S1218" s="117" t="b">
        <f>OR(COUNTIF(Tabla2[[#This Row],[PROVEEDOR]],"*"&amp;'Palabra no opera'!$A$2&amp;"*"))</f>
        <v>1</v>
      </c>
      <c r="T1218" s="150">
        <f>+$W$5-Tabla2[[#This Row],[FECHA DE FACTURACIÓN]]</f>
        <v>379</v>
      </c>
      <c r="U1218" t="str">
        <f>+IF(Tabla2[[#This Row],[dias de credito]]&gt;=Tabla2[[#This Row],[PLAZO Días]],"venc", "No venc")</f>
        <v>venc</v>
      </c>
      <c r="V1218" t="str">
        <f>+IF(Tabla2[[#This Row],[FECHA DE PAGO]]&gt;0,"pagada","por pagar")</f>
        <v>pagada</v>
      </c>
      <c r="W1218" s="152" t="str">
        <f>+IF(AND(Tabla2[[#This Row],[venc]]="venc",Tabla2[[#This Row],[Columna1]]="por pagar"),"vencida","no")</f>
        <v>no</v>
      </c>
    </row>
    <row r="1219" spans="1:23" x14ac:dyDescent="0.3">
      <c r="A1219">
        <v>30</v>
      </c>
      <c r="B1219">
        <v>0</v>
      </c>
      <c r="D1219" t="s">
        <v>139</v>
      </c>
      <c r="E1219" s="156">
        <v>44459</v>
      </c>
      <c r="F1219" t="s">
        <v>673</v>
      </c>
      <c r="G1219" s="156">
        <v>44459</v>
      </c>
      <c r="I1219">
        <v>1000000</v>
      </c>
      <c r="K1219">
        <v>0</v>
      </c>
      <c r="M1219">
        <v>0</v>
      </c>
      <c r="N1219">
        <v>0</v>
      </c>
      <c r="O1219">
        <v>0</v>
      </c>
      <c r="P1219" s="117">
        <v>1000000</v>
      </c>
      <c r="Q1219" s="117" t="s">
        <v>1021</v>
      </c>
      <c r="R1219" s="150">
        <v>0</v>
      </c>
      <c r="S1219" s="117" t="b">
        <f>OR(COUNTIF(Tabla2[[#This Row],[PROVEEDOR]],"*"&amp;'Palabra no opera'!$A$2&amp;"*"))</f>
        <v>0</v>
      </c>
      <c r="T1219" s="150">
        <f>+$W$5-Tabla2[[#This Row],[FECHA DE FACTURACIÓN]]</f>
        <v>375</v>
      </c>
      <c r="U1219" t="str">
        <f>+IF(Tabla2[[#This Row],[dias de credito]]&gt;=Tabla2[[#This Row],[PLAZO Días]],"venc", "No venc")</f>
        <v>venc</v>
      </c>
      <c r="V1219" t="str">
        <f>+IF(Tabla2[[#This Row],[FECHA DE PAGO]]&gt;0,"pagada","por pagar")</f>
        <v>pagada</v>
      </c>
      <c r="W1219" s="152" t="str">
        <f>+IF(AND(Tabla2[[#This Row],[venc]]="venc",Tabla2[[#This Row],[Columna1]]="por pagar"),"vencida","no")</f>
        <v>no</v>
      </c>
    </row>
    <row r="1220" spans="1:23" x14ac:dyDescent="0.3">
      <c r="A1220">
        <v>20</v>
      </c>
      <c r="B1220">
        <v>0</v>
      </c>
      <c r="D1220" t="s">
        <v>308</v>
      </c>
      <c r="E1220" s="156">
        <v>44459</v>
      </c>
      <c r="F1220" t="s">
        <v>331</v>
      </c>
      <c r="G1220" s="156">
        <v>44456</v>
      </c>
      <c r="H1220" t="s">
        <v>475</v>
      </c>
      <c r="I1220">
        <v>2015034</v>
      </c>
      <c r="K1220">
        <v>382856.46</v>
      </c>
      <c r="M1220">
        <v>0</v>
      </c>
      <c r="N1220">
        <v>0.04</v>
      </c>
      <c r="O1220">
        <v>80601.36</v>
      </c>
      <c r="P1220" s="117">
        <v>2317289.1</v>
      </c>
      <c r="Q1220" s="117" t="s">
        <v>1021</v>
      </c>
      <c r="R1220" s="150">
        <v>0</v>
      </c>
      <c r="S1220" s="117" t="b">
        <f>OR(COUNTIF(Tabla2[[#This Row],[PROVEEDOR]],"*"&amp;'Palabra no opera'!$A$2&amp;"*"))</f>
        <v>0</v>
      </c>
      <c r="T1220" s="150">
        <f>+$W$5-Tabla2[[#This Row],[FECHA DE FACTURACIÓN]]</f>
        <v>378</v>
      </c>
      <c r="U1220" t="str">
        <f>+IF(Tabla2[[#This Row],[dias de credito]]&gt;=Tabla2[[#This Row],[PLAZO Días]],"venc", "No venc")</f>
        <v>venc</v>
      </c>
      <c r="V1220" t="str">
        <f>+IF(Tabla2[[#This Row],[FECHA DE PAGO]]&gt;0,"pagada","por pagar")</f>
        <v>pagada</v>
      </c>
      <c r="W1220" s="152" t="str">
        <f>+IF(AND(Tabla2[[#This Row],[venc]]="venc",Tabla2[[#This Row],[Columna1]]="por pagar"),"vencida","no")</f>
        <v>no</v>
      </c>
    </row>
    <row r="1221" spans="1:23" x14ac:dyDescent="0.3">
      <c r="A1221">
        <v>30</v>
      </c>
      <c r="B1221">
        <v>0</v>
      </c>
      <c r="D1221" t="s">
        <v>250</v>
      </c>
      <c r="E1221" s="156">
        <v>44459</v>
      </c>
      <c r="F1221" t="s">
        <v>1451</v>
      </c>
      <c r="G1221" s="156">
        <v>44453</v>
      </c>
      <c r="H1221">
        <v>135</v>
      </c>
      <c r="I1221">
        <v>592000</v>
      </c>
      <c r="K1221">
        <v>0</v>
      </c>
      <c r="M1221">
        <v>0</v>
      </c>
      <c r="N1221">
        <v>0.01</v>
      </c>
      <c r="O1221">
        <v>5920</v>
      </c>
      <c r="P1221" s="117">
        <v>586080</v>
      </c>
      <c r="Q1221" s="117" t="s">
        <v>1021</v>
      </c>
      <c r="R1221" s="150">
        <v>0</v>
      </c>
      <c r="S1221" s="117" t="b">
        <f>OR(COUNTIF(Tabla2[[#This Row],[PROVEEDOR]],"*"&amp;'Palabra no opera'!$A$2&amp;"*"))</f>
        <v>0</v>
      </c>
      <c r="T1221" s="150">
        <f>+$W$5-Tabla2[[#This Row],[FECHA DE FACTURACIÓN]]</f>
        <v>381</v>
      </c>
      <c r="U1221" t="str">
        <f>+IF(Tabla2[[#This Row],[dias de credito]]&gt;=Tabla2[[#This Row],[PLAZO Días]],"venc", "No venc")</f>
        <v>venc</v>
      </c>
      <c r="V1221" t="str">
        <f>+IF(Tabla2[[#This Row],[FECHA DE PAGO]]&gt;0,"pagada","por pagar")</f>
        <v>pagada</v>
      </c>
      <c r="W1221" s="152" t="str">
        <f>+IF(AND(Tabla2[[#This Row],[venc]]="venc",Tabla2[[#This Row],[Columna1]]="por pagar"),"vencida","no")</f>
        <v>no</v>
      </c>
    </row>
    <row r="1222" spans="1:23" x14ac:dyDescent="0.3">
      <c r="A1222">
        <v>30</v>
      </c>
      <c r="B1222">
        <v>0</v>
      </c>
      <c r="D1222" t="s">
        <v>139</v>
      </c>
      <c r="E1222" s="156">
        <v>44459</v>
      </c>
      <c r="F1222" t="s">
        <v>680</v>
      </c>
      <c r="G1222" s="156">
        <v>44450</v>
      </c>
      <c r="I1222">
        <v>1200000</v>
      </c>
      <c r="K1222">
        <v>0</v>
      </c>
      <c r="M1222">
        <v>0</v>
      </c>
      <c r="N1222">
        <v>0</v>
      </c>
      <c r="O1222">
        <v>0</v>
      </c>
      <c r="P1222" s="117">
        <v>1200000</v>
      </c>
      <c r="Q1222" s="117" t="s">
        <v>1021</v>
      </c>
      <c r="R1222" s="150">
        <v>0</v>
      </c>
      <c r="S1222" s="117" t="b">
        <f>OR(COUNTIF(Tabla2[[#This Row],[PROVEEDOR]],"*"&amp;'Palabra no opera'!$A$2&amp;"*"))</f>
        <v>0</v>
      </c>
      <c r="T1222" s="150">
        <f>+$W$5-Tabla2[[#This Row],[FECHA DE FACTURACIÓN]]</f>
        <v>384</v>
      </c>
      <c r="U1222" t="str">
        <f>+IF(Tabla2[[#This Row],[dias de credito]]&gt;=Tabla2[[#This Row],[PLAZO Días]],"venc", "No venc")</f>
        <v>venc</v>
      </c>
      <c r="V1222" t="str">
        <f>+IF(Tabla2[[#This Row],[FECHA DE PAGO]]&gt;0,"pagada","por pagar")</f>
        <v>pagada</v>
      </c>
      <c r="W1222" s="152" t="str">
        <f>+IF(AND(Tabla2[[#This Row],[venc]]="venc",Tabla2[[#This Row],[Columna1]]="por pagar"),"vencida","no")</f>
        <v>no</v>
      </c>
    </row>
    <row r="1223" spans="1:23" x14ac:dyDescent="0.3">
      <c r="A1223">
        <v>30</v>
      </c>
      <c r="B1223">
        <v>6259125.5999999996</v>
      </c>
      <c r="D1223" t="s">
        <v>264</v>
      </c>
      <c r="E1223" s="156">
        <v>44459</v>
      </c>
      <c r="F1223" t="s">
        <v>1448</v>
      </c>
      <c r="G1223" s="156">
        <v>44429</v>
      </c>
      <c r="H1223">
        <v>21160</v>
      </c>
      <c r="I1223">
        <v>1620000</v>
      </c>
      <c r="K1223">
        <v>307800</v>
      </c>
      <c r="M1223">
        <v>0</v>
      </c>
      <c r="N1223">
        <v>2.5000000000000001E-2</v>
      </c>
      <c r="O1223">
        <v>40500</v>
      </c>
      <c r="P1223" s="117">
        <v>1887300</v>
      </c>
      <c r="Q1223" s="117" t="s">
        <v>1021</v>
      </c>
      <c r="R1223" s="150">
        <v>0</v>
      </c>
      <c r="S1223" s="117" t="b">
        <f>OR(COUNTIF(Tabla2[[#This Row],[PROVEEDOR]],"*"&amp;'Palabra no opera'!$A$2&amp;"*"))</f>
        <v>0</v>
      </c>
      <c r="T1223" s="150">
        <f>+$W$5-Tabla2[[#This Row],[FECHA DE FACTURACIÓN]]</f>
        <v>405</v>
      </c>
      <c r="U1223" t="str">
        <f>+IF(Tabla2[[#This Row],[dias de credito]]&gt;=Tabla2[[#This Row],[PLAZO Días]],"venc", "No venc")</f>
        <v>venc</v>
      </c>
      <c r="V1223" t="str">
        <f>+IF(Tabla2[[#This Row],[FECHA DE PAGO]]&gt;0,"pagada","por pagar")</f>
        <v>pagada</v>
      </c>
      <c r="W1223" s="152" t="str">
        <f>+IF(AND(Tabla2[[#This Row],[venc]]="venc",Tabla2[[#This Row],[Columna1]]="por pagar"),"vencida","no")</f>
        <v>no</v>
      </c>
    </row>
    <row r="1224" spans="1:23" x14ac:dyDescent="0.3">
      <c r="A1224">
        <v>30</v>
      </c>
      <c r="B1224">
        <v>0</v>
      </c>
      <c r="D1224" t="s">
        <v>431</v>
      </c>
      <c r="E1224" s="156">
        <v>44459</v>
      </c>
      <c r="F1224" t="s">
        <v>677</v>
      </c>
      <c r="G1224" s="156">
        <v>44427</v>
      </c>
      <c r="H1224" t="s">
        <v>1485</v>
      </c>
      <c r="I1224">
        <v>1750000</v>
      </c>
      <c r="K1224">
        <v>0</v>
      </c>
      <c r="M1224">
        <v>0</v>
      </c>
      <c r="N1224">
        <v>0</v>
      </c>
      <c r="O1224">
        <v>0</v>
      </c>
      <c r="P1224" s="117">
        <v>1750000</v>
      </c>
      <c r="Q1224" s="117" t="s">
        <v>1021</v>
      </c>
      <c r="R1224" s="150">
        <v>0</v>
      </c>
      <c r="S1224" s="117" t="b">
        <f>OR(COUNTIF(Tabla2[[#This Row],[PROVEEDOR]],"*"&amp;'Palabra no opera'!$A$2&amp;"*"))</f>
        <v>0</v>
      </c>
      <c r="T1224" s="150">
        <f>+$W$5-Tabla2[[#This Row],[FECHA DE FACTURACIÓN]]</f>
        <v>407</v>
      </c>
      <c r="U1224" t="str">
        <f>+IF(Tabla2[[#This Row],[dias de credito]]&gt;=Tabla2[[#This Row],[PLAZO Días]],"venc", "No venc")</f>
        <v>venc</v>
      </c>
      <c r="V1224" t="str">
        <f>+IF(Tabla2[[#This Row],[FECHA DE PAGO]]&gt;0,"pagada","por pagar")</f>
        <v>pagada</v>
      </c>
      <c r="W1224" s="152" t="str">
        <f>+IF(AND(Tabla2[[#This Row],[venc]]="venc",Tabla2[[#This Row],[Columna1]]="por pagar"),"vencida","no")</f>
        <v>no</v>
      </c>
    </row>
    <row r="1225" spans="1:23" x14ac:dyDescent="0.3">
      <c r="A1225">
        <v>30</v>
      </c>
      <c r="B1225">
        <v>6259125.5999999996</v>
      </c>
      <c r="D1225" t="s">
        <v>264</v>
      </c>
      <c r="E1225" s="156">
        <v>44459</v>
      </c>
      <c r="F1225" t="s">
        <v>1448</v>
      </c>
      <c r="G1225" s="156">
        <v>44421</v>
      </c>
      <c r="H1225">
        <v>20899</v>
      </c>
      <c r="I1225">
        <v>3552000</v>
      </c>
      <c r="K1225">
        <v>674880</v>
      </c>
      <c r="M1225">
        <v>0</v>
      </c>
      <c r="N1225">
        <v>2.5000000000000001E-2</v>
      </c>
      <c r="O1225">
        <v>88800</v>
      </c>
      <c r="P1225" s="117">
        <v>4138080</v>
      </c>
      <c r="Q1225" s="117" t="s">
        <v>1021</v>
      </c>
      <c r="R1225" s="150">
        <v>0</v>
      </c>
      <c r="S1225" s="117" t="b">
        <f>OR(COUNTIF(Tabla2[[#This Row],[PROVEEDOR]],"*"&amp;'Palabra no opera'!$A$2&amp;"*"))</f>
        <v>0</v>
      </c>
      <c r="T1225" s="150">
        <f>+$W$5-Tabla2[[#This Row],[FECHA DE FACTURACIÓN]]</f>
        <v>413</v>
      </c>
      <c r="U1225" t="str">
        <f>+IF(Tabla2[[#This Row],[dias de credito]]&gt;=Tabla2[[#This Row],[PLAZO Días]],"venc", "No venc")</f>
        <v>venc</v>
      </c>
      <c r="V1225" t="str">
        <f>+IF(Tabla2[[#This Row],[FECHA DE PAGO]]&gt;0,"pagada","por pagar")</f>
        <v>pagada</v>
      </c>
      <c r="W1225" s="152" t="str">
        <f>+IF(AND(Tabla2[[#This Row],[venc]]="venc",Tabla2[[#This Row],[Columna1]]="por pagar"),"vencida","no")</f>
        <v>no</v>
      </c>
    </row>
    <row r="1226" spans="1:23" x14ac:dyDescent="0.3">
      <c r="A1226">
        <v>30</v>
      </c>
      <c r="B1226">
        <v>4656887.12</v>
      </c>
      <c r="D1226" t="s">
        <v>170</v>
      </c>
      <c r="E1226" s="156">
        <v>44459</v>
      </c>
      <c r="F1226" t="s">
        <v>20</v>
      </c>
      <c r="G1226" s="156">
        <v>44420</v>
      </c>
      <c r="H1226">
        <v>4816</v>
      </c>
      <c r="I1226">
        <v>2010280</v>
      </c>
      <c r="K1226">
        <v>381953.2</v>
      </c>
      <c r="M1226">
        <v>0</v>
      </c>
      <c r="N1226">
        <v>2.5000000000000001E-2</v>
      </c>
      <c r="O1226">
        <v>50257</v>
      </c>
      <c r="P1226" s="117">
        <v>2341976.2000000002</v>
      </c>
      <c r="Q1226" s="117" t="s">
        <v>1021</v>
      </c>
      <c r="R1226" s="150">
        <v>0</v>
      </c>
      <c r="S1226" s="117" t="b">
        <f>OR(COUNTIF(Tabla2[[#This Row],[PROVEEDOR]],"*"&amp;'Palabra no opera'!$A$2&amp;"*"))</f>
        <v>0</v>
      </c>
      <c r="T1226" s="150">
        <f>+$W$5-Tabla2[[#This Row],[FECHA DE FACTURACIÓN]]</f>
        <v>414</v>
      </c>
      <c r="U1226" t="str">
        <f>+IF(Tabla2[[#This Row],[dias de credito]]&gt;=Tabla2[[#This Row],[PLAZO Días]],"venc", "No venc")</f>
        <v>venc</v>
      </c>
      <c r="V1226" t="str">
        <f>+IF(Tabla2[[#This Row],[FECHA DE PAGO]]&gt;0,"pagada","por pagar")</f>
        <v>pagada</v>
      </c>
      <c r="W1226" s="152" t="str">
        <f>+IF(AND(Tabla2[[#This Row],[venc]]="venc",Tabla2[[#This Row],[Columna1]]="por pagar"),"vencida","no")</f>
        <v>no</v>
      </c>
    </row>
    <row r="1227" spans="1:23" x14ac:dyDescent="0.3">
      <c r="A1227">
        <v>30</v>
      </c>
      <c r="B1227">
        <v>0</v>
      </c>
      <c r="D1227" t="s">
        <v>431</v>
      </c>
      <c r="E1227" s="156">
        <v>44459</v>
      </c>
      <c r="F1227" t="s">
        <v>677</v>
      </c>
      <c r="G1227" s="156">
        <v>44411</v>
      </c>
      <c r="H1227" t="s">
        <v>396</v>
      </c>
      <c r="I1227">
        <v>-773200</v>
      </c>
      <c r="K1227">
        <v>0</v>
      </c>
      <c r="M1227">
        <v>0</v>
      </c>
      <c r="N1227">
        <v>0</v>
      </c>
      <c r="O1227">
        <v>0</v>
      </c>
      <c r="P1227" s="117">
        <v>-773200</v>
      </c>
      <c r="Q1227" s="117" t="s">
        <v>1021</v>
      </c>
      <c r="R1227" s="150">
        <v>0</v>
      </c>
      <c r="S1227" s="117" t="b">
        <f>OR(COUNTIF(Tabla2[[#This Row],[PROVEEDOR]],"*"&amp;'Palabra no opera'!$A$2&amp;"*"))</f>
        <v>0</v>
      </c>
      <c r="T1227" s="150">
        <f>+$W$5-Tabla2[[#This Row],[FECHA DE FACTURACIÓN]]</f>
        <v>423</v>
      </c>
      <c r="U1227" t="str">
        <f>+IF(Tabla2[[#This Row],[dias de credito]]&gt;=Tabla2[[#This Row],[PLAZO Días]],"venc", "No venc")</f>
        <v>venc</v>
      </c>
      <c r="V1227" t="str">
        <f>+IF(Tabla2[[#This Row],[FECHA DE PAGO]]&gt;0,"pagada","por pagar")</f>
        <v>pagada</v>
      </c>
      <c r="W1227" s="152" t="str">
        <f>+IF(AND(Tabla2[[#This Row],[venc]]="venc",Tabla2[[#This Row],[Columna1]]="por pagar"),"vencida","no")</f>
        <v>no</v>
      </c>
    </row>
    <row r="1228" spans="1:23" x14ac:dyDescent="0.3">
      <c r="A1228">
        <v>30</v>
      </c>
      <c r="B1228">
        <v>0</v>
      </c>
      <c r="D1228" t="s">
        <v>431</v>
      </c>
      <c r="E1228" s="156">
        <v>44459</v>
      </c>
      <c r="F1228" t="s">
        <v>677</v>
      </c>
      <c r="G1228" s="156">
        <v>44407</v>
      </c>
      <c r="H1228" t="s">
        <v>1474</v>
      </c>
      <c r="I1228">
        <v>66000</v>
      </c>
      <c r="K1228">
        <v>0</v>
      </c>
      <c r="M1228">
        <v>0</v>
      </c>
      <c r="N1228">
        <v>0</v>
      </c>
      <c r="O1228">
        <v>0</v>
      </c>
      <c r="P1228" s="117">
        <v>66000</v>
      </c>
      <c r="Q1228" s="117" t="s">
        <v>1021</v>
      </c>
      <c r="R1228" s="150">
        <v>0</v>
      </c>
      <c r="S1228" s="117" t="b">
        <f>OR(COUNTIF(Tabla2[[#This Row],[PROVEEDOR]],"*"&amp;'Palabra no opera'!$A$2&amp;"*"))</f>
        <v>0</v>
      </c>
      <c r="T1228" s="150">
        <f>+$W$5-Tabla2[[#This Row],[FECHA DE FACTURACIÓN]]</f>
        <v>427</v>
      </c>
      <c r="U1228" t="str">
        <f>+IF(Tabla2[[#This Row],[dias de credito]]&gt;=Tabla2[[#This Row],[PLAZO Días]],"venc", "No venc")</f>
        <v>venc</v>
      </c>
      <c r="V1228" t="str">
        <f>+IF(Tabla2[[#This Row],[FECHA DE PAGO]]&gt;0,"pagada","por pagar")</f>
        <v>pagada</v>
      </c>
      <c r="W1228" s="152" t="str">
        <f>+IF(AND(Tabla2[[#This Row],[venc]]="venc",Tabla2[[#This Row],[Columna1]]="por pagar"),"vencida","no")</f>
        <v>no</v>
      </c>
    </row>
    <row r="1229" spans="1:23" x14ac:dyDescent="0.3">
      <c r="A1229">
        <v>30</v>
      </c>
      <c r="B1229">
        <v>0</v>
      </c>
      <c r="D1229" t="s">
        <v>676</v>
      </c>
      <c r="E1229" s="156">
        <v>44456</v>
      </c>
      <c r="F1229" t="s">
        <v>940</v>
      </c>
      <c r="G1229" s="156">
        <v>44440</v>
      </c>
      <c r="H1229">
        <v>64226</v>
      </c>
      <c r="I1229">
        <v>302624.74</v>
      </c>
      <c r="K1229">
        <v>0</v>
      </c>
      <c r="M1229">
        <v>0</v>
      </c>
      <c r="N1229">
        <v>0</v>
      </c>
      <c r="O1229">
        <v>0</v>
      </c>
      <c r="P1229" s="117">
        <v>302624.74</v>
      </c>
      <c r="Q1229" s="117" t="s">
        <v>1021</v>
      </c>
      <c r="R1229" s="150">
        <v>0</v>
      </c>
      <c r="S1229" s="117" t="b">
        <f>OR(COUNTIF(Tabla2[[#This Row],[PROVEEDOR]],"*"&amp;'Palabra no opera'!$A$2&amp;"*"))</f>
        <v>1</v>
      </c>
      <c r="T1229" s="150">
        <f>+$W$5-Tabla2[[#This Row],[FECHA DE FACTURACIÓN]]</f>
        <v>394</v>
      </c>
      <c r="U1229" t="str">
        <f>+IF(Tabla2[[#This Row],[dias de credito]]&gt;=Tabla2[[#This Row],[PLAZO Días]],"venc", "No venc")</f>
        <v>venc</v>
      </c>
      <c r="V1229" t="str">
        <f>+IF(Tabla2[[#This Row],[FECHA DE PAGO]]&gt;0,"pagada","por pagar")</f>
        <v>pagada</v>
      </c>
      <c r="W1229" s="152" t="str">
        <f>+IF(AND(Tabla2[[#This Row],[venc]]="venc",Tabla2[[#This Row],[Columna1]]="por pagar"),"vencida","no")</f>
        <v>no</v>
      </c>
    </row>
    <row r="1230" spans="1:23" x14ac:dyDescent="0.3">
      <c r="A1230">
        <v>30</v>
      </c>
      <c r="B1230">
        <v>0</v>
      </c>
      <c r="D1230" t="s">
        <v>1036</v>
      </c>
      <c r="E1230" s="156">
        <v>44456</v>
      </c>
      <c r="F1230" t="s">
        <v>927</v>
      </c>
      <c r="G1230" s="156">
        <v>44440</v>
      </c>
      <c r="H1230" t="s">
        <v>312</v>
      </c>
      <c r="I1230">
        <v>727051</v>
      </c>
      <c r="K1230">
        <v>0</v>
      </c>
      <c r="M1230">
        <v>0</v>
      </c>
      <c r="N1230">
        <v>0</v>
      </c>
      <c r="O1230">
        <v>0</v>
      </c>
      <c r="P1230" s="117">
        <v>727051</v>
      </c>
      <c r="Q1230" s="117" t="s">
        <v>1021</v>
      </c>
      <c r="R1230" s="150">
        <v>0</v>
      </c>
      <c r="S1230" s="117" t="b">
        <f>OR(COUNTIF(Tabla2[[#This Row],[PROVEEDOR]],"*"&amp;'Palabra no opera'!$A$2&amp;"*"))</f>
        <v>1</v>
      </c>
      <c r="T1230" s="150">
        <f>+$W$5-Tabla2[[#This Row],[FECHA DE FACTURACIÓN]]</f>
        <v>394</v>
      </c>
      <c r="U1230" t="str">
        <f>+IF(Tabla2[[#This Row],[dias de credito]]&gt;=Tabla2[[#This Row],[PLAZO Días]],"venc", "No venc")</f>
        <v>venc</v>
      </c>
      <c r="V1230" t="str">
        <f>+IF(Tabla2[[#This Row],[FECHA DE PAGO]]&gt;0,"pagada","por pagar")</f>
        <v>pagada</v>
      </c>
      <c r="W1230" s="152" t="str">
        <f>+IF(AND(Tabla2[[#This Row],[venc]]="venc",Tabla2[[#This Row],[Columna1]]="por pagar"),"vencida","no")</f>
        <v>no</v>
      </c>
    </row>
    <row r="1231" spans="1:23" x14ac:dyDescent="0.3">
      <c r="A1231">
        <v>30</v>
      </c>
      <c r="B1231">
        <v>0</v>
      </c>
      <c r="D1231" t="s">
        <v>1036</v>
      </c>
      <c r="E1231" s="156">
        <v>44456</v>
      </c>
      <c r="F1231" t="s">
        <v>927</v>
      </c>
      <c r="G1231" s="156">
        <v>44440</v>
      </c>
      <c r="H1231" t="s">
        <v>313</v>
      </c>
      <c r="I1231">
        <v>743959</v>
      </c>
      <c r="K1231">
        <v>0</v>
      </c>
      <c r="M1231">
        <v>0</v>
      </c>
      <c r="N1231">
        <v>0</v>
      </c>
      <c r="O1231">
        <v>0</v>
      </c>
      <c r="P1231" s="117">
        <v>743959</v>
      </c>
      <c r="Q1231" s="117" t="s">
        <v>1021</v>
      </c>
      <c r="R1231" s="150">
        <v>0</v>
      </c>
      <c r="S1231" s="117" t="b">
        <f>OR(COUNTIF(Tabla2[[#This Row],[PROVEEDOR]],"*"&amp;'Palabra no opera'!$A$2&amp;"*"))</f>
        <v>1</v>
      </c>
      <c r="T1231" s="150">
        <f>+$W$5-Tabla2[[#This Row],[FECHA DE FACTURACIÓN]]</f>
        <v>394</v>
      </c>
      <c r="U1231" t="str">
        <f>+IF(Tabla2[[#This Row],[dias de credito]]&gt;=Tabla2[[#This Row],[PLAZO Días]],"venc", "No venc")</f>
        <v>venc</v>
      </c>
      <c r="V1231" t="str">
        <f>+IF(Tabla2[[#This Row],[FECHA DE PAGO]]&gt;0,"pagada","por pagar")</f>
        <v>pagada</v>
      </c>
      <c r="W1231" s="152" t="str">
        <f>+IF(AND(Tabla2[[#This Row],[venc]]="venc",Tabla2[[#This Row],[Columna1]]="por pagar"),"vencida","no")</f>
        <v>no</v>
      </c>
    </row>
    <row r="1232" spans="1:23" x14ac:dyDescent="0.3">
      <c r="A1232">
        <v>30</v>
      </c>
      <c r="B1232">
        <v>0</v>
      </c>
      <c r="D1232">
        <v>0</v>
      </c>
      <c r="E1232" s="156">
        <v>44456</v>
      </c>
      <c r="F1232" t="s">
        <v>932</v>
      </c>
      <c r="G1232" s="156">
        <v>44440</v>
      </c>
      <c r="H1232" t="s">
        <v>307</v>
      </c>
      <c r="I1232">
        <v>313385</v>
      </c>
      <c r="K1232">
        <v>0</v>
      </c>
      <c r="M1232">
        <v>0</v>
      </c>
      <c r="N1232">
        <v>0</v>
      </c>
      <c r="O1232">
        <v>0</v>
      </c>
      <c r="P1232" s="117">
        <v>313385</v>
      </c>
      <c r="Q1232" s="117" t="s">
        <v>1021</v>
      </c>
      <c r="R1232" s="150">
        <v>0</v>
      </c>
      <c r="S1232" s="117" t="b">
        <f>OR(COUNTIF(Tabla2[[#This Row],[PROVEEDOR]],"*"&amp;'Palabra no opera'!$A$2&amp;"*"))</f>
        <v>1</v>
      </c>
      <c r="T1232" s="150">
        <f>+$W$5-Tabla2[[#This Row],[FECHA DE FACTURACIÓN]]</f>
        <v>394</v>
      </c>
      <c r="U1232" t="str">
        <f>+IF(Tabla2[[#This Row],[dias de credito]]&gt;=Tabla2[[#This Row],[PLAZO Días]],"venc", "No venc")</f>
        <v>venc</v>
      </c>
      <c r="V1232" t="str">
        <f>+IF(Tabla2[[#This Row],[FECHA DE PAGO]]&gt;0,"pagada","por pagar")</f>
        <v>pagada</v>
      </c>
      <c r="W1232" s="152" t="str">
        <f>+IF(AND(Tabla2[[#This Row],[venc]]="venc",Tabla2[[#This Row],[Columna1]]="por pagar"),"vencida","no")</f>
        <v>no</v>
      </c>
    </row>
    <row r="1233" spans="1:23" x14ac:dyDescent="0.3">
      <c r="A1233">
        <v>13</v>
      </c>
      <c r="B1233">
        <v>0</v>
      </c>
      <c r="D1233">
        <v>0</v>
      </c>
      <c r="E1233" s="156">
        <v>44456</v>
      </c>
      <c r="F1233" t="s">
        <v>934</v>
      </c>
      <c r="G1233" s="156">
        <v>44440</v>
      </c>
      <c r="I1233">
        <v>871994</v>
      </c>
      <c r="K1233">
        <v>0</v>
      </c>
      <c r="M1233">
        <v>0</v>
      </c>
      <c r="N1233">
        <v>0</v>
      </c>
      <c r="O1233">
        <v>0</v>
      </c>
      <c r="P1233" s="117">
        <v>871994</v>
      </c>
      <c r="Q1233" s="117" t="s">
        <v>1021</v>
      </c>
      <c r="R1233" s="150">
        <v>0</v>
      </c>
      <c r="S1233" s="117" t="b">
        <f>OR(COUNTIF(Tabla2[[#This Row],[PROVEEDOR]],"*"&amp;'Palabra no opera'!$A$2&amp;"*"))</f>
        <v>1</v>
      </c>
      <c r="T1233" s="150">
        <f>+$W$5-Tabla2[[#This Row],[FECHA DE FACTURACIÓN]]</f>
        <v>394</v>
      </c>
      <c r="U1233" t="str">
        <f>+IF(Tabla2[[#This Row],[dias de credito]]&gt;=Tabla2[[#This Row],[PLAZO Días]],"venc", "No venc")</f>
        <v>venc</v>
      </c>
      <c r="V1233" t="str">
        <f>+IF(Tabla2[[#This Row],[FECHA DE PAGO]]&gt;0,"pagada","por pagar")</f>
        <v>pagada</v>
      </c>
      <c r="W1233" s="152" t="str">
        <f>+IF(AND(Tabla2[[#This Row],[venc]]="venc",Tabla2[[#This Row],[Columna1]]="por pagar"),"vencida","no")</f>
        <v>no</v>
      </c>
    </row>
    <row r="1234" spans="1:23" x14ac:dyDescent="0.3">
      <c r="A1234">
        <v>30</v>
      </c>
      <c r="B1234">
        <v>0</v>
      </c>
      <c r="D1234" t="s">
        <v>141</v>
      </c>
      <c r="E1234" s="156">
        <v>44456</v>
      </c>
      <c r="F1234" t="s">
        <v>935</v>
      </c>
      <c r="G1234" s="156">
        <v>44440</v>
      </c>
      <c r="I1234">
        <v>326232</v>
      </c>
      <c r="K1234">
        <v>0</v>
      </c>
      <c r="M1234">
        <v>0</v>
      </c>
      <c r="N1234">
        <v>0</v>
      </c>
      <c r="O1234">
        <v>0</v>
      </c>
      <c r="P1234" s="117">
        <v>326232</v>
      </c>
      <c r="Q1234" s="117" t="s">
        <v>1021</v>
      </c>
      <c r="R1234" s="150">
        <v>0</v>
      </c>
      <c r="S1234" s="117" t="b">
        <f>OR(COUNTIF(Tabla2[[#This Row],[PROVEEDOR]],"*"&amp;'Palabra no opera'!$A$2&amp;"*"))</f>
        <v>1</v>
      </c>
      <c r="T1234" s="150">
        <f>+$W$5-Tabla2[[#This Row],[FECHA DE FACTURACIÓN]]</f>
        <v>394</v>
      </c>
      <c r="U1234" t="str">
        <f>+IF(Tabla2[[#This Row],[dias de credito]]&gt;=Tabla2[[#This Row],[PLAZO Días]],"venc", "No venc")</f>
        <v>venc</v>
      </c>
      <c r="V1234" t="str">
        <f>+IF(Tabla2[[#This Row],[FECHA DE PAGO]]&gt;0,"pagada","por pagar")</f>
        <v>pagada</v>
      </c>
      <c r="W1234" s="152" t="str">
        <f>+IF(AND(Tabla2[[#This Row],[venc]]="venc",Tabla2[[#This Row],[Columna1]]="por pagar"),"vencida","no")</f>
        <v>no</v>
      </c>
    </row>
    <row r="1235" spans="1:23" x14ac:dyDescent="0.3">
      <c r="A1235">
        <v>30</v>
      </c>
      <c r="B1235">
        <v>9283483.0749999993</v>
      </c>
      <c r="D1235" t="s">
        <v>476</v>
      </c>
      <c r="E1235" s="156">
        <v>44456</v>
      </c>
      <c r="F1235" t="s">
        <v>218</v>
      </c>
      <c r="G1235" s="156">
        <v>44364</v>
      </c>
      <c r="H1235">
        <v>51</v>
      </c>
      <c r="I1235">
        <v>5949000</v>
      </c>
      <c r="K1235">
        <v>1130310</v>
      </c>
      <c r="M1235">
        <v>0</v>
      </c>
      <c r="N1235">
        <v>2.5000000000000001E-2</v>
      </c>
      <c r="O1235">
        <v>148725</v>
      </c>
      <c r="P1235" s="117">
        <v>6930585</v>
      </c>
      <c r="Q1235" s="117" t="s">
        <v>1021</v>
      </c>
      <c r="R1235" s="150">
        <v>0</v>
      </c>
      <c r="S1235" s="117" t="b">
        <f>OR(COUNTIF(Tabla2[[#This Row],[PROVEEDOR]],"*"&amp;'Palabra no opera'!$A$2&amp;"*"))</f>
        <v>0</v>
      </c>
      <c r="T1235" s="150">
        <f>+$W$5-Tabla2[[#This Row],[FECHA DE FACTURACIÓN]]</f>
        <v>470</v>
      </c>
      <c r="U1235" t="str">
        <f>+IF(Tabla2[[#This Row],[dias de credito]]&gt;=Tabla2[[#This Row],[PLAZO Días]],"venc", "No venc")</f>
        <v>venc</v>
      </c>
      <c r="V1235" t="str">
        <f>+IF(Tabla2[[#This Row],[FECHA DE PAGO]]&gt;0,"pagada","por pagar")</f>
        <v>pagada</v>
      </c>
      <c r="W1235" s="152" t="str">
        <f>+IF(AND(Tabla2[[#This Row],[venc]]="venc",Tabla2[[#This Row],[Columna1]]="por pagar"),"vencida","no")</f>
        <v>no</v>
      </c>
    </row>
    <row r="1236" spans="1:23" x14ac:dyDescent="0.3">
      <c r="A1236">
        <v>30</v>
      </c>
      <c r="B1236">
        <v>0</v>
      </c>
      <c r="D1236" t="s">
        <v>476</v>
      </c>
      <c r="E1236" s="156">
        <v>44456</v>
      </c>
      <c r="F1236" t="s">
        <v>460</v>
      </c>
      <c r="G1236" s="156">
        <v>44364</v>
      </c>
      <c r="H1236">
        <v>7</v>
      </c>
      <c r="I1236">
        <v>4167300</v>
      </c>
      <c r="K1236">
        <v>791787</v>
      </c>
      <c r="M1236">
        <v>0</v>
      </c>
      <c r="N1236">
        <v>2.5000000000000001E-2</v>
      </c>
      <c r="O1236">
        <v>104182.5</v>
      </c>
      <c r="P1236" s="117">
        <v>4854904.5</v>
      </c>
      <c r="Q1236" s="117" t="s">
        <v>1021</v>
      </c>
      <c r="R1236" s="150">
        <v>0</v>
      </c>
      <c r="S1236" s="117" t="b">
        <f>OR(COUNTIF(Tabla2[[#This Row],[PROVEEDOR]],"*"&amp;'Palabra no opera'!$A$2&amp;"*"))</f>
        <v>0</v>
      </c>
      <c r="T1236" s="150">
        <f>+$W$5-Tabla2[[#This Row],[FECHA DE FACTURACIÓN]]</f>
        <v>470</v>
      </c>
      <c r="U1236" t="str">
        <f>+IF(Tabla2[[#This Row],[dias de credito]]&gt;=Tabla2[[#This Row],[PLAZO Días]],"venc", "No venc")</f>
        <v>venc</v>
      </c>
      <c r="V1236" t="str">
        <f>+IF(Tabla2[[#This Row],[FECHA DE PAGO]]&gt;0,"pagada","por pagar")</f>
        <v>pagada</v>
      </c>
      <c r="W1236" s="152" t="str">
        <f>+IF(AND(Tabla2[[#This Row],[venc]]="venc",Tabla2[[#This Row],[Columna1]]="por pagar"),"vencida","no")</f>
        <v>no</v>
      </c>
    </row>
    <row r="1237" spans="1:23" x14ac:dyDescent="0.3">
      <c r="A1237">
        <v>30</v>
      </c>
      <c r="B1237">
        <v>0</v>
      </c>
      <c r="D1237" t="s">
        <v>139</v>
      </c>
      <c r="E1237" s="156">
        <v>44455</v>
      </c>
      <c r="F1237" t="s">
        <v>673</v>
      </c>
      <c r="G1237" s="156">
        <v>44455</v>
      </c>
      <c r="I1237">
        <v>1000000</v>
      </c>
      <c r="K1237">
        <v>0</v>
      </c>
      <c r="M1237">
        <v>0</v>
      </c>
      <c r="N1237">
        <v>0</v>
      </c>
      <c r="O1237">
        <v>0</v>
      </c>
      <c r="P1237" s="117">
        <v>1000000</v>
      </c>
      <c r="Q1237" s="117" t="s">
        <v>1021</v>
      </c>
      <c r="R1237" s="150">
        <v>0</v>
      </c>
      <c r="S1237" s="117" t="b">
        <f>OR(COUNTIF(Tabla2[[#This Row],[PROVEEDOR]],"*"&amp;'Palabra no opera'!$A$2&amp;"*"))</f>
        <v>0</v>
      </c>
      <c r="T1237" s="150">
        <f>+$W$5-Tabla2[[#This Row],[FECHA DE FACTURACIÓN]]</f>
        <v>379</v>
      </c>
      <c r="U1237" t="str">
        <f>+IF(Tabla2[[#This Row],[dias de credito]]&gt;=Tabla2[[#This Row],[PLAZO Días]],"venc", "No venc")</f>
        <v>venc</v>
      </c>
      <c r="V1237" t="str">
        <f>+IF(Tabla2[[#This Row],[FECHA DE PAGO]]&gt;0,"pagada","por pagar")</f>
        <v>pagada</v>
      </c>
      <c r="W1237" s="152" t="str">
        <f>+IF(AND(Tabla2[[#This Row],[venc]]="venc",Tabla2[[#This Row],[Columna1]]="por pagar"),"vencida","no")</f>
        <v>no</v>
      </c>
    </row>
    <row r="1238" spans="1:23" x14ac:dyDescent="0.3">
      <c r="A1238">
        <v>30</v>
      </c>
      <c r="B1238">
        <v>0</v>
      </c>
      <c r="D1238" t="s">
        <v>139</v>
      </c>
      <c r="E1238" s="156">
        <v>44454</v>
      </c>
      <c r="F1238" t="s">
        <v>638</v>
      </c>
      <c r="G1238" s="156">
        <v>44453</v>
      </c>
      <c r="H1238" t="s">
        <v>1306</v>
      </c>
      <c r="I1238">
        <v>1106000</v>
      </c>
      <c r="K1238">
        <v>0</v>
      </c>
      <c r="M1238">
        <v>0</v>
      </c>
      <c r="N1238">
        <v>0</v>
      </c>
      <c r="O1238">
        <v>0</v>
      </c>
      <c r="P1238" s="117">
        <v>1106000</v>
      </c>
      <c r="Q1238" s="117" t="s">
        <v>1021</v>
      </c>
      <c r="R1238" s="150">
        <v>0</v>
      </c>
      <c r="S1238" s="117" t="b">
        <f>OR(COUNTIF(Tabla2[[#This Row],[PROVEEDOR]],"*"&amp;'Palabra no opera'!$A$2&amp;"*"))</f>
        <v>0</v>
      </c>
      <c r="T1238" s="150">
        <f>+$W$5-Tabla2[[#This Row],[FECHA DE FACTURACIÓN]]</f>
        <v>381</v>
      </c>
      <c r="U1238" t="str">
        <f>+IF(Tabla2[[#This Row],[dias de credito]]&gt;=Tabla2[[#This Row],[PLAZO Días]],"venc", "No venc")</f>
        <v>venc</v>
      </c>
      <c r="V1238" t="str">
        <f>+IF(Tabla2[[#This Row],[FECHA DE PAGO]]&gt;0,"pagada","por pagar")</f>
        <v>pagada</v>
      </c>
      <c r="W1238" s="152" t="str">
        <f>+IF(AND(Tabla2[[#This Row],[venc]]="venc",Tabla2[[#This Row],[Columna1]]="por pagar"),"vencida","no")</f>
        <v>no</v>
      </c>
    </row>
    <row r="1239" spans="1:23" x14ac:dyDescent="0.3">
      <c r="A1239">
        <v>10</v>
      </c>
      <c r="B1239">
        <v>0</v>
      </c>
      <c r="D1239" t="s">
        <v>139</v>
      </c>
      <c r="E1239" s="156">
        <v>44454</v>
      </c>
      <c r="F1239" t="s">
        <v>23</v>
      </c>
      <c r="G1239" s="156">
        <v>44453</v>
      </c>
      <c r="H1239">
        <v>284978</v>
      </c>
      <c r="I1239">
        <v>9674769</v>
      </c>
      <c r="K1239">
        <v>0</v>
      </c>
      <c r="M1239">
        <v>0</v>
      </c>
      <c r="N1239">
        <v>0</v>
      </c>
      <c r="O1239">
        <v>0</v>
      </c>
      <c r="P1239" s="117">
        <v>9674769</v>
      </c>
      <c r="Q1239" s="117" t="s">
        <v>1021</v>
      </c>
      <c r="R1239" s="150">
        <v>0</v>
      </c>
      <c r="S1239" s="117" t="b">
        <f>OR(COUNTIF(Tabla2[[#This Row],[PROVEEDOR]],"*"&amp;'Palabra no opera'!$A$2&amp;"*"))</f>
        <v>0</v>
      </c>
      <c r="T1239" s="150">
        <f>+$W$5-Tabla2[[#This Row],[FECHA DE FACTURACIÓN]]</f>
        <v>381</v>
      </c>
      <c r="U1239" t="str">
        <f>+IF(Tabla2[[#This Row],[dias de credito]]&gt;=Tabla2[[#This Row],[PLAZO Días]],"venc", "No venc")</f>
        <v>venc</v>
      </c>
      <c r="V1239" t="str">
        <f>+IF(Tabla2[[#This Row],[FECHA DE PAGO]]&gt;0,"pagada","por pagar")</f>
        <v>pagada</v>
      </c>
      <c r="W1239" s="152" t="str">
        <f>+IF(AND(Tabla2[[#This Row],[venc]]="venc",Tabla2[[#This Row],[Columna1]]="por pagar"),"vencida","no")</f>
        <v>no</v>
      </c>
    </row>
    <row r="1240" spans="1:23" x14ac:dyDescent="0.3">
      <c r="A1240">
        <v>30</v>
      </c>
      <c r="B1240">
        <v>326474.88</v>
      </c>
      <c r="D1240" t="s">
        <v>949</v>
      </c>
      <c r="E1240" s="156">
        <v>44453</v>
      </c>
      <c r="F1240" t="s">
        <v>345</v>
      </c>
      <c r="G1240" s="156">
        <v>44452</v>
      </c>
      <c r="H1240" t="s">
        <v>1305</v>
      </c>
      <c r="I1240">
        <v>1791000</v>
      </c>
      <c r="K1240">
        <v>0</v>
      </c>
      <c r="M1240">
        <v>0</v>
      </c>
      <c r="N1240">
        <v>0</v>
      </c>
      <c r="O1240">
        <v>0</v>
      </c>
      <c r="P1240" s="117">
        <v>1791000</v>
      </c>
      <c r="Q1240" s="117" t="s">
        <v>1021</v>
      </c>
      <c r="R1240" s="150">
        <v>0</v>
      </c>
      <c r="S1240" s="117" t="b">
        <f>OR(COUNTIF(Tabla2[[#This Row],[PROVEEDOR]],"*"&amp;'Palabra no opera'!$A$2&amp;"*"))</f>
        <v>0</v>
      </c>
      <c r="T1240" s="150">
        <f>+$W$5-Tabla2[[#This Row],[FECHA DE FACTURACIÓN]]</f>
        <v>382</v>
      </c>
      <c r="U1240" t="str">
        <f>+IF(Tabla2[[#This Row],[dias de credito]]&gt;=Tabla2[[#This Row],[PLAZO Días]],"venc", "No venc")</f>
        <v>venc</v>
      </c>
      <c r="V1240" t="str">
        <f>+IF(Tabla2[[#This Row],[FECHA DE PAGO]]&gt;0,"pagada","por pagar")</f>
        <v>pagada</v>
      </c>
      <c r="W1240" s="152" t="str">
        <f>+IF(AND(Tabla2[[#This Row],[venc]]="venc",Tabla2[[#This Row],[Columna1]]="por pagar"),"vencida","no")</f>
        <v>no</v>
      </c>
    </row>
    <row r="1241" spans="1:23" x14ac:dyDescent="0.3">
      <c r="A1241">
        <v>30</v>
      </c>
      <c r="B1241">
        <v>0</v>
      </c>
      <c r="D1241">
        <v>0</v>
      </c>
      <c r="E1241" s="156">
        <v>44453</v>
      </c>
      <c r="F1241" t="s">
        <v>669</v>
      </c>
      <c r="G1241" s="156">
        <v>44440</v>
      </c>
      <c r="H1241" t="s">
        <v>1298</v>
      </c>
      <c r="I1241">
        <v>77875.25</v>
      </c>
      <c r="K1241">
        <v>0</v>
      </c>
      <c r="M1241">
        <v>0</v>
      </c>
      <c r="N1241">
        <v>0</v>
      </c>
      <c r="O1241">
        <v>0</v>
      </c>
      <c r="P1241" s="117">
        <v>77875.25</v>
      </c>
      <c r="Q1241" s="117" t="s">
        <v>1021</v>
      </c>
      <c r="R1241" s="150">
        <v>0</v>
      </c>
      <c r="S1241" s="117" t="b">
        <f>OR(COUNTIF(Tabla2[[#This Row],[PROVEEDOR]],"*"&amp;'Palabra no opera'!$A$2&amp;"*"))</f>
        <v>0</v>
      </c>
      <c r="T1241" s="150">
        <f>+$W$5-Tabla2[[#This Row],[FECHA DE FACTURACIÓN]]</f>
        <v>394</v>
      </c>
      <c r="U1241" t="str">
        <f>+IF(Tabla2[[#This Row],[dias de credito]]&gt;=Tabla2[[#This Row],[PLAZO Días]],"venc", "No venc")</f>
        <v>venc</v>
      </c>
      <c r="V1241" t="str">
        <f>+IF(Tabla2[[#This Row],[FECHA DE PAGO]]&gt;0,"pagada","por pagar")</f>
        <v>pagada</v>
      </c>
      <c r="W1241" s="152" t="str">
        <f>+IF(AND(Tabla2[[#This Row],[venc]]="venc",Tabla2[[#This Row],[Columna1]]="por pagar"),"vencida","no")</f>
        <v>no</v>
      </c>
    </row>
    <row r="1242" spans="1:23" x14ac:dyDescent="0.3">
      <c r="A1242">
        <v>20</v>
      </c>
      <c r="B1242">
        <v>0</v>
      </c>
      <c r="D1242" t="s">
        <v>308</v>
      </c>
      <c r="E1242" s="156">
        <v>44452</v>
      </c>
      <c r="F1242" t="s">
        <v>331</v>
      </c>
      <c r="G1242" s="156">
        <v>44452</v>
      </c>
      <c r="H1242" t="s">
        <v>470</v>
      </c>
      <c r="I1242">
        <v>3374743.75</v>
      </c>
      <c r="K1242">
        <v>641201.3125</v>
      </c>
      <c r="M1242">
        <v>0</v>
      </c>
      <c r="N1242">
        <v>0.04</v>
      </c>
      <c r="O1242">
        <v>134989.75</v>
      </c>
      <c r="P1242" s="117">
        <v>3880955.3125</v>
      </c>
      <c r="Q1242" s="117" t="s">
        <v>1021</v>
      </c>
      <c r="R1242" s="150">
        <v>0</v>
      </c>
      <c r="S1242" s="117" t="b">
        <f>OR(COUNTIF(Tabla2[[#This Row],[PROVEEDOR]],"*"&amp;'Palabra no opera'!$A$2&amp;"*"))</f>
        <v>0</v>
      </c>
      <c r="T1242" s="150">
        <f>+$W$5-Tabla2[[#This Row],[FECHA DE FACTURACIÓN]]</f>
        <v>382</v>
      </c>
      <c r="U1242" t="str">
        <f>+IF(Tabla2[[#This Row],[dias de credito]]&gt;=Tabla2[[#This Row],[PLAZO Días]],"venc", "No venc")</f>
        <v>venc</v>
      </c>
      <c r="V1242" t="str">
        <f>+IF(Tabla2[[#This Row],[FECHA DE PAGO]]&gt;0,"pagada","por pagar")</f>
        <v>pagada</v>
      </c>
      <c r="W1242" s="152" t="str">
        <f>+IF(AND(Tabla2[[#This Row],[venc]]="venc",Tabla2[[#This Row],[Columna1]]="por pagar"),"vencida","no")</f>
        <v>no</v>
      </c>
    </row>
    <row r="1243" spans="1:23" x14ac:dyDescent="0.3">
      <c r="A1243">
        <v>20</v>
      </c>
      <c r="B1243">
        <v>0</v>
      </c>
      <c r="D1243" t="s">
        <v>308</v>
      </c>
      <c r="E1243" s="156">
        <v>44452</v>
      </c>
      <c r="F1243" t="s">
        <v>399</v>
      </c>
      <c r="G1243" s="156">
        <v>44440</v>
      </c>
      <c r="H1243" t="s">
        <v>450</v>
      </c>
      <c r="I1243">
        <v>1958000</v>
      </c>
      <c r="K1243">
        <v>0</v>
      </c>
      <c r="M1243">
        <v>0</v>
      </c>
      <c r="N1243">
        <v>0.01</v>
      </c>
      <c r="O1243">
        <v>19580</v>
      </c>
      <c r="P1243" s="117">
        <v>1938420</v>
      </c>
      <c r="Q1243" s="117" t="s">
        <v>1021</v>
      </c>
      <c r="R1243" s="150">
        <v>0</v>
      </c>
      <c r="S1243" s="117" t="b">
        <f>OR(COUNTIF(Tabla2[[#This Row],[PROVEEDOR]],"*"&amp;'Palabra no opera'!$A$2&amp;"*"))</f>
        <v>0</v>
      </c>
      <c r="T1243" s="150">
        <f>+$W$5-Tabla2[[#This Row],[FECHA DE FACTURACIÓN]]</f>
        <v>394</v>
      </c>
      <c r="U1243" t="str">
        <f>+IF(Tabla2[[#This Row],[dias de credito]]&gt;=Tabla2[[#This Row],[PLAZO Días]],"venc", "No venc")</f>
        <v>venc</v>
      </c>
      <c r="V1243" t="str">
        <f>+IF(Tabla2[[#This Row],[FECHA DE PAGO]]&gt;0,"pagada","por pagar")</f>
        <v>pagada</v>
      </c>
      <c r="W1243" s="152" t="str">
        <f>+IF(AND(Tabla2[[#This Row],[venc]]="venc",Tabla2[[#This Row],[Columna1]]="por pagar"),"vencida","no")</f>
        <v>no</v>
      </c>
    </row>
    <row r="1244" spans="1:23" x14ac:dyDescent="0.3">
      <c r="A1244">
        <v>30</v>
      </c>
      <c r="B1244">
        <v>0</v>
      </c>
      <c r="D1244" t="s">
        <v>505</v>
      </c>
      <c r="E1244" s="156">
        <v>44452</v>
      </c>
      <c r="F1244" t="s">
        <v>408</v>
      </c>
      <c r="G1244" s="156">
        <v>44420</v>
      </c>
      <c r="H1244" t="s">
        <v>469</v>
      </c>
      <c r="I1244">
        <v>149794.67500000002</v>
      </c>
      <c r="K1244">
        <v>28460.988250000002</v>
      </c>
      <c r="M1244">
        <v>0</v>
      </c>
      <c r="N1244">
        <v>0</v>
      </c>
      <c r="O1244">
        <v>0</v>
      </c>
      <c r="P1244" s="117">
        <v>178255.66325000001</v>
      </c>
      <c r="Q1244" s="117" t="s">
        <v>1021</v>
      </c>
      <c r="R1244" s="150">
        <v>0</v>
      </c>
      <c r="S1244" s="117" t="b">
        <f>OR(COUNTIF(Tabla2[[#This Row],[PROVEEDOR]],"*"&amp;'Palabra no opera'!$A$2&amp;"*"))</f>
        <v>0</v>
      </c>
      <c r="T1244" s="150">
        <f>+$W$5-Tabla2[[#This Row],[FECHA DE FACTURACIÓN]]</f>
        <v>414</v>
      </c>
      <c r="U1244" t="str">
        <f>+IF(Tabla2[[#This Row],[dias de credito]]&gt;=Tabla2[[#This Row],[PLAZO Días]],"venc", "No venc")</f>
        <v>venc</v>
      </c>
      <c r="V1244" t="str">
        <f>+IF(Tabla2[[#This Row],[FECHA DE PAGO]]&gt;0,"pagada","por pagar")</f>
        <v>pagada</v>
      </c>
      <c r="W1244" s="152" t="str">
        <f>+IF(AND(Tabla2[[#This Row],[venc]]="venc",Tabla2[[#This Row],[Columna1]]="por pagar"),"vencida","no")</f>
        <v>no</v>
      </c>
    </row>
    <row r="1245" spans="1:23" x14ac:dyDescent="0.3">
      <c r="A1245">
        <v>30</v>
      </c>
      <c r="B1245">
        <v>2111011.8149999999</v>
      </c>
      <c r="D1245" t="s">
        <v>251</v>
      </c>
      <c r="E1245" s="156">
        <v>44452</v>
      </c>
      <c r="F1245" t="s">
        <v>216</v>
      </c>
      <c r="G1245" s="156">
        <v>44419</v>
      </c>
      <c r="H1245">
        <v>345</v>
      </c>
      <c r="I1245">
        <v>435294</v>
      </c>
      <c r="K1245">
        <v>82705.86</v>
      </c>
      <c r="M1245">
        <v>0</v>
      </c>
      <c r="N1245">
        <v>0</v>
      </c>
      <c r="O1245">
        <v>0</v>
      </c>
      <c r="P1245" s="117">
        <v>517999.86</v>
      </c>
      <c r="Q1245" s="117" t="s">
        <v>1021</v>
      </c>
      <c r="R1245" s="150">
        <v>0</v>
      </c>
      <c r="S1245" s="117" t="b">
        <f>OR(COUNTIF(Tabla2[[#This Row],[PROVEEDOR]],"*"&amp;'Palabra no opera'!$A$2&amp;"*"))</f>
        <v>0</v>
      </c>
      <c r="T1245" s="150">
        <f>+$W$5-Tabla2[[#This Row],[FECHA DE FACTURACIÓN]]</f>
        <v>415</v>
      </c>
      <c r="U1245" t="str">
        <f>+IF(Tabla2[[#This Row],[dias de credito]]&gt;=Tabla2[[#This Row],[PLAZO Días]],"venc", "No venc")</f>
        <v>venc</v>
      </c>
      <c r="V1245" t="str">
        <f>+IF(Tabla2[[#This Row],[FECHA DE PAGO]]&gt;0,"pagada","por pagar")</f>
        <v>pagada</v>
      </c>
      <c r="W1245" s="152" t="str">
        <f>+IF(AND(Tabla2[[#This Row],[venc]]="venc",Tabla2[[#This Row],[Columna1]]="por pagar"),"vencida","no")</f>
        <v>no</v>
      </c>
    </row>
    <row r="1246" spans="1:23" x14ac:dyDescent="0.3">
      <c r="A1246">
        <v>30</v>
      </c>
      <c r="B1246">
        <v>0</v>
      </c>
      <c r="D1246" t="s">
        <v>290</v>
      </c>
      <c r="E1246" s="156">
        <v>44452</v>
      </c>
      <c r="F1246" t="s">
        <v>47</v>
      </c>
      <c r="G1246" s="156">
        <v>44417</v>
      </c>
      <c r="H1246">
        <v>30483</v>
      </c>
      <c r="I1246">
        <v>1054338</v>
      </c>
      <c r="K1246">
        <v>200324.22</v>
      </c>
      <c r="M1246">
        <v>0</v>
      </c>
      <c r="N1246">
        <v>2.5000000000000001E-2</v>
      </c>
      <c r="O1246">
        <v>26358.45</v>
      </c>
      <c r="P1246" s="117">
        <v>1228303.77</v>
      </c>
      <c r="Q1246" s="117" t="s">
        <v>1021</v>
      </c>
      <c r="R1246" s="150">
        <v>0</v>
      </c>
      <c r="S1246" s="117" t="b">
        <f>OR(COUNTIF(Tabla2[[#This Row],[PROVEEDOR]],"*"&amp;'Palabra no opera'!$A$2&amp;"*"))</f>
        <v>0</v>
      </c>
      <c r="T1246" s="150">
        <f>+$W$5-Tabla2[[#This Row],[FECHA DE FACTURACIÓN]]</f>
        <v>417</v>
      </c>
      <c r="U1246" t="str">
        <f>+IF(Tabla2[[#This Row],[dias de credito]]&gt;=Tabla2[[#This Row],[PLAZO Días]],"venc", "No venc")</f>
        <v>venc</v>
      </c>
      <c r="V1246" t="str">
        <f>+IF(Tabla2[[#This Row],[FECHA DE PAGO]]&gt;0,"pagada","por pagar")</f>
        <v>pagada</v>
      </c>
      <c r="W1246" s="152" t="str">
        <f>+IF(AND(Tabla2[[#This Row],[venc]]="venc",Tabla2[[#This Row],[Columna1]]="por pagar"),"vencida","no")</f>
        <v>no</v>
      </c>
    </row>
    <row r="1247" spans="1:23" x14ac:dyDescent="0.3">
      <c r="A1247">
        <v>30</v>
      </c>
      <c r="B1247">
        <v>146262.9</v>
      </c>
      <c r="D1247" t="s">
        <v>262</v>
      </c>
      <c r="E1247" s="156">
        <v>44452</v>
      </c>
      <c r="F1247" t="s">
        <v>17</v>
      </c>
      <c r="G1247" s="156">
        <v>44417</v>
      </c>
      <c r="H1247">
        <v>1797734</v>
      </c>
      <c r="I1247">
        <v>630150</v>
      </c>
      <c r="K1247">
        <v>119728.5</v>
      </c>
      <c r="M1247">
        <v>0</v>
      </c>
      <c r="N1247">
        <v>0</v>
      </c>
      <c r="O1247">
        <v>0</v>
      </c>
      <c r="P1247" s="117">
        <v>749878.5</v>
      </c>
      <c r="Q1247" s="117" t="s">
        <v>1021</v>
      </c>
      <c r="R1247" s="150">
        <v>0</v>
      </c>
      <c r="S1247" s="117" t="b">
        <f>OR(COUNTIF(Tabla2[[#This Row],[PROVEEDOR]],"*"&amp;'Palabra no opera'!$A$2&amp;"*"))</f>
        <v>0</v>
      </c>
      <c r="T1247" s="150">
        <f>+$W$5-Tabla2[[#This Row],[FECHA DE FACTURACIÓN]]</f>
        <v>417</v>
      </c>
      <c r="U1247" t="str">
        <f>+IF(Tabla2[[#This Row],[dias de credito]]&gt;=Tabla2[[#This Row],[PLAZO Días]],"venc", "No venc")</f>
        <v>venc</v>
      </c>
      <c r="V1247" t="str">
        <f>+IF(Tabla2[[#This Row],[FECHA DE PAGO]]&gt;0,"pagada","por pagar")</f>
        <v>pagada</v>
      </c>
      <c r="W1247" s="152" t="str">
        <f>+IF(AND(Tabla2[[#This Row],[venc]]="venc",Tabla2[[#This Row],[Columna1]]="por pagar"),"vencida","no")</f>
        <v>no</v>
      </c>
    </row>
    <row r="1248" spans="1:23" x14ac:dyDescent="0.3">
      <c r="A1248">
        <v>30</v>
      </c>
      <c r="B1248">
        <v>8190204</v>
      </c>
      <c r="D1248" t="s">
        <v>263</v>
      </c>
      <c r="E1248" s="156">
        <v>44452</v>
      </c>
      <c r="F1248" t="s">
        <v>1637</v>
      </c>
      <c r="G1248" s="156">
        <v>44417</v>
      </c>
      <c r="H1248">
        <v>22029</v>
      </c>
      <c r="I1248">
        <v>384000</v>
      </c>
      <c r="K1248">
        <v>72960</v>
      </c>
      <c r="M1248">
        <v>0</v>
      </c>
      <c r="N1248">
        <v>0</v>
      </c>
      <c r="O1248">
        <v>0</v>
      </c>
      <c r="P1248" s="117">
        <v>456960</v>
      </c>
      <c r="Q1248" s="117" t="s">
        <v>1021</v>
      </c>
      <c r="R1248" s="150">
        <v>0</v>
      </c>
      <c r="S1248" s="117" t="b">
        <f>OR(COUNTIF(Tabla2[[#This Row],[PROVEEDOR]],"*"&amp;'Palabra no opera'!$A$2&amp;"*"))</f>
        <v>0</v>
      </c>
      <c r="T1248" s="150">
        <f>+$W$5-Tabla2[[#This Row],[FECHA DE FACTURACIÓN]]</f>
        <v>417</v>
      </c>
      <c r="U1248" t="str">
        <f>+IF(Tabla2[[#This Row],[dias de credito]]&gt;=Tabla2[[#This Row],[PLAZO Días]],"venc", "No venc")</f>
        <v>venc</v>
      </c>
      <c r="V1248" t="str">
        <f>+IF(Tabla2[[#This Row],[FECHA DE PAGO]]&gt;0,"pagada","por pagar")</f>
        <v>pagada</v>
      </c>
      <c r="W1248" s="152" t="str">
        <f>+IF(AND(Tabla2[[#This Row],[venc]]="venc",Tabla2[[#This Row],[Columna1]]="por pagar"),"vencida","no")</f>
        <v>no</v>
      </c>
    </row>
    <row r="1249" spans="1:23" x14ac:dyDescent="0.3">
      <c r="A1249">
        <v>30</v>
      </c>
      <c r="B1249">
        <v>19675613.1195</v>
      </c>
      <c r="D1249" t="s">
        <v>256</v>
      </c>
      <c r="E1249" s="156">
        <v>44452</v>
      </c>
      <c r="F1249" t="s">
        <v>18</v>
      </c>
      <c r="G1249" s="156">
        <v>44413</v>
      </c>
      <c r="H1249">
        <v>1041395</v>
      </c>
      <c r="I1249">
        <v>1837723.2</v>
      </c>
      <c r="K1249">
        <v>349167.408</v>
      </c>
      <c r="M1249">
        <v>0</v>
      </c>
      <c r="N1249">
        <v>2.5000000000000001E-2</v>
      </c>
      <c r="O1249">
        <v>45943.08</v>
      </c>
      <c r="P1249" s="117">
        <v>2140947.5279999999</v>
      </c>
      <c r="Q1249" s="117" t="s">
        <v>1021</v>
      </c>
      <c r="R1249" s="150">
        <v>0</v>
      </c>
      <c r="S1249" s="117" t="b">
        <f>OR(COUNTIF(Tabla2[[#This Row],[PROVEEDOR]],"*"&amp;'Palabra no opera'!$A$2&amp;"*"))</f>
        <v>0</v>
      </c>
      <c r="T1249" s="150">
        <f>+$W$5-Tabla2[[#This Row],[FECHA DE FACTURACIÓN]]</f>
        <v>421</v>
      </c>
      <c r="U1249" t="str">
        <f>+IF(Tabla2[[#This Row],[dias de credito]]&gt;=Tabla2[[#This Row],[PLAZO Días]],"venc", "No venc")</f>
        <v>venc</v>
      </c>
      <c r="V1249" t="str">
        <f>+IF(Tabla2[[#This Row],[FECHA DE PAGO]]&gt;0,"pagada","por pagar")</f>
        <v>pagada</v>
      </c>
      <c r="W1249" s="152" t="str">
        <f>+IF(AND(Tabla2[[#This Row],[venc]]="venc",Tabla2[[#This Row],[Columna1]]="por pagar"),"vencida","no")</f>
        <v>no</v>
      </c>
    </row>
    <row r="1250" spans="1:23" x14ac:dyDescent="0.3">
      <c r="A1250">
        <v>30</v>
      </c>
      <c r="B1250">
        <v>19675613.1195</v>
      </c>
      <c r="D1250" t="s">
        <v>256</v>
      </c>
      <c r="E1250" s="156">
        <v>44452</v>
      </c>
      <c r="F1250" t="s">
        <v>18</v>
      </c>
      <c r="G1250" s="156">
        <v>44412</v>
      </c>
      <c r="H1250">
        <v>1041347</v>
      </c>
      <c r="I1250">
        <v>1530000</v>
      </c>
      <c r="K1250">
        <v>290700</v>
      </c>
      <c r="M1250">
        <v>0</v>
      </c>
      <c r="N1250">
        <v>2.5000000000000001E-2</v>
      </c>
      <c r="O1250">
        <v>38250</v>
      </c>
      <c r="P1250" s="117">
        <v>1782450</v>
      </c>
      <c r="Q1250" s="117" t="s">
        <v>1021</v>
      </c>
      <c r="R1250" s="150">
        <v>0</v>
      </c>
      <c r="S1250" s="117" t="b">
        <f>OR(COUNTIF(Tabla2[[#This Row],[PROVEEDOR]],"*"&amp;'Palabra no opera'!$A$2&amp;"*"))</f>
        <v>0</v>
      </c>
      <c r="T1250" s="150">
        <f>+$W$5-Tabla2[[#This Row],[FECHA DE FACTURACIÓN]]</f>
        <v>422</v>
      </c>
      <c r="U1250" t="str">
        <f>+IF(Tabla2[[#This Row],[dias de credito]]&gt;=Tabla2[[#This Row],[PLAZO Días]],"venc", "No venc")</f>
        <v>venc</v>
      </c>
      <c r="V1250" t="str">
        <f>+IF(Tabla2[[#This Row],[FECHA DE PAGO]]&gt;0,"pagada","por pagar")</f>
        <v>pagada</v>
      </c>
      <c r="W1250" s="152" t="str">
        <f>+IF(AND(Tabla2[[#This Row],[venc]]="venc",Tabla2[[#This Row],[Columna1]]="por pagar"),"vencida","no")</f>
        <v>no</v>
      </c>
    </row>
    <row r="1251" spans="1:23" x14ac:dyDescent="0.3">
      <c r="A1251">
        <v>30</v>
      </c>
      <c r="B1251">
        <v>0</v>
      </c>
      <c r="D1251" t="s">
        <v>261</v>
      </c>
      <c r="E1251" s="156">
        <v>44452</v>
      </c>
      <c r="F1251" t="s">
        <v>746</v>
      </c>
      <c r="G1251" s="156">
        <v>44412</v>
      </c>
      <c r="H1251">
        <v>1525</v>
      </c>
      <c r="I1251">
        <v>1556722.69</v>
      </c>
      <c r="K1251">
        <v>295777.31109999999</v>
      </c>
      <c r="M1251">
        <v>0</v>
      </c>
      <c r="N1251">
        <v>2.5000000000000001E-2</v>
      </c>
      <c r="O1251">
        <v>38918.06725</v>
      </c>
      <c r="P1251" s="117">
        <v>1813581.9338499999</v>
      </c>
      <c r="Q1251" s="117" t="s">
        <v>1021</v>
      </c>
      <c r="R1251" s="150">
        <v>0</v>
      </c>
      <c r="S1251" s="117" t="b">
        <f>OR(COUNTIF(Tabla2[[#This Row],[PROVEEDOR]],"*"&amp;'Palabra no opera'!$A$2&amp;"*"))</f>
        <v>0</v>
      </c>
      <c r="T1251" s="150">
        <f>+$W$5-Tabla2[[#This Row],[FECHA DE FACTURACIÓN]]</f>
        <v>422</v>
      </c>
      <c r="U1251" t="str">
        <f>+IF(Tabla2[[#This Row],[dias de credito]]&gt;=Tabla2[[#This Row],[PLAZO Días]],"venc", "No venc")</f>
        <v>venc</v>
      </c>
      <c r="V1251" t="str">
        <f>+IF(Tabla2[[#This Row],[FECHA DE PAGO]]&gt;0,"pagada","por pagar")</f>
        <v>pagada</v>
      </c>
      <c r="W1251" s="152" t="str">
        <f>+IF(AND(Tabla2[[#This Row],[venc]]="venc",Tabla2[[#This Row],[Columna1]]="por pagar"),"vencida","no")</f>
        <v>no</v>
      </c>
    </row>
    <row r="1252" spans="1:23" x14ac:dyDescent="0.3">
      <c r="A1252">
        <v>30</v>
      </c>
      <c r="B1252">
        <v>0</v>
      </c>
      <c r="D1252">
        <v>0</v>
      </c>
      <c r="E1252" s="156">
        <v>44449</v>
      </c>
      <c r="F1252" t="s">
        <v>466</v>
      </c>
      <c r="G1252" s="156">
        <v>44449</v>
      </c>
      <c r="H1252">
        <v>301659</v>
      </c>
      <c r="I1252">
        <v>146639</v>
      </c>
      <c r="K1252">
        <v>27861.41</v>
      </c>
      <c r="M1252">
        <v>0</v>
      </c>
      <c r="N1252">
        <v>0</v>
      </c>
      <c r="O1252">
        <v>0</v>
      </c>
      <c r="P1252" s="117">
        <v>174500.41</v>
      </c>
      <c r="Q1252" s="117" t="s">
        <v>1021</v>
      </c>
      <c r="R1252" s="150">
        <v>0</v>
      </c>
      <c r="S1252" s="117" t="b">
        <f>OR(COUNTIF(Tabla2[[#This Row],[PROVEEDOR]],"*"&amp;'Palabra no opera'!$A$2&amp;"*"))</f>
        <v>0</v>
      </c>
      <c r="T1252" s="150">
        <f>+$W$5-Tabla2[[#This Row],[FECHA DE FACTURACIÓN]]</f>
        <v>385</v>
      </c>
      <c r="U1252" t="str">
        <f>+IF(Tabla2[[#This Row],[dias de credito]]&gt;=Tabla2[[#This Row],[PLAZO Días]],"venc", "No venc")</f>
        <v>venc</v>
      </c>
      <c r="V1252" t="str">
        <f>+IF(Tabla2[[#This Row],[FECHA DE PAGO]]&gt;0,"pagada","por pagar")</f>
        <v>pagada</v>
      </c>
      <c r="W1252" s="152" t="str">
        <f>+IF(AND(Tabla2[[#This Row],[venc]]="venc",Tabla2[[#This Row],[Columna1]]="por pagar"),"vencida","no")</f>
        <v>no</v>
      </c>
    </row>
    <row r="1253" spans="1:23" x14ac:dyDescent="0.3">
      <c r="A1253">
        <v>30</v>
      </c>
      <c r="B1253">
        <v>0</v>
      </c>
      <c r="D1253" t="s">
        <v>268</v>
      </c>
      <c r="E1253" s="156">
        <v>44449</v>
      </c>
      <c r="F1253" t="s">
        <v>930</v>
      </c>
      <c r="G1253" s="156">
        <v>44442</v>
      </c>
      <c r="H1253">
        <v>642</v>
      </c>
      <c r="I1253">
        <v>190000</v>
      </c>
      <c r="K1253">
        <v>0</v>
      </c>
      <c r="M1253">
        <v>0</v>
      </c>
      <c r="N1253">
        <v>3.5000000000000003E-2</v>
      </c>
      <c r="O1253">
        <v>6650.0000000000009</v>
      </c>
      <c r="P1253" s="117">
        <v>183350</v>
      </c>
      <c r="Q1253" s="117" t="s">
        <v>1021</v>
      </c>
      <c r="R1253" s="150">
        <v>0</v>
      </c>
      <c r="S1253" s="117" t="b">
        <f>OR(COUNTIF(Tabla2[[#This Row],[PROVEEDOR]],"*"&amp;'Palabra no opera'!$A$2&amp;"*"))</f>
        <v>1</v>
      </c>
      <c r="T1253" s="150">
        <f>+$W$5-Tabla2[[#This Row],[FECHA DE FACTURACIÓN]]</f>
        <v>392</v>
      </c>
      <c r="U1253" t="str">
        <f>+IF(Tabla2[[#This Row],[dias de credito]]&gt;=Tabla2[[#This Row],[PLAZO Días]],"venc", "No venc")</f>
        <v>venc</v>
      </c>
      <c r="V1253" t="str">
        <f>+IF(Tabla2[[#This Row],[FECHA DE PAGO]]&gt;0,"pagada","por pagar")</f>
        <v>pagada</v>
      </c>
      <c r="W1253" s="152" t="str">
        <f>+IF(AND(Tabla2[[#This Row],[venc]]="venc",Tabla2[[#This Row],[Columna1]]="por pagar"),"vencida","no")</f>
        <v>no</v>
      </c>
    </row>
    <row r="1254" spans="1:23" x14ac:dyDescent="0.3">
      <c r="A1254">
        <v>30</v>
      </c>
      <c r="B1254">
        <v>5225000</v>
      </c>
      <c r="D1254" t="s">
        <v>139</v>
      </c>
      <c r="E1254" s="156">
        <v>44448</v>
      </c>
      <c r="F1254" t="s">
        <v>629</v>
      </c>
      <c r="G1254" s="156">
        <v>44410</v>
      </c>
      <c r="H1254" t="s">
        <v>1278</v>
      </c>
      <c r="I1254">
        <v>3560300</v>
      </c>
      <c r="K1254">
        <v>0</v>
      </c>
      <c r="M1254">
        <v>0</v>
      </c>
      <c r="N1254">
        <v>0</v>
      </c>
      <c r="O1254">
        <v>0</v>
      </c>
      <c r="P1254" s="117">
        <v>3560300</v>
      </c>
      <c r="Q1254" s="117" t="s">
        <v>1021</v>
      </c>
      <c r="R1254" s="150">
        <v>0</v>
      </c>
      <c r="S1254" s="117" t="b">
        <f>OR(COUNTIF(Tabla2[[#This Row],[PROVEEDOR]],"*"&amp;'Palabra no opera'!$A$2&amp;"*"))</f>
        <v>0</v>
      </c>
      <c r="T1254" s="150">
        <f>+$W$5-Tabla2[[#This Row],[FECHA DE FACTURACIÓN]]</f>
        <v>424</v>
      </c>
      <c r="U1254" t="str">
        <f>+IF(Tabla2[[#This Row],[dias de credito]]&gt;=Tabla2[[#This Row],[PLAZO Días]],"venc", "No venc")</f>
        <v>venc</v>
      </c>
      <c r="V1254" t="str">
        <f>+IF(Tabla2[[#This Row],[FECHA DE PAGO]]&gt;0,"pagada","por pagar")</f>
        <v>pagada</v>
      </c>
      <c r="W1254" s="152" t="str">
        <f>+IF(AND(Tabla2[[#This Row],[venc]]="venc",Tabla2[[#This Row],[Columna1]]="por pagar"),"vencida","no")</f>
        <v>no</v>
      </c>
    </row>
    <row r="1255" spans="1:23" x14ac:dyDescent="0.3">
      <c r="A1255">
        <v>30</v>
      </c>
      <c r="B1255">
        <v>0</v>
      </c>
      <c r="D1255">
        <v>0</v>
      </c>
      <c r="E1255" s="156">
        <v>44448</v>
      </c>
      <c r="F1255" t="s">
        <v>366</v>
      </c>
      <c r="G1255" s="156">
        <v>44403</v>
      </c>
      <c r="H1255" t="s">
        <v>411</v>
      </c>
      <c r="I1255">
        <v>302520</v>
      </c>
      <c r="K1255">
        <v>57478.8</v>
      </c>
      <c r="M1255">
        <v>0</v>
      </c>
      <c r="N1255">
        <v>0</v>
      </c>
      <c r="O1255">
        <v>0</v>
      </c>
      <c r="P1255" s="117">
        <v>359998.8</v>
      </c>
      <c r="Q1255" s="117" t="s">
        <v>1021</v>
      </c>
      <c r="R1255" s="150">
        <v>0</v>
      </c>
      <c r="S1255" s="117" t="b">
        <f>OR(COUNTIF(Tabla2[[#This Row],[PROVEEDOR]],"*"&amp;'Palabra no opera'!$A$2&amp;"*"))</f>
        <v>0</v>
      </c>
      <c r="T1255" s="150">
        <f>+$W$5-Tabla2[[#This Row],[FECHA DE FACTURACIÓN]]</f>
        <v>431</v>
      </c>
      <c r="U1255" t="str">
        <f>+IF(Tabla2[[#This Row],[dias de credito]]&gt;=Tabla2[[#This Row],[PLAZO Días]],"venc", "No venc")</f>
        <v>venc</v>
      </c>
      <c r="V1255" t="str">
        <f>+IF(Tabla2[[#This Row],[FECHA DE PAGO]]&gt;0,"pagada","por pagar")</f>
        <v>pagada</v>
      </c>
      <c r="W1255" s="152" t="str">
        <f>+IF(AND(Tabla2[[#This Row],[venc]]="venc",Tabla2[[#This Row],[Columna1]]="por pagar"),"vencida","no")</f>
        <v>no</v>
      </c>
    </row>
    <row r="1256" spans="1:23" x14ac:dyDescent="0.3">
      <c r="A1256">
        <v>20</v>
      </c>
      <c r="B1256">
        <v>0</v>
      </c>
      <c r="D1256">
        <v>0</v>
      </c>
      <c r="E1256" s="156">
        <v>44448</v>
      </c>
      <c r="F1256" t="s">
        <v>672</v>
      </c>
      <c r="G1256" s="156">
        <v>44400</v>
      </c>
      <c r="H1256" t="s">
        <v>1273</v>
      </c>
      <c r="I1256">
        <v>1793000</v>
      </c>
      <c r="K1256">
        <v>0</v>
      </c>
      <c r="M1256">
        <v>0</v>
      </c>
      <c r="N1256">
        <v>0</v>
      </c>
      <c r="O1256">
        <v>0</v>
      </c>
      <c r="P1256" s="117">
        <v>1793000</v>
      </c>
      <c r="Q1256" s="117" t="s">
        <v>1021</v>
      </c>
      <c r="R1256" s="150">
        <v>0</v>
      </c>
      <c r="S1256" s="117" t="b">
        <f>OR(COUNTIF(Tabla2[[#This Row],[PROVEEDOR]],"*"&amp;'Palabra no opera'!$A$2&amp;"*"))</f>
        <v>0</v>
      </c>
      <c r="T1256" s="150">
        <f>+$W$5-Tabla2[[#This Row],[FECHA DE FACTURACIÓN]]</f>
        <v>434</v>
      </c>
      <c r="U1256" t="str">
        <f>+IF(Tabla2[[#This Row],[dias de credito]]&gt;=Tabla2[[#This Row],[PLAZO Días]],"venc", "No venc")</f>
        <v>venc</v>
      </c>
      <c r="V1256" t="str">
        <f>+IF(Tabla2[[#This Row],[FECHA DE PAGO]]&gt;0,"pagada","por pagar")</f>
        <v>pagada</v>
      </c>
      <c r="W1256" s="152" t="str">
        <f>+IF(AND(Tabla2[[#This Row],[venc]]="venc",Tabla2[[#This Row],[Columna1]]="por pagar"),"vencida","no")</f>
        <v>no</v>
      </c>
    </row>
    <row r="1257" spans="1:23" x14ac:dyDescent="0.3">
      <c r="A1257">
        <v>30</v>
      </c>
      <c r="B1257">
        <v>0</v>
      </c>
      <c r="D1257">
        <v>0</v>
      </c>
      <c r="E1257" s="156">
        <v>44448</v>
      </c>
      <c r="F1257" t="s">
        <v>923</v>
      </c>
      <c r="G1257" s="156">
        <v>44378</v>
      </c>
      <c r="H1257" t="s">
        <v>1204</v>
      </c>
      <c r="I1257">
        <v>256261</v>
      </c>
      <c r="K1257">
        <v>0</v>
      </c>
      <c r="M1257">
        <v>0</v>
      </c>
      <c r="N1257">
        <v>0</v>
      </c>
      <c r="O1257">
        <v>0</v>
      </c>
      <c r="P1257" s="117">
        <v>256261</v>
      </c>
      <c r="Q1257" s="117" t="s">
        <v>1021</v>
      </c>
      <c r="R1257" s="150">
        <v>0</v>
      </c>
      <c r="S1257" s="117" t="b">
        <f>OR(COUNTIF(Tabla2[[#This Row],[PROVEEDOR]],"*"&amp;'Palabra no opera'!$A$2&amp;"*"))</f>
        <v>1</v>
      </c>
      <c r="T1257" s="150">
        <f>+$W$5-Tabla2[[#This Row],[FECHA DE FACTURACIÓN]]</f>
        <v>456</v>
      </c>
      <c r="U1257" t="str">
        <f>+IF(Tabla2[[#This Row],[dias de credito]]&gt;=Tabla2[[#This Row],[PLAZO Días]],"venc", "No venc")</f>
        <v>venc</v>
      </c>
      <c r="V1257" t="str">
        <f>+IF(Tabla2[[#This Row],[FECHA DE PAGO]]&gt;0,"pagada","por pagar")</f>
        <v>pagada</v>
      </c>
      <c r="W1257" s="152" t="str">
        <f>+IF(AND(Tabla2[[#This Row],[venc]]="venc",Tabla2[[#This Row],[Columna1]]="por pagar"),"vencida","no")</f>
        <v>no</v>
      </c>
    </row>
    <row r="1258" spans="1:23" x14ac:dyDescent="0.3">
      <c r="A1258">
        <v>30</v>
      </c>
      <c r="B1258">
        <v>0</v>
      </c>
      <c r="D1258">
        <v>0</v>
      </c>
      <c r="E1258" s="156">
        <v>44448</v>
      </c>
      <c r="F1258" t="s">
        <v>923</v>
      </c>
      <c r="G1258" s="156">
        <v>44378</v>
      </c>
      <c r="H1258" t="s">
        <v>1205</v>
      </c>
      <c r="I1258">
        <v>1545030</v>
      </c>
      <c r="K1258">
        <v>0</v>
      </c>
      <c r="M1258">
        <v>0</v>
      </c>
      <c r="N1258">
        <v>0</v>
      </c>
      <c r="O1258">
        <v>0</v>
      </c>
      <c r="P1258" s="117">
        <v>1545030</v>
      </c>
      <c r="Q1258" s="117" t="s">
        <v>1021</v>
      </c>
      <c r="R1258" s="150">
        <v>0</v>
      </c>
      <c r="S1258" s="117" t="b">
        <f>OR(COUNTIF(Tabla2[[#This Row],[PROVEEDOR]],"*"&amp;'Palabra no opera'!$A$2&amp;"*"))</f>
        <v>1</v>
      </c>
      <c r="T1258" s="150">
        <f>+$W$5-Tabla2[[#This Row],[FECHA DE FACTURACIÓN]]</f>
        <v>456</v>
      </c>
      <c r="U1258" t="str">
        <f>+IF(Tabla2[[#This Row],[dias de credito]]&gt;=Tabla2[[#This Row],[PLAZO Días]],"venc", "No venc")</f>
        <v>venc</v>
      </c>
      <c r="V1258" t="str">
        <f>+IF(Tabla2[[#This Row],[FECHA DE PAGO]]&gt;0,"pagada","por pagar")</f>
        <v>pagada</v>
      </c>
      <c r="W1258" s="152" t="str">
        <f>+IF(AND(Tabla2[[#This Row],[venc]]="venc",Tabla2[[#This Row],[Columna1]]="por pagar"),"vencida","no")</f>
        <v>no</v>
      </c>
    </row>
    <row r="1259" spans="1:23" x14ac:dyDescent="0.3">
      <c r="A1259">
        <v>30</v>
      </c>
      <c r="B1259">
        <v>527800</v>
      </c>
      <c r="D1259" t="s">
        <v>139</v>
      </c>
      <c r="E1259" s="156">
        <v>44447</v>
      </c>
      <c r="F1259" t="s">
        <v>624</v>
      </c>
      <c r="G1259" s="156">
        <v>44447</v>
      </c>
      <c r="H1259" t="s">
        <v>1492</v>
      </c>
      <c r="I1259">
        <v>612000</v>
      </c>
      <c r="K1259">
        <v>0</v>
      </c>
      <c r="M1259">
        <v>0</v>
      </c>
      <c r="N1259">
        <v>0</v>
      </c>
      <c r="O1259">
        <v>0</v>
      </c>
      <c r="P1259" s="117">
        <v>612000</v>
      </c>
      <c r="Q1259" s="117" t="s">
        <v>1021</v>
      </c>
      <c r="R1259" s="150">
        <v>0</v>
      </c>
      <c r="S1259" s="117" t="b">
        <f>OR(COUNTIF(Tabla2[[#This Row],[PROVEEDOR]],"*"&amp;'Palabra no opera'!$A$2&amp;"*"))</f>
        <v>0</v>
      </c>
      <c r="T1259" s="150">
        <f>+$W$5-Tabla2[[#This Row],[FECHA DE FACTURACIÓN]]</f>
        <v>387</v>
      </c>
      <c r="U1259" t="str">
        <f>+IF(Tabla2[[#This Row],[dias de credito]]&gt;=Tabla2[[#This Row],[PLAZO Días]],"venc", "No venc")</f>
        <v>venc</v>
      </c>
      <c r="V1259" t="str">
        <f>+IF(Tabla2[[#This Row],[FECHA DE PAGO]]&gt;0,"pagada","por pagar")</f>
        <v>pagada</v>
      </c>
      <c r="W1259" s="152" t="str">
        <f>+IF(AND(Tabla2[[#This Row],[venc]]="venc",Tabla2[[#This Row],[Columna1]]="por pagar"),"vencida","no")</f>
        <v>no</v>
      </c>
    </row>
    <row r="1260" spans="1:23" x14ac:dyDescent="0.3">
      <c r="A1260">
        <v>30</v>
      </c>
      <c r="B1260">
        <v>0</v>
      </c>
      <c r="D1260" t="s">
        <v>139</v>
      </c>
      <c r="E1260" s="156">
        <v>44447</v>
      </c>
      <c r="F1260" t="s">
        <v>635</v>
      </c>
      <c r="G1260" s="156">
        <v>44447</v>
      </c>
      <c r="H1260" t="s">
        <v>1493</v>
      </c>
      <c r="I1260">
        <v>510000</v>
      </c>
      <c r="K1260">
        <v>0</v>
      </c>
      <c r="M1260">
        <v>0</v>
      </c>
      <c r="N1260">
        <v>0</v>
      </c>
      <c r="O1260">
        <v>0</v>
      </c>
      <c r="P1260" s="117">
        <v>510000</v>
      </c>
      <c r="Q1260" s="117" t="s">
        <v>1021</v>
      </c>
      <c r="R1260" s="150">
        <v>0</v>
      </c>
      <c r="S1260" s="117" t="b">
        <f>OR(COUNTIF(Tabla2[[#This Row],[PROVEEDOR]],"*"&amp;'Palabra no opera'!$A$2&amp;"*"))</f>
        <v>0</v>
      </c>
      <c r="T1260" s="150">
        <f>+$W$5-Tabla2[[#This Row],[FECHA DE FACTURACIÓN]]</f>
        <v>387</v>
      </c>
      <c r="U1260" t="str">
        <f>+IF(Tabla2[[#This Row],[dias de credito]]&gt;=Tabla2[[#This Row],[PLAZO Días]],"venc", "No venc")</f>
        <v>venc</v>
      </c>
      <c r="V1260" t="str">
        <f>+IF(Tabla2[[#This Row],[FECHA DE PAGO]]&gt;0,"pagada","por pagar")</f>
        <v>pagada</v>
      </c>
      <c r="W1260" s="152" t="str">
        <f>+IF(AND(Tabla2[[#This Row],[venc]]="venc",Tabla2[[#This Row],[Columna1]]="por pagar"),"vencida","no")</f>
        <v>no</v>
      </c>
    </row>
    <row r="1261" spans="1:23" x14ac:dyDescent="0.3">
      <c r="A1261">
        <v>30</v>
      </c>
      <c r="B1261">
        <v>0</v>
      </c>
      <c r="D1261" t="s">
        <v>139</v>
      </c>
      <c r="E1261" s="156">
        <v>44447</v>
      </c>
      <c r="F1261" t="s">
        <v>693</v>
      </c>
      <c r="G1261" s="156">
        <v>44447</v>
      </c>
      <c r="H1261" t="s">
        <v>1494</v>
      </c>
      <c r="I1261">
        <v>182000</v>
      </c>
      <c r="K1261">
        <v>0</v>
      </c>
      <c r="M1261">
        <v>0</v>
      </c>
      <c r="N1261">
        <v>0</v>
      </c>
      <c r="O1261">
        <v>0</v>
      </c>
      <c r="P1261" s="117">
        <v>182000</v>
      </c>
      <c r="Q1261" s="117" t="s">
        <v>1021</v>
      </c>
      <c r="R1261" s="150">
        <v>0</v>
      </c>
      <c r="S1261" s="117" t="b">
        <f>OR(COUNTIF(Tabla2[[#This Row],[PROVEEDOR]],"*"&amp;'Palabra no opera'!$A$2&amp;"*"))</f>
        <v>0</v>
      </c>
      <c r="T1261" s="150">
        <f>+$W$5-Tabla2[[#This Row],[FECHA DE FACTURACIÓN]]</f>
        <v>387</v>
      </c>
      <c r="U1261" t="str">
        <f>+IF(Tabla2[[#This Row],[dias de credito]]&gt;=Tabla2[[#This Row],[PLAZO Días]],"venc", "No venc")</f>
        <v>venc</v>
      </c>
      <c r="V1261" t="str">
        <f>+IF(Tabla2[[#This Row],[FECHA DE PAGO]]&gt;0,"pagada","por pagar")</f>
        <v>pagada</v>
      </c>
      <c r="W1261" s="152" t="str">
        <f>+IF(AND(Tabla2[[#This Row],[venc]]="venc",Tabla2[[#This Row],[Columna1]]="por pagar"),"vencida","no")</f>
        <v>no</v>
      </c>
    </row>
    <row r="1262" spans="1:23" x14ac:dyDescent="0.3">
      <c r="A1262">
        <v>30</v>
      </c>
      <c r="B1262">
        <v>0</v>
      </c>
      <c r="D1262">
        <v>0</v>
      </c>
      <c r="E1262" s="156">
        <v>44445</v>
      </c>
      <c r="F1262" t="s">
        <v>466</v>
      </c>
      <c r="G1262" s="156">
        <v>44445</v>
      </c>
      <c r="H1262">
        <v>209815</v>
      </c>
      <c r="I1262">
        <v>293277</v>
      </c>
      <c r="K1262">
        <v>55722.63</v>
      </c>
      <c r="M1262">
        <v>0</v>
      </c>
      <c r="N1262">
        <v>0</v>
      </c>
      <c r="O1262">
        <v>0</v>
      </c>
      <c r="P1262" s="117">
        <v>348999.63</v>
      </c>
      <c r="Q1262" s="117" t="s">
        <v>1021</v>
      </c>
      <c r="R1262" s="150">
        <v>0</v>
      </c>
      <c r="S1262" s="117" t="b">
        <f>OR(COUNTIF(Tabla2[[#This Row],[PROVEEDOR]],"*"&amp;'Palabra no opera'!$A$2&amp;"*"))</f>
        <v>0</v>
      </c>
      <c r="T1262" s="150">
        <f>+$W$5-Tabla2[[#This Row],[FECHA DE FACTURACIÓN]]</f>
        <v>389</v>
      </c>
      <c r="U1262" t="str">
        <f>+IF(Tabla2[[#This Row],[dias de credito]]&gt;=Tabla2[[#This Row],[PLAZO Días]],"venc", "No venc")</f>
        <v>venc</v>
      </c>
      <c r="V1262" t="str">
        <f>+IF(Tabla2[[#This Row],[FECHA DE PAGO]]&gt;0,"pagada","por pagar")</f>
        <v>pagada</v>
      </c>
      <c r="W1262" s="152" t="str">
        <f>+IF(AND(Tabla2[[#This Row],[venc]]="venc",Tabla2[[#This Row],[Columna1]]="por pagar"),"vencida","no")</f>
        <v>no</v>
      </c>
    </row>
    <row r="1263" spans="1:23" x14ac:dyDescent="0.3">
      <c r="A1263">
        <v>30</v>
      </c>
      <c r="B1263">
        <v>450000</v>
      </c>
      <c r="D1263" t="s">
        <v>291</v>
      </c>
      <c r="E1263" s="156">
        <v>44445</v>
      </c>
      <c r="F1263" t="s">
        <v>685</v>
      </c>
      <c r="G1263" s="156">
        <v>44435</v>
      </c>
      <c r="H1263" t="s">
        <v>1293</v>
      </c>
      <c r="I1263">
        <v>1500000</v>
      </c>
      <c r="K1263">
        <v>0</v>
      </c>
      <c r="M1263">
        <v>0</v>
      </c>
      <c r="N1263">
        <v>0</v>
      </c>
      <c r="O1263">
        <v>0</v>
      </c>
      <c r="P1263" s="117">
        <v>1500000</v>
      </c>
      <c r="Q1263" s="117" t="s">
        <v>1021</v>
      </c>
      <c r="R1263" s="150">
        <v>0</v>
      </c>
      <c r="S1263" s="117" t="b">
        <f>OR(COUNTIF(Tabla2[[#This Row],[PROVEEDOR]],"*"&amp;'Palabra no opera'!$A$2&amp;"*"))</f>
        <v>0</v>
      </c>
      <c r="T1263" s="150">
        <f>+$W$5-Tabla2[[#This Row],[FECHA DE FACTURACIÓN]]</f>
        <v>399</v>
      </c>
      <c r="U1263" t="str">
        <f>+IF(Tabla2[[#This Row],[dias de credito]]&gt;=Tabla2[[#This Row],[PLAZO Días]],"venc", "No venc")</f>
        <v>venc</v>
      </c>
      <c r="V1263" t="str">
        <f>+IF(Tabla2[[#This Row],[FECHA DE PAGO]]&gt;0,"pagada","por pagar")</f>
        <v>pagada</v>
      </c>
      <c r="W1263" s="152" t="str">
        <f>+IF(AND(Tabla2[[#This Row],[venc]]="venc",Tabla2[[#This Row],[Columna1]]="por pagar"),"vencida","no")</f>
        <v>no</v>
      </c>
    </row>
    <row r="1264" spans="1:23" x14ac:dyDescent="0.3">
      <c r="A1264">
        <v>30</v>
      </c>
      <c r="B1264">
        <v>5225000</v>
      </c>
      <c r="D1264" t="s">
        <v>139</v>
      </c>
      <c r="E1264" s="156">
        <v>44445</v>
      </c>
      <c r="F1264" t="s">
        <v>629</v>
      </c>
      <c r="G1264" s="156">
        <v>44410</v>
      </c>
      <c r="H1264" t="s">
        <v>1278</v>
      </c>
      <c r="I1264">
        <v>3560300</v>
      </c>
      <c r="K1264">
        <v>0</v>
      </c>
      <c r="M1264">
        <v>0</v>
      </c>
      <c r="N1264">
        <v>0</v>
      </c>
      <c r="O1264">
        <v>0</v>
      </c>
      <c r="P1264" s="117">
        <v>3560300</v>
      </c>
      <c r="Q1264" s="117" t="s">
        <v>1021</v>
      </c>
      <c r="R1264" s="150">
        <v>0</v>
      </c>
      <c r="S1264" s="117" t="b">
        <f>OR(COUNTIF(Tabla2[[#This Row],[PROVEEDOR]],"*"&amp;'Palabra no opera'!$A$2&amp;"*"))</f>
        <v>0</v>
      </c>
      <c r="T1264" s="150">
        <f>+$W$5-Tabla2[[#This Row],[FECHA DE FACTURACIÓN]]</f>
        <v>424</v>
      </c>
      <c r="U1264" t="str">
        <f>+IF(Tabla2[[#This Row],[dias de credito]]&gt;=Tabla2[[#This Row],[PLAZO Días]],"venc", "No venc")</f>
        <v>venc</v>
      </c>
      <c r="V1264" t="str">
        <f>+IF(Tabla2[[#This Row],[FECHA DE PAGO]]&gt;0,"pagada","por pagar")</f>
        <v>pagada</v>
      </c>
      <c r="W1264" s="152" t="str">
        <f>+IF(AND(Tabla2[[#This Row],[venc]]="venc",Tabla2[[#This Row],[Columna1]]="por pagar"),"vencida","no")</f>
        <v>no</v>
      </c>
    </row>
    <row r="1265" spans="1:23" x14ac:dyDescent="0.3">
      <c r="A1265">
        <v>30</v>
      </c>
      <c r="B1265">
        <v>9201606.4000000004</v>
      </c>
      <c r="D1265" t="s">
        <v>476</v>
      </c>
      <c r="E1265" s="156">
        <v>44445</v>
      </c>
      <c r="F1265" t="s">
        <v>407</v>
      </c>
      <c r="G1265" s="156">
        <v>44394</v>
      </c>
      <c r="H1265">
        <v>57</v>
      </c>
      <c r="I1265">
        <v>3229000</v>
      </c>
      <c r="K1265">
        <v>613510</v>
      </c>
      <c r="M1265">
        <v>0</v>
      </c>
      <c r="N1265">
        <v>2.5000000000000001E-2</v>
      </c>
      <c r="O1265">
        <v>80725</v>
      </c>
      <c r="P1265" s="117">
        <v>3761785</v>
      </c>
      <c r="Q1265" s="117" t="s">
        <v>1021</v>
      </c>
      <c r="R1265" s="150">
        <v>0</v>
      </c>
      <c r="S1265" s="117" t="b">
        <f>OR(COUNTIF(Tabla2[[#This Row],[PROVEEDOR]],"*"&amp;'Palabra no opera'!$A$2&amp;"*"))</f>
        <v>0</v>
      </c>
      <c r="T1265" s="150">
        <f>+$W$5-Tabla2[[#This Row],[FECHA DE FACTURACIÓN]]</f>
        <v>440</v>
      </c>
      <c r="U1265" t="str">
        <f>+IF(Tabla2[[#This Row],[dias de credito]]&gt;=Tabla2[[#This Row],[PLAZO Días]],"venc", "No venc")</f>
        <v>venc</v>
      </c>
      <c r="V1265" t="str">
        <f>+IF(Tabla2[[#This Row],[FECHA DE PAGO]]&gt;0,"pagada","por pagar")</f>
        <v>pagada</v>
      </c>
      <c r="W1265" s="152" t="str">
        <f>+IF(AND(Tabla2[[#This Row],[venc]]="venc",Tabla2[[#This Row],[Columna1]]="por pagar"),"vencida","no")</f>
        <v>no</v>
      </c>
    </row>
    <row r="1266" spans="1:23" x14ac:dyDescent="0.3">
      <c r="A1266">
        <v>30</v>
      </c>
      <c r="B1266">
        <v>0</v>
      </c>
      <c r="D1266" t="s">
        <v>139</v>
      </c>
      <c r="E1266" s="156">
        <v>44442</v>
      </c>
      <c r="F1266" t="s">
        <v>673</v>
      </c>
      <c r="G1266" s="156">
        <v>44442</v>
      </c>
      <c r="I1266">
        <v>1000000</v>
      </c>
      <c r="K1266">
        <v>0</v>
      </c>
      <c r="M1266">
        <v>0</v>
      </c>
      <c r="N1266">
        <v>0</v>
      </c>
      <c r="O1266">
        <v>0</v>
      </c>
      <c r="P1266" s="117">
        <v>1000000</v>
      </c>
      <c r="Q1266" s="117" t="s">
        <v>1021</v>
      </c>
      <c r="R1266" s="150">
        <v>0</v>
      </c>
      <c r="S1266" s="117" t="b">
        <f>OR(COUNTIF(Tabla2[[#This Row],[PROVEEDOR]],"*"&amp;'Palabra no opera'!$A$2&amp;"*"))</f>
        <v>0</v>
      </c>
      <c r="T1266" s="150">
        <f>+$W$5-Tabla2[[#This Row],[FECHA DE FACTURACIÓN]]</f>
        <v>392</v>
      </c>
      <c r="U1266" t="str">
        <f>+IF(Tabla2[[#This Row],[dias de credito]]&gt;=Tabla2[[#This Row],[PLAZO Días]],"venc", "No venc")</f>
        <v>venc</v>
      </c>
      <c r="V1266" t="str">
        <f>+IF(Tabla2[[#This Row],[FECHA DE PAGO]]&gt;0,"pagada","por pagar")</f>
        <v>pagada</v>
      </c>
      <c r="W1266" s="152" t="str">
        <f>+IF(AND(Tabla2[[#This Row],[venc]]="venc",Tabla2[[#This Row],[Columna1]]="por pagar"),"vencida","no")</f>
        <v>no</v>
      </c>
    </row>
    <row r="1267" spans="1:23" x14ac:dyDescent="0.3">
      <c r="A1267">
        <v>30</v>
      </c>
      <c r="B1267">
        <v>0</v>
      </c>
      <c r="D1267" t="s">
        <v>261</v>
      </c>
      <c r="E1267" s="156">
        <v>44442</v>
      </c>
      <c r="F1267" t="s">
        <v>746</v>
      </c>
      <c r="G1267" s="156">
        <v>44433</v>
      </c>
      <c r="H1267" t="s">
        <v>451</v>
      </c>
      <c r="I1267">
        <v>-95378.15</v>
      </c>
      <c r="K1267">
        <v>-18121.8485</v>
      </c>
      <c r="M1267">
        <v>0</v>
      </c>
      <c r="N1267">
        <v>0</v>
      </c>
      <c r="O1267">
        <v>0</v>
      </c>
      <c r="P1267" s="117">
        <v>-113499.99849999999</v>
      </c>
      <c r="Q1267" s="117" t="s">
        <v>1021</v>
      </c>
      <c r="R1267" s="150">
        <v>0</v>
      </c>
      <c r="S1267" s="117" t="b">
        <f>OR(COUNTIF(Tabla2[[#This Row],[PROVEEDOR]],"*"&amp;'Palabra no opera'!$A$2&amp;"*"))</f>
        <v>0</v>
      </c>
      <c r="T1267" s="150">
        <f>+$W$5-Tabla2[[#This Row],[FECHA DE FACTURACIÓN]]</f>
        <v>401</v>
      </c>
      <c r="U1267" t="str">
        <f>+IF(Tabla2[[#This Row],[dias de credito]]&gt;=Tabla2[[#This Row],[PLAZO Días]],"venc", "No venc")</f>
        <v>venc</v>
      </c>
      <c r="V1267" t="str">
        <f>+IF(Tabla2[[#This Row],[FECHA DE PAGO]]&gt;0,"pagada","por pagar")</f>
        <v>pagada</v>
      </c>
      <c r="W1267" s="152" t="str">
        <f>+IF(AND(Tabla2[[#This Row],[venc]]="venc",Tabla2[[#This Row],[Columna1]]="por pagar"),"vencida","no")</f>
        <v>no</v>
      </c>
    </row>
    <row r="1268" spans="1:23" x14ac:dyDescent="0.3">
      <c r="A1268">
        <v>30</v>
      </c>
      <c r="B1268">
        <v>0</v>
      </c>
      <c r="D1268" t="s">
        <v>949</v>
      </c>
      <c r="E1268" s="156">
        <v>44442</v>
      </c>
      <c r="F1268" t="s">
        <v>404</v>
      </c>
      <c r="G1268" s="156">
        <v>44432</v>
      </c>
      <c r="H1268" t="s">
        <v>442</v>
      </c>
      <c r="I1268">
        <v>4158.2</v>
      </c>
      <c r="K1268">
        <v>0</v>
      </c>
      <c r="M1268">
        <v>0</v>
      </c>
      <c r="N1268">
        <v>0</v>
      </c>
      <c r="O1268">
        <v>0</v>
      </c>
      <c r="P1268" s="117">
        <v>4158.2</v>
      </c>
      <c r="Q1268" s="117" t="s">
        <v>1021</v>
      </c>
      <c r="R1268" s="150">
        <v>0</v>
      </c>
      <c r="S1268" s="117" t="b">
        <f>OR(COUNTIF(Tabla2[[#This Row],[PROVEEDOR]],"*"&amp;'Palabra no opera'!$A$2&amp;"*"))</f>
        <v>0</v>
      </c>
      <c r="T1268" s="150">
        <f>+$W$5-Tabla2[[#This Row],[FECHA DE FACTURACIÓN]]</f>
        <v>402</v>
      </c>
      <c r="U1268" t="str">
        <f>+IF(Tabla2[[#This Row],[dias de credito]]&gt;=Tabla2[[#This Row],[PLAZO Días]],"venc", "No venc")</f>
        <v>venc</v>
      </c>
      <c r="V1268" t="str">
        <f>+IF(Tabla2[[#This Row],[FECHA DE PAGO]]&gt;0,"pagada","por pagar")</f>
        <v>pagada</v>
      </c>
      <c r="W1268" s="152" t="str">
        <f>+IF(AND(Tabla2[[#This Row],[venc]]="venc",Tabla2[[#This Row],[Columna1]]="por pagar"),"vencida","no")</f>
        <v>no</v>
      </c>
    </row>
    <row r="1269" spans="1:23" x14ac:dyDescent="0.3">
      <c r="A1269">
        <v>30</v>
      </c>
      <c r="B1269">
        <v>2324000</v>
      </c>
      <c r="D1269" t="s">
        <v>251</v>
      </c>
      <c r="E1269" s="156">
        <v>44442</v>
      </c>
      <c r="F1269" t="s">
        <v>699</v>
      </c>
      <c r="G1269" s="156">
        <v>44420</v>
      </c>
      <c r="H1269" t="s">
        <v>1483</v>
      </c>
      <c r="I1269">
        <v>-48000</v>
      </c>
      <c r="K1269">
        <v>0</v>
      </c>
      <c r="M1269">
        <v>0</v>
      </c>
      <c r="N1269">
        <v>0</v>
      </c>
      <c r="O1269">
        <v>0</v>
      </c>
      <c r="P1269" s="117">
        <v>-48000</v>
      </c>
      <c r="Q1269" s="117" t="s">
        <v>1021</v>
      </c>
      <c r="R1269" s="150">
        <v>0</v>
      </c>
      <c r="S1269" s="117" t="b">
        <f>OR(COUNTIF(Tabla2[[#This Row],[PROVEEDOR]],"*"&amp;'Palabra no opera'!$A$2&amp;"*"))</f>
        <v>0</v>
      </c>
      <c r="T1269" s="150">
        <f>+$W$5-Tabla2[[#This Row],[FECHA DE FACTURACIÓN]]</f>
        <v>414</v>
      </c>
      <c r="U1269" t="str">
        <f>+IF(Tabla2[[#This Row],[dias de credito]]&gt;=Tabla2[[#This Row],[PLAZO Días]],"venc", "No venc")</f>
        <v>venc</v>
      </c>
      <c r="V1269" t="str">
        <f>+IF(Tabla2[[#This Row],[FECHA DE PAGO]]&gt;0,"pagada","por pagar")</f>
        <v>pagada</v>
      </c>
      <c r="W1269" s="152" t="str">
        <f>+IF(AND(Tabla2[[#This Row],[venc]]="venc",Tabla2[[#This Row],[Columna1]]="por pagar"),"vencida","no")</f>
        <v>no</v>
      </c>
    </row>
    <row r="1270" spans="1:23" x14ac:dyDescent="0.3">
      <c r="A1270">
        <v>30</v>
      </c>
      <c r="B1270">
        <v>6259125.5999999996</v>
      </c>
      <c r="D1270" t="s">
        <v>264</v>
      </c>
      <c r="E1270" s="156">
        <v>44442</v>
      </c>
      <c r="F1270" t="s">
        <v>1448</v>
      </c>
      <c r="G1270" s="156">
        <v>44411</v>
      </c>
      <c r="H1270">
        <v>20400</v>
      </c>
      <c r="I1270">
        <v>4769920</v>
      </c>
      <c r="K1270">
        <v>906284.8</v>
      </c>
      <c r="M1270">
        <v>0</v>
      </c>
      <c r="N1270">
        <v>2.5000000000000001E-2</v>
      </c>
      <c r="O1270">
        <v>119248</v>
      </c>
      <c r="P1270" s="117">
        <v>5556956.7999999998</v>
      </c>
      <c r="Q1270" s="117" t="s">
        <v>1021</v>
      </c>
      <c r="R1270" s="150">
        <v>0</v>
      </c>
      <c r="S1270" s="117" t="b">
        <f>OR(COUNTIF(Tabla2[[#This Row],[PROVEEDOR]],"*"&amp;'Palabra no opera'!$A$2&amp;"*"))</f>
        <v>0</v>
      </c>
      <c r="T1270" s="150">
        <f>+$W$5-Tabla2[[#This Row],[FECHA DE FACTURACIÓN]]</f>
        <v>423</v>
      </c>
      <c r="U1270" t="str">
        <f>+IF(Tabla2[[#This Row],[dias de credito]]&gt;=Tabla2[[#This Row],[PLAZO Días]],"venc", "No venc")</f>
        <v>venc</v>
      </c>
      <c r="V1270" t="str">
        <f>+IF(Tabla2[[#This Row],[FECHA DE PAGO]]&gt;0,"pagada","por pagar")</f>
        <v>pagada</v>
      </c>
      <c r="W1270" s="152" t="str">
        <f>+IF(AND(Tabla2[[#This Row],[venc]]="venc",Tabla2[[#This Row],[Columna1]]="por pagar"),"vencida","no")</f>
        <v>no</v>
      </c>
    </row>
    <row r="1271" spans="1:23" x14ac:dyDescent="0.3">
      <c r="A1271">
        <v>30</v>
      </c>
      <c r="B1271">
        <v>146262.9</v>
      </c>
      <c r="D1271" t="s">
        <v>262</v>
      </c>
      <c r="E1271" s="156">
        <v>44442</v>
      </c>
      <c r="F1271" t="s">
        <v>17</v>
      </c>
      <c r="G1271" s="156">
        <v>44411</v>
      </c>
      <c r="H1271">
        <v>1795600</v>
      </c>
      <c r="I1271">
        <v>1339866</v>
      </c>
      <c r="K1271">
        <v>254574.54</v>
      </c>
      <c r="M1271">
        <v>0</v>
      </c>
      <c r="N1271">
        <v>0</v>
      </c>
      <c r="O1271">
        <v>0</v>
      </c>
      <c r="P1271" s="117">
        <v>1594440.54</v>
      </c>
      <c r="Q1271" s="117" t="s">
        <v>1021</v>
      </c>
      <c r="R1271" s="150">
        <v>0</v>
      </c>
      <c r="S1271" s="117" t="b">
        <f>OR(COUNTIF(Tabla2[[#This Row],[PROVEEDOR]],"*"&amp;'Palabra no opera'!$A$2&amp;"*"))</f>
        <v>0</v>
      </c>
      <c r="T1271" s="150">
        <f>+$W$5-Tabla2[[#This Row],[FECHA DE FACTURACIÓN]]</f>
        <v>423</v>
      </c>
      <c r="U1271" t="str">
        <f>+IF(Tabla2[[#This Row],[dias de credito]]&gt;=Tabla2[[#This Row],[PLAZO Días]],"venc", "No venc")</f>
        <v>venc</v>
      </c>
      <c r="V1271" t="str">
        <f>+IF(Tabla2[[#This Row],[FECHA DE PAGO]]&gt;0,"pagada","por pagar")</f>
        <v>pagada</v>
      </c>
      <c r="W1271" s="152" t="str">
        <f>+IF(AND(Tabla2[[#This Row],[venc]]="venc",Tabla2[[#This Row],[Columna1]]="por pagar"),"vencida","no")</f>
        <v>no</v>
      </c>
    </row>
    <row r="1272" spans="1:23" x14ac:dyDescent="0.3">
      <c r="A1272">
        <v>30</v>
      </c>
      <c r="B1272">
        <v>1580500</v>
      </c>
      <c r="D1272" t="s">
        <v>139</v>
      </c>
      <c r="E1272" s="156">
        <v>44442</v>
      </c>
      <c r="F1272" t="s">
        <v>686</v>
      </c>
      <c r="G1272" s="156">
        <v>44410</v>
      </c>
      <c r="H1272" t="s">
        <v>1476</v>
      </c>
      <c r="I1272">
        <v>673605</v>
      </c>
      <c r="K1272">
        <v>0</v>
      </c>
      <c r="M1272">
        <v>0</v>
      </c>
      <c r="N1272">
        <v>0</v>
      </c>
      <c r="O1272">
        <v>0</v>
      </c>
      <c r="P1272" s="117">
        <v>673605</v>
      </c>
      <c r="Q1272" s="117" t="s">
        <v>1021</v>
      </c>
      <c r="R1272" s="150">
        <v>0</v>
      </c>
      <c r="S1272" s="117" t="b">
        <f>OR(COUNTIF(Tabla2[[#This Row],[PROVEEDOR]],"*"&amp;'Palabra no opera'!$A$2&amp;"*"))</f>
        <v>0</v>
      </c>
      <c r="T1272" s="150">
        <f>+$W$5-Tabla2[[#This Row],[FECHA DE FACTURACIÓN]]</f>
        <v>424</v>
      </c>
      <c r="U1272" t="str">
        <f>+IF(Tabla2[[#This Row],[dias de credito]]&gt;=Tabla2[[#This Row],[PLAZO Días]],"venc", "No venc")</f>
        <v>venc</v>
      </c>
      <c r="V1272" t="str">
        <f>+IF(Tabla2[[#This Row],[FECHA DE PAGO]]&gt;0,"pagada","por pagar")</f>
        <v>pagada</v>
      </c>
      <c r="W1272" s="152" t="str">
        <f>+IF(AND(Tabla2[[#This Row],[venc]]="venc",Tabla2[[#This Row],[Columna1]]="por pagar"),"vencida","no")</f>
        <v>no</v>
      </c>
    </row>
    <row r="1273" spans="1:23" x14ac:dyDescent="0.3">
      <c r="A1273">
        <v>30</v>
      </c>
      <c r="B1273">
        <v>0</v>
      </c>
      <c r="D1273" t="s">
        <v>1653</v>
      </c>
      <c r="E1273" s="156">
        <v>44442</v>
      </c>
      <c r="F1273" t="s">
        <v>24</v>
      </c>
      <c r="G1273" s="156">
        <v>44408</v>
      </c>
      <c r="H1273" t="s">
        <v>393</v>
      </c>
      <c r="I1273">
        <v>758000</v>
      </c>
      <c r="K1273">
        <v>144020</v>
      </c>
      <c r="M1273">
        <v>0</v>
      </c>
      <c r="N1273">
        <v>0</v>
      </c>
      <c r="O1273">
        <v>0</v>
      </c>
      <c r="P1273" s="117">
        <v>902020</v>
      </c>
      <c r="Q1273" s="117" t="s">
        <v>1021</v>
      </c>
      <c r="R1273" s="150">
        <v>0</v>
      </c>
      <c r="S1273" s="117" t="b">
        <f>OR(COUNTIF(Tabla2[[#This Row],[PROVEEDOR]],"*"&amp;'Palabra no opera'!$A$2&amp;"*"))</f>
        <v>0</v>
      </c>
      <c r="T1273" s="150">
        <f>+$W$5-Tabla2[[#This Row],[FECHA DE FACTURACIÓN]]</f>
        <v>426</v>
      </c>
      <c r="U1273" t="str">
        <f>+IF(Tabla2[[#This Row],[dias de credito]]&gt;=Tabla2[[#This Row],[PLAZO Días]],"venc", "No venc")</f>
        <v>venc</v>
      </c>
      <c r="V1273" t="str">
        <f>+IF(Tabla2[[#This Row],[FECHA DE PAGO]]&gt;0,"pagada","por pagar")</f>
        <v>pagada</v>
      </c>
      <c r="W1273" s="152" t="str">
        <f>+IF(AND(Tabla2[[#This Row],[venc]]="venc",Tabla2[[#This Row],[Columna1]]="por pagar"),"vencida","no")</f>
        <v>no</v>
      </c>
    </row>
    <row r="1274" spans="1:23" x14ac:dyDescent="0.3">
      <c r="A1274">
        <v>30</v>
      </c>
      <c r="B1274">
        <v>0</v>
      </c>
      <c r="D1274" t="s">
        <v>431</v>
      </c>
      <c r="E1274" s="156">
        <v>44442</v>
      </c>
      <c r="F1274" t="s">
        <v>430</v>
      </c>
      <c r="G1274" s="156">
        <v>44407</v>
      </c>
      <c r="H1274">
        <v>8</v>
      </c>
      <c r="I1274">
        <v>1420000</v>
      </c>
      <c r="K1274">
        <v>269800</v>
      </c>
      <c r="M1274">
        <v>0</v>
      </c>
      <c r="N1274">
        <v>2.5000000000000001E-2</v>
      </c>
      <c r="O1274">
        <v>35500</v>
      </c>
      <c r="P1274" s="117">
        <v>1654300</v>
      </c>
      <c r="Q1274" s="117" t="s">
        <v>1021</v>
      </c>
      <c r="R1274" s="150">
        <v>0</v>
      </c>
      <c r="S1274" s="117" t="b">
        <f>OR(COUNTIF(Tabla2[[#This Row],[PROVEEDOR]],"*"&amp;'Palabra no opera'!$A$2&amp;"*"))</f>
        <v>0</v>
      </c>
      <c r="T1274" s="150">
        <f>+$W$5-Tabla2[[#This Row],[FECHA DE FACTURACIÓN]]</f>
        <v>427</v>
      </c>
      <c r="U1274" t="str">
        <f>+IF(Tabla2[[#This Row],[dias de credito]]&gt;=Tabla2[[#This Row],[PLAZO Días]],"venc", "No venc")</f>
        <v>venc</v>
      </c>
      <c r="V1274" t="str">
        <f>+IF(Tabla2[[#This Row],[FECHA DE PAGO]]&gt;0,"pagada","por pagar")</f>
        <v>pagada</v>
      </c>
      <c r="W1274" s="152" t="str">
        <f>+IF(AND(Tabla2[[#This Row],[venc]]="venc",Tabla2[[#This Row],[Columna1]]="por pagar"),"vencida","no")</f>
        <v>no</v>
      </c>
    </row>
    <row r="1275" spans="1:23" x14ac:dyDescent="0.3">
      <c r="A1275">
        <v>30</v>
      </c>
      <c r="B1275">
        <v>3450150</v>
      </c>
      <c r="D1275" t="s">
        <v>402</v>
      </c>
      <c r="E1275" s="156">
        <v>44442</v>
      </c>
      <c r="F1275" t="s">
        <v>691</v>
      </c>
      <c r="G1275" s="156">
        <v>44404</v>
      </c>
      <c r="H1275" t="s">
        <v>1433</v>
      </c>
      <c r="I1275">
        <v>803250</v>
      </c>
      <c r="K1275">
        <v>0</v>
      </c>
      <c r="M1275">
        <v>0</v>
      </c>
      <c r="N1275">
        <v>0</v>
      </c>
      <c r="O1275">
        <v>0</v>
      </c>
      <c r="P1275" s="117">
        <v>803250</v>
      </c>
      <c r="Q1275" s="117" t="s">
        <v>1021</v>
      </c>
      <c r="R1275" s="150">
        <v>0</v>
      </c>
      <c r="S1275" s="117" t="b">
        <f>OR(COUNTIF(Tabla2[[#This Row],[PROVEEDOR]],"*"&amp;'Palabra no opera'!$A$2&amp;"*"))</f>
        <v>0</v>
      </c>
      <c r="T1275" s="150">
        <f>+$W$5-Tabla2[[#This Row],[FECHA DE FACTURACIÓN]]</f>
        <v>430</v>
      </c>
      <c r="U1275" t="str">
        <f>+IF(Tabla2[[#This Row],[dias de credito]]&gt;=Tabla2[[#This Row],[PLAZO Días]],"venc", "No venc")</f>
        <v>venc</v>
      </c>
      <c r="V1275" t="str">
        <f>+IF(Tabla2[[#This Row],[FECHA DE PAGO]]&gt;0,"pagada","por pagar")</f>
        <v>pagada</v>
      </c>
      <c r="W1275" s="152" t="str">
        <f>+IF(AND(Tabla2[[#This Row],[venc]]="venc",Tabla2[[#This Row],[Columna1]]="por pagar"),"vencida","no")</f>
        <v>no</v>
      </c>
    </row>
    <row r="1276" spans="1:23" x14ac:dyDescent="0.3">
      <c r="A1276">
        <v>30</v>
      </c>
      <c r="B1276">
        <v>0</v>
      </c>
      <c r="D1276" t="s">
        <v>277</v>
      </c>
      <c r="E1276" s="156">
        <v>44442</v>
      </c>
      <c r="F1276" t="s">
        <v>131</v>
      </c>
      <c r="G1276" s="156">
        <v>44404</v>
      </c>
      <c r="H1276">
        <v>37</v>
      </c>
      <c r="I1276">
        <v>504000</v>
      </c>
      <c r="J1276">
        <v>100800</v>
      </c>
      <c r="K1276">
        <v>76608</v>
      </c>
      <c r="M1276">
        <v>0</v>
      </c>
      <c r="N1276">
        <v>0</v>
      </c>
      <c r="O1276">
        <v>0</v>
      </c>
      <c r="P1276" s="117">
        <v>479808</v>
      </c>
      <c r="Q1276" s="117" t="s">
        <v>1021</v>
      </c>
      <c r="R1276" s="150">
        <v>0</v>
      </c>
      <c r="S1276" s="117" t="b">
        <f>OR(COUNTIF(Tabla2[[#This Row],[PROVEEDOR]],"*"&amp;'Palabra no opera'!$A$2&amp;"*"))</f>
        <v>0</v>
      </c>
      <c r="T1276" s="150">
        <f>+$W$5-Tabla2[[#This Row],[FECHA DE FACTURACIÓN]]</f>
        <v>430</v>
      </c>
      <c r="U1276" t="str">
        <f>+IF(Tabla2[[#This Row],[dias de credito]]&gt;=Tabla2[[#This Row],[PLAZO Días]],"venc", "No venc")</f>
        <v>venc</v>
      </c>
      <c r="V1276" t="str">
        <f>+IF(Tabla2[[#This Row],[FECHA DE PAGO]]&gt;0,"pagada","por pagar")</f>
        <v>pagada</v>
      </c>
      <c r="W1276" s="152" t="str">
        <f>+IF(AND(Tabla2[[#This Row],[venc]]="venc",Tabla2[[#This Row],[Columna1]]="por pagar"),"vencida","no")</f>
        <v>no</v>
      </c>
    </row>
    <row r="1277" spans="1:23" x14ac:dyDescent="0.3">
      <c r="A1277">
        <v>30</v>
      </c>
      <c r="B1277">
        <v>8457900</v>
      </c>
      <c r="D1277" t="s">
        <v>1027</v>
      </c>
      <c r="E1277" s="156">
        <v>44442</v>
      </c>
      <c r="F1277" t="s">
        <v>11</v>
      </c>
      <c r="G1277" s="156">
        <v>44404</v>
      </c>
      <c r="H1277" t="s">
        <v>391</v>
      </c>
      <c r="I1277">
        <v>2640000</v>
      </c>
      <c r="K1277">
        <v>501600</v>
      </c>
      <c r="M1277">
        <v>0</v>
      </c>
      <c r="N1277">
        <v>2.5000000000000001E-2</v>
      </c>
      <c r="O1277">
        <v>66000</v>
      </c>
      <c r="P1277" s="117">
        <v>3075600</v>
      </c>
      <c r="Q1277" s="117" t="s">
        <v>1021</v>
      </c>
      <c r="R1277" s="150">
        <v>0</v>
      </c>
      <c r="S1277" s="117" t="b">
        <f>OR(COUNTIF(Tabla2[[#This Row],[PROVEEDOR]],"*"&amp;'Palabra no opera'!$A$2&amp;"*"))</f>
        <v>0</v>
      </c>
      <c r="T1277" s="150">
        <f>+$W$5-Tabla2[[#This Row],[FECHA DE FACTURACIÓN]]</f>
        <v>430</v>
      </c>
      <c r="U1277" t="str">
        <f>+IF(Tabla2[[#This Row],[dias de credito]]&gt;=Tabla2[[#This Row],[PLAZO Días]],"venc", "No venc")</f>
        <v>venc</v>
      </c>
      <c r="V1277" t="str">
        <f>+IF(Tabla2[[#This Row],[FECHA DE PAGO]]&gt;0,"pagada","por pagar")</f>
        <v>pagada</v>
      </c>
      <c r="W1277" s="152" t="str">
        <f>+IF(AND(Tabla2[[#This Row],[venc]]="venc",Tabla2[[#This Row],[Columna1]]="por pagar"),"vencida","no")</f>
        <v>no</v>
      </c>
    </row>
    <row r="1278" spans="1:23" x14ac:dyDescent="0.3">
      <c r="A1278">
        <v>30</v>
      </c>
      <c r="B1278">
        <v>0</v>
      </c>
      <c r="D1278" t="s">
        <v>1653</v>
      </c>
      <c r="E1278" s="156">
        <v>44442</v>
      </c>
      <c r="F1278" t="s">
        <v>24</v>
      </c>
      <c r="G1278" s="156">
        <v>44401</v>
      </c>
      <c r="H1278" t="s">
        <v>389</v>
      </c>
      <c r="I1278">
        <v>585000</v>
      </c>
      <c r="K1278">
        <v>111150</v>
      </c>
      <c r="M1278">
        <v>0</v>
      </c>
      <c r="N1278">
        <v>0</v>
      </c>
      <c r="O1278">
        <v>0</v>
      </c>
      <c r="P1278" s="117">
        <v>696150</v>
      </c>
      <c r="Q1278" s="117" t="s">
        <v>1021</v>
      </c>
      <c r="R1278" s="150">
        <v>0</v>
      </c>
      <c r="S1278" s="117" t="b">
        <f>OR(COUNTIF(Tabla2[[#This Row],[PROVEEDOR]],"*"&amp;'Palabra no opera'!$A$2&amp;"*"))</f>
        <v>0</v>
      </c>
      <c r="T1278" s="150">
        <f>+$W$5-Tabla2[[#This Row],[FECHA DE FACTURACIÓN]]</f>
        <v>433</v>
      </c>
      <c r="U1278" t="str">
        <f>+IF(Tabla2[[#This Row],[dias de credito]]&gt;=Tabla2[[#This Row],[PLAZO Días]],"venc", "No venc")</f>
        <v>venc</v>
      </c>
      <c r="V1278" t="str">
        <f>+IF(Tabla2[[#This Row],[FECHA DE PAGO]]&gt;0,"pagada","por pagar")</f>
        <v>pagada</v>
      </c>
      <c r="W1278" s="152" t="str">
        <f>+IF(AND(Tabla2[[#This Row],[venc]]="venc",Tabla2[[#This Row],[Columna1]]="por pagar"),"vencida","no")</f>
        <v>no</v>
      </c>
    </row>
    <row r="1279" spans="1:23" x14ac:dyDescent="0.3">
      <c r="A1279">
        <v>30</v>
      </c>
      <c r="B1279">
        <v>0</v>
      </c>
      <c r="D1279" t="s">
        <v>1653</v>
      </c>
      <c r="E1279" s="156">
        <v>44442</v>
      </c>
      <c r="F1279" t="s">
        <v>24</v>
      </c>
      <c r="G1279" s="156">
        <v>44400</v>
      </c>
      <c r="H1279" t="s">
        <v>390</v>
      </c>
      <c r="I1279">
        <v>585000</v>
      </c>
      <c r="K1279">
        <v>111150</v>
      </c>
      <c r="M1279">
        <v>0</v>
      </c>
      <c r="N1279">
        <v>0</v>
      </c>
      <c r="O1279">
        <v>0</v>
      </c>
      <c r="P1279" s="117">
        <v>696150</v>
      </c>
      <c r="Q1279" s="117" t="s">
        <v>1021</v>
      </c>
      <c r="R1279" s="150">
        <v>0</v>
      </c>
      <c r="S1279" s="117" t="b">
        <f>OR(COUNTIF(Tabla2[[#This Row],[PROVEEDOR]],"*"&amp;'Palabra no opera'!$A$2&amp;"*"))</f>
        <v>0</v>
      </c>
      <c r="T1279" s="150">
        <f>+$W$5-Tabla2[[#This Row],[FECHA DE FACTURACIÓN]]</f>
        <v>434</v>
      </c>
      <c r="U1279" t="str">
        <f>+IF(Tabla2[[#This Row],[dias de credito]]&gt;=Tabla2[[#This Row],[PLAZO Días]],"venc", "No venc")</f>
        <v>venc</v>
      </c>
      <c r="V1279" t="str">
        <f>+IF(Tabla2[[#This Row],[FECHA DE PAGO]]&gt;0,"pagada","por pagar")</f>
        <v>pagada</v>
      </c>
      <c r="W1279" s="152" t="str">
        <f>+IF(AND(Tabla2[[#This Row],[venc]]="venc",Tabla2[[#This Row],[Columna1]]="por pagar"),"vencida","no")</f>
        <v>no</v>
      </c>
    </row>
    <row r="1280" spans="1:23" x14ac:dyDescent="0.3">
      <c r="A1280">
        <v>30</v>
      </c>
      <c r="B1280">
        <v>8190204</v>
      </c>
      <c r="D1280" t="s">
        <v>263</v>
      </c>
      <c r="E1280" s="156">
        <v>44442</v>
      </c>
      <c r="F1280" t="s">
        <v>1637</v>
      </c>
      <c r="G1280" s="156">
        <v>44400</v>
      </c>
      <c r="H1280">
        <v>21790</v>
      </c>
      <c r="I1280">
        <v>232800</v>
      </c>
      <c r="K1280">
        <v>44232</v>
      </c>
      <c r="M1280">
        <v>0</v>
      </c>
      <c r="N1280">
        <v>0</v>
      </c>
      <c r="O1280">
        <v>0</v>
      </c>
      <c r="P1280" s="117">
        <v>277032</v>
      </c>
      <c r="Q1280" s="117" t="s">
        <v>1021</v>
      </c>
      <c r="R1280" s="150">
        <v>0</v>
      </c>
      <c r="S1280" s="117" t="b">
        <f>OR(COUNTIF(Tabla2[[#This Row],[PROVEEDOR]],"*"&amp;'Palabra no opera'!$A$2&amp;"*"))</f>
        <v>0</v>
      </c>
      <c r="T1280" s="150">
        <f>+$W$5-Tabla2[[#This Row],[FECHA DE FACTURACIÓN]]</f>
        <v>434</v>
      </c>
      <c r="U1280" t="str">
        <f>+IF(Tabla2[[#This Row],[dias de credito]]&gt;=Tabla2[[#This Row],[PLAZO Días]],"venc", "No venc")</f>
        <v>venc</v>
      </c>
      <c r="V1280" t="str">
        <f>+IF(Tabla2[[#This Row],[FECHA DE PAGO]]&gt;0,"pagada","por pagar")</f>
        <v>pagada</v>
      </c>
      <c r="W1280" s="152" t="str">
        <f>+IF(AND(Tabla2[[#This Row],[venc]]="venc",Tabla2[[#This Row],[Columna1]]="por pagar"),"vencida","no")</f>
        <v>no</v>
      </c>
    </row>
    <row r="1281" spans="1:23" x14ac:dyDescent="0.3">
      <c r="A1281">
        <v>30</v>
      </c>
      <c r="B1281">
        <v>0</v>
      </c>
      <c r="D1281" t="s">
        <v>261</v>
      </c>
      <c r="E1281" s="156">
        <v>44442</v>
      </c>
      <c r="F1281" t="s">
        <v>746</v>
      </c>
      <c r="G1281" s="156">
        <v>44392</v>
      </c>
      <c r="H1281">
        <v>1416</v>
      </c>
      <c r="I1281">
        <v>2333613.44</v>
      </c>
      <c r="K1281">
        <v>443386.55359999998</v>
      </c>
      <c r="M1281">
        <v>0</v>
      </c>
      <c r="N1281">
        <v>2.5000000000000001E-2</v>
      </c>
      <c r="O1281">
        <v>58340.336000000003</v>
      </c>
      <c r="P1281" s="117">
        <v>2718659.6575999996</v>
      </c>
      <c r="Q1281" s="117" t="s">
        <v>1021</v>
      </c>
      <c r="R1281" s="150">
        <v>0</v>
      </c>
      <c r="S1281" s="117" t="b">
        <f>OR(COUNTIF(Tabla2[[#This Row],[PROVEEDOR]],"*"&amp;'Palabra no opera'!$A$2&amp;"*"))</f>
        <v>0</v>
      </c>
      <c r="T1281" s="150">
        <f>+$W$5-Tabla2[[#This Row],[FECHA DE FACTURACIÓN]]</f>
        <v>442</v>
      </c>
      <c r="U1281" t="str">
        <f>+IF(Tabla2[[#This Row],[dias de credito]]&gt;=Tabla2[[#This Row],[PLAZO Días]],"venc", "No venc")</f>
        <v>venc</v>
      </c>
      <c r="V1281" t="str">
        <f>+IF(Tabla2[[#This Row],[FECHA DE PAGO]]&gt;0,"pagada","por pagar")</f>
        <v>pagada</v>
      </c>
      <c r="W1281" s="152" t="str">
        <f>+IF(AND(Tabla2[[#This Row],[venc]]="venc",Tabla2[[#This Row],[Columna1]]="por pagar"),"vencida","no")</f>
        <v>no</v>
      </c>
    </row>
    <row r="1282" spans="1:23" x14ac:dyDescent="0.3">
      <c r="A1282">
        <v>30</v>
      </c>
      <c r="B1282">
        <v>2111011.8149999999</v>
      </c>
      <c r="D1282" t="s">
        <v>251</v>
      </c>
      <c r="E1282" s="156">
        <v>44442</v>
      </c>
      <c r="F1282" t="s">
        <v>216</v>
      </c>
      <c r="G1282" s="156">
        <v>44391</v>
      </c>
      <c r="H1282">
        <v>316</v>
      </c>
      <c r="I1282">
        <v>324370</v>
      </c>
      <c r="K1282">
        <v>61630.3</v>
      </c>
      <c r="M1282">
        <v>0</v>
      </c>
      <c r="N1282">
        <v>0</v>
      </c>
      <c r="O1282">
        <v>0</v>
      </c>
      <c r="P1282" s="117">
        <v>386000.3</v>
      </c>
      <c r="Q1282" s="117" t="s">
        <v>1021</v>
      </c>
      <c r="R1282" s="150">
        <v>0</v>
      </c>
      <c r="S1282" s="117" t="b">
        <f>OR(COUNTIF(Tabla2[[#This Row],[PROVEEDOR]],"*"&amp;'Palabra no opera'!$A$2&amp;"*"))</f>
        <v>0</v>
      </c>
      <c r="T1282" s="150">
        <f>+$W$5-Tabla2[[#This Row],[FECHA DE FACTURACIÓN]]</f>
        <v>443</v>
      </c>
      <c r="U1282" t="str">
        <f>+IF(Tabla2[[#This Row],[dias de credito]]&gt;=Tabla2[[#This Row],[PLAZO Días]],"venc", "No venc")</f>
        <v>venc</v>
      </c>
      <c r="V1282" t="str">
        <f>+IF(Tabla2[[#This Row],[FECHA DE PAGO]]&gt;0,"pagada","por pagar")</f>
        <v>pagada</v>
      </c>
      <c r="W1282" s="152" t="str">
        <f>+IF(AND(Tabla2[[#This Row],[venc]]="venc",Tabla2[[#This Row],[Columna1]]="por pagar"),"vencida","no")</f>
        <v>no</v>
      </c>
    </row>
    <row r="1283" spans="1:23" x14ac:dyDescent="0.3">
      <c r="A1283">
        <v>30</v>
      </c>
      <c r="B1283">
        <v>2324000</v>
      </c>
      <c r="D1283" t="s">
        <v>251</v>
      </c>
      <c r="E1283" s="156">
        <v>44442</v>
      </c>
      <c r="F1283" t="s">
        <v>699</v>
      </c>
      <c r="G1283" s="156">
        <v>44390</v>
      </c>
      <c r="H1283" t="s">
        <v>1470</v>
      </c>
      <c r="I1283">
        <v>1470000</v>
      </c>
      <c r="K1283">
        <v>0</v>
      </c>
      <c r="M1283">
        <v>0</v>
      </c>
      <c r="N1283">
        <v>0</v>
      </c>
      <c r="O1283">
        <v>0</v>
      </c>
      <c r="P1283" s="117">
        <v>1470000</v>
      </c>
      <c r="Q1283" s="117" t="s">
        <v>1021</v>
      </c>
      <c r="R1283" s="150">
        <v>0</v>
      </c>
      <c r="S1283" s="117" t="b">
        <f>OR(COUNTIF(Tabla2[[#This Row],[PROVEEDOR]],"*"&amp;'Palabra no opera'!$A$2&amp;"*"))</f>
        <v>0</v>
      </c>
      <c r="T1283" s="150">
        <f>+$W$5-Tabla2[[#This Row],[FECHA DE FACTURACIÓN]]</f>
        <v>444</v>
      </c>
      <c r="U1283" t="str">
        <f>+IF(Tabla2[[#This Row],[dias de credito]]&gt;=Tabla2[[#This Row],[PLAZO Días]],"venc", "No venc")</f>
        <v>venc</v>
      </c>
      <c r="V1283" t="str">
        <f>+IF(Tabla2[[#This Row],[FECHA DE PAGO]]&gt;0,"pagada","por pagar")</f>
        <v>pagada</v>
      </c>
      <c r="W1283" s="152" t="str">
        <f>+IF(AND(Tabla2[[#This Row],[venc]]="venc",Tabla2[[#This Row],[Columna1]]="por pagar"),"vencida","no")</f>
        <v>no</v>
      </c>
    </row>
    <row r="1284" spans="1:23" x14ac:dyDescent="0.3">
      <c r="A1284">
        <v>45</v>
      </c>
      <c r="B1284">
        <v>7497238</v>
      </c>
      <c r="D1284" t="s">
        <v>272</v>
      </c>
      <c r="E1284" s="156">
        <v>44442</v>
      </c>
      <c r="F1284" t="s">
        <v>10</v>
      </c>
      <c r="G1284" s="156">
        <v>44389</v>
      </c>
      <c r="H1284" t="s">
        <v>383</v>
      </c>
      <c r="I1284">
        <v>798000</v>
      </c>
      <c r="K1284">
        <v>151620</v>
      </c>
      <c r="M1284">
        <v>0</v>
      </c>
      <c r="N1284">
        <v>0</v>
      </c>
      <c r="O1284">
        <v>0</v>
      </c>
      <c r="P1284" s="117">
        <v>949620</v>
      </c>
      <c r="Q1284" s="117" t="s">
        <v>1021</v>
      </c>
      <c r="R1284" s="150">
        <v>0</v>
      </c>
      <c r="S1284" s="117" t="b">
        <f>OR(COUNTIF(Tabla2[[#This Row],[PROVEEDOR]],"*"&amp;'Palabra no opera'!$A$2&amp;"*"))</f>
        <v>0</v>
      </c>
      <c r="T1284" s="150">
        <f>+$W$5-Tabla2[[#This Row],[FECHA DE FACTURACIÓN]]</f>
        <v>445</v>
      </c>
      <c r="U1284" t="str">
        <f>+IF(Tabla2[[#This Row],[dias de credito]]&gt;=Tabla2[[#This Row],[PLAZO Días]],"venc", "No venc")</f>
        <v>venc</v>
      </c>
      <c r="V1284" t="str">
        <f>+IF(Tabla2[[#This Row],[FECHA DE PAGO]]&gt;0,"pagada","por pagar")</f>
        <v>pagada</v>
      </c>
      <c r="W1284" s="152" t="str">
        <f>+IF(AND(Tabla2[[#This Row],[venc]]="venc",Tabla2[[#This Row],[Columna1]]="por pagar"),"vencida","no")</f>
        <v>no</v>
      </c>
    </row>
    <row r="1285" spans="1:23" x14ac:dyDescent="0.3">
      <c r="A1285">
        <v>30</v>
      </c>
      <c r="B1285">
        <v>2111011.8149999999</v>
      </c>
      <c r="D1285" t="s">
        <v>251</v>
      </c>
      <c r="E1285" s="156">
        <v>44442</v>
      </c>
      <c r="F1285" t="s">
        <v>216</v>
      </c>
      <c r="G1285" s="156">
        <v>44376</v>
      </c>
      <c r="H1285">
        <v>301</v>
      </c>
      <c r="I1285">
        <v>1144538</v>
      </c>
      <c r="K1285">
        <v>217462.22</v>
      </c>
      <c r="M1285">
        <v>0</v>
      </c>
      <c r="N1285">
        <v>2.5000000000000001E-2</v>
      </c>
      <c r="O1285">
        <v>28613.45</v>
      </c>
      <c r="P1285" s="117">
        <v>1333386.77</v>
      </c>
      <c r="Q1285" s="117" t="s">
        <v>1021</v>
      </c>
      <c r="R1285" s="150">
        <v>0</v>
      </c>
      <c r="S1285" s="117" t="b">
        <f>OR(COUNTIF(Tabla2[[#This Row],[PROVEEDOR]],"*"&amp;'Palabra no opera'!$A$2&amp;"*"))</f>
        <v>0</v>
      </c>
      <c r="T1285" s="150">
        <f>+$W$5-Tabla2[[#This Row],[FECHA DE FACTURACIÓN]]</f>
        <v>458</v>
      </c>
      <c r="U1285" t="str">
        <f>+IF(Tabla2[[#This Row],[dias de credito]]&gt;=Tabla2[[#This Row],[PLAZO Días]],"venc", "No venc")</f>
        <v>venc</v>
      </c>
      <c r="V1285" t="str">
        <f>+IF(Tabla2[[#This Row],[FECHA DE PAGO]]&gt;0,"pagada","por pagar")</f>
        <v>pagada</v>
      </c>
      <c r="W1285" s="152" t="str">
        <f>+IF(AND(Tabla2[[#This Row],[venc]]="venc",Tabla2[[#This Row],[Columna1]]="por pagar"),"vencida","no")</f>
        <v>no</v>
      </c>
    </row>
    <row r="1286" spans="1:23" x14ac:dyDescent="0.3">
      <c r="A1286">
        <v>30</v>
      </c>
      <c r="B1286">
        <v>527800</v>
      </c>
      <c r="D1286" t="s">
        <v>139</v>
      </c>
      <c r="E1286" s="156">
        <v>44441</v>
      </c>
      <c r="F1286" t="s">
        <v>624</v>
      </c>
      <c r="G1286" s="156">
        <v>44407</v>
      </c>
      <c r="H1286" t="s">
        <v>1471</v>
      </c>
      <c r="I1286">
        <v>124600</v>
      </c>
      <c r="K1286">
        <v>0</v>
      </c>
      <c r="M1286">
        <v>0</v>
      </c>
      <c r="N1286">
        <v>0</v>
      </c>
      <c r="O1286">
        <v>0</v>
      </c>
      <c r="P1286" s="117">
        <v>124600</v>
      </c>
      <c r="Q1286" s="117" t="s">
        <v>1021</v>
      </c>
      <c r="R1286" s="150">
        <v>0</v>
      </c>
      <c r="S1286" s="117" t="b">
        <f>OR(COUNTIF(Tabla2[[#This Row],[PROVEEDOR]],"*"&amp;'Palabra no opera'!$A$2&amp;"*"))</f>
        <v>0</v>
      </c>
      <c r="T1286" s="150">
        <f>+$W$5-Tabla2[[#This Row],[FECHA DE FACTURACIÓN]]</f>
        <v>427</v>
      </c>
      <c r="U1286" t="str">
        <f>+IF(Tabla2[[#This Row],[dias de credito]]&gt;=Tabla2[[#This Row],[PLAZO Días]],"venc", "No venc")</f>
        <v>venc</v>
      </c>
      <c r="V1286" t="str">
        <f>+IF(Tabla2[[#This Row],[FECHA DE PAGO]]&gt;0,"pagada","por pagar")</f>
        <v>pagada</v>
      </c>
      <c r="W1286" s="152" t="str">
        <f>+IF(AND(Tabla2[[#This Row],[venc]]="venc",Tabla2[[#This Row],[Columna1]]="por pagar"),"vencida","no")</f>
        <v>no</v>
      </c>
    </row>
    <row r="1287" spans="1:23" x14ac:dyDescent="0.3">
      <c r="A1287">
        <v>30</v>
      </c>
      <c r="B1287">
        <v>0</v>
      </c>
      <c r="D1287" t="s">
        <v>139</v>
      </c>
      <c r="E1287" s="156">
        <v>44440</v>
      </c>
      <c r="F1287" t="s">
        <v>644</v>
      </c>
      <c r="G1287" s="156">
        <v>44440</v>
      </c>
      <c r="H1287" t="s">
        <v>1296</v>
      </c>
      <c r="I1287">
        <v>50000</v>
      </c>
      <c r="K1287">
        <v>0</v>
      </c>
      <c r="M1287">
        <v>0</v>
      </c>
      <c r="N1287">
        <v>0</v>
      </c>
      <c r="O1287">
        <v>0</v>
      </c>
      <c r="P1287" s="117">
        <v>50000</v>
      </c>
      <c r="Q1287" s="117" t="s">
        <v>1021</v>
      </c>
      <c r="R1287" s="150">
        <v>0</v>
      </c>
      <c r="S1287" s="117" t="b">
        <f>OR(COUNTIF(Tabla2[[#This Row],[PROVEEDOR]],"*"&amp;'Palabra no opera'!$A$2&amp;"*"))</f>
        <v>0</v>
      </c>
      <c r="T1287" s="150">
        <f>+$W$5-Tabla2[[#This Row],[FECHA DE FACTURACIÓN]]</f>
        <v>394</v>
      </c>
      <c r="U1287" t="str">
        <f>+IF(Tabla2[[#This Row],[dias de credito]]&gt;=Tabla2[[#This Row],[PLAZO Días]],"venc", "No venc")</f>
        <v>venc</v>
      </c>
      <c r="V1287" t="str">
        <f>+IF(Tabla2[[#This Row],[FECHA DE PAGO]]&gt;0,"pagada","por pagar")</f>
        <v>pagada</v>
      </c>
      <c r="W1287" s="152" t="str">
        <f>+IF(AND(Tabla2[[#This Row],[venc]]="venc",Tabla2[[#This Row],[Columna1]]="por pagar"),"vencida","no")</f>
        <v>no</v>
      </c>
    </row>
    <row r="1288" spans="1:23" x14ac:dyDescent="0.3">
      <c r="A1288">
        <v>30</v>
      </c>
      <c r="B1288">
        <v>0</v>
      </c>
      <c r="D1288" t="s">
        <v>139</v>
      </c>
      <c r="E1288" s="156">
        <v>44438</v>
      </c>
      <c r="F1288" t="s">
        <v>644</v>
      </c>
      <c r="G1288" s="156">
        <v>44438</v>
      </c>
      <c r="H1288" t="s">
        <v>1186</v>
      </c>
      <c r="I1288">
        <v>12000</v>
      </c>
      <c r="K1288">
        <v>0</v>
      </c>
      <c r="M1288">
        <v>0</v>
      </c>
      <c r="N1288">
        <v>0</v>
      </c>
      <c r="O1288">
        <v>0</v>
      </c>
      <c r="P1288" s="117">
        <v>12000</v>
      </c>
      <c r="Q1288" s="117" t="s">
        <v>1021</v>
      </c>
      <c r="R1288" s="150">
        <v>0</v>
      </c>
      <c r="S1288" s="117" t="b">
        <f>OR(COUNTIF(Tabla2[[#This Row],[PROVEEDOR]],"*"&amp;'Palabra no opera'!$A$2&amp;"*"))</f>
        <v>0</v>
      </c>
      <c r="T1288" s="150">
        <f>+$W$5-Tabla2[[#This Row],[FECHA DE FACTURACIÓN]]</f>
        <v>396</v>
      </c>
      <c r="U1288" t="str">
        <f>+IF(Tabla2[[#This Row],[dias de credito]]&gt;=Tabla2[[#This Row],[PLAZO Días]],"venc", "No venc")</f>
        <v>venc</v>
      </c>
      <c r="V1288" t="str">
        <f>+IF(Tabla2[[#This Row],[FECHA DE PAGO]]&gt;0,"pagada","por pagar")</f>
        <v>pagada</v>
      </c>
      <c r="W1288" s="152" t="str">
        <f>+IF(AND(Tabla2[[#This Row],[venc]]="venc",Tabla2[[#This Row],[Columna1]]="por pagar"),"vencida","no")</f>
        <v>no</v>
      </c>
    </row>
    <row r="1289" spans="1:23" x14ac:dyDescent="0.3">
      <c r="A1289">
        <v>30</v>
      </c>
      <c r="B1289">
        <v>0</v>
      </c>
      <c r="D1289" t="s">
        <v>139</v>
      </c>
      <c r="E1289" s="156">
        <v>44438</v>
      </c>
      <c r="F1289" t="s">
        <v>644</v>
      </c>
      <c r="G1289" s="156">
        <v>44438</v>
      </c>
      <c r="H1289" t="s">
        <v>1295</v>
      </c>
      <c r="I1289">
        <v>150000</v>
      </c>
      <c r="K1289">
        <v>0</v>
      </c>
      <c r="M1289">
        <v>0</v>
      </c>
      <c r="N1289">
        <v>0</v>
      </c>
      <c r="O1289">
        <v>0</v>
      </c>
      <c r="P1289" s="117">
        <v>150000</v>
      </c>
      <c r="Q1289" s="117" t="s">
        <v>1021</v>
      </c>
      <c r="R1289" s="150">
        <v>0</v>
      </c>
      <c r="S1289" s="117" t="b">
        <f>OR(COUNTIF(Tabla2[[#This Row],[PROVEEDOR]],"*"&amp;'Palabra no opera'!$A$2&amp;"*"))</f>
        <v>0</v>
      </c>
      <c r="T1289" s="150">
        <f>+$W$5-Tabla2[[#This Row],[FECHA DE FACTURACIÓN]]</f>
        <v>396</v>
      </c>
      <c r="U1289" t="str">
        <f>+IF(Tabla2[[#This Row],[dias de credito]]&gt;=Tabla2[[#This Row],[PLAZO Días]],"venc", "No venc")</f>
        <v>venc</v>
      </c>
      <c r="V1289" t="str">
        <f>+IF(Tabla2[[#This Row],[FECHA DE PAGO]]&gt;0,"pagada","por pagar")</f>
        <v>pagada</v>
      </c>
      <c r="W1289" s="152" t="str">
        <f>+IF(AND(Tabla2[[#This Row],[venc]]="venc",Tabla2[[#This Row],[Columna1]]="por pagar"),"vencida","no")</f>
        <v>no</v>
      </c>
    </row>
    <row r="1290" spans="1:23" x14ac:dyDescent="0.3">
      <c r="A1290">
        <v>30</v>
      </c>
      <c r="B1290">
        <v>0</v>
      </c>
      <c r="D1290" t="s">
        <v>139</v>
      </c>
      <c r="E1290" s="156">
        <v>44438</v>
      </c>
      <c r="F1290" t="s">
        <v>644</v>
      </c>
      <c r="G1290" s="156">
        <v>44438</v>
      </c>
      <c r="H1290" t="s">
        <v>1187</v>
      </c>
      <c r="I1290">
        <v>216000</v>
      </c>
      <c r="K1290">
        <v>0</v>
      </c>
      <c r="M1290">
        <v>0</v>
      </c>
      <c r="N1290">
        <v>0</v>
      </c>
      <c r="O1290">
        <v>0</v>
      </c>
      <c r="P1290" s="117">
        <v>216000</v>
      </c>
      <c r="Q1290" s="117" t="s">
        <v>1021</v>
      </c>
      <c r="R1290" s="150">
        <v>0</v>
      </c>
      <c r="S1290" s="117" t="b">
        <f>OR(COUNTIF(Tabla2[[#This Row],[PROVEEDOR]],"*"&amp;'Palabra no opera'!$A$2&amp;"*"))</f>
        <v>0</v>
      </c>
      <c r="T1290" s="150">
        <f>+$W$5-Tabla2[[#This Row],[FECHA DE FACTURACIÓN]]</f>
        <v>396</v>
      </c>
      <c r="U1290" t="str">
        <f>+IF(Tabla2[[#This Row],[dias de credito]]&gt;=Tabla2[[#This Row],[PLAZO Días]],"venc", "No venc")</f>
        <v>venc</v>
      </c>
      <c r="V1290" t="str">
        <f>+IF(Tabla2[[#This Row],[FECHA DE PAGO]]&gt;0,"pagada","por pagar")</f>
        <v>pagada</v>
      </c>
      <c r="W1290" s="152" t="str">
        <f>+IF(AND(Tabla2[[#This Row],[venc]]="venc",Tabla2[[#This Row],[Columna1]]="por pagar"),"vencida","no")</f>
        <v>no</v>
      </c>
    </row>
    <row r="1291" spans="1:23" x14ac:dyDescent="0.3">
      <c r="A1291">
        <v>30</v>
      </c>
      <c r="B1291">
        <v>0</v>
      </c>
      <c r="D1291" t="s">
        <v>139</v>
      </c>
      <c r="E1291" s="156">
        <v>44438</v>
      </c>
      <c r="F1291" t="s">
        <v>644</v>
      </c>
      <c r="G1291" s="156">
        <v>44438</v>
      </c>
      <c r="H1291" t="s">
        <v>75</v>
      </c>
      <c r="I1291">
        <v>338900</v>
      </c>
      <c r="K1291">
        <v>0</v>
      </c>
      <c r="M1291">
        <v>0</v>
      </c>
      <c r="N1291">
        <v>0</v>
      </c>
      <c r="O1291">
        <v>0</v>
      </c>
      <c r="P1291" s="117">
        <v>338900</v>
      </c>
      <c r="Q1291" s="117" t="s">
        <v>1021</v>
      </c>
      <c r="R1291" s="150">
        <v>0</v>
      </c>
      <c r="S1291" s="117" t="b">
        <f>OR(COUNTIF(Tabla2[[#This Row],[PROVEEDOR]],"*"&amp;'Palabra no opera'!$A$2&amp;"*"))</f>
        <v>0</v>
      </c>
      <c r="T1291" s="150">
        <f>+$W$5-Tabla2[[#This Row],[FECHA DE FACTURACIÓN]]</f>
        <v>396</v>
      </c>
      <c r="U1291" t="str">
        <f>+IF(Tabla2[[#This Row],[dias de credito]]&gt;=Tabla2[[#This Row],[PLAZO Días]],"venc", "No venc")</f>
        <v>venc</v>
      </c>
      <c r="V1291" t="str">
        <f>+IF(Tabla2[[#This Row],[FECHA DE PAGO]]&gt;0,"pagada","por pagar")</f>
        <v>pagada</v>
      </c>
      <c r="W1291" s="152" t="str">
        <f>+IF(AND(Tabla2[[#This Row],[venc]]="venc",Tabla2[[#This Row],[Columna1]]="por pagar"),"vencida","no")</f>
        <v>no</v>
      </c>
    </row>
    <row r="1292" spans="1:23" x14ac:dyDescent="0.3">
      <c r="A1292">
        <v>30</v>
      </c>
      <c r="B1292">
        <v>0</v>
      </c>
      <c r="D1292" t="s">
        <v>139</v>
      </c>
      <c r="E1292" s="156">
        <v>44438</v>
      </c>
      <c r="F1292" t="s">
        <v>644</v>
      </c>
      <c r="G1292" s="156">
        <v>44438</v>
      </c>
      <c r="H1292" t="s">
        <v>1188</v>
      </c>
      <c r="I1292">
        <v>2229109</v>
      </c>
      <c r="K1292">
        <v>0</v>
      </c>
      <c r="M1292">
        <v>0</v>
      </c>
      <c r="N1292">
        <v>0</v>
      </c>
      <c r="O1292">
        <v>0</v>
      </c>
      <c r="P1292" s="117">
        <v>2229109</v>
      </c>
      <c r="Q1292" s="117" t="s">
        <v>1021</v>
      </c>
      <c r="R1292" s="150">
        <v>0</v>
      </c>
      <c r="S1292" s="117" t="b">
        <f>OR(COUNTIF(Tabla2[[#This Row],[PROVEEDOR]],"*"&amp;'Palabra no opera'!$A$2&amp;"*"))</f>
        <v>0</v>
      </c>
      <c r="T1292" s="150">
        <f>+$W$5-Tabla2[[#This Row],[FECHA DE FACTURACIÓN]]</f>
        <v>396</v>
      </c>
      <c r="U1292" t="str">
        <f>+IF(Tabla2[[#This Row],[dias de credito]]&gt;=Tabla2[[#This Row],[PLAZO Días]],"venc", "No venc")</f>
        <v>venc</v>
      </c>
      <c r="V1292" t="str">
        <f>+IF(Tabla2[[#This Row],[FECHA DE PAGO]]&gt;0,"pagada","por pagar")</f>
        <v>pagada</v>
      </c>
      <c r="W1292" s="152" t="str">
        <f>+IF(AND(Tabla2[[#This Row],[venc]]="venc",Tabla2[[#This Row],[Columna1]]="por pagar"),"vencida","no")</f>
        <v>no</v>
      </c>
    </row>
    <row r="1293" spans="1:23" x14ac:dyDescent="0.3">
      <c r="A1293">
        <v>30</v>
      </c>
      <c r="B1293">
        <v>0</v>
      </c>
      <c r="D1293">
        <v>0</v>
      </c>
      <c r="E1293" s="156">
        <v>44438</v>
      </c>
      <c r="F1293" t="s">
        <v>445</v>
      </c>
      <c r="G1293" s="156">
        <v>44438</v>
      </c>
      <c r="H1293" t="s">
        <v>446</v>
      </c>
      <c r="I1293">
        <v>1608000</v>
      </c>
      <c r="K1293">
        <v>305520</v>
      </c>
      <c r="M1293">
        <v>0</v>
      </c>
      <c r="N1293">
        <v>2.5000000000000001E-2</v>
      </c>
      <c r="O1293">
        <v>40200</v>
      </c>
      <c r="P1293" s="117">
        <v>1873320</v>
      </c>
      <c r="Q1293" s="117" t="s">
        <v>1021</v>
      </c>
      <c r="R1293" s="150">
        <v>0</v>
      </c>
      <c r="S1293" s="117" t="b">
        <f>OR(COUNTIF(Tabla2[[#This Row],[PROVEEDOR]],"*"&amp;'Palabra no opera'!$A$2&amp;"*"))</f>
        <v>0</v>
      </c>
      <c r="T1293" s="150">
        <f>+$W$5-Tabla2[[#This Row],[FECHA DE FACTURACIÓN]]</f>
        <v>396</v>
      </c>
      <c r="U1293" t="str">
        <f>+IF(Tabla2[[#This Row],[dias de credito]]&gt;=Tabla2[[#This Row],[PLAZO Días]],"venc", "No venc")</f>
        <v>venc</v>
      </c>
      <c r="V1293" t="str">
        <f>+IF(Tabla2[[#This Row],[FECHA DE PAGO]]&gt;0,"pagada","por pagar")</f>
        <v>pagada</v>
      </c>
      <c r="W1293" s="152" t="str">
        <f>+IF(AND(Tabla2[[#This Row],[venc]]="venc",Tabla2[[#This Row],[Columna1]]="por pagar"),"vencida","no")</f>
        <v>no</v>
      </c>
    </row>
    <row r="1294" spans="1:23" x14ac:dyDescent="0.3">
      <c r="A1294">
        <v>10</v>
      </c>
      <c r="B1294">
        <v>0</v>
      </c>
      <c r="D1294" t="s">
        <v>139</v>
      </c>
      <c r="E1294" s="156">
        <v>44438</v>
      </c>
      <c r="F1294" t="s">
        <v>23</v>
      </c>
      <c r="G1294" s="156">
        <v>44438</v>
      </c>
      <c r="H1294">
        <v>284796</v>
      </c>
      <c r="I1294">
        <v>2399826</v>
      </c>
      <c r="K1294">
        <v>0</v>
      </c>
      <c r="M1294">
        <v>0</v>
      </c>
      <c r="N1294">
        <v>0</v>
      </c>
      <c r="O1294">
        <v>0</v>
      </c>
      <c r="P1294" s="117">
        <v>2399826</v>
      </c>
      <c r="Q1294" s="117" t="s">
        <v>1021</v>
      </c>
      <c r="R1294" s="150">
        <v>0</v>
      </c>
      <c r="S1294" s="117" t="b">
        <f>OR(COUNTIF(Tabla2[[#This Row],[PROVEEDOR]],"*"&amp;'Palabra no opera'!$A$2&amp;"*"))</f>
        <v>0</v>
      </c>
      <c r="T1294" s="150">
        <f>+$W$5-Tabla2[[#This Row],[FECHA DE FACTURACIÓN]]</f>
        <v>396</v>
      </c>
      <c r="U1294" t="str">
        <f>+IF(Tabla2[[#This Row],[dias de credito]]&gt;=Tabla2[[#This Row],[PLAZO Días]],"venc", "No venc")</f>
        <v>venc</v>
      </c>
      <c r="V1294" t="str">
        <f>+IF(Tabla2[[#This Row],[FECHA DE PAGO]]&gt;0,"pagada","por pagar")</f>
        <v>pagada</v>
      </c>
      <c r="W1294" s="152" t="str">
        <f>+IF(AND(Tabla2[[#This Row],[venc]]="venc",Tabla2[[#This Row],[Columna1]]="por pagar"),"vencida","no")</f>
        <v>no</v>
      </c>
    </row>
    <row r="1295" spans="1:23" x14ac:dyDescent="0.3">
      <c r="A1295">
        <v>30</v>
      </c>
      <c r="B1295">
        <v>0</v>
      </c>
      <c r="D1295" t="s">
        <v>141</v>
      </c>
      <c r="E1295" s="156">
        <v>44436</v>
      </c>
      <c r="F1295" t="s">
        <v>914</v>
      </c>
      <c r="G1295" s="156">
        <v>44435</v>
      </c>
      <c r="H1295" t="s">
        <v>1294</v>
      </c>
      <c r="I1295">
        <v>0</v>
      </c>
      <c r="K1295">
        <v>0</v>
      </c>
      <c r="M1295">
        <v>0</v>
      </c>
      <c r="N1295">
        <v>0</v>
      </c>
      <c r="O1295">
        <v>0</v>
      </c>
      <c r="P1295" s="117">
        <v>0</v>
      </c>
      <c r="Q1295" s="117" t="s">
        <v>1021</v>
      </c>
      <c r="R1295" s="150">
        <v>0</v>
      </c>
      <c r="S1295" s="117" t="b">
        <f>OR(COUNTIF(Tabla2[[#This Row],[PROVEEDOR]],"*"&amp;'Palabra no opera'!$A$2&amp;"*"))</f>
        <v>1</v>
      </c>
      <c r="T1295" s="150">
        <f>+$W$5-Tabla2[[#This Row],[FECHA DE FACTURACIÓN]]</f>
        <v>399</v>
      </c>
      <c r="U1295" t="str">
        <f>+IF(Tabla2[[#This Row],[dias de credito]]&gt;=Tabla2[[#This Row],[PLAZO Días]],"venc", "No venc")</f>
        <v>venc</v>
      </c>
      <c r="V1295" t="str">
        <f>+IF(Tabla2[[#This Row],[FECHA DE PAGO]]&gt;0,"pagada","por pagar")</f>
        <v>pagada</v>
      </c>
      <c r="W1295" s="152" t="str">
        <f>+IF(AND(Tabla2[[#This Row],[venc]]="venc",Tabla2[[#This Row],[Columna1]]="por pagar"),"vencida","no")</f>
        <v>no</v>
      </c>
    </row>
    <row r="1296" spans="1:23" x14ac:dyDescent="0.3">
      <c r="A1296">
        <v>30</v>
      </c>
      <c r="B1296">
        <v>0</v>
      </c>
      <c r="D1296" t="s">
        <v>547</v>
      </c>
      <c r="E1296" s="156">
        <v>44435</v>
      </c>
      <c r="F1296" t="s">
        <v>510</v>
      </c>
      <c r="G1296" s="156">
        <v>44427</v>
      </c>
      <c r="H1296" t="s">
        <v>424</v>
      </c>
      <c r="I1296">
        <v>2278232</v>
      </c>
      <c r="K1296">
        <v>432864.08</v>
      </c>
      <c r="M1296">
        <v>0</v>
      </c>
      <c r="N1296">
        <v>0</v>
      </c>
      <c r="O1296">
        <v>0</v>
      </c>
      <c r="P1296" s="117">
        <v>2711096.08</v>
      </c>
      <c r="Q1296" s="117" t="s">
        <v>1021</v>
      </c>
      <c r="R1296" s="150">
        <v>0</v>
      </c>
      <c r="S1296" s="117" t="b">
        <f>OR(COUNTIF(Tabla2[[#This Row],[PROVEEDOR]],"*"&amp;'Palabra no opera'!$A$2&amp;"*"))</f>
        <v>0</v>
      </c>
      <c r="T1296" s="150">
        <f>+$W$5-Tabla2[[#This Row],[FECHA DE FACTURACIÓN]]</f>
        <v>407</v>
      </c>
      <c r="U1296" t="str">
        <f>+IF(Tabla2[[#This Row],[dias de credito]]&gt;=Tabla2[[#This Row],[PLAZO Días]],"venc", "No venc")</f>
        <v>venc</v>
      </c>
      <c r="V1296" t="str">
        <f>+IF(Tabla2[[#This Row],[FECHA DE PAGO]]&gt;0,"pagada","por pagar")</f>
        <v>pagada</v>
      </c>
      <c r="W1296" s="152" t="str">
        <f>+IF(AND(Tabla2[[#This Row],[venc]]="venc",Tabla2[[#This Row],[Columna1]]="por pagar"),"vencida","no")</f>
        <v>no</v>
      </c>
    </row>
    <row r="1297" spans="1:23" x14ac:dyDescent="0.3">
      <c r="A1297">
        <v>30</v>
      </c>
      <c r="B1297">
        <v>0</v>
      </c>
      <c r="D1297" t="s">
        <v>139</v>
      </c>
      <c r="E1297" s="156">
        <v>44434</v>
      </c>
      <c r="F1297" t="s">
        <v>673</v>
      </c>
      <c r="G1297" s="156">
        <v>44434</v>
      </c>
      <c r="I1297">
        <v>810000</v>
      </c>
      <c r="K1297">
        <v>0</v>
      </c>
      <c r="M1297">
        <v>0</v>
      </c>
      <c r="N1297">
        <v>0</v>
      </c>
      <c r="O1297">
        <v>0</v>
      </c>
      <c r="P1297" s="117">
        <v>810000</v>
      </c>
      <c r="Q1297" s="117" t="s">
        <v>1021</v>
      </c>
      <c r="R1297" s="150">
        <v>0</v>
      </c>
      <c r="S1297" s="117" t="b">
        <f>OR(COUNTIF(Tabla2[[#This Row],[PROVEEDOR]],"*"&amp;'Palabra no opera'!$A$2&amp;"*"))</f>
        <v>0</v>
      </c>
      <c r="T1297" s="150">
        <f>+$W$5-Tabla2[[#This Row],[FECHA DE FACTURACIÓN]]</f>
        <v>400</v>
      </c>
      <c r="U1297" t="str">
        <f>+IF(Tabla2[[#This Row],[dias de credito]]&gt;=Tabla2[[#This Row],[PLAZO Días]],"venc", "No venc")</f>
        <v>venc</v>
      </c>
      <c r="V1297" t="str">
        <f>+IF(Tabla2[[#This Row],[FECHA DE PAGO]]&gt;0,"pagada","por pagar")</f>
        <v>pagada</v>
      </c>
      <c r="W1297" s="152" t="str">
        <f>+IF(AND(Tabla2[[#This Row],[venc]]="venc",Tabla2[[#This Row],[Columna1]]="por pagar"),"vencida","no")</f>
        <v>no</v>
      </c>
    </row>
    <row r="1298" spans="1:23" x14ac:dyDescent="0.3">
      <c r="A1298">
        <v>30</v>
      </c>
      <c r="B1298">
        <v>0</v>
      </c>
      <c r="D1298" t="s">
        <v>139</v>
      </c>
      <c r="E1298" s="156">
        <v>44434</v>
      </c>
      <c r="F1298" t="s">
        <v>673</v>
      </c>
      <c r="G1298" s="156">
        <v>44434</v>
      </c>
      <c r="I1298">
        <v>1000000</v>
      </c>
      <c r="K1298">
        <v>0</v>
      </c>
      <c r="M1298">
        <v>0</v>
      </c>
      <c r="N1298">
        <v>0</v>
      </c>
      <c r="O1298">
        <v>0</v>
      </c>
      <c r="P1298" s="117">
        <v>1000000</v>
      </c>
      <c r="Q1298" s="117" t="s">
        <v>1021</v>
      </c>
      <c r="R1298" s="150">
        <v>0</v>
      </c>
      <c r="S1298" s="117" t="b">
        <f>OR(COUNTIF(Tabla2[[#This Row],[PROVEEDOR]],"*"&amp;'Palabra no opera'!$A$2&amp;"*"))</f>
        <v>0</v>
      </c>
      <c r="T1298" s="150">
        <f>+$W$5-Tabla2[[#This Row],[FECHA DE FACTURACIÓN]]</f>
        <v>400</v>
      </c>
      <c r="U1298" t="str">
        <f>+IF(Tabla2[[#This Row],[dias de credito]]&gt;=Tabla2[[#This Row],[PLAZO Días]],"venc", "No venc")</f>
        <v>venc</v>
      </c>
      <c r="V1298" t="str">
        <f>+IF(Tabla2[[#This Row],[FECHA DE PAGO]]&gt;0,"pagada","por pagar")</f>
        <v>pagada</v>
      </c>
      <c r="W1298" s="152" t="str">
        <f>+IF(AND(Tabla2[[#This Row],[venc]]="venc",Tabla2[[#This Row],[Columna1]]="por pagar"),"vencida","no")</f>
        <v>no</v>
      </c>
    </row>
    <row r="1299" spans="1:23" x14ac:dyDescent="0.3">
      <c r="A1299">
        <v>30</v>
      </c>
      <c r="B1299">
        <v>0</v>
      </c>
      <c r="D1299" t="s">
        <v>423</v>
      </c>
      <c r="E1299" s="156">
        <v>44433</v>
      </c>
      <c r="F1299" t="s">
        <v>646</v>
      </c>
      <c r="G1299" s="156">
        <v>44433</v>
      </c>
      <c r="H1299" t="s">
        <v>1488</v>
      </c>
      <c r="I1299">
        <v>696000</v>
      </c>
      <c r="K1299">
        <v>0</v>
      </c>
      <c r="M1299">
        <v>0</v>
      </c>
      <c r="N1299">
        <v>0</v>
      </c>
      <c r="O1299">
        <v>0</v>
      </c>
      <c r="P1299" s="117">
        <v>696000</v>
      </c>
      <c r="Q1299" s="117" t="s">
        <v>1021</v>
      </c>
      <c r="R1299" s="150">
        <v>0</v>
      </c>
      <c r="S1299" s="117" t="b">
        <f>OR(COUNTIF(Tabla2[[#This Row],[PROVEEDOR]],"*"&amp;'Palabra no opera'!$A$2&amp;"*"))</f>
        <v>0</v>
      </c>
      <c r="T1299" s="150">
        <f>+$W$5-Tabla2[[#This Row],[FECHA DE FACTURACIÓN]]</f>
        <v>401</v>
      </c>
      <c r="U1299" t="str">
        <f>+IF(Tabla2[[#This Row],[dias de credito]]&gt;=Tabla2[[#This Row],[PLAZO Días]],"venc", "No venc")</f>
        <v>venc</v>
      </c>
      <c r="V1299" t="str">
        <f>+IF(Tabla2[[#This Row],[FECHA DE PAGO]]&gt;0,"pagada","por pagar")</f>
        <v>pagada</v>
      </c>
      <c r="W1299" s="152" t="str">
        <f>+IF(AND(Tabla2[[#This Row],[venc]]="venc",Tabla2[[#This Row],[Columna1]]="por pagar"),"vencida","no")</f>
        <v>no</v>
      </c>
    </row>
    <row r="1300" spans="1:23" x14ac:dyDescent="0.3">
      <c r="A1300">
        <v>30</v>
      </c>
      <c r="B1300">
        <v>0</v>
      </c>
      <c r="D1300" t="s">
        <v>257</v>
      </c>
      <c r="E1300" s="156">
        <v>44433</v>
      </c>
      <c r="F1300" t="s">
        <v>34</v>
      </c>
      <c r="G1300" s="156">
        <v>44406</v>
      </c>
      <c r="H1300">
        <v>2174</v>
      </c>
      <c r="I1300">
        <v>193122</v>
      </c>
      <c r="K1300">
        <v>36693.18</v>
      </c>
      <c r="M1300">
        <v>0</v>
      </c>
      <c r="N1300">
        <v>0</v>
      </c>
      <c r="O1300">
        <v>0</v>
      </c>
      <c r="P1300" s="117">
        <v>229815.18</v>
      </c>
      <c r="Q1300" s="117" t="s">
        <v>1021</v>
      </c>
      <c r="R1300" s="150">
        <v>0</v>
      </c>
      <c r="S1300" s="117" t="b">
        <f>OR(COUNTIF(Tabla2[[#This Row],[PROVEEDOR]],"*"&amp;'Palabra no opera'!$A$2&amp;"*"))</f>
        <v>0</v>
      </c>
      <c r="T1300" s="150">
        <f>+$W$5-Tabla2[[#This Row],[FECHA DE FACTURACIÓN]]</f>
        <v>428</v>
      </c>
      <c r="U1300" t="str">
        <f>+IF(Tabla2[[#This Row],[dias de credito]]&gt;=Tabla2[[#This Row],[PLAZO Días]],"venc", "No venc")</f>
        <v>venc</v>
      </c>
      <c r="V1300" t="str">
        <f>+IF(Tabla2[[#This Row],[FECHA DE PAGO]]&gt;0,"pagada","por pagar")</f>
        <v>pagada</v>
      </c>
      <c r="W1300" s="152" t="str">
        <f>+IF(AND(Tabla2[[#This Row],[venc]]="venc",Tabla2[[#This Row],[Columna1]]="por pagar"),"vencida","no")</f>
        <v>no</v>
      </c>
    </row>
    <row r="1301" spans="1:23" x14ac:dyDescent="0.3">
      <c r="A1301">
        <v>30</v>
      </c>
      <c r="B1301">
        <v>0</v>
      </c>
      <c r="D1301" t="s">
        <v>622</v>
      </c>
      <c r="E1301" s="156">
        <v>44433</v>
      </c>
      <c r="F1301" t="s">
        <v>623</v>
      </c>
      <c r="G1301" s="156">
        <v>44383</v>
      </c>
      <c r="H1301" t="s">
        <v>1265</v>
      </c>
      <c r="I1301">
        <v>2268500</v>
      </c>
      <c r="K1301">
        <v>0</v>
      </c>
      <c r="M1301">
        <v>0</v>
      </c>
      <c r="N1301">
        <v>0</v>
      </c>
      <c r="O1301">
        <v>0</v>
      </c>
      <c r="P1301" s="117">
        <v>2268500</v>
      </c>
      <c r="Q1301" s="117" t="s">
        <v>1021</v>
      </c>
      <c r="R1301" s="150">
        <v>0</v>
      </c>
      <c r="S1301" s="117" t="b">
        <f>OR(COUNTIF(Tabla2[[#This Row],[PROVEEDOR]],"*"&amp;'Palabra no opera'!$A$2&amp;"*"))</f>
        <v>0</v>
      </c>
      <c r="T1301" s="150">
        <f>+$W$5-Tabla2[[#This Row],[FECHA DE FACTURACIÓN]]</f>
        <v>451</v>
      </c>
      <c r="U1301" t="str">
        <f>+IF(Tabla2[[#This Row],[dias de credito]]&gt;=Tabla2[[#This Row],[PLAZO Días]],"venc", "No venc")</f>
        <v>venc</v>
      </c>
      <c r="V1301" t="str">
        <f>+IF(Tabla2[[#This Row],[FECHA DE PAGO]]&gt;0,"pagada","por pagar")</f>
        <v>pagada</v>
      </c>
      <c r="W1301" s="152" t="str">
        <f>+IF(AND(Tabla2[[#This Row],[venc]]="venc",Tabla2[[#This Row],[Columna1]]="por pagar"),"vencida","no")</f>
        <v>no</v>
      </c>
    </row>
    <row r="1302" spans="1:23" x14ac:dyDescent="0.3">
      <c r="A1302">
        <v>30</v>
      </c>
      <c r="B1302">
        <v>527800</v>
      </c>
      <c r="D1302" t="s">
        <v>139</v>
      </c>
      <c r="E1302" s="156">
        <v>44433</v>
      </c>
      <c r="F1302" t="s">
        <v>624</v>
      </c>
      <c r="G1302" s="156">
        <v>44372</v>
      </c>
      <c r="H1302" t="s">
        <v>1466</v>
      </c>
      <c r="I1302">
        <v>130000</v>
      </c>
      <c r="K1302">
        <v>0</v>
      </c>
      <c r="M1302">
        <v>0</v>
      </c>
      <c r="N1302">
        <v>0</v>
      </c>
      <c r="O1302">
        <v>0</v>
      </c>
      <c r="P1302" s="117">
        <v>130000</v>
      </c>
      <c r="Q1302" s="117" t="s">
        <v>1021</v>
      </c>
      <c r="R1302" s="150">
        <v>0</v>
      </c>
      <c r="S1302" s="117" t="b">
        <f>OR(COUNTIF(Tabla2[[#This Row],[PROVEEDOR]],"*"&amp;'Palabra no opera'!$A$2&amp;"*"))</f>
        <v>0</v>
      </c>
      <c r="T1302" s="150">
        <f>+$W$5-Tabla2[[#This Row],[FECHA DE FACTURACIÓN]]</f>
        <v>462</v>
      </c>
      <c r="U1302" t="str">
        <f>+IF(Tabla2[[#This Row],[dias de credito]]&gt;=Tabla2[[#This Row],[PLAZO Días]],"venc", "No venc")</f>
        <v>venc</v>
      </c>
      <c r="V1302" t="str">
        <f>+IF(Tabla2[[#This Row],[FECHA DE PAGO]]&gt;0,"pagada","por pagar")</f>
        <v>pagada</v>
      </c>
      <c r="W1302" s="152" t="str">
        <f>+IF(AND(Tabla2[[#This Row],[venc]]="venc",Tabla2[[#This Row],[Columna1]]="por pagar"),"vencida","no")</f>
        <v>no</v>
      </c>
    </row>
    <row r="1303" spans="1:23" x14ac:dyDescent="0.3">
      <c r="A1303">
        <v>30</v>
      </c>
      <c r="B1303">
        <v>527800</v>
      </c>
      <c r="D1303" t="s">
        <v>139</v>
      </c>
      <c r="E1303" s="156">
        <v>44433</v>
      </c>
      <c r="F1303" t="s">
        <v>624</v>
      </c>
      <c r="G1303" s="156">
        <v>44369</v>
      </c>
      <c r="H1303" t="s">
        <v>1463</v>
      </c>
      <c r="I1303">
        <v>1563400</v>
      </c>
      <c r="K1303">
        <v>0</v>
      </c>
      <c r="M1303">
        <v>0</v>
      </c>
      <c r="N1303">
        <v>0</v>
      </c>
      <c r="O1303">
        <v>0</v>
      </c>
      <c r="P1303" s="117">
        <v>1563400</v>
      </c>
      <c r="Q1303" s="117" t="s">
        <v>1021</v>
      </c>
      <c r="R1303" s="150">
        <v>0</v>
      </c>
      <c r="S1303" s="117" t="b">
        <f>OR(COUNTIF(Tabla2[[#This Row],[PROVEEDOR]],"*"&amp;'Palabra no opera'!$A$2&amp;"*"))</f>
        <v>0</v>
      </c>
      <c r="T1303" s="150">
        <f>+$W$5-Tabla2[[#This Row],[FECHA DE FACTURACIÓN]]</f>
        <v>465</v>
      </c>
      <c r="U1303" t="str">
        <f>+IF(Tabla2[[#This Row],[dias de credito]]&gt;=Tabla2[[#This Row],[PLAZO Días]],"venc", "No venc")</f>
        <v>venc</v>
      </c>
      <c r="V1303" t="str">
        <f>+IF(Tabla2[[#This Row],[FECHA DE PAGO]]&gt;0,"pagada","por pagar")</f>
        <v>pagada</v>
      </c>
      <c r="W1303" s="152" t="str">
        <f>+IF(AND(Tabla2[[#This Row],[venc]]="venc",Tabla2[[#This Row],[Columna1]]="por pagar"),"vencida","no")</f>
        <v>no</v>
      </c>
    </row>
    <row r="1304" spans="1:23" x14ac:dyDescent="0.3">
      <c r="A1304">
        <v>30</v>
      </c>
      <c r="B1304">
        <v>0</v>
      </c>
      <c r="D1304" t="s">
        <v>433</v>
      </c>
      <c r="E1304" s="156">
        <v>44432</v>
      </c>
      <c r="F1304" t="s">
        <v>925</v>
      </c>
      <c r="G1304" s="156">
        <v>44432</v>
      </c>
      <c r="H1304" t="s">
        <v>1256</v>
      </c>
      <c r="I1304">
        <v>-691998.74</v>
      </c>
      <c r="K1304">
        <v>0</v>
      </c>
      <c r="M1304">
        <v>0</v>
      </c>
      <c r="N1304">
        <v>0</v>
      </c>
      <c r="O1304">
        <v>0</v>
      </c>
      <c r="P1304" s="117">
        <v>-691998.74</v>
      </c>
      <c r="Q1304" s="117" t="s">
        <v>1021</v>
      </c>
      <c r="R1304" s="150">
        <v>0</v>
      </c>
      <c r="S1304" s="117" t="b">
        <f>OR(COUNTIF(Tabla2[[#This Row],[PROVEEDOR]],"*"&amp;'Palabra no opera'!$A$2&amp;"*"))</f>
        <v>1</v>
      </c>
      <c r="T1304" s="150">
        <f>+$W$5-Tabla2[[#This Row],[FECHA DE FACTURACIÓN]]</f>
        <v>402</v>
      </c>
      <c r="U1304" t="str">
        <f>+IF(Tabla2[[#This Row],[dias de credito]]&gt;=Tabla2[[#This Row],[PLAZO Días]],"venc", "No venc")</f>
        <v>venc</v>
      </c>
      <c r="V1304" t="str">
        <f>+IF(Tabla2[[#This Row],[FECHA DE PAGO]]&gt;0,"pagada","por pagar")</f>
        <v>pagada</v>
      </c>
      <c r="W1304" s="152" t="str">
        <f>+IF(AND(Tabla2[[#This Row],[venc]]="venc",Tabla2[[#This Row],[Columna1]]="por pagar"),"vencida","no")</f>
        <v>no</v>
      </c>
    </row>
    <row r="1305" spans="1:23" x14ac:dyDescent="0.3">
      <c r="A1305">
        <v>20</v>
      </c>
      <c r="B1305">
        <v>0</v>
      </c>
      <c r="D1305" t="s">
        <v>308</v>
      </c>
      <c r="E1305" s="156">
        <v>44432</v>
      </c>
      <c r="F1305" t="s">
        <v>397</v>
      </c>
      <c r="G1305" s="156">
        <v>44427</v>
      </c>
      <c r="H1305" t="s">
        <v>1286</v>
      </c>
      <c r="I1305">
        <v>136900</v>
      </c>
      <c r="K1305">
        <v>0</v>
      </c>
      <c r="M1305">
        <v>0</v>
      </c>
      <c r="N1305">
        <v>0</v>
      </c>
      <c r="O1305">
        <v>0</v>
      </c>
      <c r="P1305" s="117">
        <v>136900</v>
      </c>
      <c r="Q1305" s="117" t="s">
        <v>1021</v>
      </c>
      <c r="R1305" s="150">
        <v>0</v>
      </c>
      <c r="S1305" s="117" t="b">
        <f>OR(COUNTIF(Tabla2[[#This Row],[PROVEEDOR]],"*"&amp;'Palabra no opera'!$A$2&amp;"*"))</f>
        <v>0</v>
      </c>
      <c r="T1305" s="150">
        <f>+$W$5-Tabla2[[#This Row],[FECHA DE FACTURACIÓN]]</f>
        <v>407</v>
      </c>
      <c r="U1305" t="str">
        <f>+IF(Tabla2[[#This Row],[dias de credito]]&gt;=Tabla2[[#This Row],[PLAZO Días]],"venc", "No venc")</f>
        <v>venc</v>
      </c>
      <c r="V1305" t="str">
        <f>+IF(Tabla2[[#This Row],[FECHA DE PAGO]]&gt;0,"pagada","por pagar")</f>
        <v>pagada</v>
      </c>
      <c r="W1305" s="152" t="str">
        <f>+IF(AND(Tabla2[[#This Row],[venc]]="venc",Tabla2[[#This Row],[Columna1]]="por pagar"),"vencida","no")</f>
        <v>no</v>
      </c>
    </row>
    <row r="1306" spans="1:23" x14ac:dyDescent="0.3">
      <c r="A1306">
        <v>20</v>
      </c>
      <c r="B1306">
        <v>0</v>
      </c>
      <c r="D1306" t="s">
        <v>308</v>
      </c>
      <c r="E1306" s="156">
        <v>44432</v>
      </c>
      <c r="F1306" t="s">
        <v>397</v>
      </c>
      <c r="G1306" s="156">
        <v>44427</v>
      </c>
      <c r="H1306" t="s">
        <v>1287</v>
      </c>
      <c r="I1306">
        <v>136900</v>
      </c>
      <c r="K1306">
        <v>0</v>
      </c>
      <c r="M1306">
        <v>0</v>
      </c>
      <c r="N1306">
        <v>0</v>
      </c>
      <c r="O1306">
        <v>0</v>
      </c>
      <c r="P1306" s="117">
        <v>136900</v>
      </c>
      <c r="Q1306" s="117" t="s">
        <v>1021</v>
      </c>
      <c r="R1306" s="150">
        <v>0</v>
      </c>
      <c r="S1306" s="117" t="b">
        <f>OR(COUNTIF(Tabla2[[#This Row],[PROVEEDOR]],"*"&amp;'Palabra no opera'!$A$2&amp;"*"))</f>
        <v>0</v>
      </c>
      <c r="T1306" s="150">
        <f>+$W$5-Tabla2[[#This Row],[FECHA DE FACTURACIÓN]]</f>
        <v>407</v>
      </c>
      <c r="U1306" t="str">
        <f>+IF(Tabla2[[#This Row],[dias de credito]]&gt;=Tabla2[[#This Row],[PLAZO Días]],"venc", "No venc")</f>
        <v>venc</v>
      </c>
      <c r="V1306" t="str">
        <f>+IF(Tabla2[[#This Row],[FECHA DE PAGO]]&gt;0,"pagada","por pagar")</f>
        <v>pagada</v>
      </c>
      <c r="W1306" s="152" t="str">
        <f>+IF(AND(Tabla2[[#This Row],[venc]]="venc",Tabla2[[#This Row],[Columna1]]="por pagar"),"vencida","no")</f>
        <v>no</v>
      </c>
    </row>
    <row r="1307" spans="1:23" x14ac:dyDescent="0.3">
      <c r="A1307">
        <v>20</v>
      </c>
      <c r="B1307">
        <v>0</v>
      </c>
      <c r="D1307" t="s">
        <v>308</v>
      </c>
      <c r="E1307" s="156">
        <v>44432</v>
      </c>
      <c r="F1307" t="s">
        <v>397</v>
      </c>
      <c r="G1307" s="156">
        <v>44427</v>
      </c>
      <c r="H1307" t="s">
        <v>1288</v>
      </c>
      <c r="I1307">
        <v>369000</v>
      </c>
      <c r="K1307">
        <v>0</v>
      </c>
      <c r="M1307">
        <v>0</v>
      </c>
      <c r="N1307">
        <v>0.01</v>
      </c>
      <c r="O1307">
        <v>3690</v>
      </c>
      <c r="P1307" s="117">
        <v>365310</v>
      </c>
      <c r="Q1307" s="117" t="s">
        <v>1021</v>
      </c>
      <c r="R1307" s="150">
        <v>0</v>
      </c>
      <c r="S1307" s="117" t="b">
        <f>OR(COUNTIF(Tabla2[[#This Row],[PROVEEDOR]],"*"&amp;'Palabra no opera'!$A$2&amp;"*"))</f>
        <v>0</v>
      </c>
      <c r="T1307" s="150">
        <f>+$W$5-Tabla2[[#This Row],[FECHA DE FACTURACIÓN]]</f>
        <v>407</v>
      </c>
      <c r="U1307" t="str">
        <f>+IF(Tabla2[[#This Row],[dias de credito]]&gt;=Tabla2[[#This Row],[PLAZO Días]],"venc", "No venc")</f>
        <v>venc</v>
      </c>
      <c r="V1307" t="str">
        <f>+IF(Tabla2[[#This Row],[FECHA DE PAGO]]&gt;0,"pagada","por pagar")</f>
        <v>pagada</v>
      </c>
      <c r="W1307" s="152" t="str">
        <f>+IF(AND(Tabla2[[#This Row],[venc]]="venc",Tabla2[[#This Row],[Columna1]]="por pagar"),"vencida","no")</f>
        <v>no</v>
      </c>
    </row>
    <row r="1308" spans="1:23" x14ac:dyDescent="0.3">
      <c r="A1308">
        <v>30</v>
      </c>
      <c r="B1308">
        <v>0</v>
      </c>
      <c r="D1308" t="s">
        <v>423</v>
      </c>
      <c r="E1308" s="156">
        <v>44432</v>
      </c>
      <c r="F1308" t="s">
        <v>428</v>
      </c>
      <c r="G1308" s="156">
        <v>44427</v>
      </c>
      <c r="H1308">
        <v>10186</v>
      </c>
      <c r="I1308">
        <v>1326772</v>
      </c>
      <c r="K1308">
        <v>252086.68</v>
      </c>
      <c r="M1308">
        <v>0</v>
      </c>
      <c r="N1308">
        <v>2.5000000000000001E-2</v>
      </c>
      <c r="O1308">
        <v>33169.300000000003</v>
      </c>
      <c r="P1308" s="117">
        <v>1545689.38</v>
      </c>
      <c r="Q1308" s="117" t="s">
        <v>1021</v>
      </c>
      <c r="R1308" s="150">
        <v>0</v>
      </c>
      <c r="S1308" s="117" t="b">
        <f>OR(COUNTIF(Tabla2[[#This Row],[PROVEEDOR]],"*"&amp;'Palabra no opera'!$A$2&amp;"*"))</f>
        <v>0</v>
      </c>
      <c r="T1308" s="150">
        <f>+$W$5-Tabla2[[#This Row],[FECHA DE FACTURACIÓN]]</f>
        <v>407</v>
      </c>
      <c r="U1308" t="str">
        <f>+IF(Tabla2[[#This Row],[dias de credito]]&gt;=Tabla2[[#This Row],[PLAZO Días]],"venc", "No venc")</f>
        <v>venc</v>
      </c>
      <c r="V1308" t="str">
        <f>+IF(Tabla2[[#This Row],[FECHA DE PAGO]]&gt;0,"pagada","por pagar")</f>
        <v>pagada</v>
      </c>
      <c r="W1308" s="152" t="str">
        <f>+IF(AND(Tabla2[[#This Row],[venc]]="venc",Tabla2[[#This Row],[Columna1]]="por pagar"),"vencida","no")</f>
        <v>no</v>
      </c>
    </row>
    <row r="1309" spans="1:23" x14ac:dyDescent="0.3">
      <c r="A1309">
        <v>30</v>
      </c>
      <c r="B1309">
        <v>0</v>
      </c>
      <c r="D1309" t="s">
        <v>650</v>
      </c>
      <c r="E1309" s="156">
        <v>44432</v>
      </c>
      <c r="F1309" t="s">
        <v>913</v>
      </c>
      <c r="G1309" s="156">
        <v>44409</v>
      </c>
      <c r="H1309" t="s">
        <v>1275</v>
      </c>
      <c r="I1309">
        <v>3061166</v>
      </c>
      <c r="K1309">
        <v>581621.54</v>
      </c>
      <c r="M1309">
        <v>0</v>
      </c>
      <c r="N1309">
        <v>0</v>
      </c>
      <c r="O1309">
        <v>0</v>
      </c>
      <c r="P1309" s="117">
        <v>3642787.54</v>
      </c>
      <c r="Q1309" s="117" t="s">
        <v>1021</v>
      </c>
      <c r="R1309" s="150">
        <v>0</v>
      </c>
      <c r="S1309" s="117" t="b">
        <f>OR(COUNTIF(Tabla2[[#This Row],[PROVEEDOR]],"*"&amp;'Palabra no opera'!$A$2&amp;"*"))</f>
        <v>1</v>
      </c>
      <c r="T1309" s="150">
        <f>+$W$5-Tabla2[[#This Row],[FECHA DE FACTURACIÓN]]</f>
        <v>425</v>
      </c>
      <c r="U1309" t="str">
        <f>+IF(Tabla2[[#This Row],[dias de credito]]&gt;=Tabla2[[#This Row],[PLAZO Días]],"venc", "No venc")</f>
        <v>venc</v>
      </c>
      <c r="V1309" t="str">
        <f>+IF(Tabla2[[#This Row],[FECHA DE PAGO]]&gt;0,"pagada","por pagar")</f>
        <v>pagada</v>
      </c>
      <c r="W1309" s="152" t="str">
        <f>+IF(AND(Tabla2[[#This Row],[venc]]="venc",Tabla2[[#This Row],[Columna1]]="por pagar"),"vencida","no")</f>
        <v>no</v>
      </c>
    </row>
    <row r="1310" spans="1:23" x14ac:dyDescent="0.3">
      <c r="A1310">
        <v>30</v>
      </c>
      <c r="B1310">
        <v>0</v>
      </c>
      <c r="D1310" t="s">
        <v>650</v>
      </c>
      <c r="E1310" s="156">
        <v>44432</v>
      </c>
      <c r="F1310" t="s">
        <v>913</v>
      </c>
      <c r="G1310" s="156">
        <v>44409</v>
      </c>
      <c r="H1310" t="s">
        <v>1276</v>
      </c>
      <c r="I1310">
        <v>716544</v>
      </c>
      <c r="K1310">
        <v>136143.36000000002</v>
      </c>
      <c r="M1310">
        <v>0</v>
      </c>
      <c r="N1310">
        <v>0</v>
      </c>
      <c r="O1310">
        <v>0</v>
      </c>
      <c r="P1310" s="117">
        <v>852687.35999999999</v>
      </c>
      <c r="Q1310" s="117" t="s">
        <v>1021</v>
      </c>
      <c r="R1310" s="150">
        <v>0</v>
      </c>
      <c r="S1310" s="117" t="b">
        <f>OR(COUNTIF(Tabla2[[#This Row],[PROVEEDOR]],"*"&amp;'Palabra no opera'!$A$2&amp;"*"))</f>
        <v>1</v>
      </c>
      <c r="T1310" s="150">
        <f>+$W$5-Tabla2[[#This Row],[FECHA DE FACTURACIÓN]]</f>
        <v>425</v>
      </c>
      <c r="U1310" t="str">
        <f>+IF(Tabla2[[#This Row],[dias de credito]]&gt;=Tabla2[[#This Row],[PLAZO Días]],"venc", "No venc")</f>
        <v>venc</v>
      </c>
      <c r="V1310" t="str">
        <f>+IF(Tabla2[[#This Row],[FECHA DE PAGO]]&gt;0,"pagada","por pagar")</f>
        <v>pagada</v>
      </c>
      <c r="W1310" s="152" t="str">
        <f>+IF(AND(Tabla2[[#This Row],[venc]]="venc",Tabla2[[#This Row],[Columna1]]="por pagar"),"vencida","no")</f>
        <v>no</v>
      </c>
    </row>
    <row r="1311" spans="1:23" x14ac:dyDescent="0.3">
      <c r="A1311">
        <v>30</v>
      </c>
      <c r="B1311">
        <v>0</v>
      </c>
      <c r="D1311" t="s">
        <v>1688</v>
      </c>
      <c r="E1311" s="156">
        <v>44432</v>
      </c>
      <c r="F1311" t="s">
        <v>928</v>
      </c>
      <c r="G1311" s="156">
        <v>44409</v>
      </c>
      <c r="H1311" t="s">
        <v>588</v>
      </c>
      <c r="I1311">
        <v>3023387</v>
      </c>
      <c r="K1311">
        <v>0</v>
      </c>
      <c r="M1311">
        <v>0</v>
      </c>
      <c r="N1311">
        <v>3.5000000000000003E-2</v>
      </c>
      <c r="O1311">
        <v>105818.54500000001</v>
      </c>
      <c r="P1311" s="117">
        <v>2917568.4550000001</v>
      </c>
      <c r="Q1311" s="117" t="s">
        <v>1021</v>
      </c>
      <c r="R1311" s="150">
        <v>0</v>
      </c>
      <c r="S1311" s="117" t="b">
        <f>OR(COUNTIF(Tabla2[[#This Row],[PROVEEDOR]],"*"&amp;'Palabra no opera'!$A$2&amp;"*"))</f>
        <v>1</v>
      </c>
      <c r="T1311" s="150">
        <f>+$W$5-Tabla2[[#This Row],[FECHA DE FACTURACIÓN]]</f>
        <v>425</v>
      </c>
      <c r="U1311" t="str">
        <f>+IF(Tabla2[[#This Row],[dias de credito]]&gt;=Tabla2[[#This Row],[PLAZO Días]],"venc", "No venc")</f>
        <v>venc</v>
      </c>
      <c r="V1311" t="str">
        <f>+IF(Tabla2[[#This Row],[FECHA DE PAGO]]&gt;0,"pagada","por pagar")</f>
        <v>pagada</v>
      </c>
      <c r="W1311" s="152" t="str">
        <f>+IF(AND(Tabla2[[#This Row],[venc]]="venc",Tabla2[[#This Row],[Columna1]]="por pagar"),"vencida","no")</f>
        <v>no</v>
      </c>
    </row>
    <row r="1312" spans="1:23" x14ac:dyDescent="0.3">
      <c r="A1312">
        <v>30</v>
      </c>
      <c r="B1312">
        <v>0</v>
      </c>
      <c r="D1312" t="s">
        <v>259</v>
      </c>
      <c r="E1312" s="156">
        <v>44432</v>
      </c>
      <c r="F1312" t="s">
        <v>918</v>
      </c>
      <c r="G1312" s="156">
        <v>44409</v>
      </c>
      <c r="H1312">
        <v>8720</v>
      </c>
      <c r="I1312">
        <v>1547710</v>
      </c>
      <c r="K1312">
        <v>0</v>
      </c>
      <c r="M1312">
        <v>0</v>
      </c>
      <c r="N1312">
        <v>0</v>
      </c>
      <c r="O1312">
        <v>0</v>
      </c>
      <c r="P1312" s="117">
        <v>1547710</v>
      </c>
      <c r="Q1312" s="117" t="s">
        <v>1021</v>
      </c>
      <c r="R1312" s="150">
        <v>0</v>
      </c>
      <c r="S1312" s="117" t="b">
        <f>OR(COUNTIF(Tabla2[[#This Row],[PROVEEDOR]],"*"&amp;'Palabra no opera'!$A$2&amp;"*"))</f>
        <v>1</v>
      </c>
      <c r="T1312" s="150">
        <f>+$W$5-Tabla2[[#This Row],[FECHA DE FACTURACIÓN]]</f>
        <v>425</v>
      </c>
      <c r="U1312" t="str">
        <f>+IF(Tabla2[[#This Row],[dias de credito]]&gt;=Tabla2[[#This Row],[PLAZO Días]],"venc", "No venc")</f>
        <v>venc</v>
      </c>
      <c r="V1312" t="str">
        <f>+IF(Tabla2[[#This Row],[FECHA DE PAGO]]&gt;0,"pagada","por pagar")</f>
        <v>pagada</v>
      </c>
      <c r="W1312" s="152" t="str">
        <f>+IF(AND(Tabla2[[#This Row],[venc]]="venc",Tabla2[[#This Row],[Columna1]]="por pagar"),"vencida","no")</f>
        <v>no</v>
      </c>
    </row>
    <row r="1313" spans="1:23" x14ac:dyDescent="0.3">
      <c r="A1313">
        <v>30</v>
      </c>
      <c r="B1313">
        <v>0</v>
      </c>
      <c r="D1313" t="s">
        <v>433</v>
      </c>
      <c r="E1313" s="156">
        <v>44432</v>
      </c>
      <c r="F1313" t="s">
        <v>925</v>
      </c>
      <c r="G1313" s="156">
        <v>44409</v>
      </c>
      <c r="H1313" t="s">
        <v>1277</v>
      </c>
      <c r="I1313">
        <v>2789636</v>
      </c>
      <c r="K1313">
        <v>0</v>
      </c>
      <c r="M1313">
        <v>0</v>
      </c>
      <c r="N1313">
        <v>3.5000000000000003E-2</v>
      </c>
      <c r="O1313">
        <v>97637.260000000009</v>
      </c>
      <c r="P1313" s="117">
        <v>2691998.74</v>
      </c>
      <c r="Q1313" s="117" t="s">
        <v>1021</v>
      </c>
      <c r="R1313" s="150">
        <v>0</v>
      </c>
      <c r="S1313" s="117" t="b">
        <f>OR(COUNTIF(Tabla2[[#This Row],[PROVEEDOR]],"*"&amp;'Palabra no opera'!$A$2&amp;"*"))</f>
        <v>1</v>
      </c>
      <c r="T1313" s="150">
        <f>+$W$5-Tabla2[[#This Row],[FECHA DE FACTURACIÓN]]</f>
        <v>425</v>
      </c>
      <c r="U1313" t="str">
        <f>+IF(Tabla2[[#This Row],[dias de credito]]&gt;=Tabla2[[#This Row],[PLAZO Días]],"venc", "No venc")</f>
        <v>venc</v>
      </c>
      <c r="V1313" t="str">
        <f>+IF(Tabla2[[#This Row],[FECHA DE PAGO]]&gt;0,"pagada","por pagar")</f>
        <v>pagada</v>
      </c>
      <c r="W1313" s="152" t="str">
        <f>+IF(AND(Tabla2[[#This Row],[venc]]="venc",Tabla2[[#This Row],[Columna1]]="por pagar"),"vencida","no")</f>
        <v>no</v>
      </c>
    </row>
    <row r="1314" spans="1:23" x14ac:dyDescent="0.3">
      <c r="A1314">
        <v>30</v>
      </c>
      <c r="B1314">
        <v>0</v>
      </c>
      <c r="D1314" t="s">
        <v>267</v>
      </c>
      <c r="E1314" s="156">
        <v>44432</v>
      </c>
      <c r="F1314" t="s">
        <v>941</v>
      </c>
      <c r="G1314" s="156">
        <v>44409</v>
      </c>
      <c r="H1314" t="s">
        <v>401</v>
      </c>
      <c r="I1314">
        <v>203897</v>
      </c>
      <c r="K1314">
        <v>38740.43</v>
      </c>
      <c r="M1314">
        <v>0</v>
      </c>
      <c r="N1314">
        <v>3.5000000000000003E-2</v>
      </c>
      <c r="O1314">
        <v>7136.3950000000004</v>
      </c>
      <c r="P1314" s="117">
        <v>235501.035</v>
      </c>
      <c r="Q1314" s="117" t="s">
        <v>1021</v>
      </c>
      <c r="R1314" s="150">
        <v>0</v>
      </c>
      <c r="S1314" s="117" t="b">
        <f>OR(COUNTIF(Tabla2[[#This Row],[PROVEEDOR]],"*"&amp;'Palabra no opera'!$A$2&amp;"*"))</f>
        <v>1</v>
      </c>
      <c r="T1314" s="150">
        <f>+$W$5-Tabla2[[#This Row],[FECHA DE FACTURACIÓN]]</f>
        <v>425</v>
      </c>
      <c r="U1314" t="str">
        <f>+IF(Tabla2[[#This Row],[dias de credito]]&gt;=Tabla2[[#This Row],[PLAZO Días]],"venc", "No venc")</f>
        <v>venc</v>
      </c>
      <c r="V1314" t="str">
        <f>+IF(Tabla2[[#This Row],[FECHA DE PAGO]]&gt;0,"pagada","por pagar")</f>
        <v>pagada</v>
      </c>
      <c r="W1314" s="152" t="str">
        <f>+IF(AND(Tabla2[[#This Row],[venc]]="venc",Tabla2[[#This Row],[Columna1]]="por pagar"),"vencida","no")</f>
        <v>no</v>
      </c>
    </row>
    <row r="1315" spans="1:23" x14ac:dyDescent="0.3">
      <c r="A1315">
        <v>20</v>
      </c>
      <c r="B1315">
        <v>0</v>
      </c>
      <c r="D1315" t="s">
        <v>275</v>
      </c>
      <c r="E1315" s="156">
        <v>44432</v>
      </c>
      <c r="F1315" t="s">
        <v>942</v>
      </c>
      <c r="G1315" s="156">
        <v>44409</v>
      </c>
      <c r="H1315">
        <v>39977</v>
      </c>
      <c r="I1315">
        <v>4430000</v>
      </c>
      <c r="K1315">
        <v>841700</v>
      </c>
      <c r="M1315">
        <v>0</v>
      </c>
      <c r="N1315">
        <v>3.5000000000000003E-2</v>
      </c>
      <c r="O1315">
        <v>155050.00000000003</v>
      </c>
      <c r="P1315" s="117">
        <v>5116650</v>
      </c>
      <c r="Q1315" s="117" t="s">
        <v>1021</v>
      </c>
      <c r="R1315" s="150">
        <v>0</v>
      </c>
      <c r="S1315" s="117" t="b">
        <f>OR(COUNTIF(Tabla2[[#This Row],[PROVEEDOR]],"*"&amp;'Palabra no opera'!$A$2&amp;"*"))</f>
        <v>1</v>
      </c>
      <c r="T1315" s="150">
        <f>+$W$5-Tabla2[[#This Row],[FECHA DE FACTURACIÓN]]</f>
        <v>425</v>
      </c>
      <c r="U1315" t="str">
        <f>+IF(Tabla2[[#This Row],[dias de credito]]&gt;=Tabla2[[#This Row],[PLAZO Días]],"venc", "No venc")</f>
        <v>venc</v>
      </c>
      <c r="V1315" t="str">
        <f>+IF(Tabla2[[#This Row],[FECHA DE PAGO]]&gt;0,"pagada","por pagar")</f>
        <v>pagada</v>
      </c>
      <c r="W1315" s="152" t="str">
        <f>+IF(AND(Tabla2[[#This Row],[venc]]="venc",Tabla2[[#This Row],[Columna1]]="por pagar"),"vencida","no")</f>
        <v>no</v>
      </c>
    </row>
    <row r="1316" spans="1:23" x14ac:dyDescent="0.3">
      <c r="A1316">
        <v>30</v>
      </c>
      <c r="B1316">
        <v>0</v>
      </c>
      <c r="D1316" t="s">
        <v>433</v>
      </c>
      <c r="E1316" s="156">
        <v>44432</v>
      </c>
      <c r="F1316" t="s">
        <v>925</v>
      </c>
      <c r="G1316" s="156">
        <v>44396</v>
      </c>
      <c r="H1316" t="s">
        <v>1256</v>
      </c>
      <c r="I1316">
        <v>-1000000</v>
      </c>
      <c r="K1316">
        <v>0</v>
      </c>
      <c r="M1316">
        <v>0</v>
      </c>
      <c r="N1316">
        <v>0</v>
      </c>
      <c r="O1316">
        <v>0</v>
      </c>
      <c r="P1316" s="117">
        <v>-1000000</v>
      </c>
      <c r="Q1316" s="117" t="s">
        <v>1021</v>
      </c>
      <c r="R1316" s="150">
        <v>0</v>
      </c>
      <c r="S1316" s="117" t="b">
        <f>OR(COUNTIF(Tabla2[[#This Row],[PROVEEDOR]],"*"&amp;'Palabra no opera'!$A$2&amp;"*"))</f>
        <v>1</v>
      </c>
      <c r="T1316" s="150">
        <f>+$W$5-Tabla2[[#This Row],[FECHA DE FACTURACIÓN]]</f>
        <v>438</v>
      </c>
      <c r="U1316" t="str">
        <f>+IF(Tabla2[[#This Row],[dias de credito]]&gt;=Tabla2[[#This Row],[PLAZO Días]],"venc", "No venc")</f>
        <v>venc</v>
      </c>
      <c r="V1316" t="str">
        <f>+IF(Tabla2[[#This Row],[FECHA DE PAGO]]&gt;0,"pagada","por pagar")</f>
        <v>pagada</v>
      </c>
      <c r="W1316" s="152" t="str">
        <f>+IF(AND(Tabla2[[#This Row],[venc]]="venc",Tabla2[[#This Row],[Columna1]]="por pagar"),"vencida","no")</f>
        <v>no</v>
      </c>
    </row>
    <row r="1317" spans="1:23" x14ac:dyDescent="0.3">
      <c r="A1317">
        <v>20</v>
      </c>
      <c r="B1317">
        <v>0</v>
      </c>
      <c r="D1317" t="s">
        <v>275</v>
      </c>
      <c r="E1317" s="156">
        <v>44432</v>
      </c>
      <c r="F1317" t="s">
        <v>942</v>
      </c>
      <c r="G1317" s="156">
        <v>44396</v>
      </c>
      <c r="H1317" t="s">
        <v>594</v>
      </c>
      <c r="I1317">
        <v>13179.25</v>
      </c>
      <c r="K1317">
        <v>2504.0574999999999</v>
      </c>
      <c r="M1317">
        <v>0</v>
      </c>
      <c r="N1317">
        <v>3.5000000000000003E-2</v>
      </c>
      <c r="O1317">
        <v>461.27375000000006</v>
      </c>
      <c r="P1317" s="117">
        <v>15222.033749999999</v>
      </c>
      <c r="Q1317" s="117" t="s">
        <v>1021</v>
      </c>
      <c r="R1317" s="150">
        <v>0</v>
      </c>
      <c r="S1317" s="117" t="b">
        <f>OR(COUNTIF(Tabla2[[#This Row],[PROVEEDOR]],"*"&amp;'Palabra no opera'!$A$2&amp;"*"))</f>
        <v>1</v>
      </c>
      <c r="T1317" s="150">
        <f>+$W$5-Tabla2[[#This Row],[FECHA DE FACTURACIÓN]]</f>
        <v>438</v>
      </c>
      <c r="U1317" t="str">
        <f>+IF(Tabla2[[#This Row],[dias de credito]]&gt;=Tabla2[[#This Row],[PLAZO Días]],"venc", "No venc")</f>
        <v>venc</v>
      </c>
      <c r="V1317" t="str">
        <f>+IF(Tabla2[[#This Row],[FECHA DE PAGO]]&gt;0,"pagada","por pagar")</f>
        <v>pagada</v>
      </c>
      <c r="W1317" s="152" t="str">
        <f>+IF(AND(Tabla2[[#This Row],[venc]]="venc",Tabla2[[#This Row],[Columna1]]="por pagar"),"vencida","no")</f>
        <v>no</v>
      </c>
    </row>
    <row r="1318" spans="1:23" x14ac:dyDescent="0.3">
      <c r="A1318">
        <v>30</v>
      </c>
      <c r="B1318">
        <v>9032827.5</v>
      </c>
      <c r="D1318" t="s">
        <v>432</v>
      </c>
      <c r="E1318" s="156">
        <v>44432</v>
      </c>
      <c r="F1318" t="s">
        <v>33</v>
      </c>
      <c r="G1318" s="156">
        <v>44387</v>
      </c>
      <c r="H1318">
        <v>1180</v>
      </c>
      <c r="I1318">
        <v>2594000</v>
      </c>
      <c r="K1318">
        <v>492860</v>
      </c>
      <c r="M1318">
        <v>0</v>
      </c>
      <c r="N1318">
        <v>2.5000000000000001E-2</v>
      </c>
      <c r="O1318">
        <v>64850</v>
      </c>
      <c r="P1318" s="117">
        <v>3022010</v>
      </c>
      <c r="Q1318" s="117" t="s">
        <v>1021</v>
      </c>
      <c r="R1318" s="150">
        <v>0</v>
      </c>
      <c r="S1318" s="117" t="b">
        <f>OR(COUNTIF(Tabla2[[#This Row],[PROVEEDOR]],"*"&amp;'Palabra no opera'!$A$2&amp;"*"))</f>
        <v>0</v>
      </c>
      <c r="T1318" s="150">
        <f>+$W$5-Tabla2[[#This Row],[FECHA DE FACTURACIÓN]]</f>
        <v>447</v>
      </c>
      <c r="U1318" t="str">
        <f>+IF(Tabla2[[#This Row],[dias de credito]]&gt;=Tabla2[[#This Row],[PLAZO Días]],"venc", "No venc")</f>
        <v>venc</v>
      </c>
      <c r="V1318" t="str">
        <f>+IF(Tabla2[[#This Row],[FECHA DE PAGO]]&gt;0,"pagada","por pagar")</f>
        <v>pagada</v>
      </c>
      <c r="W1318" s="152" t="str">
        <f>+IF(AND(Tabla2[[#This Row],[venc]]="venc",Tabla2[[#This Row],[Columna1]]="por pagar"),"vencida","no")</f>
        <v>no</v>
      </c>
    </row>
    <row r="1319" spans="1:23" x14ac:dyDescent="0.3">
      <c r="A1319">
        <v>30</v>
      </c>
      <c r="B1319">
        <v>0</v>
      </c>
      <c r="D1319" t="s">
        <v>254</v>
      </c>
      <c r="E1319" s="156">
        <v>44432</v>
      </c>
      <c r="F1319" t="s">
        <v>46</v>
      </c>
      <c r="G1319" s="156">
        <v>44371</v>
      </c>
      <c r="H1319">
        <v>160218083</v>
      </c>
      <c r="I1319">
        <v>5978400</v>
      </c>
      <c r="K1319">
        <v>1135896</v>
      </c>
      <c r="M1319">
        <v>0</v>
      </c>
      <c r="N1319">
        <v>0</v>
      </c>
      <c r="O1319">
        <v>0</v>
      </c>
      <c r="P1319" s="117">
        <v>7114296</v>
      </c>
      <c r="Q1319" s="117" t="s">
        <v>1021</v>
      </c>
      <c r="R1319" s="150">
        <v>0</v>
      </c>
      <c r="S1319" s="117" t="b">
        <f>OR(COUNTIF(Tabla2[[#This Row],[PROVEEDOR]],"*"&amp;'Palabra no opera'!$A$2&amp;"*"))</f>
        <v>0</v>
      </c>
      <c r="T1319" s="150">
        <f>+$W$5-Tabla2[[#This Row],[FECHA DE FACTURACIÓN]]</f>
        <v>463</v>
      </c>
      <c r="U1319" t="str">
        <f>+IF(Tabla2[[#This Row],[dias de credito]]&gt;=Tabla2[[#This Row],[PLAZO Días]],"venc", "No venc")</f>
        <v>venc</v>
      </c>
      <c r="V1319" t="str">
        <f>+IF(Tabla2[[#This Row],[FECHA DE PAGO]]&gt;0,"pagada","por pagar")</f>
        <v>pagada</v>
      </c>
      <c r="W1319" s="152" t="str">
        <f>+IF(AND(Tabla2[[#This Row],[venc]]="venc",Tabla2[[#This Row],[Columna1]]="por pagar"),"vencida","no")</f>
        <v>no</v>
      </c>
    </row>
    <row r="1320" spans="1:23" x14ac:dyDescent="0.3">
      <c r="A1320">
        <v>30</v>
      </c>
      <c r="B1320">
        <v>0</v>
      </c>
      <c r="D1320" t="s">
        <v>433</v>
      </c>
      <c r="E1320" s="156">
        <v>44432</v>
      </c>
      <c r="F1320" t="s">
        <v>925</v>
      </c>
      <c r="G1320" s="156">
        <v>44369</v>
      </c>
      <c r="H1320" t="s">
        <v>1256</v>
      </c>
      <c r="I1320">
        <v>-1000000</v>
      </c>
      <c r="K1320">
        <v>0</v>
      </c>
      <c r="M1320">
        <v>0</v>
      </c>
      <c r="N1320">
        <v>0</v>
      </c>
      <c r="O1320">
        <v>0</v>
      </c>
      <c r="P1320" s="117">
        <v>-1000000</v>
      </c>
      <c r="Q1320" s="117" t="s">
        <v>1021</v>
      </c>
      <c r="R1320" s="150">
        <v>0</v>
      </c>
      <c r="S1320" s="117" t="b">
        <f>OR(COUNTIF(Tabla2[[#This Row],[PROVEEDOR]],"*"&amp;'Palabra no opera'!$A$2&amp;"*"))</f>
        <v>1</v>
      </c>
      <c r="T1320" s="150">
        <f>+$W$5-Tabla2[[#This Row],[FECHA DE FACTURACIÓN]]</f>
        <v>465</v>
      </c>
      <c r="U1320" t="str">
        <f>+IF(Tabla2[[#This Row],[dias de credito]]&gt;=Tabla2[[#This Row],[PLAZO Días]],"venc", "No venc")</f>
        <v>venc</v>
      </c>
      <c r="V1320" t="str">
        <f>+IF(Tabla2[[#This Row],[FECHA DE PAGO]]&gt;0,"pagada","por pagar")</f>
        <v>pagada</v>
      </c>
      <c r="W1320" s="152" t="str">
        <f>+IF(AND(Tabla2[[#This Row],[venc]]="venc",Tabla2[[#This Row],[Columna1]]="por pagar"),"vencida","no")</f>
        <v>no</v>
      </c>
    </row>
    <row r="1321" spans="1:23" x14ac:dyDescent="0.3">
      <c r="A1321">
        <v>30</v>
      </c>
      <c r="B1321">
        <v>0</v>
      </c>
      <c r="D1321" t="s">
        <v>433</v>
      </c>
      <c r="E1321" s="156">
        <v>44432</v>
      </c>
      <c r="F1321" t="s">
        <v>925</v>
      </c>
      <c r="G1321" s="156">
        <v>44287</v>
      </c>
      <c r="H1321" t="s">
        <v>1202</v>
      </c>
      <c r="I1321">
        <v>2789636</v>
      </c>
      <c r="K1321">
        <v>0</v>
      </c>
      <c r="M1321">
        <v>0</v>
      </c>
      <c r="N1321">
        <v>3.5000000000000003E-2</v>
      </c>
      <c r="O1321">
        <v>97637.260000000009</v>
      </c>
      <c r="P1321" s="117">
        <v>2691998.74</v>
      </c>
      <c r="Q1321" s="117" t="s">
        <v>1021</v>
      </c>
      <c r="R1321" s="150">
        <v>0</v>
      </c>
      <c r="S1321" s="117" t="b">
        <f>OR(COUNTIF(Tabla2[[#This Row],[PROVEEDOR]],"*"&amp;'Palabra no opera'!$A$2&amp;"*"))</f>
        <v>1</v>
      </c>
      <c r="T1321" s="150">
        <f>+$W$5-Tabla2[[#This Row],[FECHA DE FACTURACIÓN]]</f>
        <v>547</v>
      </c>
      <c r="U1321" t="str">
        <f>+IF(Tabla2[[#This Row],[dias de credito]]&gt;=Tabla2[[#This Row],[PLAZO Días]],"venc", "No venc")</f>
        <v>venc</v>
      </c>
      <c r="V1321" t="str">
        <f>+IF(Tabla2[[#This Row],[FECHA DE PAGO]]&gt;0,"pagada","por pagar")</f>
        <v>pagada</v>
      </c>
      <c r="W1321" s="152" t="str">
        <f>+IF(AND(Tabla2[[#This Row],[venc]]="venc",Tabla2[[#This Row],[Columna1]]="por pagar"),"vencida","no")</f>
        <v>no</v>
      </c>
    </row>
    <row r="1322" spans="1:23" x14ac:dyDescent="0.3">
      <c r="A1322">
        <v>30</v>
      </c>
      <c r="B1322">
        <v>0</v>
      </c>
      <c r="D1322" t="s">
        <v>139</v>
      </c>
      <c r="E1322" s="156">
        <v>44431</v>
      </c>
      <c r="F1322" t="s">
        <v>638</v>
      </c>
      <c r="G1322" s="156">
        <v>44431</v>
      </c>
      <c r="H1322" t="s">
        <v>1290</v>
      </c>
      <c r="I1322">
        <v>8149000</v>
      </c>
      <c r="K1322">
        <v>0</v>
      </c>
      <c r="M1322">
        <v>0</v>
      </c>
      <c r="N1322">
        <v>0</v>
      </c>
      <c r="O1322">
        <v>0</v>
      </c>
      <c r="P1322" s="117">
        <v>8149000</v>
      </c>
      <c r="Q1322" s="117" t="s">
        <v>1021</v>
      </c>
      <c r="R1322" s="150">
        <v>0</v>
      </c>
      <c r="S1322" s="117" t="b">
        <f>OR(COUNTIF(Tabla2[[#This Row],[PROVEEDOR]],"*"&amp;'Palabra no opera'!$A$2&amp;"*"))</f>
        <v>0</v>
      </c>
      <c r="T1322" s="150">
        <f>+$W$5-Tabla2[[#This Row],[FECHA DE FACTURACIÓN]]</f>
        <v>403</v>
      </c>
      <c r="U1322" t="str">
        <f>+IF(Tabla2[[#This Row],[dias de credito]]&gt;=Tabla2[[#This Row],[PLAZO Días]],"venc", "No venc")</f>
        <v>venc</v>
      </c>
      <c r="V1322" t="str">
        <f>+IF(Tabla2[[#This Row],[FECHA DE PAGO]]&gt;0,"pagada","por pagar")</f>
        <v>pagada</v>
      </c>
      <c r="W1322" s="152" t="str">
        <f>+IF(AND(Tabla2[[#This Row],[venc]]="venc",Tabla2[[#This Row],[Columna1]]="por pagar"),"vencida","no")</f>
        <v>no</v>
      </c>
    </row>
    <row r="1323" spans="1:23" x14ac:dyDescent="0.3">
      <c r="A1323">
        <v>30</v>
      </c>
      <c r="B1323">
        <v>0</v>
      </c>
      <c r="D1323">
        <v>0</v>
      </c>
      <c r="E1323" s="156">
        <v>44431</v>
      </c>
      <c r="F1323" t="s">
        <v>669</v>
      </c>
      <c r="G1323" s="156">
        <v>44431</v>
      </c>
      <c r="H1323" t="s">
        <v>1291</v>
      </c>
      <c r="I1323">
        <v>1000000</v>
      </c>
      <c r="K1323">
        <v>0</v>
      </c>
      <c r="M1323">
        <v>0</v>
      </c>
      <c r="N1323">
        <v>0</v>
      </c>
      <c r="O1323">
        <v>0</v>
      </c>
      <c r="P1323" s="117">
        <v>1000000</v>
      </c>
      <c r="Q1323" s="117" t="s">
        <v>1021</v>
      </c>
      <c r="R1323" s="150">
        <v>0</v>
      </c>
      <c r="S1323" s="117" t="b">
        <f>OR(COUNTIF(Tabla2[[#This Row],[PROVEEDOR]],"*"&amp;'Palabra no opera'!$A$2&amp;"*"))</f>
        <v>0</v>
      </c>
      <c r="T1323" s="150">
        <f>+$W$5-Tabla2[[#This Row],[FECHA DE FACTURACIÓN]]</f>
        <v>403</v>
      </c>
      <c r="U1323" t="str">
        <f>+IF(Tabla2[[#This Row],[dias de credito]]&gt;=Tabla2[[#This Row],[PLAZO Días]],"venc", "No venc")</f>
        <v>venc</v>
      </c>
      <c r="V1323" t="str">
        <f>+IF(Tabla2[[#This Row],[FECHA DE PAGO]]&gt;0,"pagada","por pagar")</f>
        <v>pagada</v>
      </c>
      <c r="W1323" s="152" t="str">
        <f>+IF(AND(Tabla2[[#This Row],[venc]]="venc",Tabla2[[#This Row],[Columna1]]="por pagar"),"vencida","no")</f>
        <v>no</v>
      </c>
    </row>
    <row r="1324" spans="1:23" x14ac:dyDescent="0.3">
      <c r="A1324">
        <v>10</v>
      </c>
      <c r="B1324">
        <v>0</v>
      </c>
      <c r="D1324" t="s">
        <v>139</v>
      </c>
      <c r="E1324" s="156">
        <v>44431</v>
      </c>
      <c r="F1324" t="s">
        <v>23</v>
      </c>
      <c r="G1324" s="156">
        <v>44426</v>
      </c>
      <c r="H1324">
        <v>284593</v>
      </c>
      <c r="I1324">
        <v>7774650</v>
      </c>
      <c r="K1324">
        <v>0</v>
      </c>
      <c r="M1324">
        <v>0</v>
      </c>
      <c r="N1324">
        <v>0</v>
      </c>
      <c r="O1324">
        <v>0</v>
      </c>
      <c r="P1324" s="117">
        <v>7774650</v>
      </c>
      <c r="Q1324" s="117" t="s">
        <v>1021</v>
      </c>
      <c r="R1324" s="150">
        <v>0</v>
      </c>
      <c r="S1324" s="117" t="b">
        <f>OR(COUNTIF(Tabla2[[#This Row],[PROVEEDOR]],"*"&amp;'Palabra no opera'!$A$2&amp;"*"))</f>
        <v>0</v>
      </c>
      <c r="T1324" s="150">
        <f>+$W$5-Tabla2[[#This Row],[FECHA DE FACTURACIÓN]]</f>
        <v>408</v>
      </c>
      <c r="U1324" t="str">
        <f>+IF(Tabla2[[#This Row],[dias de credito]]&gt;=Tabla2[[#This Row],[PLAZO Días]],"venc", "No venc")</f>
        <v>venc</v>
      </c>
      <c r="V1324" t="str">
        <f>+IF(Tabla2[[#This Row],[FECHA DE PAGO]]&gt;0,"pagada","por pagar")</f>
        <v>pagada</v>
      </c>
      <c r="W1324" s="152" t="str">
        <f>+IF(AND(Tabla2[[#This Row],[venc]]="venc",Tabla2[[#This Row],[Columna1]]="por pagar"),"vencida","no")</f>
        <v>no</v>
      </c>
    </row>
    <row r="1325" spans="1:23" x14ac:dyDescent="0.3">
      <c r="A1325">
        <v>30</v>
      </c>
      <c r="B1325">
        <v>1580500</v>
      </c>
      <c r="D1325" t="s">
        <v>139</v>
      </c>
      <c r="E1325" s="156">
        <v>44431</v>
      </c>
      <c r="F1325" t="s">
        <v>686</v>
      </c>
      <c r="G1325" s="156">
        <v>44396</v>
      </c>
      <c r="H1325" t="s">
        <v>1272</v>
      </c>
      <c r="I1325">
        <v>1033000</v>
      </c>
      <c r="K1325">
        <v>0</v>
      </c>
      <c r="M1325">
        <v>0</v>
      </c>
      <c r="N1325">
        <v>0</v>
      </c>
      <c r="O1325">
        <v>0</v>
      </c>
      <c r="P1325" s="117">
        <v>1033000</v>
      </c>
      <c r="Q1325" s="117" t="s">
        <v>1021</v>
      </c>
      <c r="R1325" s="150">
        <v>0</v>
      </c>
      <c r="S1325" s="117" t="b">
        <f>OR(COUNTIF(Tabla2[[#This Row],[PROVEEDOR]],"*"&amp;'Palabra no opera'!$A$2&amp;"*"))</f>
        <v>0</v>
      </c>
      <c r="T1325" s="150">
        <f>+$W$5-Tabla2[[#This Row],[FECHA DE FACTURACIÓN]]</f>
        <v>438</v>
      </c>
      <c r="U1325" t="str">
        <f>+IF(Tabla2[[#This Row],[dias de credito]]&gt;=Tabla2[[#This Row],[PLAZO Días]],"venc", "No venc")</f>
        <v>venc</v>
      </c>
      <c r="V1325" t="str">
        <f>+IF(Tabla2[[#This Row],[FECHA DE PAGO]]&gt;0,"pagada","por pagar")</f>
        <v>pagada</v>
      </c>
      <c r="W1325" s="152" t="str">
        <f>+IF(AND(Tabla2[[#This Row],[venc]]="venc",Tabla2[[#This Row],[Columna1]]="por pagar"),"vencida","no")</f>
        <v>no</v>
      </c>
    </row>
    <row r="1326" spans="1:23" x14ac:dyDescent="0.3">
      <c r="A1326">
        <v>30</v>
      </c>
      <c r="B1326">
        <v>0</v>
      </c>
      <c r="D1326" t="s">
        <v>547</v>
      </c>
      <c r="E1326" s="156">
        <v>44429</v>
      </c>
      <c r="F1326" t="s">
        <v>905</v>
      </c>
      <c r="G1326" s="156">
        <v>44407</v>
      </c>
      <c r="H1326" t="s">
        <v>441</v>
      </c>
      <c r="I1326">
        <v>3519330</v>
      </c>
      <c r="K1326">
        <v>668672.69999999995</v>
      </c>
      <c r="M1326">
        <v>0</v>
      </c>
      <c r="N1326">
        <v>0</v>
      </c>
      <c r="O1326">
        <v>0</v>
      </c>
      <c r="P1326" s="117">
        <v>4188002.7</v>
      </c>
      <c r="Q1326" s="117" t="s">
        <v>1021</v>
      </c>
      <c r="R1326" s="150">
        <v>0</v>
      </c>
      <c r="S1326" s="117" t="b">
        <f>OR(COUNTIF(Tabla2[[#This Row],[PROVEEDOR]],"*"&amp;'Palabra no opera'!$A$2&amp;"*"))</f>
        <v>1</v>
      </c>
      <c r="T1326" s="150">
        <f>+$W$5-Tabla2[[#This Row],[FECHA DE FACTURACIÓN]]</f>
        <v>427</v>
      </c>
      <c r="U1326" t="str">
        <f>+IF(Tabla2[[#This Row],[dias de credito]]&gt;=Tabla2[[#This Row],[PLAZO Días]],"venc", "No venc")</f>
        <v>venc</v>
      </c>
      <c r="V1326" t="str">
        <f>+IF(Tabla2[[#This Row],[FECHA DE PAGO]]&gt;0,"pagada","por pagar")</f>
        <v>pagada</v>
      </c>
      <c r="W1326" s="152" t="str">
        <f>+IF(AND(Tabla2[[#This Row],[venc]]="venc",Tabla2[[#This Row],[Columna1]]="por pagar"),"vencida","no")</f>
        <v>no</v>
      </c>
    </row>
    <row r="1327" spans="1:23" x14ac:dyDescent="0.3">
      <c r="A1327">
        <v>30</v>
      </c>
      <c r="B1327">
        <v>5225000</v>
      </c>
      <c r="D1327" t="s">
        <v>139</v>
      </c>
      <c r="E1327" s="156">
        <v>44429</v>
      </c>
      <c r="F1327" t="s">
        <v>629</v>
      </c>
      <c r="G1327" s="156">
        <v>44387</v>
      </c>
      <c r="H1327" t="s">
        <v>1267</v>
      </c>
      <c r="I1327">
        <v>1340300</v>
      </c>
      <c r="K1327">
        <v>0</v>
      </c>
      <c r="M1327">
        <v>0</v>
      </c>
      <c r="N1327">
        <v>0</v>
      </c>
      <c r="O1327">
        <v>0</v>
      </c>
      <c r="P1327" s="117">
        <v>1340300</v>
      </c>
      <c r="Q1327" s="117" t="s">
        <v>1021</v>
      </c>
      <c r="R1327" s="150">
        <v>0</v>
      </c>
      <c r="S1327" s="117" t="b">
        <f>OR(COUNTIF(Tabla2[[#This Row],[PROVEEDOR]],"*"&amp;'Palabra no opera'!$A$2&amp;"*"))</f>
        <v>0</v>
      </c>
      <c r="T1327" s="150">
        <f>+$W$5-Tabla2[[#This Row],[FECHA DE FACTURACIÓN]]</f>
        <v>447</v>
      </c>
      <c r="U1327" t="str">
        <f>+IF(Tabla2[[#This Row],[dias de credito]]&gt;=Tabla2[[#This Row],[PLAZO Días]],"venc", "No venc")</f>
        <v>venc</v>
      </c>
      <c r="V1327" t="str">
        <f>+IF(Tabla2[[#This Row],[FECHA DE PAGO]]&gt;0,"pagada","por pagar")</f>
        <v>pagada</v>
      </c>
      <c r="W1327" s="152" t="str">
        <f>+IF(AND(Tabla2[[#This Row],[venc]]="venc",Tabla2[[#This Row],[Columna1]]="por pagar"),"vencida","no")</f>
        <v>no</v>
      </c>
    </row>
    <row r="1328" spans="1:23" x14ac:dyDescent="0.3">
      <c r="A1328">
        <v>30</v>
      </c>
      <c r="B1328">
        <v>0</v>
      </c>
      <c r="D1328" t="s">
        <v>547</v>
      </c>
      <c r="E1328" s="156">
        <v>44429</v>
      </c>
      <c r="F1328" t="s">
        <v>905</v>
      </c>
      <c r="G1328" s="156">
        <v>44376</v>
      </c>
      <c r="H1328" t="s">
        <v>440</v>
      </c>
      <c r="I1328">
        <v>2378140</v>
      </c>
      <c r="K1328">
        <v>451846.6</v>
      </c>
      <c r="M1328">
        <v>0</v>
      </c>
      <c r="N1328">
        <v>0</v>
      </c>
      <c r="O1328">
        <v>0</v>
      </c>
      <c r="P1328" s="117">
        <v>2829986.6</v>
      </c>
      <c r="Q1328" s="117" t="s">
        <v>1021</v>
      </c>
      <c r="R1328" s="150">
        <v>0</v>
      </c>
      <c r="S1328" s="117" t="b">
        <f>OR(COUNTIF(Tabla2[[#This Row],[PROVEEDOR]],"*"&amp;'Palabra no opera'!$A$2&amp;"*"))</f>
        <v>1</v>
      </c>
      <c r="T1328" s="150">
        <f>+$W$5-Tabla2[[#This Row],[FECHA DE FACTURACIÓN]]</f>
        <v>458</v>
      </c>
      <c r="U1328" t="str">
        <f>+IF(Tabla2[[#This Row],[dias de credito]]&gt;=Tabla2[[#This Row],[PLAZO Días]],"venc", "No venc")</f>
        <v>venc</v>
      </c>
      <c r="V1328" t="str">
        <f>+IF(Tabla2[[#This Row],[FECHA DE PAGO]]&gt;0,"pagada","por pagar")</f>
        <v>pagada</v>
      </c>
      <c r="W1328" s="152" t="str">
        <f>+IF(AND(Tabla2[[#This Row],[venc]]="venc",Tabla2[[#This Row],[Columna1]]="por pagar"),"vencida","no")</f>
        <v>no</v>
      </c>
    </row>
    <row r="1329" spans="1:23" x14ac:dyDescent="0.3">
      <c r="A1329">
        <v>30</v>
      </c>
      <c r="B1329">
        <v>0</v>
      </c>
      <c r="D1329" t="s">
        <v>139</v>
      </c>
      <c r="E1329" s="156">
        <v>44428</v>
      </c>
      <c r="F1329" t="s">
        <v>661</v>
      </c>
      <c r="G1329" s="156">
        <v>44428</v>
      </c>
      <c r="H1329" t="s">
        <v>1289</v>
      </c>
      <c r="I1329">
        <v>520000</v>
      </c>
      <c r="K1329">
        <v>0</v>
      </c>
      <c r="M1329">
        <v>0</v>
      </c>
      <c r="N1329">
        <v>0</v>
      </c>
      <c r="O1329">
        <v>0</v>
      </c>
      <c r="P1329" s="117">
        <v>520000</v>
      </c>
      <c r="Q1329" s="117" t="s">
        <v>1021</v>
      </c>
      <c r="R1329" s="150">
        <v>0</v>
      </c>
      <c r="S1329" s="117" t="b">
        <f>OR(COUNTIF(Tabla2[[#This Row],[PROVEEDOR]],"*"&amp;'Palabra no opera'!$A$2&amp;"*"))</f>
        <v>0</v>
      </c>
      <c r="T1329" s="150">
        <f>+$W$5-Tabla2[[#This Row],[FECHA DE FACTURACIÓN]]</f>
        <v>406</v>
      </c>
      <c r="U1329" t="str">
        <f>+IF(Tabla2[[#This Row],[dias de credito]]&gt;=Tabla2[[#This Row],[PLAZO Días]],"venc", "No venc")</f>
        <v>venc</v>
      </c>
      <c r="V1329" t="str">
        <f>+IF(Tabla2[[#This Row],[FECHA DE PAGO]]&gt;0,"pagada","por pagar")</f>
        <v>pagada</v>
      </c>
      <c r="W1329" s="152" t="str">
        <f>+IF(AND(Tabla2[[#This Row],[venc]]="venc",Tabla2[[#This Row],[Columna1]]="por pagar"),"vencida","no")</f>
        <v>no</v>
      </c>
    </row>
    <row r="1330" spans="1:23" x14ac:dyDescent="0.3">
      <c r="A1330">
        <v>30</v>
      </c>
      <c r="B1330">
        <v>0</v>
      </c>
      <c r="D1330" t="s">
        <v>139</v>
      </c>
      <c r="E1330" s="156">
        <v>44428</v>
      </c>
      <c r="F1330" t="s">
        <v>695</v>
      </c>
      <c r="G1330" s="156">
        <v>44423</v>
      </c>
      <c r="H1330" t="s">
        <v>1283</v>
      </c>
      <c r="I1330">
        <v>1026700</v>
      </c>
      <c r="K1330">
        <v>0</v>
      </c>
      <c r="M1330">
        <v>0</v>
      </c>
      <c r="N1330">
        <v>0</v>
      </c>
      <c r="O1330">
        <v>0</v>
      </c>
      <c r="P1330" s="117">
        <v>1026700</v>
      </c>
      <c r="Q1330" s="117" t="s">
        <v>1021</v>
      </c>
      <c r="R1330" s="150">
        <v>0</v>
      </c>
      <c r="S1330" s="117" t="b">
        <f>OR(COUNTIF(Tabla2[[#This Row],[PROVEEDOR]],"*"&amp;'Palabra no opera'!$A$2&amp;"*"))</f>
        <v>0</v>
      </c>
      <c r="T1330" s="150">
        <f>+$W$5-Tabla2[[#This Row],[FECHA DE FACTURACIÓN]]</f>
        <v>411</v>
      </c>
      <c r="U1330" t="str">
        <f>+IF(Tabla2[[#This Row],[dias de credito]]&gt;=Tabla2[[#This Row],[PLAZO Días]],"venc", "No venc")</f>
        <v>venc</v>
      </c>
      <c r="V1330" t="str">
        <f>+IF(Tabla2[[#This Row],[FECHA DE PAGO]]&gt;0,"pagada","por pagar")</f>
        <v>pagada</v>
      </c>
      <c r="W1330" s="152" t="str">
        <f>+IF(AND(Tabla2[[#This Row],[venc]]="venc",Tabla2[[#This Row],[Columna1]]="por pagar"),"vencida","no")</f>
        <v>no</v>
      </c>
    </row>
    <row r="1331" spans="1:23" x14ac:dyDescent="0.3">
      <c r="A1331">
        <v>30</v>
      </c>
      <c r="B1331">
        <v>0</v>
      </c>
      <c r="D1331" t="s">
        <v>423</v>
      </c>
      <c r="E1331" s="156">
        <v>44428</v>
      </c>
      <c r="F1331" t="s">
        <v>698</v>
      </c>
      <c r="G1331" s="156">
        <v>44411</v>
      </c>
      <c r="H1331" t="s">
        <v>1478</v>
      </c>
      <c r="I1331">
        <v>3850000</v>
      </c>
      <c r="K1331">
        <v>0</v>
      </c>
      <c r="M1331">
        <v>0</v>
      </c>
      <c r="N1331">
        <v>0</v>
      </c>
      <c r="O1331">
        <v>0</v>
      </c>
      <c r="P1331" s="117">
        <v>3850000</v>
      </c>
      <c r="Q1331" s="117" t="s">
        <v>1021</v>
      </c>
      <c r="R1331" s="150">
        <v>0</v>
      </c>
      <c r="S1331" s="117" t="b">
        <f>OR(COUNTIF(Tabla2[[#This Row],[PROVEEDOR]],"*"&amp;'Palabra no opera'!$A$2&amp;"*"))</f>
        <v>0</v>
      </c>
      <c r="T1331" s="150">
        <f>+$W$5-Tabla2[[#This Row],[FECHA DE FACTURACIÓN]]</f>
        <v>423</v>
      </c>
      <c r="U1331" t="str">
        <f>+IF(Tabla2[[#This Row],[dias de credito]]&gt;=Tabla2[[#This Row],[PLAZO Días]],"venc", "No venc")</f>
        <v>venc</v>
      </c>
      <c r="V1331" t="str">
        <f>+IF(Tabla2[[#This Row],[FECHA DE PAGO]]&gt;0,"pagada","por pagar")</f>
        <v>pagada</v>
      </c>
      <c r="W1331" s="152" t="str">
        <f>+IF(AND(Tabla2[[#This Row],[venc]]="venc",Tabla2[[#This Row],[Columna1]]="por pagar"),"vencida","no")</f>
        <v>no</v>
      </c>
    </row>
    <row r="1332" spans="1:23" x14ac:dyDescent="0.3">
      <c r="A1332">
        <v>30</v>
      </c>
      <c r="B1332">
        <v>0</v>
      </c>
      <c r="D1332" t="s">
        <v>676</v>
      </c>
      <c r="E1332" s="156">
        <v>44428</v>
      </c>
      <c r="F1332" t="s">
        <v>940</v>
      </c>
      <c r="G1332" s="156">
        <v>44409</v>
      </c>
      <c r="H1332">
        <v>63851</v>
      </c>
      <c r="I1332">
        <v>302624.74</v>
      </c>
      <c r="K1332">
        <v>0</v>
      </c>
      <c r="M1332">
        <v>0</v>
      </c>
      <c r="N1332">
        <v>0</v>
      </c>
      <c r="O1332">
        <v>0</v>
      </c>
      <c r="P1332" s="117">
        <v>302624.74</v>
      </c>
      <c r="Q1332" s="117" t="s">
        <v>1021</v>
      </c>
      <c r="R1332" s="150">
        <v>0</v>
      </c>
      <c r="S1332" s="117" t="b">
        <f>OR(COUNTIF(Tabla2[[#This Row],[PROVEEDOR]],"*"&amp;'Palabra no opera'!$A$2&amp;"*"))</f>
        <v>1</v>
      </c>
      <c r="T1332" s="150">
        <f>+$W$5-Tabla2[[#This Row],[FECHA DE FACTURACIÓN]]</f>
        <v>425</v>
      </c>
      <c r="U1332" t="str">
        <f>+IF(Tabla2[[#This Row],[dias de credito]]&gt;=Tabla2[[#This Row],[PLAZO Días]],"venc", "No venc")</f>
        <v>venc</v>
      </c>
      <c r="V1332" t="str">
        <f>+IF(Tabla2[[#This Row],[FECHA DE PAGO]]&gt;0,"pagada","por pagar")</f>
        <v>pagada</v>
      </c>
      <c r="W1332" s="152" t="str">
        <f>+IF(AND(Tabla2[[#This Row],[venc]]="venc",Tabla2[[#This Row],[Columna1]]="por pagar"),"vencida","no")</f>
        <v>no</v>
      </c>
    </row>
    <row r="1333" spans="1:23" x14ac:dyDescent="0.3">
      <c r="A1333">
        <v>30</v>
      </c>
      <c r="B1333">
        <v>6259125.5999999996</v>
      </c>
      <c r="D1333" t="s">
        <v>264</v>
      </c>
      <c r="E1333" s="156">
        <v>44427</v>
      </c>
      <c r="F1333" t="s">
        <v>1448</v>
      </c>
      <c r="G1333" s="156">
        <v>44394</v>
      </c>
      <c r="H1333">
        <v>19771</v>
      </c>
      <c r="I1333">
        <v>2139000</v>
      </c>
      <c r="K1333">
        <v>406410</v>
      </c>
      <c r="M1333">
        <v>0</v>
      </c>
      <c r="N1333">
        <v>2.5000000000000001E-2</v>
      </c>
      <c r="O1333">
        <v>53475</v>
      </c>
      <c r="P1333" s="117">
        <v>2491935</v>
      </c>
      <c r="Q1333" s="117" t="s">
        <v>1021</v>
      </c>
      <c r="R1333" s="150">
        <v>0</v>
      </c>
      <c r="S1333" s="117" t="b">
        <f>OR(COUNTIF(Tabla2[[#This Row],[PROVEEDOR]],"*"&amp;'Palabra no opera'!$A$2&amp;"*"))</f>
        <v>0</v>
      </c>
      <c r="T1333" s="150">
        <f>+$W$5-Tabla2[[#This Row],[FECHA DE FACTURACIÓN]]</f>
        <v>440</v>
      </c>
      <c r="U1333" t="str">
        <f>+IF(Tabla2[[#This Row],[dias de credito]]&gt;=Tabla2[[#This Row],[PLAZO Días]],"venc", "No venc")</f>
        <v>venc</v>
      </c>
      <c r="V1333" t="str">
        <f>+IF(Tabla2[[#This Row],[FECHA DE PAGO]]&gt;0,"pagada","por pagar")</f>
        <v>pagada</v>
      </c>
      <c r="W1333" s="152" t="str">
        <f>+IF(AND(Tabla2[[#This Row],[venc]]="venc",Tabla2[[#This Row],[Columna1]]="por pagar"),"vencida","no")</f>
        <v>no</v>
      </c>
    </row>
    <row r="1334" spans="1:23" x14ac:dyDescent="0.3">
      <c r="A1334">
        <v>30</v>
      </c>
      <c r="B1334">
        <v>6259125.5999999996</v>
      </c>
      <c r="D1334" t="s">
        <v>264</v>
      </c>
      <c r="E1334" s="156">
        <v>44427</v>
      </c>
      <c r="F1334" t="s">
        <v>1448</v>
      </c>
      <c r="G1334" s="156">
        <v>44390</v>
      </c>
      <c r="H1334">
        <v>19589</v>
      </c>
      <c r="I1334">
        <v>114000</v>
      </c>
      <c r="K1334">
        <v>21660</v>
      </c>
      <c r="M1334">
        <v>0</v>
      </c>
      <c r="N1334">
        <v>2.5000000000000001E-2</v>
      </c>
      <c r="O1334">
        <v>2850</v>
      </c>
      <c r="P1334" s="117">
        <v>132810</v>
      </c>
      <c r="Q1334" s="117" t="s">
        <v>1021</v>
      </c>
      <c r="R1334" s="150">
        <v>0</v>
      </c>
      <c r="S1334" s="117" t="b">
        <f>OR(COUNTIF(Tabla2[[#This Row],[PROVEEDOR]],"*"&amp;'Palabra no opera'!$A$2&amp;"*"))</f>
        <v>0</v>
      </c>
      <c r="T1334" s="150">
        <f>+$W$5-Tabla2[[#This Row],[FECHA DE FACTURACIÓN]]</f>
        <v>444</v>
      </c>
      <c r="U1334" t="str">
        <f>+IF(Tabla2[[#This Row],[dias de credito]]&gt;=Tabla2[[#This Row],[PLAZO Días]],"venc", "No venc")</f>
        <v>venc</v>
      </c>
      <c r="V1334" t="str">
        <f>+IF(Tabla2[[#This Row],[FECHA DE PAGO]]&gt;0,"pagada","por pagar")</f>
        <v>pagada</v>
      </c>
      <c r="W1334" s="152" t="str">
        <f>+IF(AND(Tabla2[[#This Row],[venc]]="venc",Tabla2[[#This Row],[Columna1]]="por pagar"),"vencida","no")</f>
        <v>no</v>
      </c>
    </row>
    <row r="1335" spans="1:23" x14ac:dyDescent="0.3">
      <c r="A1335">
        <v>45</v>
      </c>
      <c r="B1335">
        <v>7497238</v>
      </c>
      <c r="D1335" t="s">
        <v>272</v>
      </c>
      <c r="E1335" s="156">
        <v>44427</v>
      </c>
      <c r="F1335" t="s">
        <v>10</v>
      </c>
      <c r="G1335" s="156">
        <v>44371</v>
      </c>
      <c r="H1335" t="s">
        <v>359</v>
      </c>
      <c r="I1335">
        <v>1980000</v>
      </c>
      <c r="K1335">
        <v>376200</v>
      </c>
      <c r="M1335">
        <v>0</v>
      </c>
      <c r="N1335">
        <v>0</v>
      </c>
      <c r="O1335">
        <v>0</v>
      </c>
      <c r="P1335" s="117">
        <v>2356200</v>
      </c>
      <c r="Q1335" s="117" t="s">
        <v>1021</v>
      </c>
      <c r="R1335" s="150">
        <v>0</v>
      </c>
      <c r="S1335" s="117" t="b">
        <f>OR(COUNTIF(Tabla2[[#This Row],[PROVEEDOR]],"*"&amp;'Palabra no opera'!$A$2&amp;"*"))</f>
        <v>0</v>
      </c>
      <c r="T1335" s="150">
        <f>+$W$5-Tabla2[[#This Row],[FECHA DE FACTURACIÓN]]</f>
        <v>463</v>
      </c>
      <c r="U1335" t="str">
        <f>+IF(Tabla2[[#This Row],[dias de credito]]&gt;=Tabla2[[#This Row],[PLAZO Días]],"venc", "No venc")</f>
        <v>venc</v>
      </c>
      <c r="V1335" t="str">
        <f>+IF(Tabla2[[#This Row],[FECHA DE PAGO]]&gt;0,"pagada","por pagar")</f>
        <v>pagada</v>
      </c>
      <c r="W1335" s="152" t="str">
        <f>+IF(AND(Tabla2[[#This Row],[venc]]="venc",Tabla2[[#This Row],[Columna1]]="por pagar"),"vencida","no")</f>
        <v>no</v>
      </c>
    </row>
    <row r="1336" spans="1:23" x14ac:dyDescent="0.3">
      <c r="A1336">
        <v>45</v>
      </c>
      <c r="B1336">
        <v>7497238</v>
      </c>
      <c r="D1336" t="s">
        <v>272</v>
      </c>
      <c r="E1336" s="156">
        <v>44427</v>
      </c>
      <c r="F1336" t="s">
        <v>10</v>
      </c>
      <c r="G1336" s="156">
        <v>44370</v>
      </c>
      <c r="H1336" t="s">
        <v>360</v>
      </c>
      <c r="I1336">
        <v>442000</v>
      </c>
      <c r="K1336">
        <v>83980</v>
      </c>
      <c r="M1336">
        <v>0</v>
      </c>
      <c r="N1336">
        <v>0</v>
      </c>
      <c r="O1336">
        <v>0</v>
      </c>
      <c r="P1336" s="117">
        <v>525980</v>
      </c>
      <c r="Q1336" s="117" t="s">
        <v>1021</v>
      </c>
      <c r="R1336" s="150">
        <v>0</v>
      </c>
      <c r="S1336" s="117" t="b">
        <f>OR(COUNTIF(Tabla2[[#This Row],[PROVEEDOR]],"*"&amp;'Palabra no opera'!$A$2&amp;"*"))</f>
        <v>0</v>
      </c>
      <c r="T1336" s="150">
        <f>+$W$5-Tabla2[[#This Row],[FECHA DE FACTURACIÓN]]</f>
        <v>464</v>
      </c>
      <c r="U1336" t="str">
        <f>+IF(Tabla2[[#This Row],[dias de credito]]&gt;=Tabla2[[#This Row],[PLAZO Días]],"venc", "No venc")</f>
        <v>venc</v>
      </c>
      <c r="V1336" t="str">
        <f>+IF(Tabla2[[#This Row],[FECHA DE PAGO]]&gt;0,"pagada","por pagar")</f>
        <v>pagada</v>
      </c>
      <c r="W1336" s="152" t="str">
        <f>+IF(AND(Tabla2[[#This Row],[venc]]="venc",Tabla2[[#This Row],[Columna1]]="por pagar"),"vencida","no")</f>
        <v>no</v>
      </c>
    </row>
    <row r="1337" spans="1:23" x14ac:dyDescent="0.3">
      <c r="A1337">
        <v>90</v>
      </c>
      <c r="B1337">
        <v>124999.98</v>
      </c>
      <c r="D1337" t="s">
        <v>260</v>
      </c>
      <c r="E1337" s="156">
        <v>44427</v>
      </c>
      <c r="F1337" t="s">
        <v>77</v>
      </c>
      <c r="G1337" s="156">
        <v>44306</v>
      </c>
      <c r="H1337" t="s">
        <v>298</v>
      </c>
      <c r="I1337">
        <v>11575598</v>
      </c>
      <c r="K1337">
        <v>2199363.62</v>
      </c>
      <c r="M1337">
        <v>0</v>
      </c>
      <c r="N1337">
        <v>2.5000000000000001E-2</v>
      </c>
      <c r="O1337">
        <v>289389.95</v>
      </c>
      <c r="P1337" s="117">
        <v>13485571.670000002</v>
      </c>
      <c r="Q1337" s="117" t="s">
        <v>1021</v>
      </c>
      <c r="R1337" s="150">
        <v>0</v>
      </c>
      <c r="S1337" s="117" t="b">
        <f>OR(COUNTIF(Tabla2[[#This Row],[PROVEEDOR]],"*"&amp;'Palabra no opera'!$A$2&amp;"*"))</f>
        <v>0</v>
      </c>
      <c r="T1337" s="150">
        <f>+$W$5-Tabla2[[#This Row],[FECHA DE FACTURACIÓN]]</f>
        <v>528</v>
      </c>
      <c r="U1337" t="str">
        <f>+IF(Tabla2[[#This Row],[dias de credito]]&gt;=Tabla2[[#This Row],[PLAZO Días]],"venc", "No venc")</f>
        <v>venc</v>
      </c>
      <c r="V1337" t="str">
        <f>+IF(Tabla2[[#This Row],[FECHA DE PAGO]]&gt;0,"pagada","por pagar")</f>
        <v>pagada</v>
      </c>
      <c r="W1337" s="152" t="str">
        <f>+IF(AND(Tabla2[[#This Row],[venc]]="venc",Tabla2[[#This Row],[Columna1]]="por pagar"),"vencida","no")</f>
        <v>no</v>
      </c>
    </row>
    <row r="1338" spans="1:23" x14ac:dyDescent="0.3">
      <c r="A1338">
        <v>30</v>
      </c>
      <c r="B1338">
        <v>0</v>
      </c>
      <c r="D1338" t="s">
        <v>554</v>
      </c>
      <c r="E1338" s="156">
        <v>44426</v>
      </c>
      <c r="F1338" t="s">
        <v>422</v>
      </c>
      <c r="G1338" s="156">
        <v>44425</v>
      </c>
      <c r="H1338">
        <v>10348</v>
      </c>
      <c r="I1338">
        <v>630000</v>
      </c>
      <c r="K1338">
        <v>119700</v>
      </c>
      <c r="M1338">
        <v>0</v>
      </c>
      <c r="N1338">
        <v>0</v>
      </c>
      <c r="O1338">
        <v>0</v>
      </c>
      <c r="P1338" s="117">
        <v>749700</v>
      </c>
      <c r="Q1338" s="117" t="s">
        <v>1021</v>
      </c>
      <c r="R1338" s="150">
        <v>0</v>
      </c>
      <c r="S1338" s="117" t="b">
        <f>OR(COUNTIF(Tabla2[[#This Row],[PROVEEDOR]],"*"&amp;'Palabra no opera'!$A$2&amp;"*"))</f>
        <v>0</v>
      </c>
      <c r="T1338" s="150">
        <f>+$W$5-Tabla2[[#This Row],[FECHA DE FACTURACIÓN]]</f>
        <v>409</v>
      </c>
      <c r="U1338" t="str">
        <f>+IF(Tabla2[[#This Row],[dias de credito]]&gt;=Tabla2[[#This Row],[PLAZO Días]],"venc", "No venc")</f>
        <v>venc</v>
      </c>
      <c r="V1338" t="str">
        <f>+IF(Tabla2[[#This Row],[FECHA DE PAGO]]&gt;0,"pagada","por pagar")</f>
        <v>pagada</v>
      </c>
      <c r="W1338" s="152" t="str">
        <f>+IF(AND(Tabla2[[#This Row],[venc]]="venc",Tabla2[[#This Row],[Columna1]]="por pagar"),"vencida","no")</f>
        <v>no</v>
      </c>
    </row>
    <row r="1339" spans="1:23" x14ac:dyDescent="0.3">
      <c r="A1339">
        <v>10</v>
      </c>
      <c r="B1339">
        <v>0</v>
      </c>
      <c r="D1339" t="s">
        <v>419</v>
      </c>
      <c r="E1339" s="156">
        <v>44426</v>
      </c>
      <c r="F1339" t="s">
        <v>420</v>
      </c>
      <c r="G1339" s="156">
        <v>44421</v>
      </c>
      <c r="H1339" t="s">
        <v>421</v>
      </c>
      <c r="I1339">
        <v>195000</v>
      </c>
      <c r="K1339">
        <v>37050</v>
      </c>
      <c r="M1339">
        <v>0</v>
      </c>
      <c r="N1339">
        <v>0</v>
      </c>
      <c r="O1339">
        <v>0</v>
      </c>
      <c r="P1339" s="117">
        <v>232050</v>
      </c>
      <c r="Q1339" s="117" t="s">
        <v>1021</v>
      </c>
      <c r="R1339" s="150">
        <v>0</v>
      </c>
      <c r="S1339" s="117" t="b">
        <f>OR(COUNTIF(Tabla2[[#This Row],[PROVEEDOR]],"*"&amp;'Palabra no opera'!$A$2&amp;"*"))</f>
        <v>0</v>
      </c>
      <c r="T1339" s="150">
        <f>+$W$5-Tabla2[[#This Row],[FECHA DE FACTURACIÓN]]</f>
        <v>413</v>
      </c>
      <c r="U1339" t="str">
        <f>+IF(Tabla2[[#This Row],[dias de credito]]&gt;=Tabla2[[#This Row],[PLAZO Días]],"venc", "No venc")</f>
        <v>venc</v>
      </c>
      <c r="V1339" t="str">
        <f>+IF(Tabla2[[#This Row],[FECHA DE PAGO]]&gt;0,"pagada","por pagar")</f>
        <v>pagada</v>
      </c>
      <c r="W1339" s="152" t="str">
        <f>+IF(AND(Tabla2[[#This Row],[venc]]="venc",Tabla2[[#This Row],[Columna1]]="por pagar"),"vencida","no")</f>
        <v>no</v>
      </c>
    </row>
    <row r="1340" spans="1:23" x14ac:dyDescent="0.3">
      <c r="A1340">
        <v>30</v>
      </c>
      <c r="B1340">
        <v>27452.91</v>
      </c>
      <c r="D1340" t="s">
        <v>949</v>
      </c>
      <c r="E1340" s="156">
        <v>44426</v>
      </c>
      <c r="F1340" t="s">
        <v>118</v>
      </c>
      <c r="G1340" s="156">
        <v>44405</v>
      </c>
      <c r="H1340" t="s">
        <v>415</v>
      </c>
      <c r="I1340">
        <v>54742.78</v>
      </c>
      <c r="K1340">
        <v>0</v>
      </c>
      <c r="M1340">
        <v>0</v>
      </c>
      <c r="N1340">
        <v>0</v>
      </c>
      <c r="O1340">
        <v>0</v>
      </c>
      <c r="P1340" s="117">
        <v>54742.78</v>
      </c>
      <c r="Q1340" s="117" t="s">
        <v>1021</v>
      </c>
      <c r="R1340" s="150">
        <v>0</v>
      </c>
      <c r="S1340" s="117" t="b">
        <f>OR(COUNTIF(Tabla2[[#This Row],[PROVEEDOR]],"*"&amp;'Palabra no opera'!$A$2&amp;"*"))</f>
        <v>0</v>
      </c>
      <c r="T1340" s="150">
        <f>+$W$5-Tabla2[[#This Row],[FECHA DE FACTURACIÓN]]</f>
        <v>429</v>
      </c>
      <c r="U1340" t="str">
        <f>+IF(Tabla2[[#This Row],[dias de credito]]&gt;=Tabla2[[#This Row],[PLAZO Días]],"venc", "No venc")</f>
        <v>venc</v>
      </c>
      <c r="V1340" t="str">
        <f>+IF(Tabla2[[#This Row],[FECHA DE PAGO]]&gt;0,"pagada","por pagar")</f>
        <v>pagada</v>
      </c>
      <c r="W1340" s="152" t="str">
        <f>+IF(AND(Tabla2[[#This Row],[venc]]="venc",Tabla2[[#This Row],[Columna1]]="por pagar"),"vencida","no")</f>
        <v>no</v>
      </c>
    </row>
    <row r="1341" spans="1:23" x14ac:dyDescent="0.3">
      <c r="A1341">
        <v>30</v>
      </c>
      <c r="B1341">
        <v>-101001.25</v>
      </c>
      <c r="D1341" t="s">
        <v>274</v>
      </c>
      <c r="E1341" s="156">
        <v>44426</v>
      </c>
      <c r="F1341" t="s">
        <v>14</v>
      </c>
      <c r="G1341" s="156">
        <v>44392</v>
      </c>
      <c r="H1341" t="s">
        <v>384</v>
      </c>
      <c r="I1341">
        <v>142856</v>
      </c>
      <c r="K1341">
        <v>27142.639999999999</v>
      </c>
      <c r="M1341">
        <v>0</v>
      </c>
      <c r="N1341">
        <v>0</v>
      </c>
      <c r="O1341">
        <v>0</v>
      </c>
      <c r="P1341" s="117">
        <v>169998.64</v>
      </c>
      <c r="Q1341" s="117" t="s">
        <v>1021</v>
      </c>
      <c r="R1341" s="150">
        <v>0</v>
      </c>
      <c r="S1341" s="117" t="b">
        <f>OR(COUNTIF(Tabla2[[#This Row],[PROVEEDOR]],"*"&amp;'Palabra no opera'!$A$2&amp;"*"))</f>
        <v>0</v>
      </c>
      <c r="T1341" s="150">
        <f>+$W$5-Tabla2[[#This Row],[FECHA DE FACTURACIÓN]]</f>
        <v>442</v>
      </c>
      <c r="U1341" t="str">
        <f>+IF(Tabla2[[#This Row],[dias de credito]]&gt;=Tabla2[[#This Row],[PLAZO Días]],"venc", "No venc")</f>
        <v>venc</v>
      </c>
      <c r="V1341" t="str">
        <f>+IF(Tabla2[[#This Row],[FECHA DE PAGO]]&gt;0,"pagada","por pagar")</f>
        <v>pagada</v>
      </c>
      <c r="W1341" s="152" t="str">
        <f>+IF(AND(Tabla2[[#This Row],[venc]]="venc",Tabla2[[#This Row],[Columna1]]="por pagar"),"vencida","no")</f>
        <v>no</v>
      </c>
    </row>
    <row r="1342" spans="1:23" x14ac:dyDescent="0.3">
      <c r="A1342">
        <v>30</v>
      </c>
      <c r="B1342">
        <v>19675613.1195</v>
      </c>
      <c r="D1342" t="s">
        <v>256</v>
      </c>
      <c r="E1342" s="156">
        <v>44426</v>
      </c>
      <c r="F1342" t="s">
        <v>18</v>
      </c>
      <c r="G1342" s="156">
        <v>44390</v>
      </c>
      <c r="H1342">
        <v>1040307</v>
      </c>
      <c r="I1342">
        <v>822858</v>
      </c>
      <c r="K1342">
        <v>156343.01999999999</v>
      </c>
      <c r="M1342">
        <v>0</v>
      </c>
      <c r="N1342">
        <v>0</v>
      </c>
      <c r="O1342">
        <v>0</v>
      </c>
      <c r="P1342" s="117">
        <v>979201.02</v>
      </c>
      <c r="Q1342" s="117" t="s">
        <v>1021</v>
      </c>
      <c r="R1342" s="150">
        <v>0</v>
      </c>
      <c r="S1342" s="117" t="b">
        <f>OR(COUNTIF(Tabla2[[#This Row],[PROVEEDOR]],"*"&amp;'Palabra no opera'!$A$2&amp;"*"))</f>
        <v>0</v>
      </c>
      <c r="T1342" s="150">
        <f>+$W$5-Tabla2[[#This Row],[FECHA DE FACTURACIÓN]]</f>
        <v>444</v>
      </c>
      <c r="U1342" t="str">
        <f>+IF(Tabla2[[#This Row],[dias de credito]]&gt;=Tabla2[[#This Row],[PLAZO Días]],"venc", "No venc")</f>
        <v>venc</v>
      </c>
      <c r="V1342" t="str">
        <f>+IF(Tabla2[[#This Row],[FECHA DE PAGO]]&gt;0,"pagada","por pagar")</f>
        <v>pagada</v>
      </c>
      <c r="W1342" s="152" t="str">
        <f>+IF(AND(Tabla2[[#This Row],[venc]]="venc",Tabla2[[#This Row],[Columna1]]="por pagar"),"vencida","no")</f>
        <v>no</v>
      </c>
    </row>
    <row r="1343" spans="1:23" x14ac:dyDescent="0.3">
      <c r="A1343">
        <v>30</v>
      </c>
      <c r="B1343">
        <v>6259125.5999999996</v>
      </c>
      <c r="D1343" t="s">
        <v>264</v>
      </c>
      <c r="E1343" s="156">
        <v>44426</v>
      </c>
      <c r="F1343" t="s">
        <v>1448</v>
      </c>
      <c r="G1343" s="156">
        <v>44390</v>
      </c>
      <c r="H1343">
        <v>19575</v>
      </c>
      <c r="I1343">
        <v>9750000</v>
      </c>
      <c r="K1343">
        <v>1852500</v>
      </c>
      <c r="M1343">
        <v>0</v>
      </c>
      <c r="N1343">
        <v>2.5000000000000001E-2</v>
      </c>
      <c r="O1343">
        <v>243750</v>
      </c>
      <c r="P1343" s="117">
        <v>11358750</v>
      </c>
      <c r="Q1343" s="117" t="s">
        <v>1021</v>
      </c>
      <c r="R1343" s="150">
        <v>0</v>
      </c>
      <c r="S1343" s="117" t="b">
        <f>OR(COUNTIF(Tabla2[[#This Row],[PROVEEDOR]],"*"&amp;'Palabra no opera'!$A$2&amp;"*"))</f>
        <v>0</v>
      </c>
      <c r="T1343" s="150">
        <f>+$W$5-Tabla2[[#This Row],[FECHA DE FACTURACIÓN]]</f>
        <v>444</v>
      </c>
      <c r="U1343" t="str">
        <f>+IF(Tabla2[[#This Row],[dias de credito]]&gt;=Tabla2[[#This Row],[PLAZO Días]],"venc", "No venc")</f>
        <v>venc</v>
      </c>
      <c r="V1343" t="str">
        <f>+IF(Tabla2[[#This Row],[FECHA DE PAGO]]&gt;0,"pagada","por pagar")</f>
        <v>pagada</v>
      </c>
      <c r="W1343" s="152" t="str">
        <f>+IF(AND(Tabla2[[#This Row],[venc]]="venc",Tabla2[[#This Row],[Columna1]]="por pagar"),"vencida","no")</f>
        <v>no</v>
      </c>
    </row>
    <row r="1344" spans="1:23" x14ac:dyDescent="0.3">
      <c r="A1344">
        <v>30</v>
      </c>
      <c r="B1344">
        <v>8457900</v>
      </c>
      <c r="D1344" t="s">
        <v>1027</v>
      </c>
      <c r="E1344" s="156">
        <v>44426</v>
      </c>
      <c r="F1344" t="s">
        <v>11</v>
      </c>
      <c r="G1344" s="156">
        <v>44385</v>
      </c>
      <c r="H1344" t="s">
        <v>377</v>
      </c>
      <c r="I1344">
        <v>1320000</v>
      </c>
      <c r="K1344">
        <v>250800</v>
      </c>
      <c r="M1344">
        <v>0</v>
      </c>
      <c r="N1344">
        <v>2.5000000000000001E-2</v>
      </c>
      <c r="O1344">
        <v>33000</v>
      </c>
      <c r="P1344" s="117">
        <v>1537800</v>
      </c>
      <c r="Q1344" s="117" t="s">
        <v>1021</v>
      </c>
      <c r="R1344" s="150">
        <v>0</v>
      </c>
      <c r="S1344" s="117" t="b">
        <f>OR(COUNTIF(Tabla2[[#This Row],[PROVEEDOR]],"*"&amp;'Palabra no opera'!$A$2&amp;"*"))</f>
        <v>0</v>
      </c>
      <c r="T1344" s="150">
        <f>+$W$5-Tabla2[[#This Row],[FECHA DE FACTURACIÓN]]</f>
        <v>449</v>
      </c>
      <c r="U1344" t="str">
        <f>+IF(Tabla2[[#This Row],[dias de credito]]&gt;=Tabla2[[#This Row],[PLAZO Días]],"venc", "No venc")</f>
        <v>venc</v>
      </c>
      <c r="V1344" t="str">
        <f>+IF(Tabla2[[#This Row],[FECHA DE PAGO]]&gt;0,"pagada","por pagar")</f>
        <v>pagada</v>
      </c>
      <c r="W1344" s="152" t="str">
        <f>+IF(AND(Tabla2[[#This Row],[venc]]="venc",Tabla2[[#This Row],[Columna1]]="por pagar"),"vencida","no")</f>
        <v>no</v>
      </c>
    </row>
    <row r="1345" spans="1:23" x14ac:dyDescent="0.3">
      <c r="A1345">
        <v>30</v>
      </c>
      <c r="B1345">
        <v>146262.9</v>
      </c>
      <c r="D1345" t="s">
        <v>262</v>
      </c>
      <c r="E1345" s="156">
        <v>44426</v>
      </c>
      <c r="F1345" t="s">
        <v>17</v>
      </c>
      <c r="G1345" s="156">
        <v>44384</v>
      </c>
      <c r="H1345">
        <v>1784491</v>
      </c>
      <c r="I1345">
        <v>401000</v>
      </c>
      <c r="K1345">
        <v>76190</v>
      </c>
      <c r="M1345">
        <v>0</v>
      </c>
      <c r="N1345">
        <v>0</v>
      </c>
      <c r="O1345">
        <v>0</v>
      </c>
      <c r="P1345" s="117">
        <v>477190</v>
      </c>
      <c r="Q1345" s="117" t="s">
        <v>1021</v>
      </c>
      <c r="R1345" s="150">
        <v>0</v>
      </c>
      <c r="S1345" s="117" t="b">
        <f>OR(COUNTIF(Tabla2[[#This Row],[PROVEEDOR]],"*"&amp;'Palabra no opera'!$A$2&amp;"*"))</f>
        <v>0</v>
      </c>
      <c r="T1345" s="150">
        <f>+$W$5-Tabla2[[#This Row],[FECHA DE FACTURACIÓN]]</f>
        <v>450</v>
      </c>
      <c r="U1345" t="str">
        <f>+IF(Tabla2[[#This Row],[dias de credito]]&gt;=Tabla2[[#This Row],[PLAZO Días]],"venc", "No venc")</f>
        <v>venc</v>
      </c>
      <c r="V1345" t="str">
        <f>+IF(Tabla2[[#This Row],[FECHA DE PAGO]]&gt;0,"pagada","por pagar")</f>
        <v>pagada</v>
      </c>
      <c r="W1345" s="152" t="str">
        <f>+IF(AND(Tabla2[[#This Row],[venc]]="venc",Tabla2[[#This Row],[Columna1]]="por pagar"),"vencida","no")</f>
        <v>no</v>
      </c>
    </row>
    <row r="1346" spans="1:23" x14ac:dyDescent="0.3">
      <c r="A1346">
        <v>30</v>
      </c>
      <c r="B1346">
        <v>0</v>
      </c>
      <c r="D1346" t="s">
        <v>139</v>
      </c>
      <c r="E1346" s="156">
        <v>44425</v>
      </c>
      <c r="F1346" t="s">
        <v>644</v>
      </c>
      <c r="G1346" s="156">
        <v>44425</v>
      </c>
      <c r="H1346" t="s">
        <v>1285</v>
      </c>
      <c r="I1346">
        <v>180050</v>
      </c>
      <c r="K1346">
        <v>0</v>
      </c>
      <c r="M1346">
        <v>0</v>
      </c>
      <c r="N1346">
        <v>0</v>
      </c>
      <c r="O1346">
        <v>0</v>
      </c>
      <c r="P1346" s="117">
        <v>180050</v>
      </c>
      <c r="Q1346" s="117" t="s">
        <v>1021</v>
      </c>
      <c r="R1346" s="150">
        <v>0</v>
      </c>
      <c r="S1346" s="117" t="b">
        <f>OR(COUNTIF(Tabla2[[#This Row],[PROVEEDOR]],"*"&amp;'Palabra no opera'!$A$2&amp;"*"))</f>
        <v>0</v>
      </c>
      <c r="T1346" s="150">
        <f>+$W$5-Tabla2[[#This Row],[FECHA DE FACTURACIÓN]]</f>
        <v>409</v>
      </c>
      <c r="U1346" t="str">
        <f>+IF(Tabla2[[#This Row],[dias de credito]]&gt;=Tabla2[[#This Row],[PLAZO Días]],"venc", "No venc")</f>
        <v>venc</v>
      </c>
      <c r="V1346" t="str">
        <f>+IF(Tabla2[[#This Row],[FECHA DE PAGO]]&gt;0,"pagada","por pagar")</f>
        <v>pagada</v>
      </c>
      <c r="W1346" s="152" t="str">
        <f>+IF(AND(Tabla2[[#This Row],[venc]]="venc",Tabla2[[#This Row],[Columna1]]="por pagar"),"vencida","no")</f>
        <v>no</v>
      </c>
    </row>
    <row r="1347" spans="1:23" x14ac:dyDescent="0.3">
      <c r="A1347">
        <v>30</v>
      </c>
      <c r="B1347">
        <v>10689112</v>
      </c>
      <c r="D1347" t="s">
        <v>976</v>
      </c>
      <c r="E1347" s="156">
        <v>44425</v>
      </c>
      <c r="F1347" t="s">
        <v>79</v>
      </c>
      <c r="G1347" s="156">
        <v>44425</v>
      </c>
      <c r="H1347" t="s">
        <v>426</v>
      </c>
      <c r="I1347">
        <v>3424000</v>
      </c>
      <c r="J1347">
        <v>342400</v>
      </c>
      <c r="K1347">
        <v>585504</v>
      </c>
      <c r="M1347">
        <v>0</v>
      </c>
      <c r="N1347">
        <v>2.5000000000000001E-2</v>
      </c>
      <c r="O1347">
        <v>77040</v>
      </c>
      <c r="P1347" s="117">
        <v>3590064</v>
      </c>
      <c r="Q1347" s="117" t="s">
        <v>1021</v>
      </c>
      <c r="R1347" s="150">
        <v>0</v>
      </c>
      <c r="S1347" s="117" t="b">
        <f>OR(COUNTIF(Tabla2[[#This Row],[PROVEEDOR]],"*"&amp;'Palabra no opera'!$A$2&amp;"*"))</f>
        <v>0</v>
      </c>
      <c r="T1347" s="150">
        <f>+$W$5-Tabla2[[#This Row],[FECHA DE FACTURACIÓN]]</f>
        <v>409</v>
      </c>
      <c r="U1347" t="str">
        <f>+IF(Tabla2[[#This Row],[dias de credito]]&gt;=Tabla2[[#This Row],[PLAZO Días]],"venc", "No venc")</f>
        <v>venc</v>
      </c>
      <c r="V1347" t="str">
        <f>+IF(Tabla2[[#This Row],[FECHA DE PAGO]]&gt;0,"pagada","por pagar")</f>
        <v>pagada</v>
      </c>
      <c r="W1347" s="152" t="str">
        <f>+IF(AND(Tabla2[[#This Row],[venc]]="venc",Tabla2[[#This Row],[Columna1]]="por pagar"),"vencida","no")</f>
        <v>no</v>
      </c>
    </row>
    <row r="1348" spans="1:23" x14ac:dyDescent="0.3">
      <c r="A1348">
        <v>30</v>
      </c>
      <c r="B1348">
        <v>0</v>
      </c>
      <c r="D1348" t="s">
        <v>1036</v>
      </c>
      <c r="E1348" s="156">
        <v>44425</v>
      </c>
      <c r="F1348" t="s">
        <v>927</v>
      </c>
      <c r="G1348" s="156">
        <v>44409</v>
      </c>
      <c r="H1348" t="s">
        <v>312</v>
      </c>
      <c r="I1348">
        <v>727051</v>
      </c>
      <c r="K1348">
        <v>0</v>
      </c>
      <c r="M1348">
        <v>0</v>
      </c>
      <c r="N1348">
        <v>0</v>
      </c>
      <c r="O1348">
        <v>0</v>
      </c>
      <c r="P1348" s="117">
        <v>727051</v>
      </c>
      <c r="Q1348" s="117" t="s">
        <v>1021</v>
      </c>
      <c r="R1348" s="150">
        <v>0</v>
      </c>
      <c r="S1348" s="117" t="b">
        <f>OR(COUNTIF(Tabla2[[#This Row],[PROVEEDOR]],"*"&amp;'Palabra no opera'!$A$2&amp;"*"))</f>
        <v>1</v>
      </c>
      <c r="T1348" s="150">
        <f>+$W$5-Tabla2[[#This Row],[FECHA DE FACTURACIÓN]]</f>
        <v>425</v>
      </c>
      <c r="U1348" t="str">
        <f>+IF(Tabla2[[#This Row],[dias de credito]]&gt;=Tabla2[[#This Row],[PLAZO Días]],"venc", "No venc")</f>
        <v>venc</v>
      </c>
      <c r="V1348" t="str">
        <f>+IF(Tabla2[[#This Row],[FECHA DE PAGO]]&gt;0,"pagada","por pagar")</f>
        <v>pagada</v>
      </c>
      <c r="W1348" s="152" t="str">
        <f>+IF(AND(Tabla2[[#This Row],[venc]]="venc",Tabla2[[#This Row],[Columna1]]="por pagar"),"vencida","no")</f>
        <v>no</v>
      </c>
    </row>
    <row r="1349" spans="1:23" x14ac:dyDescent="0.3">
      <c r="A1349">
        <v>30</v>
      </c>
      <c r="B1349">
        <v>0</v>
      </c>
      <c r="D1349" t="s">
        <v>1036</v>
      </c>
      <c r="E1349" s="156">
        <v>44425</v>
      </c>
      <c r="F1349" t="s">
        <v>927</v>
      </c>
      <c r="G1349" s="156">
        <v>44409</v>
      </c>
      <c r="H1349" t="s">
        <v>313</v>
      </c>
      <c r="I1349">
        <v>743959</v>
      </c>
      <c r="K1349">
        <v>0</v>
      </c>
      <c r="M1349">
        <v>0</v>
      </c>
      <c r="N1349">
        <v>0</v>
      </c>
      <c r="O1349">
        <v>0</v>
      </c>
      <c r="P1349" s="117">
        <v>743959</v>
      </c>
      <c r="Q1349" s="117" t="s">
        <v>1021</v>
      </c>
      <c r="R1349" s="150">
        <v>0</v>
      </c>
      <c r="S1349" s="117" t="b">
        <f>OR(COUNTIF(Tabla2[[#This Row],[PROVEEDOR]],"*"&amp;'Palabra no opera'!$A$2&amp;"*"))</f>
        <v>1</v>
      </c>
      <c r="T1349" s="150">
        <f>+$W$5-Tabla2[[#This Row],[FECHA DE FACTURACIÓN]]</f>
        <v>425</v>
      </c>
      <c r="U1349" t="str">
        <f>+IF(Tabla2[[#This Row],[dias de credito]]&gt;=Tabla2[[#This Row],[PLAZO Días]],"venc", "No venc")</f>
        <v>venc</v>
      </c>
      <c r="V1349" t="str">
        <f>+IF(Tabla2[[#This Row],[FECHA DE PAGO]]&gt;0,"pagada","por pagar")</f>
        <v>pagada</v>
      </c>
      <c r="W1349" s="152" t="str">
        <f>+IF(AND(Tabla2[[#This Row],[venc]]="venc",Tabla2[[#This Row],[Columna1]]="por pagar"),"vencida","no")</f>
        <v>no</v>
      </c>
    </row>
    <row r="1350" spans="1:23" x14ac:dyDescent="0.3">
      <c r="A1350">
        <v>30</v>
      </c>
      <c r="B1350">
        <v>0</v>
      </c>
      <c r="D1350">
        <v>0</v>
      </c>
      <c r="E1350" s="156">
        <v>44425</v>
      </c>
      <c r="F1350" t="s">
        <v>932</v>
      </c>
      <c r="G1350" s="156">
        <v>44409</v>
      </c>
      <c r="H1350" t="s">
        <v>307</v>
      </c>
      <c r="I1350">
        <v>313385</v>
      </c>
      <c r="K1350">
        <v>0</v>
      </c>
      <c r="M1350">
        <v>0</v>
      </c>
      <c r="N1350">
        <v>0</v>
      </c>
      <c r="O1350">
        <v>0</v>
      </c>
      <c r="P1350" s="117">
        <v>313385</v>
      </c>
      <c r="Q1350" s="117" t="s">
        <v>1021</v>
      </c>
      <c r="R1350" s="150">
        <v>0</v>
      </c>
      <c r="S1350" s="117" t="b">
        <f>OR(COUNTIF(Tabla2[[#This Row],[PROVEEDOR]],"*"&amp;'Palabra no opera'!$A$2&amp;"*"))</f>
        <v>1</v>
      </c>
      <c r="T1350" s="150">
        <f>+$W$5-Tabla2[[#This Row],[FECHA DE FACTURACIÓN]]</f>
        <v>425</v>
      </c>
      <c r="U1350" t="str">
        <f>+IF(Tabla2[[#This Row],[dias de credito]]&gt;=Tabla2[[#This Row],[PLAZO Días]],"venc", "No venc")</f>
        <v>venc</v>
      </c>
      <c r="V1350" t="str">
        <f>+IF(Tabla2[[#This Row],[FECHA DE PAGO]]&gt;0,"pagada","por pagar")</f>
        <v>pagada</v>
      </c>
      <c r="W1350" s="152" t="str">
        <f>+IF(AND(Tabla2[[#This Row],[venc]]="venc",Tabla2[[#This Row],[Columna1]]="por pagar"),"vencida","no")</f>
        <v>no</v>
      </c>
    </row>
    <row r="1351" spans="1:23" x14ac:dyDescent="0.3">
      <c r="A1351">
        <v>13</v>
      </c>
      <c r="B1351">
        <v>0</v>
      </c>
      <c r="D1351">
        <v>0</v>
      </c>
      <c r="E1351" s="156">
        <v>44425</v>
      </c>
      <c r="F1351" t="s">
        <v>934</v>
      </c>
      <c r="G1351" s="156">
        <v>44409</v>
      </c>
      <c r="I1351">
        <v>866093</v>
      </c>
      <c r="K1351">
        <v>0</v>
      </c>
      <c r="M1351">
        <v>0</v>
      </c>
      <c r="N1351">
        <v>0</v>
      </c>
      <c r="O1351">
        <v>0</v>
      </c>
      <c r="P1351" s="117">
        <v>866093</v>
      </c>
      <c r="Q1351" s="117" t="s">
        <v>1021</v>
      </c>
      <c r="R1351" s="150">
        <v>0</v>
      </c>
      <c r="S1351" s="117" t="b">
        <f>OR(COUNTIF(Tabla2[[#This Row],[PROVEEDOR]],"*"&amp;'Palabra no opera'!$A$2&amp;"*"))</f>
        <v>1</v>
      </c>
      <c r="T1351" s="150">
        <f>+$W$5-Tabla2[[#This Row],[FECHA DE FACTURACIÓN]]</f>
        <v>425</v>
      </c>
      <c r="U1351" t="str">
        <f>+IF(Tabla2[[#This Row],[dias de credito]]&gt;=Tabla2[[#This Row],[PLAZO Días]],"venc", "No venc")</f>
        <v>venc</v>
      </c>
      <c r="V1351" t="str">
        <f>+IF(Tabla2[[#This Row],[FECHA DE PAGO]]&gt;0,"pagada","por pagar")</f>
        <v>pagada</v>
      </c>
      <c r="W1351" s="152" t="str">
        <f>+IF(AND(Tabla2[[#This Row],[venc]]="venc",Tabla2[[#This Row],[Columna1]]="por pagar"),"vencida","no")</f>
        <v>no</v>
      </c>
    </row>
    <row r="1352" spans="1:23" x14ac:dyDescent="0.3">
      <c r="A1352">
        <v>30</v>
      </c>
      <c r="B1352">
        <v>0</v>
      </c>
      <c r="D1352" t="s">
        <v>141</v>
      </c>
      <c r="E1352" s="156">
        <v>44425</v>
      </c>
      <c r="F1352" t="s">
        <v>935</v>
      </c>
      <c r="G1352" s="156">
        <v>44409</v>
      </c>
      <c r="I1352">
        <v>326232</v>
      </c>
      <c r="K1352">
        <v>0</v>
      </c>
      <c r="M1352">
        <v>0</v>
      </c>
      <c r="N1352">
        <v>0</v>
      </c>
      <c r="O1352">
        <v>0</v>
      </c>
      <c r="P1352" s="117">
        <v>326232</v>
      </c>
      <c r="Q1352" s="117" t="s">
        <v>1021</v>
      </c>
      <c r="R1352" s="150">
        <v>0</v>
      </c>
      <c r="S1352" s="117" t="b">
        <f>OR(COUNTIF(Tabla2[[#This Row],[PROVEEDOR]],"*"&amp;'Palabra no opera'!$A$2&amp;"*"))</f>
        <v>1</v>
      </c>
      <c r="T1352" s="150">
        <f>+$W$5-Tabla2[[#This Row],[FECHA DE FACTURACIÓN]]</f>
        <v>425</v>
      </c>
      <c r="U1352" t="str">
        <f>+IF(Tabla2[[#This Row],[dias de credito]]&gt;=Tabla2[[#This Row],[PLAZO Días]],"venc", "No venc")</f>
        <v>venc</v>
      </c>
      <c r="V1352" t="str">
        <f>+IF(Tabla2[[#This Row],[FECHA DE PAGO]]&gt;0,"pagada","por pagar")</f>
        <v>pagada</v>
      </c>
      <c r="W1352" s="152" t="str">
        <f>+IF(AND(Tabla2[[#This Row],[venc]]="venc",Tabla2[[#This Row],[Columna1]]="por pagar"),"vencida","no")</f>
        <v>no</v>
      </c>
    </row>
    <row r="1353" spans="1:23" x14ac:dyDescent="0.3">
      <c r="A1353">
        <v>30</v>
      </c>
      <c r="B1353">
        <v>0</v>
      </c>
      <c r="D1353" t="s">
        <v>139</v>
      </c>
      <c r="E1353" s="156">
        <v>44422</v>
      </c>
      <c r="F1353" t="s">
        <v>673</v>
      </c>
      <c r="G1353" s="156">
        <v>44422</v>
      </c>
      <c r="I1353">
        <v>836000</v>
      </c>
      <c r="K1353">
        <v>0</v>
      </c>
      <c r="M1353">
        <v>0</v>
      </c>
      <c r="N1353">
        <v>0</v>
      </c>
      <c r="O1353">
        <v>0</v>
      </c>
      <c r="P1353" s="117">
        <v>836000</v>
      </c>
      <c r="Q1353" s="117" t="s">
        <v>1021</v>
      </c>
      <c r="R1353" s="150">
        <v>0</v>
      </c>
      <c r="S1353" s="117" t="b">
        <f>OR(COUNTIF(Tabla2[[#This Row],[PROVEEDOR]],"*"&amp;'Palabra no opera'!$A$2&amp;"*"))</f>
        <v>0</v>
      </c>
      <c r="T1353" s="150">
        <f>+$W$5-Tabla2[[#This Row],[FECHA DE FACTURACIÓN]]</f>
        <v>412</v>
      </c>
      <c r="U1353" t="str">
        <f>+IF(Tabla2[[#This Row],[dias de credito]]&gt;=Tabla2[[#This Row],[PLAZO Días]],"venc", "No venc")</f>
        <v>venc</v>
      </c>
      <c r="V1353" t="str">
        <f>+IF(Tabla2[[#This Row],[FECHA DE PAGO]]&gt;0,"pagada","por pagar")</f>
        <v>pagada</v>
      </c>
      <c r="W1353" s="152" t="str">
        <f>+IF(AND(Tabla2[[#This Row],[venc]]="venc",Tabla2[[#This Row],[Columna1]]="por pagar"),"vencida","no")</f>
        <v>no</v>
      </c>
    </row>
    <row r="1354" spans="1:23" x14ac:dyDescent="0.3">
      <c r="A1354">
        <v>30</v>
      </c>
      <c r="B1354">
        <v>0</v>
      </c>
      <c r="D1354" t="s">
        <v>505</v>
      </c>
      <c r="E1354" s="156">
        <v>44420</v>
      </c>
      <c r="F1354" t="s">
        <v>408</v>
      </c>
      <c r="G1354" s="156">
        <v>44420</v>
      </c>
      <c r="H1354">
        <v>129428</v>
      </c>
      <c r="I1354">
        <v>6870528</v>
      </c>
      <c r="J1354">
        <v>878741</v>
      </c>
      <c r="K1354">
        <v>1138439.53</v>
      </c>
      <c r="M1354">
        <v>0</v>
      </c>
      <c r="N1354">
        <v>0</v>
      </c>
      <c r="O1354">
        <v>0</v>
      </c>
      <c r="P1354" s="117">
        <v>7130226.5300000003</v>
      </c>
      <c r="Q1354" s="117" t="s">
        <v>1021</v>
      </c>
      <c r="R1354" s="150">
        <v>0</v>
      </c>
      <c r="S1354" s="117" t="b">
        <f>OR(COUNTIF(Tabla2[[#This Row],[PROVEEDOR]],"*"&amp;'Palabra no opera'!$A$2&amp;"*"))</f>
        <v>0</v>
      </c>
      <c r="T1354" s="150">
        <f>+$W$5-Tabla2[[#This Row],[FECHA DE FACTURACIÓN]]</f>
        <v>414</v>
      </c>
      <c r="U1354" t="str">
        <f>+IF(Tabla2[[#This Row],[dias de credito]]&gt;=Tabla2[[#This Row],[PLAZO Días]],"venc", "No venc")</f>
        <v>venc</v>
      </c>
      <c r="V1354" t="str">
        <f>+IF(Tabla2[[#This Row],[FECHA DE PAGO]]&gt;0,"pagada","por pagar")</f>
        <v>pagada</v>
      </c>
      <c r="W1354" s="152" t="str">
        <f>+IF(AND(Tabla2[[#This Row],[venc]]="venc",Tabla2[[#This Row],[Columna1]]="por pagar"),"vencida","no")</f>
        <v>no</v>
      </c>
    </row>
    <row r="1355" spans="1:23" x14ac:dyDescent="0.3">
      <c r="A1355">
        <v>30</v>
      </c>
      <c r="B1355">
        <v>0</v>
      </c>
      <c r="D1355">
        <v>0</v>
      </c>
      <c r="E1355" s="156">
        <v>44419</v>
      </c>
      <c r="F1355" t="s">
        <v>403</v>
      </c>
      <c r="G1355" s="156">
        <v>44410</v>
      </c>
      <c r="H1355" t="s">
        <v>405</v>
      </c>
      <c r="I1355">
        <v>1490000</v>
      </c>
      <c r="K1355">
        <v>0</v>
      </c>
      <c r="M1355">
        <v>0</v>
      </c>
      <c r="N1355">
        <v>0</v>
      </c>
      <c r="O1355">
        <v>0</v>
      </c>
      <c r="P1355" s="117">
        <v>1490000</v>
      </c>
      <c r="Q1355" s="117" t="s">
        <v>1021</v>
      </c>
      <c r="R1355" s="150">
        <v>0</v>
      </c>
      <c r="S1355" s="117" t="b">
        <f>OR(COUNTIF(Tabla2[[#This Row],[PROVEEDOR]],"*"&amp;'Palabra no opera'!$A$2&amp;"*"))</f>
        <v>0</v>
      </c>
      <c r="T1355" s="150">
        <f>+$W$5-Tabla2[[#This Row],[FECHA DE FACTURACIÓN]]</f>
        <v>424</v>
      </c>
      <c r="U1355" t="str">
        <f>+IF(Tabla2[[#This Row],[dias de credito]]&gt;=Tabla2[[#This Row],[PLAZO Días]],"venc", "No venc")</f>
        <v>venc</v>
      </c>
      <c r="V1355" t="str">
        <f>+IF(Tabla2[[#This Row],[FECHA DE PAGO]]&gt;0,"pagada","por pagar")</f>
        <v>pagada</v>
      </c>
      <c r="W1355" s="152" t="str">
        <f>+IF(AND(Tabla2[[#This Row],[venc]]="venc",Tabla2[[#This Row],[Columna1]]="por pagar"),"vencida","no")</f>
        <v>no</v>
      </c>
    </row>
    <row r="1356" spans="1:23" x14ac:dyDescent="0.3">
      <c r="A1356">
        <v>30</v>
      </c>
      <c r="B1356">
        <v>0</v>
      </c>
      <c r="D1356" t="s">
        <v>949</v>
      </c>
      <c r="E1356" s="156">
        <v>44419</v>
      </c>
      <c r="F1356" t="s">
        <v>404</v>
      </c>
      <c r="G1356" s="156">
        <v>44410</v>
      </c>
      <c r="H1356" t="s">
        <v>1279</v>
      </c>
      <c r="I1356">
        <v>1791000</v>
      </c>
      <c r="K1356">
        <v>0</v>
      </c>
      <c r="M1356">
        <v>0</v>
      </c>
      <c r="N1356">
        <v>0</v>
      </c>
      <c r="O1356">
        <v>0</v>
      </c>
      <c r="P1356" s="117">
        <v>1791000</v>
      </c>
      <c r="Q1356" s="117" t="s">
        <v>1021</v>
      </c>
      <c r="R1356" s="150">
        <v>0</v>
      </c>
      <c r="S1356" s="117" t="b">
        <f>OR(COUNTIF(Tabla2[[#This Row],[PROVEEDOR]],"*"&amp;'Palabra no opera'!$A$2&amp;"*"))</f>
        <v>0</v>
      </c>
      <c r="T1356" s="150">
        <f>+$W$5-Tabla2[[#This Row],[FECHA DE FACTURACIÓN]]</f>
        <v>424</v>
      </c>
      <c r="U1356" t="str">
        <f>+IF(Tabla2[[#This Row],[dias de credito]]&gt;=Tabla2[[#This Row],[PLAZO Días]],"venc", "No venc")</f>
        <v>venc</v>
      </c>
      <c r="V1356" t="str">
        <f>+IF(Tabla2[[#This Row],[FECHA DE PAGO]]&gt;0,"pagada","por pagar")</f>
        <v>pagada</v>
      </c>
      <c r="W1356" s="152" t="str">
        <f>+IF(AND(Tabla2[[#This Row],[venc]]="venc",Tabla2[[#This Row],[Columna1]]="por pagar"),"vencida","no")</f>
        <v>no</v>
      </c>
    </row>
    <row r="1357" spans="1:23" x14ac:dyDescent="0.3">
      <c r="A1357">
        <v>30</v>
      </c>
      <c r="B1357">
        <v>0</v>
      </c>
      <c r="D1357" t="s">
        <v>250</v>
      </c>
      <c r="E1357" s="156">
        <v>44418</v>
      </c>
      <c r="F1357" t="s">
        <v>1451</v>
      </c>
      <c r="G1357" s="156">
        <v>44409</v>
      </c>
      <c r="H1357">
        <v>120</v>
      </c>
      <c r="I1357">
        <v>535000</v>
      </c>
      <c r="K1357">
        <v>0</v>
      </c>
      <c r="M1357">
        <v>0</v>
      </c>
      <c r="N1357">
        <v>0.01</v>
      </c>
      <c r="O1357">
        <v>5350</v>
      </c>
      <c r="P1357" s="117">
        <v>529650</v>
      </c>
      <c r="Q1357" s="117" t="s">
        <v>1021</v>
      </c>
      <c r="R1357" s="150">
        <v>0</v>
      </c>
      <c r="S1357" s="117" t="b">
        <f>OR(COUNTIF(Tabla2[[#This Row],[PROVEEDOR]],"*"&amp;'Palabra no opera'!$A$2&amp;"*"))</f>
        <v>0</v>
      </c>
      <c r="T1357" s="150">
        <f>+$W$5-Tabla2[[#This Row],[FECHA DE FACTURACIÓN]]</f>
        <v>425</v>
      </c>
      <c r="U1357" t="str">
        <f>+IF(Tabla2[[#This Row],[dias de credito]]&gt;=Tabla2[[#This Row],[PLAZO Días]],"venc", "No venc")</f>
        <v>venc</v>
      </c>
      <c r="V1357" t="str">
        <f>+IF(Tabla2[[#This Row],[FECHA DE PAGO]]&gt;0,"pagada","por pagar")</f>
        <v>pagada</v>
      </c>
      <c r="W1357" s="152" t="str">
        <f>+IF(AND(Tabla2[[#This Row],[venc]]="venc",Tabla2[[#This Row],[Columna1]]="por pagar"),"vencida","no")</f>
        <v>no</v>
      </c>
    </row>
    <row r="1358" spans="1:23" x14ac:dyDescent="0.3">
      <c r="A1358">
        <v>30</v>
      </c>
      <c r="B1358">
        <v>450000</v>
      </c>
      <c r="D1358" t="s">
        <v>291</v>
      </c>
      <c r="E1358" s="156">
        <v>44418</v>
      </c>
      <c r="F1358" t="s">
        <v>685</v>
      </c>
      <c r="G1358" s="156">
        <v>44378</v>
      </c>
      <c r="H1358" t="s">
        <v>376</v>
      </c>
      <c r="I1358">
        <v>2090000</v>
      </c>
      <c r="K1358">
        <v>0</v>
      </c>
      <c r="M1358">
        <v>0</v>
      </c>
      <c r="N1358">
        <v>0</v>
      </c>
      <c r="O1358">
        <v>0</v>
      </c>
      <c r="P1358" s="117">
        <v>2090000</v>
      </c>
      <c r="Q1358" s="117" t="s">
        <v>1021</v>
      </c>
      <c r="R1358" s="150">
        <v>0</v>
      </c>
      <c r="S1358" s="117" t="b">
        <f>OR(COUNTIF(Tabla2[[#This Row],[PROVEEDOR]],"*"&amp;'Palabra no opera'!$A$2&amp;"*"))</f>
        <v>0</v>
      </c>
      <c r="T1358" s="150">
        <f>+$W$5-Tabla2[[#This Row],[FECHA DE FACTURACIÓN]]</f>
        <v>456</v>
      </c>
      <c r="U1358" t="str">
        <f>+IF(Tabla2[[#This Row],[dias de credito]]&gt;=Tabla2[[#This Row],[PLAZO Días]],"venc", "No venc")</f>
        <v>venc</v>
      </c>
      <c r="V1358" t="str">
        <f>+IF(Tabla2[[#This Row],[FECHA DE PAGO]]&gt;0,"pagada","por pagar")</f>
        <v>pagada</v>
      </c>
      <c r="W1358" s="152" t="str">
        <f>+IF(AND(Tabla2[[#This Row],[venc]]="venc",Tabla2[[#This Row],[Columna1]]="por pagar"),"vencida","no")</f>
        <v>no</v>
      </c>
    </row>
    <row r="1359" spans="1:23" x14ac:dyDescent="0.3">
      <c r="A1359">
        <v>30</v>
      </c>
      <c r="B1359">
        <v>0</v>
      </c>
      <c r="D1359" t="s">
        <v>139</v>
      </c>
      <c r="E1359" s="156">
        <v>44418</v>
      </c>
      <c r="F1359" t="s">
        <v>665</v>
      </c>
      <c r="G1359" s="156">
        <v>44371</v>
      </c>
      <c r="H1359" t="s">
        <v>1258</v>
      </c>
      <c r="I1359">
        <v>473000</v>
      </c>
      <c r="K1359">
        <v>0</v>
      </c>
      <c r="M1359">
        <v>0</v>
      </c>
      <c r="N1359">
        <v>0</v>
      </c>
      <c r="O1359">
        <v>0</v>
      </c>
      <c r="P1359" s="117">
        <v>473000</v>
      </c>
      <c r="Q1359" s="117" t="s">
        <v>1021</v>
      </c>
      <c r="R1359" s="150">
        <v>0</v>
      </c>
      <c r="S1359" s="117" t="b">
        <f>OR(COUNTIF(Tabla2[[#This Row],[PROVEEDOR]],"*"&amp;'Palabra no opera'!$A$2&amp;"*"))</f>
        <v>0</v>
      </c>
      <c r="T1359" s="150">
        <f>+$W$5-Tabla2[[#This Row],[FECHA DE FACTURACIÓN]]</f>
        <v>463</v>
      </c>
      <c r="U1359" t="str">
        <f>+IF(Tabla2[[#This Row],[dias de credito]]&gt;=Tabla2[[#This Row],[PLAZO Días]],"venc", "No venc")</f>
        <v>venc</v>
      </c>
      <c r="V1359" t="str">
        <f>+IF(Tabla2[[#This Row],[FECHA DE PAGO]]&gt;0,"pagada","por pagar")</f>
        <v>pagada</v>
      </c>
      <c r="W1359" s="152" t="str">
        <f>+IF(AND(Tabla2[[#This Row],[venc]]="venc",Tabla2[[#This Row],[Columna1]]="por pagar"),"vencida","no")</f>
        <v>no</v>
      </c>
    </row>
    <row r="1360" spans="1:23" x14ac:dyDescent="0.3">
      <c r="A1360">
        <v>30</v>
      </c>
      <c r="B1360">
        <v>3921000</v>
      </c>
      <c r="D1360" t="s">
        <v>139</v>
      </c>
      <c r="E1360" s="156">
        <v>44418</v>
      </c>
      <c r="F1360" t="s">
        <v>671</v>
      </c>
      <c r="G1360" s="156">
        <v>44369</v>
      </c>
      <c r="H1360" t="s">
        <v>1464</v>
      </c>
      <c r="I1360">
        <v>3400000</v>
      </c>
      <c r="K1360">
        <v>0</v>
      </c>
      <c r="M1360">
        <v>0</v>
      </c>
      <c r="N1360">
        <v>0</v>
      </c>
      <c r="O1360">
        <v>0</v>
      </c>
      <c r="P1360" s="117">
        <v>3400000</v>
      </c>
      <c r="Q1360" s="117" t="s">
        <v>1021</v>
      </c>
      <c r="R1360" s="150">
        <v>0</v>
      </c>
      <c r="S1360" s="117" t="b">
        <f>OR(COUNTIF(Tabla2[[#This Row],[PROVEEDOR]],"*"&amp;'Palabra no opera'!$A$2&amp;"*"))</f>
        <v>0</v>
      </c>
      <c r="T1360" s="150">
        <f>+$W$5-Tabla2[[#This Row],[FECHA DE FACTURACIÓN]]</f>
        <v>465</v>
      </c>
      <c r="U1360" t="str">
        <f>+IF(Tabla2[[#This Row],[dias de credito]]&gt;=Tabla2[[#This Row],[PLAZO Días]],"venc", "No venc")</f>
        <v>venc</v>
      </c>
      <c r="V1360" t="str">
        <f>+IF(Tabla2[[#This Row],[FECHA DE PAGO]]&gt;0,"pagada","por pagar")</f>
        <v>pagada</v>
      </c>
      <c r="W1360" s="152" t="str">
        <f>+IF(AND(Tabla2[[#This Row],[venc]]="venc",Tabla2[[#This Row],[Columna1]]="por pagar"),"vencida","no")</f>
        <v>no</v>
      </c>
    </row>
    <row r="1361" spans="1:23" x14ac:dyDescent="0.3">
      <c r="A1361">
        <v>45</v>
      </c>
      <c r="B1361">
        <v>7497238</v>
      </c>
      <c r="D1361" t="s">
        <v>272</v>
      </c>
      <c r="E1361" s="156">
        <v>44418</v>
      </c>
      <c r="F1361" t="s">
        <v>10</v>
      </c>
      <c r="G1361" s="156">
        <v>44368</v>
      </c>
      <c r="H1361" t="s">
        <v>358</v>
      </c>
      <c r="I1361">
        <v>1440000</v>
      </c>
      <c r="K1361">
        <v>273600</v>
      </c>
      <c r="M1361">
        <v>0</v>
      </c>
      <c r="N1361">
        <v>0</v>
      </c>
      <c r="O1361">
        <v>0</v>
      </c>
      <c r="P1361" s="117">
        <v>1713600</v>
      </c>
      <c r="Q1361" s="117" t="s">
        <v>1021</v>
      </c>
      <c r="R1361" s="150">
        <v>0</v>
      </c>
      <c r="S1361" s="117" t="b">
        <f>OR(COUNTIF(Tabla2[[#This Row],[PROVEEDOR]],"*"&amp;'Palabra no opera'!$A$2&amp;"*"))</f>
        <v>0</v>
      </c>
      <c r="T1361" s="150">
        <f>+$W$5-Tabla2[[#This Row],[FECHA DE FACTURACIÓN]]</f>
        <v>466</v>
      </c>
      <c r="U1361" t="str">
        <f>+IF(Tabla2[[#This Row],[dias de credito]]&gt;=Tabla2[[#This Row],[PLAZO Días]],"venc", "No venc")</f>
        <v>venc</v>
      </c>
      <c r="V1361" t="str">
        <f>+IF(Tabla2[[#This Row],[FECHA DE PAGO]]&gt;0,"pagada","por pagar")</f>
        <v>pagada</v>
      </c>
      <c r="W1361" s="152" t="str">
        <f>+IF(AND(Tabla2[[#This Row],[venc]]="venc",Tabla2[[#This Row],[Columna1]]="por pagar"),"vencida","no")</f>
        <v>no</v>
      </c>
    </row>
    <row r="1362" spans="1:23" x14ac:dyDescent="0.3">
      <c r="A1362">
        <v>30</v>
      </c>
      <c r="B1362">
        <v>0</v>
      </c>
      <c r="D1362" t="s">
        <v>261</v>
      </c>
      <c r="E1362" s="156">
        <v>44418</v>
      </c>
      <c r="F1362" t="s">
        <v>746</v>
      </c>
      <c r="G1362" s="156">
        <v>44364</v>
      </c>
      <c r="H1362">
        <v>1288</v>
      </c>
      <c r="I1362">
        <v>226890.76</v>
      </c>
      <c r="K1362">
        <v>43109.244400000003</v>
      </c>
      <c r="M1362">
        <v>0</v>
      </c>
      <c r="N1362">
        <v>0</v>
      </c>
      <c r="O1362">
        <v>0</v>
      </c>
      <c r="P1362" s="117">
        <v>270000.00440000003</v>
      </c>
      <c r="Q1362" s="117" t="s">
        <v>1021</v>
      </c>
      <c r="R1362" s="150">
        <v>0</v>
      </c>
      <c r="S1362" s="117" t="b">
        <f>OR(COUNTIF(Tabla2[[#This Row],[PROVEEDOR]],"*"&amp;'Palabra no opera'!$A$2&amp;"*"))</f>
        <v>0</v>
      </c>
      <c r="T1362" s="150">
        <f>+$W$5-Tabla2[[#This Row],[FECHA DE FACTURACIÓN]]</f>
        <v>470</v>
      </c>
      <c r="U1362" t="str">
        <f>+IF(Tabla2[[#This Row],[dias de credito]]&gt;=Tabla2[[#This Row],[PLAZO Días]],"venc", "No venc")</f>
        <v>venc</v>
      </c>
      <c r="V1362" t="str">
        <f>+IF(Tabla2[[#This Row],[FECHA DE PAGO]]&gt;0,"pagada","por pagar")</f>
        <v>pagada</v>
      </c>
      <c r="W1362" s="152" t="str">
        <f>+IF(AND(Tabla2[[#This Row],[venc]]="venc",Tabla2[[#This Row],[Columna1]]="por pagar"),"vencida","no")</f>
        <v>no</v>
      </c>
    </row>
    <row r="1363" spans="1:23" x14ac:dyDescent="0.3">
      <c r="A1363">
        <v>90</v>
      </c>
      <c r="B1363">
        <v>5541947.6899999995</v>
      </c>
      <c r="D1363" t="s">
        <v>253</v>
      </c>
      <c r="E1363" s="156">
        <v>44418</v>
      </c>
      <c r="F1363" t="s">
        <v>12</v>
      </c>
      <c r="G1363" s="156">
        <v>44363</v>
      </c>
      <c r="H1363" t="s">
        <v>492</v>
      </c>
      <c r="I1363">
        <v>915967</v>
      </c>
      <c r="K1363">
        <v>174033.73</v>
      </c>
      <c r="M1363">
        <v>0</v>
      </c>
      <c r="N1363">
        <v>0</v>
      </c>
      <c r="O1363">
        <v>0</v>
      </c>
      <c r="P1363" s="117">
        <v>1090000.73</v>
      </c>
      <c r="Q1363" s="117" t="s">
        <v>1021</v>
      </c>
      <c r="R1363" s="150">
        <v>0</v>
      </c>
      <c r="S1363" s="117" t="b">
        <f>OR(COUNTIF(Tabla2[[#This Row],[PROVEEDOR]],"*"&amp;'Palabra no opera'!$A$2&amp;"*"))</f>
        <v>0</v>
      </c>
      <c r="T1363" s="150">
        <f>+$W$5-Tabla2[[#This Row],[FECHA DE FACTURACIÓN]]</f>
        <v>471</v>
      </c>
      <c r="U1363" t="str">
        <f>+IF(Tabla2[[#This Row],[dias de credito]]&gt;=Tabla2[[#This Row],[PLAZO Días]],"venc", "No venc")</f>
        <v>venc</v>
      </c>
      <c r="V1363" t="str">
        <f>+IF(Tabla2[[#This Row],[FECHA DE PAGO]]&gt;0,"pagada","por pagar")</f>
        <v>pagada</v>
      </c>
      <c r="W1363" s="152" t="str">
        <f>+IF(AND(Tabla2[[#This Row],[venc]]="venc",Tabla2[[#This Row],[Columna1]]="por pagar"),"vencida","no")</f>
        <v>no</v>
      </c>
    </row>
    <row r="1364" spans="1:23" x14ac:dyDescent="0.3">
      <c r="A1364">
        <v>45</v>
      </c>
      <c r="B1364">
        <v>7497238</v>
      </c>
      <c r="D1364" t="s">
        <v>272</v>
      </c>
      <c r="E1364" s="156">
        <v>44418</v>
      </c>
      <c r="F1364" t="s">
        <v>10</v>
      </c>
      <c r="G1364" s="156">
        <v>44363</v>
      </c>
      <c r="H1364" t="s">
        <v>356</v>
      </c>
      <c r="I1364">
        <v>1550000</v>
      </c>
      <c r="K1364">
        <v>294500</v>
      </c>
      <c r="M1364">
        <v>0</v>
      </c>
      <c r="N1364">
        <v>0</v>
      </c>
      <c r="O1364">
        <v>0</v>
      </c>
      <c r="P1364" s="117">
        <v>1844500</v>
      </c>
      <c r="Q1364" s="117" t="s">
        <v>1021</v>
      </c>
      <c r="R1364" s="150">
        <v>0</v>
      </c>
      <c r="S1364" s="117" t="b">
        <f>OR(COUNTIF(Tabla2[[#This Row],[PROVEEDOR]],"*"&amp;'Palabra no opera'!$A$2&amp;"*"))</f>
        <v>0</v>
      </c>
      <c r="T1364" s="150">
        <f>+$W$5-Tabla2[[#This Row],[FECHA DE FACTURACIÓN]]</f>
        <v>471</v>
      </c>
      <c r="U1364" t="str">
        <f>+IF(Tabla2[[#This Row],[dias de credito]]&gt;=Tabla2[[#This Row],[PLAZO Días]],"venc", "No venc")</f>
        <v>venc</v>
      </c>
      <c r="V1364" t="str">
        <f>+IF(Tabla2[[#This Row],[FECHA DE PAGO]]&gt;0,"pagada","por pagar")</f>
        <v>pagada</v>
      </c>
      <c r="W1364" s="152" t="str">
        <f>+IF(AND(Tabla2[[#This Row],[venc]]="venc",Tabla2[[#This Row],[Columna1]]="por pagar"),"vencida","no")</f>
        <v>no</v>
      </c>
    </row>
    <row r="1365" spans="1:23" x14ac:dyDescent="0.3">
      <c r="A1365">
        <v>30</v>
      </c>
      <c r="B1365">
        <v>0</v>
      </c>
      <c r="D1365" t="s">
        <v>261</v>
      </c>
      <c r="E1365" s="156">
        <v>44418</v>
      </c>
      <c r="F1365" t="s">
        <v>746</v>
      </c>
      <c r="G1365" s="156">
        <v>44357</v>
      </c>
      <c r="H1365">
        <v>1265</v>
      </c>
      <c r="I1365">
        <v>1199159.68</v>
      </c>
      <c r="K1365">
        <v>227840.33919999999</v>
      </c>
      <c r="M1365">
        <v>0</v>
      </c>
      <c r="N1365">
        <v>2.5000000000000001E-2</v>
      </c>
      <c r="O1365">
        <v>29978.991999999998</v>
      </c>
      <c r="P1365" s="117">
        <v>1397021.0271999999</v>
      </c>
      <c r="Q1365" s="117" t="s">
        <v>1021</v>
      </c>
      <c r="R1365" s="150">
        <v>0</v>
      </c>
      <c r="S1365" s="117" t="b">
        <f>OR(COUNTIF(Tabla2[[#This Row],[PROVEEDOR]],"*"&amp;'Palabra no opera'!$A$2&amp;"*"))</f>
        <v>0</v>
      </c>
      <c r="T1365" s="150">
        <f>+$W$5-Tabla2[[#This Row],[FECHA DE FACTURACIÓN]]</f>
        <v>477</v>
      </c>
      <c r="U1365" t="str">
        <f>+IF(Tabla2[[#This Row],[dias de credito]]&gt;=Tabla2[[#This Row],[PLAZO Días]],"venc", "No venc")</f>
        <v>venc</v>
      </c>
      <c r="V1365" t="str">
        <f>+IF(Tabla2[[#This Row],[FECHA DE PAGO]]&gt;0,"pagada","por pagar")</f>
        <v>pagada</v>
      </c>
      <c r="W1365" s="152" t="str">
        <f>+IF(AND(Tabla2[[#This Row],[venc]]="venc",Tabla2[[#This Row],[Columna1]]="por pagar"),"vencida","no")</f>
        <v>no</v>
      </c>
    </row>
    <row r="1366" spans="1:23" x14ac:dyDescent="0.3">
      <c r="A1366">
        <v>30</v>
      </c>
      <c r="B1366">
        <v>3450150</v>
      </c>
      <c r="D1366" t="s">
        <v>402</v>
      </c>
      <c r="E1366" s="156">
        <v>44418</v>
      </c>
      <c r="F1366" t="s">
        <v>691</v>
      </c>
      <c r="G1366" s="156">
        <v>44356</v>
      </c>
      <c r="H1366" t="s">
        <v>1432</v>
      </c>
      <c r="I1366">
        <v>157700</v>
      </c>
      <c r="K1366">
        <v>0</v>
      </c>
      <c r="M1366">
        <v>0</v>
      </c>
      <c r="N1366">
        <v>0</v>
      </c>
      <c r="O1366">
        <v>0</v>
      </c>
      <c r="P1366" s="117">
        <v>157700</v>
      </c>
      <c r="Q1366" s="117" t="s">
        <v>1021</v>
      </c>
      <c r="R1366" s="150">
        <v>0</v>
      </c>
      <c r="S1366" s="117" t="b">
        <f>OR(COUNTIF(Tabla2[[#This Row],[PROVEEDOR]],"*"&amp;'Palabra no opera'!$A$2&amp;"*"))</f>
        <v>0</v>
      </c>
      <c r="T1366" s="150">
        <f>+$W$5-Tabla2[[#This Row],[FECHA DE FACTURACIÓN]]</f>
        <v>478</v>
      </c>
      <c r="U1366" t="str">
        <f>+IF(Tabla2[[#This Row],[dias de credito]]&gt;=Tabla2[[#This Row],[PLAZO Días]],"venc", "No venc")</f>
        <v>venc</v>
      </c>
      <c r="V1366" t="str">
        <f>+IF(Tabla2[[#This Row],[FECHA DE PAGO]]&gt;0,"pagada","por pagar")</f>
        <v>pagada</v>
      </c>
      <c r="W1366" s="152" t="str">
        <f>+IF(AND(Tabla2[[#This Row],[venc]]="venc",Tabla2[[#This Row],[Columna1]]="por pagar"),"vencida","no")</f>
        <v>no</v>
      </c>
    </row>
    <row r="1367" spans="1:23" x14ac:dyDescent="0.3">
      <c r="A1367">
        <v>45</v>
      </c>
      <c r="B1367">
        <v>7497238</v>
      </c>
      <c r="D1367" t="s">
        <v>272</v>
      </c>
      <c r="E1367" s="156">
        <v>44418</v>
      </c>
      <c r="F1367" t="s">
        <v>10</v>
      </c>
      <c r="G1367" s="156">
        <v>44356</v>
      </c>
      <c r="H1367" t="s">
        <v>349</v>
      </c>
      <c r="I1367">
        <v>950500</v>
      </c>
      <c r="K1367">
        <v>180595</v>
      </c>
      <c r="M1367">
        <v>0</v>
      </c>
      <c r="N1367">
        <v>0</v>
      </c>
      <c r="O1367">
        <v>0</v>
      </c>
      <c r="P1367" s="117">
        <v>1131095</v>
      </c>
      <c r="Q1367" s="117" t="s">
        <v>1021</v>
      </c>
      <c r="R1367" s="150">
        <v>0</v>
      </c>
      <c r="S1367" s="117" t="b">
        <f>OR(COUNTIF(Tabla2[[#This Row],[PROVEEDOR]],"*"&amp;'Palabra no opera'!$A$2&amp;"*"))</f>
        <v>0</v>
      </c>
      <c r="T1367" s="150">
        <f>+$W$5-Tabla2[[#This Row],[FECHA DE FACTURACIÓN]]</f>
        <v>478</v>
      </c>
      <c r="U1367" t="str">
        <f>+IF(Tabla2[[#This Row],[dias de credito]]&gt;=Tabla2[[#This Row],[PLAZO Días]],"venc", "No venc")</f>
        <v>venc</v>
      </c>
      <c r="V1367" t="str">
        <f>+IF(Tabla2[[#This Row],[FECHA DE PAGO]]&gt;0,"pagada","por pagar")</f>
        <v>pagada</v>
      </c>
      <c r="W1367" s="152" t="str">
        <f>+IF(AND(Tabla2[[#This Row],[venc]]="venc",Tabla2[[#This Row],[Columna1]]="por pagar"),"vencida","no")</f>
        <v>no</v>
      </c>
    </row>
    <row r="1368" spans="1:23" x14ac:dyDescent="0.3">
      <c r="A1368">
        <v>30</v>
      </c>
      <c r="B1368">
        <v>8190204</v>
      </c>
      <c r="D1368" t="s">
        <v>263</v>
      </c>
      <c r="E1368" s="156">
        <v>44418</v>
      </c>
      <c r="F1368" t="s">
        <v>1637</v>
      </c>
      <c r="G1368" s="156">
        <v>44350</v>
      </c>
      <c r="H1368">
        <v>21170</v>
      </c>
      <c r="I1368">
        <v>1354078</v>
      </c>
      <c r="J1368">
        <v>22198</v>
      </c>
      <c r="K1368">
        <v>253057.2</v>
      </c>
      <c r="M1368">
        <v>0</v>
      </c>
      <c r="N1368">
        <v>2.5000000000000001E-2</v>
      </c>
      <c r="O1368">
        <v>33297</v>
      </c>
      <c r="P1368" s="117">
        <v>1551640.2</v>
      </c>
      <c r="Q1368" s="117" t="s">
        <v>1021</v>
      </c>
      <c r="R1368" s="150">
        <v>0</v>
      </c>
      <c r="S1368" s="117" t="b">
        <f>OR(COUNTIF(Tabla2[[#This Row],[PROVEEDOR]],"*"&amp;'Palabra no opera'!$A$2&amp;"*"))</f>
        <v>0</v>
      </c>
      <c r="T1368" s="150">
        <f>+$W$5-Tabla2[[#This Row],[FECHA DE FACTURACIÓN]]</f>
        <v>484</v>
      </c>
      <c r="U1368" t="str">
        <f>+IF(Tabla2[[#This Row],[dias de credito]]&gt;=Tabla2[[#This Row],[PLAZO Días]],"venc", "No venc")</f>
        <v>venc</v>
      </c>
      <c r="V1368" t="str">
        <f>+IF(Tabla2[[#This Row],[FECHA DE PAGO]]&gt;0,"pagada","por pagar")</f>
        <v>pagada</v>
      </c>
      <c r="W1368" s="152" t="str">
        <f>+IF(AND(Tabla2[[#This Row],[venc]]="venc",Tabla2[[#This Row],[Columna1]]="por pagar"),"vencida","no")</f>
        <v>no</v>
      </c>
    </row>
    <row r="1369" spans="1:23" x14ac:dyDescent="0.3">
      <c r="A1369">
        <v>30</v>
      </c>
      <c r="B1369">
        <v>0</v>
      </c>
      <c r="D1369" t="s">
        <v>139</v>
      </c>
      <c r="E1369" s="156">
        <v>44417</v>
      </c>
      <c r="F1369" t="s">
        <v>45</v>
      </c>
      <c r="G1369" s="156">
        <v>44417</v>
      </c>
      <c r="H1369" t="s">
        <v>406</v>
      </c>
      <c r="I1369">
        <v>772893</v>
      </c>
      <c r="K1369">
        <v>146849.67000000001</v>
      </c>
      <c r="M1369">
        <v>0</v>
      </c>
      <c r="N1369">
        <v>0</v>
      </c>
      <c r="O1369">
        <v>0</v>
      </c>
      <c r="P1369" s="117">
        <v>919742.67</v>
      </c>
      <c r="Q1369" s="117" t="s">
        <v>1021</v>
      </c>
      <c r="R1369" s="150">
        <v>0</v>
      </c>
      <c r="S1369" s="117" t="b">
        <f>OR(COUNTIF(Tabla2[[#This Row],[PROVEEDOR]],"*"&amp;'Palabra no opera'!$A$2&amp;"*"))</f>
        <v>0</v>
      </c>
      <c r="T1369" s="150">
        <f>+$W$5-Tabla2[[#This Row],[FECHA DE FACTURACIÓN]]</f>
        <v>417</v>
      </c>
      <c r="U1369" t="str">
        <f>+IF(Tabla2[[#This Row],[dias de credito]]&gt;=Tabla2[[#This Row],[PLAZO Días]],"venc", "No venc")</f>
        <v>venc</v>
      </c>
      <c r="V1369" t="str">
        <f>+IF(Tabla2[[#This Row],[FECHA DE PAGO]]&gt;0,"pagada","por pagar")</f>
        <v>pagada</v>
      </c>
      <c r="W1369" s="152" t="str">
        <f>+IF(AND(Tabla2[[#This Row],[venc]]="venc",Tabla2[[#This Row],[Columna1]]="por pagar"),"vencida","no")</f>
        <v>no</v>
      </c>
    </row>
    <row r="1370" spans="1:23" x14ac:dyDescent="0.3">
      <c r="A1370">
        <v>30</v>
      </c>
      <c r="B1370">
        <v>0</v>
      </c>
      <c r="D1370" t="s">
        <v>139</v>
      </c>
      <c r="E1370" s="156">
        <v>44417</v>
      </c>
      <c r="F1370" t="s">
        <v>689</v>
      </c>
      <c r="G1370" s="156">
        <v>44414</v>
      </c>
      <c r="H1370">
        <v>309339</v>
      </c>
      <c r="I1370">
        <v>1250840</v>
      </c>
      <c r="K1370">
        <v>0</v>
      </c>
      <c r="M1370">
        <v>0</v>
      </c>
      <c r="N1370">
        <v>0</v>
      </c>
      <c r="O1370">
        <v>0</v>
      </c>
      <c r="P1370" s="117">
        <v>1250840</v>
      </c>
      <c r="Q1370" s="117" t="s">
        <v>1021</v>
      </c>
      <c r="R1370" s="150">
        <v>0</v>
      </c>
      <c r="S1370" s="117" t="b">
        <f>OR(COUNTIF(Tabla2[[#This Row],[PROVEEDOR]],"*"&amp;'Palabra no opera'!$A$2&amp;"*"))</f>
        <v>0</v>
      </c>
      <c r="T1370" s="150">
        <f>+$W$5-Tabla2[[#This Row],[FECHA DE FACTURACIÓN]]</f>
        <v>420</v>
      </c>
      <c r="U1370" t="str">
        <f>+IF(Tabla2[[#This Row],[dias de credito]]&gt;=Tabla2[[#This Row],[PLAZO Días]],"venc", "No venc")</f>
        <v>venc</v>
      </c>
      <c r="V1370" t="str">
        <f>+IF(Tabla2[[#This Row],[FECHA DE PAGO]]&gt;0,"pagada","por pagar")</f>
        <v>pagada</v>
      </c>
      <c r="W1370" s="152" t="str">
        <f>+IF(AND(Tabla2[[#This Row],[venc]]="venc",Tabla2[[#This Row],[Columna1]]="por pagar"),"vencida","no")</f>
        <v>no</v>
      </c>
    </row>
    <row r="1371" spans="1:23" x14ac:dyDescent="0.3">
      <c r="A1371">
        <v>30</v>
      </c>
      <c r="B1371">
        <v>9756105</v>
      </c>
      <c r="D1371" t="s">
        <v>476</v>
      </c>
      <c r="E1371" s="156">
        <v>44414</v>
      </c>
      <c r="F1371" t="s">
        <v>670</v>
      </c>
      <c r="G1371" s="156">
        <v>44425</v>
      </c>
      <c r="H1371" t="s">
        <v>1484</v>
      </c>
      <c r="I1371">
        <v>488000</v>
      </c>
      <c r="K1371">
        <v>0</v>
      </c>
      <c r="M1371">
        <v>0</v>
      </c>
      <c r="N1371">
        <v>0</v>
      </c>
      <c r="O1371">
        <v>0</v>
      </c>
      <c r="P1371" s="117">
        <v>488000</v>
      </c>
      <c r="Q1371" s="117" t="s">
        <v>1021</v>
      </c>
      <c r="R1371" s="150">
        <v>0</v>
      </c>
      <c r="S1371" s="117" t="b">
        <f>OR(COUNTIF(Tabla2[[#This Row],[PROVEEDOR]],"*"&amp;'Palabra no opera'!$A$2&amp;"*"))</f>
        <v>0</v>
      </c>
      <c r="T1371" s="150">
        <f>+$W$5-Tabla2[[#This Row],[FECHA DE FACTURACIÓN]]</f>
        <v>409</v>
      </c>
      <c r="U1371" t="str">
        <f>+IF(Tabla2[[#This Row],[dias de credito]]&gt;=Tabla2[[#This Row],[PLAZO Días]],"venc", "No venc")</f>
        <v>venc</v>
      </c>
      <c r="V1371" t="str">
        <f>+IF(Tabla2[[#This Row],[FECHA DE PAGO]]&gt;0,"pagada","por pagar")</f>
        <v>pagada</v>
      </c>
      <c r="W1371" s="152" t="str">
        <f>+IF(AND(Tabla2[[#This Row],[venc]]="venc",Tabla2[[#This Row],[Columna1]]="por pagar"),"vencida","no")</f>
        <v>no</v>
      </c>
    </row>
    <row r="1372" spans="1:23" x14ac:dyDescent="0.3">
      <c r="A1372">
        <v>30</v>
      </c>
      <c r="B1372">
        <v>0</v>
      </c>
      <c r="D1372" t="s">
        <v>139</v>
      </c>
      <c r="E1372" s="156">
        <v>44414</v>
      </c>
      <c r="F1372" t="s">
        <v>644</v>
      </c>
      <c r="G1372" s="156">
        <v>44414</v>
      </c>
      <c r="H1372" t="s">
        <v>1282</v>
      </c>
      <c r="I1372">
        <v>320000</v>
      </c>
      <c r="K1372">
        <v>0</v>
      </c>
      <c r="M1372">
        <v>0</v>
      </c>
      <c r="N1372">
        <v>0</v>
      </c>
      <c r="O1372">
        <v>0</v>
      </c>
      <c r="P1372" s="117">
        <v>320000</v>
      </c>
      <c r="Q1372" s="117" t="s">
        <v>1021</v>
      </c>
      <c r="R1372" s="150">
        <v>0</v>
      </c>
      <c r="S1372" s="117" t="b">
        <f>OR(COUNTIF(Tabla2[[#This Row],[PROVEEDOR]],"*"&amp;'Palabra no opera'!$A$2&amp;"*"))</f>
        <v>0</v>
      </c>
      <c r="T1372" s="150">
        <f>+$W$5-Tabla2[[#This Row],[FECHA DE FACTURACIÓN]]</f>
        <v>420</v>
      </c>
      <c r="U1372" t="str">
        <f>+IF(Tabla2[[#This Row],[dias de credito]]&gt;=Tabla2[[#This Row],[PLAZO Días]],"venc", "No venc")</f>
        <v>venc</v>
      </c>
      <c r="V1372" t="str">
        <f>+IF(Tabla2[[#This Row],[FECHA DE PAGO]]&gt;0,"pagada","por pagar")</f>
        <v>pagada</v>
      </c>
      <c r="W1372" s="152" t="str">
        <f>+IF(AND(Tabla2[[#This Row],[venc]]="venc",Tabla2[[#This Row],[Columna1]]="por pagar"),"vencida","no")</f>
        <v>no</v>
      </c>
    </row>
    <row r="1373" spans="1:23" x14ac:dyDescent="0.3">
      <c r="A1373">
        <v>30</v>
      </c>
      <c r="B1373">
        <v>0</v>
      </c>
      <c r="D1373" t="s">
        <v>139</v>
      </c>
      <c r="E1373" s="156">
        <v>44414</v>
      </c>
      <c r="F1373" t="s">
        <v>673</v>
      </c>
      <c r="G1373" s="156">
        <v>44414</v>
      </c>
      <c r="I1373">
        <v>1000000</v>
      </c>
      <c r="K1373">
        <v>0</v>
      </c>
      <c r="M1373">
        <v>0</v>
      </c>
      <c r="N1373">
        <v>0</v>
      </c>
      <c r="O1373">
        <v>0</v>
      </c>
      <c r="P1373" s="117">
        <v>1000000</v>
      </c>
      <c r="Q1373" s="117" t="s">
        <v>1021</v>
      </c>
      <c r="R1373" s="150">
        <v>0</v>
      </c>
      <c r="S1373" s="117" t="b">
        <f>OR(COUNTIF(Tabla2[[#This Row],[PROVEEDOR]],"*"&amp;'Palabra no opera'!$A$2&amp;"*"))</f>
        <v>0</v>
      </c>
      <c r="T1373" s="150">
        <f>+$W$5-Tabla2[[#This Row],[FECHA DE FACTURACIÓN]]</f>
        <v>420</v>
      </c>
      <c r="U1373" t="str">
        <f>+IF(Tabla2[[#This Row],[dias de credito]]&gt;=Tabla2[[#This Row],[PLAZO Días]],"venc", "No venc")</f>
        <v>venc</v>
      </c>
      <c r="V1373" t="str">
        <f>+IF(Tabla2[[#This Row],[FECHA DE PAGO]]&gt;0,"pagada","por pagar")</f>
        <v>pagada</v>
      </c>
      <c r="W1373" s="152" t="str">
        <f>+IF(AND(Tabla2[[#This Row],[venc]]="venc",Tabla2[[#This Row],[Columna1]]="por pagar"),"vencida","no")</f>
        <v>no</v>
      </c>
    </row>
    <row r="1374" spans="1:23" x14ac:dyDescent="0.3">
      <c r="A1374">
        <v>30</v>
      </c>
      <c r="B1374">
        <v>9756105</v>
      </c>
      <c r="D1374" t="s">
        <v>476</v>
      </c>
      <c r="E1374" s="156">
        <v>44414</v>
      </c>
      <c r="F1374" t="s">
        <v>670</v>
      </c>
      <c r="G1374" s="156">
        <v>44411</v>
      </c>
      <c r="H1374" t="s">
        <v>1477</v>
      </c>
      <c r="I1374">
        <v>213600</v>
      </c>
      <c r="K1374">
        <v>0</v>
      </c>
      <c r="M1374">
        <v>0</v>
      </c>
      <c r="N1374">
        <v>0</v>
      </c>
      <c r="O1374">
        <v>0</v>
      </c>
      <c r="P1374" s="117">
        <v>213600</v>
      </c>
      <c r="Q1374" s="117" t="s">
        <v>1021</v>
      </c>
      <c r="R1374" s="150">
        <v>0</v>
      </c>
      <c r="S1374" s="117" t="b">
        <f>OR(COUNTIF(Tabla2[[#This Row],[PROVEEDOR]],"*"&amp;'Palabra no opera'!$A$2&amp;"*"))</f>
        <v>0</v>
      </c>
      <c r="T1374" s="150">
        <f>+$W$5-Tabla2[[#This Row],[FECHA DE FACTURACIÓN]]</f>
        <v>423</v>
      </c>
      <c r="U1374" t="str">
        <f>+IF(Tabla2[[#This Row],[dias de credito]]&gt;=Tabla2[[#This Row],[PLAZO Días]],"venc", "No venc")</f>
        <v>venc</v>
      </c>
      <c r="V1374" t="str">
        <f>+IF(Tabla2[[#This Row],[FECHA DE PAGO]]&gt;0,"pagada","por pagar")</f>
        <v>pagada</v>
      </c>
      <c r="W1374" s="152" t="str">
        <f>+IF(AND(Tabla2[[#This Row],[venc]]="venc",Tabla2[[#This Row],[Columna1]]="por pagar"),"vencida","no")</f>
        <v>no</v>
      </c>
    </row>
    <row r="1375" spans="1:23" x14ac:dyDescent="0.3">
      <c r="A1375">
        <v>90</v>
      </c>
      <c r="B1375">
        <v>0</v>
      </c>
      <c r="D1375" t="s">
        <v>139</v>
      </c>
      <c r="E1375" s="156">
        <v>44414</v>
      </c>
      <c r="F1375" t="s">
        <v>651</v>
      </c>
      <c r="G1375" s="156">
        <v>44379</v>
      </c>
      <c r="H1375" t="s">
        <v>1467</v>
      </c>
      <c r="I1375">
        <v>773200</v>
      </c>
      <c r="K1375">
        <v>0</v>
      </c>
      <c r="M1375">
        <v>0</v>
      </c>
      <c r="N1375">
        <v>0</v>
      </c>
      <c r="O1375">
        <v>0</v>
      </c>
      <c r="P1375" s="117">
        <v>773200</v>
      </c>
      <c r="Q1375" s="117" t="s">
        <v>1021</v>
      </c>
      <c r="R1375" s="150">
        <v>0</v>
      </c>
      <c r="S1375" s="117" t="b">
        <f>OR(COUNTIF(Tabla2[[#This Row],[PROVEEDOR]],"*"&amp;'Palabra no opera'!$A$2&amp;"*"))</f>
        <v>0</v>
      </c>
      <c r="T1375" s="150">
        <f>+$W$5-Tabla2[[#This Row],[FECHA DE FACTURACIÓN]]</f>
        <v>455</v>
      </c>
      <c r="U1375" t="str">
        <f>+IF(Tabla2[[#This Row],[dias de credito]]&gt;=Tabla2[[#This Row],[PLAZO Días]],"venc", "No venc")</f>
        <v>venc</v>
      </c>
      <c r="V1375" t="str">
        <f>+IF(Tabla2[[#This Row],[FECHA DE PAGO]]&gt;0,"pagada","por pagar")</f>
        <v>pagada</v>
      </c>
      <c r="W1375" s="152" t="str">
        <f>+IF(AND(Tabla2[[#This Row],[venc]]="venc",Tabla2[[#This Row],[Columna1]]="por pagar"),"vencida","no")</f>
        <v>no</v>
      </c>
    </row>
    <row r="1376" spans="1:23" x14ac:dyDescent="0.3">
      <c r="A1376">
        <v>30</v>
      </c>
      <c r="B1376">
        <v>19675613.1195</v>
      </c>
      <c r="D1376" t="s">
        <v>256</v>
      </c>
      <c r="E1376" s="156">
        <v>44414</v>
      </c>
      <c r="F1376" t="s">
        <v>18</v>
      </c>
      <c r="G1376" s="156">
        <v>44377</v>
      </c>
      <c r="H1376">
        <v>1039723</v>
      </c>
      <c r="I1376">
        <v>2181869.2400000002</v>
      </c>
      <c r="K1376">
        <v>414555.15560000006</v>
      </c>
      <c r="M1376">
        <v>0</v>
      </c>
      <c r="N1376">
        <v>2.5000000000000001E-2</v>
      </c>
      <c r="O1376">
        <v>54546.731000000007</v>
      </c>
      <c r="P1376" s="117">
        <v>2541877.6646000003</v>
      </c>
      <c r="Q1376" s="117" t="s">
        <v>1021</v>
      </c>
      <c r="R1376" s="150">
        <v>0</v>
      </c>
      <c r="S1376" s="117" t="b">
        <f>OR(COUNTIF(Tabla2[[#This Row],[PROVEEDOR]],"*"&amp;'Palabra no opera'!$A$2&amp;"*"))</f>
        <v>0</v>
      </c>
      <c r="T1376" s="150">
        <f>+$W$5-Tabla2[[#This Row],[FECHA DE FACTURACIÓN]]</f>
        <v>457</v>
      </c>
      <c r="U1376" t="str">
        <f>+IF(Tabla2[[#This Row],[dias de credito]]&gt;=Tabla2[[#This Row],[PLAZO Días]],"venc", "No venc")</f>
        <v>venc</v>
      </c>
      <c r="V1376" t="str">
        <f>+IF(Tabla2[[#This Row],[FECHA DE PAGO]]&gt;0,"pagada","por pagar")</f>
        <v>pagada</v>
      </c>
      <c r="W1376" s="152" t="str">
        <f>+IF(AND(Tabla2[[#This Row],[venc]]="venc",Tabla2[[#This Row],[Columna1]]="por pagar"),"vencida","no")</f>
        <v>no</v>
      </c>
    </row>
    <row r="1377" spans="1:23" x14ac:dyDescent="0.3">
      <c r="A1377">
        <v>30</v>
      </c>
      <c r="B1377">
        <v>0</v>
      </c>
      <c r="D1377" t="s">
        <v>270</v>
      </c>
      <c r="E1377" s="156">
        <v>44414</v>
      </c>
      <c r="F1377" t="s">
        <v>39</v>
      </c>
      <c r="G1377" s="156">
        <v>44369</v>
      </c>
      <c r="H1377">
        <v>610</v>
      </c>
      <c r="I1377">
        <v>522400</v>
      </c>
      <c r="K1377">
        <v>99256</v>
      </c>
      <c r="M1377">
        <v>0</v>
      </c>
      <c r="N1377">
        <v>0</v>
      </c>
      <c r="O1377">
        <v>0</v>
      </c>
      <c r="P1377" s="117">
        <v>621656</v>
      </c>
      <c r="Q1377" s="117" t="s">
        <v>1021</v>
      </c>
      <c r="R1377" s="150">
        <v>0</v>
      </c>
      <c r="S1377" s="117" t="b">
        <f>OR(COUNTIF(Tabla2[[#This Row],[PROVEEDOR]],"*"&amp;'Palabra no opera'!$A$2&amp;"*"))</f>
        <v>0</v>
      </c>
      <c r="T1377" s="150">
        <f>+$W$5-Tabla2[[#This Row],[FECHA DE FACTURACIÓN]]</f>
        <v>465</v>
      </c>
      <c r="U1377" t="str">
        <f>+IF(Tabla2[[#This Row],[dias de credito]]&gt;=Tabla2[[#This Row],[PLAZO Días]],"venc", "No venc")</f>
        <v>venc</v>
      </c>
      <c r="V1377" t="str">
        <f>+IF(Tabla2[[#This Row],[FECHA DE PAGO]]&gt;0,"pagada","por pagar")</f>
        <v>pagada</v>
      </c>
      <c r="W1377" s="152" t="str">
        <f>+IF(AND(Tabla2[[#This Row],[venc]]="venc",Tabla2[[#This Row],[Columna1]]="por pagar"),"vencida","no")</f>
        <v>no</v>
      </c>
    </row>
    <row r="1378" spans="1:23" x14ac:dyDescent="0.3">
      <c r="A1378">
        <v>30</v>
      </c>
      <c r="B1378">
        <v>9756105</v>
      </c>
      <c r="D1378" t="s">
        <v>476</v>
      </c>
      <c r="E1378" s="156">
        <v>44414</v>
      </c>
      <c r="F1378" t="s">
        <v>670</v>
      </c>
      <c r="G1378" s="156">
        <v>44365</v>
      </c>
      <c r="H1378" t="s">
        <v>1461</v>
      </c>
      <c r="I1378">
        <v>4333600</v>
      </c>
      <c r="K1378">
        <v>0</v>
      </c>
      <c r="M1378">
        <v>0</v>
      </c>
      <c r="N1378">
        <v>0</v>
      </c>
      <c r="O1378">
        <v>0</v>
      </c>
      <c r="P1378" s="117">
        <v>4333600</v>
      </c>
      <c r="Q1378" s="117" t="s">
        <v>1021</v>
      </c>
      <c r="R1378" s="150">
        <v>0</v>
      </c>
      <c r="S1378" s="117" t="b">
        <f>OR(COUNTIF(Tabla2[[#This Row],[PROVEEDOR]],"*"&amp;'Palabra no opera'!$A$2&amp;"*"))</f>
        <v>0</v>
      </c>
      <c r="T1378" s="150">
        <f>+$W$5-Tabla2[[#This Row],[FECHA DE FACTURACIÓN]]</f>
        <v>469</v>
      </c>
      <c r="U1378" t="str">
        <f>+IF(Tabla2[[#This Row],[dias de credito]]&gt;=Tabla2[[#This Row],[PLAZO Días]],"venc", "No venc")</f>
        <v>venc</v>
      </c>
      <c r="V1378" t="str">
        <f>+IF(Tabla2[[#This Row],[FECHA DE PAGO]]&gt;0,"pagada","por pagar")</f>
        <v>pagada</v>
      </c>
      <c r="W1378" s="152" t="str">
        <f>+IF(AND(Tabla2[[#This Row],[venc]]="venc",Tabla2[[#This Row],[Columna1]]="por pagar"),"vencida","no")</f>
        <v>no</v>
      </c>
    </row>
    <row r="1379" spans="1:23" x14ac:dyDescent="0.3">
      <c r="A1379">
        <v>45</v>
      </c>
      <c r="B1379">
        <v>7497238</v>
      </c>
      <c r="D1379" t="s">
        <v>272</v>
      </c>
      <c r="E1379" s="156">
        <v>44414</v>
      </c>
      <c r="F1379" t="s">
        <v>10</v>
      </c>
      <c r="G1379" s="156">
        <v>44363</v>
      </c>
      <c r="H1379" t="s">
        <v>355</v>
      </c>
      <c r="I1379">
        <v>1013000</v>
      </c>
      <c r="K1379">
        <v>192470</v>
      </c>
      <c r="M1379">
        <v>0</v>
      </c>
      <c r="N1379">
        <v>0</v>
      </c>
      <c r="O1379">
        <v>0</v>
      </c>
      <c r="P1379" s="117">
        <v>1205470</v>
      </c>
      <c r="Q1379" s="117" t="s">
        <v>1021</v>
      </c>
      <c r="R1379" s="150">
        <v>0</v>
      </c>
      <c r="S1379" s="117" t="b">
        <f>OR(COUNTIF(Tabla2[[#This Row],[PROVEEDOR]],"*"&amp;'Palabra no opera'!$A$2&amp;"*"))</f>
        <v>0</v>
      </c>
      <c r="T1379" s="150">
        <f>+$W$5-Tabla2[[#This Row],[FECHA DE FACTURACIÓN]]</f>
        <v>471</v>
      </c>
      <c r="U1379" t="str">
        <f>+IF(Tabla2[[#This Row],[dias de credito]]&gt;=Tabla2[[#This Row],[PLAZO Días]],"venc", "No venc")</f>
        <v>venc</v>
      </c>
      <c r="V1379" t="str">
        <f>+IF(Tabla2[[#This Row],[FECHA DE PAGO]]&gt;0,"pagada","por pagar")</f>
        <v>pagada</v>
      </c>
      <c r="W1379" s="152" t="str">
        <f>+IF(AND(Tabla2[[#This Row],[venc]]="venc",Tabla2[[#This Row],[Columna1]]="por pagar"),"vencida","no")</f>
        <v>no</v>
      </c>
    </row>
    <row r="1380" spans="1:23" x14ac:dyDescent="0.3">
      <c r="A1380">
        <v>45</v>
      </c>
      <c r="B1380">
        <v>7497238</v>
      </c>
      <c r="D1380" t="s">
        <v>272</v>
      </c>
      <c r="E1380" s="156">
        <v>44414</v>
      </c>
      <c r="F1380" t="s">
        <v>10</v>
      </c>
      <c r="G1380" s="156">
        <v>44363</v>
      </c>
      <c r="H1380" t="s">
        <v>353</v>
      </c>
      <c r="I1380">
        <v>162000</v>
      </c>
      <c r="K1380">
        <v>30780</v>
      </c>
      <c r="M1380">
        <v>0</v>
      </c>
      <c r="N1380">
        <v>0</v>
      </c>
      <c r="O1380">
        <v>0</v>
      </c>
      <c r="P1380" s="117">
        <v>192780</v>
      </c>
      <c r="Q1380" s="117" t="s">
        <v>1021</v>
      </c>
      <c r="R1380" s="150">
        <v>0</v>
      </c>
      <c r="S1380" s="117" t="b">
        <f>OR(COUNTIF(Tabla2[[#This Row],[PROVEEDOR]],"*"&amp;'Palabra no opera'!$A$2&amp;"*"))</f>
        <v>0</v>
      </c>
      <c r="T1380" s="150">
        <f>+$W$5-Tabla2[[#This Row],[FECHA DE FACTURACIÓN]]</f>
        <v>471</v>
      </c>
      <c r="U1380" t="str">
        <f>+IF(Tabla2[[#This Row],[dias de credito]]&gt;=Tabla2[[#This Row],[PLAZO Días]],"venc", "No venc")</f>
        <v>venc</v>
      </c>
      <c r="V1380" t="str">
        <f>+IF(Tabla2[[#This Row],[FECHA DE PAGO]]&gt;0,"pagada","por pagar")</f>
        <v>pagada</v>
      </c>
      <c r="W1380" s="152" t="str">
        <f>+IF(AND(Tabla2[[#This Row],[venc]]="venc",Tabla2[[#This Row],[Columna1]]="por pagar"),"vencida","no")</f>
        <v>no</v>
      </c>
    </row>
    <row r="1381" spans="1:23" x14ac:dyDescent="0.3">
      <c r="A1381">
        <v>45</v>
      </c>
      <c r="B1381">
        <v>7497238</v>
      </c>
      <c r="D1381" t="s">
        <v>272</v>
      </c>
      <c r="E1381" s="156">
        <v>44414</v>
      </c>
      <c r="F1381" t="s">
        <v>10</v>
      </c>
      <c r="G1381" s="156">
        <v>44363</v>
      </c>
      <c r="H1381" t="s">
        <v>354</v>
      </c>
      <c r="I1381">
        <v>2360000</v>
      </c>
      <c r="K1381">
        <v>448400</v>
      </c>
      <c r="M1381">
        <v>0</v>
      </c>
      <c r="N1381">
        <v>0</v>
      </c>
      <c r="O1381">
        <v>0</v>
      </c>
      <c r="P1381" s="117">
        <v>2808400</v>
      </c>
      <c r="Q1381" s="117" t="s">
        <v>1021</v>
      </c>
      <c r="R1381" s="150">
        <v>0</v>
      </c>
      <c r="S1381" s="117" t="b">
        <f>OR(COUNTIF(Tabla2[[#This Row],[PROVEEDOR]],"*"&amp;'Palabra no opera'!$A$2&amp;"*"))</f>
        <v>0</v>
      </c>
      <c r="T1381" s="150">
        <f>+$W$5-Tabla2[[#This Row],[FECHA DE FACTURACIÓN]]</f>
        <v>471</v>
      </c>
      <c r="U1381" t="str">
        <f>+IF(Tabla2[[#This Row],[dias de credito]]&gt;=Tabla2[[#This Row],[PLAZO Días]],"venc", "No venc")</f>
        <v>venc</v>
      </c>
      <c r="V1381" t="str">
        <f>+IF(Tabla2[[#This Row],[FECHA DE PAGO]]&gt;0,"pagada","por pagar")</f>
        <v>pagada</v>
      </c>
      <c r="W1381" s="152" t="str">
        <f>+IF(AND(Tabla2[[#This Row],[venc]]="venc",Tabla2[[#This Row],[Columna1]]="por pagar"),"vencida","no")</f>
        <v>no</v>
      </c>
    </row>
    <row r="1382" spans="1:23" x14ac:dyDescent="0.3">
      <c r="A1382">
        <v>45</v>
      </c>
      <c r="B1382">
        <v>7497238</v>
      </c>
      <c r="D1382" t="s">
        <v>272</v>
      </c>
      <c r="E1382" s="156">
        <v>44414</v>
      </c>
      <c r="F1382" t="s">
        <v>10</v>
      </c>
      <c r="G1382" s="156">
        <v>44350</v>
      </c>
      <c r="H1382" t="s">
        <v>340</v>
      </c>
      <c r="I1382">
        <v>1200000</v>
      </c>
      <c r="K1382">
        <v>228000</v>
      </c>
      <c r="M1382">
        <v>0</v>
      </c>
      <c r="N1382">
        <v>0</v>
      </c>
      <c r="O1382">
        <v>0</v>
      </c>
      <c r="P1382" s="117">
        <v>1428000</v>
      </c>
      <c r="Q1382" s="117" t="s">
        <v>1021</v>
      </c>
      <c r="R1382" s="150">
        <v>0</v>
      </c>
      <c r="S1382" s="117" t="b">
        <f>OR(COUNTIF(Tabla2[[#This Row],[PROVEEDOR]],"*"&amp;'Palabra no opera'!$A$2&amp;"*"))</f>
        <v>0</v>
      </c>
      <c r="T1382" s="150">
        <f>+$W$5-Tabla2[[#This Row],[FECHA DE FACTURACIÓN]]</f>
        <v>484</v>
      </c>
      <c r="U1382" t="str">
        <f>+IF(Tabla2[[#This Row],[dias de credito]]&gt;=Tabla2[[#This Row],[PLAZO Días]],"venc", "No venc")</f>
        <v>venc</v>
      </c>
      <c r="V1382" t="str">
        <f>+IF(Tabla2[[#This Row],[FECHA DE PAGO]]&gt;0,"pagada","por pagar")</f>
        <v>pagada</v>
      </c>
      <c r="W1382" s="152" t="str">
        <f>+IF(AND(Tabla2[[#This Row],[venc]]="venc",Tabla2[[#This Row],[Columna1]]="por pagar"),"vencida","no")</f>
        <v>no</v>
      </c>
    </row>
    <row r="1383" spans="1:23" x14ac:dyDescent="0.3">
      <c r="A1383">
        <v>30</v>
      </c>
      <c r="B1383">
        <v>9756105</v>
      </c>
      <c r="D1383" t="s">
        <v>476</v>
      </c>
      <c r="E1383" s="156">
        <v>44414</v>
      </c>
      <c r="F1383" t="s">
        <v>670</v>
      </c>
      <c r="G1383" s="156">
        <v>44196</v>
      </c>
      <c r="H1383" t="s">
        <v>1452</v>
      </c>
      <c r="I1383">
        <v>-510000.68</v>
      </c>
      <c r="K1383">
        <v>0</v>
      </c>
      <c r="M1383">
        <v>0</v>
      </c>
      <c r="N1383">
        <v>0</v>
      </c>
      <c r="O1383">
        <v>0</v>
      </c>
      <c r="P1383" s="117">
        <v>-510000.68</v>
      </c>
      <c r="Q1383" s="117" t="s">
        <v>1021</v>
      </c>
      <c r="R1383" s="150">
        <v>0</v>
      </c>
      <c r="S1383" s="117" t="b">
        <f>OR(COUNTIF(Tabla2[[#This Row],[PROVEEDOR]],"*"&amp;'Palabra no opera'!$A$2&amp;"*"))</f>
        <v>0</v>
      </c>
      <c r="T1383" s="150">
        <f>+$W$5-Tabla2[[#This Row],[FECHA DE FACTURACIÓN]]</f>
        <v>638</v>
      </c>
      <c r="U1383" t="str">
        <f>+IF(Tabla2[[#This Row],[dias de credito]]&gt;=Tabla2[[#This Row],[PLAZO Días]],"venc", "No venc")</f>
        <v>venc</v>
      </c>
      <c r="V1383" t="str">
        <f>+IF(Tabla2[[#This Row],[FECHA DE PAGO]]&gt;0,"pagada","por pagar")</f>
        <v>pagada</v>
      </c>
      <c r="W1383" s="152" t="str">
        <f>+IF(AND(Tabla2[[#This Row],[venc]]="venc",Tabla2[[#This Row],[Columna1]]="por pagar"),"vencida","no")</f>
        <v>no</v>
      </c>
    </row>
    <row r="1384" spans="1:23" x14ac:dyDescent="0.3">
      <c r="A1384">
        <v>30</v>
      </c>
      <c r="B1384">
        <v>0</v>
      </c>
      <c r="D1384" t="s">
        <v>139</v>
      </c>
      <c r="E1384" s="156">
        <v>44413</v>
      </c>
      <c r="F1384" t="s">
        <v>638</v>
      </c>
      <c r="G1384" s="156">
        <v>44414</v>
      </c>
      <c r="H1384" t="s">
        <v>1281</v>
      </c>
      <c r="I1384">
        <v>1758000</v>
      </c>
      <c r="K1384">
        <v>0</v>
      </c>
      <c r="M1384">
        <v>0</v>
      </c>
      <c r="N1384">
        <v>0</v>
      </c>
      <c r="O1384">
        <v>0</v>
      </c>
      <c r="P1384" s="117">
        <v>1758000</v>
      </c>
      <c r="Q1384" s="117" t="s">
        <v>1021</v>
      </c>
      <c r="R1384" s="150">
        <v>0</v>
      </c>
      <c r="S1384" s="117" t="b">
        <f>OR(COUNTIF(Tabla2[[#This Row],[PROVEEDOR]],"*"&amp;'Palabra no opera'!$A$2&amp;"*"))</f>
        <v>0</v>
      </c>
      <c r="T1384" s="150">
        <f>+$W$5-Tabla2[[#This Row],[FECHA DE FACTURACIÓN]]</f>
        <v>420</v>
      </c>
      <c r="U1384" t="str">
        <f>+IF(Tabla2[[#This Row],[dias de credito]]&gt;=Tabla2[[#This Row],[PLAZO Días]],"venc", "No venc")</f>
        <v>venc</v>
      </c>
      <c r="V1384" t="str">
        <f>+IF(Tabla2[[#This Row],[FECHA DE PAGO]]&gt;0,"pagada","por pagar")</f>
        <v>pagada</v>
      </c>
      <c r="W1384" s="152" t="str">
        <f>+IF(AND(Tabla2[[#This Row],[venc]]="venc",Tabla2[[#This Row],[Columna1]]="por pagar"),"vencida","no")</f>
        <v>no</v>
      </c>
    </row>
    <row r="1385" spans="1:23" x14ac:dyDescent="0.3">
      <c r="A1385">
        <v>30</v>
      </c>
      <c r="B1385">
        <v>0</v>
      </c>
      <c r="D1385" t="s">
        <v>139</v>
      </c>
      <c r="E1385" s="156">
        <v>44412</v>
      </c>
      <c r="F1385" t="s">
        <v>644</v>
      </c>
      <c r="G1385" s="156">
        <v>44412</v>
      </c>
      <c r="H1385" t="s">
        <v>1479</v>
      </c>
      <c r="I1385">
        <v>306000</v>
      </c>
      <c r="K1385">
        <v>0</v>
      </c>
      <c r="M1385">
        <v>0</v>
      </c>
      <c r="N1385">
        <v>0</v>
      </c>
      <c r="O1385">
        <v>0</v>
      </c>
      <c r="P1385" s="117">
        <v>306000</v>
      </c>
      <c r="Q1385" s="117" t="s">
        <v>1021</v>
      </c>
      <c r="R1385" s="150">
        <v>0</v>
      </c>
      <c r="S1385" s="117" t="b">
        <f>OR(COUNTIF(Tabla2[[#This Row],[PROVEEDOR]],"*"&amp;'Palabra no opera'!$A$2&amp;"*"))</f>
        <v>0</v>
      </c>
      <c r="T1385" s="150">
        <f>+$W$5-Tabla2[[#This Row],[FECHA DE FACTURACIÓN]]</f>
        <v>422</v>
      </c>
      <c r="U1385" t="str">
        <f>+IF(Tabla2[[#This Row],[dias de credito]]&gt;=Tabla2[[#This Row],[PLAZO Días]],"venc", "No venc")</f>
        <v>venc</v>
      </c>
      <c r="V1385" t="str">
        <f>+IF(Tabla2[[#This Row],[FECHA DE PAGO]]&gt;0,"pagada","por pagar")</f>
        <v>pagada</v>
      </c>
      <c r="W1385" s="152" t="str">
        <f>+IF(AND(Tabla2[[#This Row],[venc]]="venc",Tabla2[[#This Row],[Columna1]]="por pagar"),"vencida","no")</f>
        <v>no</v>
      </c>
    </row>
    <row r="1386" spans="1:23" x14ac:dyDescent="0.3">
      <c r="A1386">
        <v>30</v>
      </c>
      <c r="B1386">
        <v>0</v>
      </c>
      <c r="D1386" t="s">
        <v>139</v>
      </c>
      <c r="E1386" s="156">
        <v>44411</v>
      </c>
      <c r="F1386" t="s">
        <v>673</v>
      </c>
      <c r="G1386" s="156">
        <v>44411</v>
      </c>
      <c r="I1386">
        <v>1000000</v>
      </c>
      <c r="K1386">
        <v>0</v>
      </c>
      <c r="M1386">
        <v>0</v>
      </c>
      <c r="N1386">
        <v>0</v>
      </c>
      <c r="O1386">
        <v>0</v>
      </c>
      <c r="P1386" s="117">
        <v>1000000</v>
      </c>
      <c r="Q1386" s="117" t="s">
        <v>1021</v>
      </c>
      <c r="R1386" s="150">
        <v>0</v>
      </c>
      <c r="S1386" s="117" t="b">
        <f>OR(COUNTIF(Tabla2[[#This Row],[PROVEEDOR]],"*"&amp;'Palabra no opera'!$A$2&amp;"*"))</f>
        <v>0</v>
      </c>
      <c r="T1386" s="150">
        <f>+$W$5-Tabla2[[#This Row],[FECHA DE FACTURACIÓN]]</f>
        <v>423</v>
      </c>
      <c r="U1386" t="str">
        <f>+IF(Tabla2[[#This Row],[dias de credito]]&gt;=Tabla2[[#This Row],[PLAZO Días]],"venc", "No venc")</f>
        <v>venc</v>
      </c>
      <c r="V1386" t="str">
        <f>+IF(Tabla2[[#This Row],[FECHA DE PAGO]]&gt;0,"pagada","por pagar")</f>
        <v>pagada</v>
      </c>
      <c r="W1386" s="152" t="str">
        <f>+IF(AND(Tabla2[[#This Row],[venc]]="venc",Tabla2[[#This Row],[Columna1]]="por pagar"),"vencida","no")</f>
        <v>no</v>
      </c>
    </row>
    <row r="1387" spans="1:23" x14ac:dyDescent="0.3">
      <c r="A1387">
        <v>20</v>
      </c>
      <c r="B1387">
        <v>0</v>
      </c>
      <c r="D1387" t="s">
        <v>308</v>
      </c>
      <c r="E1387" s="156">
        <v>44411</v>
      </c>
      <c r="F1387" t="s">
        <v>397</v>
      </c>
      <c r="G1387" s="156">
        <v>44410</v>
      </c>
      <c r="H1387" t="s">
        <v>1280</v>
      </c>
      <c r="I1387">
        <v>137000</v>
      </c>
      <c r="K1387">
        <v>0</v>
      </c>
      <c r="M1387">
        <v>0</v>
      </c>
      <c r="N1387">
        <v>0</v>
      </c>
      <c r="O1387">
        <v>0</v>
      </c>
      <c r="P1387" s="117">
        <v>137000</v>
      </c>
      <c r="Q1387" s="117" t="s">
        <v>1021</v>
      </c>
      <c r="R1387" s="150">
        <v>0</v>
      </c>
      <c r="S1387" s="117" t="b">
        <f>OR(COUNTIF(Tabla2[[#This Row],[PROVEEDOR]],"*"&amp;'Palabra no opera'!$A$2&amp;"*"))</f>
        <v>0</v>
      </c>
      <c r="T1387" s="150">
        <f>+$W$5-Tabla2[[#This Row],[FECHA DE FACTURACIÓN]]</f>
        <v>424</v>
      </c>
      <c r="U1387" t="str">
        <f>+IF(Tabla2[[#This Row],[dias de credito]]&gt;=Tabla2[[#This Row],[PLAZO Días]],"venc", "No venc")</f>
        <v>venc</v>
      </c>
      <c r="V1387" t="str">
        <f>+IF(Tabla2[[#This Row],[FECHA DE PAGO]]&gt;0,"pagada","por pagar")</f>
        <v>pagada</v>
      </c>
      <c r="W1387" s="152" t="str">
        <f>+IF(AND(Tabla2[[#This Row],[venc]]="venc",Tabla2[[#This Row],[Columna1]]="por pagar"),"vencida","no")</f>
        <v>no</v>
      </c>
    </row>
    <row r="1388" spans="1:23" x14ac:dyDescent="0.3">
      <c r="A1388">
        <v>20</v>
      </c>
      <c r="B1388">
        <v>0</v>
      </c>
      <c r="D1388" t="s">
        <v>308</v>
      </c>
      <c r="E1388" s="156">
        <v>44411</v>
      </c>
      <c r="F1388" t="s">
        <v>399</v>
      </c>
      <c r="G1388" s="156">
        <v>44410</v>
      </c>
      <c r="H1388" t="s">
        <v>394</v>
      </c>
      <c r="I1388">
        <v>264800</v>
      </c>
      <c r="K1388">
        <v>0</v>
      </c>
      <c r="M1388">
        <v>0</v>
      </c>
      <c r="N1388">
        <v>0.01</v>
      </c>
      <c r="O1388">
        <v>2648</v>
      </c>
      <c r="P1388" s="117">
        <v>262152</v>
      </c>
      <c r="Q1388" s="117" t="s">
        <v>1021</v>
      </c>
      <c r="R1388" s="150">
        <v>0</v>
      </c>
      <c r="S1388" s="117" t="b">
        <f>OR(COUNTIF(Tabla2[[#This Row],[PROVEEDOR]],"*"&amp;'Palabra no opera'!$A$2&amp;"*"))</f>
        <v>0</v>
      </c>
      <c r="T1388" s="150">
        <f>+$W$5-Tabla2[[#This Row],[FECHA DE FACTURACIÓN]]</f>
        <v>424</v>
      </c>
      <c r="U1388" t="str">
        <f>+IF(Tabla2[[#This Row],[dias de credito]]&gt;=Tabla2[[#This Row],[PLAZO Días]],"venc", "No venc")</f>
        <v>venc</v>
      </c>
      <c r="V1388" t="str">
        <f>+IF(Tabla2[[#This Row],[FECHA DE PAGO]]&gt;0,"pagada","por pagar")</f>
        <v>pagada</v>
      </c>
      <c r="W1388" s="152" t="str">
        <f>+IF(AND(Tabla2[[#This Row],[venc]]="venc",Tabla2[[#This Row],[Columna1]]="por pagar"),"vencida","no")</f>
        <v>no</v>
      </c>
    </row>
    <row r="1389" spans="1:23" x14ac:dyDescent="0.3">
      <c r="A1389">
        <v>20</v>
      </c>
      <c r="B1389">
        <v>0</v>
      </c>
      <c r="D1389" t="s">
        <v>308</v>
      </c>
      <c r="E1389" s="156">
        <v>44411</v>
      </c>
      <c r="F1389" t="s">
        <v>398</v>
      </c>
      <c r="G1389" s="156">
        <v>44386</v>
      </c>
      <c r="H1389" t="s">
        <v>386</v>
      </c>
      <c r="I1389">
        <v>579800</v>
      </c>
      <c r="K1389">
        <v>0</v>
      </c>
      <c r="M1389">
        <v>0</v>
      </c>
      <c r="N1389">
        <v>0.01</v>
      </c>
      <c r="O1389">
        <v>5798</v>
      </c>
      <c r="P1389" s="117">
        <v>574002</v>
      </c>
      <c r="Q1389" s="117" t="s">
        <v>1021</v>
      </c>
      <c r="R1389" s="150">
        <v>0</v>
      </c>
      <c r="S1389" s="117" t="b">
        <f>OR(COUNTIF(Tabla2[[#This Row],[PROVEEDOR]],"*"&amp;'Palabra no opera'!$A$2&amp;"*"))</f>
        <v>0</v>
      </c>
      <c r="T1389" s="150">
        <f>+$W$5-Tabla2[[#This Row],[FECHA DE FACTURACIÓN]]</f>
        <v>448</v>
      </c>
      <c r="U1389" t="str">
        <f>+IF(Tabla2[[#This Row],[dias de credito]]&gt;=Tabla2[[#This Row],[PLAZO Días]],"venc", "No venc")</f>
        <v>venc</v>
      </c>
      <c r="V1389" t="str">
        <f>+IF(Tabla2[[#This Row],[FECHA DE PAGO]]&gt;0,"pagada","por pagar")</f>
        <v>pagada</v>
      </c>
      <c r="W1389" s="152" t="str">
        <f>+IF(AND(Tabla2[[#This Row],[venc]]="venc",Tabla2[[#This Row],[Columna1]]="por pagar"),"vencida","no")</f>
        <v>no</v>
      </c>
    </row>
    <row r="1390" spans="1:23" x14ac:dyDescent="0.3">
      <c r="A1390">
        <v>30</v>
      </c>
      <c r="B1390">
        <v>0</v>
      </c>
      <c r="D1390" t="s">
        <v>861</v>
      </c>
      <c r="E1390" s="156">
        <v>44411</v>
      </c>
      <c r="F1390" t="s">
        <v>633</v>
      </c>
      <c r="G1390" s="156">
        <v>44380</v>
      </c>
      <c r="H1390" t="s">
        <v>1469</v>
      </c>
      <c r="I1390">
        <v>264000</v>
      </c>
      <c r="K1390">
        <v>0</v>
      </c>
      <c r="M1390">
        <v>0</v>
      </c>
      <c r="N1390">
        <v>0</v>
      </c>
      <c r="O1390">
        <v>0</v>
      </c>
      <c r="P1390" s="117">
        <v>264000</v>
      </c>
      <c r="Q1390" s="117" t="s">
        <v>1021</v>
      </c>
      <c r="R1390" s="150">
        <v>0</v>
      </c>
      <c r="S1390" s="117" t="b">
        <f>OR(COUNTIF(Tabla2[[#This Row],[PROVEEDOR]],"*"&amp;'Palabra no opera'!$A$2&amp;"*"))</f>
        <v>0</v>
      </c>
      <c r="T1390" s="150">
        <f>+$W$5-Tabla2[[#This Row],[FECHA DE FACTURACIÓN]]</f>
        <v>454</v>
      </c>
      <c r="U1390" t="str">
        <f>+IF(Tabla2[[#This Row],[dias de credito]]&gt;=Tabla2[[#This Row],[PLAZO Días]],"venc", "No venc")</f>
        <v>venc</v>
      </c>
      <c r="V1390" t="str">
        <f>+IF(Tabla2[[#This Row],[FECHA DE PAGO]]&gt;0,"pagada","por pagar")</f>
        <v>pagada</v>
      </c>
      <c r="W1390" s="152" t="str">
        <f>+IF(AND(Tabla2[[#This Row],[venc]]="venc",Tabla2[[#This Row],[Columna1]]="por pagar"),"vencida","no")</f>
        <v>no</v>
      </c>
    </row>
    <row r="1391" spans="1:23" x14ac:dyDescent="0.3">
      <c r="A1391">
        <v>30</v>
      </c>
      <c r="B1391">
        <v>0</v>
      </c>
      <c r="D1391" t="s">
        <v>861</v>
      </c>
      <c r="E1391" s="156">
        <v>44411</v>
      </c>
      <c r="F1391" t="s">
        <v>633</v>
      </c>
      <c r="G1391" s="156">
        <v>44380</v>
      </c>
      <c r="H1391" t="s">
        <v>1467</v>
      </c>
      <c r="I1391">
        <v>773200</v>
      </c>
      <c r="K1391">
        <v>0</v>
      </c>
      <c r="M1391">
        <v>0</v>
      </c>
      <c r="N1391">
        <v>0</v>
      </c>
      <c r="O1391">
        <v>0</v>
      </c>
      <c r="P1391" s="117">
        <v>773200</v>
      </c>
      <c r="Q1391" s="117" t="s">
        <v>1021</v>
      </c>
      <c r="R1391" s="150">
        <v>0</v>
      </c>
      <c r="S1391" s="117" t="b">
        <f>OR(COUNTIF(Tabla2[[#This Row],[PROVEEDOR]],"*"&amp;'Palabra no opera'!$A$2&amp;"*"))</f>
        <v>0</v>
      </c>
      <c r="T1391" s="150">
        <f>+$W$5-Tabla2[[#This Row],[FECHA DE FACTURACIÓN]]</f>
        <v>454</v>
      </c>
      <c r="U1391" t="str">
        <f>+IF(Tabla2[[#This Row],[dias de credito]]&gt;=Tabla2[[#This Row],[PLAZO Días]],"venc", "No venc")</f>
        <v>venc</v>
      </c>
      <c r="V1391" t="str">
        <f>+IF(Tabla2[[#This Row],[FECHA DE PAGO]]&gt;0,"pagada","por pagar")</f>
        <v>pagada</v>
      </c>
      <c r="W1391" s="152" t="str">
        <f>+IF(AND(Tabla2[[#This Row],[venc]]="venc",Tabla2[[#This Row],[Columna1]]="por pagar"),"vencida","no")</f>
        <v>no</v>
      </c>
    </row>
    <row r="1392" spans="1:23" x14ac:dyDescent="0.3">
      <c r="A1392">
        <v>30</v>
      </c>
      <c r="B1392">
        <v>0</v>
      </c>
      <c r="D1392" t="s">
        <v>431</v>
      </c>
      <c r="E1392" s="156">
        <v>44411</v>
      </c>
      <c r="F1392" t="s">
        <v>677</v>
      </c>
      <c r="G1392" s="156">
        <v>44379</v>
      </c>
      <c r="H1392" t="s">
        <v>1468</v>
      </c>
      <c r="I1392">
        <v>780000</v>
      </c>
      <c r="K1392">
        <v>0</v>
      </c>
      <c r="M1392">
        <v>0</v>
      </c>
      <c r="N1392">
        <v>0</v>
      </c>
      <c r="O1392">
        <v>0</v>
      </c>
      <c r="P1392" s="117">
        <v>780000</v>
      </c>
      <c r="Q1392" s="117" t="s">
        <v>1021</v>
      </c>
      <c r="R1392" s="150">
        <v>0</v>
      </c>
      <c r="S1392" s="117" t="b">
        <f>OR(COUNTIF(Tabla2[[#This Row],[PROVEEDOR]],"*"&amp;'Palabra no opera'!$A$2&amp;"*"))</f>
        <v>0</v>
      </c>
      <c r="T1392" s="150">
        <f>+$W$5-Tabla2[[#This Row],[FECHA DE FACTURACIÓN]]</f>
        <v>455</v>
      </c>
      <c r="U1392" t="str">
        <f>+IF(Tabla2[[#This Row],[dias de credito]]&gt;=Tabla2[[#This Row],[PLAZO Días]],"venc", "No venc")</f>
        <v>venc</v>
      </c>
      <c r="V1392" t="str">
        <f>+IF(Tabla2[[#This Row],[FECHA DE PAGO]]&gt;0,"pagada","por pagar")</f>
        <v>pagada</v>
      </c>
      <c r="W1392" s="152" t="str">
        <f>+IF(AND(Tabla2[[#This Row],[venc]]="venc",Tabla2[[#This Row],[Columna1]]="por pagar"),"vencida","no")</f>
        <v>no</v>
      </c>
    </row>
    <row r="1393" spans="1:23" x14ac:dyDescent="0.3">
      <c r="A1393">
        <v>30</v>
      </c>
      <c r="B1393">
        <v>2324000</v>
      </c>
      <c r="D1393" t="s">
        <v>251</v>
      </c>
      <c r="E1393" s="156">
        <v>44411</v>
      </c>
      <c r="F1393" t="s">
        <v>699</v>
      </c>
      <c r="G1393" s="156">
        <v>44362</v>
      </c>
      <c r="H1393" t="s">
        <v>1458</v>
      </c>
      <c r="I1393">
        <v>255000</v>
      </c>
      <c r="K1393">
        <v>0</v>
      </c>
      <c r="M1393">
        <v>0</v>
      </c>
      <c r="N1393">
        <v>0</v>
      </c>
      <c r="O1393">
        <v>0</v>
      </c>
      <c r="P1393" s="117">
        <v>255000</v>
      </c>
      <c r="Q1393" s="117" t="s">
        <v>1021</v>
      </c>
      <c r="R1393" s="150">
        <v>0</v>
      </c>
      <c r="S1393" s="117" t="b">
        <f>OR(COUNTIF(Tabla2[[#This Row],[PROVEEDOR]],"*"&amp;'Palabra no opera'!$A$2&amp;"*"))</f>
        <v>0</v>
      </c>
      <c r="T1393" s="150">
        <f>+$W$5-Tabla2[[#This Row],[FECHA DE FACTURACIÓN]]</f>
        <v>472</v>
      </c>
      <c r="U1393" t="str">
        <f>+IF(Tabla2[[#This Row],[dias de credito]]&gt;=Tabla2[[#This Row],[PLAZO Días]],"venc", "No venc")</f>
        <v>venc</v>
      </c>
      <c r="V1393" t="str">
        <f>+IF(Tabla2[[#This Row],[FECHA DE PAGO]]&gt;0,"pagada","por pagar")</f>
        <v>pagada</v>
      </c>
      <c r="W1393" s="152" t="str">
        <f>+IF(AND(Tabla2[[#This Row],[venc]]="venc",Tabla2[[#This Row],[Columna1]]="por pagar"),"vencida","no")</f>
        <v>no</v>
      </c>
    </row>
    <row r="1394" spans="1:23" x14ac:dyDescent="0.3">
      <c r="A1394">
        <v>30</v>
      </c>
      <c r="B1394">
        <v>2324000</v>
      </c>
      <c r="D1394" t="s">
        <v>251</v>
      </c>
      <c r="E1394" s="156">
        <v>44411</v>
      </c>
      <c r="F1394" t="s">
        <v>699</v>
      </c>
      <c r="G1394" s="156">
        <v>44362</v>
      </c>
      <c r="H1394" t="s">
        <v>1459</v>
      </c>
      <c r="I1394">
        <v>1418000</v>
      </c>
      <c r="K1394">
        <v>0</v>
      </c>
      <c r="M1394">
        <v>0</v>
      </c>
      <c r="N1394">
        <v>0</v>
      </c>
      <c r="O1394">
        <v>0</v>
      </c>
      <c r="P1394" s="117">
        <v>1418000</v>
      </c>
      <c r="Q1394" s="117" t="s">
        <v>1021</v>
      </c>
      <c r="R1394" s="150">
        <v>0</v>
      </c>
      <c r="S1394" s="117" t="b">
        <f>OR(COUNTIF(Tabla2[[#This Row],[PROVEEDOR]],"*"&amp;'Palabra no opera'!$A$2&amp;"*"))</f>
        <v>0</v>
      </c>
      <c r="T1394" s="150">
        <f>+$W$5-Tabla2[[#This Row],[FECHA DE FACTURACIÓN]]</f>
        <v>472</v>
      </c>
      <c r="U1394" t="str">
        <f>+IF(Tabla2[[#This Row],[dias de credito]]&gt;=Tabla2[[#This Row],[PLAZO Días]],"venc", "No venc")</f>
        <v>venc</v>
      </c>
      <c r="V1394" t="str">
        <f>+IF(Tabla2[[#This Row],[FECHA DE PAGO]]&gt;0,"pagada","por pagar")</f>
        <v>pagada</v>
      </c>
      <c r="W1394" s="152" t="str">
        <f>+IF(AND(Tabla2[[#This Row],[venc]]="venc",Tabla2[[#This Row],[Columna1]]="por pagar"),"vencida","no")</f>
        <v>no</v>
      </c>
    </row>
    <row r="1395" spans="1:23" x14ac:dyDescent="0.3">
      <c r="A1395">
        <v>90</v>
      </c>
      <c r="B1395">
        <v>0</v>
      </c>
      <c r="D1395" t="s">
        <v>139</v>
      </c>
      <c r="E1395" s="156">
        <v>44411</v>
      </c>
      <c r="F1395" t="s">
        <v>651</v>
      </c>
      <c r="G1395" s="156">
        <v>44348</v>
      </c>
      <c r="H1395" t="s">
        <v>1239</v>
      </c>
      <c r="I1395">
        <v>2462500</v>
      </c>
      <c r="K1395">
        <v>0</v>
      </c>
      <c r="M1395">
        <v>0</v>
      </c>
      <c r="N1395">
        <v>0</v>
      </c>
      <c r="O1395">
        <v>0</v>
      </c>
      <c r="P1395" s="117">
        <v>2462500</v>
      </c>
      <c r="Q1395" s="117" t="s">
        <v>1021</v>
      </c>
      <c r="R1395" s="150">
        <v>0</v>
      </c>
      <c r="S1395" s="117" t="b">
        <f>OR(COUNTIF(Tabla2[[#This Row],[PROVEEDOR]],"*"&amp;'Palabra no opera'!$A$2&amp;"*"))</f>
        <v>0</v>
      </c>
      <c r="T1395" s="150">
        <f>+$W$5-Tabla2[[#This Row],[FECHA DE FACTURACIÓN]]</f>
        <v>486</v>
      </c>
      <c r="U1395" t="str">
        <f>+IF(Tabla2[[#This Row],[dias de credito]]&gt;=Tabla2[[#This Row],[PLAZO Días]],"venc", "No venc")</f>
        <v>venc</v>
      </c>
      <c r="V1395" t="str">
        <f>+IF(Tabla2[[#This Row],[FECHA DE PAGO]]&gt;0,"pagada","por pagar")</f>
        <v>pagada</v>
      </c>
      <c r="W1395" s="152" t="str">
        <f>+IF(AND(Tabla2[[#This Row],[venc]]="venc",Tabla2[[#This Row],[Columna1]]="por pagar"),"vencida","no")</f>
        <v>no</v>
      </c>
    </row>
    <row r="1396" spans="1:23" x14ac:dyDescent="0.3">
      <c r="A1396">
        <v>45</v>
      </c>
      <c r="B1396">
        <v>7497238</v>
      </c>
      <c r="D1396" t="s">
        <v>272</v>
      </c>
      <c r="E1396" s="156">
        <v>44411</v>
      </c>
      <c r="F1396" t="s">
        <v>10</v>
      </c>
      <c r="G1396" s="156">
        <v>44348</v>
      </c>
      <c r="H1396" t="s">
        <v>342</v>
      </c>
      <c r="I1396">
        <v>495000</v>
      </c>
      <c r="K1396">
        <v>94050</v>
      </c>
      <c r="M1396">
        <v>0</v>
      </c>
      <c r="N1396">
        <v>0</v>
      </c>
      <c r="O1396">
        <v>0</v>
      </c>
      <c r="P1396" s="117">
        <v>589050</v>
      </c>
      <c r="Q1396" s="117" t="s">
        <v>1021</v>
      </c>
      <c r="R1396" s="150">
        <v>0</v>
      </c>
      <c r="S1396" s="117" t="b">
        <f>OR(COUNTIF(Tabla2[[#This Row],[PROVEEDOR]],"*"&amp;'Palabra no opera'!$A$2&amp;"*"))</f>
        <v>0</v>
      </c>
      <c r="T1396" s="150">
        <f>+$W$5-Tabla2[[#This Row],[FECHA DE FACTURACIÓN]]</f>
        <v>486</v>
      </c>
      <c r="U1396" t="str">
        <f>+IF(Tabla2[[#This Row],[dias de credito]]&gt;=Tabla2[[#This Row],[PLAZO Días]],"venc", "No venc")</f>
        <v>venc</v>
      </c>
      <c r="V1396" t="str">
        <f>+IF(Tabla2[[#This Row],[FECHA DE PAGO]]&gt;0,"pagada","por pagar")</f>
        <v>pagada</v>
      </c>
      <c r="W1396" s="152" t="str">
        <f>+IF(AND(Tabla2[[#This Row],[venc]]="venc",Tabla2[[#This Row],[Columna1]]="por pagar"),"vencida","no")</f>
        <v>no</v>
      </c>
    </row>
    <row r="1397" spans="1:23" x14ac:dyDescent="0.3">
      <c r="A1397">
        <v>45</v>
      </c>
      <c r="B1397">
        <v>7497238</v>
      </c>
      <c r="D1397" t="s">
        <v>272</v>
      </c>
      <c r="E1397" s="156">
        <v>44411</v>
      </c>
      <c r="F1397" t="s">
        <v>10</v>
      </c>
      <c r="G1397" s="156">
        <v>44348</v>
      </c>
      <c r="H1397" t="s">
        <v>341</v>
      </c>
      <c r="I1397">
        <v>2682000</v>
      </c>
      <c r="K1397">
        <v>509580</v>
      </c>
      <c r="M1397">
        <v>0</v>
      </c>
      <c r="N1397">
        <v>0</v>
      </c>
      <c r="O1397">
        <v>0</v>
      </c>
      <c r="P1397" s="117">
        <v>3191580</v>
      </c>
      <c r="Q1397" s="117" t="s">
        <v>1021</v>
      </c>
      <c r="R1397" s="150">
        <v>0</v>
      </c>
      <c r="S1397" s="117" t="b">
        <f>OR(COUNTIF(Tabla2[[#This Row],[PROVEEDOR]],"*"&amp;'Palabra no opera'!$A$2&amp;"*"))</f>
        <v>0</v>
      </c>
      <c r="T1397" s="150">
        <f>+$W$5-Tabla2[[#This Row],[FECHA DE FACTURACIÓN]]</f>
        <v>486</v>
      </c>
      <c r="U1397" t="str">
        <f>+IF(Tabla2[[#This Row],[dias de credito]]&gt;=Tabla2[[#This Row],[PLAZO Días]],"venc", "No venc")</f>
        <v>venc</v>
      </c>
      <c r="V1397" t="str">
        <f>+IF(Tabla2[[#This Row],[FECHA DE PAGO]]&gt;0,"pagada","por pagar")</f>
        <v>pagada</v>
      </c>
      <c r="W1397" s="152" t="str">
        <f>+IF(AND(Tabla2[[#This Row],[venc]]="venc",Tabla2[[#This Row],[Columna1]]="por pagar"),"vencida","no")</f>
        <v>no</v>
      </c>
    </row>
    <row r="1398" spans="1:23" x14ac:dyDescent="0.3">
      <c r="A1398">
        <v>45</v>
      </c>
      <c r="B1398">
        <v>7497238</v>
      </c>
      <c r="D1398" t="s">
        <v>272</v>
      </c>
      <c r="E1398" s="156">
        <v>44411</v>
      </c>
      <c r="F1398" t="s">
        <v>10</v>
      </c>
      <c r="G1398" s="156">
        <v>44348</v>
      </c>
      <c r="H1398" t="s">
        <v>339</v>
      </c>
      <c r="I1398">
        <v>1381000</v>
      </c>
      <c r="K1398">
        <v>262390</v>
      </c>
      <c r="M1398">
        <v>0</v>
      </c>
      <c r="N1398">
        <v>0</v>
      </c>
      <c r="O1398">
        <v>0</v>
      </c>
      <c r="P1398" s="117">
        <v>1643390</v>
      </c>
      <c r="Q1398" s="117" t="s">
        <v>1021</v>
      </c>
      <c r="R1398" s="150">
        <v>0</v>
      </c>
      <c r="S1398" s="117" t="b">
        <f>OR(COUNTIF(Tabla2[[#This Row],[PROVEEDOR]],"*"&amp;'Palabra no opera'!$A$2&amp;"*"))</f>
        <v>0</v>
      </c>
      <c r="T1398" s="150">
        <f>+$W$5-Tabla2[[#This Row],[FECHA DE FACTURACIÓN]]</f>
        <v>486</v>
      </c>
      <c r="U1398" t="str">
        <f>+IF(Tabla2[[#This Row],[dias de credito]]&gt;=Tabla2[[#This Row],[PLAZO Días]],"venc", "No venc")</f>
        <v>venc</v>
      </c>
      <c r="V1398" t="str">
        <f>+IF(Tabla2[[#This Row],[FECHA DE PAGO]]&gt;0,"pagada","por pagar")</f>
        <v>pagada</v>
      </c>
      <c r="W1398" s="152" t="str">
        <f>+IF(AND(Tabla2[[#This Row],[venc]]="venc",Tabla2[[#This Row],[Columna1]]="por pagar"),"vencida","no")</f>
        <v>no</v>
      </c>
    </row>
    <row r="1399" spans="1:23" x14ac:dyDescent="0.3">
      <c r="A1399">
        <v>30</v>
      </c>
      <c r="B1399">
        <v>2324000</v>
      </c>
      <c r="D1399" t="s">
        <v>251</v>
      </c>
      <c r="E1399" s="156">
        <v>44411</v>
      </c>
      <c r="F1399" t="s">
        <v>699</v>
      </c>
      <c r="G1399" s="156">
        <v>44335</v>
      </c>
      <c r="H1399" t="s">
        <v>1456</v>
      </c>
      <c r="I1399">
        <v>780000</v>
      </c>
      <c r="K1399">
        <v>0</v>
      </c>
      <c r="M1399">
        <v>0</v>
      </c>
      <c r="N1399">
        <v>0</v>
      </c>
      <c r="O1399">
        <v>0</v>
      </c>
      <c r="P1399" s="117">
        <v>780000</v>
      </c>
      <c r="Q1399" s="117" t="s">
        <v>1021</v>
      </c>
      <c r="R1399" s="150">
        <v>0</v>
      </c>
      <c r="S1399" s="117" t="b">
        <f>OR(COUNTIF(Tabla2[[#This Row],[PROVEEDOR]],"*"&amp;'Palabra no opera'!$A$2&amp;"*"))</f>
        <v>0</v>
      </c>
      <c r="T1399" s="150">
        <f>+$W$5-Tabla2[[#This Row],[FECHA DE FACTURACIÓN]]</f>
        <v>499</v>
      </c>
      <c r="U1399" t="str">
        <f>+IF(Tabla2[[#This Row],[dias de credito]]&gt;=Tabla2[[#This Row],[PLAZO Días]],"venc", "No venc")</f>
        <v>venc</v>
      </c>
      <c r="V1399" t="str">
        <f>+IF(Tabla2[[#This Row],[FECHA DE PAGO]]&gt;0,"pagada","por pagar")</f>
        <v>pagada</v>
      </c>
      <c r="W1399" s="152" t="str">
        <f>+IF(AND(Tabla2[[#This Row],[venc]]="venc",Tabla2[[#This Row],[Columna1]]="por pagar"),"vencida","no")</f>
        <v>no</v>
      </c>
    </row>
    <row r="1400" spans="1:23" x14ac:dyDescent="0.3">
      <c r="A1400">
        <v>30</v>
      </c>
      <c r="B1400">
        <v>5225000</v>
      </c>
      <c r="D1400" t="s">
        <v>139</v>
      </c>
      <c r="E1400" s="156">
        <v>44410</v>
      </c>
      <c r="F1400" t="s">
        <v>629</v>
      </c>
      <c r="G1400" s="156">
        <v>44376</v>
      </c>
      <c r="H1400" t="s">
        <v>1260</v>
      </c>
      <c r="I1400">
        <v>1922900</v>
      </c>
      <c r="K1400">
        <v>0</v>
      </c>
      <c r="M1400">
        <v>0</v>
      </c>
      <c r="N1400">
        <v>0</v>
      </c>
      <c r="O1400">
        <v>0</v>
      </c>
      <c r="P1400" s="117">
        <v>1922900</v>
      </c>
      <c r="Q1400" s="117" t="s">
        <v>1021</v>
      </c>
      <c r="R1400" s="150">
        <v>0</v>
      </c>
      <c r="S1400" s="117" t="b">
        <f>OR(COUNTIF(Tabla2[[#This Row],[PROVEEDOR]],"*"&amp;'Palabra no opera'!$A$2&amp;"*"))</f>
        <v>0</v>
      </c>
      <c r="T1400" s="150">
        <f>+$W$5-Tabla2[[#This Row],[FECHA DE FACTURACIÓN]]</f>
        <v>458</v>
      </c>
      <c r="U1400" t="str">
        <f>+IF(Tabla2[[#This Row],[dias de credito]]&gt;=Tabla2[[#This Row],[PLAZO Días]],"venc", "No venc")</f>
        <v>venc</v>
      </c>
      <c r="V1400" t="str">
        <f>+IF(Tabla2[[#This Row],[FECHA DE PAGO]]&gt;0,"pagada","por pagar")</f>
        <v>pagada</v>
      </c>
      <c r="W1400" s="152" t="str">
        <f>+IF(AND(Tabla2[[#This Row],[venc]]="venc",Tabla2[[#This Row],[Columna1]]="por pagar"),"vencida","no")</f>
        <v>no</v>
      </c>
    </row>
    <row r="1401" spans="1:23" x14ac:dyDescent="0.3">
      <c r="A1401">
        <v>30</v>
      </c>
      <c r="B1401">
        <v>0</v>
      </c>
      <c r="D1401" t="s">
        <v>254</v>
      </c>
      <c r="E1401" s="156">
        <v>44410</v>
      </c>
      <c r="F1401" t="s">
        <v>46</v>
      </c>
      <c r="G1401" s="156">
        <v>44368</v>
      </c>
      <c r="H1401">
        <v>160217927</v>
      </c>
      <c r="I1401">
        <v>2730150</v>
      </c>
      <c r="K1401">
        <v>518728.5</v>
      </c>
      <c r="M1401">
        <v>0</v>
      </c>
      <c r="N1401">
        <v>0</v>
      </c>
      <c r="O1401">
        <v>0</v>
      </c>
      <c r="P1401" s="117">
        <v>3248878.5</v>
      </c>
      <c r="Q1401" s="117" t="s">
        <v>1021</v>
      </c>
      <c r="R1401" s="150">
        <v>0</v>
      </c>
      <c r="S1401" s="117" t="b">
        <f>OR(COUNTIF(Tabla2[[#This Row],[PROVEEDOR]],"*"&amp;'Palabra no opera'!$A$2&amp;"*"))</f>
        <v>0</v>
      </c>
      <c r="T1401" s="150">
        <f>+$W$5-Tabla2[[#This Row],[FECHA DE FACTURACIÓN]]</f>
        <v>466</v>
      </c>
      <c r="U1401" t="str">
        <f>+IF(Tabla2[[#This Row],[dias de credito]]&gt;=Tabla2[[#This Row],[PLAZO Días]],"venc", "No venc")</f>
        <v>venc</v>
      </c>
      <c r="V1401" t="str">
        <f>+IF(Tabla2[[#This Row],[FECHA DE PAGO]]&gt;0,"pagada","por pagar")</f>
        <v>pagada</v>
      </c>
      <c r="W1401" s="152" t="str">
        <f>+IF(AND(Tabla2[[#This Row],[venc]]="venc",Tabla2[[#This Row],[Columna1]]="por pagar"),"vencida","no")</f>
        <v>no</v>
      </c>
    </row>
    <row r="1402" spans="1:23" x14ac:dyDescent="0.3">
      <c r="A1402">
        <v>30</v>
      </c>
      <c r="B1402">
        <v>0</v>
      </c>
      <c r="D1402" t="s">
        <v>139</v>
      </c>
      <c r="E1402" s="156">
        <v>44408</v>
      </c>
      <c r="F1402" t="s">
        <v>635</v>
      </c>
      <c r="G1402" s="156">
        <v>44408</v>
      </c>
      <c r="H1402" t="s">
        <v>1475</v>
      </c>
      <c r="I1402">
        <v>410000</v>
      </c>
      <c r="K1402">
        <v>0</v>
      </c>
      <c r="M1402">
        <v>0</v>
      </c>
      <c r="N1402">
        <v>0</v>
      </c>
      <c r="O1402">
        <v>0</v>
      </c>
      <c r="P1402" s="117">
        <v>410000</v>
      </c>
      <c r="Q1402" s="117" t="s">
        <v>1021</v>
      </c>
      <c r="R1402" s="150">
        <v>0</v>
      </c>
      <c r="S1402" s="117" t="b">
        <f>OR(COUNTIF(Tabla2[[#This Row],[PROVEEDOR]],"*"&amp;'Palabra no opera'!$A$2&amp;"*"))</f>
        <v>0</v>
      </c>
      <c r="T1402" s="150">
        <f>+$W$5-Tabla2[[#This Row],[FECHA DE FACTURACIÓN]]</f>
        <v>426</v>
      </c>
      <c r="U1402" t="str">
        <f>+IF(Tabla2[[#This Row],[dias de credito]]&gt;=Tabla2[[#This Row],[PLAZO Días]],"venc", "No venc")</f>
        <v>venc</v>
      </c>
      <c r="V1402" t="str">
        <f>+IF(Tabla2[[#This Row],[FECHA DE PAGO]]&gt;0,"pagada","por pagar")</f>
        <v>pagada</v>
      </c>
      <c r="W1402" s="152" t="str">
        <f>+IF(AND(Tabla2[[#This Row],[venc]]="venc",Tabla2[[#This Row],[Columna1]]="por pagar"),"vencida","no")</f>
        <v>no</v>
      </c>
    </row>
    <row r="1403" spans="1:23" x14ac:dyDescent="0.3">
      <c r="A1403">
        <v>30</v>
      </c>
      <c r="B1403">
        <v>0</v>
      </c>
      <c r="D1403" t="s">
        <v>139</v>
      </c>
      <c r="E1403" s="156">
        <v>44408</v>
      </c>
      <c r="F1403" t="s">
        <v>644</v>
      </c>
      <c r="G1403" s="156">
        <v>44408</v>
      </c>
      <c r="H1403" t="s">
        <v>596</v>
      </c>
      <c r="I1403">
        <v>0</v>
      </c>
      <c r="K1403">
        <v>0</v>
      </c>
      <c r="M1403">
        <v>0</v>
      </c>
      <c r="N1403">
        <v>0</v>
      </c>
      <c r="O1403">
        <v>0</v>
      </c>
      <c r="P1403" s="117">
        <v>0</v>
      </c>
      <c r="Q1403" s="117" t="s">
        <v>1021</v>
      </c>
      <c r="R1403" s="150">
        <v>0</v>
      </c>
      <c r="S1403" s="117" t="b">
        <f>OR(COUNTIF(Tabla2[[#This Row],[PROVEEDOR]],"*"&amp;'Palabra no opera'!$A$2&amp;"*"))</f>
        <v>0</v>
      </c>
      <c r="T1403" s="150">
        <f>+$W$5-Tabla2[[#This Row],[FECHA DE FACTURACIÓN]]</f>
        <v>426</v>
      </c>
      <c r="U1403" t="str">
        <f>+IF(Tabla2[[#This Row],[dias de credito]]&gt;=Tabla2[[#This Row],[PLAZO Días]],"venc", "No venc")</f>
        <v>venc</v>
      </c>
      <c r="V1403" t="str">
        <f>+IF(Tabla2[[#This Row],[FECHA DE PAGO]]&gt;0,"pagada","por pagar")</f>
        <v>pagada</v>
      </c>
      <c r="W1403" s="152" t="str">
        <f>+IF(AND(Tabla2[[#This Row],[venc]]="venc",Tabla2[[#This Row],[Columna1]]="por pagar"),"vencida","no")</f>
        <v>no</v>
      </c>
    </row>
    <row r="1404" spans="1:23" x14ac:dyDescent="0.3">
      <c r="A1404">
        <v>30</v>
      </c>
      <c r="B1404">
        <v>0</v>
      </c>
      <c r="D1404" t="s">
        <v>139</v>
      </c>
      <c r="E1404" s="156">
        <v>44408</v>
      </c>
      <c r="F1404" t="s">
        <v>644</v>
      </c>
      <c r="G1404" s="156">
        <v>44408</v>
      </c>
      <c r="H1404" t="s">
        <v>598</v>
      </c>
      <c r="I1404">
        <v>68000</v>
      </c>
      <c r="K1404">
        <v>0</v>
      </c>
      <c r="M1404">
        <v>0</v>
      </c>
      <c r="N1404">
        <v>0</v>
      </c>
      <c r="O1404">
        <v>0</v>
      </c>
      <c r="P1404" s="117">
        <v>68000</v>
      </c>
      <c r="Q1404" s="117" t="s">
        <v>1021</v>
      </c>
      <c r="R1404" s="150">
        <v>0</v>
      </c>
      <c r="S1404" s="117" t="b">
        <f>OR(COUNTIF(Tabla2[[#This Row],[PROVEEDOR]],"*"&amp;'Palabra no opera'!$A$2&amp;"*"))</f>
        <v>0</v>
      </c>
      <c r="T1404" s="150">
        <f>+$W$5-Tabla2[[#This Row],[FECHA DE FACTURACIÓN]]</f>
        <v>426</v>
      </c>
      <c r="U1404" t="str">
        <f>+IF(Tabla2[[#This Row],[dias de credito]]&gt;=Tabla2[[#This Row],[PLAZO Días]],"venc", "No venc")</f>
        <v>venc</v>
      </c>
      <c r="V1404" t="str">
        <f>+IF(Tabla2[[#This Row],[FECHA DE PAGO]]&gt;0,"pagada","por pagar")</f>
        <v>pagada</v>
      </c>
      <c r="W1404" s="152" t="str">
        <f>+IF(AND(Tabla2[[#This Row],[venc]]="venc",Tabla2[[#This Row],[Columna1]]="por pagar"),"vencida","no")</f>
        <v>no</v>
      </c>
    </row>
    <row r="1405" spans="1:23" x14ac:dyDescent="0.3">
      <c r="A1405">
        <v>30</v>
      </c>
      <c r="B1405">
        <v>0</v>
      </c>
      <c r="D1405" t="s">
        <v>139</v>
      </c>
      <c r="E1405" s="156">
        <v>44408</v>
      </c>
      <c r="F1405" t="s">
        <v>644</v>
      </c>
      <c r="G1405" s="156">
        <v>44408</v>
      </c>
      <c r="H1405" t="s">
        <v>174</v>
      </c>
      <c r="I1405">
        <v>114700</v>
      </c>
      <c r="K1405">
        <v>0</v>
      </c>
      <c r="M1405">
        <v>0</v>
      </c>
      <c r="N1405">
        <v>0</v>
      </c>
      <c r="O1405">
        <v>0</v>
      </c>
      <c r="P1405" s="117">
        <v>114700</v>
      </c>
      <c r="Q1405" s="117" t="s">
        <v>1021</v>
      </c>
      <c r="R1405" s="150">
        <v>0</v>
      </c>
      <c r="S1405" s="117" t="b">
        <f>OR(COUNTIF(Tabla2[[#This Row],[PROVEEDOR]],"*"&amp;'Palabra no opera'!$A$2&amp;"*"))</f>
        <v>0</v>
      </c>
      <c r="T1405" s="150">
        <f>+$W$5-Tabla2[[#This Row],[FECHA DE FACTURACIÓN]]</f>
        <v>426</v>
      </c>
      <c r="U1405" t="str">
        <f>+IF(Tabla2[[#This Row],[dias de credito]]&gt;=Tabla2[[#This Row],[PLAZO Días]],"venc", "No venc")</f>
        <v>venc</v>
      </c>
      <c r="V1405" t="str">
        <f>+IF(Tabla2[[#This Row],[FECHA DE PAGO]]&gt;0,"pagada","por pagar")</f>
        <v>pagada</v>
      </c>
      <c r="W1405" s="152" t="str">
        <f>+IF(AND(Tabla2[[#This Row],[venc]]="venc",Tabla2[[#This Row],[Columna1]]="por pagar"),"vencida","no")</f>
        <v>no</v>
      </c>
    </row>
    <row r="1406" spans="1:23" x14ac:dyDescent="0.3">
      <c r="A1406">
        <v>30</v>
      </c>
      <c r="B1406">
        <v>0</v>
      </c>
      <c r="D1406" t="s">
        <v>139</v>
      </c>
      <c r="E1406" s="156">
        <v>44408</v>
      </c>
      <c r="F1406" t="s">
        <v>644</v>
      </c>
      <c r="G1406" s="156">
        <v>44408</v>
      </c>
      <c r="H1406" t="s">
        <v>597</v>
      </c>
      <c r="I1406">
        <v>460100</v>
      </c>
      <c r="K1406">
        <v>0</v>
      </c>
      <c r="M1406">
        <v>0</v>
      </c>
      <c r="N1406">
        <v>0</v>
      </c>
      <c r="O1406">
        <v>0</v>
      </c>
      <c r="P1406" s="117">
        <v>460100</v>
      </c>
      <c r="Q1406" s="117" t="s">
        <v>1021</v>
      </c>
      <c r="R1406" s="150">
        <v>0</v>
      </c>
      <c r="S1406" s="117" t="b">
        <f>OR(COUNTIF(Tabla2[[#This Row],[PROVEEDOR]],"*"&amp;'Palabra no opera'!$A$2&amp;"*"))</f>
        <v>0</v>
      </c>
      <c r="T1406" s="150">
        <f>+$W$5-Tabla2[[#This Row],[FECHA DE FACTURACIÓN]]</f>
        <v>426</v>
      </c>
      <c r="U1406" t="str">
        <f>+IF(Tabla2[[#This Row],[dias de credito]]&gt;=Tabla2[[#This Row],[PLAZO Días]],"venc", "No venc")</f>
        <v>venc</v>
      </c>
      <c r="V1406" t="str">
        <f>+IF(Tabla2[[#This Row],[FECHA DE PAGO]]&gt;0,"pagada","por pagar")</f>
        <v>pagada</v>
      </c>
      <c r="W1406" s="152" t="str">
        <f>+IF(AND(Tabla2[[#This Row],[venc]]="venc",Tabla2[[#This Row],[Columna1]]="por pagar"),"vencida","no")</f>
        <v>no</v>
      </c>
    </row>
    <row r="1407" spans="1:23" x14ac:dyDescent="0.3">
      <c r="A1407">
        <v>30</v>
      </c>
      <c r="B1407">
        <v>0</v>
      </c>
      <c r="D1407" t="s">
        <v>139</v>
      </c>
      <c r="E1407" s="156">
        <v>44408</v>
      </c>
      <c r="F1407" t="s">
        <v>644</v>
      </c>
      <c r="G1407" s="156">
        <v>44408</v>
      </c>
      <c r="H1407" t="s">
        <v>595</v>
      </c>
      <c r="I1407">
        <v>6425000</v>
      </c>
      <c r="K1407">
        <v>0</v>
      </c>
      <c r="M1407">
        <v>0</v>
      </c>
      <c r="N1407">
        <v>0</v>
      </c>
      <c r="O1407">
        <v>0</v>
      </c>
      <c r="P1407" s="117">
        <v>6425000</v>
      </c>
      <c r="Q1407" s="117" t="s">
        <v>1021</v>
      </c>
      <c r="R1407" s="150">
        <v>0</v>
      </c>
      <c r="S1407" s="117" t="b">
        <f>OR(COUNTIF(Tabla2[[#This Row],[PROVEEDOR]],"*"&amp;'Palabra no opera'!$A$2&amp;"*"))</f>
        <v>0</v>
      </c>
      <c r="T1407" s="150">
        <f>+$W$5-Tabla2[[#This Row],[FECHA DE FACTURACIÓN]]</f>
        <v>426</v>
      </c>
      <c r="U1407" t="str">
        <f>+IF(Tabla2[[#This Row],[dias de credito]]&gt;=Tabla2[[#This Row],[PLAZO Días]],"venc", "No venc")</f>
        <v>venc</v>
      </c>
      <c r="V1407" t="str">
        <f>+IF(Tabla2[[#This Row],[FECHA DE PAGO]]&gt;0,"pagada","por pagar")</f>
        <v>pagada</v>
      </c>
      <c r="W1407" s="152" t="str">
        <f>+IF(AND(Tabla2[[#This Row],[venc]]="venc",Tabla2[[#This Row],[Columna1]]="por pagar"),"vencida","no")</f>
        <v>no</v>
      </c>
    </row>
    <row r="1408" spans="1:23" x14ac:dyDescent="0.3">
      <c r="A1408">
        <v>30</v>
      </c>
      <c r="B1408">
        <v>0</v>
      </c>
      <c r="D1408">
        <v>0</v>
      </c>
      <c r="E1408" s="156">
        <v>44408</v>
      </c>
      <c r="F1408" t="s">
        <v>668</v>
      </c>
      <c r="G1408" s="156">
        <v>44408</v>
      </c>
      <c r="I1408">
        <v>378000</v>
      </c>
      <c r="K1408">
        <v>0</v>
      </c>
      <c r="M1408">
        <v>0</v>
      </c>
      <c r="N1408">
        <v>0</v>
      </c>
      <c r="O1408">
        <v>0</v>
      </c>
      <c r="P1408" s="117">
        <v>378000</v>
      </c>
      <c r="Q1408" s="117" t="s">
        <v>1021</v>
      </c>
      <c r="R1408" s="150">
        <v>0</v>
      </c>
      <c r="S1408" s="117" t="b">
        <f>OR(COUNTIF(Tabla2[[#This Row],[PROVEEDOR]],"*"&amp;'Palabra no opera'!$A$2&amp;"*"))</f>
        <v>0</v>
      </c>
      <c r="T1408" s="150">
        <f>+$W$5-Tabla2[[#This Row],[FECHA DE FACTURACIÓN]]</f>
        <v>426</v>
      </c>
      <c r="U1408" t="str">
        <f>+IF(Tabla2[[#This Row],[dias de credito]]&gt;=Tabla2[[#This Row],[PLAZO Días]],"venc", "No venc")</f>
        <v>venc</v>
      </c>
      <c r="V1408" t="str">
        <f>+IF(Tabla2[[#This Row],[FECHA DE PAGO]]&gt;0,"pagada","por pagar")</f>
        <v>pagada</v>
      </c>
      <c r="W1408" s="152" t="str">
        <f>+IF(AND(Tabla2[[#This Row],[venc]]="venc",Tabla2[[#This Row],[Columna1]]="por pagar"),"vencida","no")</f>
        <v>no</v>
      </c>
    </row>
    <row r="1409" spans="1:23" x14ac:dyDescent="0.3">
      <c r="A1409">
        <v>30</v>
      </c>
      <c r="B1409">
        <v>3450150</v>
      </c>
      <c r="D1409" t="s">
        <v>402</v>
      </c>
      <c r="E1409" s="156">
        <v>44408</v>
      </c>
      <c r="F1409" t="s">
        <v>691</v>
      </c>
      <c r="G1409" s="156">
        <v>44336</v>
      </c>
      <c r="H1409" t="s">
        <v>1230</v>
      </c>
      <c r="I1409">
        <v>773500</v>
      </c>
      <c r="K1409">
        <v>0</v>
      </c>
      <c r="M1409">
        <v>0</v>
      </c>
      <c r="N1409">
        <v>0</v>
      </c>
      <c r="O1409">
        <v>0</v>
      </c>
      <c r="P1409" s="117">
        <v>773500</v>
      </c>
      <c r="Q1409" s="117" t="s">
        <v>1021</v>
      </c>
      <c r="R1409" s="150">
        <v>0</v>
      </c>
      <c r="S1409" s="117" t="b">
        <f>OR(COUNTIF(Tabla2[[#This Row],[PROVEEDOR]],"*"&amp;'Palabra no opera'!$A$2&amp;"*"))</f>
        <v>0</v>
      </c>
      <c r="T1409" s="150">
        <f>+$W$5-Tabla2[[#This Row],[FECHA DE FACTURACIÓN]]</f>
        <v>498</v>
      </c>
      <c r="U1409" t="str">
        <f>+IF(Tabla2[[#This Row],[dias de credito]]&gt;=Tabla2[[#This Row],[PLAZO Días]],"venc", "No venc")</f>
        <v>venc</v>
      </c>
      <c r="V1409" t="str">
        <f>+IF(Tabla2[[#This Row],[FECHA DE PAGO]]&gt;0,"pagada","por pagar")</f>
        <v>pagada</v>
      </c>
      <c r="W1409" s="152" t="str">
        <f>+IF(AND(Tabla2[[#This Row],[venc]]="venc",Tabla2[[#This Row],[Columna1]]="por pagar"),"vencida","no")</f>
        <v>no</v>
      </c>
    </row>
    <row r="1410" spans="1:23" x14ac:dyDescent="0.3">
      <c r="A1410">
        <v>30</v>
      </c>
      <c r="B1410">
        <v>0</v>
      </c>
      <c r="D1410" t="s">
        <v>139</v>
      </c>
      <c r="E1410" s="156">
        <v>44407</v>
      </c>
      <c r="F1410" t="s">
        <v>644</v>
      </c>
      <c r="G1410" s="156">
        <v>44407</v>
      </c>
      <c r="H1410" t="s">
        <v>1472</v>
      </c>
      <c r="I1410">
        <v>95000</v>
      </c>
      <c r="K1410">
        <v>0</v>
      </c>
      <c r="M1410">
        <v>0</v>
      </c>
      <c r="N1410">
        <v>0</v>
      </c>
      <c r="O1410">
        <v>0</v>
      </c>
      <c r="P1410" s="117">
        <v>95000</v>
      </c>
      <c r="Q1410" s="117" t="s">
        <v>1021</v>
      </c>
      <c r="R1410" s="150">
        <v>0</v>
      </c>
      <c r="S1410" s="117" t="b">
        <f>OR(COUNTIF(Tabla2[[#This Row],[PROVEEDOR]],"*"&amp;'Palabra no opera'!$A$2&amp;"*"))</f>
        <v>0</v>
      </c>
      <c r="T1410" s="150">
        <f>+$W$5-Tabla2[[#This Row],[FECHA DE FACTURACIÓN]]</f>
        <v>427</v>
      </c>
      <c r="U1410" t="str">
        <f>+IF(Tabla2[[#This Row],[dias de credito]]&gt;=Tabla2[[#This Row],[PLAZO Días]],"venc", "No venc")</f>
        <v>venc</v>
      </c>
      <c r="V1410" t="str">
        <f>+IF(Tabla2[[#This Row],[FECHA DE PAGO]]&gt;0,"pagada","por pagar")</f>
        <v>pagada</v>
      </c>
      <c r="W1410" s="152" t="str">
        <f>+IF(AND(Tabla2[[#This Row],[venc]]="venc",Tabla2[[#This Row],[Columna1]]="por pagar"),"vencida","no")</f>
        <v>no</v>
      </c>
    </row>
    <row r="1411" spans="1:23" x14ac:dyDescent="0.3">
      <c r="A1411">
        <v>30</v>
      </c>
      <c r="B1411">
        <v>0</v>
      </c>
      <c r="D1411" t="s">
        <v>139</v>
      </c>
      <c r="E1411" s="156">
        <v>44407</v>
      </c>
      <c r="F1411" t="s">
        <v>644</v>
      </c>
      <c r="G1411" s="156">
        <v>44407</v>
      </c>
      <c r="H1411" t="s">
        <v>1274</v>
      </c>
      <c r="I1411">
        <v>96000</v>
      </c>
      <c r="K1411">
        <v>0</v>
      </c>
      <c r="M1411">
        <v>0</v>
      </c>
      <c r="N1411">
        <v>0</v>
      </c>
      <c r="O1411">
        <v>0</v>
      </c>
      <c r="P1411" s="117">
        <v>96000</v>
      </c>
      <c r="Q1411" s="117" t="s">
        <v>1021</v>
      </c>
      <c r="R1411" s="150">
        <v>0</v>
      </c>
      <c r="S1411" s="117" t="b">
        <f>OR(COUNTIF(Tabla2[[#This Row],[PROVEEDOR]],"*"&amp;'Palabra no opera'!$A$2&amp;"*"))</f>
        <v>0</v>
      </c>
      <c r="T1411" s="150">
        <f>+$W$5-Tabla2[[#This Row],[FECHA DE FACTURACIÓN]]</f>
        <v>427</v>
      </c>
      <c r="U1411" t="str">
        <f>+IF(Tabla2[[#This Row],[dias de credito]]&gt;=Tabla2[[#This Row],[PLAZO Días]],"venc", "No venc")</f>
        <v>venc</v>
      </c>
      <c r="V1411" t="str">
        <f>+IF(Tabla2[[#This Row],[FECHA DE PAGO]]&gt;0,"pagada","por pagar")</f>
        <v>pagada</v>
      </c>
      <c r="W1411" s="152" t="str">
        <f>+IF(AND(Tabla2[[#This Row],[venc]]="venc",Tabla2[[#This Row],[Columna1]]="por pagar"),"vencida","no")</f>
        <v>no</v>
      </c>
    </row>
    <row r="1412" spans="1:23" x14ac:dyDescent="0.3">
      <c r="A1412">
        <v>30</v>
      </c>
      <c r="B1412">
        <v>0</v>
      </c>
      <c r="D1412" t="s">
        <v>139</v>
      </c>
      <c r="E1412" s="156">
        <v>44407</v>
      </c>
      <c r="F1412" t="s">
        <v>644</v>
      </c>
      <c r="G1412" s="156">
        <v>44407</v>
      </c>
      <c r="H1412" t="s">
        <v>1473</v>
      </c>
      <c r="I1412">
        <v>150000</v>
      </c>
      <c r="K1412">
        <v>0</v>
      </c>
      <c r="M1412">
        <v>0</v>
      </c>
      <c r="N1412">
        <v>0</v>
      </c>
      <c r="O1412">
        <v>0</v>
      </c>
      <c r="P1412" s="117">
        <v>150000</v>
      </c>
      <c r="Q1412" s="117" t="s">
        <v>1021</v>
      </c>
      <c r="R1412" s="150">
        <v>0</v>
      </c>
      <c r="S1412" s="117" t="b">
        <f>OR(COUNTIF(Tabla2[[#This Row],[PROVEEDOR]],"*"&amp;'Palabra no opera'!$A$2&amp;"*"))</f>
        <v>0</v>
      </c>
      <c r="T1412" s="150">
        <f>+$W$5-Tabla2[[#This Row],[FECHA DE FACTURACIÓN]]</f>
        <v>427</v>
      </c>
      <c r="U1412" t="str">
        <f>+IF(Tabla2[[#This Row],[dias de credito]]&gt;=Tabla2[[#This Row],[PLAZO Días]],"venc", "No venc")</f>
        <v>venc</v>
      </c>
      <c r="V1412" t="str">
        <f>+IF(Tabla2[[#This Row],[FECHA DE PAGO]]&gt;0,"pagada","por pagar")</f>
        <v>pagada</v>
      </c>
      <c r="W1412" s="152" t="str">
        <f>+IF(AND(Tabla2[[#This Row],[venc]]="venc",Tabla2[[#This Row],[Columna1]]="por pagar"),"vencida","no")</f>
        <v>no</v>
      </c>
    </row>
    <row r="1413" spans="1:23" x14ac:dyDescent="0.3">
      <c r="A1413">
        <v>45</v>
      </c>
      <c r="B1413">
        <v>30078253.170000002</v>
      </c>
      <c r="D1413" t="s">
        <v>884</v>
      </c>
      <c r="E1413" s="156">
        <v>44407</v>
      </c>
      <c r="F1413" t="s">
        <v>19</v>
      </c>
      <c r="G1413" s="156">
        <v>44351</v>
      </c>
      <c r="H1413" t="s">
        <v>343</v>
      </c>
      <c r="I1413">
        <v>1540080</v>
      </c>
      <c r="K1413">
        <v>292615.2</v>
      </c>
      <c r="M1413">
        <v>0</v>
      </c>
      <c r="N1413">
        <v>0</v>
      </c>
      <c r="O1413">
        <v>0</v>
      </c>
      <c r="P1413" s="117">
        <v>1832695.2</v>
      </c>
      <c r="Q1413" s="117" t="s">
        <v>1021</v>
      </c>
      <c r="R1413" s="150">
        <v>0</v>
      </c>
      <c r="S1413" s="117" t="b">
        <f>OR(COUNTIF(Tabla2[[#This Row],[PROVEEDOR]],"*"&amp;'Palabra no opera'!$A$2&amp;"*"))</f>
        <v>0</v>
      </c>
      <c r="T1413" s="150">
        <f>+$W$5-Tabla2[[#This Row],[FECHA DE FACTURACIÓN]]</f>
        <v>483</v>
      </c>
      <c r="U1413" t="str">
        <f>+IF(Tabla2[[#This Row],[dias de credito]]&gt;=Tabla2[[#This Row],[PLAZO Días]],"venc", "No venc")</f>
        <v>venc</v>
      </c>
      <c r="V1413" t="str">
        <f>+IF(Tabla2[[#This Row],[FECHA DE PAGO]]&gt;0,"pagada","por pagar")</f>
        <v>pagada</v>
      </c>
      <c r="W1413" s="152" t="str">
        <f>+IF(AND(Tabla2[[#This Row],[venc]]="venc",Tabla2[[#This Row],[Columna1]]="por pagar"),"vencida","no")</f>
        <v>no</v>
      </c>
    </row>
    <row r="1414" spans="1:23" x14ac:dyDescent="0.3">
      <c r="A1414">
        <v>30</v>
      </c>
      <c r="B1414">
        <v>0</v>
      </c>
      <c r="D1414" t="s">
        <v>547</v>
      </c>
      <c r="E1414" s="156">
        <v>44404</v>
      </c>
      <c r="F1414" t="s">
        <v>905</v>
      </c>
      <c r="G1414" s="156">
        <v>44379</v>
      </c>
      <c r="H1414" t="s">
        <v>439</v>
      </c>
      <c r="I1414">
        <v>4672109</v>
      </c>
      <c r="J1414">
        <v>132825</v>
      </c>
      <c r="K1414">
        <v>862463.96</v>
      </c>
      <c r="M1414">
        <v>0</v>
      </c>
      <c r="N1414">
        <v>0</v>
      </c>
      <c r="O1414">
        <v>0</v>
      </c>
      <c r="P1414" s="117">
        <v>5401747.96</v>
      </c>
      <c r="Q1414" s="117" t="s">
        <v>1021</v>
      </c>
      <c r="R1414" s="150">
        <v>0</v>
      </c>
      <c r="S1414" s="117" t="b">
        <f>OR(COUNTIF(Tabla2[[#This Row],[PROVEEDOR]],"*"&amp;'Palabra no opera'!$A$2&amp;"*"))</f>
        <v>1</v>
      </c>
      <c r="T1414" s="150">
        <f>+$W$5-Tabla2[[#This Row],[FECHA DE FACTURACIÓN]]</f>
        <v>455</v>
      </c>
      <c r="U1414" t="str">
        <f>+IF(Tabla2[[#This Row],[dias de credito]]&gt;=Tabla2[[#This Row],[PLAZO Días]],"venc", "No venc")</f>
        <v>venc</v>
      </c>
      <c r="V1414" t="str">
        <f>+IF(Tabla2[[#This Row],[FECHA DE PAGO]]&gt;0,"pagada","por pagar")</f>
        <v>pagada</v>
      </c>
      <c r="W1414" s="152" t="str">
        <f>+IF(AND(Tabla2[[#This Row],[venc]]="venc",Tabla2[[#This Row],[Columna1]]="por pagar"),"vencida","no")</f>
        <v>no</v>
      </c>
    </row>
    <row r="1415" spans="1:23" x14ac:dyDescent="0.3">
      <c r="A1415">
        <v>30</v>
      </c>
      <c r="B1415">
        <v>0</v>
      </c>
      <c r="D1415">
        <v>0</v>
      </c>
      <c r="E1415" s="156">
        <v>44404</v>
      </c>
      <c r="F1415" t="s">
        <v>919</v>
      </c>
      <c r="G1415" s="156">
        <v>44366</v>
      </c>
      <c r="H1415" t="s">
        <v>1254</v>
      </c>
      <c r="I1415">
        <v>1264021</v>
      </c>
      <c r="K1415">
        <v>0</v>
      </c>
      <c r="M1415">
        <v>0</v>
      </c>
      <c r="N1415">
        <v>0</v>
      </c>
      <c r="O1415">
        <v>0</v>
      </c>
      <c r="P1415" s="117">
        <v>1264021</v>
      </c>
      <c r="Q1415" s="117" t="s">
        <v>1021</v>
      </c>
      <c r="R1415" s="150">
        <v>0</v>
      </c>
      <c r="S1415" s="117" t="b">
        <f>OR(COUNTIF(Tabla2[[#This Row],[PROVEEDOR]],"*"&amp;'Palabra no opera'!$A$2&amp;"*"))</f>
        <v>1</v>
      </c>
      <c r="T1415" s="150">
        <f>+$W$5-Tabla2[[#This Row],[FECHA DE FACTURACIÓN]]</f>
        <v>468</v>
      </c>
      <c r="U1415" t="str">
        <f>+IF(Tabla2[[#This Row],[dias de credito]]&gt;=Tabla2[[#This Row],[PLAZO Días]],"venc", "No venc")</f>
        <v>venc</v>
      </c>
      <c r="V1415" t="str">
        <f>+IF(Tabla2[[#This Row],[FECHA DE PAGO]]&gt;0,"pagada","por pagar")</f>
        <v>pagada</v>
      </c>
      <c r="W1415" s="152" t="str">
        <f>+IF(AND(Tabla2[[#This Row],[venc]]="venc",Tabla2[[#This Row],[Columna1]]="por pagar"),"vencida","no")</f>
        <v>no</v>
      </c>
    </row>
    <row r="1416" spans="1:23" x14ac:dyDescent="0.3">
      <c r="A1416">
        <v>30</v>
      </c>
      <c r="B1416">
        <v>0</v>
      </c>
      <c r="D1416" t="s">
        <v>139</v>
      </c>
      <c r="E1416" s="156">
        <v>44403</v>
      </c>
      <c r="F1416" t="s">
        <v>673</v>
      </c>
      <c r="G1416" s="156">
        <v>44403</v>
      </c>
      <c r="I1416">
        <v>1000000</v>
      </c>
      <c r="K1416">
        <v>0</v>
      </c>
      <c r="M1416">
        <v>0</v>
      </c>
      <c r="N1416">
        <v>0</v>
      </c>
      <c r="O1416">
        <v>0</v>
      </c>
      <c r="P1416" s="117">
        <v>1000000</v>
      </c>
      <c r="Q1416" s="117" t="s">
        <v>1021</v>
      </c>
      <c r="R1416" s="150">
        <v>0</v>
      </c>
      <c r="S1416" s="117" t="b">
        <f>OR(COUNTIF(Tabla2[[#This Row],[PROVEEDOR]],"*"&amp;'Palabra no opera'!$A$2&amp;"*"))</f>
        <v>0</v>
      </c>
      <c r="T1416" s="150">
        <f>+$W$5-Tabla2[[#This Row],[FECHA DE FACTURACIÓN]]</f>
        <v>431</v>
      </c>
      <c r="U1416" t="str">
        <f>+IF(Tabla2[[#This Row],[dias de credito]]&gt;=Tabla2[[#This Row],[PLAZO Días]],"venc", "No venc")</f>
        <v>venc</v>
      </c>
      <c r="V1416" t="str">
        <f>+IF(Tabla2[[#This Row],[FECHA DE PAGO]]&gt;0,"pagada","por pagar")</f>
        <v>pagada</v>
      </c>
      <c r="W1416" s="152" t="str">
        <f>+IF(AND(Tabla2[[#This Row],[venc]]="venc",Tabla2[[#This Row],[Columna1]]="por pagar"),"vencida","no")</f>
        <v>no</v>
      </c>
    </row>
    <row r="1417" spans="1:23" x14ac:dyDescent="0.3">
      <c r="A1417">
        <v>30</v>
      </c>
      <c r="B1417">
        <v>326474.88</v>
      </c>
      <c r="D1417" t="s">
        <v>949</v>
      </c>
      <c r="E1417" s="156">
        <v>44403</v>
      </c>
      <c r="F1417" t="s">
        <v>345</v>
      </c>
      <c r="G1417" s="156">
        <v>44389</v>
      </c>
      <c r="H1417" t="s">
        <v>416</v>
      </c>
      <c r="I1417">
        <v>69726</v>
      </c>
      <c r="K1417">
        <v>0</v>
      </c>
      <c r="M1417">
        <v>0</v>
      </c>
      <c r="N1417">
        <v>0</v>
      </c>
      <c r="O1417">
        <v>0</v>
      </c>
      <c r="P1417" s="117">
        <v>69726</v>
      </c>
      <c r="Q1417" s="117" t="s">
        <v>1021</v>
      </c>
      <c r="R1417" s="150">
        <v>0</v>
      </c>
      <c r="S1417" s="117" t="b">
        <f>OR(COUNTIF(Tabla2[[#This Row],[PROVEEDOR]],"*"&amp;'Palabra no opera'!$A$2&amp;"*"))</f>
        <v>0</v>
      </c>
      <c r="T1417" s="150">
        <f>+$W$5-Tabla2[[#This Row],[FECHA DE FACTURACIÓN]]</f>
        <v>445</v>
      </c>
      <c r="U1417" t="str">
        <f>+IF(Tabla2[[#This Row],[dias de credito]]&gt;=Tabla2[[#This Row],[PLAZO Días]],"venc", "No venc")</f>
        <v>venc</v>
      </c>
      <c r="V1417" t="str">
        <f>+IF(Tabla2[[#This Row],[FECHA DE PAGO]]&gt;0,"pagada","por pagar")</f>
        <v>pagada</v>
      </c>
      <c r="W1417" s="152" t="str">
        <f>+IF(AND(Tabla2[[#This Row],[venc]]="venc",Tabla2[[#This Row],[Columna1]]="por pagar"),"vencida","no")</f>
        <v>no</v>
      </c>
    </row>
    <row r="1418" spans="1:23" x14ac:dyDescent="0.3">
      <c r="A1418">
        <v>30</v>
      </c>
      <c r="B1418">
        <v>0</v>
      </c>
      <c r="D1418" t="s">
        <v>258</v>
      </c>
      <c r="E1418" s="156">
        <v>44403</v>
      </c>
      <c r="F1418" t="s">
        <v>65</v>
      </c>
      <c r="G1418" s="156">
        <v>44368</v>
      </c>
      <c r="H1418">
        <v>66</v>
      </c>
      <c r="I1418">
        <v>1592437</v>
      </c>
      <c r="K1418">
        <v>302563.03000000003</v>
      </c>
      <c r="M1418">
        <v>0</v>
      </c>
      <c r="N1418">
        <v>2.5000000000000001E-2</v>
      </c>
      <c r="O1418">
        <v>39810.925000000003</v>
      </c>
      <c r="P1418" s="117">
        <v>1855189.105</v>
      </c>
      <c r="Q1418" s="117" t="s">
        <v>1021</v>
      </c>
      <c r="R1418" s="150">
        <v>0</v>
      </c>
      <c r="S1418" s="117" t="b">
        <f>OR(COUNTIF(Tabla2[[#This Row],[PROVEEDOR]],"*"&amp;'Palabra no opera'!$A$2&amp;"*"))</f>
        <v>0</v>
      </c>
      <c r="T1418" s="150">
        <f>+$W$5-Tabla2[[#This Row],[FECHA DE FACTURACIÓN]]</f>
        <v>466</v>
      </c>
      <c r="U1418" t="str">
        <f>+IF(Tabla2[[#This Row],[dias de credito]]&gt;=Tabla2[[#This Row],[PLAZO Días]],"venc", "No venc")</f>
        <v>venc</v>
      </c>
      <c r="V1418" t="str">
        <f>+IF(Tabla2[[#This Row],[FECHA DE PAGO]]&gt;0,"pagada","por pagar")</f>
        <v>pagada</v>
      </c>
      <c r="W1418" s="152" t="str">
        <f>+IF(AND(Tabla2[[#This Row],[venc]]="venc",Tabla2[[#This Row],[Columna1]]="por pagar"),"vencida","no")</f>
        <v>no</v>
      </c>
    </row>
    <row r="1419" spans="1:23" x14ac:dyDescent="0.3">
      <c r="A1419">
        <v>30</v>
      </c>
      <c r="B1419">
        <v>19675613.1195</v>
      </c>
      <c r="D1419" t="s">
        <v>256</v>
      </c>
      <c r="E1419" s="156">
        <v>44403</v>
      </c>
      <c r="F1419" t="s">
        <v>18</v>
      </c>
      <c r="G1419" s="156">
        <v>44365</v>
      </c>
      <c r="H1419">
        <v>1039175</v>
      </c>
      <c r="I1419">
        <v>5950201.4400000004</v>
      </c>
      <c r="K1419">
        <v>1130538.2736000002</v>
      </c>
      <c r="M1419">
        <v>0</v>
      </c>
      <c r="N1419">
        <v>2.5000000000000001E-2</v>
      </c>
      <c r="O1419">
        <v>148755.03600000002</v>
      </c>
      <c r="P1419" s="117">
        <v>6931984.6776000001</v>
      </c>
      <c r="Q1419" s="117" t="s">
        <v>1021</v>
      </c>
      <c r="R1419" s="150">
        <v>0</v>
      </c>
      <c r="S1419" s="117" t="b">
        <f>OR(COUNTIF(Tabla2[[#This Row],[PROVEEDOR]],"*"&amp;'Palabra no opera'!$A$2&amp;"*"))</f>
        <v>0</v>
      </c>
      <c r="T1419" s="150">
        <f>+$W$5-Tabla2[[#This Row],[FECHA DE FACTURACIÓN]]</f>
        <v>469</v>
      </c>
      <c r="U1419" t="str">
        <f>+IF(Tabla2[[#This Row],[dias de credito]]&gt;=Tabla2[[#This Row],[PLAZO Días]],"venc", "No venc")</f>
        <v>venc</v>
      </c>
      <c r="V1419" t="str">
        <f>+IF(Tabla2[[#This Row],[FECHA DE PAGO]]&gt;0,"pagada","por pagar")</f>
        <v>pagada</v>
      </c>
      <c r="W1419" s="152" t="str">
        <f>+IF(AND(Tabla2[[#This Row],[venc]]="venc",Tabla2[[#This Row],[Columna1]]="por pagar"),"vencida","no")</f>
        <v>no</v>
      </c>
    </row>
    <row r="1420" spans="1:23" x14ac:dyDescent="0.3">
      <c r="A1420">
        <v>30</v>
      </c>
      <c r="B1420">
        <v>8457900</v>
      </c>
      <c r="D1420" t="s">
        <v>1027</v>
      </c>
      <c r="E1420" s="156">
        <v>44403</v>
      </c>
      <c r="F1420" t="s">
        <v>11</v>
      </c>
      <c r="G1420" s="156">
        <v>44355</v>
      </c>
      <c r="H1420" t="s">
        <v>348</v>
      </c>
      <c r="I1420">
        <v>126050</v>
      </c>
      <c r="K1420">
        <v>23949.5</v>
      </c>
      <c r="M1420">
        <v>0</v>
      </c>
      <c r="N1420">
        <v>0</v>
      </c>
      <c r="O1420">
        <v>0</v>
      </c>
      <c r="P1420" s="117">
        <v>149999.5</v>
      </c>
      <c r="Q1420" s="117" t="s">
        <v>1021</v>
      </c>
      <c r="R1420" s="150">
        <v>0</v>
      </c>
      <c r="S1420" s="117" t="b">
        <f>OR(COUNTIF(Tabla2[[#This Row],[PROVEEDOR]],"*"&amp;'Palabra no opera'!$A$2&amp;"*"))</f>
        <v>0</v>
      </c>
      <c r="T1420" s="150">
        <f>+$W$5-Tabla2[[#This Row],[FECHA DE FACTURACIÓN]]</f>
        <v>479</v>
      </c>
      <c r="U1420" t="str">
        <f>+IF(Tabla2[[#This Row],[dias de credito]]&gt;=Tabla2[[#This Row],[PLAZO Días]],"venc", "No venc")</f>
        <v>venc</v>
      </c>
      <c r="V1420" t="str">
        <f>+IF(Tabla2[[#This Row],[FECHA DE PAGO]]&gt;0,"pagada","por pagar")</f>
        <v>pagada</v>
      </c>
      <c r="W1420" s="152" t="str">
        <f>+IF(AND(Tabla2[[#This Row],[venc]]="venc",Tabla2[[#This Row],[Columna1]]="por pagar"),"vencida","no")</f>
        <v>no</v>
      </c>
    </row>
    <row r="1421" spans="1:23" x14ac:dyDescent="0.3">
      <c r="A1421">
        <v>30</v>
      </c>
      <c r="B1421">
        <v>0</v>
      </c>
      <c r="D1421" t="s">
        <v>290</v>
      </c>
      <c r="E1421" s="156">
        <v>44403</v>
      </c>
      <c r="F1421" t="s">
        <v>47</v>
      </c>
      <c r="G1421" s="156">
        <v>44352</v>
      </c>
      <c r="H1421">
        <v>28795</v>
      </c>
      <c r="I1421">
        <v>910879</v>
      </c>
      <c r="K1421">
        <v>173067.01</v>
      </c>
      <c r="M1421">
        <v>0</v>
      </c>
      <c r="N1421">
        <v>0</v>
      </c>
      <c r="O1421">
        <v>0</v>
      </c>
      <c r="P1421" s="117">
        <v>1083946.01</v>
      </c>
      <c r="Q1421" s="117" t="s">
        <v>1021</v>
      </c>
      <c r="R1421" s="150">
        <v>0</v>
      </c>
      <c r="S1421" s="117" t="b">
        <f>OR(COUNTIF(Tabla2[[#This Row],[PROVEEDOR]],"*"&amp;'Palabra no opera'!$A$2&amp;"*"))</f>
        <v>0</v>
      </c>
      <c r="T1421" s="150">
        <f>+$W$5-Tabla2[[#This Row],[FECHA DE FACTURACIÓN]]</f>
        <v>482</v>
      </c>
      <c r="U1421" t="str">
        <f>+IF(Tabla2[[#This Row],[dias de credito]]&gt;=Tabla2[[#This Row],[PLAZO Días]],"venc", "No venc")</f>
        <v>venc</v>
      </c>
      <c r="V1421" t="str">
        <f>+IF(Tabla2[[#This Row],[FECHA DE PAGO]]&gt;0,"pagada","por pagar")</f>
        <v>pagada</v>
      </c>
      <c r="W1421" s="152" t="str">
        <f>+IF(AND(Tabla2[[#This Row],[venc]]="venc",Tabla2[[#This Row],[Columna1]]="por pagar"),"vencida","no")</f>
        <v>no</v>
      </c>
    </row>
    <row r="1422" spans="1:23" x14ac:dyDescent="0.3">
      <c r="A1422">
        <v>30</v>
      </c>
      <c r="B1422">
        <v>0</v>
      </c>
      <c r="D1422" t="s">
        <v>290</v>
      </c>
      <c r="E1422" s="156">
        <v>44403</v>
      </c>
      <c r="F1422" t="s">
        <v>47</v>
      </c>
      <c r="G1422" s="156">
        <v>44352</v>
      </c>
      <c r="H1422" t="s">
        <v>363</v>
      </c>
      <c r="I1422">
        <v>-42300</v>
      </c>
      <c r="K1422">
        <v>-8037</v>
      </c>
      <c r="M1422">
        <v>0</v>
      </c>
      <c r="N1422">
        <v>0</v>
      </c>
      <c r="O1422">
        <v>0</v>
      </c>
      <c r="P1422" s="117">
        <v>-50337</v>
      </c>
      <c r="Q1422" s="117" t="s">
        <v>1021</v>
      </c>
      <c r="R1422" s="150">
        <v>0</v>
      </c>
      <c r="S1422" s="117" t="b">
        <f>OR(COUNTIF(Tabla2[[#This Row],[PROVEEDOR]],"*"&amp;'Palabra no opera'!$A$2&amp;"*"))</f>
        <v>0</v>
      </c>
      <c r="T1422" s="150">
        <f>+$W$5-Tabla2[[#This Row],[FECHA DE FACTURACIÓN]]</f>
        <v>482</v>
      </c>
      <c r="U1422" t="str">
        <f>+IF(Tabla2[[#This Row],[dias de credito]]&gt;=Tabla2[[#This Row],[PLAZO Días]],"venc", "No venc")</f>
        <v>venc</v>
      </c>
      <c r="V1422" t="str">
        <f>+IF(Tabla2[[#This Row],[FECHA DE PAGO]]&gt;0,"pagada","por pagar")</f>
        <v>pagada</v>
      </c>
      <c r="W1422" s="152" t="str">
        <f>+IF(AND(Tabla2[[#This Row],[venc]]="venc",Tabla2[[#This Row],[Columna1]]="por pagar"),"vencida","no")</f>
        <v>no</v>
      </c>
    </row>
    <row r="1423" spans="1:23" x14ac:dyDescent="0.3">
      <c r="A1423">
        <v>20</v>
      </c>
      <c r="B1423">
        <v>0</v>
      </c>
      <c r="D1423">
        <v>0</v>
      </c>
      <c r="E1423" s="156">
        <v>44400</v>
      </c>
      <c r="F1423" t="s">
        <v>672</v>
      </c>
      <c r="G1423" s="156">
        <v>44363</v>
      </c>
      <c r="H1423" t="s">
        <v>1249</v>
      </c>
      <c r="I1423">
        <v>1035000</v>
      </c>
      <c r="K1423">
        <v>0</v>
      </c>
      <c r="M1423">
        <v>0</v>
      </c>
      <c r="N1423">
        <v>0</v>
      </c>
      <c r="O1423">
        <v>0</v>
      </c>
      <c r="P1423" s="117">
        <v>1035000</v>
      </c>
      <c r="Q1423" s="117" t="s">
        <v>1021</v>
      </c>
      <c r="R1423" s="150">
        <v>0</v>
      </c>
      <c r="S1423" s="117" t="b">
        <f>OR(COUNTIF(Tabla2[[#This Row],[PROVEEDOR]],"*"&amp;'Palabra no opera'!$A$2&amp;"*"))</f>
        <v>0</v>
      </c>
      <c r="T1423" s="150">
        <f>+$W$5-Tabla2[[#This Row],[FECHA DE FACTURACIÓN]]</f>
        <v>471</v>
      </c>
      <c r="U1423" t="str">
        <f>+IF(Tabla2[[#This Row],[dias de credito]]&gt;=Tabla2[[#This Row],[PLAZO Días]],"venc", "No venc")</f>
        <v>venc</v>
      </c>
      <c r="V1423" t="str">
        <f>+IF(Tabla2[[#This Row],[FECHA DE PAGO]]&gt;0,"pagada","por pagar")</f>
        <v>pagada</v>
      </c>
      <c r="W1423" s="152" t="str">
        <f>+IF(AND(Tabla2[[#This Row],[venc]]="venc",Tabla2[[#This Row],[Columna1]]="por pagar"),"vencida","no")</f>
        <v>no</v>
      </c>
    </row>
    <row r="1424" spans="1:23" x14ac:dyDescent="0.3">
      <c r="A1424">
        <v>30</v>
      </c>
      <c r="B1424">
        <v>0</v>
      </c>
      <c r="D1424" t="s">
        <v>141</v>
      </c>
      <c r="E1424" s="156">
        <v>44399</v>
      </c>
      <c r="F1424" t="s">
        <v>935</v>
      </c>
      <c r="G1424" s="156">
        <v>44378</v>
      </c>
      <c r="I1424">
        <v>326232</v>
      </c>
      <c r="K1424">
        <v>0</v>
      </c>
      <c r="M1424">
        <v>0</v>
      </c>
      <c r="N1424">
        <v>0</v>
      </c>
      <c r="O1424">
        <v>0</v>
      </c>
      <c r="P1424" s="117">
        <v>326232</v>
      </c>
      <c r="Q1424" s="117" t="s">
        <v>1021</v>
      </c>
      <c r="R1424" s="150">
        <v>0</v>
      </c>
      <c r="S1424" s="117" t="b">
        <f>OR(COUNTIF(Tabla2[[#This Row],[PROVEEDOR]],"*"&amp;'Palabra no opera'!$A$2&amp;"*"))</f>
        <v>1</v>
      </c>
      <c r="T1424" s="150">
        <f>+$W$5-Tabla2[[#This Row],[FECHA DE FACTURACIÓN]]</f>
        <v>456</v>
      </c>
      <c r="U1424" t="str">
        <f>+IF(Tabla2[[#This Row],[dias de credito]]&gt;=Tabla2[[#This Row],[PLAZO Días]],"venc", "No venc")</f>
        <v>venc</v>
      </c>
      <c r="V1424" t="str">
        <f>+IF(Tabla2[[#This Row],[FECHA DE PAGO]]&gt;0,"pagada","por pagar")</f>
        <v>pagada</v>
      </c>
      <c r="W1424" s="152" t="str">
        <f>+IF(AND(Tabla2[[#This Row],[venc]]="venc",Tabla2[[#This Row],[Columna1]]="por pagar"),"vencida","no")</f>
        <v>no</v>
      </c>
    </row>
    <row r="1425" spans="1:23" x14ac:dyDescent="0.3">
      <c r="A1425">
        <v>30</v>
      </c>
      <c r="B1425">
        <v>749999.88</v>
      </c>
      <c r="D1425" t="s">
        <v>249</v>
      </c>
      <c r="E1425" s="156">
        <v>44398</v>
      </c>
      <c r="F1425" t="s">
        <v>49</v>
      </c>
      <c r="G1425" s="156">
        <v>44357</v>
      </c>
      <c r="H1425">
        <v>2717</v>
      </c>
      <c r="I1425">
        <v>3240000</v>
      </c>
      <c r="K1425">
        <v>615600</v>
      </c>
      <c r="M1425">
        <v>0</v>
      </c>
      <c r="N1425">
        <v>2.5000000000000001E-2</v>
      </c>
      <c r="O1425">
        <v>81000</v>
      </c>
      <c r="P1425" s="117">
        <v>3774600</v>
      </c>
      <c r="Q1425" s="117" t="s">
        <v>1021</v>
      </c>
      <c r="R1425" s="150">
        <v>0</v>
      </c>
      <c r="S1425" s="117" t="b">
        <f>OR(COUNTIF(Tabla2[[#This Row],[PROVEEDOR]],"*"&amp;'Palabra no opera'!$A$2&amp;"*"))</f>
        <v>0</v>
      </c>
      <c r="T1425" s="150">
        <f>+$W$5-Tabla2[[#This Row],[FECHA DE FACTURACIÓN]]</f>
        <v>477</v>
      </c>
      <c r="U1425" t="str">
        <f>+IF(Tabla2[[#This Row],[dias de credito]]&gt;=Tabla2[[#This Row],[PLAZO Días]],"venc", "No venc")</f>
        <v>venc</v>
      </c>
      <c r="V1425" t="str">
        <f>+IF(Tabla2[[#This Row],[FECHA DE PAGO]]&gt;0,"pagada","por pagar")</f>
        <v>pagada</v>
      </c>
      <c r="W1425" s="152" t="str">
        <f>+IF(AND(Tabla2[[#This Row],[venc]]="venc",Tabla2[[#This Row],[Columna1]]="por pagar"),"vencida","no")</f>
        <v>no</v>
      </c>
    </row>
    <row r="1426" spans="1:23" x14ac:dyDescent="0.3">
      <c r="A1426">
        <v>30</v>
      </c>
      <c r="B1426">
        <v>0</v>
      </c>
      <c r="D1426" t="s">
        <v>252</v>
      </c>
      <c r="E1426" s="156">
        <v>44396</v>
      </c>
      <c r="F1426" t="s">
        <v>910</v>
      </c>
      <c r="G1426" s="156">
        <v>44392</v>
      </c>
      <c r="H1426">
        <v>2132</v>
      </c>
      <c r="I1426">
        <v>259473</v>
      </c>
      <c r="K1426">
        <v>0</v>
      </c>
      <c r="M1426">
        <v>0</v>
      </c>
      <c r="N1426">
        <v>0</v>
      </c>
      <c r="O1426">
        <v>0</v>
      </c>
      <c r="P1426" s="117">
        <v>259473</v>
      </c>
      <c r="Q1426" s="117" t="s">
        <v>1021</v>
      </c>
      <c r="R1426" s="150">
        <v>0</v>
      </c>
      <c r="S1426" s="117" t="b">
        <f>OR(COUNTIF(Tabla2[[#This Row],[PROVEEDOR]],"*"&amp;'Palabra no opera'!$A$2&amp;"*"))</f>
        <v>1</v>
      </c>
      <c r="T1426" s="150">
        <f>+$W$5-Tabla2[[#This Row],[FECHA DE FACTURACIÓN]]</f>
        <v>442</v>
      </c>
      <c r="U1426" t="str">
        <f>+IF(Tabla2[[#This Row],[dias de credito]]&gt;=Tabla2[[#This Row],[PLAZO Días]],"venc", "No venc")</f>
        <v>venc</v>
      </c>
      <c r="V1426" t="str">
        <f>+IF(Tabla2[[#This Row],[FECHA DE PAGO]]&gt;0,"pagada","por pagar")</f>
        <v>pagada</v>
      </c>
      <c r="W1426" s="152" t="str">
        <f>+IF(AND(Tabla2[[#This Row],[venc]]="venc",Tabla2[[#This Row],[Columna1]]="por pagar"),"vencida","no")</f>
        <v>no</v>
      </c>
    </row>
    <row r="1427" spans="1:23" x14ac:dyDescent="0.3">
      <c r="A1427">
        <v>30</v>
      </c>
      <c r="B1427">
        <v>0</v>
      </c>
      <c r="D1427" t="s">
        <v>650</v>
      </c>
      <c r="E1427" s="156">
        <v>44396</v>
      </c>
      <c r="F1427" t="s">
        <v>913</v>
      </c>
      <c r="G1427" s="156">
        <v>44378</v>
      </c>
      <c r="H1427" t="s">
        <v>1261</v>
      </c>
      <c r="I1427">
        <v>3061166</v>
      </c>
      <c r="K1427">
        <v>581621.54</v>
      </c>
      <c r="M1427">
        <v>0</v>
      </c>
      <c r="N1427">
        <v>0</v>
      </c>
      <c r="O1427">
        <v>0</v>
      </c>
      <c r="P1427" s="117">
        <v>3642787.54</v>
      </c>
      <c r="Q1427" s="117" t="s">
        <v>1021</v>
      </c>
      <c r="R1427" s="150">
        <v>0</v>
      </c>
      <c r="S1427" s="117" t="b">
        <f>OR(COUNTIF(Tabla2[[#This Row],[PROVEEDOR]],"*"&amp;'Palabra no opera'!$A$2&amp;"*"))</f>
        <v>1</v>
      </c>
      <c r="T1427" s="150">
        <f>+$W$5-Tabla2[[#This Row],[FECHA DE FACTURACIÓN]]</f>
        <v>456</v>
      </c>
      <c r="U1427" t="str">
        <f>+IF(Tabla2[[#This Row],[dias de credito]]&gt;=Tabla2[[#This Row],[PLAZO Días]],"venc", "No venc")</f>
        <v>venc</v>
      </c>
      <c r="V1427" t="str">
        <f>+IF(Tabla2[[#This Row],[FECHA DE PAGO]]&gt;0,"pagada","por pagar")</f>
        <v>pagada</v>
      </c>
      <c r="W1427" s="152" t="str">
        <f>+IF(AND(Tabla2[[#This Row],[venc]]="venc",Tabla2[[#This Row],[Columna1]]="por pagar"),"vencida","no")</f>
        <v>no</v>
      </c>
    </row>
    <row r="1428" spans="1:23" x14ac:dyDescent="0.3">
      <c r="A1428">
        <v>30</v>
      </c>
      <c r="B1428">
        <v>0</v>
      </c>
      <c r="D1428" t="s">
        <v>650</v>
      </c>
      <c r="E1428" s="156">
        <v>44396</v>
      </c>
      <c r="F1428" t="s">
        <v>913</v>
      </c>
      <c r="G1428" s="156">
        <v>44378</v>
      </c>
      <c r="H1428" t="s">
        <v>1262</v>
      </c>
      <c r="I1428">
        <v>716544</v>
      </c>
      <c r="K1428">
        <v>136143.36000000002</v>
      </c>
      <c r="M1428">
        <v>0</v>
      </c>
      <c r="N1428">
        <v>0</v>
      </c>
      <c r="O1428">
        <v>0</v>
      </c>
      <c r="P1428" s="117">
        <v>852687.35999999999</v>
      </c>
      <c r="Q1428" s="117" t="s">
        <v>1021</v>
      </c>
      <c r="R1428" s="150">
        <v>0</v>
      </c>
      <c r="S1428" s="117" t="b">
        <f>OR(COUNTIF(Tabla2[[#This Row],[PROVEEDOR]],"*"&amp;'Palabra no opera'!$A$2&amp;"*"))</f>
        <v>1</v>
      </c>
      <c r="T1428" s="150">
        <f>+$W$5-Tabla2[[#This Row],[FECHA DE FACTURACIÓN]]</f>
        <v>456</v>
      </c>
      <c r="U1428" t="str">
        <f>+IF(Tabla2[[#This Row],[dias de credito]]&gt;=Tabla2[[#This Row],[PLAZO Días]],"venc", "No venc")</f>
        <v>venc</v>
      </c>
      <c r="V1428" t="str">
        <f>+IF(Tabla2[[#This Row],[FECHA DE PAGO]]&gt;0,"pagada","por pagar")</f>
        <v>pagada</v>
      </c>
      <c r="W1428" s="152" t="str">
        <f>+IF(AND(Tabla2[[#This Row],[venc]]="venc",Tabla2[[#This Row],[Columna1]]="por pagar"),"vencida","no")</f>
        <v>no</v>
      </c>
    </row>
    <row r="1429" spans="1:23" x14ac:dyDescent="0.3">
      <c r="A1429">
        <v>30</v>
      </c>
      <c r="B1429">
        <v>0</v>
      </c>
      <c r="D1429" t="s">
        <v>1688</v>
      </c>
      <c r="E1429" s="156">
        <v>44396</v>
      </c>
      <c r="F1429" t="s">
        <v>928</v>
      </c>
      <c r="G1429" s="156">
        <v>44378</v>
      </c>
      <c r="H1429" t="s">
        <v>587</v>
      </c>
      <c r="I1429">
        <v>3023387</v>
      </c>
      <c r="K1429">
        <v>0</v>
      </c>
      <c r="M1429">
        <v>0</v>
      </c>
      <c r="N1429">
        <v>3.5000000000000003E-2</v>
      </c>
      <c r="O1429">
        <v>105818.54500000001</v>
      </c>
      <c r="P1429" s="117">
        <v>2917568.4550000001</v>
      </c>
      <c r="Q1429" s="117" t="s">
        <v>1021</v>
      </c>
      <c r="R1429" s="150">
        <v>0</v>
      </c>
      <c r="S1429" s="117" t="b">
        <f>OR(COUNTIF(Tabla2[[#This Row],[PROVEEDOR]],"*"&amp;'Palabra no opera'!$A$2&amp;"*"))</f>
        <v>1</v>
      </c>
      <c r="T1429" s="150">
        <f>+$W$5-Tabla2[[#This Row],[FECHA DE FACTURACIÓN]]</f>
        <v>456</v>
      </c>
      <c r="U1429" t="str">
        <f>+IF(Tabla2[[#This Row],[dias de credito]]&gt;=Tabla2[[#This Row],[PLAZO Días]],"venc", "No venc")</f>
        <v>venc</v>
      </c>
      <c r="V1429" t="str">
        <f>+IF(Tabla2[[#This Row],[FECHA DE PAGO]]&gt;0,"pagada","por pagar")</f>
        <v>pagada</v>
      </c>
      <c r="W1429" s="152" t="str">
        <f>+IF(AND(Tabla2[[#This Row],[venc]]="venc",Tabla2[[#This Row],[Columna1]]="por pagar"),"vencida","no")</f>
        <v>no</v>
      </c>
    </row>
    <row r="1430" spans="1:23" x14ac:dyDescent="0.3">
      <c r="A1430">
        <v>30</v>
      </c>
      <c r="B1430">
        <v>0</v>
      </c>
      <c r="D1430" t="s">
        <v>259</v>
      </c>
      <c r="E1430" s="156">
        <v>44396</v>
      </c>
      <c r="F1430" t="s">
        <v>918</v>
      </c>
      <c r="G1430" s="156">
        <v>44378</v>
      </c>
      <c r="H1430">
        <v>8521</v>
      </c>
      <c r="I1430">
        <v>1547710</v>
      </c>
      <c r="K1430">
        <v>0</v>
      </c>
      <c r="M1430">
        <v>0</v>
      </c>
      <c r="N1430">
        <v>0</v>
      </c>
      <c r="O1430">
        <v>0</v>
      </c>
      <c r="P1430" s="117">
        <v>1547710</v>
      </c>
      <c r="Q1430" s="117" t="s">
        <v>1021</v>
      </c>
      <c r="R1430" s="150">
        <v>0</v>
      </c>
      <c r="S1430" s="117" t="b">
        <f>OR(COUNTIF(Tabla2[[#This Row],[PROVEEDOR]],"*"&amp;'Palabra no opera'!$A$2&amp;"*"))</f>
        <v>1</v>
      </c>
      <c r="T1430" s="150">
        <f>+$W$5-Tabla2[[#This Row],[FECHA DE FACTURACIÓN]]</f>
        <v>456</v>
      </c>
      <c r="U1430" t="str">
        <f>+IF(Tabla2[[#This Row],[dias de credito]]&gt;=Tabla2[[#This Row],[PLAZO Días]],"venc", "No venc")</f>
        <v>venc</v>
      </c>
      <c r="V1430" t="str">
        <f>+IF(Tabla2[[#This Row],[FECHA DE PAGO]]&gt;0,"pagada","por pagar")</f>
        <v>pagada</v>
      </c>
      <c r="W1430" s="152" t="str">
        <f>+IF(AND(Tabla2[[#This Row],[venc]]="venc",Tabla2[[#This Row],[Columna1]]="por pagar"),"vencida","no")</f>
        <v>no</v>
      </c>
    </row>
    <row r="1431" spans="1:23" x14ac:dyDescent="0.3">
      <c r="A1431">
        <v>30</v>
      </c>
      <c r="B1431">
        <v>0</v>
      </c>
      <c r="D1431" t="s">
        <v>433</v>
      </c>
      <c r="E1431" s="156">
        <v>44396</v>
      </c>
      <c r="F1431" t="s">
        <v>925</v>
      </c>
      <c r="G1431" s="156">
        <v>44378</v>
      </c>
      <c r="H1431" t="s">
        <v>1264</v>
      </c>
      <c r="I1431">
        <v>2789636</v>
      </c>
      <c r="K1431">
        <v>0</v>
      </c>
      <c r="M1431">
        <v>0</v>
      </c>
      <c r="N1431">
        <v>3.5000000000000003E-2</v>
      </c>
      <c r="O1431">
        <v>97637.260000000009</v>
      </c>
      <c r="P1431" s="117">
        <v>2691998.74</v>
      </c>
      <c r="Q1431" s="117" t="s">
        <v>1021</v>
      </c>
      <c r="R1431" s="150">
        <v>0</v>
      </c>
      <c r="S1431" s="117" t="b">
        <f>OR(COUNTIF(Tabla2[[#This Row],[PROVEEDOR]],"*"&amp;'Palabra no opera'!$A$2&amp;"*"))</f>
        <v>1</v>
      </c>
      <c r="T1431" s="150">
        <f>+$W$5-Tabla2[[#This Row],[FECHA DE FACTURACIÓN]]</f>
        <v>456</v>
      </c>
      <c r="U1431" t="str">
        <f>+IF(Tabla2[[#This Row],[dias de credito]]&gt;=Tabla2[[#This Row],[PLAZO Días]],"venc", "No venc")</f>
        <v>venc</v>
      </c>
      <c r="V1431" t="str">
        <f>+IF(Tabla2[[#This Row],[FECHA DE PAGO]]&gt;0,"pagada","por pagar")</f>
        <v>pagada</v>
      </c>
      <c r="W1431" s="152" t="str">
        <f>+IF(AND(Tabla2[[#This Row],[venc]]="venc",Tabla2[[#This Row],[Columna1]]="por pagar"),"vencida","no")</f>
        <v>no</v>
      </c>
    </row>
    <row r="1432" spans="1:23" x14ac:dyDescent="0.3">
      <c r="A1432">
        <v>30</v>
      </c>
      <c r="B1432">
        <v>0</v>
      </c>
      <c r="D1432" t="s">
        <v>1036</v>
      </c>
      <c r="E1432" s="156">
        <v>44396</v>
      </c>
      <c r="F1432" t="s">
        <v>927</v>
      </c>
      <c r="G1432" s="156">
        <v>44378</v>
      </c>
      <c r="H1432" t="s">
        <v>312</v>
      </c>
      <c r="I1432">
        <v>727051</v>
      </c>
      <c r="K1432">
        <v>0</v>
      </c>
      <c r="M1432">
        <v>0</v>
      </c>
      <c r="N1432">
        <v>0</v>
      </c>
      <c r="O1432">
        <v>0</v>
      </c>
      <c r="P1432" s="117">
        <v>727051</v>
      </c>
      <c r="Q1432" s="117" t="s">
        <v>1021</v>
      </c>
      <c r="R1432" s="150">
        <v>0</v>
      </c>
      <c r="S1432" s="117" t="b">
        <f>OR(COUNTIF(Tabla2[[#This Row],[PROVEEDOR]],"*"&amp;'Palabra no opera'!$A$2&amp;"*"))</f>
        <v>1</v>
      </c>
      <c r="T1432" s="150">
        <f>+$W$5-Tabla2[[#This Row],[FECHA DE FACTURACIÓN]]</f>
        <v>456</v>
      </c>
      <c r="U1432" t="str">
        <f>+IF(Tabla2[[#This Row],[dias de credito]]&gt;=Tabla2[[#This Row],[PLAZO Días]],"venc", "No venc")</f>
        <v>venc</v>
      </c>
      <c r="V1432" t="str">
        <f>+IF(Tabla2[[#This Row],[FECHA DE PAGO]]&gt;0,"pagada","por pagar")</f>
        <v>pagada</v>
      </c>
      <c r="W1432" s="152" t="str">
        <f>+IF(AND(Tabla2[[#This Row],[venc]]="venc",Tabla2[[#This Row],[Columna1]]="por pagar"),"vencida","no")</f>
        <v>no</v>
      </c>
    </row>
    <row r="1433" spans="1:23" x14ac:dyDescent="0.3">
      <c r="A1433">
        <v>30</v>
      </c>
      <c r="B1433">
        <v>0</v>
      </c>
      <c r="D1433" t="s">
        <v>1036</v>
      </c>
      <c r="E1433" s="156">
        <v>44396</v>
      </c>
      <c r="F1433" t="s">
        <v>927</v>
      </c>
      <c r="G1433" s="156">
        <v>44378</v>
      </c>
      <c r="H1433" t="s">
        <v>313</v>
      </c>
      <c r="I1433">
        <v>743959</v>
      </c>
      <c r="K1433">
        <v>0</v>
      </c>
      <c r="M1433">
        <v>0</v>
      </c>
      <c r="N1433">
        <v>0</v>
      </c>
      <c r="O1433">
        <v>0</v>
      </c>
      <c r="P1433" s="117">
        <v>743959</v>
      </c>
      <c r="Q1433" s="117" t="s">
        <v>1021</v>
      </c>
      <c r="R1433" s="150">
        <v>0</v>
      </c>
      <c r="S1433" s="117" t="b">
        <f>OR(COUNTIF(Tabla2[[#This Row],[PROVEEDOR]],"*"&amp;'Palabra no opera'!$A$2&amp;"*"))</f>
        <v>1</v>
      </c>
      <c r="T1433" s="150">
        <f>+$W$5-Tabla2[[#This Row],[FECHA DE FACTURACIÓN]]</f>
        <v>456</v>
      </c>
      <c r="U1433" t="str">
        <f>+IF(Tabla2[[#This Row],[dias de credito]]&gt;=Tabla2[[#This Row],[PLAZO Días]],"venc", "No venc")</f>
        <v>venc</v>
      </c>
      <c r="V1433" t="str">
        <f>+IF(Tabla2[[#This Row],[FECHA DE PAGO]]&gt;0,"pagada","por pagar")</f>
        <v>pagada</v>
      </c>
      <c r="W1433" s="152" t="str">
        <f>+IF(AND(Tabla2[[#This Row],[venc]]="venc",Tabla2[[#This Row],[Columna1]]="por pagar"),"vencida","no")</f>
        <v>no</v>
      </c>
    </row>
    <row r="1434" spans="1:23" x14ac:dyDescent="0.3">
      <c r="A1434">
        <v>30</v>
      </c>
      <c r="B1434">
        <v>0</v>
      </c>
      <c r="D1434" t="s">
        <v>267</v>
      </c>
      <c r="E1434" s="156">
        <v>44396</v>
      </c>
      <c r="F1434" t="s">
        <v>941</v>
      </c>
      <c r="G1434" s="156">
        <v>44378</v>
      </c>
      <c r="H1434" t="s">
        <v>374</v>
      </c>
      <c r="I1434">
        <v>203897</v>
      </c>
      <c r="K1434">
        <v>38740.43</v>
      </c>
      <c r="M1434">
        <v>0</v>
      </c>
      <c r="N1434">
        <v>3.5000000000000003E-2</v>
      </c>
      <c r="O1434">
        <v>7136.3950000000004</v>
      </c>
      <c r="P1434" s="117">
        <v>235501.035</v>
      </c>
      <c r="Q1434" s="117" t="s">
        <v>1021</v>
      </c>
      <c r="R1434" s="150">
        <v>0</v>
      </c>
      <c r="S1434" s="117" t="b">
        <f>OR(COUNTIF(Tabla2[[#This Row],[PROVEEDOR]],"*"&amp;'Palabra no opera'!$A$2&amp;"*"))</f>
        <v>1</v>
      </c>
      <c r="T1434" s="150">
        <f>+$W$5-Tabla2[[#This Row],[FECHA DE FACTURACIÓN]]</f>
        <v>456</v>
      </c>
      <c r="U1434" t="str">
        <f>+IF(Tabla2[[#This Row],[dias de credito]]&gt;=Tabla2[[#This Row],[PLAZO Días]],"venc", "No venc")</f>
        <v>venc</v>
      </c>
      <c r="V1434" t="str">
        <f>+IF(Tabla2[[#This Row],[FECHA DE PAGO]]&gt;0,"pagada","por pagar")</f>
        <v>pagada</v>
      </c>
      <c r="W1434" s="152" t="str">
        <f>+IF(AND(Tabla2[[#This Row],[venc]]="venc",Tabla2[[#This Row],[Columna1]]="por pagar"),"vencida","no")</f>
        <v>no</v>
      </c>
    </row>
    <row r="1435" spans="1:23" x14ac:dyDescent="0.3">
      <c r="A1435">
        <v>20</v>
      </c>
      <c r="B1435">
        <v>0</v>
      </c>
      <c r="D1435" t="s">
        <v>275</v>
      </c>
      <c r="E1435" s="156">
        <v>44396</v>
      </c>
      <c r="F1435" t="s">
        <v>942</v>
      </c>
      <c r="G1435" s="156">
        <v>44378</v>
      </c>
      <c r="H1435">
        <v>39654</v>
      </c>
      <c r="I1435">
        <v>3987000</v>
      </c>
      <c r="K1435">
        <v>757530</v>
      </c>
      <c r="M1435">
        <v>0</v>
      </c>
      <c r="N1435">
        <v>3.5000000000000003E-2</v>
      </c>
      <c r="O1435">
        <v>139545</v>
      </c>
      <c r="P1435" s="117">
        <v>4604985</v>
      </c>
      <c r="Q1435" s="117" t="s">
        <v>1021</v>
      </c>
      <c r="R1435" s="150">
        <v>0</v>
      </c>
      <c r="S1435" s="117" t="b">
        <f>OR(COUNTIF(Tabla2[[#This Row],[PROVEEDOR]],"*"&amp;'Palabra no opera'!$A$2&amp;"*"))</f>
        <v>1</v>
      </c>
      <c r="T1435" s="150">
        <f>+$W$5-Tabla2[[#This Row],[FECHA DE FACTURACIÓN]]</f>
        <v>456</v>
      </c>
      <c r="U1435" t="str">
        <f>+IF(Tabla2[[#This Row],[dias de credito]]&gt;=Tabla2[[#This Row],[PLAZO Días]],"venc", "No venc")</f>
        <v>venc</v>
      </c>
      <c r="V1435" t="str">
        <f>+IF(Tabla2[[#This Row],[FECHA DE PAGO]]&gt;0,"pagada","por pagar")</f>
        <v>pagada</v>
      </c>
      <c r="W1435" s="152" t="str">
        <f>+IF(AND(Tabla2[[#This Row],[venc]]="venc",Tabla2[[#This Row],[Columna1]]="por pagar"),"vencida","no")</f>
        <v>no</v>
      </c>
    </row>
    <row r="1436" spans="1:23" x14ac:dyDescent="0.3">
      <c r="A1436">
        <v>20</v>
      </c>
      <c r="B1436">
        <v>0</v>
      </c>
      <c r="D1436" t="s">
        <v>275</v>
      </c>
      <c r="E1436" s="156">
        <v>44396</v>
      </c>
      <c r="F1436" t="s">
        <v>942</v>
      </c>
      <c r="G1436" s="156">
        <v>44375</v>
      </c>
      <c r="H1436" t="s">
        <v>593</v>
      </c>
      <c r="I1436">
        <v>-376550</v>
      </c>
      <c r="K1436">
        <v>-71544.5</v>
      </c>
      <c r="M1436">
        <v>0</v>
      </c>
      <c r="N1436">
        <v>0</v>
      </c>
      <c r="O1436">
        <v>0</v>
      </c>
      <c r="P1436" s="117">
        <v>-448094.5</v>
      </c>
      <c r="Q1436" s="117" t="s">
        <v>1021</v>
      </c>
      <c r="R1436" s="150">
        <v>0</v>
      </c>
      <c r="S1436" s="117" t="b">
        <f>OR(COUNTIF(Tabla2[[#This Row],[PROVEEDOR]],"*"&amp;'Palabra no opera'!$A$2&amp;"*"))</f>
        <v>1</v>
      </c>
      <c r="T1436" s="150">
        <f>+$W$5-Tabla2[[#This Row],[FECHA DE FACTURACIÓN]]</f>
        <v>459</v>
      </c>
      <c r="U1436" t="str">
        <f>+IF(Tabla2[[#This Row],[dias de credito]]&gt;=Tabla2[[#This Row],[PLAZO Días]],"venc", "No venc")</f>
        <v>venc</v>
      </c>
      <c r="V1436" t="str">
        <f>+IF(Tabla2[[#This Row],[FECHA DE PAGO]]&gt;0,"pagada","por pagar")</f>
        <v>pagada</v>
      </c>
      <c r="W1436" s="152" t="str">
        <f>+IF(AND(Tabla2[[#This Row],[venc]]="venc",Tabla2[[#This Row],[Columna1]]="por pagar"),"vencida","no")</f>
        <v>no</v>
      </c>
    </row>
    <row r="1437" spans="1:23" x14ac:dyDescent="0.3">
      <c r="A1437">
        <v>30</v>
      </c>
      <c r="B1437">
        <v>0</v>
      </c>
      <c r="D1437" t="s">
        <v>1688</v>
      </c>
      <c r="E1437" s="156">
        <v>44396</v>
      </c>
      <c r="F1437" t="s">
        <v>928</v>
      </c>
      <c r="G1437" s="156">
        <v>44372</v>
      </c>
      <c r="H1437" t="s">
        <v>586</v>
      </c>
      <c r="I1437">
        <v>-36766</v>
      </c>
      <c r="K1437">
        <v>0</v>
      </c>
      <c r="M1437">
        <v>0</v>
      </c>
      <c r="N1437">
        <v>0</v>
      </c>
      <c r="O1437">
        <v>0</v>
      </c>
      <c r="P1437" s="117">
        <v>-36766</v>
      </c>
      <c r="Q1437" s="117" t="s">
        <v>1021</v>
      </c>
      <c r="R1437" s="150">
        <v>0</v>
      </c>
      <c r="S1437" s="117" t="b">
        <f>OR(COUNTIF(Tabla2[[#This Row],[PROVEEDOR]],"*"&amp;'Palabra no opera'!$A$2&amp;"*"))</f>
        <v>1</v>
      </c>
      <c r="T1437" s="150">
        <f>+$W$5-Tabla2[[#This Row],[FECHA DE FACTURACIÓN]]</f>
        <v>462</v>
      </c>
      <c r="U1437" t="str">
        <f>+IF(Tabla2[[#This Row],[dias de credito]]&gt;=Tabla2[[#This Row],[PLAZO Días]],"venc", "No venc")</f>
        <v>venc</v>
      </c>
      <c r="V1437" t="str">
        <f>+IF(Tabla2[[#This Row],[FECHA DE PAGO]]&gt;0,"pagada","por pagar")</f>
        <v>pagada</v>
      </c>
      <c r="W1437" s="152" t="str">
        <f>+IF(AND(Tabla2[[#This Row],[venc]]="venc",Tabla2[[#This Row],[Columna1]]="por pagar"),"vencida","no")</f>
        <v>no</v>
      </c>
    </row>
    <row r="1438" spans="1:23" x14ac:dyDescent="0.3">
      <c r="A1438">
        <v>30</v>
      </c>
      <c r="B1438">
        <v>1580500</v>
      </c>
      <c r="D1438" t="s">
        <v>139</v>
      </c>
      <c r="E1438" s="156">
        <v>44396</v>
      </c>
      <c r="F1438" t="s">
        <v>686</v>
      </c>
      <c r="G1438" s="156">
        <v>44367</v>
      </c>
      <c r="H1438" t="s">
        <v>1255</v>
      </c>
      <c r="I1438">
        <v>926000</v>
      </c>
      <c r="K1438">
        <v>0</v>
      </c>
      <c r="M1438">
        <v>0</v>
      </c>
      <c r="N1438">
        <v>0</v>
      </c>
      <c r="O1438">
        <v>0</v>
      </c>
      <c r="P1438" s="117">
        <v>926000</v>
      </c>
      <c r="Q1438" s="117" t="s">
        <v>1021</v>
      </c>
      <c r="R1438" s="150">
        <v>0</v>
      </c>
      <c r="S1438" s="117" t="b">
        <f>OR(COUNTIF(Tabla2[[#This Row],[PROVEEDOR]],"*"&amp;'Palabra no opera'!$A$2&amp;"*"))</f>
        <v>0</v>
      </c>
      <c r="T1438" s="150">
        <f>+$W$5-Tabla2[[#This Row],[FECHA DE FACTURACIÓN]]</f>
        <v>467</v>
      </c>
      <c r="U1438" t="str">
        <f>+IF(Tabla2[[#This Row],[dias de credito]]&gt;=Tabla2[[#This Row],[PLAZO Días]],"venc", "No venc")</f>
        <v>venc</v>
      </c>
      <c r="V1438" t="str">
        <f>+IF(Tabla2[[#This Row],[FECHA DE PAGO]]&gt;0,"pagada","por pagar")</f>
        <v>pagada</v>
      </c>
      <c r="W1438" s="152" t="str">
        <f>+IF(AND(Tabla2[[#This Row],[venc]]="venc",Tabla2[[#This Row],[Columna1]]="por pagar"),"vencida","no")</f>
        <v>no</v>
      </c>
    </row>
    <row r="1439" spans="1:23" x14ac:dyDescent="0.3">
      <c r="A1439">
        <v>30</v>
      </c>
      <c r="B1439">
        <v>146262.9</v>
      </c>
      <c r="D1439" t="s">
        <v>262</v>
      </c>
      <c r="E1439" s="156">
        <v>44396</v>
      </c>
      <c r="F1439" t="s">
        <v>17</v>
      </c>
      <c r="G1439" s="156">
        <v>44362</v>
      </c>
      <c r="H1439">
        <v>1774672</v>
      </c>
      <c r="I1439">
        <v>1339666</v>
      </c>
      <c r="K1439">
        <v>254536.54</v>
      </c>
      <c r="M1439">
        <v>0</v>
      </c>
      <c r="N1439">
        <v>0</v>
      </c>
      <c r="O1439">
        <v>0</v>
      </c>
      <c r="P1439" s="117">
        <v>1594202.54</v>
      </c>
      <c r="Q1439" s="117" t="s">
        <v>1021</v>
      </c>
      <c r="R1439" s="150">
        <v>0</v>
      </c>
      <c r="S1439" s="117" t="b">
        <f>OR(COUNTIF(Tabla2[[#This Row],[PROVEEDOR]],"*"&amp;'Palabra no opera'!$A$2&amp;"*"))</f>
        <v>0</v>
      </c>
      <c r="T1439" s="150">
        <f>+$W$5-Tabla2[[#This Row],[FECHA DE FACTURACIÓN]]</f>
        <v>472</v>
      </c>
      <c r="U1439" t="str">
        <f>+IF(Tabla2[[#This Row],[dias de credito]]&gt;=Tabla2[[#This Row],[PLAZO Días]],"venc", "No venc")</f>
        <v>venc</v>
      </c>
      <c r="V1439" t="str">
        <f>+IF(Tabla2[[#This Row],[FECHA DE PAGO]]&gt;0,"pagada","por pagar")</f>
        <v>pagada</v>
      </c>
      <c r="W1439" s="152" t="str">
        <f>+IF(AND(Tabla2[[#This Row],[venc]]="venc",Tabla2[[#This Row],[Columna1]]="por pagar"),"vencida","no")</f>
        <v>no</v>
      </c>
    </row>
    <row r="1440" spans="1:23" x14ac:dyDescent="0.3">
      <c r="A1440">
        <v>30</v>
      </c>
      <c r="B1440">
        <v>8457900</v>
      </c>
      <c r="D1440" t="s">
        <v>1027</v>
      </c>
      <c r="E1440" s="156">
        <v>44396</v>
      </c>
      <c r="F1440" t="s">
        <v>11</v>
      </c>
      <c r="G1440" s="156">
        <v>44362</v>
      </c>
      <c r="H1440">
        <v>2476</v>
      </c>
      <c r="I1440">
        <v>5280000</v>
      </c>
      <c r="K1440">
        <v>1003200</v>
      </c>
      <c r="M1440">
        <v>0</v>
      </c>
      <c r="N1440">
        <v>2.5000000000000001E-2</v>
      </c>
      <c r="O1440">
        <v>132000</v>
      </c>
      <c r="P1440" s="117">
        <v>6151200</v>
      </c>
      <c r="Q1440" s="117" t="s">
        <v>1021</v>
      </c>
      <c r="R1440" s="150">
        <v>0</v>
      </c>
      <c r="S1440" s="117" t="b">
        <f>OR(COUNTIF(Tabla2[[#This Row],[PROVEEDOR]],"*"&amp;'Palabra no opera'!$A$2&amp;"*"))</f>
        <v>0</v>
      </c>
      <c r="T1440" s="150">
        <f>+$W$5-Tabla2[[#This Row],[FECHA DE FACTURACIÓN]]</f>
        <v>472</v>
      </c>
      <c r="U1440" t="str">
        <f>+IF(Tabla2[[#This Row],[dias de credito]]&gt;=Tabla2[[#This Row],[PLAZO Días]],"venc", "No venc")</f>
        <v>venc</v>
      </c>
      <c r="V1440" t="str">
        <f>+IF(Tabla2[[#This Row],[FECHA DE PAGO]]&gt;0,"pagada","por pagar")</f>
        <v>pagada</v>
      </c>
      <c r="W1440" s="152" t="str">
        <f>+IF(AND(Tabla2[[#This Row],[venc]]="venc",Tabla2[[#This Row],[Columna1]]="por pagar"),"vencida","no")</f>
        <v>no</v>
      </c>
    </row>
    <row r="1441" spans="1:23" x14ac:dyDescent="0.3">
      <c r="A1441">
        <v>30</v>
      </c>
      <c r="B1441">
        <v>0</v>
      </c>
      <c r="D1441" t="s">
        <v>1653</v>
      </c>
      <c r="E1441" s="156">
        <v>44396</v>
      </c>
      <c r="F1441" t="s">
        <v>24</v>
      </c>
      <c r="G1441" s="156">
        <v>44351</v>
      </c>
      <c r="H1441" t="s">
        <v>344</v>
      </c>
      <c r="I1441">
        <v>1106676</v>
      </c>
      <c r="K1441">
        <v>210268.44</v>
      </c>
      <c r="M1441">
        <v>0</v>
      </c>
      <c r="N1441">
        <v>2.5000000000000001E-2</v>
      </c>
      <c r="O1441">
        <v>27666.9</v>
      </c>
      <c r="P1441" s="117">
        <v>1289277.54</v>
      </c>
      <c r="Q1441" s="117" t="s">
        <v>1021</v>
      </c>
      <c r="R1441" s="150">
        <v>0</v>
      </c>
      <c r="S1441" s="117" t="b">
        <f>OR(COUNTIF(Tabla2[[#This Row],[PROVEEDOR]],"*"&amp;'Palabra no opera'!$A$2&amp;"*"))</f>
        <v>0</v>
      </c>
      <c r="T1441" s="150">
        <f>+$W$5-Tabla2[[#This Row],[FECHA DE FACTURACIÓN]]</f>
        <v>483</v>
      </c>
      <c r="U1441" t="str">
        <f>+IF(Tabla2[[#This Row],[dias de credito]]&gt;=Tabla2[[#This Row],[PLAZO Días]],"venc", "No venc")</f>
        <v>venc</v>
      </c>
      <c r="V1441" t="str">
        <f>+IF(Tabla2[[#This Row],[FECHA DE PAGO]]&gt;0,"pagada","por pagar")</f>
        <v>pagada</v>
      </c>
      <c r="W1441" s="152" t="str">
        <f>+IF(AND(Tabla2[[#This Row],[venc]]="venc",Tabla2[[#This Row],[Columna1]]="por pagar"),"vencida","no")</f>
        <v>no</v>
      </c>
    </row>
    <row r="1442" spans="1:23" x14ac:dyDescent="0.3">
      <c r="A1442">
        <v>30</v>
      </c>
      <c r="B1442">
        <v>0</v>
      </c>
      <c r="D1442" t="s">
        <v>277</v>
      </c>
      <c r="E1442" s="156">
        <v>44396</v>
      </c>
      <c r="F1442" t="s">
        <v>131</v>
      </c>
      <c r="G1442" s="156">
        <v>44347</v>
      </c>
      <c r="H1442">
        <v>34</v>
      </c>
      <c r="I1442">
        <v>2163521</v>
      </c>
      <c r="J1442">
        <v>349434</v>
      </c>
      <c r="K1442">
        <v>344676.53</v>
      </c>
      <c r="M1442">
        <v>0</v>
      </c>
      <c r="N1442">
        <v>2.5000000000000001E-2</v>
      </c>
      <c r="O1442">
        <v>45352.175000000003</v>
      </c>
      <c r="P1442" s="117">
        <v>2113411.3550000004</v>
      </c>
      <c r="Q1442" s="117" t="s">
        <v>1021</v>
      </c>
      <c r="R1442" s="150">
        <v>0</v>
      </c>
      <c r="S1442" s="117" t="b">
        <f>OR(COUNTIF(Tabla2[[#This Row],[PROVEEDOR]],"*"&amp;'Palabra no opera'!$A$2&amp;"*"))</f>
        <v>0</v>
      </c>
      <c r="T1442" s="150">
        <f>+$W$5-Tabla2[[#This Row],[FECHA DE FACTURACIÓN]]</f>
        <v>487</v>
      </c>
      <c r="U1442" t="str">
        <f>+IF(Tabla2[[#This Row],[dias de credito]]&gt;=Tabla2[[#This Row],[PLAZO Días]],"venc", "No venc")</f>
        <v>venc</v>
      </c>
      <c r="V1442" t="str">
        <f>+IF(Tabla2[[#This Row],[FECHA DE PAGO]]&gt;0,"pagada","por pagar")</f>
        <v>pagada</v>
      </c>
      <c r="W1442" s="152" t="str">
        <f>+IF(AND(Tabla2[[#This Row],[venc]]="venc",Tabla2[[#This Row],[Columna1]]="por pagar"),"vencida","no")</f>
        <v>no</v>
      </c>
    </row>
    <row r="1443" spans="1:23" x14ac:dyDescent="0.3">
      <c r="A1443">
        <v>30</v>
      </c>
      <c r="B1443">
        <v>0</v>
      </c>
      <c r="D1443" t="s">
        <v>139</v>
      </c>
      <c r="E1443" s="156">
        <v>44394</v>
      </c>
      <c r="F1443" t="s">
        <v>673</v>
      </c>
      <c r="G1443" s="156">
        <v>44394</v>
      </c>
      <c r="I1443">
        <v>1736800</v>
      </c>
      <c r="K1443">
        <v>0</v>
      </c>
      <c r="M1443">
        <v>0</v>
      </c>
      <c r="N1443">
        <v>0</v>
      </c>
      <c r="O1443">
        <v>0</v>
      </c>
      <c r="P1443" s="117">
        <v>1736800</v>
      </c>
      <c r="Q1443" s="117" t="s">
        <v>1021</v>
      </c>
      <c r="R1443" s="150">
        <v>0</v>
      </c>
      <c r="S1443" s="117" t="b">
        <f>OR(COUNTIF(Tabla2[[#This Row],[PROVEEDOR]],"*"&amp;'Palabra no opera'!$A$2&amp;"*"))</f>
        <v>0</v>
      </c>
      <c r="T1443" s="150">
        <f>+$W$5-Tabla2[[#This Row],[FECHA DE FACTURACIÓN]]</f>
        <v>440</v>
      </c>
      <c r="U1443" t="str">
        <f>+IF(Tabla2[[#This Row],[dias de credito]]&gt;=Tabla2[[#This Row],[PLAZO Días]],"venc", "No venc")</f>
        <v>venc</v>
      </c>
      <c r="V1443" t="str">
        <f>+IF(Tabla2[[#This Row],[FECHA DE PAGO]]&gt;0,"pagada","por pagar")</f>
        <v>pagada</v>
      </c>
      <c r="W1443" s="152" t="str">
        <f>+IF(AND(Tabla2[[#This Row],[venc]]="venc",Tabla2[[#This Row],[Columna1]]="por pagar"),"vencida","no")</f>
        <v>no</v>
      </c>
    </row>
    <row r="1444" spans="1:23" x14ac:dyDescent="0.3">
      <c r="A1444">
        <v>30</v>
      </c>
      <c r="B1444">
        <v>0</v>
      </c>
      <c r="D1444" t="s">
        <v>139</v>
      </c>
      <c r="E1444" s="156">
        <v>44393</v>
      </c>
      <c r="F1444" t="s">
        <v>661</v>
      </c>
      <c r="G1444" s="156">
        <v>44393</v>
      </c>
      <c r="H1444" t="s">
        <v>1271</v>
      </c>
      <c r="I1444">
        <v>1648000</v>
      </c>
      <c r="K1444">
        <v>0</v>
      </c>
      <c r="M1444">
        <v>0</v>
      </c>
      <c r="N1444">
        <v>0</v>
      </c>
      <c r="O1444">
        <v>0</v>
      </c>
      <c r="P1444" s="117">
        <v>1648000</v>
      </c>
      <c r="Q1444" s="117" t="s">
        <v>1021</v>
      </c>
      <c r="R1444" s="150">
        <v>0</v>
      </c>
      <c r="S1444" s="117" t="b">
        <f>OR(COUNTIF(Tabla2[[#This Row],[PROVEEDOR]],"*"&amp;'Palabra no opera'!$A$2&amp;"*"))</f>
        <v>0</v>
      </c>
      <c r="T1444" s="150">
        <f>+$W$5-Tabla2[[#This Row],[FECHA DE FACTURACIÓN]]</f>
        <v>441</v>
      </c>
      <c r="U1444" t="str">
        <f>+IF(Tabla2[[#This Row],[dias de credito]]&gt;=Tabla2[[#This Row],[PLAZO Días]],"venc", "No venc")</f>
        <v>venc</v>
      </c>
      <c r="V1444" t="str">
        <f>+IF(Tabla2[[#This Row],[FECHA DE PAGO]]&gt;0,"pagada","por pagar")</f>
        <v>pagada</v>
      </c>
      <c r="W1444" s="152" t="str">
        <f>+IF(AND(Tabla2[[#This Row],[venc]]="venc",Tabla2[[#This Row],[Columna1]]="por pagar"),"vencida","no")</f>
        <v>no</v>
      </c>
    </row>
    <row r="1445" spans="1:23" x14ac:dyDescent="0.3">
      <c r="A1445">
        <v>30</v>
      </c>
      <c r="B1445">
        <v>0</v>
      </c>
      <c r="D1445" t="s">
        <v>139</v>
      </c>
      <c r="E1445" s="156">
        <v>44393</v>
      </c>
      <c r="F1445" t="s">
        <v>55</v>
      </c>
      <c r="G1445" s="156">
        <v>44391</v>
      </c>
      <c r="H1445">
        <v>54504</v>
      </c>
      <c r="I1445">
        <v>13177000</v>
      </c>
      <c r="K1445">
        <v>0</v>
      </c>
      <c r="M1445">
        <v>0</v>
      </c>
      <c r="N1445">
        <v>0</v>
      </c>
      <c r="O1445">
        <v>0</v>
      </c>
      <c r="P1445" s="117">
        <v>13177000</v>
      </c>
      <c r="Q1445" s="117" t="s">
        <v>1021</v>
      </c>
      <c r="R1445" s="150">
        <v>0</v>
      </c>
      <c r="S1445" s="117" t="b">
        <f>OR(COUNTIF(Tabla2[[#This Row],[PROVEEDOR]],"*"&amp;'Palabra no opera'!$A$2&amp;"*"))</f>
        <v>0</v>
      </c>
      <c r="T1445" s="150">
        <f>+$W$5-Tabla2[[#This Row],[FECHA DE FACTURACIÓN]]</f>
        <v>443</v>
      </c>
      <c r="U1445" t="str">
        <f>+IF(Tabla2[[#This Row],[dias de credito]]&gt;=Tabla2[[#This Row],[PLAZO Días]],"venc", "No venc")</f>
        <v>venc</v>
      </c>
      <c r="V1445" t="str">
        <f>+IF(Tabla2[[#This Row],[FECHA DE PAGO]]&gt;0,"pagada","por pagar")</f>
        <v>pagada</v>
      </c>
      <c r="W1445" s="152" t="str">
        <f>+IF(AND(Tabla2[[#This Row],[venc]]="venc",Tabla2[[#This Row],[Columna1]]="por pagar"),"vencida","no")</f>
        <v>no</v>
      </c>
    </row>
    <row r="1446" spans="1:23" x14ac:dyDescent="0.3">
      <c r="A1446">
        <v>30</v>
      </c>
      <c r="B1446">
        <v>27452.91</v>
      </c>
      <c r="D1446" t="s">
        <v>949</v>
      </c>
      <c r="E1446" s="156">
        <v>44393</v>
      </c>
      <c r="F1446" t="s">
        <v>118</v>
      </c>
      <c r="G1446" s="156">
        <v>44391</v>
      </c>
      <c r="H1446" t="s">
        <v>1269</v>
      </c>
      <c r="I1446">
        <v>1531000</v>
      </c>
      <c r="K1446">
        <v>0</v>
      </c>
      <c r="M1446">
        <v>0</v>
      </c>
      <c r="N1446">
        <v>0</v>
      </c>
      <c r="O1446">
        <v>0</v>
      </c>
      <c r="P1446" s="117">
        <v>1531000</v>
      </c>
      <c r="Q1446" s="117" t="s">
        <v>1021</v>
      </c>
      <c r="R1446" s="150">
        <v>0</v>
      </c>
      <c r="S1446" s="117" t="b">
        <f>OR(COUNTIF(Tabla2[[#This Row],[PROVEEDOR]],"*"&amp;'Palabra no opera'!$A$2&amp;"*"))</f>
        <v>0</v>
      </c>
      <c r="T1446" s="150">
        <f>+$W$5-Tabla2[[#This Row],[FECHA DE FACTURACIÓN]]</f>
        <v>443</v>
      </c>
      <c r="U1446" t="str">
        <f>+IF(Tabla2[[#This Row],[dias de credito]]&gt;=Tabla2[[#This Row],[PLAZO Días]],"venc", "No venc")</f>
        <v>venc</v>
      </c>
      <c r="V1446" t="str">
        <f>+IF(Tabla2[[#This Row],[FECHA DE PAGO]]&gt;0,"pagada","por pagar")</f>
        <v>pagada</v>
      </c>
      <c r="W1446" s="152" t="str">
        <f>+IF(AND(Tabla2[[#This Row],[venc]]="venc",Tabla2[[#This Row],[Columna1]]="por pagar"),"vencida","no")</f>
        <v>no</v>
      </c>
    </row>
    <row r="1447" spans="1:23" x14ac:dyDescent="0.3">
      <c r="A1447">
        <v>30</v>
      </c>
      <c r="B1447">
        <v>0</v>
      </c>
      <c r="D1447" t="s">
        <v>139</v>
      </c>
      <c r="E1447" s="156">
        <v>44392</v>
      </c>
      <c r="F1447" t="s">
        <v>644</v>
      </c>
      <c r="G1447" s="156">
        <v>44392</v>
      </c>
      <c r="H1447" t="s">
        <v>1270</v>
      </c>
      <c r="I1447">
        <v>39000</v>
      </c>
      <c r="K1447">
        <v>0</v>
      </c>
      <c r="M1447">
        <v>0</v>
      </c>
      <c r="N1447">
        <v>0</v>
      </c>
      <c r="O1447">
        <v>0</v>
      </c>
      <c r="P1447" s="117">
        <v>39000</v>
      </c>
      <c r="Q1447" s="117" t="s">
        <v>1021</v>
      </c>
      <c r="R1447" s="150">
        <v>0</v>
      </c>
      <c r="S1447" s="117" t="b">
        <f>OR(COUNTIF(Tabla2[[#This Row],[PROVEEDOR]],"*"&amp;'Palabra no opera'!$A$2&amp;"*"))</f>
        <v>0</v>
      </c>
      <c r="T1447" s="150">
        <f>+$W$5-Tabla2[[#This Row],[FECHA DE FACTURACIÓN]]</f>
        <v>442</v>
      </c>
      <c r="U1447" t="str">
        <f>+IF(Tabla2[[#This Row],[dias de credito]]&gt;=Tabla2[[#This Row],[PLAZO Días]],"venc", "No venc")</f>
        <v>venc</v>
      </c>
      <c r="V1447" t="str">
        <f>+IF(Tabla2[[#This Row],[FECHA DE PAGO]]&gt;0,"pagada","por pagar")</f>
        <v>pagada</v>
      </c>
      <c r="W1447" s="152" t="str">
        <f>+IF(AND(Tabla2[[#This Row],[venc]]="venc",Tabla2[[#This Row],[Columna1]]="por pagar"),"vencida","no")</f>
        <v>no</v>
      </c>
    </row>
    <row r="1448" spans="1:23" x14ac:dyDescent="0.3">
      <c r="A1448">
        <v>30</v>
      </c>
      <c r="B1448">
        <v>450000</v>
      </c>
      <c r="D1448" t="s">
        <v>291</v>
      </c>
      <c r="E1448" s="156">
        <v>44392</v>
      </c>
      <c r="F1448" t="s">
        <v>685</v>
      </c>
      <c r="G1448" s="156">
        <v>44348</v>
      </c>
      <c r="H1448" t="s">
        <v>1240</v>
      </c>
      <c r="I1448">
        <v>900000</v>
      </c>
      <c r="K1448">
        <v>0</v>
      </c>
      <c r="M1448">
        <v>0</v>
      </c>
      <c r="N1448">
        <v>0</v>
      </c>
      <c r="O1448">
        <v>0</v>
      </c>
      <c r="P1448" s="117">
        <v>900000</v>
      </c>
      <c r="Q1448" s="117" t="s">
        <v>1021</v>
      </c>
      <c r="R1448" s="150">
        <v>0</v>
      </c>
      <c r="S1448" s="117" t="b">
        <f>OR(COUNTIF(Tabla2[[#This Row],[PROVEEDOR]],"*"&amp;'Palabra no opera'!$A$2&amp;"*"))</f>
        <v>0</v>
      </c>
      <c r="T1448" s="150">
        <f>+$W$5-Tabla2[[#This Row],[FECHA DE FACTURACIÓN]]</f>
        <v>486</v>
      </c>
      <c r="U1448" t="str">
        <f>+IF(Tabla2[[#This Row],[dias de credito]]&gt;=Tabla2[[#This Row],[PLAZO Días]],"venc", "No venc")</f>
        <v>venc</v>
      </c>
      <c r="V1448" t="str">
        <f>+IF(Tabla2[[#This Row],[FECHA DE PAGO]]&gt;0,"pagada","por pagar")</f>
        <v>pagada</v>
      </c>
      <c r="W1448" s="152" t="str">
        <f>+IF(AND(Tabla2[[#This Row],[venc]]="venc",Tabla2[[#This Row],[Columna1]]="por pagar"),"vencida","no")</f>
        <v>no</v>
      </c>
    </row>
    <row r="1449" spans="1:23" x14ac:dyDescent="0.3">
      <c r="A1449">
        <v>30</v>
      </c>
      <c r="B1449">
        <v>0</v>
      </c>
      <c r="D1449" t="s">
        <v>139</v>
      </c>
      <c r="E1449" s="156">
        <v>44391</v>
      </c>
      <c r="F1449" t="s">
        <v>638</v>
      </c>
      <c r="G1449" s="156">
        <v>44390</v>
      </c>
      <c r="H1449" t="s">
        <v>1268</v>
      </c>
      <c r="I1449">
        <v>2097000</v>
      </c>
      <c r="K1449">
        <v>0</v>
      </c>
      <c r="M1449">
        <v>0</v>
      </c>
      <c r="N1449">
        <v>0</v>
      </c>
      <c r="O1449">
        <v>0</v>
      </c>
      <c r="P1449" s="117">
        <v>2097000</v>
      </c>
      <c r="Q1449" s="117" t="s">
        <v>1021</v>
      </c>
      <c r="R1449" s="150">
        <v>0</v>
      </c>
      <c r="S1449" s="117" t="b">
        <f>OR(COUNTIF(Tabla2[[#This Row],[PROVEEDOR]],"*"&amp;'Palabra no opera'!$A$2&amp;"*"))</f>
        <v>0</v>
      </c>
      <c r="T1449" s="150">
        <f>+$W$5-Tabla2[[#This Row],[FECHA DE FACTURACIÓN]]</f>
        <v>444</v>
      </c>
      <c r="U1449" t="str">
        <f>+IF(Tabla2[[#This Row],[dias de credito]]&gt;=Tabla2[[#This Row],[PLAZO Días]],"venc", "No venc")</f>
        <v>venc</v>
      </c>
      <c r="V1449" t="str">
        <f>+IF(Tabla2[[#This Row],[FECHA DE PAGO]]&gt;0,"pagada","por pagar")</f>
        <v>pagada</v>
      </c>
      <c r="W1449" s="152" t="str">
        <f>+IF(AND(Tabla2[[#This Row],[venc]]="venc",Tabla2[[#This Row],[Columna1]]="por pagar"),"vencida","no")</f>
        <v>no</v>
      </c>
    </row>
    <row r="1450" spans="1:23" x14ac:dyDescent="0.3">
      <c r="A1450">
        <v>30</v>
      </c>
      <c r="B1450">
        <v>0</v>
      </c>
      <c r="D1450" t="s">
        <v>380</v>
      </c>
      <c r="E1450" s="156">
        <v>44391</v>
      </c>
      <c r="F1450" t="s">
        <v>56</v>
      </c>
      <c r="G1450" s="156">
        <v>44390</v>
      </c>
      <c r="H1450" t="s">
        <v>381</v>
      </c>
      <c r="I1450">
        <v>353601</v>
      </c>
      <c r="K1450">
        <v>67184.19</v>
      </c>
      <c r="M1450">
        <v>0</v>
      </c>
      <c r="N1450">
        <v>0</v>
      </c>
      <c r="O1450">
        <v>0</v>
      </c>
      <c r="P1450" s="117">
        <v>420785.19</v>
      </c>
      <c r="Q1450" s="117" t="s">
        <v>1021</v>
      </c>
      <c r="R1450" s="150">
        <v>0</v>
      </c>
      <c r="S1450" s="117" t="b">
        <f>OR(COUNTIF(Tabla2[[#This Row],[PROVEEDOR]],"*"&amp;'Palabra no opera'!$A$2&amp;"*"))</f>
        <v>0</v>
      </c>
      <c r="T1450" s="150">
        <f>+$W$5-Tabla2[[#This Row],[FECHA DE FACTURACIÓN]]</f>
        <v>444</v>
      </c>
      <c r="U1450" t="str">
        <f>+IF(Tabla2[[#This Row],[dias de credito]]&gt;=Tabla2[[#This Row],[PLAZO Días]],"venc", "No venc")</f>
        <v>venc</v>
      </c>
      <c r="V1450" t="str">
        <f>+IF(Tabla2[[#This Row],[FECHA DE PAGO]]&gt;0,"pagada","por pagar")</f>
        <v>pagada</v>
      </c>
      <c r="W1450" s="152" t="str">
        <f>+IF(AND(Tabla2[[#This Row],[venc]]="venc",Tabla2[[#This Row],[Columna1]]="por pagar"),"vencida","no")</f>
        <v>no</v>
      </c>
    </row>
    <row r="1451" spans="1:23" x14ac:dyDescent="0.3">
      <c r="A1451">
        <v>30</v>
      </c>
      <c r="B1451">
        <v>0</v>
      </c>
      <c r="D1451" t="s">
        <v>676</v>
      </c>
      <c r="E1451" s="156">
        <v>44391</v>
      </c>
      <c r="F1451" t="s">
        <v>940</v>
      </c>
      <c r="G1451" s="156">
        <v>44378</v>
      </c>
      <c r="H1451">
        <v>63475</v>
      </c>
      <c r="I1451">
        <v>302624.74</v>
      </c>
      <c r="K1451">
        <v>0</v>
      </c>
      <c r="M1451">
        <v>0</v>
      </c>
      <c r="N1451">
        <v>0</v>
      </c>
      <c r="O1451">
        <v>0</v>
      </c>
      <c r="P1451" s="117">
        <v>302624.74</v>
      </c>
      <c r="Q1451" s="117" t="s">
        <v>1021</v>
      </c>
      <c r="R1451" s="150">
        <v>0</v>
      </c>
      <c r="S1451" s="117" t="b">
        <f>OR(COUNTIF(Tabla2[[#This Row],[PROVEEDOR]],"*"&amp;'Palabra no opera'!$A$2&amp;"*"))</f>
        <v>1</v>
      </c>
      <c r="T1451" s="150">
        <f>+$W$5-Tabla2[[#This Row],[FECHA DE FACTURACIÓN]]</f>
        <v>456</v>
      </c>
      <c r="U1451" t="str">
        <f>+IF(Tabla2[[#This Row],[dias de credito]]&gt;=Tabla2[[#This Row],[PLAZO Días]],"venc", "No venc")</f>
        <v>venc</v>
      </c>
      <c r="V1451" t="str">
        <f>+IF(Tabla2[[#This Row],[FECHA DE PAGO]]&gt;0,"pagada","por pagar")</f>
        <v>pagada</v>
      </c>
      <c r="W1451" s="152" t="str">
        <f>+IF(AND(Tabla2[[#This Row],[venc]]="venc",Tabla2[[#This Row],[Columna1]]="por pagar"),"vencida","no")</f>
        <v>no</v>
      </c>
    </row>
    <row r="1452" spans="1:23" x14ac:dyDescent="0.3">
      <c r="A1452">
        <v>30</v>
      </c>
      <c r="B1452">
        <v>0</v>
      </c>
      <c r="D1452">
        <v>0</v>
      </c>
      <c r="E1452" s="156">
        <v>44391</v>
      </c>
      <c r="F1452" t="s">
        <v>932</v>
      </c>
      <c r="G1452" s="156">
        <v>44378</v>
      </c>
      <c r="H1452" t="s">
        <v>307</v>
      </c>
      <c r="I1452">
        <v>313385</v>
      </c>
      <c r="K1452">
        <v>0</v>
      </c>
      <c r="M1452">
        <v>0</v>
      </c>
      <c r="N1452">
        <v>0</v>
      </c>
      <c r="O1452">
        <v>0</v>
      </c>
      <c r="P1452" s="117">
        <v>313385</v>
      </c>
      <c r="Q1452" s="117" t="s">
        <v>1021</v>
      </c>
      <c r="R1452" s="150">
        <v>0</v>
      </c>
      <c r="S1452" s="117" t="b">
        <f>OR(COUNTIF(Tabla2[[#This Row],[PROVEEDOR]],"*"&amp;'Palabra no opera'!$A$2&amp;"*"))</f>
        <v>1</v>
      </c>
      <c r="T1452" s="150">
        <f>+$W$5-Tabla2[[#This Row],[FECHA DE FACTURACIÓN]]</f>
        <v>456</v>
      </c>
      <c r="U1452" t="str">
        <f>+IF(Tabla2[[#This Row],[dias de credito]]&gt;=Tabla2[[#This Row],[PLAZO Días]],"venc", "No venc")</f>
        <v>venc</v>
      </c>
      <c r="V1452" t="str">
        <f>+IF(Tabla2[[#This Row],[FECHA DE PAGO]]&gt;0,"pagada","por pagar")</f>
        <v>pagada</v>
      </c>
      <c r="W1452" s="152" t="str">
        <f>+IF(AND(Tabla2[[#This Row],[venc]]="venc",Tabla2[[#This Row],[Columna1]]="por pagar"),"vencida","no")</f>
        <v>no</v>
      </c>
    </row>
    <row r="1453" spans="1:23" x14ac:dyDescent="0.3">
      <c r="A1453">
        <v>13</v>
      </c>
      <c r="B1453">
        <v>0</v>
      </c>
      <c r="D1453">
        <v>0</v>
      </c>
      <c r="E1453" s="156">
        <v>44391</v>
      </c>
      <c r="F1453" t="s">
        <v>934</v>
      </c>
      <c r="G1453" s="156">
        <v>44378</v>
      </c>
      <c r="I1453">
        <v>874675</v>
      </c>
      <c r="K1453">
        <v>0</v>
      </c>
      <c r="M1453">
        <v>0</v>
      </c>
      <c r="N1453">
        <v>0</v>
      </c>
      <c r="O1453">
        <v>0</v>
      </c>
      <c r="P1453" s="117">
        <v>874675</v>
      </c>
      <c r="Q1453" s="117" t="s">
        <v>1021</v>
      </c>
      <c r="R1453" s="150">
        <v>0</v>
      </c>
      <c r="S1453" s="117" t="b">
        <f>OR(COUNTIF(Tabla2[[#This Row],[PROVEEDOR]],"*"&amp;'Palabra no opera'!$A$2&amp;"*"))</f>
        <v>1</v>
      </c>
      <c r="T1453" s="150">
        <f>+$W$5-Tabla2[[#This Row],[FECHA DE FACTURACIÓN]]</f>
        <v>456</v>
      </c>
      <c r="U1453" t="str">
        <f>+IF(Tabla2[[#This Row],[dias de credito]]&gt;=Tabla2[[#This Row],[PLAZO Días]],"venc", "No venc")</f>
        <v>venc</v>
      </c>
      <c r="V1453" t="str">
        <f>+IF(Tabla2[[#This Row],[FECHA DE PAGO]]&gt;0,"pagada","por pagar")</f>
        <v>pagada</v>
      </c>
      <c r="W1453" s="152" t="str">
        <f>+IF(AND(Tabla2[[#This Row],[venc]]="venc",Tabla2[[#This Row],[Columna1]]="por pagar"),"vencida","no")</f>
        <v>no</v>
      </c>
    </row>
    <row r="1454" spans="1:23" x14ac:dyDescent="0.3">
      <c r="A1454">
        <v>30</v>
      </c>
      <c r="B1454">
        <v>5225000</v>
      </c>
      <c r="D1454" t="s">
        <v>139</v>
      </c>
      <c r="E1454" s="156">
        <v>44391</v>
      </c>
      <c r="F1454" t="s">
        <v>629</v>
      </c>
      <c r="G1454" s="156">
        <v>44363</v>
      </c>
      <c r="H1454" t="s">
        <v>1248</v>
      </c>
      <c r="I1454">
        <v>1065000</v>
      </c>
      <c r="K1454">
        <v>0</v>
      </c>
      <c r="M1454">
        <v>0</v>
      </c>
      <c r="N1454">
        <v>0</v>
      </c>
      <c r="O1454">
        <v>0</v>
      </c>
      <c r="P1454" s="117">
        <v>1065000</v>
      </c>
      <c r="Q1454" s="117" t="s">
        <v>1021</v>
      </c>
      <c r="R1454" s="150">
        <v>0</v>
      </c>
      <c r="S1454" s="117" t="b">
        <f>OR(COUNTIF(Tabla2[[#This Row],[PROVEEDOR]],"*"&amp;'Palabra no opera'!$A$2&amp;"*"))</f>
        <v>0</v>
      </c>
      <c r="T1454" s="150">
        <f>+$W$5-Tabla2[[#This Row],[FECHA DE FACTURACIÓN]]</f>
        <v>471</v>
      </c>
      <c r="U1454" t="str">
        <f>+IF(Tabla2[[#This Row],[dias de credito]]&gt;=Tabla2[[#This Row],[PLAZO Días]],"venc", "No venc")</f>
        <v>venc</v>
      </c>
      <c r="V1454" t="str">
        <f>+IF(Tabla2[[#This Row],[FECHA DE PAGO]]&gt;0,"pagada","por pagar")</f>
        <v>pagada</v>
      </c>
      <c r="W1454" s="152" t="str">
        <f>+IF(AND(Tabla2[[#This Row],[venc]]="venc",Tabla2[[#This Row],[Columna1]]="por pagar"),"vencida","no")</f>
        <v>no</v>
      </c>
    </row>
    <row r="1455" spans="1:23" x14ac:dyDescent="0.3">
      <c r="A1455">
        <v>30</v>
      </c>
      <c r="B1455">
        <v>-101001.25</v>
      </c>
      <c r="D1455" t="s">
        <v>274</v>
      </c>
      <c r="E1455" s="156">
        <v>44389</v>
      </c>
      <c r="F1455" t="s">
        <v>14</v>
      </c>
      <c r="G1455" s="156">
        <v>44370</v>
      </c>
      <c r="H1455" t="s">
        <v>357</v>
      </c>
      <c r="I1455">
        <v>1237353</v>
      </c>
      <c r="K1455">
        <v>235097.07</v>
      </c>
      <c r="M1455">
        <v>0</v>
      </c>
      <c r="N1455">
        <v>2.5000000000000001E-2</v>
      </c>
      <c r="O1455">
        <v>30933.825000000001</v>
      </c>
      <c r="P1455" s="117">
        <v>1441516.2450000001</v>
      </c>
      <c r="Q1455" s="117" t="s">
        <v>1021</v>
      </c>
      <c r="R1455" s="150">
        <v>0</v>
      </c>
      <c r="S1455" s="117" t="b">
        <f>OR(COUNTIF(Tabla2[[#This Row],[PROVEEDOR]],"*"&amp;'Palabra no opera'!$A$2&amp;"*"))</f>
        <v>0</v>
      </c>
      <c r="T1455" s="150">
        <f>+$W$5-Tabla2[[#This Row],[FECHA DE FACTURACIÓN]]</f>
        <v>464</v>
      </c>
      <c r="U1455" t="str">
        <f>+IF(Tabla2[[#This Row],[dias de credito]]&gt;=Tabla2[[#This Row],[PLAZO Días]],"venc", "No venc")</f>
        <v>venc</v>
      </c>
      <c r="V1455" t="str">
        <f>+IF(Tabla2[[#This Row],[FECHA DE PAGO]]&gt;0,"pagada","por pagar")</f>
        <v>pagada</v>
      </c>
      <c r="W1455" s="152" t="str">
        <f>+IF(AND(Tabla2[[#This Row],[venc]]="venc",Tabla2[[#This Row],[Columna1]]="por pagar"),"vencida","no")</f>
        <v>no</v>
      </c>
    </row>
    <row r="1456" spans="1:23" x14ac:dyDescent="0.3">
      <c r="A1456">
        <v>30</v>
      </c>
      <c r="B1456">
        <v>-101001.25</v>
      </c>
      <c r="D1456" t="s">
        <v>274</v>
      </c>
      <c r="E1456" s="156">
        <v>44389</v>
      </c>
      <c r="F1456" t="s">
        <v>14</v>
      </c>
      <c r="G1456" s="156">
        <v>44363</v>
      </c>
      <c r="H1456">
        <v>14498</v>
      </c>
      <c r="I1456">
        <v>154542</v>
      </c>
      <c r="K1456">
        <v>29362.98</v>
      </c>
      <c r="M1456">
        <v>0</v>
      </c>
      <c r="N1456">
        <v>0</v>
      </c>
      <c r="O1456">
        <v>0</v>
      </c>
      <c r="P1456" s="117">
        <v>183904.98</v>
      </c>
      <c r="Q1456" s="117" t="s">
        <v>1021</v>
      </c>
      <c r="R1456" s="150">
        <v>0</v>
      </c>
      <c r="S1456" s="117" t="b">
        <f>OR(COUNTIF(Tabla2[[#This Row],[PROVEEDOR]],"*"&amp;'Palabra no opera'!$A$2&amp;"*"))</f>
        <v>0</v>
      </c>
      <c r="T1456" s="150">
        <f>+$W$5-Tabla2[[#This Row],[FECHA DE FACTURACIÓN]]</f>
        <v>471</v>
      </c>
      <c r="U1456" t="str">
        <f>+IF(Tabla2[[#This Row],[dias de credito]]&gt;=Tabla2[[#This Row],[PLAZO Días]],"venc", "No venc")</f>
        <v>venc</v>
      </c>
      <c r="V1456" t="str">
        <f>+IF(Tabla2[[#This Row],[FECHA DE PAGO]]&gt;0,"pagada","por pagar")</f>
        <v>pagada</v>
      </c>
      <c r="W1456" s="152" t="str">
        <f>+IF(AND(Tabla2[[#This Row],[venc]]="venc",Tabla2[[#This Row],[Columna1]]="por pagar"),"vencida","no")</f>
        <v>no</v>
      </c>
    </row>
    <row r="1457" spans="1:23" x14ac:dyDescent="0.3">
      <c r="A1457">
        <v>30</v>
      </c>
      <c r="B1457">
        <v>19675613.1195</v>
      </c>
      <c r="D1457" t="s">
        <v>256</v>
      </c>
      <c r="E1457" s="156">
        <v>44389</v>
      </c>
      <c r="F1457" t="s">
        <v>18</v>
      </c>
      <c r="G1457" s="156">
        <v>44350</v>
      </c>
      <c r="H1457">
        <v>1038584</v>
      </c>
      <c r="I1457">
        <v>2162828.4</v>
      </c>
      <c r="K1457">
        <v>410937.39600000001</v>
      </c>
      <c r="M1457">
        <v>0</v>
      </c>
      <c r="N1457">
        <v>2.5000000000000001E-2</v>
      </c>
      <c r="O1457">
        <v>54070.71</v>
      </c>
      <c r="P1457" s="117">
        <v>2519695.0860000001</v>
      </c>
      <c r="Q1457" s="117" t="s">
        <v>1021</v>
      </c>
      <c r="R1457" s="150">
        <v>0</v>
      </c>
      <c r="S1457" s="117" t="b">
        <f>OR(COUNTIF(Tabla2[[#This Row],[PROVEEDOR]],"*"&amp;'Palabra no opera'!$A$2&amp;"*"))</f>
        <v>0</v>
      </c>
      <c r="T1457" s="150">
        <f>+$W$5-Tabla2[[#This Row],[FECHA DE FACTURACIÓN]]</f>
        <v>484</v>
      </c>
      <c r="U1457" t="str">
        <f>+IF(Tabla2[[#This Row],[dias de credito]]&gt;=Tabla2[[#This Row],[PLAZO Días]],"venc", "No venc")</f>
        <v>venc</v>
      </c>
      <c r="V1457" t="str">
        <f>+IF(Tabla2[[#This Row],[FECHA DE PAGO]]&gt;0,"pagada","por pagar")</f>
        <v>pagada</v>
      </c>
      <c r="W1457" s="152" t="str">
        <f>+IF(AND(Tabla2[[#This Row],[venc]]="venc",Tabla2[[#This Row],[Columna1]]="por pagar"),"vencida","no")</f>
        <v>no</v>
      </c>
    </row>
    <row r="1458" spans="1:23" x14ac:dyDescent="0.3">
      <c r="A1458">
        <v>30</v>
      </c>
      <c r="B1458">
        <v>6259125.5999999996</v>
      </c>
      <c r="D1458" t="s">
        <v>264</v>
      </c>
      <c r="E1458" s="156">
        <v>44389</v>
      </c>
      <c r="F1458" t="s">
        <v>1448</v>
      </c>
      <c r="G1458" s="156">
        <v>44343</v>
      </c>
      <c r="H1458">
        <v>17710</v>
      </c>
      <c r="I1458">
        <v>12588000</v>
      </c>
      <c r="K1458">
        <v>2391720</v>
      </c>
      <c r="M1458">
        <v>0</v>
      </c>
      <c r="N1458">
        <v>2.5000000000000001E-2</v>
      </c>
      <c r="O1458">
        <v>314700</v>
      </c>
      <c r="P1458" s="117">
        <v>14665020</v>
      </c>
      <c r="Q1458" s="117" t="s">
        <v>1021</v>
      </c>
      <c r="R1458" s="150">
        <v>0</v>
      </c>
      <c r="S1458" s="117" t="b">
        <f>OR(COUNTIF(Tabla2[[#This Row],[PROVEEDOR]],"*"&amp;'Palabra no opera'!$A$2&amp;"*"))</f>
        <v>0</v>
      </c>
      <c r="T1458" s="150">
        <f>+$W$5-Tabla2[[#This Row],[FECHA DE FACTURACIÓN]]</f>
        <v>491</v>
      </c>
      <c r="U1458" t="str">
        <f>+IF(Tabla2[[#This Row],[dias de credito]]&gt;=Tabla2[[#This Row],[PLAZO Días]],"venc", "No venc")</f>
        <v>venc</v>
      </c>
      <c r="V1458" t="str">
        <f>+IF(Tabla2[[#This Row],[FECHA DE PAGO]]&gt;0,"pagada","por pagar")</f>
        <v>pagada</v>
      </c>
      <c r="W1458" s="152" t="str">
        <f>+IF(AND(Tabla2[[#This Row],[venc]]="venc",Tabla2[[#This Row],[Columna1]]="por pagar"),"vencida","no")</f>
        <v>no</v>
      </c>
    </row>
    <row r="1459" spans="1:23" x14ac:dyDescent="0.3">
      <c r="A1459">
        <v>30</v>
      </c>
      <c r="B1459">
        <v>8190204</v>
      </c>
      <c r="D1459" t="s">
        <v>263</v>
      </c>
      <c r="E1459" s="156">
        <v>44389</v>
      </c>
      <c r="F1459" t="s">
        <v>1637</v>
      </c>
      <c r="G1459" s="156">
        <v>44343</v>
      </c>
      <c r="H1459">
        <v>7562</v>
      </c>
      <c r="I1459">
        <v>444000</v>
      </c>
      <c r="K1459">
        <v>84360</v>
      </c>
      <c r="M1459">
        <v>0</v>
      </c>
      <c r="N1459">
        <v>0</v>
      </c>
      <c r="O1459">
        <v>0</v>
      </c>
      <c r="P1459" s="117">
        <v>528360</v>
      </c>
      <c r="Q1459" s="117" t="s">
        <v>1021</v>
      </c>
      <c r="R1459" s="150">
        <v>0</v>
      </c>
      <c r="S1459" s="117" t="b">
        <f>OR(COUNTIF(Tabla2[[#This Row],[PROVEEDOR]],"*"&amp;'Palabra no opera'!$A$2&amp;"*"))</f>
        <v>0</v>
      </c>
      <c r="T1459" s="150">
        <f>+$W$5-Tabla2[[#This Row],[FECHA DE FACTURACIÓN]]</f>
        <v>491</v>
      </c>
      <c r="U1459" t="str">
        <f>+IF(Tabla2[[#This Row],[dias de credito]]&gt;=Tabla2[[#This Row],[PLAZO Días]],"venc", "No venc")</f>
        <v>venc</v>
      </c>
      <c r="V1459" t="str">
        <f>+IF(Tabla2[[#This Row],[FECHA DE PAGO]]&gt;0,"pagada","por pagar")</f>
        <v>pagada</v>
      </c>
      <c r="W1459" s="152" t="str">
        <f>+IF(AND(Tabla2[[#This Row],[venc]]="venc",Tabla2[[#This Row],[Columna1]]="por pagar"),"vencida","no")</f>
        <v>no</v>
      </c>
    </row>
    <row r="1460" spans="1:23" x14ac:dyDescent="0.3">
      <c r="A1460">
        <v>30</v>
      </c>
      <c r="B1460">
        <v>0</v>
      </c>
      <c r="D1460" t="s">
        <v>261</v>
      </c>
      <c r="E1460" s="156">
        <v>44389</v>
      </c>
      <c r="F1460" t="s">
        <v>746</v>
      </c>
      <c r="G1460" s="156">
        <v>44341</v>
      </c>
      <c r="H1460">
        <v>1216</v>
      </c>
      <c r="I1460">
        <v>182352.94</v>
      </c>
      <c r="K1460">
        <v>34647.058600000004</v>
      </c>
      <c r="M1460">
        <v>0</v>
      </c>
      <c r="N1460">
        <v>0</v>
      </c>
      <c r="O1460">
        <v>0</v>
      </c>
      <c r="P1460" s="117">
        <v>216999.99859999999</v>
      </c>
      <c r="Q1460" s="117" t="s">
        <v>1021</v>
      </c>
      <c r="R1460" s="150">
        <v>0</v>
      </c>
      <c r="S1460" s="117" t="b">
        <f>OR(COUNTIF(Tabla2[[#This Row],[PROVEEDOR]],"*"&amp;'Palabra no opera'!$A$2&amp;"*"))</f>
        <v>0</v>
      </c>
      <c r="T1460" s="150">
        <f>+$W$5-Tabla2[[#This Row],[FECHA DE FACTURACIÓN]]</f>
        <v>493</v>
      </c>
      <c r="U1460" t="str">
        <f>+IF(Tabla2[[#This Row],[dias de credito]]&gt;=Tabla2[[#This Row],[PLAZO Días]],"venc", "No venc")</f>
        <v>venc</v>
      </c>
      <c r="V1460" t="str">
        <f>+IF(Tabla2[[#This Row],[FECHA DE PAGO]]&gt;0,"pagada","por pagar")</f>
        <v>pagada</v>
      </c>
      <c r="W1460" s="152" t="str">
        <f>+IF(AND(Tabla2[[#This Row],[venc]]="venc",Tabla2[[#This Row],[Columna1]]="por pagar"),"vencida","no")</f>
        <v>no</v>
      </c>
    </row>
    <row r="1461" spans="1:23" x14ac:dyDescent="0.3">
      <c r="A1461">
        <v>30</v>
      </c>
      <c r="B1461">
        <v>0</v>
      </c>
      <c r="D1461" t="s">
        <v>261</v>
      </c>
      <c r="E1461" s="156">
        <v>44389</v>
      </c>
      <c r="F1461" t="s">
        <v>746</v>
      </c>
      <c r="G1461" s="156">
        <v>44337</v>
      </c>
      <c r="H1461">
        <v>1205</v>
      </c>
      <c r="I1461">
        <v>2181344.5299999998</v>
      </c>
      <c r="K1461">
        <v>414455.46069999994</v>
      </c>
      <c r="M1461">
        <v>0</v>
      </c>
      <c r="N1461">
        <v>2.5000000000000001E-2</v>
      </c>
      <c r="O1461">
        <v>54533.613249999995</v>
      </c>
      <c r="P1461" s="117">
        <v>2541266.37745</v>
      </c>
      <c r="Q1461" s="117" t="s">
        <v>1021</v>
      </c>
      <c r="R1461" s="150">
        <v>0</v>
      </c>
      <c r="S1461" s="117" t="b">
        <f>OR(COUNTIF(Tabla2[[#This Row],[PROVEEDOR]],"*"&amp;'Palabra no opera'!$A$2&amp;"*"))</f>
        <v>0</v>
      </c>
      <c r="T1461" s="150">
        <f>+$W$5-Tabla2[[#This Row],[FECHA DE FACTURACIÓN]]</f>
        <v>497</v>
      </c>
      <c r="U1461" t="str">
        <f>+IF(Tabla2[[#This Row],[dias de credito]]&gt;=Tabla2[[#This Row],[PLAZO Días]],"venc", "No venc")</f>
        <v>venc</v>
      </c>
      <c r="V1461" t="str">
        <f>+IF(Tabla2[[#This Row],[FECHA DE PAGO]]&gt;0,"pagada","por pagar")</f>
        <v>pagada</v>
      </c>
      <c r="W1461" s="152" t="str">
        <f>+IF(AND(Tabla2[[#This Row],[venc]]="venc",Tabla2[[#This Row],[Columna1]]="por pagar"),"vencida","no")</f>
        <v>no</v>
      </c>
    </row>
    <row r="1462" spans="1:23" x14ac:dyDescent="0.3">
      <c r="A1462">
        <v>30</v>
      </c>
      <c r="B1462">
        <v>2111011.8149999999</v>
      </c>
      <c r="D1462" t="s">
        <v>251</v>
      </c>
      <c r="E1462" s="156">
        <v>44389</v>
      </c>
      <c r="F1462" t="s">
        <v>216</v>
      </c>
      <c r="G1462" s="156">
        <v>44336</v>
      </c>
      <c r="H1462">
        <v>272</v>
      </c>
      <c r="I1462">
        <v>993276</v>
      </c>
      <c r="K1462">
        <v>188722.44</v>
      </c>
      <c r="M1462">
        <v>0</v>
      </c>
      <c r="N1462">
        <v>2.5000000000000001E-2</v>
      </c>
      <c r="O1462">
        <v>24831.9</v>
      </c>
      <c r="P1462" s="117">
        <v>1157166.54</v>
      </c>
      <c r="Q1462" s="117" t="s">
        <v>1021</v>
      </c>
      <c r="R1462" s="150">
        <v>0</v>
      </c>
      <c r="S1462" s="117" t="b">
        <f>OR(COUNTIF(Tabla2[[#This Row],[PROVEEDOR]],"*"&amp;'Palabra no opera'!$A$2&amp;"*"))</f>
        <v>0</v>
      </c>
      <c r="T1462" s="150">
        <f>+$W$5-Tabla2[[#This Row],[FECHA DE FACTURACIÓN]]</f>
        <v>498</v>
      </c>
      <c r="U1462" t="str">
        <f>+IF(Tabla2[[#This Row],[dias de credito]]&gt;=Tabla2[[#This Row],[PLAZO Días]],"venc", "No venc")</f>
        <v>venc</v>
      </c>
      <c r="V1462" t="str">
        <f>+IF(Tabla2[[#This Row],[FECHA DE PAGO]]&gt;0,"pagada","por pagar")</f>
        <v>pagada</v>
      </c>
      <c r="W1462" s="152" t="str">
        <f>+IF(AND(Tabla2[[#This Row],[venc]]="venc",Tabla2[[#This Row],[Columna1]]="por pagar"),"vencida","no")</f>
        <v>no</v>
      </c>
    </row>
    <row r="1463" spans="1:23" x14ac:dyDescent="0.3">
      <c r="A1463">
        <v>45</v>
      </c>
      <c r="B1463">
        <v>7497238</v>
      </c>
      <c r="D1463" t="s">
        <v>272</v>
      </c>
      <c r="E1463" s="156">
        <v>44389</v>
      </c>
      <c r="F1463" t="s">
        <v>10</v>
      </c>
      <c r="G1463" s="156">
        <v>44328</v>
      </c>
      <c r="H1463" t="s">
        <v>329</v>
      </c>
      <c r="I1463">
        <v>698200</v>
      </c>
      <c r="K1463">
        <v>132658</v>
      </c>
      <c r="M1463">
        <v>0</v>
      </c>
      <c r="N1463">
        <v>0</v>
      </c>
      <c r="O1463">
        <v>0</v>
      </c>
      <c r="P1463" s="117">
        <v>830858</v>
      </c>
      <c r="Q1463" s="117" t="s">
        <v>1021</v>
      </c>
      <c r="R1463" s="150">
        <v>0</v>
      </c>
      <c r="S1463" s="117" t="b">
        <f>OR(COUNTIF(Tabla2[[#This Row],[PROVEEDOR]],"*"&amp;'Palabra no opera'!$A$2&amp;"*"))</f>
        <v>0</v>
      </c>
      <c r="T1463" s="150">
        <f>+$W$5-Tabla2[[#This Row],[FECHA DE FACTURACIÓN]]</f>
        <v>506</v>
      </c>
      <c r="U1463" t="str">
        <f>+IF(Tabla2[[#This Row],[dias de credito]]&gt;=Tabla2[[#This Row],[PLAZO Días]],"venc", "No venc")</f>
        <v>venc</v>
      </c>
      <c r="V1463" t="str">
        <f>+IF(Tabla2[[#This Row],[FECHA DE PAGO]]&gt;0,"pagada","por pagar")</f>
        <v>pagada</v>
      </c>
      <c r="W1463" s="152" t="str">
        <f>+IF(AND(Tabla2[[#This Row],[venc]]="venc",Tabla2[[#This Row],[Columna1]]="por pagar"),"vencida","no")</f>
        <v>no</v>
      </c>
    </row>
    <row r="1464" spans="1:23" x14ac:dyDescent="0.3">
      <c r="A1464">
        <v>45</v>
      </c>
      <c r="B1464">
        <v>7497238</v>
      </c>
      <c r="D1464" t="s">
        <v>272</v>
      </c>
      <c r="E1464" s="156">
        <v>44389</v>
      </c>
      <c r="F1464" t="s">
        <v>10</v>
      </c>
      <c r="G1464" s="156">
        <v>44323</v>
      </c>
      <c r="H1464" t="s">
        <v>321</v>
      </c>
      <c r="I1464">
        <v>90000</v>
      </c>
      <c r="K1464">
        <v>17100</v>
      </c>
      <c r="M1464">
        <v>0</v>
      </c>
      <c r="N1464">
        <v>0</v>
      </c>
      <c r="O1464">
        <v>0</v>
      </c>
      <c r="P1464" s="117">
        <v>107100</v>
      </c>
      <c r="Q1464" s="117" t="s">
        <v>1021</v>
      </c>
      <c r="R1464" s="150">
        <v>0</v>
      </c>
      <c r="S1464" s="117" t="b">
        <f>OR(COUNTIF(Tabla2[[#This Row],[PROVEEDOR]],"*"&amp;'Palabra no opera'!$A$2&amp;"*"))</f>
        <v>0</v>
      </c>
      <c r="T1464" s="150">
        <f>+$W$5-Tabla2[[#This Row],[FECHA DE FACTURACIÓN]]</f>
        <v>511</v>
      </c>
      <c r="U1464" t="str">
        <f>+IF(Tabla2[[#This Row],[dias de credito]]&gt;=Tabla2[[#This Row],[PLAZO Días]],"venc", "No venc")</f>
        <v>venc</v>
      </c>
      <c r="V1464" t="str">
        <f>+IF(Tabla2[[#This Row],[FECHA DE PAGO]]&gt;0,"pagada","por pagar")</f>
        <v>pagada</v>
      </c>
      <c r="W1464" s="152" t="str">
        <f>+IF(AND(Tabla2[[#This Row],[venc]]="venc",Tabla2[[#This Row],[Columna1]]="por pagar"),"vencida","no")</f>
        <v>no</v>
      </c>
    </row>
    <row r="1465" spans="1:23" x14ac:dyDescent="0.3">
      <c r="A1465">
        <v>30</v>
      </c>
      <c r="B1465">
        <v>0</v>
      </c>
      <c r="D1465" t="s">
        <v>139</v>
      </c>
      <c r="E1465" s="156">
        <v>44385</v>
      </c>
      <c r="F1465" t="s">
        <v>683</v>
      </c>
      <c r="G1465" s="156">
        <v>44385</v>
      </c>
      <c r="H1465" t="s">
        <v>1266</v>
      </c>
      <c r="I1465">
        <v>160000</v>
      </c>
      <c r="K1465">
        <v>0</v>
      </c>
      <c r="M1465">
        <v>0</v>
      </c>
      <c r="N1465">
        <v>0</v>
      </c>
      <c r="O1465">
        <v>0</v>
      </c>
      <c r="P1465" s="117">
        <v>160000</v>
      </c>
      <c r="Q1465" s="117" t="s">
        <v>1021</v>
      </c>
      <c r="R1465" s="150">
        <v>0</v>
      </c>
      <c r="S1465" s="117" t="b">
        <f>OR(COUNTIF(Tabla2[[#This Row],[PROVEEDOR]],"*"&amp;'Palabra no opera'!$A$2&amp;"*"))</f>
        <v>0</v>
      </c>
      <c r="T1465" s="150">
        <f>+$W$5-Tabla2[[#This Row],[FECHA DE FACTURACIÓN]]</f>
        <v>449</v>
      </c>
      <c r="U1465" t="str">
        <f>+IF(Tabla2[[#This Row],[dias de credito]]&gt;=Tabla2[[#This Row],[PLAZO Días]],"venc", "No venc")</f>
        <v>venc</v>
      </c>
      <c r="V1465" t="str">
        <f>+IF(Tabla2[[#This Row],[FECHA DE PAGO]]&gt;0,"pagada","por pagar")</f>
        <v>pagada</v>
      </c>
      <c r="W1465" s="152" t="str">
        <f>+IF(AND(Tabla2[[#This Row],[venc]]="venc",Tabla2[[#This Row],[Columna1]]="por pagar"),"vencida","no")</f>
        <v>no</v>
      </c>
    </row>
    <row r="1466" spans="1:23" x14ac:dyDescent="0.3">
      <c r="A1466">
        <v>30</v>
      </c>
      <c r="B1466">
        <v>0</v>
      </c>
      <c r="D1466" t="s">
        <v>250</v>
      </c>
      <c r="E1466" s="156">
        <v>44385</v>
      </c>
      <c r="F1466" t="s">
        <v>1451</v>
      </c>
      <c r="G1466" s="156">
        <v>44380</v>
      </c>
      <c r="H1466">
        <v>112</v>
      </c>
      <c r="I1466">
        <v>341000</v>
      </c>
      <c r="K1466">
        <v>0</v>
      </c>
      <c r="M1466">
        <v>0</v>
      </c>
      <c r="N1466">
        <v>0.01</v>
      </c>
      <c r="O1466">
        <v>3410</v>
      </c>
      <c r="P1466" s="117">
        <v>337590</v>
      </c>
      <c r="Q1466" s="117" t="s">
        <v>1021</v>
      </c>
      <c r="R1466" s="150">
        <v>0</v>
      </c>
      <c r="S1466" s="117" t="b">
        <f>OR(COUNTIF(Tabla2[[#This Row],[PROVEEDOR]],"*"&amp;'Palabra no opera'!$A$2&amp;"*"))</f>
        <v>0</v>
      </c>
      <c r="T1466" s="150">
        <f>+$W$5-Tabla2[[#This Row],[FECHA DE FACTURACIÓN]]</f>
        <v>454</v>
      </c>
      <c r="U1466" t="str">
        <f>+IF(Tabla2[[#This Row],[dias de credito]]&gt;=Tabla2[[#This Row],[PLAZO Días]],"venc", "No venc")</f>
        <v>venc</v>
      </c>
      <c r="V1466" t="str">
        <f>+IF(Tabla2[[#This Row],[FECHA DE PAGO]]&gt;0,"pagada","por pagar")</f>
        <v>pagada</v>
      </c>
      <c r="W1466" s="152" t="str">
        <f>+IF(AND(Tabla2[[#This Row],[venc]]="venc",Tabla2[[#This Row],[Columna1]]="por pagar"),"vencida","no")</f>
        <v>no</v>
      </c>
    </row>
    <row r="1467" spans="1:23" x14ac:dyDescent="0.3">
      <c r="A1467">
        <v>30</v>
      </c>
      <c r="B1467">
        <v>3450150</v>
      </c>
      <c r="D1467" t="s">
        <v>402</v>
      </c>
      <c r="E1467" s="156">
        <v>44385</v>
      </c>
      <c r="F1467" t="s">
        <v>691</v>
      </c>
      <c r="G1467" s="156">
        <v>44356</v>
      </c>
      <c r="H1467">
        <v>2811</v>
      </c>
      <c r="I1467">
        <v>1574200</v>
      </c>
      <c r="K1467">
        <v>0</v>
      </c>
      <c r="M1467">
        <v>0</v>
      </c>
      <c r="N1467">
        <v>0</v>
      </c>
      <c r="O1467">
        <v>0</v>
      </c>
      <c r="P1467" s="117">
        <v>1574200</v>
      </c>
      <c r="Q1467" s="117" t="s">
        <v>1021</v>
      </c>
      <c r="R1467" s="150">
        <v>0</v>
      </c>
      <c r="S1467" s="117" t="b">
        <f>OR(COUNTIF(Tabla2[[#This Row],[PROVEEDOR]],"*"&amp;'Palabra no opera'!$A$2&amp;"*"))</f>
        <v>0</v>
      </c>
      <c r="T1467" s="150">
        <f>+$W$5-Tabla2[[#This Row],[FECHA DE FACTURACIÓN]]</f>
        <v>478</v>
      </c>
      <c r="U1467" t="str">
        <f>+IF(Tabla2[[#This Row],[dias de credito]]&gt;=Tabla2[[#This Row],[PLAZO Días]],"venc", "No venc")</f>
        <v>venc</v>
      </c>
      <c r="V1467" t="str">
        <f>+IF(Tabla2[[#This Row],[FECHA DE PAGO]]&gt;0,"pagada","por pagar")</f>
        <v>pagada</v>
      </c>
      <c r="W1467" s="152" t="str">
        <f>+IF(AND(Tabla2[[#This Row],[venc]]="venc",Tabla2[[#This Row],[Columna1]]="por pagar"),"vencida","no")</f>
        <v>no</v>
      </c>
    </row>
    <row r="1468" spans="1:23" x14ac:dyDescent="0.3">
      <c r="A1468">
        <v>30</v>
      </c>
      <c r="B1468">
        <v>146262.9</v>
      </c>
      <c r="D1468" t="s">
        <v>262</v>
      </c>
      <c r="E1468" s="156">
        <v>44385</v>
      </c>
      <c r="F1468" t="s">
        <v>17</v>
      </c>
      <c r="G1468" s="156">
        <v>44350</v>
      </c>
      <c r="H1468">
        <v>1771451</v>
      </c>
      <c r="I1468">
        <v>485101</v>
      </c>
      <c r="K1468">
        <v>92169.19</v>
      </c>
      <c r="M1468">
        <v>0</v>
      </c>
      <c r="N1468">
        <v>0</v>
      </c>
      <c r="O1468">
        <v>0</v>
      </c>
      <c r="P1468" s="117">
        <v>577270.18999999994</v>
      </c>
      <c r="Q1468" s="117" t="s">
        <v>1021</v>
      </c>
      <c r="R1468" s="150">
        <v>0</v>
      </c>
      <c r="S1468" s="117" t="b">
        <f>OR(COUNTIF(Tabla2[[#This Row],[PROVEEDOR]],"*"&amp;'Palabra no opera'!$A$2&amp;"*"))</f>
        <v>0</v>
      </c>
      <c r="T1468" s="150">
        <f>+$W$5-Tabla2[[#This Row],[FECHA DE FACTURACIÓN]]</f>
        <v>484</v>
      </c>
      <c r="U1468" t="str">
        <f>+IF(Tabla2[[#This Row],[dias de credito]]&gt;=Tabla2[[#This Row],[PLAZO Días]],"venc", "No venc")</f>
        <v>venc</v>
      </c>
      <c r="V1468" t="str">
        <f>+IF(Tabla2[[#This Row],[FECHA DE PAGO]]&gt;0,"pagada","por pagar")</f>
        <v>pagada</v>
      </c>
      <c r="W1468" s="152" t="str">
        <f>+IF(AND(Tabla2[[#This Row],[venc]]="venc",Tabla2[[#This Row],[Columna1]]="por pagar"),"vencida","no")</f>
        <v>no</v>
      </c>
    </row>
    <row r="1469" spans="1:23" x14ac:dyDescent="0.3">
      <c r="A1469">
        <v>30</v>
      </c>
      <c r="B1469">
        <v>8457900</v>
      </c>
      <c r="D1469" t="s">
        <v>1027</v>
      </c>
      <c r="E1469" s="156">
        <v>44385</v>
      </c>
      <c r="F1469" t="s">
        <v>11</v>
      </c>
      <c r="G1469" s="156">
        <v>44348</v>
      </c>
      <c r="H1469" t="s">
        <v>338</v>
      </c>
      <c r="I1469">
        <v>2106050</v>
      </c>
      <c r="K1469">
        <v>400149.5</v>
      </c>
      <c r="M1469">
        <v>0</v>
      </c>
      <c r="N1469">
        <v>2.5000000000000001E-2</v>
      </c>
      <c r="O1469">
        <v>52651.25</v>
      </c>
      <c r="P1469" s="117">
        <v>2453548.25</v>
      </c>
      <c r="Q1469" s="117" t="s">
        <v>1021</v>
      </c>
      <c r="R1469" s="150">
        <v>0</v>
      </c>
      <c r="S1469" s="117" t="b">
        <f>OR(COUNTIF(Tabla2[[#This Row],[PROVEEDOR]],"*"&amp;'Palabra no opera'!$A$2&amp;"*"))</f>
        <v>0</v>
      </c>
      <c r="T1469" s="150">
        <f>+$W$5-Tabla2[[#This Row],[FECHA DE FACTURACIÓN]]</f>
        <v>486</v>
      </c>
      <c r="U1469" t="str">
        <f>+IF(Tabla2[[#This Row],[dias de credito]]&gt;=Tabla2[[#This Row],[PLAZO Días]],"venc", "No venc")</f>
        <v>venc</v>
      </c>
      <c r="V1469" t="str">
        <f>+IF(Tabla2[[#This Row],[FECHA DE PAGO]]&gt;0,"pagada","por pagar")</f>
        <v>pagada</v>
      </c>
      <c r="W1469" s="152" t="str">
        <f>+IF(AND(Tabla2[[#This Row],[venc]]="venc",Tabla2[[#This Row],[Columna1]]="por pagar"),"vencida","no")</f>
        <v>no</v>
      </c>
    </row>
    <row r="1470" spans="1:23" x14ac:dyDescent="0.3">
      <c r="A1470">
        <v>30</v>
      </c>
      <c r="B1470">
        <v>146262.9</v>
      </c>
      <c r="D1470" t="s">
        <v>262</v>
      </c>
      <c r="E1470" s="156">
        <v>44385</v>
      </c>
      <c r="F1470" t="s">
        <v>17</v>
      </c>
      <c r="G1470" s="156">
        <v>44347</v>
      </c>
      <c r="H1470">
        <v>1771481</v>
      </c>
      <c r="I1470">
        <v>1750330</v>
      </c>
      <c r="K1470">
        <v>332562.7</v>
      </c>
      <c r="M1470">
        <v>0</v>
      </c>
      <c r="N1470">
        <v>0</v>
      </c>
      <c r="O1470">
        <v>0</v>
      </c>
      <c r="P1470" s="117">
        <v>2082892.7</v>
      </c>
      <c r="Q1470" s="117" t="s">
        <v>1021</v>
      </c>
      <c r="R1470" s="150">
        <v>0</v>
      </c>
      <c r="S1470" s="117" t="b">
        <f>OR(COUNTIF(Tabla2[[#This Row],[PROVEEDOR]],"*"&amp;'Palabra no opera'!$A$2&amp;"*"))</f>
        <v>0</v>
      </c>
      <c r="T1470" s="150">
        <f>+$W$5-Tabla2[[#This Row],[FECHA DE FACTURACIÓN]]</f>
        <v>487</v>
      </c>
      <c r="U1470" t="str">
        <f>+IF(Tabla2[[#This Row],[dias de credito]]&gt;=Tabla2[[#This Row],[PLAZO Días]],"venc", "No venc")</f>
        <v>venc</v>
      </c>
      <c r="V1470" t="str">
        <f>+IF(Tabla2[[#This Row],[FECHA DE PAGO]]&gt;0,"pagada","por pagar")</f>
        <v>pagada</v>
      </c>
      <c r="W1470" s="152" t="str">
        <f>+IF(AND(Tabla2[[#This Row],[venc]]="venc",Tabla2[[#This Row],[Columna1]]="por pagar"),"vencida","no")</f>
        <v>no</v>
      </c>
    </row>
    <row r="1471" spans="1:23" x14ac:dyDescent="0.3">
      <c r="A1471">
        <v>30</v>
      </c>
      <c r="B1471">
        <v>749999.88</v>
      </c>
      <c r="D1471" t="s">
        <v>249</v>
      </c>
      <c r="E1471" s="156">
        <v>44385</v>
      </c>
      <c r="F1471" t="s">
        <v>49</v>
      </c>
      <c r="G1471" s="156">
        <v>44343</v>
      </c>
      <c r="H1471">
        <v>2575</v>
      </c>
      <c r="I1471">
        <v>1080000</v>
      </c>
      <c r="K1471">
        <v>205200</v>
      </c>
      <c r="M1471">
        <v>0</v>
      </c>
      <c r="N1471">
        <v>2.5000000000000001E-2</v>
      </c>
      <c r="O1471">
        <v>27000</v>
      </c>
      <c r="P1471" s="117">
        <v>1258200</v>
      </c>
      <c r="Q1471" s="117" t="s">
        <v>1021</v>
      </c>
      <c r="R1471" s="150">
        <v>0</v>
      </c>
      <c r="S1471" s="117" t="b">
        <f>OR(COUNTIF(Tabla2[[#This Row],[PROVEEDOR]],"*"&amp;'Palabra no opera'!$A$2&amp;"*"))</f>
        <v>0</v>
      </c>
      <c r="T1471" s="150">
        <f>+$W$5-Tabla2[[#This Row],[FECHA DE FACTURACIÓN]]</f>
        <v>491</v>
      </c>
      <c r="U1471" t="str">
        <f>+IF(Tabla2[[#This Row],[dias de credito]]&gt;=Tabla2[[#This Row],[PLAZO Días]],"venc", "No venc")</f>
        <v>venc</v>
      </c>
      <c r="V1471" t="str">
        <f>+IF(Tabla2[[#This Row],[FECHA DE PAGO]]&gt;0,"pagada","por pagar")</f>
        <v>pagada</v>
      </c>
      <c r="W1471" s="152" t="str">
        <f>+IF(AND(Tabla2[[#This Row],[venc]]="venc",Tabla2[[#This Row],[Columna1]]="por pagar"),"vencida","no")</f>
        <v>no</v>
      </c>
    </row>
    <row r="1472" spans="1:23" x14ac:dyDescent="0.3">
      <c r="A1472">
        <v>30</v>
      </c>
      <c r="B1472">
        <v>749999.88</v>
      </c>
      <c r="D1472" t="s">
        <v>249</v>
      </c>
      <c r="E1472" s="156">
        <v>44385</v>
      </c>
      <c r="F1472" t="s">
        <v>49</v>
      </c>
      <c r="G1472" s="156">
        <v>44342</v>
      </c>
      <c r="H1472">
        <v>2568</v>
      </c>
      <c r="I1472">
        <v>1134453</v>
      </c>
      <c r="K1472">
        <v>215546.07</v>
      </c>
      <c r="M1472">
        <v>0</v>
      </c>
      <c r="N1472">
        <v>2.5000000000000001E-2</v>
      </c>
      <c r="O1472">
        <v>28361.325000000001</v>
      </c>
      <c r="P1472" s="117">
        <v>1321637.7450000001</v>
      </c>
      <c r="Q1472" s="117" t="s">
        <v>1021</v>
      </c>
      <c r="R1472" s="150">
        <v>0</v>
      </c>
      <c r="S1472" s="117" t="b">
        <f>OR(COUNTIF(Tabla2[[#This Row],[PROVEEDOR]],"*"&amp;'Palabra no opera'!$A$2&amp;"*"))</f>
        <v>0</v>
      </c>
      <c r="T1472" s="150">
        <f>+$W$5-Tabla2[[#This Row],[FECHA DE FACTURACIÓN]]</f>
        <v>492</v>
      </c>
      <c r="U1472" t="str">
        <f>+IF(Tabla2[[#This Row],[dias de credito]]&gt;=Tabla2[[#This Row],[PLAZO Días]],"venc", "No venc")</f>
        <v>venc</v>
      </c>
      <c r="V1472" t="str">
        <f>+IF(Tabla2[[#This Row],[FECHA DE PAGO]]&gt;0,"pagada","por pagar")</f>
        <v>pagada</v>
      </c>
      <c r="W1472" s="152" t="str">
        <f>+IF(AND(Tabla2[[#This Row],[venc]]="venc",Tabla2[[#This Row],[Columna1]]="por pagar"),"vencida","no")</f>
        <v>no</v>
      </c>
    </row>
    <row r="1473" spans="1:23" x14ac:dyDescent="0.3">
      <c r="A1473">
        <v>30</v>
      </c>
      <c r="B1473">
        <v>0</v>
      </c>
      <c r="D1473" t="s">
        <v>1653</v>
      </c>
      <c r="E1473" s="156">
        <v>44385</v>
      </c>
      <c r="F1473" t="s">
        <v>24</v>
      </c>
      <c r="G1473" s="156">
        <v>44342</v>
      </c>
      <c r="H1473" t="s">
        <v>337</v>
      </c>
      <c r="I1473">
        <v>1976100</v>
      </c>
      <c r="K1473">
        <v>375459</v>
      </c>
      <c r="M1473">
        <v>0</v>
      </c>
      <c r="N1473">
        <v>2.5000000000000001E-2</v>
      </c>
      <c r="O1473">
        <v>49402.5</v>
      </c>
      <c r="P1473" s="117">
        <v>2302156.5</v>
      </c>
      <c r="Q1473" s="117" t="s">
        <v>1021</v>
      </c>
      <c r="R1473" s="150">
        <v>0</v>
      </c>
      <c r="S1473" s="117" t="b">
        <f>OR(COUNTIF(Tabla2[[#This Row],[PROVEEDOR]],"*"&amp;'Palabra no opera'!$A$2&amp;"*"))</f>
        <v>0</v>
      </c>
      <c r="T1473" s="150">
        <f>+$W$5-Tabla2[[#This Row],[FECHA DE FACTURACIÓN]]</f>
        <v>492</v>
      </c>
      <c r="U1473" t="str">
        <f>+IF(Tabla2[[#This Row],[dias de credito]]&gt;=Tabla2[[#This Row],[PLAZO Días]],"venc", "No venc")</f>
        <v>venc</v>
      </c>
      <c r="V1473" t="str">
        <f>+IF(Tabla2[[#This Row],[FECHA DE PAGO]]&gt;0,"pagada","por pagar")</f>
        <v>pagada</v>
      </c>
      <c r="W1473" s="152" t="str">
        <f>+IF(AND(Tabla2[[#This Row],[venc]]="venc",Tabla2[[#This Row],[Columna1]]="por pagar"),"vencida","no")</f>
        <v>no</v>
      </c>
    </row>
    <row r="1474" spans="1:23" x14ac:dyDescent="0.3">
      <c r="A1474">
        <v>30</v>
      </c>
      <c r="B1474">
        <v>8457900</v>
      </c>
      <c r="D1474" t="s">
        <v>1027</v>
      </c>
      <c r="E1474" s="156">
        <v>44385</v>
      </c>
      <c r="F1474" t="s">
        <v>11</v>
      </c>
      <c r="G1474" s="156">
        <v>44336</v>
      </c>
      <c r="H1474" t="s">
        <v>335</v>
      </c>
      <c r="I1474">
        <v>2640000</v>
      </c>
      <c r="K1474">
        <v>501600</v>
      </c>
      <c r="M1474">
        <v>0</v>
      </c>
      <c r="N1474">
        <v>2.5000000000000001E-2</v>
      </c>
      <c r="O1474">
        <v>66000</v>
      </c>
      <c r="P1474" s="117">
        <v>3075600</v>
      </c>
      <c r="Q1474" s="117" t="s">
        <v>1021</v>
      </c>
      <c r="R1474" s="150">
        <v>0</v>
      </c>
      <c r="S1474" s="117" t="b">
        <f>OR(COUNTIF(Tabla2[[#This Row],[PROVEEDOR]],"*"&amp;'Palabra no opera'!$A$2&amp;"*"))</f>
        <v>0</v>
      </c>
      <c r="T1474" s="150">
        <f>+$W$5-Tabla2[[#This Row],[FECHA DE FACTURACIÓN]]</f>
        <v>498</v>
      </c>
      <c r="U1474" t="str">
        <f>+IF(Tabla2[[#This Row],[dias de credito]]&gt;=Tabla2[[#This Row],[PLAZO Días]],"venc", "No venc")</f>
        <v>venc</v>
      </c>
      <c r="V1474" t="str">
        <f>+IF(Tabla2[[#This Row],[FECHA DE PAGO]]&gt;0,"pagada","por pagar")</f>
        <v>pagada</v>
      </c>
      <c r="W1474" s="152" t="str">
        <f>+IF(AND(Tabla2[[#This Row],[venc]]="venc",Tabla2[[#This Row],[Columna1]]="por pagar"),"vencida","no")</f>
        <v>no</v>
      </c>
    </row>
    <row r="1475" spans="1:23" x14ac:dyDescent="0.3">
      <c r="A1475">
        <v>30</v>
      </c>
      <c r="B1475">
        <v>0</v>
      </c>
      <c r="D1475" t="s">
        <v>1653</v>
      </c>
      <c r="E1475" s="156">
        <v>44385</v>
      </c>
      <c r="F1475" t="s">
        <v>24</v>
      </c>
      <c r="G1475" s="156">
        <v>44328</v>
      </c>
      <c r="H1475" t="s">
        <v>330</v>
      </c>
      <c r="I1475">
        <v>2274202</v>
      </c>
      <c r="K1475">
        <v>432098.38</v>
      </c>
      <c r="M1475">
        <v>0</v>
      </c>
      <c r="N1475">
        <v>2.5000000000000001E-2</v>
      </c>
      <c r="O1475">
        <v>56855.05</v>
      </c>
      <c r="P1475" s="117">
        <v>2649445.33</v>
      </c>
      <c r="Q1475" s="117" t="s">
        <v>1021</v>
      </c>
      <c r="R1475" s="150">
        <v>0</v>
      </c>
      <c r="S1475" s="117" t="b">
        <f>OR(COUNTIF(Tabla2[[#This Row],[PROVEEDOR]],"*"&amp;'Palabra no opera'!$A$2&amp;"*"))</f>
        <v>0</v>
      </c>
      <c r="T1475" s="150">
        <f>+$W$5-Tabla2[[#This Row],[FECHA DE FACTURACIÓN]]</f>
        <v>506</v>
      </c>
      <c r="U1475" t="str">
        <f>+IF(Tabla2[[#This Row],[dias de credito]]&gt;=Tabla2[[#This Row],[PLAZO Días]],"venc", "No venc")</f>
        <v>venc</v>
      </c>
      <c r="V1475" t="str">
        <f>+IF(Tabla2[[#This Row],[FECHA DE PAGO]]&gt;0,"pagada","por pagar")</f>
        <v>pagada</v>
      </c>
      <c r="W1475" s="152" t="str">
        <f>+IF(AND(Tabla2[[#This Row],[venc]]="venc",Tabla2[[#This Row],[Columna1]]="por pagar"),"vencida","no")</f>
        <v>no</v>
      </c>
    </row>
    <row r="1476" spans="1:23" x14ac:dyDescent="0.3">
      <c r="A1476">
        <v>30</v>
      </c>
      <c r="B1476">
        <v>0</v>
      </c>
      <c r="D1476" t="s">
        <v>1024</v>
      </c>
      <c r="E1476" s="156">
        <v>44385</v>
      </c>
      <c r="F1476" t="s">
        <v>32</v>
      </c>
      <c r="G1476" s="156">
        <v>44328</v>
      </c>
      <c r="H1476">
        <v>3909</v>
      </c>
      <c r="I1476">
        <v>1710840.35</v>
      </c>
      <c r="K1476">
        <v>325059.66650000005</v>
      </c>
      <c r="M1476">
        <v>0</v>
      </c>
      <c r="N1476">
        <v>2.5000000000000001E-2</v>
      </c>
      <c r="O1476">
        <v>42771.008750000008</v>
      </c>
      <c r="P1476" s="117">
        <v>1993129.0077500001</v>
      </c>
      <c r="Q1476" s="117" t="s">
        <v>1021</v>
      </c>
      <c r="R1476" s="150">
        <v>0</v>
      </c>
      <c r="S1476" s="117" t="b">
        <f>OR(COUNTIF(Tabla2[[#This Row],[PROVEEDOR]],"*"&amp;'Palabra no opera'!$A$2&amp;"*"))</f>
        <v>0</v>
      </c>
      <c r="T1476" s="150">
        <f>+$W$5-Tabla2[[#This Row],[FECHA DE FACTURACIÓN]]</f>
        <v>506</v>
      </c>
      <c r="U1476" t="str">
        <f>+IF(Tabla2[[#This Row],[dias de credito]]&gt;=Tabla2[[#This Row],[PLAZO Días]],"venc", "No venc")</f>
        <v>venc</v>
      </c>
      <c r="V1476" t="str">
        <f>+IF(Tabla2[[#This Row],[FECHA DE PAGO]]&gt;0,"pagada","por pagar")</f>
        <v>pagada</v>
      </c>
      <c r="W1476" s="152" t="str">
        <f>+IF(AND(Tabla2[[#This Row],[venc]]="venc",Tabla2[[#This Row],[Columna1]]="por pagar"),"vencida","no")</f>
        <v>no</v>
      </c>
    </row>
    <row r="1477" spans="1:23" x14ac:dyDescent="0.3">
      <c r="A1477">
        <v>30</v>
      </c>
      <c r="B1477">
        <v>0</v>
      </c>
      <c r="D1477" t="s">
        <v>622</v>
      </c>
      <c r="E1477" s="156">
        <v>44382</v>
      </c>
      <c r="F1477" t="s">
        <v>623</v>
      </c>
      <c r="G1477" s="156">
        <v>44340</v>
      </c>
      <c r="H1477" t="s">
        <v>1233</v>
      </c>
      <c r="I1477">
        <v>565000</v>
      </c>
      <c r="K1477">
        <v>0</v>
      </c>
      <c r="M1477">
        <v>0</v>
      </c>
      <c r="N1477">
        <v>0</v>
      </c>
      <c r="O1477">
        <v>0</v>
      </c>
      <c r="P1477" s="117">
        <v>565000</v>
      </c>
      <c r="Q1477" s="117" t="s">
        <v>1021</v>
      </c>
      <c r="R1477" s="150">
        <v>0</v>
      </c>
      <c r="S1477" s="117" t="b">
        <f>OR(COUNTIF(Tabla2[[#This Row],[PROVEEDOR]],"*"&amp;'Palabra no opera'!$A$2&amp;"*"))</f>
        <v>0</v>
      </c>
      <c r="T1477" s="150">
        <f>+$W$5-Tabla2[[#This Row],[FECHA DE FACTURACIÓN]]</f>
        <v>494</v>
      </c>
      <c r="U1477" t="str">
        <f>+IF(Tabla2[[#This Row],[dias de credito]]&gt;=Tabla2[[#This Row],[PLAZO Días]],"venc", "No venc")</f>
        <v>venc</v>
      </c>
      <c r="V1477" t="str">
        <f>+IF(Tabla2[[#This Row],[FECHA DE PAGO]]&gt;0,"pagada","por pagar")</f>
        <v>pagada</v>
      </c>
      <c r="W1477" s="152" t="str">
        <f>+IF(AND(Tabla2[[#This Row],[venc]]="venc",Tabla2[[#This Row],[Columna1]]="por pagar"),"vencida","no")</f>
        <v>no</v>
      </c>
    </row>
    <row r="1478" spans="1:23" x14ac:dyDescent="0.3">
      <c r="A1478">
        <v>30</v>
      </c>
      <c r="B1478">
        <v>3921000</v>
      </c>
      <c r="D1478" t="s">
        <v>139</v>
      </c>
      <c r="E1478" s="156">
        <v>44382</v>
      </c>
      <c r="F1478" t="s">
        <v>671</v>
      </c>
      <c r="G1478" s="156">
        <v>44340</v>
      </c>
      <c r="H1478" t="s">
        <v>1234</v>
      </c>
      <c r="I1478">
        <v>2732000</v>
      </c>
      <c r="K1478">
        <v>0</v>
      </c>
      <c r="M1478">
        <v>0</v>
      </c>
      <c r="N1478">
        <v>0</v>
      </c>
      <c r="O1478">
        <v>0</v>
      </c>
      <c r="P1478" s="117">
        <v>2732000</v>
      </c>
      <c r="Q1478" s="117" t="s">
        <v>1021</v>
      </c>
      <c r="R1478" s="150">
        <v>0</v>
      </c>
      <c r="S1478" s="117" t="b">
        <f>OR(COUNTIF(Tabla2[[#This Row],[PROVEEDOR]],"*"&amp;'Palabra no opera'!$A$2&amp;"*"))</f>
        <v>0</v>
      </c>
      <c r="T1478" s="150">
        <f>+$W$5-Tabla2[[#This Row],[FECHA DE FACTURACIÓN]]</f>
        <v>494</v>
      </c>
      <c r="U1478" t="str">
        <f>+IF(Tabla2[[#This Row],[dias de credito]]&gt;=Tabla2[[#This Row],[PLAZO Días]],"venc", "No venc")</f>
        <v>venc</v>
      </c>
      <c r="V1478" t="str">
        <f>+IF(Tabla2[[#This Row],[FECHA DE PAGO]]&gt;0,"pagada","por pagar")</f>
        <v>pagada</v>
      </c>
      <c r="W1478" s="152" t="str">
        <f>+IF(AND(Tabla2[[#This Row],[venc]]="venc",Tabla2[[#This Row],[Columna1]]="por pagar"),"vencida","no")</f>
        <v>no</v>
      </c>
    </row>
    <row r="1479" spans="1:23" x14ac:dyDescent="0.3">
      <c r="A1479">
        <v>30</v>
      </c>
      <c r="B1479">
        <v>450000</v>
      </c>
      <c r="D1479" t="s">
        <v>291</v>
      </c>
      <c r="E1479" s="156">
        <v>44382</v>
      </c>
      <c r="F1479" t="s">
        <v>685</v>
      </c>
      <c r="G1479" s="156">
        <v>44336</v>
      </c>
      <c r="H1479" t="s">
        <v>1229</v>
      </c>
      <c r="I1479">
        <v>312000</v>
      </c>
      <c r="K1479">
        <v>0</v>
      </c>
      <c r="M1479">
        <v>0</v>
      </c>
      <c r="N1479">
        <v>0</v>
      </c>
      <c r="O1479">
        <v>0</v>
      </c>
      <c r="P1479" s="117">
        <v>312000</v>
      </c>
      <c r="Q1479" s="117" t="s">
        <v>1021</v>
      </c>
      <c r="R1479" s="150">
        <v>0</v>
      </c>
      <c r="S1479" s="117" t="b">
        <f>OR(COUNTIF(Tabla2[[#This Row],[PROVEEDOR]],"*"&amp;'Palabra no opera'!$A$2&amp;"*"))</f>
        <v>0</v>
      </c>
      <c r="T1479" s="150">
        <f>+$W$5-Tabla2[[#This Row],[FECHA DE FACTURACIÓN]]</f>
        <v>498</v>
      </c>
      <c r="U1479" t="str">
        <f>+IF(Tabla2[[#This Row],[dias de credito]]&gt;=Tabla2[[#This Row],[PLAZO Días]],"venc", "No venc")</f>
        <v>venc</v>
      </c>
      <c r="V1479" t="str">
        <f>+IF(Tabla2[[#This Row],[FECHA DE PAGO]]&gt;0,"pagada","por pagar")</f>
        <v>pagada</v>
      </c>
      <c r="W1479" s="152" t="str">
        <f>+IF(AND(Tabla2[[#This Row],[venc]]="venc",Tabla2[[#This Row],[Columna1]]="por pagar"),"vencida","no")</f>
        <v>no</v>
      </c>
    </row>
    <row r="1480" spans="1:23" x14ac:dyDescent="0.3">
      <c r="A1480">
        <v>30</v>
      </c>
      <c r="B1480">
        <v>0</v>
      </c>
      <c r="D1480">
        <v>0</v>
      </c>
      <c r="E1480" s="156">
        <v>44382</v>
      </c>
      <c r="F1480" t="s">
        <v>658</v>
      </c>
      <c r="G1480" s="156">
        <v>44312</v>
      </c>
      <c r="H1480" t="s">
        <v>1211</v>
      </c>
      <c r="I1480">
        <v>90000</v>
      </c>
      <c r="K1480">
        <v>0</v>
      </c>
      <c r="M1480">
        <v>0</v>
      </c>
      <c r="N1480">
        <v>0</v>
      </c>
      <c r="O1480">
        <v>0</v>
      </c>
      <c r="P1480" s="117">
        <v>90000</v>
      </c>
      <c r="Q1480" s="117" t="s">
        <v>1021</v>
      </c>
      <c r="R1480" s="150">
        <v>0</v>
      </c>
      <c r="S1480" s="117" t="b">
        <f>OR(COUNTIF(Tabla2[[#This Row],[PROVEEDOR]],"*"&amp;'Palabra no opera'!$A$2&amp;"*"))</f>
        <v>0</v>
      </c>
      <c r="T1480" s="150">
        <f>+$W$5-Tabla2[[#This Row],[FECHA DE FACTURACIÓN]]</f>
        <v>522</v>
      </c>
      <c r="U1480" t="str">
        <f>+IF(Tabla2[[#This Row],[dias de credito]]&gt;=Tabla2[[#This Row],[PLAZO Días]],"venc", "No venc")</f>
        <v>venc</v>
      </c>
      <c r="V1480" t="str">
        <f>+IF(Tabla2[[#This Row],[FECHA DE PAGO]]&gt;0,"pagada","por pagar")</f>
        <v>pagada</v>
      </c>
      <c r="W1480" s="152" t="str">
        <f>+IF(AND(Tabla2[[#This Row],[venc]]="venc",Tabla2[[#This Row],[Columna1]]="por pagar"),"vencida","no")</f>
        <v>no</v>
      </c>
    </row>
    <row r="1481" spans="1:23" x14ac:dyDescent="0.3">
      <c r="A1481">
        <v>30</v>
      </c>
      <c r="B1481">
        <v>0</v>
      </c>
      <c r="D1481" t="s">
        <v>622</v>
      </c>
      <c r="E1481" s="156">
        <v>44382</v>
      </c>
      <c r="F1481" t="s">
        <v>623</v>
      </c>
      <c r="G1481" s="156">
        <v>44299</v>
      </c>
      <c r="H1481" t="s">
        <v>1207</v>
      </c>
      <c r="I1481">
        <v>1584000</v>
      </c>
      <c r="K1481">
        <v>0</v>
      </c>
      <c r="M1481">
        <v>0</v>
      </c>
      <c r="N1481">
        <v>0</v>
      </c>
      <c r="O1481">
        <v>0</v>
      </c>
      <c r="P1481" s="117">
        <v>1584000</v>
      </c>
      <c r="Q1481" s="117" t="s">
        <v>1021</v>
      </c>
      <c r="R1481" s="150">
        <v>0</v>
      </c>
      <c r="S1481" s="117" t="b">
        <f>OR(COUNTIF(Tabla2[[#This Row],[PROVEEDOR]],"*"&amp;'Palabra no opera'!$A$2&amp;"*"))</f>
        <v>0</v>
      </c>
      <c r="T1481" s="150">
        <f>+$W$5-Tabla2[[#This Row],[FECHA DE FACTURACIÓN]]</f>
        <v>535</v>
      </c>
      <c r="U1481" t="str">
        <f>+IF(Tabla2[[#This Row],[dias de credito]]&gt;=Tabla2[[#This Row],[PLAZO Días]],"venc", "No venc")</f>
        <v>venc</v>
      </c>
      <c r="V1481" t="str">
        <f>+IF(Tabla2[[#This Row],[FECHA DE PAGO]]&gt;0,"pagada","por pagar")</f>
        <v>pagada</v>
      </c>
      <c r="W1481" s="152" t="str">
        <f>+IF(AND(Tabla2[[#This Row],[venc]]="venc",Tabla2[[#This Row],[Columna1]]="por pagar"),"vencida","no")</f>
        <v>no</v>
      </c>
    </row>
    <row r="1482" spans="1:23" x14ac:dyDescent="0.3">
      <c r="A1482">
        <v>30</v>
      </c>
      <c r="B1482">
        <v>2749000</v>
      </c>
      <c r="D1482">
        <v>0</v>
      </c>
      <c r="E1482" s="156">
        <v>44382</v>
      </c>
      <c r="F1482" t="s">
        <v>649</v>
      </c>
      <c r="G1482" s="156">
        <v>44273</v>
      </c>
      <c r="H1482" t="s">
        <v>1196</v>
      </c>
      <c r="I1482">
        <v>2668000</v>
      </c>
      <c r="K1482">
        <v>0</v>
      </c>
      <c r="M1482">
        <v>0</v>
      </c>
      <c r="N1482">
        <v>0</v>
      </c>
      <c r="O1482">
        <v>0</v>
      </c>
      <c r="P1482" s="117">
        <v>2668000</v>
      </c>
      <c r="Q1482" s="117" t="s">
        <v>1021</v>
      </c>
      <c r="R1482" s="150">
        <v>0</v>
      </c>
      <c r="S1482" s="117" t="b">
        <f>OR(COUNTIF(Tabla2[[#This Row],[PROVEEDOR]],"*"&amp;'Palabra no opera'!$A$2&amp;"*"))</f>
        <v>0</v>
      </c>
      <c r="T1482" s="150">
        <f>+$W$5-Tabla2[[#This Row],[FECHA DE FACTURACIÓN]]</f>
        <v>561</v>
      </c>
      <c r="U1482" t="str">
        <f>+IF(Tabla2[[#This Row],[dias de credito]]&gt;=Tabla2[[#This Row],[PLAZO Días]],"venc", "No venc")</f>
        <v>venc</v>
      </c>
      <c r="V1482" t="str">
        <f>+IF(Tabla2[[#This Row],[FECHA DE PAGO]]&gt;0,"pagada","por pagar")</f>
        <v>pagada</v>
      </c>
      <c r="W1482" s="152" t="str">
        <f>+IF(AND(Tabla2[[#This Row],[venc]]="venc",Tabla2[[#This Row],[Columna1]]="por pagar"),"vencida","no")</f>
        <v>no</v>
      </c>
    </row>
    <row r="1483" spans="1:23" x14ac:dyDescent="0.3">
      <c r="A1483">
        <v>30</v>
      </c>
      <c r="B1483">
        <v>0</v>
      </c>
      <c r="D1483" t="s">
        <v>139</v>
      </c>
      <c r="E1483" s="156">
        <v>44380</v>
      </c>
      <c r="F1483" t="s">
        <v>673</v>
      </c>
      <c r="G1483" s="156">
        <v>44380</v>
      </c>
      <c r="I1483">
        <v>1000000</v>
      </c>
      <c r="K1483">
        <v>0</v>
      </c>
      <c r="M1483">
        <v>0</v>
      </c>
      <c r="N1483">
        <v>0</v>
      </c>
      <c r="O1483">
        <v>0</v>
      </c>
      <c r="P1483" s="117">
        <v>1000000</v>
      </c>
      <c r="Q1483" s="117" t="s">
        <v>1021</v>
      </c>
      <c r="R1483" s="150">
        <v>0</v>
      </c>
      <c r="S1483" s="117" t="b">
        <f>OR(COUNTIF(Tabla2[[#This Row],[PROVEEDOR]],"*"&amp;'Palabra no opera'!$A$2&amp;"*"))</f>
        <v>0</v>
      </c>
      <c r="T1483" s="150">
        <f>+$W$5-Tabla2[[#This Row],[FECHA DE FACTURACIÓN]]</f>
        <v>454</v>
      </c>
      <c r="U1483" t="str">
        <f>+IF(Tabla2[[#This Row],[dias de credito]]&gt;=Tabla2[[#This Row],[PLAZO Días]],"venc", "No venc")</f>
        <v>venc</v>
      </c>
      <c r="V1483" t="str">
        <f>+IF(Tabla2[[#This Row],[FECHA DE PAGO]]&gt;0,"pagada","por pagar")</f>
        <v>pagada</v>
      </c>
      <c r="W1483" s="152" t="str">
        <f>+IF(AND(Tabla2[[#This Row],[venc]]="venc",Tabla2[[#This Row],[Columna1]]="por pagar"),"vencida","no")</f>
        <v>no</v>
      </c>
    </row>
    <row r="1484" spans="1:23" x14ac:dyDescent="0.3">
      <c r="A1484">
        <v>20</v>
      </c>
      <c r="B1484">
        <v>0</v>
      </c>
      <c r="D1484" t="s">
        <v>308</v>
      </c>
      <c r="E1484" s="156">
        <v>44380</v>
      </c>
      <c r="F1484" t="s">
        <v>331</v>
      </c>
      <c r="G1484" s="156">
        <v>44377</v>
      </c>
      <c r="H1484" t="s">
        <v>371</v>
      </c>
      <c r="I1484">
        <v>3071327.5</v>
      </c>
      <c r="K1484">
        <v>583552.22499999998</v>
      </c>
      <c r="M1484">
        <v>0</v>
      </c>
      <c r="N1484">
        <v>0.04</v>
      </c>
      <c r="O1484">
        <v>122853.1</v>
      </c>
      <c r="P1484" s="117">
        <v>3532026.625</v>
      </c>
      <c r="Q1484" s="117" t="s">
        <v>1021</v>
      </c>
      <c r="R1484" s="150">
        <v>0</v>
      </c>
      <c r="S1484" s="117" t="b">
        <f>OR(COUNTIF(Tabla2[[#This Row],[PROVEEDOR]],"*"&amp;'Palabra no opera'!$A$2&amp;"*"))</f>
        <v>0</v>
      </c>
      <c r="T1484" s="150">
        <f>+$W$5-Tabla2[[#This Row],[FECHA DE FACTURACIÓN]]</f>
        <v>457</v>
      </c>
      <c r="U1484" t="str">
        <f>+IF(Tabla2[[#This Row],[dias de credito]]&gt;=Tabla2[[#This Row],[PLAZO Días]],"venc", "No venc")</f>
        <v>venc</v>
      </c>
      <c r="V1484" t="str">
        <f>+IF(Tabla2[[#This Row],[FECHA DE PAGO]]&gt;0,"pagada","por pagar")</f>
        <v>pagada</v>
      </c>
      <c r="W1484" s="152" t="str">
        <f>+IF(AND(Tabla2[[#This Row],[venc]]="venc",Tabla2[[#This Row],[Columna1]]="por pagar"),"vencida","no")</f>
        <v>no</v>
      </c>
    </row>
    <row r="1485" spans="1:23" x14ac:dyDescent="0.3">
      <c r="A1485">
        <v>20</v>
      </c>
      <c r="B1485">
        <v>0</v>
      </c>
      <c r="D1485" t="s">
        <v>308</v>
      </c>
      <c r="E1485" s="156">
        <v>44380</v>
      </c>
      <c r="F1485" t="s">
        <v>331</v>
      </c>
      <c r="G1485" s="156">
        <v>44363</v>
      </c>
      <c r="H1485" t="s">
        <v>1460</v>
      </c>
      <c r="I1485">
        <v>-624994.22300000023</v>
      </c>
      <c r="K1485">
        <v>-118748.90237000004</v>
      </c>
      <c r="M1485">
        <v>0</v>
      </c>
      <c r="N1485">
        <v>0</v>
      </c>
      <c r="O1485">
        <v>0</v>
      </c>
      <c r="P1485" s="117">
        <v>-743743.12537000026</v>
      </c>
      <c r="Q1485" s="117" t="s">
        <v>1021</v>
      </c>
      <c r="R1485" s="150">
        <v>0</v>
      </c>
      <c r="S1485" s="117" t="b">
        <f>OR(COUNTIF(Tabla2[[#This Row],[PROVEEDOR]],"*"&amp;'Palabra no opera'!$A$2&amp;"*"))</f>
        <v>0</v>
      </c>
      <c r="T1485" s="150">
        <f>+$W$5-Tabla2[[#This Row],[FECHA DE FACTURACIÓN]]</f>
        <v>471</v>
      </c>
      <c r="U1485" t="str">
        <f>+IF(Tabla2[[#This Row],[dias de credito]]&gt;=Tabla2[[#This Row],[PLAZO Días]],"venc", "No venc")</f>
        <v>venc</v>
      </c>
      <c r="V1485" t="str">
        <f>+IF(Tabla2[[#This Row],[FECHA DE PAGO]]&gt;0,"pagada","por pagar")</f>
        <v>pagada</v>
      </c>
      <c r="W1485" s="152" t="str">
        <f>+IF(AND(Tabla2[[#This Row],[venc]]="venc",Tabla2[[#This Row],[Columna1]]="por pagar"),"vencida","no")</f>
        <v>no</v>
      </c>
    </row>
    <row r="1486" spans="1:23" x14ac:dyDescent="0.3">
      <c r="A1486">
        <v>30</v>
      </c>
      <c r="B1486">
        <v>0</v>
      </c>
      <c r="D1486" t="s">
        <v>139</v>
      </c>
      <c r="E1486" s="156">
        <v>44379</v>
      </c>
      <c r="F1486" t="s">
        <v>53</v>
      </c>
      <c r="G1486" s="156">
        <v>44378</v>
      </c>
      <c r="H1486" t="s">
        <v>375</v>
      </c>
      <c r="I1486">
        <v>1860000</v>
      </c>
      <c r="K1486">
        <v>0</v>
      </c>
      <c r="M1486">
        <v>0</v>
      </c>
      <c r="N1486">
        <v>0</v>
      </c>
      <c r="O1486">
        <v>0</v>
      </c>
      <c r="P1486" s="117">
        <v>1860000</v>
      </c>
      <c r="Q1486" s="117" t="s">
        <v>1021</v>
      </c>
      <c r="R1486" s="150">
        <v>0</v>
      </c>
      <c r="S1486" s="117" t="b">
        <f>OR(COUNTIF(Tabla2[[#This Row],[PROVEEDOR]],"*"&amp;'Palabra no opera'!$A$2&amp;"*"))</f>
        <v>0</v>
      </c>
      <c r="T1486" s="150">
        <f>+$W$5-Tabla2[[#This Row],[FECHA DE FACTURACIÓN]]</f>
        <v>456</v>
      </c>
      <c r="U1486" t="str">
        <f>+IF(Tabla2[[#This Row],[dias de credito]]&gt;=Tabla2[[#This Row],[PLAZO Días]],"venc", "No venc")</f>
        <v>venc</v>
      </c>
      <c r="V1486" t="str">
        <f>+IF(Tabla2[[#This Row],[FECHA DE PAGO]]&gt;0,"pagada","por pagar")</f>
        <v>pagada</v>
      </c>
      <c r="W1486" s="152" t="str">
        <f>+IF(AND(Tabla2[[#This Row],[venc]]="venc",Tabla2[[#This Row],[Columna1]]="por pagar"),"vencida","no")</f>
        <v>no</v>
      </c>
    </row>
    <row r="1487" spans="1:23" x14ac:dyDescent="0.3">
      <c r="A1487">
        <v>30</v>
      </c>
      <c r="B1487">
        <v>326474.88</v>
      </c>
      <c r="D1487" t="s">
        <v>949</v>
      </c>
      <c r="E1487" s="156">
        <v>44379</v>
      </c>
      <c r="F1487" t="s">
        <v>345</v>
      </c>
      <c r="G1487" s="156">
        <v>44378</v>
      </c>
      <c r="H1487" t="s">
        <v>1263</v>
      </c>
      <c r="I1487">
        <v>1791000</v>
      </c>
      <c r="K1487">
        <v>0</v>
      </c>
      <c r="M1487">
        <v>0</v>
      </c>
      <c r="N1487">
        <v>0</v>
      </c>
      <c r="O1487">
        <v>0</v>
      </c>
      <c r="P1487" s="117">
        <v>1791000</v>
      </c>
      <c r="Q1487" s="117" t="s">
        <v>1021</v>
      </c>
      <c r="R1487" s="150">
        <v>0</v>
      </c>
      <c r="S1487" s="117" t="b">
        <f>OR(COUNTIF(Tabla2[[#This Row],[PROVEEDOR]],"*"&amp;'Palabra no opera'!$A$2&amp;"*"))</f>
        <v>0</v>
      </c>
      <c r="T1487" s="150">
        <f>+$W$5-Tabla2[[#This Row],[FECHA DE FACTURACIÓN]]</f>
        <v>456</v>
      </c>
      <c r="U1487" t="str">
        <f>+IF(Tabla2[[#This Row],[dias de credito]]&gt;=Tabla2[[#This Row],[PLAZO Días]],"venc", "No venc")</f>
        <v>venc</v>
      </c>
      <c r="V1487" t="str">
        <f>+IF(Tabla2[[#This Row],[FECHA DE PAGO]]&gt;0,"pagada","por pagar")</f>
        <v>pagada</v>
      </c>
      <c r="W1487" s="152" t="str">
        <f>+IF(AND(Tabla2[[#This Row],[venc]]="venc",Tabla2[[#This Row],[Columna1]]="por pagar"),"vencida","no")</f>
        <v>no</v>
      </c>
    </row>
    <row r="1488" spans="1:23" x14ac:dyDescent="0.3">
      <c r="A1488">
        <v>30</v>
      </c>
      <c r="B1488">
        <v>0</v>
      </c>
      <c r="D1488" t="s">
        <v>139</v>
      </c>
      <c r="E1488" s="156">
        <v>44377</v>
      </c>
      <c r="F1488" t="s">
        <v>644</v>
      </c>
      <c r="G1488" s="156">
        <v>44377</v>
      </c>
      <c r="H1488" t="s">
        <v>596</v>
      </c>
      <c r="I1488">
        <v>0</v>
      </c>
      <c r="K1488">
        <v>0</v>
      </c>
      <c r="M1488">
        <v>0</v>
      </c>
      <c r="N1488">
        <v>0</v>
      </c>
      <c r="O1488">
        <v>0</v>
      </c>
      <c r="P1488" s="117">
        <v>0</v>
      </c>
      <c r="Q1488" s="117" t="s">
        <v>1021</v>
      </c>
      <c r="R1488" s="150">
        <v>0</v>
      </c>
      <c r="S1488" s="117" t="b">
        <f>OR(COUNTIF(Tabla2[[#This Row],[PROVEEDOR]],"*"&amp;'Palabra no opera'!$A$2&amp;"*"))</f>
        <v>0</v>
      </c>
      <c r="T1488" s="150">
        <f>+$W$5-Tabla2[[#This Row],[FECHA DE FACTURACIÓN]]</f>
        <v>457</v>
      </c>
      <c r="U1488" t="str">
        <f>+IF(Tabla2[[#This Row],[dias de credito]]&gt;=Tabla2[[#This Row],[PLAZO Días]],"venc", "No venc")</f>
        <v>venc</v>
      </c>
      <c r="V1488" t="str">
        <f>+IF(Tabla2[[#This Row],[FECHA DE PAGO]]&gt;0,"pagada","por pagar")</f>
        <v>pagada</v>
      </c>
      <c r="W1488" s="152" t="str">
        <f>+IF(AND(Tabla2[[#This Row],[venc]]="venc",Tabla2[[#This Row],[Columna1]]="por pagar"),"vencida","no")</f>
        <v>no</v>
      </c>
    </row>
    <row r="1489" spans="1:23" x14ac:dyDescent="0.3">
      <c r="A1489">
        <v>30</v>
      </c>
      <c r="B1489">
        <v>0</v>
      </c>
      <c r="D1489" t="s">
        <v>139</v>
      </c>
      <c r="E1489" s="156">
        <v>44377</v>
      </c>
      <c r="F1489" t="s">
        <v>644</v>
      </c>
      <c r="G1489" s="156">
        <v>44377</v>
      </c>
      <c r="H1489" t="s">
        <v>598</v>
      </c>
      <c r="I1489">
        <v>484200</v>
      </c>
      <c r="K1489">
        <v>0</v>
      </c>
      <c r="M1489">
        <v>0</v>
      </c>
      <c r="N1489">
        <v>0</v>
      </c>
      <c r="O1489">
        <v>0</v>
      </c>
      <c r="P1489" s="117">
        <v>484200</v>
      </c>
      <c r="Q1489" s="117" t="s">
        <v>1021</v>
      </c>
      <c r="R1489" s="150">
        <v>0</v>
      </c>
      <c r="S1489" s="117" t="b">
        <f>OR(COUNTIF(Tabla2[[#This Row],[PROVEEDOR]],"*"&amp;'Palabra no opera'!$A$2&amp;"*"))</f>
        <v>0</v>
      </c>
      <c r="T1489" s="150">
        <f>+$W$5-Tabla2[[#This Row],[FECHA DE FACTURACIÓN]]</f>
        <v>457</v>
      </c>
      <c r="U1489" t="str">
        <f>+IF(Tabla2[[#This Row],[dias de credito]]&gt;=Tabla2[[#This Row],[PLAZO Días]],"venc", "No venc")</f>
        <v>venc</v>
      </c>
      <c r="V1489" t="str">
        <f>+IF(Tabla2[[#This Row],[FECHA DE PAGO]]&gt;0,"pagada","por pagar")</f>
        <v>pagada</v>
      </c>
      <c r="W1489" s="152" t="str">
        <f>+IF(AND(Tabla2[[#This Row],[venc]]="venc",Tabla2[[#This Row],[Columna1]]="por pagar"),"vencida","no")</f>
        <v>no</v>
      </c>
    </row>
    <row r="1490" spans="1:23" x14ac:dyDescent="0.3">
      <c r="A1490">
        <v>30</v>
      </c>
      <c r="B1490">
        <v>0</v>
      </c>
      <c r="D1490" t="s">
        <v>139</v>
      </c>
      <c r="E1490" s="156">
        <v>44377</v>
      </c>
      <c r="F1490" t="s">
        <v>644</v>
      </c>
      <c r="G1490" s="156">
        <v>44377</v>
      </c>
      <c r="H1490" t="s">
        <v>174</v>
      </c>
      <c r="I1490">
        <v>526000</v>
      </c>
      <c r="K1490">
        <v>0</v>
      </c>
      <c r="M1490">
        <v>0</v>
      </c>
      <c r="N1490">
        <v>0</v>
      </c>
      <c r="O1490">
        <v>0</v>
      </c>
      <c r="P1490" s="117">
        <v>526000</v>
      </c>
      <c r="Q1490" s="117" t="s">
        <v>1021</v>
      </c>
      <c r="R1490" s="150">
        <v>0</v>
      </c>
      <c r="S1490" s="117" t="b">
        <f>OR(COUNTIF(Tabla2[[#This Row],[PROVEEDOR]],"*"&amp;'Palabra no opera'!$A$2&amp;"*"))</f>
        <v>0</v>
      </c>
      <c r="T1490" s="150">
        <f>+$W$5-Tabla2[[#This Row],[FECHA DE FACTURACIÓN]]</f>
        <v>457</v>
      </c>
      <c r="U1490" t="str">
        <f>+IF(Tabla2[[#This Row],[dias de credito]]&gt;=Tabla2[[#This Row],[PLAZO Días]],"venc", "No venc")</f>
        <v>venc</v>
      </c>
      <c r="V1490" t="str">
        <f>+IF(Tabla2[[#This Row],[FECHA DE PAGO]]&gt;0,"pagada","por pagar")</f>
        <v>pagada</v>
      </c>
      <c r="W1490" s="152" t="str">
        <f>+IF(AND(Tabla2[[#This Row],[venc]]="venc",Tabla2[[#This Row],[Columna1]]="por pagar"),"vencida","no")</f>
        <v>no</v>
      </c>
    </row>
    <row r="1491" spans="1:23" x14ac:dyDescent="0.3">
      <c r="A1491">
        <v>30</v>
      </c>
      <c r="B1491">
        <v>0</v>
      </c>
      <c r="D1491" t="s">
        <v>139</v>
      </c>
      <c r="E1491" s="156">
        <v>44377</v>
      </c>
      <c r="F1491" t="s">
        <v>644</v>
      </c>
      <c r="G1491" s="156">
        <v>44377</v>
      </c>
      <c r="H1491" t="s">
        <v>597</v>
      </c>
      <c r="I1491">
        <v>720000</v>
      </c>
      <c r="K1491">
        <v>0</v>
      </c>
      <c r="M1491">
        <v>0</v>
      </c>
      <c r="N1491">
        <v>0</v>
      </c>
      <c r="O1491">
        <v>0</v>
      </c>
      <c r="P1491" s="117">
        <v>720000</v>
      </c>
      <c r="Q1491" s="117" t="s">
        <v>1021</v>
      </c>
      <c r="R1491" s="150">
        <v>0</v>
      </c>
      <c r="S1491" s="117" t="b">
        <f>OR(COUNTIF(Tabla2[[#This Row],[PROVEEDOR]],"*"&amp;'Palabra no opera'!$A$2&amp;"*"))</f>
        <v>0</v>
      </c>
      <c r="T1491" s="150">
        <f>+$W$5-Tabla2[[#This Row],[FECHA DE FACTURACIÓN]]</f>
        <v>457</v>
      </c>
      <c r="U1491" t="str">
        <f>+IF(Tabla2[[#This Row],[dias de credito]]&gt;=Tabla2[[#This Row],[PLAZO Días]],"venc", "No venc")</f>
        <v>venc</v>
      </c>
      <c r="V1491" t="str">
        <f>+IF(Tabla2[[#This Row],[FECHA DE PAGO]]&gt;0,"pagada","por pagar")</f>
        <v>pagada</v>
      </c>
      <c r="W1491" s="152" t="str">
        <f>+IF(AND(Tabla2[[#This Row],[venc]]="venc",Tabla2[[#This Row],[Columna1]]="por pagar"),"vencida","no")</f>
        <v>no</v>
      </c>
    </row>
    <row r="1492" spans="1:23" x14ac:dyDescent="0.3">
      <c r="A1492">
        <v>30</v>
      </c>
      <c r="B1492">
        <v>0</v>
      </c>
      <c r="D1492" t="s">
        <v>139</v>
      </c>
      <c r="E1492" s="156">
        <v>44377</v>
      </c>
      <c r="F1492" t="s">
        <v>644</v>
      </c>
      <c r="G1492" s="156">
        <v>44377</v>
      </c>
      <c r="H1492" t="s">
        <v>595</v>
      </c>
      <c r="I1492">
        <v>5550000</v>
      </c>
      <c r="K1492">
        <v>0</v>
      </c>
      <c r="M1492">
        <v>0</v>
      </c>
      <c r="N1492">
        <v>0</v>
      </c>
      <c r="O1492">
        <v>0</v>
      </c>
      <c r="P1492" s="117">
        <v>5550000</v>
      </c>
      <c r="Q1492" s="117" t="s">
        <v>1021</v>
      </c>
      <c r="R1492" s="150">
        <v>0</v>
      </c>
      <c r="S1492" s="117" t="b">
        <f>OR(COUNTIF(Tabla2[[#This Row],[PROVEEDOR]],"*"&amp;'Palabra no opera'!$A$2&amp;"*"))</f>
        <v>0</v>
      </c>
      <c r="T1492" s="150">
        <f>+$W$5-Tabla2[[#This Row],[FECHA DE FACTURACIÓN]]</f>
        <v>457</v>
      </c>
      <c r="U1492" t="str">
        <f>+IF(Tabla2[[#This Row],[dias de credito]]&gt;=Tabla2[[#This Row],[PLAZO Días]],"venc", "No venc")</f>
        <v>venc</v>
      </c>
      <c r="V1492" t="str">
        <f>+IF(Tabla2[[#This Row],[FECHA DE PAGO]]&gt;0,"pagada","por pagar")</f>
        <v>pagada</v>
      </c>
      <c r="W1492" s="152" t="str">
        <f>+IF(AND(Tabla2[[#This Row],[venc]]="venc",Tabla2[[#This Row],[Columna1]]="por pagar"),"vencida","no")</f>
        <v>no</v>
      </c>
    </row>
    <row r="1493" spans="1:23" x14ac:dyDescent="0.3">
      <c r="A1493">
        <v>30</v>
      </c>
      <c r="B1493">
        <v>0</v>
      </c>
      <c r="D1493" t="s">
        <v>547</v>
      </c>
      <c r="E1493" s="156">
        <v>44377</v>
      </c>
      <c r="F1493" t="s">
        <v>905</v>
      </c>
      <c r="G1493" s="156">
        <v>44369</v>
      </c>
      <c r="H1493" t="s">
        <v>438</v>
      </c>
      <c r="I1493">
        <v>2888005</v>
      </c>
      <c r="K1493">
        <v>548720.94999999995</v>
      </c>
      <c r="M1493">
        <v>0</v>
      </c>
      <c r="N1493">
        <v>0</v>
      </c>
      <c r="O1493">
        <v>0</v>
      </c>
      <c r="P1493" s="117">
        <v>3436725.95</v>
      </c>
      <c r="Q1493" s="117" t="s">
        <v>1021</v>
      </c>
      <c r="R1493" s="150">
        <v>0</v>
      </c>
      <c r="S1493" s="117" t="b">
        <f>OR(COUNTIF(Tabla2[[#This Row],[PROVEEDOR]],"*"&amp;'Palabra no opera'!$A$2&amp;"*"))</f>
        <v>1</v>
      </c>
      <c r="T1493" s="150">
        <f>+$W$5-Tabla2[[#This Row],[FECHA DE FACTURACIÓN]]</f>
        <v>465</v>
      </c>
      <c r="U1493" t="str">
        <f>+IF(Tabla2[[#This Row],[dias de credito]]&gt;=Tabla2[[#This Row],[PLAZO Días]],"venc", "No venc")</f>
        <v>venc</v>
      </c>
      <c r="V1493" t="str">
        <f>+IF(Tabla2[[#This Row],[FECHA DE PAGO]]&gt;0,"pagada","por pagar")</f>
        <v>pagada</v>
      </c>
      <c r="W1493" s="152" t="str">
        <f>+IF(AND(Tabla2[[#This Row],[venc]]="venc",Tabla2[[#This Row],[Columna1]]="por pagar"),"vencida","no")</f>
        <v>no</v>
      </c>
    </row>
    <row r="1494" spans="1:23" x14ac:dyDescent="0.3">
      <c r="A1494">
        <v>20</v>
      </c>
      <c r="B1494">
        <v>0</v>
      </c>
      <c r="D1494" t="s">
        <v>308</v>
      </c>
      <c r="E1494" s="156">
        <v>44377</v>
      </c>
      <c r="F1494" t="s">
        <v>397</v>
      </c>
      <c r="G1494" s="156">
        <v>44365</v>
      </c>
      <c r="H1494" t="s">
        <v>1252</v>
      </c>
      <c r="I1494">
        <v>732300</v>
      </c>
      <c r="K1494">
        <v>0</v>
      </c>
      <c r="M1494">
        <v>0</v>
      </c>
      <c r="N1494">
        <v>0.01</v>
      </c>
      <c r="O1494">
        <v>7323</v>
      </c>
      <c r="P1494" s="117">
        <v>724977</v>
      </c>
      <c r="Q1494" s="117" t="s">
        <v>1021</v>
      </c>
      <c r="R1494" s="150">
        <v>0</v>
      </c>
      <c r="S1494" s="117" t="b">
        <f>OR(COUNTIF(Tabla2[[#This Row],[PROVEEDOR]],"*"&amp;'Palabra no opera'!$A$2&amp;"*"))</f>
        <v>0</v>
      </c>
      <c r="T1494" s="150">
        <f>+$W$5-Tabla2[[#This Row],[FECHA DE FACTURACIÓN]]</f>
        <v>469</v>
      </c>
      <c r="U1494" t="str">
        <f>+IF(Tabla2[[#This Row],[dias de credito]]&gt;=Tabla2[[#This Row],[PLAZO Días]],"venc", "No venc")</f>
        <v>venc</v>
      </c>
      <c r="V1494" t="str">
        <f>+IF(Tabla2[[#This Row],[FECHA DE PAGO]]&gt;0,"pagada","por pagar")</f>
        <v>pagada</v>
      </c>
      <c r="W1494" s="152" t="str">
        <f>+IF(AND(Tabla2[[#This Row],[venc]]="venc",Tabla2[[#This Row],[Columna1]]="por pagar"),"vencida","no")</f>
        <v>no</v>
      </c>
    </row>
    <row r="1495" spans="1:23" x14ac:dyDescent="0.3">
      <c r="A1495">
        <v>0</v>
      </c>
      <c r="B1495">
        <v>0</v>
      </c>
      <c r="D1495">
        <v>0</v>
      </c>
      <c r="E1495" s="156">
        <v>44377</v>
      </c>
      <c r="F1495" t="s">
        <v>626</v>
      </c>
      <c r="G1495" s="156">
        <v>44364</v>
      </c>
      <c r="I1495">
        <v>250995</v>
      </c>
      <c r="K1495">
        <v>0</v>
      </c>
      <c r="M1495">
        <v>0</v>
      </c>
      <c r="N1495">
        <v>0</v>
      </c>
      <c r="O1495">
        <v>0</v>
      </c>
      <c r="P1495" s="117">
        <v>250995</v>
      </c>
      <c r="Q1495" s="117" t="s">
        <v>1021</v>
      </c>
      <c r="R1495" s="150">
        <v>0</v>
      </c>
      <c r="S1495" s="117" t="b">
        <f>OR(COUNTIF(Tabla2[[#This Row],[PROVEEDOR]],"*"&amp;'Palabra no opera'!$A$2&amp;"*"))</f>
        <v>0</v>
      </c>
      <c r="T1495" s="150">
        <f>+$W$5-Tabla2[[#This Row],[FECHA DE FACTURACIÓN]]</f>
        <v>470</v>
      </c>
      <c r="U1495" t="str">
        <f>+IF(Tabla2[[#This Row],[dias de credito]]&gt;=Tabla2[[#This Row],[PLAZO Días]],"venc", "No venc")</f>
        <v>venc</v>
      </c>
      <c r="V1495" t="str">
        <f>+IF(Tabla2[[#This Row],[FECHA DE PAGO]]&gt;0,"pagada","por pagar")</f>
        <v>pagada</v>
      </c>
      <c r="W1495" s="152" t="str">
        <f>+IF(AND(Tabla2[[#This Row],[venc]]="venc",Tabla2[[#This Row],[Columna1]]="por pagar"),"vencida","no")</f>
        <v>no</v>
      </c>
    </row>
    <row r="1496" spans="1:23" x14ac:dyDescent="0.3">
      <c r="A1496">
        <v>0</v>
      </c>
      <c r="B1496">
        <v>0</v>
      </c>
      <c r="D1496">
        <v>0</v>
      </c>
      <c r="E1496" s="156">
        <v>44377</v>
      </c>
      <c r="F1496" t="s">
        <v>626</v>
      </c>
      <c r="G1496" s="156">
        <v>44364</v>
      </c>
      <c r="I1496">
        <v>514870</v>
      </c>
      <c r="K1496">
        <v>0</v>
      </c>
      <c r="M1496">
        <v>0</v>
      </c>
      <c r="N1496">
        <v>0</v>
      </c>
      <c r="O1496">
        <v>0</v>
      </c>
      <c r="P1496" s="117">
        <v>514870</v>
      </c>
      <c r="Q1496" s="117" t="s">
        <v>1021</v>
      </c>
      <c r="R1496" s="150">
        <v>0</v>
      </c>
      <c r="S1496" s="117" t="b">
        <f>OR(COUNTIF(Tabla2[[#This Row],[PROVEEDOR]],"*"&amp;'Palabra no opera'!$A$2&amp;"*"))</f>
        <v>0</v>
      </c>
      <c r="T1496" s="150">
        <f>+$W$5-Tabla2[[#This Row],[FECHA DE FACTURACIÓN]]</f>
        <v>470</v>
      </c>
      <c r="U1496" t="str">
        <f>+IF(Tabla2[[#This Row],[dias de credito]]&gt;=Tabla2[[#This Row],[PLAZO Días]],"venc", "No venc")</f>
        <v>venc</v>
      </c>
      <c r="V1496" t="str">
        <f>+IF(Tabla2[[#This Row],[FECHA DE PAGO]]&gt;0,"pagada","por pagar")</f>
        <v>pagada</v>
      </c>
      <c r="W1496" s="152" t="str">
        <f>+IF(AND(Tabla2[[#This Row],[venc]]="venc",Tabla2[[#This Row],[Columna1]]="por pagar"),"vencida","no")</f>
        <v>no</v>
      </c>
    </row>
    <row r="1497" spans="1:23" x14ac:dyDescent="0.3">
      <c r="A1497">
        <v>30</v>
      </c>
      <c r="B1497">
        <v>450000</v>
      </c>
      <c r="D1497" t="s">
        <v>291</v>
      </c>
      <c r="E1497" s="156">
        <v>44377</v>
      </c>
      <c r="F1497" t="s">
        <v>685</v>
      </c>
      <c r="G1497" s="156">
        <v>44315</v>
      </c>
      <c r="H1497" t="s">
        <v>1214</v>
      </c>
      <c r="I1497">
        <v>1512990</v>
      </c>
      <c r="K1497">
        <v>0</v>
      </c>
      <c r="M1497">
        <v>0</v>
      </c>
      <c r="N1497">
        <v>0</v>
      </c>
      <c r="O1497">
        <v>0</v>
      </c>
      <c r="P1497" s="117">
        <v>1512990</v>
      </c>
      <c r="Q1497" s="117" t="s">
        <v>1021</v>
      </c>
      <c r="R1497" s="150">
        <v>0</v>
      </c>
      <c r="S1497" s="117" t="b">
        <f>OR(COUNTIF(Tabla2[[#This Row],[PROVEEDOR]],"*"&amp;'Palabra no opera'!$A$2&amp;"*"))</f>
        <v>0</v>
      </c>
      <c r="T1497" s="150">
        <f>+$W$5-Tabla2[[#This Row],[FECHA DE FACTURACIÓN]]</f>
        <v>519</v>
      </c>
      <c r="U1497" t="str">
        <f>+IF(Tabla2[[#This Row],[dias de credito]]&gt;=Tabla2[[#This Row],[PLAZO Días]],"venc", "No venc")</f>
        <v>venc</v>
      </c>
      <c r="V1497" t="str">
        <f>+IF(Tabla2[[#This Row],[FECHA DE PAGO]]&gt;0,"pagada","por pagar")</f>
        <v>pagada</v>
      </c>
      <c r="W1497" s="152" t="str">
        <f>+IF(AND(Tabla2[[#This Row],[venc]]="venc",Tabla2[[#This Row],[Columna1]]="por pagar"),"vencida","no")</f>
        <v>no</v>
      </c>
    </row>
    <row r="1498" spans="1:23" x14ac:dyDescent="0.3">
      <c r="A1498">
        <v>90</v>
      </c>
      <c r="B1498">
        <v>64586412</v>
      </c>
      <c r="D1498" t="s">
        <v>368</v>
      </c>
      <c r="E1498" s="156">
        <v>44377</v>
      </c>
      <c r="F1498" t="s">
        <v>31</v>
      </c>
      <c r="G1498" s="156">
        <v>44293</v>
      </c>
      <c r="H1498">
        <v>53922</v>
      </c>
      <c r="I1498">
        <v>21930011</v>
      </c>
      <c r="K1498">
        <v>0</v>
      </c>
      <c r="M1498">
        <v>0</v>
      </c>
      <c r="N1498">
        <v>0</v>
      </c>
      <c r="O1498">
        <v>0</v>
      </c>
      <c r="P1498" s="117">
        <v>21930011</v>
      </c>
      <c r="Q1498" s="117" t="s">
        <v>1021</v>
      </c>
      <c r="R1498" s="150">
        <v>0</v>
      </c>
      <c r="S1498" s="117" t="b">
        <f>OR(COUNTIF(Tabla2[[#This Row],[PROVEEDOR]],"*"&amp;'Palabra no opera'!$A$2&amp;"*"))</f>
        <v>0</v>
      </c>
      <c r="T1498" s="150">
        <f>+$W$5-Tabla2[[#This Row],[FECHA DE FACTURACIÓN]]</f>
        <v>541</v>
      </c>
      <c r="U1498" t="str">
        <f>+IF(Tabla2[[#This Row],[dias de credito]]&gt;=Tabla2[[#This Row],[PLAZO Días]],"venc", "No venc")</f>
        <v>venc</v>
      </c>
      <c r="V1498" t="str">
        <f>+IF(Tabla2[[#This Row],[FECHA DE PAGO]]&gt;0,"pagada","por pagar")</f>
        <v>pagada</v>
      </c>
      <c r="W1498" s="152" t="str">
        <f>+IF(AND(Tabla2[[#This Row],[venc]]="venc",Tabla2[[#This Row],[Columna1]]="por pagar"),"vencida","no")</f>
        <v>no</v>
      </c>
    </row>
    <row r="1499" spans="1:23" x14ac:dyDescent="0.3">
      <c r="A1499">
        <v>30</v>
      </c>
      <c r="B1499">
        <v>326474.88</v>
      </c>
      <c r="D1499" t="s">
        <v>949</v>
      </c>
      <c r="E1499" s="156">
        <v>44376</v>
      </c>
      <c r="F1499" t="s">
        <v>345</v>
      </c>
      <c r="G1499" s="156">
        <v>44372</v>
      </c>
      <c r="H1499" t="s">
        <v>365</v>
      </c>
      <c r="I1499">
        <v>91746</v>
      </c>
      <c r="K1499">
        <v>0</v>
      </c>
      <c r="M1499">
        <v>0</v>
      </c>
      <c r="N1499">
        <v>0</v>
      </c>
      <c r="O1499">
        <v>0</v>
      </c>
      <c r="P1499" s="117">
        <v>91746</v>
      </c>
      <c r="Q1499" s="117" t="s">
        <v>1021</v>
      </c>
      <c r="R1499" s="150">
        <v>0</v>
      </c>
      <c r="S1499" s="117" t="b">
        <f>OR(COUNTIF(Tabla2[[#This Row],[PROVEEDOR]],"*"&amp;'Palabra no opera'!$A$2&amp;"*"))</f>
        <v>0</v>
      </c>
      <c r="T1499" s="150">
        <f>+$W$5-Tabla2[[#This Row],[FECHA DE FACTURACIÓN]]</f>
        <v>462</v>
      </c>
      <c r="U1499" t="str">
        <f>+IF(Tabla2[[#This Row],[dias de credito]]&gt;=Tabla2[[#This Row],[PLAZO Días]],"venc", "No venc")</f>
        <v>venc</v>
      </c>
      <c r="V1499" t="str">
        <f>+IF(Tabla2[[#This Row],[FECHA DE PAGO]]&gt;0,"pagada","por pagar")</f>
        <v>pagada</v>
      </c>
      <c r="W1499" s="152" t="str">
        <f>+IF(AND(Tabla2[[#This Row],[venc]]="venc",Tabla2[[#This Row],[Columna1]]="por pagar"),"vencida","no")</f>
        <v>no</v>
      </c>
    </row>
    <row r="1500" spans="1:23" x14ac:dyDescent="0.3">
      <c r="A1500">
        <v>30</v>
      </c>
      <c r="B1500">
        <v>0</v>
      </c>
      <c r="D1500" t="s">
        <v>326</v>
      </c>
      <c r="E1500" s="156">
        <v>44376</v>
      </c>
      <c r="F1500" t="s">
        <v>325</v>
      </c>
      <c r="G1500" s="156">
        <v>44372</v>
      </c>
      <c r="H1500" t="s">
        <v>362</v>
      </c>
      <c r="I1500">
        <v>452618</v>
      </c>
      <c r="K1500">
        <v>85997.42</v>
      </c>
      <c r="M1500">
        <v>0</v>
      </c>
      <c r="N1500">
        <v>0.01</v>
      </c>
      <c r="O1500">
        <v>4526.18</v>
      </c>
      <c r="P1500" s="117">
        <v>534089.24</v>
      </c>
      <c r="Q1500" s="117" t="s">
        <v>1021</v>
      </c>
      <c r="R1500" s="150">
        <v>0</v>
      </c>
      <c r="S1500" s="117" t="b">
        <f>OR(COUNTIF(Tabla2[[#This Row],[PROVEEDOR]],"*"&amp;'Palabra no opera'!$A$2&amp;"*"))</f>
        <v>0</v>
      </c>
      <c r="T1500" s="150">
        <f>+$W$5-Tabla2[[#This Row],[FECHA DE FACTURACIÓN]]</f>
        <v>462</v>
      </c>
      <c r="U1500" t="str">
        <f>+IF(Tabla2[[#This Row],[dias de credito]]&gt;=Tabla2[[#This Row],[PLAZO Días]],"venc", "No venc")</f>
        <v>venc</v>
      </c>
      <c r="V1500" t="str">
        <f>+IF(Tabla2[[#This Row],[FECHA DE PAGO]]&gt;0,"pagada","por pagar")</f>
        <v>pagada</v>
      </c>
      <c r="W1500" s="152" t="str">
        <f>+IF(AND(Tabla2[[#This Row],[venc]]="venc",Tabla2[[#This Row],[Columna1]]="por pagar"),"vencida","no")</f>
        <v>no</v>
      </c>
    </row>
    <row r="1501" spans="1:23" x14ac:dyDescent="0.3">
      <c r="A1501">
        <v>30</v>
      </c>
      <c r="B1501">
        <v>326474.88</v>
      </c>
      <c r="D1501" t="s">
        <v>949</v>
      </c>
      <c r="E1501" s="156">
        <v>44376</v>
      </c>
      <c r="F1501" t="s">
        <v>345</v>
      </c>
      <c r="G1501" s="156">
        <v>44371</v>
      </c>
      <c r="H1501" t="s">
        <v>364</v>
      </c>
      <c r="I1501">
        <v>5288</v>
      </c>
      <c r="K1501">
        <v>0</v>
      </c>
      <c r="M1501">
        <v>0</v>
      </c>
      <c r="N1501">
        <v>0</v>
      </c>
      <c r="O1501">
        <v>0</v>
      </c>
      <c r="P1501" s="117">
        <v>5288</v>
      </c>
      <c r="Q1501" s="117" t="s">
        <v>1021</v>
      </c>
      <c r="R1501" s="150">
        <v>0</v>
      </c>
      <c r="S1501" s="117" t="b">
        <f>OR(COUNTIF(Tabla2[[#This Row],[PROVEEDOR]],"*"&amp;'Palabra no opera'!$A$2&amp;"*"))</f>
        <v>0</v>
      </c>
      <c r="T1501" s="150">
        <f>+$W$5-Tabla2[[#This Row],[FECHA DE FACTURACIÓN]]</f>
        <v>463</v>
      </c>
      <c r="U1501" t="str">
        <f>+IF(Tabla2[[#This Row],[dias de credito]]&gt;=Tabla2[[#This Row],[PLAZO Días]],"venc", "No venc")</f>
        <v>venc</v>
      </c>
      <c r="V1501" t="str">
        <f>+IF(Tabla2[[#This Row],[FECHA DE PAGO]]&gt;0,"pagada","por pagar")</f>
        <v>pagada</v>
      </c>
      <c r="W1501" s="152" t="str">
        <f>+IF(AND(Tabla2[[#This Row],[venc]]="venc",Tabla2[[#This Row],[Columna1]]="por pagar"),"vencida","no")</f>
        <v>no</v>
      </c>
    </row>
    <row r="1502" spans="1:23" x14ac:dyDescent="0.3">
      <c r="A1502">
        <v>30</v>
      </c>
      <c r="B1502">
        <v>5225000</v>
      </c>
      <c r="D1502" t="s">
        <v>139</v>
      </c>
      <c r="E1502" s="156">
        <v>44376</v>
      </c>
      <c r="F1502" t="s">
        <v>629</v>
      </c>
      <c r="G1502" s="156">
        <v>44342</v>
      </c>
      <c r="H1502" t="s">
        <v>1235</v>
      </c>
      <c r="I1502">
        <v>1880000</v>
      </c>
      <c r="K1502">
        <v>0</v>
      </c>
      <c r="M1502">
        <v>0</v>
      </c>
      <c r="N1502">
        <v>0</v>
      </c>
      <c r="O1502">
        <v>0</v>
      </c>
      <c r="P1502" s="117">
        <v>1880000</v>
      </c>
      <c r="Q1502" s="117" t="s">
        <v>1021</v>
      </c>
      <c r="R1502" s="150">
        <v>0</v>
      </c>
      <c r="S1502" s="117" t="b">
        <f>OR(COUNTIF(Tabla2[[#This Row],[PROVEEDOR]],"*"&amp;'Palabra no opera'!$A$2&amp;"*"))</f>
        <v>0</v>
      </c>
      <c r="T1502" s="150">
        <f>+$W$5-Tabla2[[#This Row],[FECHA DE FACTURACIÓN]]</f>
        <v>492</v>
      </c>
      <c r="U1502" t="str">
        <f>+IF(Tabla2[[#This Row],[dias de credito]]&gt;=Tabla2[[#This Row],[PLAZO Días]],"venc", "No venc")</f>
        <v>venc</v>
      </c>
      <c r="V1502" t="str">
        <f>+IF(Tabla2[[#This Row],[FECHA DE PAGO]]&gt;0,"pagada","por pagar")</f>
        <v>pagada</v>
      </c>
      <c r="W1502" s="152" t="str">
        <f>+IF(AND(Tabla2[[#This Row],[venc]]="venc",Tabla2[[#This Row],[Columna1]]="por pagar"),"vencida","no")</f>
        <v>no</v>
      </c>
    </row>
    <row r="1503" spans="1:23" x14ac:dyDescent="0.3">
      <c r="A1503">
        <v>90</v>
      </c>
      <c r="B1503">
        <v>18086014.540000003</v>
      </c>
      <c r="D1503" t="s">
        <v>271</v>
      </c>
      <c r="E1503" s="156">
        <v>44376</v>
      </c>
      <c r="F1503" t="s">
        <v>9</v>
      </c>
      <c r="G1503" s="156">
        <v>44338</v>
      </c>
      <c r="H1503">
        <v>70032</v>
      </c>
      <c r="I1503">
        <v>2022230</v>
      </c>
      <c r="K1503">
        <v>384223.7</v>
      </c>
      <c r="M1503">
        <v>0</v>
      </c>
      <c r="N1503">
        <v>2.5000000000000001E-2</v>
      </c>
      <c r="O1503">
        <v>50555.75</v>
      </c>
      <c r="P1503" s="117">
        <v>2355897.9500000002</v>
      </c>
      <c r="Q1503" s="117" t="s">
        <v>1021</v>
      </c>
      <c r="R1503" s="150">
        <v>0</v>
      </c>
      <c r="S1503" s="117" t="b">
        <f>OR(COUNTIF(Tabla2[[#This Row],[PROVEEDOR]],"*"&amp;'Palabra no opera'!$A$2&amp;"*"))</f>
        <v>0</v>
      </c>
      <c r="T1503" s="150">
        <f>+$W$5-Tabla2[[#This Row],[FECHA DE FACTURACIÓN]]</f>
        <v>496</v>
      </c>
      <c r="U1503" t="str">
        <f>+IF(Tabla2[[#This Row],[dias de credito]]&gt;=Tabla2[[#This Row],[PLAZO Días]],"venc", "No venc")</f>
        <v>venc</v>
      </c>
      <c r="V1503" t="str">
        <f>+IF(Tabla2[[#This Row],[FECHA DE PAGO]]&gt;0,"pagada","por pagar")</f>
        <v>pagada</v>
      </c>
      <c r="W1503" s="152" t="str">
        <f>+IF(AND(Tabla2[[#This Row],[venc]]="venc",Tabla2[[#This Row],[Columna1]]="por pagar"),"vencida","no")</f>
        <v>no</v>
      </c>
    </row>
    <row r="1504" spans="1:23" x14ac:dyDescent="0.3">
      <c r="A1504">
        <v>30</v>
      </c>
      <c r="B1504">
        <v>19675613.1195</v>
      </c>
      <c r="D1504" t="s">
        <v>256</v>
      </c>
      <c r="E1504" s="156">
        <v>44376</v>
      </c>
      <c r="F1504" t="s">
        <v>18</v>
      </c>
      <c r="G1504" s="156">
        <v>44337</v>
      </c>
      <c r="H1504">
        <v>1038069</v>
      </c>
      <c r="I1504">
        <v>2084580.6</v>
      </c>
      <c r="K1504">
        <v>396070.31400000001</v>
      </c>
      <c r="M1504">
        <v>0</v>
      </c>
      <c r="N1504">
        <v>2.5000000000000001E-2</v>
      </c>
      <c r="O1504">
        <v>52114.515000000007</v>
      </c>
      <c r="P1504" s="117">
        <v>2428536.3989999997</v>
      </c>
      <c r="Q1504" s="117" t="s">
        <v>1021</v>
      </c>
      <c r="R1504" s="150">
        <v>0</v>
      </c>
      <c r="S1504" s="117" t="b">
        <f>OR(COUNTIF(Tabla2[[#This Row],[PROVEEDOR]],"*"&amp;'Palabra no opera'!$A$2&amp;"*"))</f>
        <v>0</v>
      </c>
      <c r="T1504" s="150">
        <f>+$W$5-Tabla2[[#This Row],[FECHA DE FACTURACIÓN]]</f>
        <v>497</v>
      </c>
      <c r="U1504" t="str">
        <f>+IF(Tabla2[[#This Row],[dias de credito]]&gt;=Tabla2[[#This Row],[PLAZO Días]],"venc", "No venc")</f>
        <v>venc</v>
      </c>
      <c r="V1504" t="str">
        <f>+IF(Tabla2[[#This Row],[FECHA DE PAGO]]&gt;0,"pagada","por pagar")</f>
        <v>pagada</v>
      </c>
      <c r="W1504" s="152" t="str">
        <f>+IF(AND(Tabla2[[#This Row],[venc]]="venc",Tabla2[[#This Row],[Columna1]]="por pagar"),"vencida","no")</f>
        <v>no</v>
      </c>
    </row>
    <row r="1505" spans="1:23" x14ac:dyDescent="0.3">
      <c r="A1505">
        <v>30</v>
      </c>
      <c r="B1505">
        <v>4656887.12</v>
      </c>
      <c r="D1505" t="s">
        <v>170</v>
      </c>
      <c r="E1505" s="156">
        <v>44376</v>
      </c>
      <c r="F1505" t="s">
        <v>20</v>
      </c>
      <c r="G1505" s="156">
        <v>44336</v>
      </c>
      <c r="H1505">
        <v>4103</v>
      </c>
      <c r="I1505">
        <v>1203216</v>
      </c>
      <c r="K1505">
        <v>228611.04</v>
      </c>
      <c r="M1505">
        <v>0</v>
      </c>
      <c r="N1505">
        <v>2.5000000000000001E-2</v>
      </c>
      <c r="O1505">
        <v>30080.400000000001</v>
      </c>
      <c r="P1505" s="117">
        <v>1401746.6400000001</v>
      </c>
      <c r="Q1505" s="117" t="s">
        <v>1021</v>
      </c>
      <c r="R1505" s="150">
        <v>0</v>
      </c>
      <c r="S1505" s="117" t="b">
        <f>OR(COUNTIF(Tabla2[[#This Row],[PROVEEDOR]],"*"&amp;'Palabra no opera'!$A$2&amp;"*"))</f>
        <v>0</v>
      </c>
      <c r="T1505" s="150">
        <f>+$W$5-Tabla2[[#This Row],[FECHA DE FACTURACIÓN]]</f>
        <v>498</v>
      </c>
      <c r="U1505" t="str">
        <f>+IF(Tabla2[[#This Row],[dias de credito]]&gt;=Tabla2[[#This Row],[PLAZO Días]],"venc", "No venc")</f>
        <v>venc</v>
      </c>
      <c r="V1505" t="str">
        <f>+IF(Tabla2[[#This Row],[FECHA DE PAGO]]&gt;0,"pagada","por pagar")</f>
        <v>pagada</v>
      </c>
      <c r="W1505" s="152" t="str">
        <f>+IF(AND(Tabla2[[#This Row],[venc]]="venc",Tabla2[[#This Row],[Columna1]]="por pagar"),"vencida","no")</f>
        <v>no</v>
      </c>
    </row>
    <row r="1506" spans="1:23" x14ac:dyDescent="0.3">
      <c r="A1506">
        <v>45</v>
      </c>
      <c r="B1506">
        <v>7497238</v>
      </c>
      <c r="D1506" t="s">
        <v>272</v>
      </c>
      <c r="E1506" s="156">
        <v>44376</v>
      </c>
      <c r="F1506" t="s">
        <v>10</v>
      </c>
      <c r="G1506" s="156">
        <v>44328</v>
      </c>
      <c r="H1506" t="s">
        <v>332</v>
      </c>
      <c r="I1506">
        <v>-126000</v>
      </c>
      <c r="K1506">
        <v>-23940</v>
      </c>
      <c r="M1506">
        <v>0</v>
      </c>
      <c r="N1506">
        <v>0</v>
      </c>
      <c r="O1506">
        <v>0</v>
      </c>
      <c r="P1506" s="117">
        <v>-149940</v>
      </c>
      <c r="Q1506" s="117" t="s">
        <v>1021</v>
      </c>
      <c r="R1506" s="150">
        <v>0</v>
      </c>
      <c r="S1506" s="117" t="b">
        <f>OR(COUNTIF(Tabla2[[#This Row],[PROVEEDOR]],"*"&amp;'Palabra no opera'!$A$2&amp;"*"))</f>
        <v>0</v>
      </c>
      <c r="T1506" s="150">
        <f>+$W$5-Tabla2[[#This Row],[FECHA DE FACTURACIÓN]]</f>
        <v>506</v>
      </c>
      <c r="U1506" t="str">
        <f>+IF(Tabla2[[#This Row],[dias de credito]]&gt;=Tabla2[[#This Row],[PLAZO Días]],"venc", "No venc")</f>
        <v>venc</v>
      </c>
      <c r="V1506" t="str">
        <f>+IF(Tabla2[[#This Row],[FECHA DE PAGO]]&gt;0,"pagada","por pagar")</f>
        <v>pagada</v>
      </c>
      <c r="W1506" s="152" t="str">
        <f>+IF(AND(Tabla2[[#This Row],[venc]]="venc",Tabla2[[#This Row],[Columna1]]="por pagar"),"vencida","no")</f>
        <v>no</v>
      </c>
    </row>
    <row r="1507" spans="1:23" x14ac:dyDescent="0.3">
      <c r="A1507">
        <v>45</v>
      </c>
      <c r="B1507">
        <v>7497238</v>
      </c>
      <c r="D1507" t="s">
        <v>272</v>
      </c>
      <c r="E1507" s="156">
        <v>44376</v>
      </c>
      <c r="F1507" t="s">
        <v>10</v>
      </c>
      <c r="G1507" s="156">
        <v>44320</v>
      </c>
      <c r="H1507" t="s">
        <v>320</v>
      </c>
      <c r="I1507">
        <v>2354000</v>
      </c>
      <c r="K1507">
        <v>447260</v>
      </c>
      <c r="M1507">
        <v>0</v>
      </c>
      <c r="N1507">
        <v>0</v>
      </c>
      <c r="O1507">
        <v>0</v>
      </c>
      <c r="P1507" s="117">
        <v>2801260</v>
      </c>
      <c r="Q1507" s="117" t="s">
        <v>1021</v>
      </c>
      <c r="R1507" s="150">
        <v>0</v>
      </c>
      <c r="S1507" s="117" t="b">
        <f>OR(COUNTIF(Tabla2[[#This Row],[PROVEEDOR]],"*"&amp;'Palabra no opera'!$A$2&amp;"*"))</f>
        <v>0</v>
      </c>
      <c r="T1507" s="150">
        <f>+$W$5-Tabla2[[#This Row],[FECHA DE FACTURACIÓN]]</f>
        <v>514</v>
      </c>
      <c r="U1507" t="str">
        <f>+IF(Tabla2[[#This Row],[dias de credito]]&gt;=Tabla2[[#This Row],[PLAZO Días]],"venc", "No venc")</f>
        <v>venc</v>
      </c>
      <c r="V1507" t="str">
        <f>+IF(Tabla2[[#This Row],[FECHA DE PAGO]]&gt;0,"pagada","por pagar")</f>
        <v>pagada</v>
      </c>
      <c r="W1507" s="152" t="str">
        <f>+IF(AND(Tabla2[[#This Row],[venc]]="venc",Tabla2[[#This Row],[Columna1]]="por pagar"),"vencida","no")</f>
        <v>no</v>
      </c>
    </row>
    <row r="1508" spans="1:23" x14ac:dyDescent="0.3">
      <c r="A1508">
        <v>45</v>
      </c>
      <c r="B1508">
        <v>30078253.170000002</v>
      </c>
      <c r="D1508" t="s">
        <v>884</v>
      </c>
      <c r="E1508" s="156">
        <v>44376</v>
      </c>
      <c r="F1508" t="s">
        <v>19</v>
      </c>
      <c r="G1508" s="156">
        <v>44313</v>
      </c>
      <c r="H1508" t="s">
        <v>301</v>
      </c>
      <c r="I1508">
        <v>5391660</v>
      </c>
      <c r="K1508">
        <v>1024415.4</v>
      </c>
      <c r="M1508">
        <v>0</v>
      </c>
      <c r="N1508">
        <v>0</v>
      </c>
      <c r="O1508">
        <v>0</v>
      </c>
      <c r="P1508" s="117">
        <v>6416075.4000000004</v>
      </c>
      <c r="Q1508" s="117" t="s">
        <v>1021</v>
      </c>
      <c r="R1508" s="150">
        <v>0</v>
      </c>
      <c r="S1508" s="117" t="b">
        <f>OR(COUNTIF(Tabla2[[#This Row],[PROVEEDOR]],"*"&amp;'Palabra no opera'!$A$2&amp;"*"))</f>
        <v>0</v>
      </c>
      <c r="T1508" s="150">
        <f>+$W$5-Tabla2[[#This Row],[FECHA DE FACTURACIÓN]]</f>
        <v>521</v>
      </c>
      <c r="U1508" t="str">
        <f>+IF(Tabla2[[#This Row],[dias de credito]]&gt;=Tabla2[[#This Row],[PLAZO Días]],"venc", "No venc")</f>
        <v>venc</v>
      </c>
      <c r="V1508" t="str">
        <f>+IF(Tabla2[[#This Row],[FECHA DE PAGO]]&gt;0,"pagada","por pagar")</f>
        <v>pagada</v>
      </c>
      <c r="W1508" s="152" t="str">
        <f>+IF(AND(Tabla2[[#This Row],[venc]]="venc",Tabla2[[#This Row],[Columna1]]="por pagar"),"vencida","no")</f>
        <v>no</v>
      </c>
    </row>
    <row r="1509" spans="1:23" x14ac:dyDescent="0.3">
      <c r="A1509">
        <v>90</v>
      </c>
      <c r="B1509">
        <v>5541947.6899999995</v>
      </c>
      <c r="D1509" t="s">
        <v>253</v>
      </c>
      <c r="E1509" s="156">
        <v>44376</v>
      </c>
      <c r="F1509" t="s">
        <v>12</v>
      </c>
      <c r="G1509" s="156">
        <v>44265</v>
      </c>
      <c r="H1509" t="s">
        <v>246</v>
      </c>
      <c r="I1509">
        <v>1928572</v>
      </c>
      <c r="K1509">
        <v>366428.68</v>
      </c>
      <c r="M1509">
        <v>0</v>
      </c>
      <c r="N1509">
        <v>2.5000000000000001E-2</v>
      </c>
      <c r="O1509">
        <v>48214.3</v>
      </c>
      <c r="P1509" s="117">
        <v>2246786.3800000004</v>
      </c>
      <c r="Q1509" s="117" t="s">
        <v>1021</v>
      </c>
      <c r="R1509" s="150">
        <v>0</v>
      </c>
      <c r="S1509" s="117" t="b">
        <f>OR(COUNTIF(Tabla2[[#This Row],[PROVEEDOR]],"*"&amp;'Palabra no opera'!$A$2&amp;"*"))</f>
        <v>0</v>
      </c>
      <c r="T1509" s="150">
        <f>+$W$5-Tabla2[[#This Row],[FECHA DE FACTURACIÓN]]</f>
        <v>569</v>
      </c>
      <c r="U1509" t="str">
        <f>+IF(Tabla2[[#This Row],[dias de credito]]&gt;=Tabla2[[#This Row],[PLAZO Días]],"venc", "No venc")</f>
        <v>venc</v>
      </c>
      <c r="V1509" t="str">
        <f>+IF(Tabla2[[#This Row],[FECHA DE PAGO]]&gt;0,"pagada","por pagar")</f>
        <v>pagada</v>
      </c>
      <c r="W1509" s="152" t="str">
        <f>+IF(AND(Tabla2[[#This Row],[venc]]="venc",Tabla2[[#This Row],[Columna1]]="por pagar"),"vencida","no")</f>
        <v>no</v>
      </c>
    </row>
    <row r="1510" spans="1:23" x14ac:dyDescent="0.3">
      <c r="A1510">
        <v>90</v>
      </c>
      <c r="B1510">
        <v>0</v>
      </c>
      <c r="D1510" t="s">
        <v>139</v>
      </c>
      <c r="E1510" s="156">
        <v>44375</v>
      </c>
      <c r="F1510" t="s">
        <v>651</v>
      </c>
      <c r="G1510" s="156">
        <v>44169</v>
      </c>
      <c r="H1510">
        <v>1493</v>
      </c>
      <c r="I1510">
        <v>21277000</v>
      </c>
      <c r="K1510">
        <v>0</v>
      </c>
      <c r="M1510">
        <v>0</v>
      </c>
      <c r="N1510">
        <v>0</v>
      </c>
      <c r="O1510">
        <v>0</v>
      </c>
      <c r="P1510" s="117">
        <v>21277000</v>
      </c>
      <c r="Q1510" s="117" t="s">
        <v>1021</v>
      </c>
      <c r="R1510" s="150">
        <v>0</v>
      </c>
      <c r="S1510" s="117" t="b">
        <f>OR(COUNTIF(Tabla2[[#This Row],[PROVEEDOR]],"*"&amp;'Palabra no opera'!$A$2&amp;"*"))</f>
        <v>0</v>
      </c>
      <c r="T1510" s="150">
        <f>+$W$5-Tabla2[[#This Row],[FECHA DE FACTURACIÓN]]</f>
        <v>665</v>
      </c>
      <c r="U1510" t="str">
        <f>+IF(Tabla2[[#This Row],[dias de credito]]&gt;=Tabla2[[#This Row],[PLAZO Días]],"venc", "No venc")</f>
        <v>venc</v>
      </c>
      <c r="V1510" t="str">
        <f>+IF(Tabla2[[#This Row],[FECHA DE PAGO]]&gt;0,"pagada","por pagar")</f>
        <v>pagada</v>
      </c>
      <c r="W1510" s="152" t="str">
        <f>+IF(AND(Tabla2[[#This Row],[venc]]="venc",Tabla2[[#This Row],[Columna1]]="por pagar"),"vencida","no")</f>
        <v>no</v>
      </c>
    </row>
    <row r="1511" spans="1:23" x14ac:dyDescent="0.3">
      <c r="A1511">
        <v>30</v>
      </c>
      <c r="B1511">
        <v>0</v>
      </c>
      <c r="D1511" t="s">
        <v>139</v>
      </c>
      <c r="E1511" s="156">
        <v>44373</v>
      </c>
      <c r="F1511" t="s">
        <v>661</v>
      </c>
      <c r="G1511" s="156">
        <v>44373</v>
      </c>
      <c r="H1511" t="s">
        <v>1259</v>
      </c>
      <c r="I1511">
        <v>520000</v>
      </c>
      <c r="K1511">
        <v>0</v>
      </c>
      <c r="M1511">
        <v>0</v>
      </c>
      <c r="N1511">
        <v>0</v>
      </c>
      <c r="O1511">
        <v>0</v>
      </c>
      <c r="P1511" s="117">
        <v>520000</v>
      </c>
      <c r="Q1511" s="117" t="s">
        <v>1021</v>
      </c>
      <c r="R1511" s="150">
        <v>0</v>
      </c>
      <c r="S1511" s="117" t="b">
        <f>OR(COUNTIF(Tabla2[[#This Row],[PROVEEDOR]],"*"&amp;'Palabra no opera'!$A$2&amp;"*"))</f>
        <v>0</v>
      </c>
      <c r="T1511" s="150">
        <f>+$W$5-Tabla2[[#This Row],[FECHA DE FACTURACIÓN]]</f>
        <v>461</v>
      </c>
      <c r="U1511" t="str">
        <f>+IF(Tabla2[[#This Row],[dias de credito]]&gt;=Tabla2[[#This Row],[PLAZO Días]],"venc", "No venc")</f>
        <v>venc</v>
      </c>
      <c r="V1511" t="str">
        <f>+IF(Tabla2[[#This Row],[FECHA DE PAGO]]&gt;0,"pagada","por pagar")</f>
        <v>pagada</v>
      </c>
      <c r="W1511" s="152" t="str">
        <f>+IF(AND(Tabla2[[#This Row],[venc]]="venc",Tabla2[[#This Row],[Columna1]]="por pagar"),"vencida","no")</f>
        <v>no</v>
      </c>
    </row>
    <row r="1512" spans="1:23" x14ac:dyDescent="0.3">
      <c r="A1512">
        <v>30</v>
      </c>
      <c r="B1512">
        <v>0</v>
      </c>
      <c r="D1512" t="s">
        <v>139</v>
      </c>
      <c r="E1512" s="156">
        <v>44372</v>
      </c>
      <c r="F1512" t="s">
        <v>37</v>
      </c>
      <c r="G1512" s="156">
        <v>44372</v>
      </c>
      <c r="H1512" t="s">
        <v>361</v>
      </c>
      <c r="I1512">
        <v>420000</v>
      </c>
      <c r="K1512">
        <v>79800</v>
      </c>
      <c r="M1512">
        <v>0</v>
      </c>
      <c r="N1512">
        <v>0</v>
      </c>
      <c r="O1512">
        <v>0</v>
      </c>
      <c r="P1512" s="117">
        <v>499800</v>
      </c>
      <c r="Q1512" s="117" t="s">
        <v>1021</v>
      </c>
      <c r="R1512" s="150">
        <v>0</v>
      </c>
      <c r="S1512" s="117" t="b">
        <f>OR(COUNTIF(Tabla2[[#This Row],[PROVEEDOR]],"*"&amp;'Palabra no opera'!$A$2&amp;"*"))</f>
        <v>0</v>
      </c>
      <c r="T1512" s="150">
        <f>+$W$5-Tabla2[[#This Row],[FECHA DE FACTURACIÓN]]</f>
        <v>462</v>
      </c>
      <c r="U1512" t="str">
        <f>+IF(Tabla2[[#This Row],[dias de credito]]&gt;=Tabla2[[#This Row],[PLAZO Días]],"venc", "No venc")</f>
        <v>venc</v>
      </c>
      <c r="V1512" t="str">
        <f>+IF(Tabla2[[#This Row],[FECHA DE PAGO]]&gt;0,"pagada","por pagar")</f>
        <v>pagada</v>
      </c>
      <c r="W1512" s="152" t="str">
        <f>+IF(AND(Tabla2[[#This Row],[venc]]="venc",Tabla2[[#This Row],[Columna1]]="por pagar"),"vencida","no")</f>
        <v>no</v>
      </c>
    </row>
    <row r="1513" spans="1:23" x14ac:dyDescent="0.3">
      <c r="A1513">
        <v>30</v>
      </c>
      <c r="B1513">
        <v>0</v>
      </c>
      <c r="D1513">
        <v>0</v>
      </c>
      <c r="E1513" s="156">
        <v>44372</v>
      </c>
      <c r="F1513" t="s">
        <v>366</v>
      </c>
      <c r="G1513" s="156">
        <v>44372</v>
      </c>
      <c r="H1513" t="s">
        <v>367</v>
      </c>
      <c r="I1513">
        <v>242016</v>
      </c>
      <c r="K1513">
        <v>45983.040000000001</v>
      </c>
      <c r="M1513">
        <v>0</v>
      </c>
      <c r="N1513">
        <v>0</v>
      </c>
      <c r="O1513">
        <v>0</v>
      </c>
      <c r="P1513" s="117">
        <v>287999.03999999998</v>
      </c>
      <c r="Q1513" s="117" t="s">
        <v>1021</v>
      </c>
      <c r="R1513" s="150">
        <v>0</v>
      </c>
      <c r="S1513" s="117" t="b">
        <f>OR(COUNTIF(Tabla2[[#This Row],[PROVEEDOR]],"*"&amp;'Palabra no opera'!$A$2&amp;"*"))</f>
        <v>0</v>
      </c>
      <c r="T1513" s="150">
        <f>+$W$5-Tabla2[[#This Row],[FECHA DE FACTURACIÓN]]</f>
        <v>462</v>
      </c>
      <c r="U1513" t="str">
        <f>+IF(Tabla2[[#This Row],[dias de credito]]&gt;=Tabla2[[#This Row],[PLAZO Días]],"venc", "No venc")</f>
        <v>venc</v>
      </c>
      <c r="V1513" t="str">
        <f>+IF(Tabla2[[#This Row],[FECHA DE PAGO]]&gt;0,"pagada","por pagar")</f>
        <v>pagada</v>
      </c>
      <c r="W1513" s="152" t="str">
        <f>+IF(AND(Tabla2[[#This Row],[venc]]="venc",Tabla2[[#This Row],[Columna1]]="por pagar"),"vencida","no")</f>
        <v>no</v>
      </c>
    </row>
    <row r="1514" spans="1:23" x14ac:dyDescent="0.3">
      <c r="A1514">
        <v>30</v>
      </c>
      <c r="B1514">
        <v>0</v>
      </c>
      <c r="D1514" t="s">
        <v>139</v>
      </c>
      <c r="E1514" s="156">
        <v>44370</v>
      </c>
      <c r="F1514" t="s">
        <v>638</v>
      </c>
      <c r="G1514" s="156">
        <v>44370</v>
      </c>
      <c r="H1514" t="s">
        <v>1257</v>
      </c>
      <c r="I1514">
        <v>3057000</v>
      </c>
      <c r="K1514">
        <v>0</v>
      </c>
      <c r="M1514">
        <v>0</v>
      </c>
      <c r="N1514">
        <v>0</v>
      </c>
      <c r="O1514">
        <v>0</v>
      </c>
      <c r="P1514" s="117">
        <v>3057000</v>
      </c>
      <c r="Q1514" s="117" t="s">
        <v>1021</v>
      </c>
      <c r="R1514" s="150">
        <v>0</v>
      </c>
      <c r="S1514" s="117" t="b">
        <f>OR(COUNTIF(Tabla2[[#This Row],[PROVEEDOR]],"*"&amp;'Palabra no opera'!$A$2&amp;"*"))</f>
        <v>0</v>
      </c>
      <c r="T1514" s="150">
        <f>+$W$5-Tabla2[[#This Row],[FECHA DE FACTURACIÓN]]</f>
        <v>464</v>
      </c>
      <c r="U1514" t="str">
        <f>+IF(Tabla2[[#This Row],[dias de credito]]&gt;=Tabla2[[#This Row],[PLAZO Días]],"venc", "No venc")</f>
        <v>venc</v>
      </c>
      <c r="V1514" t="str">
        <f>+IF(Tabla2[[#This Row],[FECHA DE PAGO]]&gt;0,"pagada","por pagar")</f>
        <v>pagada</v>
      </c>
      <c r="W1514" s="152" t="str">
        <f>+IF(AND(Tabla2[[#This Row],[venc]]="venc",Tabla2[[#This Row],[Columna1]]="por pagar"),"vencida","no")</f>
        <v>no</v>
      </c>
    </row>
    <row r="1515" spans="1:23" x14ac:dyDescent="0.3">
      <c r="A1515">
        <v>30</v>
      </c>
      <c r="B1515">
        <v>0</v>
      </c>
      <c r="D1515" t="s">
        <v>139</v>
      </c>
      <c r="E1515" s="156">
        <v>44370</v>
      </c>
      <c r="F1515" t="s">
        <v>673</v>
      </c>
      <c r="G1515" s="156">
        <v>44370</v>
      </c>
      <c r="I1515">
        <v>1000000</v>
      </c>
      <c r="K1515">
        <v>0</v>
      </c>
      <c r="M1515">
        <v>0</v>
      </c>
      <c r="N1515">
        <v>0</v>
      </c>
      <c r="O1515">
        <v>0</v>
      </c>
      <c r="P1515" s="117">
        <v>1000000</v>
      </c>
      <c r="Q1515" s="117" t="s">
        <v>1021</v>
      </c>
      <c r="R1515" s="150">
        <v>0</v>
      </c>
      <c r="S1515" s="117" t="b">
        <f>OR(COUNTIF(Tabla2[[#This Row],[PROVEEDOR]],"*"&amp;'Palabra no opera'!$A$2&amp;"*"))</f>
        <v>0</v>
      </c>
      <c r="T1515" s="150">
        <f>+$W$5-Tabla2[[#This Row],[FECHA DE FACTURACIÓN]]</f>
        <v>464</v>
      </c>
      <c r="U1515" t="str">
        <f>+IF(Tabla2[[#This Row],[dias de credito]]&gt;=Tabla2[[#This Row],[PLAZO Días]],"venc", "No venc")</f>
        <v>venc</v>
      </c>
      <c r="V1515" t="str">
        <f>+IF(Tabla2[[#This Row],[FECHA DE PAGO]]&gt;0,"pagada","por pagar")</f>
        <v>pagada</v>
      </c>
      <c r="W1515" s="152" t="str">
        <f>+IF(AND(Tabla2[[#This Row],[venc]]="venc",Tabla2[[#This Row],[Columna1]]="por pagar"),"vencida","no")</f>
        <v>no</v>
      </c>
    </row>
    <row r="1516" spans="1:23" x14ac:dyDescent="0.3">
      <c r="A1516">
        <v>30</v>
      </c>
      <c r="B1516">
        <v>0</v>
      </c>
      <c r="D1516" t="s">
        <v>267</v>
      </c>
      <c r="E1516" s="156">
        <v>44370</v>
      </c>
      <c r="F1516" t="s">
        <v>941</v>
      </c>
      <c r="G1516" s="156">
        <v>44366</v>
      </c>
      <c r="H1516" t="s">
        <v>334</v>
      </c>
      <c r="I1516">
        <v>203897</v>
      </c>
      <c r="K1516">
        <v>38740.43</v>
      </c>
      <c r="M1516">
        <v>0</v>
      </c>
      <c r="N1516">
        <v>3.5000000000000003E-2</v>
      </c>
      <c r="O1516">
        <v>7136.3950000000004</v>
      </c>
      <c r="P1516" s="117">
        <v>235501.035</v>
      </c>
      <c r="Q1516" s="117" t="s">
        <v>1021</v>
      </c>
      <c r="R1516" s="150">
        <v>0</v>
      </c>
      <c r="S1516" s="117" t="b">
        <f>OR(COUNTIF(Tabla2[[#This Row],[PROVEEDOR]],"*"&amp;'Palabra no opera'!$A$2&amp;"*"))</f>
        <v>1</v>
      </c>
      <c r="T1516" s="150">
        <f>+$W$5-Tabla2[[#This Row],[FECHA DE FACTURACIÓN]]</f>
        <v>468</v>
      </c>
      <c r="U1516" t="str">
        <f>+IF(Tabla2[[#This Row],[dias de credito]]&gt;=Tabla2[[#This Row],[PLAZO Días]],"venc", "No venc")</f>
        <v>venc</v>
      </c>
      <c r="V1516" t="str">
        <f>+IF(Tabla2[[#This Row],[FECHA DE PAGO]]&gt;0,"pagada","por pagar")</f>
        <v>pagada</v>
      </c>
      <c r="W1516" s="152" t="str">
        <f>+IF(AND(Tabla2[[#This Row],[venc]]="venc",Tabla2[[#This Row],[Columna1]]="por pagar"),"vencida","no")</f>
        <v>no</v>
      </c>
    </row>
    <row r="1517" spans="1:23" x14ac:dyDescent="0.3">
      <c r="A1517">
        <v>30</v>
      </c>
      <c r="B1517">
        <v>0</v>
      </c>
      <c r="D1517" t="s">
        <v>259</v>
      </c>
      <c r="E1517" s="156">
        <v>44370</v>
      </c>
      <c r="F1517" t="s">
        <v>918</v>
      </c>
      <c r="G1517" s="156">
        <v>44348</v>
      </c>
      <c r="H1517">
        <v>8322</v>
      </c>
      <c r="I1517">
        <v>1516048</v>
      </c>
      <c r="K1517">
        <v>0</v>
      </c>
      <c r="M1517">
        <v>0</v>
      </c>
      <c r="N1517">
        <v>0</v>
      </c>
      <c r="O1517">
        <v>0</v>
      </c>
      <c r="P1517" s="117">
        <v>1516048</v>
      </c>
      <c r="Q1517" s="117" t="s">
        <v>1021</v>
      </c>
      <c r="R1517" s="150">
        <v>0</v>
      </c>
      <c r="S1517" s="117" t="b">
        <f>OR(COUNTIF(Tabla2[[#This Row],[PROVEEDOR]],"*"&amp;'Palabra no opera'!$A$2&amp;"*"))</f>
        <v>1</v>
      </c>
      <c r="T1517" s="150">
        <f>+$W$5-Tabla2[[#This Row],[FECHA DE FACTURACIÓN]]</f>
        <v>486</v>
      </c>
      <c r="U1517" t="str">
        <f>+IF(Tabla2[[#This Row],[dias de credito]]&gt;=Tabla2[[#This Row],[PLAZO Días]],"venc", "No venc")</f>
        <v>venc</v>
      </c>
      <c r="V1517" t="str">
        <f>+IF(Tabla2[[#This Row],[FECHA DE PAGO]]&gt;0,"pagada","por pagar")</f>
        <v>pagada</v>
      </c>
      <c r="W1517" s="152" t="str">
        <f>+IF(AND(Tabla2[[#This Row],[venc]]="venc",Tabla2[[#This Row],[Columna1]]="por pagar"),"vencida","no")</f>
        <v>no</v>
      </c>
    </row>
    <row r="1518" spans="1:23" x14ac:dyDescent="0.3">
      <c r="A1518">
        <v>30</v>
      </c>
      <c r="B1518">
        <v>0</v>
      </c>
      <c r="D1518" t="s">
        <v>290</v>
      </c>
      <c r="E1518" s="156">
        <v>44370</v>
      </c>
      <c r="F1518" t="s">
        <v>47</v>
      </c>
      <c r="G1518" s="156">
        <v>44328</v>
      </c>
      <c r="H1518">
        <v>28312</v>
      </c>
      <c r="I1518">
        <v>377400</v>
      </c>
      <c r="K1518">
        <v>71706</v>
      </c>
      <c r="M1518">
        <v>0</v>
      </c>
      <c r="N1518">
        <v>0</v>
      </c>
      <c r="O1518">
        <v>0</v>
      </c>
      <c r="P1518" s="117">
        <v>449106</v>
      </c>
      <c r="Q1518" s="117" t="s">
        <v>1021</v>
      </c>
      <c r="R1518" s="150">
        <v>0</v>
      </c>
      <c r="S1518" s="117" t="b">
        <f>OR(COUNTIF(Tabla2[[#This Row],[PROVEEDOR]],"*"&amp;'Palabra no opera'!$A$2&amp;"*"))</f>
        <v>0</v>
      </c>
      <c r="T1518" s="150">
        <f>+$W$5-Tabla2[[#This Row],[FECHA DE FACTURACIÓN]]</f>
        <v>506</v>
      </c>
      <c r="U1518" t="str">
        <f>+IF(Tabla2[[#This Row],[dias de credito]]&gt;=Tabla2[[#This Row],[PLAZO Días]],"venc", "No venc")</f>
        <v>venc</v>
      </c>
      <c r="V1518" t="str">
        <f>+IF(Tabla2[[#This Row],[FECHA DE PAGO]]&gt;0,"pagada","por pagar")</f>
        <v>pagada</v>
      </c>
      <c r="W1518" s="152" t="str">
        <f>+IF(AND(Tabla2[[#This Row],[venc]]="venc",Tabla2[[#This Row],[Columna1]]="por pagar"),"vencida","no")</f>
        <v>no</v>
      </c>
    </row>
    <row r="1519" spans="1:23" x14ac:dyDescent="0.3">
      <c r="A1519">
        <v>30</v>
      </c>
      <c r="B1519">
        <v>0</v>
      </c>
      <c r="D1519" t="s">
        <v>139</v>
      </c>
      <c r="E1519" s="156">
        <v>44369</v>
      </c>
      <c r="F1519" t="s">
        <v>1130</v>
      </c>
      <c r="G1519" s="156">
        <v>44369</v>
      </c>
      <c r="I1519">
        <v>74500</v>
      </c>
      <c r="K1519">
        <v>0</v>
      </c>
      <c r="M1519">
        <v>0</v>
      </c>
      <c r="N1519">
        <v>0</v>
      </c>
      <c r="O1519">
        <v>0</v>
      </c>
      <c r="P1519" s="117">
        <v>74500</v>
      </c>
      <c r="Q1519" s="117" t="s">
        <v>1021</v>
      </c>
      <c r="R1519" s="150">
        <v>0</v>
      </c>
      <c r="S1519" s="117" t="b">
        <f>OR(COUNTIF(Tabla2[[#This Row],[PROVEEDOR]],"*"&amp;'Palabra no opera'!$A$2&amp;"*"))</f>
        <v>1</v>
      </c>
      <c r="T1519" s="150">
        <f>+$W$5-Tabla2[[#This Row],[FECHA DE FACTURACIÓN]]</f>
        <v>465</v>
      </c>
      <c r="U1519" t="str">
        <f>+IF(Tabla2[[#This Row],[dias de credito]]&gt;=Tabla2[[#This Row],[PLAZO Días]],"venc", "No venc")</f>
        <v>venc</v>
      </c>
      <c r="V1519" t="str">
        <f>+IF(Tabla2[[#This Row],[FECHA DE PAGO]]&gt;0,"pagada","por pagar")</f>
        <v>pagada</v>
      </c>
      <c r="W1519" s="152" t="str">
        <f>+IF(AND(Tabla2[[#This Row],[venc]]="venc",Tabla2[[#This Row],[Columna1]]="por pagar"),"vencida","no")</f>
        <v>no</v>
      </c>
    </row>
    <row r="1520" spans="1:23" x14ac:dyDescent="0.3">
      <c r="A1520">
        <v>30</v>
      </c>
      <c r="B1520">
        <v>0</v>
      </c>
      <c r="D1520" t="s">
        <v>139</v>
      </c>
      <c r="E1520" s="156">
        <v>44369</v>
      </c>
      <c r="F1520" t="s">
        <v>1130</v>
      </c>
      <c r="G1520" s="156">
        <v>44369</v>
      </c>
      <c r="I1520">
        <v>775866</v>
      </c>
      <c r="K1520">
        <v>0</v>
      </c>
      <c r="M1520">
        <v>0</v>
      </c>
      <c r="N1520">
        <v>0</v>
      </c>
      <c r="O1520">
        <v>0</v>
      </c>
      <c r="P1520" s="117">
        <v>775866</v>
      </c>
      <c r="Q1520" s="117" t="s">
        <v>1021</v>
      </c>
      <c r="R1520" s="150">
        <v>0</v>
      </c>
      <c r="S1520" s="117" t="b">
        <f>OR(COUNTIF(Tabla2[[#This Row],[PROVEEDOR]],"*"&amp;'Palabra no opera'!$A$2&amp;"*"))</f>
        <v>1</v>
      </c>
      <c r="T1520" s="150">
        <f>+$W$5-Tabla2[[#This Row],[FECHA DE FACTURACIÓN]]</f>
        <v>465</v>
      </c>
      <c r="U1520" t="str">
        <f>+IF(Tabla2[[#This Row],[dias de credito]]&gt;=Tabla2[[#This Row],[PLAZO Días]],"venc", "No venc")</f>
        <v>venc</v>
      </c>
      <c r="V1520" t="str">
        <f>+IF(Tabla2[[#This Row],[FECHA DE PAGO]]&gt;0,"pagada","por pagar")</f>
        <v>pagada</v>
      </c>
      <c r="W1520" s="152" t="str">
        <f>+IF(AND(Tabla2[[#This Row],[venc]]="venc",Tabla2[[#This Row],[Columna1]]="por pagar"),"vencida","no")</f>
        <v>no</v>
      </c>
    </row>
    <row r="1521" spans="1:23" x14ac:dyDescent="0.3">
      <c r="A1521">
        <v>30</v>
      </c>
      <c r="B1521">
        <v>0</v>
      </c>
      <c r="D1521" t="s">
        <v>650</v>
      </c>
      <c r="E1521" s="156">
        <v>44369</v>
      </c>
      <c r="F1521" t="s">
        <v>913</v>
      </c>
      <c r="G1521" s="156">
        <v>44348</v>
      </c>
      <c r="H1521" t="s">
        <v>1241</v>
      </c>
      <c r="I1521">
        <v>3061166</v>
      </c>
      <c r="K1521">
        <v>581621.54</v>
      </c>
      <c r="M1521">
        <v>0</v>
      </c>
      <c r="N1521">
        <v>0</v>
      </c>
      <c r="O1521">
        <v>0</v>
      </c>
      <c r="P1521" s="117">
        <v>3642787.54</v>
      </c>
      <c r="Q1521" s="117" t="s">
        <v>1021</v>
      </c>
      <c r="R1521" s="150">
        <v>0</v>
      </c>
      <c r="S1521" s="117" t="b">
        <f>OR(COUNTIF(Tabla2[[#This Row],[PROVEEDOR]],"*"&amp;'Palabra no opera'!$A$2&amp;"*"))</f>
        <v>1</v>
      </c>
      <c r="T1521" s="150">
        <f>+$W$5-Tabla2[[#This Row],[FECHA DE FACTURACIÓN]]</f>
        <v>486</v>
      </c>
      <c r="U1521" t="str">
        <f>+IF(Tabla2[[#This Row],[dias de credito]]&gt;=Tabla2[[#This Row],[PLAZO Días]],"venc", "No venc")</f>
        <v>venc</v>
      </c>
      <c r="V1521" t="str">
        <f>+IF(Tabla2[[#This Row],[FECHA DE PAGO]]&gt;0,"pagada","por pagar")</f>
        <v>pagada</v>
      </c>
      <c r="W1521" s="152" t="str">
        <f>+IF(AND(Tabla2[[#This Row],[venc]]="venc",Tabla2[[#This Row],[Columna1]]="por pagar"),"vencida","no")</f>
        <v>no</v>
      </c>
    </row>
    <row r="1522" spans="1:23" x14ac:dyDescent="0.3">
      <c r="A1522">
        <v>30</v>
      </c>
      <c r="B1522">
        <v>0</v>
      </c>
      <c r="D1522" t="s">
        <v>650</v>
      </c>
      <c r="E1522" s="156">
        <v>44369</v>
      </c>
      <c r="F1522" t="s">
        <v>913</v>
      </c>
      <c r="G1522" s="156">
        <v>44348</v>
      </c>
      <c r="H1522" t="s">
        <v>1242</v>
      </c>
      <c r="I1522">
        <v>716544</v>
      </c>
      <c r="K1522">
        <v>136143.36000000002</v>
      </c>
      <c r="M1522">
        <v>0</v>
      </c>
      <c r="N1522">
        <v>0</v>
      </c>
      <c r="O1522">
        <v>0</v>
      </c>
      <c r="P1522" s="117">
        <v>852687.35999999999</v>
      </c>
      <c r="Q1522" s="117" t="s">
        <v>1021</v>
      </c>
      <c r="R1522" s="150">
        <v>0</v>
      </c>
      <c r="S1522" s="117" t="b">
        <f>OR(COUNTIF(Tabla2[[#This Row],[PROVEEDOR]],"*"&amp;'Palabra no opera'!$A$2&amp;"*"))</f>
        <v>1</v>
      </c>
      <c r="T1522" s="150">
        <f>+$W$5-Tabla2[[#This Row],[FECHA DE FACTURACIÓN]]</f>
        <v>486</v>
      </c>
      <c r="U1522" t="str">
        <f>+IF(Tabla2[[#This Row],[dias de credito]]&gt;=Tabla2[[#This Row],[PLAZO Días]],"venc", "No venc")</f>
        <v>venc</v>
      </c>
      <c r="V1522" t="str">
        <f>+IF(Tabla2[[#This Row],[FECHA DE PAGO]]&gt;0,"pagada","por pagar")</f>
        <v>pagada</v>
      </c>
      <c r="W1522" s="152" t="str">
        <f>+IF(AND(Tabla2[[#This Row],[venc]]="venc",Tabla2[[#This Row],[Columna1]]="por pagar"),"vencida","no")</f>
        <v>no</v>
      </c>
    </row>
    <row r="1523" spans="1:23" x14ac:dyDescent="0.3">
      <c r="A1523">
        <v>30</v>
      </c>
      <c r="B1523">
        <v>0</v>
      </c>
      <c r="D1523" t="s">
        <v>1688</v>
      </c>
      <c r="E1523" s="156">
        <v>44369</v>
      </c>
      <c r="F1523" t="s">
        <v>928</v>
      </c>
      <c r="G1523" s="156">
        <v>44348</v>
      </c>
      <c r="H1523" t="s">
        <v>585</v>
      </c>
      <c r="I1523">
        <v>3023387</v>
      </c>
      <c r="K1523">
        <v>0</v>
      </c>
      <c r="M1523">
        <v>0</v>
      </c>
      <c r="N1523">
        <v>3.5000000000000003E-2</v>
      </c>
      <c r="O1523">
        <v>105818.54500000001</v>
      </c>
      <c r="P1523" s="117">
        <v>2917568.4550000001</v>
      </c>
      <c r="Q1523" s="117" t="s">
        <v>1021</v>
      </c>
      <c r="R1523" s="150">
        <v>0</v>
      </c>
      <c r="S1523" s="117" t="b">
        <f>OR(COUNTIF(Tabla2[[#This Row],[PROVEEDOR]],"*"&amp;'Palabra no opera'!$A$2&amp;"*"))</f>
        <v>1</v>
      </c>
      <c r="T1523" s="150">
        <f>+$W$5-Tabla2[[#This Row],[FECHA DE FACTURACIÓN]]</f>
        <v>486</v>
      </c>
      <c r="U1523" t="str">
        <f>+IF(Tabla2[[#This Row],[dias de credito]]&gt;=Tabla2[[#This Row],[PLAZO Días]],"venc", "No venc")</f>
        <v>venc</v>
      </c>
      <c r="V1523" t="str">
        <f>+IF(Tabla2[[#This Row],[FECHA DE PAGO]]&gt;0,"pagada","por pagar")</f>
        <v>pagada</v>
      </c>
      <c r="W1523" s="152" t="str">
        <f>+IF(AND(Tabla2[[#This Row],[venc]]="venc",Tabla2[[#This Row],[Columna1]]="por pagar"),"vencida","no")</f>
        <v>no</v>
      </c>
    </row>
    <row r="1524" spans="1:23" x14ac:dyDescent="0.3">
      <c r="A1524">
        <v>30</v>
      </c>
      <c r="B1524">
        <v>0</v>
      </c>
      <c r="D1524" t="s">
        <v>433</v>
      </c>
      <c r="E1524" s="156">
        <v>44369</v>
      </c>
      <c r="F1524" t="s">
        <v>925</v>
      </c>
      <c r="G1524" s="156">
        <v>44348</v>
      </c>
      <c r="H1524" t="s">
        <v>1243</v>
      </c>
      <c r="I1524">
        <v>2789636</v>
      </c>
      <c r="K1524">
        <v>0</v>
      </c>
      <c r="M1524">
        <v>0</v>
      </c>
      <c r="N1524">
        <v>3.5000000000000003E-2</v>
      </c>
      <c r="O1524">
        <v>97637.260000000009</v>
      </c>
      <c r="P1524" s="117">
        <v>2691998.74</v>
      </c>
      <c r="Q1524" s="117" t="s">
        <v>1021</v>
      </c>
      <c r="R1524" s="150">
        <v>0</v>
      </c>
      <c r="S1524" s="117" t="b">
        <f>OR(COUNTIF(Tabla2[[#This Row],[PROVEEDOR]],"*"&amp;'Palabra no opera'!$A$2&amp;"*"))</f>
        <v>1</v>
      </c>
      <c r="T1524" s="150">
        <f>+$W$5-Tabla2[[#This Row],[FECHA DE FACTURACIÓN]]</f>
        <v>486</v>
      </c>
      <c r="U1524" t="str">
        <f>+IF(Tabla2[[#This Row],[dias de credito]]&gt;=Tabla2[[#This Row],[PLAZO Días]],"venc", "No venc")</f>
        <v>venc</v>
      </c>
      <c r="V1524" t="str">
        <f>+IF(Tabla2[[#This Row],[FECHA DE PAGO]]&gt;0,"pagada","por pagar")</f>
        <v>pagada</v>
      </c>
      <c r="W1524" s="152" t="str">
        <f>+IF(AND(Tabla2[[#This Row],[venc]]="venc",Tabla2[[#This Row],[Columna1]]="por pagar"),"vencida","no")</f>
        <v>no</v>
      </c>
    </row>
    <row r="1525" spans="1:23" x14ac:dyDescent="0.3">
      <c r="A1525">
        <v>20</v>
      </c>
      <c r="B1525">
        <v>0</v>
      </c>
      <c r="D1525" t="s">
        <v>275</v>
      </c>
      <c r="E1525" s="156">
        <v>44369</v>
      </c>
      <c r="F1525" t="s">
        <v>942</v>
      </c>
      <c r="G1525" s="156">
        <v>44348</v>
      </c>
      <c r="H1525">
        <v>39353</v>
      </c>
      <c r="I1525">
        <v>3765500</v>
      </c>
      <c r="K1525">
        <v>715445</v>
      </c>
      <c r="M1525">
        <v>0</v>
      </c>
      <c r="N1525">
        <v>3.5000000000000003E-2</v>
      </c>
      <c r="O1525">
        <v>131792.5</v>
      </c>
      <c r="P1525" s="117">
        <v>4349152.5</v>
      </c>
      <c r="Q1525" s="117" t="s">
        <v>1021</v>
      </c>
      <c r="R1525" s="150">
        <v>0</v>
      </c>
      <c r="S1525" s="117" t="b">
        <f>OR(COUNTIF(Tabla2[[#This Row],[PROVEEDOR]],"*"&amp;'Palabra no opera'!$A$2&amp;"*"))</f>
        <v>1</v>
      </c>
      <c r="T1525" s="150">
        <f>+$W$5-Tabla2[[#This Row],[FECHA DE FACTURACIÓN]]</f>
        <v>486</v>
      </c>
      <c r="U1525" t="str">
        <f>+IF(Tabla2[[#This Row],[dias de credito]]&gt;=Tabla2[[#This Row],[PLAZO Días]],"venc", "No venc")</f>
        <v>venc</v>
      </c>
      <c r="V1525" t="str">
        <f>+IF(Tabla2[[#This Row],[FECHA DE PAGO]]&gt;0,"pagada","por pagar")</f>
        <v>pagada</v>
      </c>
      <c r="W1525" s="152" t="str">
        <f>+IF(AND(Tabla2[[#This Row],[venc]]="venc",Tabla2[[#This Row],[Columna1]]="por pagar"),"vencida","no")</f>
        <v>no</v>
      </c>
    </row>
    <row r="1526" spans="1:23" x14ac:dyDescent="0.3">
      <c r="A1526">
        <v>30</v>
      </c>
      <c r="B1526">
        <v>0</v>
      </c>
      <c r="D1526" t="s">
        <v>650</v>
      </c>
      <c r="E1526" s="156">
        <v>44369</v>
      </c>
      <c r="F1526" t="s">
        <v>913</v>
      </c>
      <c r="G1526" s="156">
        <v>44317</v>
      </c>
      <c r="H1526" t="s">
        <v>1217</v>
      </c>
      <c r="I1526">
        <v>-612233</v>
      </c>
      <c r="K1526">
        <v>-116324.27</v>
      </c>
      <c r="M1526">
        <v>0</v>
      </c>
      <c r="N1526">
        <v>0</v>
      </c>
      <c r="O1526">
        <v>0</v>
      </c>
      <c r="P1526" s="117">
        <v>-728557.27</v>
      </c>
      <c r="Q1526" s="117" t="s">
        <v>1021</v>
      </c>
      <c r="R1526" s="150">
        <v>0</v>
      </c>
      <c r="S1526" s="117" t="b">
        <f>OR(COUNTIF(Tabla2[[#This Row],[PROVEEDOR]],"*"&amp;'Palabra no opera'!$A$2&amp;"*"))</f>
        <v>1</v>
      </c>
      <c r="T1526" s="150">
        <f>+$W$5-Tabla2[[#This Row],[FECHA DE FACTURACIÓN]]</f>
        <v>517</v>
      </c>
      <c r="U1526" t="str">
        <f>+IF(Tabla2[[#This Row],[dias de credito]]&gt;=Tabla2[[#This Row],[PLAZO Días]],"venc", "No venc")</f>
        <v>venc</v>
      </c>
      <c r="V1526" t="str">
        <f>+IF(Tabla2[[#This Row],[FECHA DE PAGO]]&gt;0,"pagada","por pagar")</f>
        <v>pagada</v>
      </c>
      <c r="W1526" s="152" t="str">
        <f>+IF(AND(Tabla2[[#This Row],[venc]]="venc",Tabla2[[#This Row],[Columna1]]="por pagar"),"vencida","no")</f>
        <v>no</v>
      </c>
    </row>
    <row r="1527" spans="1:23" x14ac:dyDescent="0.3">
      <c r="A1527">
        <v>45</v>
      </c>
      <c r="B1527">
        <v>7497238</v>
      </c>
      <c r="D1527" t="s">
        <v>272</v>
      </c>
      <c r="E1527" s="156">
        <v>44369</v>
      </c>
      <c r="F1527" t="s">
        <v>10</v>
      </c>
      <c r="G1527" s="156">
        <v>44307</v>
      </c>
      <c r="H1527" t="s">
        <v>296</v>
      </c>
      <c r="I1527">
        <v>894000</v>
      </c>
      <c r="K1527">
        <v>169860</v>
      </c>
      <c r="M1527">
        <v>0</v>
      </c>
      <c r="N1527">
        <v>0</v>
      </c>
      <c r="O1527">
        <v>0</v>
      </c>
      <c r="P1527" s="117">
        <v>1063860</v>
      </c>
      <c r="Q1527" s="117" t="s">
        <v>1021</v>
      </c>
      <c r="R1527" s="150">
        <v>0</v>
      </c>
      <c r="S1527" s="117" t="b">
        <f>OR(COUNTIF(Tabla2[[#This Row],[PROVEEDOR]],"*"&amp;'Palabra no opera'!$A$2&amp;"*"))</f>
        <v>0</v>
      </c>
      <c r="T1527" s="150">
        <f>+$W$5-Tabla2[[#This Row],[FECHA DE FACTURACIÓN]]</f>
        <v>527</v>
      </c>
      <c r="U1527" t="str">
        <f>+IF(Tabla2[[#This Row],[dias de credito]]&gt;=Tabla2[[#This Row],[PLAZO Días]],"venc", "No venc")</f>
        <v>venc</v>
      </c>
      <c r="V1527" t="str">
        <f>+IF(Tabla2[[#This Row],[FECHA DE PAGO]]&gt;0,"pagada","por pagar")</f>
        <v>pagada</v>
      </c>
      <c r="W1527" s="152" t="str">
        <f>+IF(AND(Tabla2[[#This Row],[venc]]="venc",Tabla2[[#This Row],[Columna1]]="por pagar"),"vencida","no")</f>
        <v>no</v>
      </c>
    </row>
    <row r="1528" spans="1:23" x14ac:dyDescent="0.3">
      <c r="A1528">
        <v>30</v>
      </c>
      <c r="B1528">
        <v>0</v>
      </c>
      <c r="D1528" t="s">
        <v>139</v>
      </c>
      <c r="E1528" s="156">
        <v>44368</v>
      </c>
      <c r="F1528" t="s">
        <v>689</v>
      </c>
      <c r="G1528" s="156">
        <v>44366</v>
      </c>
      <c r="H1528" t="s">
        <v>1253</v>
      </c>
      <c r="I1528">
        <v>2390504</v>
      </c>
      <c r="K1528">
        <v>0</v>
      </c>
      <c r="M1528">
        <v>0</v>
      </c>
      <c r="N1528">
        <v>0</v>
      </c>
      <c r="O1528">
        <v>0</v>
      </c>
      <c r="P1528" s="117">
        <v>2390504</v>
      </c>
      <c r="Q1528" s="117" t="s">
        <v>1021</v>
      </c>
      <c r="R1528" s="150">
        <v>0</v>
      </c>
      <c r="S1528" s="117" t="b">
        <f>OR(COUNTIF(Tabla2[[#This Row],[PROVEEDOR]],"*"&amp;'Palabra no opera'!$A$2&amp;"*"))</f>
        <v>0</v>
      </c>
      <c r="T1528" s="150">
        <f>+$W$5-Tabla2[[#This Row],[FECHA DE FACTURACIÓN]]</f>
        <v>468</v>
      </c>
      <c r="U1528" t="str">
        <f>+IF(Tabla2[[#This Row],[dias de credito]]&gt;=Tabla2[[#This Row],[PLAZO Días]],"venc", "No venc")</f>
        <v>venc</v>
      </c>
      <c r="V1528" t="str">
        <f>+IF(Tabla2[[#This Row],[FECHA DE PAGO]]&gt;0,"pagada","por pagar")</f>
        <v>pagada</v>
      </c>
      <c r="W1528" s="152" t="str">
        <f>+IF(AND(Tabla2[[#This Row],[venc]]="venc",Tabla2[[#This Row],[Columna1]]="por pagar"),"vencida","no")</f>
        <v>no</v>
      </c>
    </row>
    <row r="1529" spans="1:23" x14ac:dyDescent="0.3">
      <c r="A1529">
        <v>10</v>
      </c>
      <c r="B1529">
        <v>0</v>
      </c>
      <c r="D1529" t="s">
        <v>139</v>
      </c>
      <c r="E1529" s="156">
        <v>44368</v>
      </c>
      <c r="F1529" t="s">
        <v>23</v>
      </c>
      <c r="G1529" s="156">
        <v>44364</v>
      </c>
      <c r="H1529">
        <v>283198</v>
      </c>
      <c r="I1529">
        <v>6232000</v>
      </c>
      <c r="K1529">
        <v>0</v>
      </c>
      <c r="M1529">
        <v>0</v>
      </c>
      <c r="N1529">
        <v>0</v>
      </c>
      <c r="O1529">
        <v>0</v>
      </c>
      <c r="P1529" s="117">
        <v>6232000</v>
      </c>
      <c r="Q1529" s="117" t="s">
        <v>1021</v>
      </c>
      <c r="R1529" s="150">
        <v>0</v>
      </c>
      <c r="S1529" s="117" t="b">
        <f>OR(COUNTIF(Tabla2[[#This Row],[PROVEEDOR]],"*"&amp;'Palabra no opera'!$A$2&amp;"*"))</f>
        <v>0</v>
      </c>
      <c r="T1529" s="150">
        <f>+$W$5-Tabla2[[#This Row],[FECHA DE FACTURACIÓN]]</f>
        <v>470</v>
      </c>
      <c r="U1529" t="str">
        <f>+IF(Tabla2[[#This Row],[dias de credito]]&gt;=Tabla2[[#This Row],[PLAZO Días]],"venc", "No venc")</f>
        <v>venc</v>
      </c>
      <c r="V1529" t="str">
        <f>+IF(Tabla2[[#This Row],[FECHA DE PAGO]]&gt;0,"pagada","por pagar")</f>
        <v>pagada</v>
      </c>
      <c r="W1529" s="152" t="str">
        <f>+IF(AND(Tabla2[[#This Row],[venc]]="venc",Tabla2[[#This Row],[Columna1]]="por pagar"),"vencida","no")</f>
        <v>no</v>
      </c>
    </row>
    <row r="1530" spans="1:23" x14ac:dyDescent="0.3">
      <c r="A1530">
        <v>30</v>
      </c>
      <c r="B1530">
        <v>0</v>
      </c>
      <c r="D1530">
        <v>0</v>
      </c>
      <c r="E1530" s="156">
        <v>44368</v>
      </c>
      <c r="F1530" t="s">
        <v>923</v>
      </c>
      <c r="G1530" s="156">
        <v>44348</v>
      </c>
      <c r="H1530" t="s">
        <v>305</v>
      </c>
      <c r="I1530">
        <v>1235279</v>
      </c>
      <c r="K1530">
        <v>0</v>
      </c>
      <c r="M1530">
        <v>0</v>
      </c>
      <c r="N1530">
        <v>0</v>
      </c>
      <c r="O1530">
        <v>0</v>
      </c>
      <c r="P1530" s="117">
        <v>1235279</v>
      </c>
      <c r="Q1530" s="117" t="s">
        <v>1021</v>
      </c>
      <c r="R1530" s="150">
        <v>0</v>
      </c>
      <c r="S1530" s="117" t="b">
        <f>OR(COUNTIF(Tabla2[[#This Row],[PROVEEDOR]],"*"&amp;'Palabra no opera'!$A$2&amp;"*"))</f>
        <v>1</v>
      </c>
      <c r="T1530" s="150">
        <f>+$W$5-Tabla2[[#This Row],[FECHA DE FACTURACIÓN]]</f>
        <v>486</v>
      </c>
      <c r="U1530" t="str">
        <f>+IF(Tabla2[[#This Row],[dias de credito]]&gt;=Tabla2[[#This Row],[PLAZO Días]],"venc", "No venc")</f>
        <v>venc</v>
      </c>
      <c r="V1530" t="str">
        <f>+IF(Tabla2[[#This Row],[FECHA DE PAGO]]&gt;0,"pagada","por pagar")</f>
        <v>pagada</v>
      </c>
      <c r="W1530" s="152" t="str">
        <f>+IF(AND(Tabla2[[#This Row],[venc]]="venc",Tabla2[[#This Row],[Columna1]]="por pagar"),"vencida","no")</f>
        <v>no</v>
      </c>
    </row>
    <row r="1531" spans="1:23" x14ac:dyDescent="0.3">
      <c r="A1531">
        <v>30</v>
      </c>
      <c r="B1531">
        <v>0</v>
      </c>
      <c r="D1531" t="s">
        <v>1036</v>
      </c>
      <c r="E1531" s="156">
        <v>44368</v>
      </c>
      <c r="F1531" t="s">
        <v>927</v>
      </c>
      <c r="G1531" s="156">
        <v>44348</v>
      </c>
      <c r="H1531" t="s">
        <v>312</v>
      </c>
      <c r="I1531">
        <v>727051</v>
      </c>
      <c r="K1531">
        <v>0</v>
      </c>
      <c r="M1531">
        <v>0</v>
      </c>
      <c r="N1531">
        <v>0</v>
      </c>
      <c r="O1531">
        <v>0</v>
      </c>
      <c r="P1531" s="117">
        <v>727051</v>
      </c>
      <c r="Q1531" s="117" t="s">
        <v>1021</v>
      </c>
      <c r="R1531" s="150">
        <v>0</v>
      </c>
      <c r="S1531" s="117" t="b">
        <f>OR(COUNTIF(Tabla2[[#This Row],[PROVEEDOR]],"*"&amp;'Palabra no opera'!$A$2&amp;"*"))</f>
        <v>1</v>
      </c>
      <c r="T1531" s="150">
        <f>+$W$5-Tabla2[[#This Row],[FECHA DE FACTURACIÓN]]</f>
        <v>486</v>
      </c>
      <c r="U1531" t="str">
        <f>+IF(Tabla2[[#This Row],[dias de credito]]&gt;=Tabla2[[#This Row],[PLAZO Días]],"venc", "No venc")</f>
        <v>venc</v>
      </c>
      <c r="V1531" t="str">
        <f>+IF(Tabla2[[#This Row],[FECHA DE PAGO]]&gt;0,"pagada","por pagar")</f>
        <v>pagada</v>
      </c>
      <c r="W1531" s="152" t="str">
        <f>+IF(AND(Tabla2[[#This Row],[venc]]="venc",Tabla2[[#This Row],[Columna1]]="por pagar"),"vencida","no")</f>
        <v>no</v>
      </c>
    </row>
    <row r="1532" spans="1:23" x14ac:dyDescent="0.3">
      <c r="A1532">
        <v>30</v>
      </c>
      <c r="B1532">
        <v>0</v>
      </c>
      <c r="D1532" t="s">
        <v>1036</v>
      </c>
      <c r="E1532" s="156">
        <v>44368</v>
      </c>
      <c r="F1532" t="s">
        <v>927</v>
      </c>
      <c r="G1532" s="156">
        <v>44348</v>
      </c>
      <c r="H1532" t="s">
        <v>313</v>
      </c>
      <c r="I1532">
        <v>743959</v>
      </c>
      <c r="K1532">
        <v>0</v>
      </c>
      <c r="M1532">
        <v>0</v>
      </c>
      <c r="N1532">
        <v>0</v>
      </c>
      <c r="O1532">
        <v>0</v>
      </c>
      <c r="P1532" s="117">
        <v>743959</v>
      </c>
      <c r="Q1532" s="117" t="s">
        <v>1021</v>
      </c>
      <c r="R1532" s="150">
        <v>0</v>
      </c>
      <c r="S1532" s="117" t="b">
        <f>OR(COUNTIF(Tabla2[[#This Row],[PROVEEDOR]],"*"&amp;'Palabra no opera'!$A$2&amp;"*"))</f>
        <v>1</v>
      </c>
      <c r="T1532" s="150">
        <f>+$W$5-Tabla2[[#This Row],[FECHA DE FACTURACIÓN]]</f>
        <v>486</v>
      </c>
      <c r="U1532" t="str">
        <f>+IF(Tabla2[[#This Row],[dias de credito]]&gt;=Tabla2[[#This Row],[PLAZO Días]],"venc", "No venc")</f>
        <v>venc</v>
      </c>
      <c r="V1532" t="str">
        <f>+IF(Tabla2[[#This Row],[FECHA DE PAGO]]&gt;0,"pagada","por pagar")</f>
        <v>pagada</v>
      </c>
      <c r="W1532" s="152" t="str">
        <f>+IF(AND(Tabla2[[#This Row],[venc]]="venc",Tabla2[[#This Row],[Columna1]]="por pagar"),"vencida","no")</f>
        <v>no</v>
      </c>
    </row>
    <row r="1533" spans="1:23" x14ac:dyDescent="0.3">
      <c r="A1533">
        <v>30</v>
      </c>
      <c r="B1533">
        <v>0</v>
      </c>
      <c r="D1533" t="s">
        <v>139</v>
      </c>
      <c r="E1533" s="156">
        <v>44367</v>
      </c>
      <c r="F1533" t="s">
        <v>635</v>
      </c>
      <c r="G1533" s="156">
        <v>44367</v>
      </c>
      <c r="H1533" t="s">
        <v>1462</v>
      </c>
      <c r="I1533">
        <v>800000</v>
      </c>
      <c r="K1533">
        <v>0</v>
      </c>
      <c r="M1533">
        <v>0</v>
      </c>
      <c r="N1533">
        <v>0</v>
      </c>
      <c r="O1533">
        <v>0</v>
      </c>
      <c r="P1533" s="117">
        <v>800000</v>
      </c>
      <c r="Q1533" s="117" t="s">
        <v>1021</v>
      </c>
      <c r="R1533" s="150">
        <v>0</v>
      </c>
      <c r="S1533" s="117" t="b">
        <f>OR(COUNTIF(Tabla2[[#This Row],[PROVEEDOR]],"*"&amp;'Palabra no opera'!$A$2&amp;"*"))</f>
        <v>0</v>
      </c>
      <c r="T1533" s="150">
        <f>+$W$5-Tabla2[[#This Row],[FECHA DE FACTURACIÓN]]</f>
        <v>467</v>
      </c>
      <c r="U1533" t="str">
        <f>+IF(Tabla2[[#This Row],[dias de credito]]&gt;=Tabla2[[#This Row],[PLAZO Días]],"venc", "No venc")</f>
        <v>venc</v>
      </c>
      <c r="V1533" t="str">
        <f>+IF(Tabla2[[#This Row],[FECHA DE PAGO]]&gt;0,"pagada","por pagar")</f>
        <v>pagada</v>
      </c>
      <c r="W1533" s="152" t="str">
        <f>+IF(AND(Tabla2[[#This Row],[venc]]="venc",Tabla2[[#This Row],[Columna1]]="por pagar"),"vencida","no")</f>
        <v>no</v>
      </c>
    </row>
    <row r="1534" spans="1:23" x14ac:dyDescent="0.3">
      <c r="A1534">
        <v>30</v>
      </c>
      <c r="B1534">
        <v>0</v>
      </c>
      <c r="D1534">
        <v>0</v>
      </c>
      <c r="E1534" s="156">
        <v>44367</v>
      </c>
      <c r="F1534" t="s">
        <v>694</v>
      </c>
      <c r="G1534" s="156">
        <v>44367</v>
      </c>
      <c r="H1534" t="s">
        <v>727</v>
      </c>
      <c r="I1534">
        <v>464515</v>
      </c>
      <c r="K1534">
        <v>0</v>
      </c>
      <c r="M1534">
        <v>0</v>
      </c>
      <c r="N1534">
        <v>0</v>
      </c>
      <c r="O1534">
        <v>0</v>
      </c>
      <c r="P1534" s="117">
        <v>464515</v>
      </c>
      <c r="Q1534" s="117" t="s">
        <v>1021</v>
      </c>
      <c r="R1534" s="150">
        <v>0</v>
      </c>
      <c r="S1534" s="117" t="b">
        <f>OR(COUNTIF(Tabla2[[#This Row],[PROVEEDOR]],"*"&amp;'Palabra no opera'!$A$2&amp;"*"))</f>
        <v>0</v>
      </c>
      <c r="T1534" s="150">
        <f>+$W$5-Tabla2[[#This Row],[FECHA DE FACTURACIÓN]]</f>
        <v>467</v>
      </c>
      <c r="U1534" t="str">
        <f>+IF(Tabla2[[#This Row],[dias de credito]]&gt;=Tabla2[[#This Row],[PLAZO Días]],"venc", "No venc")</f>
        <v>venc</v>
      </c>
      <c r="V1534" t="str">
        <f>+IF(Tabla2[[#This Row],[FECHA DE PAGO]]&gt;0,"pagada","por pagar")</f>
        <v>pagada</v>
      </c>
      <c r="W1534" s="152" t="str">
        <f>+IF(AND(Tabla2[[#This Row],[venc]]="venc",Tabla2[[#This Row],[Columna1]]="por pagar"),"vencida","no")</f>
        <v>no</v>
      </c>
    </row>
    <row r="1535" spans="1:23" x14ac:dyDescent="0.3">
      <c r="A1535">
        <v>90</v>
      </c>
      <c r="B1535">
        <v>124999.98</v>
      </c>
      <c r="D1535" t="s">
        <v>260</v>
      </c>
      <c r="E1535" s="156">
        <v>44366</v>
      </c>
      <c r="F1535" t="s">
        <v>77</v>
      </c>
      <c r="G1535" s="156">
        <v>44188</v>
      </c>
      <c r="H1535" t="s">
        <v>93</v>
      </c>
      <c r="I1535">
        <v>1109243.6974789917</v>
      </c>
      <c r="K1535">
        <v>210756.30252100842</v>
      </c>
      <c r="M1535">
        <v>0</v>
      </c>
      <c r="N1535">
        <v>2.5000000000000001E-2</v>
      </c>
      <c r="O1535">
        <v>27731.092436974795</v>
      </c>
      <c r="P1535" s="117">
        <v>1292268.9075630251</v>
      </c>
      <c r="Q1535" s="117" t="s">
        <v>1021</v>
      </c>
      <c r="R1535" s="150">
        <v>0</v>
      </c>
      <c r="S1535" s="117" t="b">
        <f>OR(COUNTIF(Tabla2[[#This Row],[PROVEEDOR]],"*"&amp;'Palabra no opera'!$A$2&amp;"*"))</f>
        <v>0</v>
      </c>
      <c r="T1535" s="150">
        <f>+$W$5-Tabla2[[#This Row],[FECHA DE FACTURACIÓN]]</f>
        <v>646</v>
      </c>
      <c r="U1535" t="str">
        <f>+IF(Tabla2[[#This Row],[dias de credito]]&gt;=Tabla2[[#This Row],[PLAZO Días]],"venc", "No venc")</f>
        <v>venc</v>
      </c>
      <c r="V1535" t="str">
        <f>+IF(Tabla2[[#This Row],[FECHA DE PAGO]]&gt;0,"pagada","por pagar")</f>
        <v>pagada</v>
      </c>
      <c r="W1535" s="152" t="str">
        <f>+IF(AND(Tabla2[[#This Row],[venc]]="venc",Tabla2[[#This Row],[Columna1]]="por pagar"),"vencida","no")</f>
        <v>no</v>
      </c>
    </row>
    <row r="1536" spans="1:23" x14ac:dyDescent="0.3">
      <c r="A1536">
        <v>90</v>
      </c>
      <c r="B1536">
        <v>124999.98</v>
      </c>
      <c r="D1536" t="s">
        <v>260</v>
      </c>
      <c r="E1536" s="156">
        <v>44366</v>
      </c>
      <c r="F1536" t="s">
        <v>77</v>
      </c>
      <c r="G1536" s="156">
        <v>44186</v>
      </c>
      <c r="H1536" t="s">
        <v>92</v>
      </c>
      <c r="I1536">
        <v>6861342.8571428573</v>
      </c>
      <c r="K1536">
        <v>1303655.142857143</v>
      </c>
      <c r="M1536">
        <v>0</v>
      </c>
      <c r="N1536">
        <v>2.5000000000000001E-2</v>
      </c>
      <c r="O1536">
        <v>171533.57142857145</v>
      </c>
      <c r="P1536" s="117">
        <v>7993464.4285714282</v>
      </c>
      <c r="Q1536" s="117" t="s">
        <v>1021</v>
      </c>
      <c r="R1536" s="150">
        <v>0</v>
      </c>
      <c r="S1536" s="117" t="b">
        <f>OR(COUNTIF(Tabla2[[#This Row],[PROVEEDOR]],"*"&amp;'Palabra no opera'!$A$2&amp;"*"))</f>
        <v>0</v>
      </c>
      <c r="T1536" s="150">
        <f>+$W$5-Tabla2[[#This Row],[FECHA DE FACTURACIÓN]]</f>
        <v>648</v>
      </c>
      <c r="U1536" t="str">
        <f>+IF(Tabla2[[#This Row],[dias de credito]]&gt;=Tabla2[[#This Row],[PLAZO Días]],"venc", "No venc")</f>
        <v>venc</v>
      </c>
      <c r="V1536" t="str">
        <f>+IF(Tabla2[[#This Row],[FECHA DE PAGO]]&gt;0,"pagada","por pagar")</f>
        <v>pagada</v>
      </c>
      <c r="W1536" s="152" t="str">
        <f>+IF(AND(Tabla2[[#This Row],[venc]]="venc",Tabla2[[#This Row],[Columna1]]="por pagar"),"vencida","no")</f>
        <v>no</v>
      </c>
    </row>
    <row r="1537" spans="1:23" x14ac:dyDescent="0.3">
      <c r="A1537">
        <v>30</v>
      </c>
      <c r="B1537">
        <v>0</v>
      </c>
      <c r="D1537">
        <v>0</v>
      </c>
      <c r="E1537" s="156">
        <v>44365</v>
      </c>
      <c r="F1537" t="s">
        <v>932</v>
      </c>
      <c r="G1537" s="156">
        <v>44366</v>
      </c>
      <c r="H1537" t="s">
        <v>307</v>
      </c>
      <c r="I1537">
        <v>313385</v>
      </c>
      <c r="K1537">
        <v>0</v>
      </c>
      <c r="M1537">
        <v>0</v>
      </c>
      <c r="N1537">
        <v>0</v>
      </c>
      <c r="O1537">
        <v>0</v>
      </c>
      <c r="P1537" s="117">
        <v>313385</v>
      </c>
      <c r="Q1537" s="117" t="s">
        <v>1021</v>
      </c>
      <c r="R1537" s="150">
        <v>0</v>
      </c>
      <c r="S1537" s="117" t="b">
        <f>OR(COUNTIF(Tabla2[[#This Row],[PROVEEDOR]],"*"&amp;'Palabra no opera'!$A$2&amp;"*"))</f>
        <v>1</v>
      </c>
      <c r="T1537" s="150">
        <f>+$W$5-Tabla2[[#This Row],[FECHA DE FACTURACIÓN]]</f>
        <v>468</v>
      </c>
      <c r="U1537" t="str">
        <f>+IF(Tabla2[[#This Row],[dias de credito]]&gt;=Tabla2[[#This Row],[PLAZO Días]],"venc", "No venc")</f>
        <v>venc</v>
      </c>
      <c r="V1537" t="str">
        <f>+IF(Tabla2[[#This Row],[FECHA DE PAGO]]&gt;0,"pagada","por pagar")</f>
        <v>pagada</v>
      </c>
      <c r="W1537" s="152" t="str">
        <f>+IF(AND(Tabla2[[#This Row],[venc]]="venc",Tabla2[[#This Row],[Columna1]]="por pagar"),"vencida","no")</f>
        <v>no</v>
      </c>
    </row>
    <row r="1538" spans="1:23" x14ac:dyDescent="0.3">
      <c r="A1538">
        <v>10</v>
      </c>
      <c r="B1538">
        <v>0</v>
      </c>
      <c r="D1538">
        <v>0</v>
      </c>
      <c r="E1538" s="156">
        <v>44365</v>
      </c>
      <c r="F1538" t="s">
        <v>352</v>
      </c>
      <c r="G1538" s="156">
        <v>44364</v>
      </c>
      <c r="H1538" t="s">
        <v>1251</v>
      </c>
      <c r="I1538">
        <v>377128</v>
      </c>
      <c r="K1538">
        <v>0</v>
      </c>
      <c r="M1538">
        <v>0</v>
      </c>
      <c r="N1538">
        <v>0</v>
      </c>
      <c r="O1538">
        <v>0</v>
      </c>
      <c r="P1538" s="117">
        <v>377128</v>
      </c>
      <c r="Q1538" s="117" t="s">
        <v>1021</v>
      </c>
      <c r="R1538" s="150">
        <v>0</v>
      </c>
      <c r="S1538" s="117" t="b">
        <f>OR(COUNTIF(Tabla2[[#This Row],[PROVEEDOR]],"*"&amp;'Palabra no opera'!$A$2&amp;"*"))</f>
        <v>0</v>
      </c>
      <c r="T1538" s="150">
        <f>+$W$5-Tabla2[[#This Row],[FECHA DE FACTURACIÓN]]</f>
        <v>470</v>
      </c>
      <c r="U1538" t="str">
        <f>+IF(Tabla2[[#This Row],[dias de credito]]&gt;=Tabla2[[#This Row],[PLAZO Días]],"venc", "No venc")</f>
        <v>venc</v>
      </c>
      <c r="V1538" t="str">
        <f>+IF(Tabla2[[#This Row],[FECHA DE PAGO]]&gt;0,"pagada","por pagar")</f>
        <v>pagada</v>
      </c>
      <c r="W1538" s="152" t="str">
        <f>+IF(AND(Tabla2[[#This Row],[venc]]="venc",Tabla2[[#This Row],[Columna1]]="por pagar"),"vencida","no")</f>
        <v>no</v>
      </c>
    </row>
    <row r="1539" spans="1:23" x14ac:dyDescent="0.3">
      <c r="A1539">
        <v>30</v>
      </c>
      <c r="B1539">
        <v>0</v>
      </c>
      <c r="D1539" t="s">
        <v>676</v>
      </c>
      <c r="E1539" s="156">
        <v>44365</v>
      </c>
      <c r="F1539" t="s">
        <v>940</v>
      </c>
      <c r="G1539" s="156">
        <v>44348</v>
      </c>
      <c r="H1539">
        <v>63100</v>
      </c>
      <c r="I1539">
        <v>302625</v>
      </c>
      <c r="K1539">
        <v>0</v>
      </c>
      <c r="M1539">
        <v>0</v>
      </c>
      <c r="N1539">
        <v>0</v>
      </c>
      <c r="O1539">
        <v>0</v>
      </c>
      <c r="P1539" s="117">
        <v>302625</v>
      </c>
      <c r="Q1539" s="117" t="s">
        <v>1021</v>
      </c>
      <c r="R1539" s="150">
        <v>0</v>
      </c>
      <c r="S1539" s="117" t="b">
        <f>OR(COUNTIF(Tabla2[[#This Row],[PROVEEDOR]],"*"&amp;'Palabra no opera'!$A$2&amp;"*"))</f>
        <v>1</v>
      </c>
      <c r="T1539" s="150">
        <f>+$W$5-Tabla2[[#This Row],[FECHA DE FACTURACIÓN]]</f>
        <v>486</v>
      </c>
      <c r="U1539" t="str">
        <f>+IF(Tabla2[[#This Row],[dias de credito]]&gt;=Tabla2[[#This Row],[PLAZO Días]],"venc", "No venc")</f>
        <v>venc</v>
      </c>
      <c r="V1539" t="str">
        <f>+IF(Tabla2[[#This Row],[FECHA DE PAGO]]&gt;0,"pagada","por pagar")</f>
        <v>pagada</v>
      </c>
      <c r="W1539" s="152" t="str">
        <f>+IF(AND(Tabla2[[#This Row],[venc]]="venc",Tabla2[[#This Row],[Columna1]]="por pagar"),"vencida","no")</f>
        <v>no</v>
      </c>
    </row>
    <row r="1540" spans="1:23" x14ac:dyDescent="0.3">
      <c r="A1540">
        <v>13</v>
      </c>
      <c r="B1540">
        <v>0</v>
      </c>
      <c r="D1540">
        <v>0</v>
      </c>
      <c r="E1540" s="156">
        <v>44365</v>
      </c>
      <c r="F1540" t="s">
        <v>934</v>
      </c>
      <c r="G1540" s="156">
        <v>44348</v>
      </c>
      <c r="I1540">
        <v>871998</v>
      </c>
      <c r="K1540">
        <v>0</v>
      </c>
      <c r="M1540">
        <v>0</v>
      </c>
      <c r="N1540">
        <v>0</v>
      </c>
      <c r="O1540">
        <v>0</v>
      </c>
      <c r="P1540" s="117">
        <v>871998</v>
      </c>
      <c r="Q1540" s="117" t="s">
        <v>1021</v>
      </c>
      <c r="R1540" s="150">
        <v>0</v>
      </c>
      <c r="S1540" s="117" t="b">
        <f>OR(COUNTIF(Tabla2[[#This Row],[PROVEEDOR]],"*"&amp;'Palabra no opera'!$A$2&amp;"*"))</f>
        <v>1</v>
      </c>
      <c r="T1540" s="150">
        <f>+$W$5-Tabla2[[#This Row],[FECHA DE FACTURACIÓN]]</f>
        <v>486</v>
      </c>
      <c r="U1540" t="str">
        <f>+IF(Tabla2[[#This Row],[dias de credito]]&gt;=Tabla2[[#This Row],[PLAZO Días]],"venc", "No venc")</f>
        <v>venc</v>
      </c>
      <c r="V1540" t="str">
        <f>+IF(Tabla2[[#This Row],[FECHA DE PAGO]]&gt;0,"pagada","por pagar")</f>
        <v>pagada</v>
      </c>
      <c r="W1540" s="152" t="str">
        <f>+IF(AND(Tabla2[[#This Row],[venc]]="venc",Tabla2[[#This Row],[Columna1]]="por pagar"),"vencida","no")</f>
        <v>no</v>
      </c>
    </row>
    <row r="1541" spans="1:23" x14ac:dyDescent="0.3">
      <c r="A1541">
        <v>30</v>
      </c>
      <c r="B1541">
        <v>0</v>
      </c>
      <c r="D1541" t="s">
        <v>141</v>
      </c>
      <c r="E1541" s="156">
        <v>44365</v>
      </c>
      <c r="F1541" t="s">
        <v>935</v>
      </c>
      <c r="G1541" s="156">
        <v>44348</v>
      </c>
      <c r="I1541">
        <v>326232</v>
      </c>
      <c r="K1541">
        <v>0</v>
      </c>
      <c r="M1541">
        <v>0</v>
      </c>
      <c r="N1541">
        <v>0</v>
      </c>
      <c r="O1541">
        <v>0</v>
      </c>
      <c r="P1541" s="117">
        <v>326232</v>
      </c>
      <c r="Q1541" s="117" t="s">
        <v>1021</v>
      </c>
      <c r="R1541" s="150">
        <v>0</v>
      </c>
      <c r="S1541" s="117" t="b">
        <f>OR(COUNTIF(Tabla2[[#This Row],[PROVEEDOR]],"*"&amp;'Palabra no opera'!$A$2&amp;"*"))</f>
        <v>1</v>
      </c>
      <c r="T1541" s="150">
        <f>+$W$5-Tabla2[[#This Row],[FECHA DE FACTURACIÓN]]</f>
        <v>486</v>
      </c>
      <c r="U1541" t="str">
        <f>+IF(Tabla2[[#This Row],[dias de credito]]&gt;=Tabla2[[#This Row],[PLAZO Días]],"venc", "No venc")</f>
        <v>venc</v>
      </c>
      <c r="V1541" t="str">
        <f>+IF(Tabla2[[#This Row],[FECHA DE PAGO]]&gt;0,"pagada","por pagar")</f>
        <v>pagada</v>
      </c>
      <c r="W1541" s="152" t="str">
        <f>+IF(AND(Tabla2[[#This Row],[venc]]="venc",Tabla2[[#This Row],[Columna1]]="por pagar"),"vencida","no")</f>
        <v>no</v>
      </c>
    </row>
    <row r="1542" spans="1:23" x14ac:dyDescent="0.3">
      <c r="A1542">
        <v>30</v>
      </c>
      <c r="B1542">
        <v>0</v>
      </c>
      <c r="D1542" t="s">
        <v>139</v>
      </c>
      <c r="E1542" s="156">
        <v>44364</v>
      </c>
      <c r="F1542" t="s">
        <v>644</v>
      </c>
      <c r="G1542" s="156">
        <v>44364</v>
      </c>
      <c r="H1542" t="s">
        <v>1250</v>
      </c>
      <c r="I1542">
        <v>255000</v>
      </c>
      <c r="K1542">
        <v>0</v>
      </c>
      <c r="M1542">
        <v>0</v>
      </c>
      <c r="N1542">
        <v>0</v>
      </c>
      <c r="O1542">
        <v>0</v>
      </c>
      <c r="P1542" s="117">
        <v>255000</v>
      </c>
      <c r="Q1542" s="117" t="s">
        <v>1021</v>
      </c>
      <c r="R1542" s="150">
        <v>0</v>
      </c>
      <c r="S1542" s="117" t="b">
        <f>OR(COUNTIF(Tabla2[[#This Row],[PROVEEDOR]],"*"&amp;'Palabra no opera'!$A$2&amp;"*"))</f>
        <v>0</v>
      </c>
      <c r="T1542" s="150">
        <f>+$W$5-Tabla2[[#This Row],[FECHA DE FACTURACIÓN]]</f>
        <v>470</v>
      </c>
      <c r="U1542" t="str">
        <f>+IF(Tabla2[[#This Row],[dias de credito]]&gt;=Tabla2[[#This Row],[PLAZO Días]],"venc", "No venc")</f>
        <v>venc</v>
      </c>
      <c r="V1542" t="str">
        <f>+IF(Tabla2[[#This Row],[FECHA DE PAGO]]&gt;0,"pagada","por pagar")</f>
        <v>pagada</v>
      </c>
      <c r="W1542" s="152" t="str">
        <f>+IF(AND(Tabla2[[#This Row],[venc]]="venc",Tabla2[[#This Row],[Columna1]]="por pagar"),"vencida","no")</f>
        <v>no</v>
      </c>
    </row>
    <row r="1543" spans="1:23" x14ac:dyDescent="0.3">
      <c r="A1543">
        <v>30</v>
      </c>
      <c r="B1543">
        <v>0</v>
      </c>
      <c r="D1543">
        <v>0</v>
      </c>
      <c r="E1543" s="156">
        <v>44363</v>
      </c>
      <c r="F1543" t="s">
        <v>932</v>
      </c>
      <c r="G1543" s="156">
        <v>44366</v>
      </c>
      <c r="H1543" t="s">
        <v>580</v>
      </c>
      <c r="I1543">
        <v>5450060</v>
      </c>
      <c r="K1543">
        <v>0</v>
      </c>
      <c r="M1543">
        <v>0</v>
      </c>
      <c r="N1543">
        <v>0</v>
      </c>
      <c r="O1543">
        <v>0</v>
      </c>
      <c r="P1543" s="117">
        <v>5450060</v>
      </c>
      <c r="Q1543" s="117" t="s">
        <v>1021</v>
      </c>
      <c r="R1543" s="150">
        <v>0</v>
      </c>
      <c r="S1543" s="117" t="b">
        <f>OR(COUNTIF(Tabla2[[#This Row],[PROVEEDOR]],"*"&amp;'Palabra no opera'!$A$2&amp;"*"))</f>
        <v>1</v>
      </c>
      <c r="T1543" s="150">
        <f>+$W$5-Tabla2[[#This Row],[FECHA DE FACTURACIÓN]]</f>
        <v>468</v>
      </c>
      <c r="U1543" t="str">
        <f>+IF(Tabla2[[#This Row],[dias de credito]]&gt;=Tabla2[[#This Row],[PLAZO Días]],"venc", "No venc")</f>
        <v>venc</v>
      </c>
      <c r="V1543" t="str">
        <f>+IF(Tabla2[[#This Row],[FECHA DE PAGO]]&gt;0,"pagada","por pagar")</f>
        <v>pagada</v>
      </c>
      <c r="W1543" s="152" t="str">
        <f>+IF(AND(Tabla2[[#This Row],[venc]]="venc",Tabla2[[#This Row],[Columna1]]="por pagar"),"vencida","no")</f>
        <v>no</v>
      </c>
    </row>
    <row r="1544" spans="1:23" x14ac:dyDescent="0.3">
      <c r="A1544">
        <v>30</v>
      </c>
      <c r="B1544">
        <v>0</v>
      </c>
      <c r="D1544" t="s">
        <v>139</v>
      </c>
      <c r="E1544" s="156">
        <v>44363</v>
      </c>
      <c r="F1544" t="s">
        <v>37</v>
      </c>
      <c r="G1544" s="156">
        <v>44363</v>
      </c>
      <c r="H1544">
        <v>4678</v>
      </c>
      <c r="I1544">
        <v>344000</v>
      </c>
      <c r="K1544">
        <v>65360</v>
      </c>
      <c r="M1544">
        <v>0</v>
      </c>
      <c r="N1544">
        <v>0</v>
      </c>
      <c r="O1544">
        <v>0</v>
      </c>
      <c r="P1544" s="117">
        <v>409360</v>
      </c>
      <c r="Q1544" s="117" t="s">
        <v>1021</v>
      </c>
      <c r="R1544" s="150">
        <v>0</v>
      </c>
      <c r="S1544" s="117" t="b">
        <f>OR(COUNTIF(Tabla2[[#This Row],[PROVEEDOR]],"*"&amp;'Palabra no opera'!$A$2&amp;"*"))</f>
        <v>0</v>
      </c>
      <c r="T1544" s="150">
        <f>+$W$5-Tabla2[[#This Row],[FECHA DE FACTURACIÓN]]</f>
        <v>471</v>
      </c>
      <c r="U1544" t="str">
        <f>+IF(Tabla2[[#This Row],[dias de credito]]&gt;=Tabla2[[#This Row],[PLAZO Días]],"venc", "No venc")</f>
        <v>venc</v>
      </c>
      <c r="V1544" t="str">
        <f>+IF(Tabla2[[#This Row],[FECHA DE PAGO]]&gt;0,"pagada","por pagar")</f>
        <v>pagada</v>
      </c>
      <c r="W1544" s="152" t="str">
        <f>+IF(AND(Tabla2[[#This Row],[venc]]="venc",Tabla2[[#This Row],[Columna1]]="por pagar"),"vencida","no")</f>
        <v>no</v>
      </c>
    </row>
    <row r="1545" spans="1:23" x14ac:dyDescent="0.3">
      <c r="A1545">
        <v>30</v>
      </c>
      <c r="B1545">
        <v>0</v>
      </c>
      <c r="D1545" t="s">
        <v>139</v>
      </c>
      <c r="E1545" s="156">
        <v>44363</v>
      </c>
      <c r="F1545" t="s">
        <v>37</v>
      </c>
      <c r="G1545" s="156">
        <v>44363</v>
      </c>
      <c r="H1545">
        <v>12592</v>
      </c>
      <c r="I1545">
        <v>172000</v>
      </c>
      <c r="K1545">
        <v>32680</v>
      </c>
      <c r="M1545">
        <v>0</v>
      </c>
      <c r="N1545">
        <v>0</v>
      </c>
      <c r="O1545">
        <v>0</v>
      </c>
      <c r="P1545" s="117">
        <v>204680</v>
      </c>
      <c r="Q1545" s="117" t="s">
        <v>1021</v>
      </c>
      <c r="R1545" s="150">
        <v>0</v>
      </c>
      <c r="S1545" s="117" t="b">
        <f>OR(COUNTIF(Tabla2[[#This Row],[PROVEEDOR]],"*"&amp;'Palabra no opera'!$A$2&amp;"*"))</f>
        <v>0</v>
      </c>
      <c r="T1545" s="150">
        <f>+$W$5-Tabla2[[#This Row],[FECHA DE FACTURACIÓN]]</f>
        <v>471</v>
      </c>
      <c r="U1545" t="str">
        <f>+IF(Tabla2[[#This Row],[dias de credito]]&gt;=Tabla2[[#This Row],[PLAZO Días]],"venc", "No venc")</f>
        <v>venc</v>
      </c>
      <c r="V1545" t="str">
        <f>+IF(Tabla2[[#This Row],[FECHA DE PAGO]]&gt;0,"pagada","por pagar")</f>
        <v>pagada</v>
      </c>
      <c r="W1545" s="152" t="str">
        <f>+IF(AND(Tabla2[[#This Row],[venc]]="venc",Tabla2[[#This Row],[Columna1]]="por pagar"),"vencida","no")</f>
        <v>no</v>
      </c>
    </row>
    <row r="1546" spans="1:23" x14ac:dyDescent="0.3">
      <c r="A1546">
        <v>30</v>
      </c>
      <c r="B1546">
        <v>0</v>
      </c>
      <c r="D1546" t="s">
        <v>250</v>
      </c>
      <c r="E1546" s="156">
        <v>44363</v>
      </c>
      <c r="F1546" t="s">
        <v>1451</v>
      </c>
      <c r="G1546" s="156">
        <v>44361</v>
      </c>
      <c r="H1546">
        <v>106</v>
      </c>
      <c r="I1546">
        <v>359000</v>
      </c>
      <c r="K1546">
        <v>0</v>
      </c>
      <c r="M1546">
        <v>0</v>
      </c>
      <c r="N1546">
        <v>0.01</v>
      </c>
      <c r="O1546">
        <v>3590</v>
      </c>
      <c r="P1546" s="117">
        <v>355410</v>
      </c>
      <c r="Q1546" s="117" t="s">
        <v>1021</v>
      </c>
      <c r="R1546" s="150">
        <v>0</v>
      </c>
      <c r="S1546" s="117" t="b">
        <f>OR(COUNTIF(Tabla2[[#This Row],[PROVEEDOR]],"*"&amp;'Palabra no opera'!$A$2&amp;"*"))</f>
        <v>0</v>
      </c>
      <c r="T1546" s="150">
        <f>+$W$5-Tabla2[[#This Row],[FECHA DE FACTURACIÓN]]</f>
        <v>473</v>
      </c>
      <c r="U1546" t="str">
        <f>+IF(Tabla2[[#This Row],[dias de credito]]&gt;=Tabla2[[#This Row],[PLAZO Días]],"venc", "No venc")</f>
        <v>venc</v>
      </c>
      <c r="V1546" t="str">
        <f>+IF(Tabla2[[#This Row],[FECHA DE PAGO]]&gt;0,"pagada","por pagar")</f>
        <v>pagada</v>
      </c>
      <c r="W1546" s="152" t="str">
        <f>+IF(AND(Tabla2[[#This Row],[venc]]="venc",Tabla2[[#This Row],[Columna1]]="por pagar"),"vencida","no")</f>
        <v>no</v>
      </c>
    </row>
    <row r="1547" spans="1:23" x14ac:dyDescent="0.3">
      <c r="A1547">
        <v>30</v>
      </c>
      <c r="B1547">
        <v>10689112</v>
      </c>
      <c r="D1547" t="s">
        <v>976</v>
      </c>
      <c r="E1547" s="156">
        <v>44363</v>
      </c>
      <c r="F1547" t="s">
        <v>79</v>
      </c>
      <c r="G1547" s="156">
        <v>44358</v>
      </c>
      <c r="H1547" t="s">
        <v>350</v>
      </c>
      <c r="I1547">
        <v>2549700</v>
      </c>
      <c r="K1547">
        <v>484443</v>
      </c>
      <c r="M1547">
        <v>0</v>
      </c>
      <c r="N1547">
        <v>2.5000000000000001E-2</v>
      </c>
      <c r="O1547">
        <v>63742.5</v>
      </c>
      <c r="P1547" s="117">
        <v>2970400.5</v>
      </c>
      <c r="Q1547" s="117" t="s">
        <v>1021</v>
      </c>
      <c r="R1547" s="150">
        <v>0</v>
      </c>
      <c r="S1547" s="117" t="b">
        <f>OR(COUNTIF(Tabla2[[#This Row],[PROVEEDOR]],"*"&amp;'Palabra no opera'!$A$2&amp;"*"))</f>
        <v>0</v>
      </c>
      <c r="T1547" s="150">
        <f>+$W$5-Tabla2[[#This Row],[FECHA DE FACTURACIÓN]]</f>
        <v>476</v>
      </c>
      <c r="U1547" t="str">
        <f>+IF(Tabla2[[#This Row],[dias de credito]]&gt;=Tabla2[[#This Row],[PLAZO Días]],"venc", "No venc")</f>
        <v>venc</v>
      </c>
      <c r="V1547" t="str">
        <f>+IF(Tabla2[[#This Row],[FECHA DE PAGO]]&gt;0,"pagada","por pagar")</f>
        <v>pagada</v>
      </c>
      <c r="W1547" s="152" t="str">
        <f>+IF(AND(Tabla2[[#This Row],[venc]]="venc",Tabla2[[#This Row],[Columna1]]="por pagar"),"vencida","no")</f>
        <v>no</v>
      </c>
    </row>
    <row r="1548" spans="1:23" x14ac:dyDescent="0.3">
      <c r="A1548">
        <v>20</v>
      </c>
      <c r="B1548">
        <v>0</v>
      </c>
      <c r="D1548" t="s">
        <v>308</v>
      </c>
      <c r="E1548" s="156">
        <v>44363</v>
      </c>
      <c r="F1548" t="s">
        <v>351</v>
      </c>
      <c r="G1548" s="156">
        <v>44356</v>
      </c>
      <c r="H1548" t="s">
        <v>443</v>
      </c>
      <c r="I1548">
        <v>2780307.3756302525</v>
      </c>
      <c r="K1548">
        <v>528258.40136974794</v>
      </c>
      <c r="M1548">
        <v>0</v>
      </c>
      <c r="N1548">
        <v>0.04</v>
      </c>
      <c r="O1548">
        <v>111212.2950252101</v>
      </c>
      <c r="P1548" s="117">
        <v>3197353.4819747908</v>
      </c>
      <c r="Q1548" s="117" t="s">
        <v>1021</v>
      </c>
      <c r="R1548" s="150">
        <v>0</v>
      </c>
      <c r="S1548" s="117" t="b">
        <f>OR(COUNTIF(Tabla2[[#This Row],[PROVEEDOR]],"*"&amp;'Palabra no opera'!$A$2&amp;"*"))</f>
        <v>0</v>
      </c>
      <c r="T1548" s="150">
        <f>+$W$5-Tabla2[[#This Row],[FECHA DE FACTURACIÓN]]</f>
        <v>478</v>
      </c>
      <c r="U1548" t="str">
        <f>+IF(Tabla2[[#This Row],[dias de credito]]&gt;=Tabla2[[#This Row],[PLAZO Días]],"venc", "No venc")</f>
        <v>venc</v>
      </c>
      <c r="V1548" t="str">
        <f>+IF(Tabla2[[#This Row],[FECHA DE PAGO]]&gt;0,"pagada","por pagar")</f>
        <v>pagada</v>
      </c>
      <c r="W1548" s="152" t="str">
        <f>+IF(AND(Tabla2[[#This Row],[venc]]="venc",Tabla2[[#This Row],[Columna1]]="por pagar"),"vencida","no")</f>
        <v>no</v>
      </c>
    </row>
    <row r="1549" spans="1:23" x14ac:dyDescent="0.3">
      <c r="A1549">
        <v>30</v>
      </c>
      <c r="B1549">
        <v>19675613.1195</v>
      </c>
      <c r="D1549" t="s">
        <v>256</v>
      </c>
      <c r="E1549" s="156">
        <v>44363</v>
      </c>
      <c r="F1549" t="s">
        <v>318</v>
      </c>
      <c r="G1549" s="156">
        <v>44323</v>
      </c>
      <c r="H1549">
        <v>1037614</v>
      </c>
      <c r="I1549">
        <v>3032760.12</v>
      </c>
      <c r="K1549">
        <v>576224.42280000006</v>
      </c>
      <c r="M1549">
        <v>0</v>
      </c>
      <c r="N1549">
        <v>2.5000000000000001E-2</v>
      </c>
      <c r="O1549">
        <v>75819.003000000012</v>
      </c>
      <c r="P1549" s="117">
        <v>3533165.5397999999</v>
      </c>
      <c r="Q1549" s="117" t="s">
        <v>1021</v>
      </c>
      <c r="R1549" s="150">
        <v>0</v>
      </c>
      <c r="S1549" s="117" t="b">
        <f>OR(COUNTIF(Tabla2[[#This Row],[PROVEEDOR]],"*"&amp;'Palabra no opera'!$A$2&amp;"*"))</f>
        <v>0</v>
      </c>
      <c r="T1549" s="150">
        <f>+$W$5-Tabla2[[#This Row],[FECHA DE FACTURACIÓN]]</f>
        <v>511</v>
      </c>
      <c r="U1549" t="str">
        <f>+IF(Tabla2[[#This Row],[dias de credito]]&gt;=Tabla2[[#This Row],[PLAZO Días]],"venc", "No venc")</f>
        <v>venc</v>
      </c>
      <c r="V1549" t="str">
        <f>+IF(Tabla2[[#This Row],[FECHA DE PAGO]]&gt;0,"pagada","por pagar")</f>
        <v>pagada</v>
      </c>
      <c r="W1549" s="152" t="str">
        <f>+IF(AND(Tabla2[[#This Row],[venc]]="venc",Tabla2[[#This Row],[Columna1]]="por pagar"),"vencida","no")</f>
        <v>no</v>
      </c>
    </row>
    <row r="1550" spans="1:23" x14ac:dyDescent="0.3">
      <c r="A1550">
        <v>30</v>
      </c>
      <c r="B1550">
        <v>8457900</v>
      </c>
      <c r="D1550" t="s">
        <v>1027</v>
      </c>
      <c r="E1550" s="156">
        <v>44363</v>
      </c>
      <c r="F1550" t="s">
        <v>11</v>
      </c>
      <c r="G1550" s="156">
        <v>44321</v>
      </c>
      <c r="H1550" t="s">
        <v>323</v>
      </c>
      <c r="I1550">
        <v>1650000</v>
      </c>
      <c r="K1550">
        <v>313500</v>
      </c>
      <c r="M1550">
        <v>0</v>
      </c>
      <c r="N1550">
        <v>2.5000000000000001E-2</v>
      </c>
      <c r="O1550">
        <v>41250</v>
      </c>
      <c r="P1550" s="117">
        <v>1922250</v>
      </c>
      <c r="Q1550" s="117" t="s">
        <v>1021</v>
      </c>
      <c r="R1550" s="150">
        <v>0</v>
      </c>
      <c r="S1550" s="117" t="b">
        <f>OR(COUNTIF(Tabla2[[#This Row],[PROVEEDOR]],"*"&amp;'Palabra no opera'!$A$2&amp;"*"))</f>
        <v>0</v>
      </c>
      <c r="T1550" s="150">
        <f>+$W$5-Tabla2[[#This Row],[FECHA DE FACTURACIÓN]]</f>
        <v>513</v>
      </c>
      <c r="U1550" t="str">
        <f>+IF(Tabla2[[#This Row],[dias de credito]]&gt;=Tabla2[[#This Row],[PLAZO Días]],"venc", "No venc")</f>
        <v>venc</v>
      </c>
      <c r="V1550" t="str">
        <f>+IF(Tabla2[[#This Row],[FECHA DE PAGO]]&gt;0,"pagada","por pagar")</f>
        <v>pagada</v>
      </c>
      <c r="W1550" s="152" t="str">
        <f>+IF(AND(Tabla2[[#This Row],[venc]]="venc",Tabla2[[#This Row],[Columna1]]="por pagar"),"vencida","no")</f>
        <v>no</v>
      </c>
    </row>
    <row r="1551" spans="1:23" x14ac:dyDescent="0.3">
      <c r="A1551">
        <v>30</v>
      </c>
      <c r="B1551">
        <v>0</v>
      </c>
      <c r="D1551" t="s">
        <v>139</v>
      </c>
      <c r="E1551" s="156">
        <v>44362</v>
      </c>
      <c r="F1551" t="s">
        <v>673</v>
      </c>
      <c r="G1551" s="156">
        <v>44362</v>
      </c>
      <c r="I1551">
        <v>2000000</v>
      </c>
      <c r="K1551">
        <v>0</v>
      </c>
      <c r="M1551">
        <v>0</v>
      </c>
      <c r="N1551">
        <v>0</v>
      </c>
      <c r="O1551">
        <v>0</v>
      </c>
      <c r="P1551" s="117">
        <v>2000000</v>
      </c>
      <c r="Q1551" s="117" t="s">
        <v>1021</v>
      </c>
      <c r="R1551" s="150">
        <v>0</v>
      </c>
      <c r="S1551" s="117" t="b">
        <f>OR(COUNTIF(Tabla2[[#This Row],[PROVEEDOR]],"*"&amp;'Palabra no opera'!$A$2&amp;"*"))</f>
        <v>0</v>
      </c>
      <c r="T1551" s="150">
        <f>+$W$5-Tabla2[[#This Row],[FECHA DE FACTURACIÓN]]</f>
        <v>472</v>
      </c>
      <c r="U1551" t="str">
        <f>+IF(Tabla2[[#This Row],[dias de credito]]&gt;=Tabla2[[#This Row],[PLAZO Días]],"venc", "No venc")</f>
        <v>venc</v>
      </c>
      <c r="V1551" t="str">
        <f>+IF(Tabla2[[#This Row],[FECHA DE PAGO]]&gt;0,"pagada","por pagar")</f>
        <v>pagada</v>
      </c>
      <c r="W1551" s="152" t="str">
        <f>+IF(AND(Tabla2[[#This Row],[venc]]="venc",Tabla2[[#This Row],[Columna1]]="por pagar"),"vencida","no")</f>
        <v>no</v>
      </c>
    </row>
    <row r="1552" spans="1:23" x14ac:dyDescent="0.3">
      <c r="A1552">
        <v>30</v>
      </c>
      <c r="B1552">
        <v>0</v>
      </c>
      <c r="D1552" t="s">
        <v>139</v>
      </c>
      <c r="E1552" s="156">
        <v>44359</v>
      </c>
      <c r="F1552" t="s">
        <v>661</v>
      </c>
      <c r="G1552" s="156">
        <v>44359</v>
      </c>
      <c r="H1552" t="s">
        <v>1247</v>
      </c>
      <c r="I1552">
        <v>984000</v>
      </c>
      <c r="K1552">
        <v>0</v>
      </c>
      <c r="M1552">
        <v>0</v>
      </c>
      <c r="N1552">
        <v>0</v>
      </c>
      <c r="O1552">
        <v>0</v>
      </c>
      <c r="P1552" s="117">
        <v>984000</v>
      </c>
      <c r="Q1552" s="117" t="s">
        <v>1021</v>
      </c>
      <c r="R1552" s="150">
        <v>0</v>
      </c>
      <c r="S1552" s="117" t="b">
        <f>OR(COUNTIF(Tabla2[[#This Row],[PROVEEDOR]],"*"&amp;'Palabra no opera'!$A$2&amp;"*"))</f>
        <v>0</v>
      </c>
      <c r="T1552" s="150">
        <f>+$W$5-Tabla2[[#This Row],[FECHA DE FACTURACIÓN]]</f>
        <v>475</v>
      </c>
      <c r="U1552" t="str">
        <f>+IF(Tabla2[[#This Row],[dias de credito]]&gt;=Tabla2[[#This Row],[PLAZO Días]],"venc", "No venc")</f>
        <v>venc</v>
      </c>
      <c r="V1552" t="str">
        <f>+IF(Tabla2[[#This Row],[FECHA DE PAGO]]&gt;0,"pagada","por pagar")</f>
        <v>pagada</v>
      </c>
      <c r="W1552" s="152" t="str">
        <f>+IF(AND(Tabla2[[#This Row],[venc]]="venc",Tabla2[[#This Row],[Columna1]]="por pagar"),"vencida","no")</f>
        <v>no</v>
      </c>
    </row>
    <row r="1553" spans="1:23" x14ac:dyDescent="0.3">
      <c r="A1553">
        <v>30</v>
      </c>
      <c r="B1553">
        <v>0</v>
      </c>
      <c r="D1553">
        <v>0</v>
      </c>
      <c r="E1553" s="156">
        <v>44358</v>
      </c>
      <c r="F1553" t="s">
        <v>932</v>
      </c>
      <c r="G1553" s="156">
        <v>44317</v>
      </c>
      <c r="H1553" t="s">
        <v>306</v>
      </c>
      <c r="I1553">
        <v>1392986</v>
      </c>
      <c r="K1553">
        <v>0</v>
      </c>
      <c r="M1553">
        <v>0</v>
      </c>
      <c r="N1553">
        <v>0</v>
      </c>
      <c r="O1553">
        <v>0</v>
      </c>
      <c r="P1553" s="117">
        <v>1392986</v>
      </c>
      <c r="Q1553" s="117" t="s">
        <v>1021</v>
      </c>
      <c r="R1553" s="150">
        <v>0</v>
      </c>
      <c r="S1553" s="117" t="b">
        <f>OR(COUNTIF(Tabla2[[#This Row],[PROVEEDOR]],"*"&amp;'Palabra no opera'!$A$2&amp;"*"))</f>
        <v>1</v>
      </c>
      <c r="T1553" s="150">
        <f>+$W$5-Tabla2[[#This Row],[FECHA DE FACTURACIÓN]]</f>
        <v>517</v>
      </c>
      <c r="U1553" t="str">
        <f>+IF(Tabla2[[#This Row],[dias de credito]]&gt;=Tabla2[[#This Row],[PLAZO Días]],"venc", "No venc")</f>
        <v>venc</v>
      </c>
      <c r="V1553" t="str">
        <f>+IF(Tabla2[[#This Row],[FECHA DE PAGO]]&gt;0,"pagada","por pagar")</f>
        <v>pagada</v>
      </c>
      <c r="W1553" s="152" t="str">
        <f>+IF(AND(Tabla2[[#This Row],[venc]]="venc",Tabla2[[#This Row],[Columna1]]="por pagar"),"vencida","no")</f>
        <v>no</v>
      </c>
    </row>
    <row r="1554" spans="1:23" x14ac:dyDescent="0.3">
      <c r="A1554">
        <v>30</v>
      </c>
      <c r="B1554">
        <v>0</v>
      </c>
      <c r="D1554" t="s">
        <v>139</v>
      </c>
      <c r="E1554" s="156">
        <v>44357</v>
      </c>
      <c r="F1554" t="s">
        <v>683</v>
      </c>
      <c r="G1554" s="156">
        <v>44357</v>
      </c>
      <c r="H1554" t="s">
        <v>1246</v>
      </c>
      <c r="I1554">
        <v>160000</v>
      </c>
      <c r="K1554">
        <v>0</v>
      </c>
      <c r="M1554">
        <v>0</v>
      </c>
      <c r="N1554">
        <v>0</v>
      </c>
      <c r="O1554">
        <v>0</v>
      </c>
      <c r="P1554" s="117">
        <v>160000</v>
      </c>
      <c r="Q1554" s="117" t="s">
        <v>1021</v>
      </c>
      <c r="R1554" s="150">
        <v>0</v>
      </c>
      <c r="S1554" s="117" t="b">
        <f>OR(COUNTIF(Tabla2[[#This Row],[PROVEEDOR]],"*"&amp;'Palabra no opera'!$A$2&amp;"*"))</f>
        <v>0</v>
      </c>
      <c r="T1554" s="150">
        <f>+$W$5-Tabla2[[#This Row],[FECHA DE FACTURACIÓN]]</f>
        <v>477</v>
      </c>
      <c r="U1554" t="str">
        <f>+IF(Tabla2[[#This Row],[dias de credito]]&gt;=Tabla2[[#This Row],[PLAZO Días]],"venc", "No venc")</f>
        <v>venc</v>
      </c>
      <c r="V1554" t="str">
        <f>+IF(Tabla2[[#This Row],[FECHA DE PAGO]]&gt;0,"pagada","por pagar")</f>
        <v>pagada</v>
      </c>
      <c r="W1554" s="152" t="str">
        <f>+IF(AND(Tabla2[[#This Row],[venc]]="venc",Tabla2[[#This Row],[Columna1]]="por pagar"),"vencida","no")</f>
        <v>no</v>
      </c>
    </row>
    <row r="1555" spans="1:23" x14ac:dyDescent="0.3">
      <c r="A1555">
        <v>90</v>
      </c>
      <c r="B1555">
        <v>0</v>
      </c>
      <c r="D1555" t="s">
        <v>713</v>
      </c>
      <c r="E1555" s="156">
        <v>44357</v>
      </c>
      <c r="F1555" t="s">
        <v>911</v>
      </c>
      <c r="G1555" s="156">
        <v>44356</v>
      </c>
      <c r="H1555" t="s">
        <v>1245</v>
      </c>
      <c r="I1555">
        <v>914200</v>
      </c>
      <c r="K1555">
        <v>0</v>
      </c>
      <c r="M1555">
        <v>0</v>
      </c>
      <c r="N1555">
        <v>3.5000000000000003E-2</v>
      </c>
      <c r="O1555">
        <v>31997.000000000004</v>
      </c>
      <c r="P1555" s="117">
        <v>882203</v>
      </c>
      <c r="Q1555" s="117" t="s">
        <v>1021</v>
      </c>
      <c r="R1555" s="150">
        <v>0</v>
      </c>
      <c r="S1555" s="117" t="b">
        <f>OR(COUNTIF(Tabla2[[#This Row],[PROVEEDOR]],"*"&amp;'Palabra no opera'!$A$2&amp;"*"))</f>
        <v>1</v>
      </c>
      <c r="T1555" s="150">
        <f>+$W$5-Tabla2[[#This Row],[FECHA DE FACTURACIÓN]]</f>
        <v>478</v>
      </c>
      <c r="U1555" t="str">
        <f>+IF(Tabla2[[#This Row],[dias de credito]]&gt;=Tabla2[[#This Row],[PLAZO Días]],"venc", "No venc")</f>
        <v>venc</v>
      </c>
      <c r="V1555" t="str">
        <f>+IF(Tabla2[[#This Row],[FECHA DE PAGO]]&gt;0,"pagada","por pagar")</f>
        <v>pagada</v>
      </c>
      <c r="W1555" s="152" t="str">
        <f>+IF(AND(Tabla2[[#This Row],[venc]]="venc",Tabla2[[#This Row],[Columna1]]="por pagar"),"vencida","no")</f>
        <v>no</v>
      </c>
    </row>
    <row r="1556" spans="1:23" x14ac:dyDescent="0.3">
      <c r="A1556">
        <v>30</v>
      </c>
      <c r="B1556">
        <v>0</v>
      </c>
      <c r="D1556">
        <v>0</v>
      </c>
      <c r="E1556" s="156">
        <v>44357</v>
      </c>
      <c r="F1556" t="s">
        <v>647</v>
      </c>
      <c r="G1556" s="156">
        <v>44348</v>
      </c>
      <c r="H1556" t="s">
        <v>1238</v>
      </c>
      <c r="I1556">
        <v>675000</v>
      </c>
      <c r="K1556">
        <v>0</v>
      </c>
      <c r="M1556">
        <v>0</v>
      </c>
      <c r="N1556">
        <v>0</v>
      </c>
      <c r="O1556">
        <v>0</v>
      </c>
      <c r="P1556" s="117">
        <v>675000</v>
      </c>
      <c r="Q1556" s="117" t="s">
        <v>1021</v>
      </c>
      <c r="R1556" s="150">
        <v>0</v>
      </c>
      <c r="S1556" s="117" t="b">
        <f>OR(COUNTIF(Tabla2[[#This Row],[PROVEEDOR]],"*"&amp;'Palabra no opera'!$A$2&amp;"*"))</f>
        <v>0</v>
      </c>
      <c r="T1556" s="150">
        <f>+$W$5-Tabla2[[#This Row],[FECHA DE FACTURACIÓN]]</f>
        <v>486</v>
      </c>
      <c r="U1556" t="str">
        <f>+IF(Tabla2[[#This Row],[dias de credito]]&gt;=Tabla2[[#This Row],[PLAZO Días]],"venc", "No venc")</f>
        <v>venc</v>
      </c>
      <c r="V1556" t="str">
        <f>+IF(Tabla2[[#This Row],[FECHA DE PAGO]]&gt;0,"pagada","por pagar")</f>
        <v>pagada</v>
      </c>
      <c r="W1556" s="152" t="str">
        <f>+IF(AND(Tabla2[[#This Row],[venc]]="venc",Tabla2[[#This Row],[Columna1]]="por pagar"),"vencida","no")</f>
        <v>no</v>
      </c>
    </row>
    <row r="1557" spans="1:23" x14ac:dyDescent="0.3">
      <c r="A1557">
        <v>30</v>
      </c>
      <c r="B1557">
        <v>0</v>
      </c>
      <c r="D1557" t="s">
        <v>606</v>
      </c>
      <c r="E1557" s="156">
        <v>44357</v>
      </c>
      <c r="F1557" t="s">
        <v>38</v>
      </c>
      <c r="G1557" s="156">
        <v>44257</v>
      </c>
      <c r="H1557" t="s">
        <v>281</v>
      </c>
      <c r="I1557">
        <v>9253877.5999999996</v>
      </c>
      <c r="K1557">
        <v>0</v>
      </c>
      <c r="M1557">
        <v>0</v>
      </c>
      <c r="N1557">
        <v>0</v>
      </c>
      <c r="O1557">
        <v>0</v>
      </c>
      <c r="P1557" s="117">
        <v>9253877.5999999996</v>
      </c>
      <c r="Q1557" s="117" t="s">
        <v>1021</v>
      </c>
      <c r="R1557" s="150">
        <v>0</v>
      </c>
      <c r="S1557" s="117" t="b">
        <f>OR(COUNTIF(Tabla2[[#This Row],[PROVEEDOR]],"*"&amp;'Palabra no opera'!$A$2&amp;"*"))</f>
        <v>0</v>
      </c>
      <c r="T1557" s="150">
        <f>+$W$5-Tabla2[[#This Row],[FECHA DE FACTURACIÓN]]</f>
        <v>577</v>
      </c>
      <c r="U1557" t="str">
        <f>+IF(Tabla2[[#This Row],[dias de credito]]&gt;=Tabla2[[#This Row],[PLAZO Días]],"venc", "No venc")</f>
        <v>venc</v>
      </c>
      <c r="V1557" t="str">
        <f>+IF(Tabla2[[#This Row],[FECHA DE PAGO]]&gt;0,"pagada","por pagar")</f>
        <v>pagada</v>
      </c>
      <c r="W1557" s="152" t="str">
        <f>+IF(AND(Tabla2[[#This Row],[venc]]="venc",Tabla2[[#This Row],[Columna1]]="por pagar"),"vencida","no")</f>
        <v>no</v>
      </c>
    </row>
    <row r="1558" spans="1:23" x14ac:dyDescent="0.3">
      <c r="A1558">
        <v>30</v>
      </c>
      <c r="B1558">
        <v>0</v>
      </c>
      <c r="D1558" t="s">
        <v>139</v>
      </c>
      <c r="E1558" s="156">
        <v>44355</v>
      </c>
      <c r="F1558" t="s">
        <v>53</v>
      </c>
      <c r="G1558" s="156">
        <v>44354</v>
      </c>
      <c r="H1558">
        <v>282538</v>
      </c>
      <c r="I1558">
        <v>2188000</v>
      </c>
      <c r="K1558">
        <v>0</v>
      </c>
      <c r="M1558">
        <v>0</v>
      </c>
      <c r="N1558">
        <v>0</v>
      </c>
      <c r="O1558">
        <v>0</v>
      </c>
      <c r="P1558" s="117">
        <v>2188000</v>
      </c>
      <c r="Q1558" s="117" t="s">
        <v>1021</v>
      </c>
      <c r="R1558" s="150">
        <v>0</v>
      </c>
      <c r="S1558" s="117" t="b">
        <f>OR(COUNTIF(Tabla2[[#This Row],[PROVEEDOR]],"*"&amp;'Palabra no opera'!$A$2&amp;"*"))</f>
        <v>0</v>
      </c>
      <c r="T1558" s="150">
        <f>+$W$5-Tabla2[[#This Row],[FECHA DE FACTURACIÓN]]</f>
        <v>480</v>
      </c>
      <c r="U1558" t="str">
        <f>+IF(Tabla2[[#This Row],[dias de credito]]&gt;=Tabla2[[#This Row],[PLAZO Días]],"venc", "No venc")</f>
        <v>venc</v>
      </c>
      <c r="V1558" t="str">
        <f>+IF(Tabla2[[#This Row],[FECHA DE PAGO]]&gt;0,"pagada","por pagar")</f>
        <v>pagada</v>
      </c>
      <c r="W1558" s="152" t="str">
        <f>+IF(AND(Tabla2[[#This Row],[venc]]="venc",Tabla2[[#This Row],[Columna1]]="por pagar"),"vencida","no")</f>
        <v>no</v>
      </c>
    </row>
    <row r="1559" spans="1:23" x14ac:dyDescent="0.3">
      <c r="A1559">
        <v>30</v>
      </c>
      <c r="B1559">
        <v>326474.88</v>
      </c>
      <c r="D1559" t="s">
        <v>949</v>
      </c>
      <c r="E1559" s="156">
        <v>44355</v>
      </c>
      <c r="F1559" t="s">
        <v>345</v>
      </c>
      <c r="G1559" s="156">
        <v>44354</v>
      </c>
      <c r="H1559">
        <v>282538</v>
      </c>
      <c r="I1559">
        <v>1361000</v>
      </c>
      <c r="K1559">
        <v>0</v>
      </c>
      <c r="M1559">
        <v>0</v>
      </c>
      <c r="N1559">
        <v>0</v>
      </c>
      <c r="O1559">
        <v>0</v>
      </c>
      <c r="P1559" s="117">
        <v>1361000</v>
      </c>
      <c r="Q1559" s="117" t="s">
        <v>1021</v>
      </c>
      <c r="R1559" s="150">
        <v>0</v>
      </c>
      <c r="S1559" s="117" t="b">
        <f>OR(COUNTIF(Tabla2[[#This Row],[PROVEEDOR]],"*"&amp;'Palabra no opera'!$A$2&amp;"*"))</f>
        <v>0</v>
      </c>
      <c r="T1559" s="150">
        <f>+$W$5-Tabla2[[#This Row],[FECHA DE FACTURACIÓN]]</f>
        <v>480</v>
      </c>
      <c r="U1559" t="str">
        <f>+IF(Tabla2[[#This Row],[dias de credito]]&gt;=Tabla2[[#This Row],[PLAZO Días]],"venc", "No venc")</f>
        <v>venc</v>
      </c>
      <c r="V1559" t="str">
        <f>+IF(Tabla2[[#This Row],[FECHA DE PAGO]]&gt;0,"pagada","por pagar")</f>
        <v>pagada</v>
      </c>
      <c r="W1559" s="152" t="str">
        <f>+IF(AND(Tabla2[[#This Row],[venc]]="venc",Tabla2[[#This Row],[Columna1]]="por pagar"),"vencida","no")</f>
        <v>no</v>
      </c>
    </row>
    <row r="1560" spans="1:23" x14ac:dyDescent="0.3">
      <c r="A1560">
        <v>30</v>
      </c>
      <c r="B1560">
        <v>1580500</v>
      </c>
      <c r="D1560" t="s">
        <v>139</v>
      </c>
      <c r="E1560" s="156">
        <v>44355</v>
      </c>
      <c r="F1560" t="s">
        <v>686</v>
      </c>
      <c r="G1560" s="156">
        <v>44335</v>
      </c>
      <c r="H1560" t="s">
        <v>1228</v>
      </c>
      <c r="I1560">
        <v>490000</v>
      </c>
      <c r="K1560">
        <v>0</v>
      </c>
      <c r="M1560">
        <v>0</v>
      </c>
      <c r="N1560">
        <v>0</v>
      </c>
      <c r="O1560">
        <v>0</v>
      </c>
      <c r="P1560" s="117">
        <v>490000</v>
      </c>
      <c r="Q1560" s="117" t="s">
        <v>1021</v>
      </c>
      <c r="R1560" s="150">
        <v>0</v>
      </c>
      <c r="S1560" s="117" t="b">
        <f>OR(COUNTIF(Tabla2[[#This Row],[PROVEEDOR]],"*"&amp;'Palabra no opera'!$A$2&amp;"*"))</f>
        <v>0</v>
      </c>
      <c r="T1560" s="150">
        <f>+$W$5-Tabla2[[#This Row],[FECHA DE FACTURACIÓN]]</f>
        <v>499</v>
      </c>
      <c r="U1560" t="str">
        <f>+IF(Tabla2[[#This Row],[dias de credito]]&gt;=Tabla2[[#This Row],[PLAZO Días]],"venc", "No venc")</f>
        <v>venc</v>
      </c>
      <c r="V1560" t="str">
        <f>+IF(Tabla2[[#This Row],[FECHA DE PAGO]]&gt;0,"pagada","por pagar")</f>
        <v>pagada</v>
      </c>
      <c r="W1560" s="152" t="str">
        <f>+IF(AND(Tabla2[[#This Row],[venc]]="venc",Tabla2[[#This Row],[Columna1]]="por pagar"),"vencida","no")</f>
        <v>no</v>
      </c>
    </row>
    <row r="1561" spans="1:23" x14ac:dyDescent="0.3">
      <c r="A1561">
        <v>30</v>
      </c>
      <c r="B1561">
        <v>0</v>
      </c>
      <c r="D1561" t="s">
        <v>431</v>
      </c>
      <c r="E1561" s="156">
        <v>44355</v>
      </c>
      <c r="F1561" t="s">
        <v>677</v>
      </c>
      <c r="G1561" s="156">
        <v>44321</v>
      </c>
      <c r="H1561" t="s">
        <v>1455</v>
      </c>
      <c r="I1561">
        <v>722000</v>
      </c>
      <c r="K1561">
        <v>0</v>
      </c>
      <c r="M1561">
        <v>0</v>
      </c>
      <c r="N1561">
        <v>0</v>
      </c>
      <c r="O1561">
        <v>0</v>
      </c>
      <c r="P1561" s="117">
        <v>722000</v>
      </c>
      <c r="Q1561" s="117" t="s">
        <v>1021</v>
      </c>
      <c r="R1561" s="150">
        <v>0</v>
      </c>
      <c r="S1561" s="117" t="b">
        <f>OR(COUNTIF(Tabla2[[#This Row],[PROVEEDOR]],"*"&amp;'Palabra no opera'!$A$2&amp;"*"))</f>
        <v>0</v>
      </c>
      <c r="T1561" s="150">
        <f>+$W$5-Tabla2[[#This Row],[FECHA DE FACTURACIÓN]]</f>
        <v>513</v>
      </c>
      <c r="U1561" t="str">
        <f>+IF(Tabla2[[#This Row],[dias de credito]]&gt;=Tabla2[[#This Row],[PLAZO Días]],"venc", "No venc")</f>
        <v>venc</v>
      </c>
      <c r="V1561" t="str">
        <f>+IF(Tabla2[[#This Row],[FECHA DE PAGO]]&gt;0,"pagada","por pagar")</f>
        <v>pagada</v>
      </c>
      <c r="W1561" s="152" t="str">
        <f>+IF(AND(Tabla2[[#This Row],[venc]]="venc",Tabla2[[#This Row],[Columna1]]="por pagar"),"vencida","no")</f>
        <v>no</v>
      </c>
    </row>
    <row r="1562" spans="1:23" x14ac:dyDescent="0.3">
      <c r="A1562">
        <v>30</v>
      </c>
      <c r="B1562">
        <v>5225000</v>
      </c>
      <c r="D1562" t="s">
        <v>139</v>
      </c>
      <c r="E1562" s="156">
        <v>44355</v>
      </c>
      <c r="F1562" t="s">
        <v>629</v>
      </c>
      <c r="G1562" s="156">
        <v>44312</v>
      </c>
      <c r="H1562" t="s">
        <v>1210</v>
      </c>
      <c r="I1562">
        <v>1092000</v>
      </c>
      <c r="K1562">
        <v>0</v>
      </c>
      <c r="M1562">
        <v>0</v>
      </c>
      <c r="N1562">
        <v>0</v>
      </c>
      <c r="O1562">
        <v>0</v>
      </c>
      <c r="P1562" s="117">
        <v>1092000</v>
      </c>
      <c r="Q1562" s="117" t="s">
        <v>1021</v>
      </c>
      <c r="R1562" s="150">
        <v>0</v>
      </c>
      <c r="S1562" s="117" t="b">
        <f>OR(COUNTIF(Tabla2[[#This Row],[PROVEEDOR]],"*"&amp;'Palabra no opera'!$A$2&amp;"*"))</f>
        <v>0</v>
      </c>
      <c r="T1562" s="150">
        <f>+$W$5-Tabla2[[#This Row],[FECHA DE FACTURACIÓN]]</f>
        <v>522</v>
      </c>
      <c r="U1562" t="str">
        <f>+IF(Tabla2[[#This Row],[dias de credito]]&gt;=Tabla2[[#This Row],[PLAZO Días]],"venc", "No venc")</f>
        <v>venc</v>
      </c>
      <c r="V1562" t="str">
        <f>+IF(Tabla2[[#This Row],[FECHA DE PAGO]]&gt;0,"pagada","por pagar")</f>
        <v>pagada</v>
      </c>
      <c r="W1562" s="152" t="str">
        <f>+IF(AND(Tabla2[[#This Row],[venc]]="venc",Tabla2[[#This Row],[Columna1]]="por pagar"),"vencida","no")</f>
        <v>no</v>
      </c>
    </row>
    <row r="1563" spans="1:23" x14ac:dyDescent="0.3">
      <c r="A1563">
        <v>30</v>
      </c>
      <c r="B1563">
        <v>0</v>
      </c>
      <c r="D1563" t="s">
        <v>139</v>
      </c>
      <c r="E1563" s="156">
        <v>44351</v>
      </c>
      <c r="F1563" t="s">
        <v>673</v>
      </c>
      <c r="G1563" s="156">
        <v>44351</v>
      </c>
      <c r="I1563">
        <v>2000000</v>
      </c>
      <c r="K1563">
        <v>0</v>
      </c>
      <c r="M1563">
        <v>0</v>
      </c>
      <c r="N1563">
        <v>0</v>
      </c>
      <c r="O1563">
        <v>0</v>
      </c>
      <c r="P1563" s="117">
        <v>2000000</v>
      </c>
      <c r="Q1563" s="117" t="s">
        <v>1021</v>
      </c>
      <c r="R1563" s="150">
        <v>0</v>
      </c>
      <c r="S1563" s="117" t="b">
        <f>OR(COUNTIF(Tabla2[[#This Row],[PROVEEDOR]],"*"&amp;'Palabra no opera'!$A$2&amp;"*"))</f>
        <v>0</v>
      </c>
      <c r="T1563" s="150">
        <f>+$W$5-Tabla2[[#This Row],[FECHA DE FACTURACIÓN]]</f>
        <v>483</v>
      </c>
      <c r="U1563" t="str">
        <f>+IF(Tabla2[[#This Row],[dias de credito]]&gt;=Tabla2[[#This Row],[PLAZO Días]],"venc", "No venc")</f>
        <v>venc</v>
      </c>
      <c r="V1563" t="str">
        <f>+IF(Tabla2[[#This Row],[FECHA DE PAGO]]&gt;0,"pagada","por pagar")</f>
        <v>pagada</v>
      </c>
      <c r="W1563" s="152" t="str">
        <f>+IF(AND(Tabla2[[#This Row],[venc]]="venc",Tabla2[[#This Row],[Columna1]]="por pagar"),"vencida","no")</f>
        <v>no</v>
      </c>
    </row>
    <row r="1564" spans="1:23" x14ac:dyDescent="0.3">
      <c r="A1564">
        <v>20</v>
      </c>
      <c r="B1564">
        <v>0</v>
      </c>
      <c r="D1564" t="s">
        <v>308</v>
      </c>
      <c r="E1564" s="156">
        <v>44351</v>
      </c>
      <c r="F1564" t="s">
        <v>331</v>
      </c>
      <c r="G1564" s="156">
        <v>44347</v>
      </c>
      <c r="H1564" t="s">
        <v>444</v>
      </c>
      <c r="I1564">
        <v>2629762.6722689075</v>
      </c>
      <c r="K1564">
        <v>499654.90773109242</v>
      </c>
      <c r="M1564">
        <v>0</v>
      </c>
      <c r="N1564">
        <v>0.04</v>
      </c>
      <c r="O1564">
        <v>105190.50689075631</v>
      </c>
      <c r="P1564" s="117">
        <v>3024227.073109244</v>
      </c>
      <c r="Q1564" s="117" t="s">
        <v>1021</v>
      </c>
      <c r="R1564" s="150">
        <v>0</v>
      </c>
      <c r="S1564" s="117" t="b">
        <f>OR(COUNTIF(Tabla2[[#This Row],[PROVEEDOR]],"*"&amp;'Palabra no opera'!$A$2&amp;"*"))</f>
        <v>0</v>
      </c>
      <c r="T1564" s="150">
        <f>+$W$5-Tabla2[[#This Row],[FECHA DE FACTURACIÓN]]</f>
        <v>487</v>
      </c>
      <c r="U1564" t="str">
        <f>+IF(Tabla2[[#This Row],[dias de credito]]&gt;=Tabla2[[#This Row],[PLAZO Días]],"venc", "No venc")</f>
        <v>venc</v>
      </c>
      <c r="V1564" t="str">
        <f>+IF(Tabla2[[#This Row],[FECHA DE PAGO]]&gt;0,"pagada","por pagar")</f>
        <v>pagada</v>
      </c>
      <c r="W1564" s="152" t="str">
        <f>+IF(AND(Tabla2[[#This Row],[venc]]="venc",Tabla2[[#This Row],[Columna1]]="por pagar"),"vencida","no")</f>
        <v>no</v>
      </c>
    </row>
    <row r="1565" spans="1:23" x14ac:dyDescent="0.3">
      <c r="A1565">
        <v>30</v>
      </c>
      <c r="B1565">
        <v>0</v>
      </c>
      <c r="D1565" t="s">
        <v>268</v>
      </c>
      <c r="E1565" s="156">
        <v>44351</v>
      </c>
      <c r="F1565" t="s">
        <v>930</v>
      </c>
      <c r="G1565" s="156">
        <v>44347</v>
      </c>
      <c r="H1565">
        <v>559</v>
      </c>
      <c r="I1565">
        <v>250000</v>
      </c>
      <c r="K1565">
        <v>0</v>
      </c>
      <c r="M1565">
        <v>0</v>
      </c>
      <c r="N1565">
        <v>3.5000000000000003E-2</v>
      </c>
      <c r="O1565">
        <v>8750</v>
      </c>
      <c r="P1565" s="117">
        <v>241250</v>
      </c>
      <c r="Q1565" s="117" t="s">
        <v>1021</v>
      </c>
      <c r="R1565" s="150">
        <v>0</v>
      </c>
      <c r="S1565" s="117" t="b">
        <f>OR(COUNTIF(Tabla2[[#This Row],[PROVEEDOR]],"*"&amp;'Palabra no opera'!$A$2&amp;"*"))</f>
        <v>1</v>
      </c>
      <c r="T1565" s="150">
        <f>+$W$5-Tabla2[[#This Row],[FECHA DE FACTURACIÓN]]</f>
        <v>487</v>
      </c>
      <c r="U1565" t="str">
        <f>+IF(Tabla2[[#This Row],[dias de credito]]&gt;=Tabla2[[#This Row],[PLAZO Días]],"venc", "No venc")</f>
        <v>venc</v>
      </c>
      <c r="V1565" t="str">
        <f>+IF(Tabla2[[#This Row],[FECHA DE PAGO]]&gt;0,"pagada","por pagar")</f>
        <v>pagada</v>
      </c>
      <c r="W1565" s="152" t="str">
        <f>+IF(AND(Tabla2[[#This Row],[venc]]="venc",Tabla2[[#This Row],[Columna1]]="por pagar"),"vencida","no")</f>
        <v>no</v>
      </c>
    </row>
    <row r="1566" spans="1:23" x14ac:dyDescent="0.3">
      <c r="A1566">
        <v>90</v>
      </c>
      <c r="B1566">
        <v>5541947.6899999995</v>
      </c>
      <c r="D1566" t="s">
        <v>253</v>
      </c>
      <c r="E1566" s="156">
        <v>44351</v>
      </c>
      <c r="F1566" t="s">
        <v>12</v>
      </c>
      <c r="G1566" s="156">
        <v>44338</v>
      </c>
      <c r="H1566" t="s">
        <v>1457</v>
      </c>
      <c r="I1566">
        <v>-8403361.3445378151</v>
      </c>
      <c r="K1566">
        <v>-1596638.6554621849</v>
      </c>
      <c r="M1566">
        <v>0</v>
      </c>
      <c r="N1566">
        <v>0</v>
      </c>
      <c r="O1566">
        <v>0</v>
      </c>
      <c r="P1566" s="117">
        <v>-10000000</v>
      </c>
      <c r="Q1566" s="117" t="s">
        <v>1021</v>
      </c>
      <c r="R1566" s="150">
        <v>0</v>
      </c>
      <c r="S1566" s="117" t="b">
        <f>OR(COUNTIF(Tabla2[[#This Row],[PROVEEDOR]],"*"&amp;'Palabra no opera'!$A$2&amp;"*"))</f>
        <v>0</v>
      </c>
      <c r="T1566" s="150">
        <f>+$W$5-Tabla2[[#This Row],[FECHA DE FACTURACIÓN]]</f>
        <v>496</v>
      </c>
      <c r="U1566" t="str">
        <f>+IF(Tabla2[[#This Row],[dias de credito]]&gt;=Tabla2[[#This Row],[PLAZO Días]],"venc", "No venc")</f>
        <v>venc</v>
      </c>
      <c r="V1566" t="str">
        <f>+IF(Tabla2[[#This Row],[FECHA DE PAGO]]&gt;0,"pagada","por pagar")</f>
        <v>pagada</v>
      </c>
      <c r="W1566" s="152" t="str">
        <f>+IF(AND(Tabla2[[#This Row],[venc]]="venc",Tabla2[[#This Row],[Columna1]]="por pagar"),"vencida","no")</f>
        <v>no</v>
      </c>
    </row>
    <row r="1567" spans="1:23" x14ac:dyDescent="0.3">
      <c r="A1567">
        <v>90</v>
      </c>
      <c r="B1567">
        <v>5541947.6899999995</v>
      </c>
      <c r="D1567" t="s">
        <v>253</v>
      </c>
      <c r="E1567" s="156">
        <v>44351</v>
      </c>
      <c r="F1567" t="s">
        <v>12</v>
      </c>
      <c r="G1567" s="156">
        <v>44330</v>
      </c>
      <c r="H1567" t="s">
        <v>327</v>
      </c>
      <c r="I1567">
        <v>-134454</v>
      </c>
      <c r="K1567">
        <v>-25546.260000000002</v>
      </c>
      <c r="M1567">
        <v>0</v>
      </c>
      <c r="N1567">
        <v>0</v>
      </c>
      <c r="O1567">
        <v>0</v>
      </c>
      <c r="P1567" s="117">
        <v>-160000.26</v>
      </c>
      <c r="Q1567" s="117" t="s">
        <v>1021</v>
      </c>
      <c r="R1567" s="150">
        <v>0</v>
      </c>
      <c r="S1567" s="117" t="b">
        <f>OR(COUNTIF(Tabla2[[#This Row],[PROVEEDOR]],"*"&amp;'Palabra no opera'!$A$2&amp;"*"))</f>
        <v>0</v>
      </c>
      <c r="T1567" s="150">
        <f>+$W$5-Tabla2[[#This Row],[FECHA DE FACTURACIÓN]]</f>
        <v>504</v>
      </c>
      <c r="U1567" t="str">
        <f>+IF(Tabla2[[#This Row],[dias de credito]]&gt;=Tabla2[[#This Row],[PLAZO Días]],"venc", "No venc")</f>
        <v>venc</v>
      </c>
      <c r="V1567" t="str">
        <f>+IF(Tabla2[[#This Row],[FECHA DE PAGO]]&gt;0,"pagada","por pagar")</f>
        <v>pagada</v>
      </c>
      <c r="W1567" s="152" t="str">
        <f>+IF(AND(Tabla2[[#This Row],[venc]]="venc",Tabla2[[#This Row],[Columna1]]="por pagar"),"vencida","no")</f>
        <v>no</v>
      </c>
    </row>
    <row r="1568" spans="1:23" x14ac:dyDescent="0.3">
      <c r="A1568">
        <v>45</v>
      </c>
      <c r="B1568">
        <v>7497238</v>
      </c>
      <c r="D1568" t="s">
        <v>272</v>
      </c>
      <c r="E1568" s="156">
        <v>44351</v>
      </c>
      <c r="F1568" t="s">
        <v>10</v>
      </c>
      <c r="G1568" s="156">
        <v>44300</v>
      </c>
      <c r="H1568" t="s">
        <v>297</v>
      </c>
      <c r="I1568">
        <v>990000</v>
      </c>
      <c r="K1568">
        <v>188100</v>
      </c>
      <c r="M1568">
        <v>0</v>
      </c>
      <c r="N1568">
        <v>0</v>
      </c>
      <c r="O1568">
        <v>0</v>
      </c>
      <c r="P1568" s="117">
        <v>1178100</v>
      </c>
      <c r="Q1568" s="117" t="s">
        <v>1021</v>
      </c>
      <c r="R1568" s="150">
        <v>0</v>
      </c>
      <c r="S1568" s="117" t="b">
        <f>OR(COUNTIF(Tabla2[[#This Row],[PROVEEDOR]],"*"&amp;'Palabra no opera'!$A$2&amp;"*"))</f>
        <v>0</v>
      </c>
      <c r="T1568" s="150">
        <f>+$W$5-Tabla2[[#This Row],[FECHA DE FACTURACIÓN]]</f>
        <v>534</v>
      </c>
      <c r="U1568" t="str">
        <f>+IF(Tabla2[[#This Row],[dias de credito]]&gt;=Tabla2[[#This Row],[PLAZO Días]],"venc", "No venc")</f>
        <v>venc</v>
      </c>
      <c r="V1568" t="str">
        <f>+IF(Tabla2[[#This Row],[FECHA DE PAGO]]&gt;0,"pagada","por pagar")</f>
        <v>pagada</v>
      </c>
      <c r="W1568" s="152" t="str">
        <f>+IF(AND(Tabla2[[#This Row],[venc]]="venc",Tabla2[[#This Row],[Columna1]]="por pagar"),"vencida","no")</f>
        <v>no</v>
      </c>
    </row>
    <row r="1569" spans="1:23" x14ac:dyDescent="0.3">
      <c r="A1569">
        <v>45</v>
      </c>
      <c r="B1569">
        <v>7497238</v>
      </c>
      <c r="D1569" t="s">
        <v>272</v>
      </c>
      <c r="E1569" s="156">
        <v>44351</v>
      </c>
      <c r="F1569" t="s">
        <v>10</v>
      </c>
      <c r="G1569" s="156">
        <v>44273</v>
      </c>
      <c r="H1569" t="s">
        <v>243</v>
      </c>
      <c r="I1569">
        <v>3460000</v>
      </c>
      <c r="K1569">
        <v>657400</v>
      </c>
      <c r="M1569">
        <v>0</v>
      </c>
      <c r="N1569">
        <v>0</v>
      </c>
      <c r="O1569">
        <v>0</v>
      </c>
      <c r="P1569" s="117">
        <v>4117400</v>
      </c>
      <c r="Q1569" s="117" t="s">
        <v>1021</v>
      </c>
      <c r="R1569" s="150">
        <v>0</v>
      </c>
      <c r="S1569" s="117" t="b">
        <f>OR(COUNTIF(Tabla2[[#This Row],[PROVEEDOR]],"*"&amp;'Palabra no opera'!$A$2&amp;"*"))</f>
        <v>0</v>
      </c>
      <c r="T1569" s="150">
        <f>+$W$5-Tabla2[[#This Row],[FECHA DE FACTURACIÓN]]</f>
        <v>561</v>
      </c>
      <c r="U1569" t="str">
        <f>+IF(Tabla2[[#This Row],[dias de credito]]&gt;=Tabla2[[#This Row],[PLAZO Días]],"venc", "No venc")</f>
        <v>venc</v>
      </c>
      <c r="V1569" t="str">
        <f>+IF(Tabla2[[#This Row],[FECHA DE PAGO]]&gt;0,"pagada","por pagar")</f>
        <v>pagada</v>
      </c>
      <c r="W1569" s="152" t="str">
        <f>+IF(AND(Tabla2[[#This Row],[venc]]="venc",Tabla2[[#This Row],[Columna1]]="por pagar"),"vencida","no")</f>
        <v>no</v>
      </c>
    </row>
    <row r="1570" spans="1:23" x14ac:dyDescent="0.3">
      <c r="A1570">
        <v>90</v>
      </c>
      <c r="B1570">
        <v>5541947.6899999995</v>
      </c>
      <c r="D1570" t="s">
        <v>253</v>
      </c>
      <c r="E1570" s="156">
        <v>44351</v>
      </c>
      <c r="F1570" t="s">
        <v>12</v>
      </c>
      <c r="G1570" s="156">
        <v>44193</v>
      </c>
      <c r="H1570" t="s">
        <v>328</v>
      </c>
      <c r="I1570">
        <v>-25210.084033613399</v>
      </c>
      <c r="K1570">
        <v>-4789.9159663865457</v>
      </c>
      <c r="M1570">
        <v>0</v>
      </c>
      <c r="N1570">
        <v>0</v>
      </c>
      <c r="O1570">
        <v>0</v>
      </c>
      <c r="P1570" s="117">
        <v>-29999.999999999945</v>
      </c>
      <c r="Q1570" s="117" t="s">
        <v>1021</v>
      </c>
      <c r="R1570" s="150">
        <v>0</v>
      </c>
      <c r="S1570" s="117" t="b">
        <f>OR(COUNTIF(Tabla2[[#This Row],[PROVEEDOR]],"*"&amp;'Palabra no opera'!$A$2&amp;"*"))</f>
        <v>0</v>
      </c>
      <c r="T1570" s="150">
        <f>+$W$5-Tabla2[[#This Row],[FECHA DE FACTURACIÓN]]</f>
        <v>641</v>
      </c>
      <c r="U1570" t="str">
        <f>+IF(Tabla2[[#This Row],[dias de credito]]&gt;=Tabla2[[#This Row],[PLAZO Días]],"venc", "No venc")</f>
        <v>venc</v>
      </c>
      <c r="V1570" t="str">
        <f>+IF(Tabla2[[#This Row],[FECHA DE PAGO]]&gt;0,"pagada","por pagar")</f>
        <v>pagada</v>
      </c>
      <c r="W1570" s="152" t="str">
        <f>+IF(AND(Tabla2[[#This Row],[venc]]="venc",Tabla2[[#This Row],[Columna1]]="por pagar"),"vencida","no")</f>
        <v>no</v>
      </c>
    </row>
    <row r="1571" spans="1:23" x14ac:dyDescent="0.3">
      <c r="A1571">
        <v>90</v>
      </c>
      <c r="B1571">
        <v>5541947.6899999995</v>
      </c>
      <c r="D1571" t="s">
        <v>253</v>
      </c>
      <c r="E1571" s="156">
        <v>44351</v>
      </c>
      <c r="F1571" t="s">
        <v>12</v>
      </c>
      <c r="G1571" s="156">
        <v>44185</v>
      </c>
      <c r="H1571" t="s">
        <v>95</v>
      </c>
      <c r="I1571">
        <v>12248739.529411765</v>
      </c>
      <c r="K1571">
        <v>2327260.5105882352</v>
      </c>
      <c r="M1571">
        <v>0</v>
      </c>
      <c r="N1571">
        <v>2.5000000000000001E-2</v>
      </c>
      <c r="O1571">
        <v>306218.48823529412</v>
      </c>
      <c r="P1571" s="117">
        <v>14269781.551764704</v>
      </c>
      <c r="Q1571" s="117" t="s">
        <v>1021</v>
      </c>
      <c r="R1571" s="150">
        <v>0</v>
      </c>
      <c r="S1571" s="117" t="b">
        <f>OR(COUNTIF(Tabla2[[#This Row],[PROVEEDOR]],"*"&amp;'Palabra no opera'!$A$2&amp;"*"))</f>
        <v>0</v>
      </c>
      <c r="T1571" s="150">
        <f>+$W$5-Tabla2[[#This Row],[FECHA DE FACTURACIÓN]]</f>
        <v>649</v>
      </c>
      <c r="U1571" t="str">
        <f>+IF(Tabla2[[#This Row],[dias de credito]]&gt;=Tabla2[[#This Row],[PLAZO Días]],"venc", "No venc")</f>
        <v>venc</v>
      </c>
      <c r="V1571" t="str">
        <f>+IF(Tabla2[[#This Row],[FECHA DE PAGO]]&gt;0,"pagada","por pagar")</f>
        <v>pagada</v>
      </c>
      <c r="W1571" s="152" t="str">
        <f>+IF(AND(Tabla2[[#This Row],[venc]]="venc",Tabla2[[#This Row],[Columna1]]="por pagar"),"vencida","no")</f>
        <v>no</v>
      </c>
    </row>
    <row r="1572" spans="1:23" x14ac:dyDescent="0.3">
      <c r="A1572">
        <v>90</v>
      </c>
      <c r="B1572">
        <v>5541947.6899999995</v>
      </c>
      <c r="D1572" t="s">
        <v>253</v>
      </c>
      <c r="E1572" s="156">
        <v>44351</v>
      </c>
      <c r="F1572" t="s">
        <v>12</v>
      </c>
      <c r="G1572" s="156">
        <v>44185</v>
      </c>
      <c r="H1572" t="s">
        <v>96</v>
      </c>
      <c r="I1572">
        <v>5804201.6890756302</v>
      </c>
      <c r="K1572">
        <v>1102798.3209243699</v>
      </c>
      <c r="M1572">
        <v>0</v>
      </c>
      <c r="N1572">
        <v>2.5000000000000001E-2</v>
      </c>
      <c r="O1572">
        <v>145105.04222689077</v>
      </c>
      <c r="P1572" s="117">
        <v>6761894.9677731087</v>
      </c>
      <c r="Q1572" s="117" t="s">
        <v>1021</v>
      </c>
      <c r="R1572" s="150">
        <v>0</v>
      </c>
      <c r="S1572" s="117" t="b">
        <f>OR(COUNTIF(Tabla2[[#This Row],[PROVEEDOR]],"*"&amp;'Palabra no opera'!$A$2&amp;"*"))</f>
        <v>0</v>
      </c>
      <c r="T1572" s="150">
        <f>+$W$5-Tabla2[[#This Row],[FECHA DE FACTURACIÓN]]</f>
        <v>649</v>
      </c>
      <c r="U1572" t="str">
        <f>+IF(Tabla2[[#This Row],[dias de credito]]&gt;=Tabla2[[#This Row],[PLAZO Días]],"venc", "No venc")</f>
        <v>venc</v>
      </c>
      <c r="V1572" t="str">
        <f>+IF(Tabla2[[#This Row],[FECHA DE PAGO]]&gt;0,"pagada","por pagar")</f>
        <v>pagada</v>
      </c>
      <c r="W1572" s="152" t="str">
        <f>+IF(AND(Tabla2[[#This Row],[venc]]="venc",Tabla2[[#This Row],[Columna1]]="por pagar"),"vencida","no")</f>
        <v>no</v>
      </c>
    </row>
    <row r="1573" spans="1:23" x14ac:dyDescent="0.3">
      <c r="A1573">
        <v>30</v>
      </c>
      <c r="B1573">
        <v>0</v>
      </c>
      <c r="D1573" t="s">
        <v>139</v>
      </c>
      <c r="E1573" s="156">
        <v>44350</v>
      </c>
      <c r="F1573" t="s">
        <v>635</v>
      </c>
      <c r="G1573" s="156">
        <v>44350</v>
      </c>
      <c r="H1573" t="s">
        <v>1244</v>
      </c>
      <c r="I1573">
        <v>510000</v>
      </c>
      <c r="K1573">
        <v>0</v>
      </c>
      <c r="M1573">
        <v>0</v>
      </c>
      <c r="N1573">
        <v>0</v>
      </c>
      <c r="O1573">
        <v>0</v>
      </c>
      <c r="P1573" s="117">
        <v>510000</v>
      </c>
      <c r="Q1573" s="117" t="s">
        <v>1021</v>
      </c>
      <c r="R1573" s="150">
        <v>0</v>
      </c>
      <c r="S1573" s="117" t="b">
        <f>OR(COUNTIF(Tabla2[[#This Row],[PROVEEDOR]],"*"&amp;'Palabra no opera'!$A$2&amp;"*"))</f>
        <v>0</v>
      </c>
      <c r="T1573" s="150">
        <f>+$W$5-Tabla2[[#This Row],[FECHA DE FACTURACIÓN]]</f>
        <v>484</v>
      </c>
      <c r="U1573" t="str">
        <f>+IF(Tabla2[[#This Row],[dias de credito]]&gt;=Tabla2[[#This Row],[PLAZO Días]],"venc", "No venc")</f>
        <v>venc</v>
      </c>
      <c r="V1573" t="str">
        <f>+IF(Tabla2[[#This Row],[FECHA DE PAGO]]&gt;0,"pagada","por pagar")</f>
        <v>pagada</v>
      </c>
      <c r="W1573" s="152" t="str">
        <f>+IF(AND(Tabla2[[#This Row],[venc]]="venc",Tabla2[[#This Row],[Columna1]]="por pagar"),"vencida","no")</f>
        <v>no</v>
      </c>
    </row>
    <row r="1574" spans="1:23" x14ac:dyDescent="0.3">
      <c r="A1574">
        <v>30</v>
      </c>
      <c r="B1574">
        <v>0</v>
      </c>
      <c r="D1574" t="s">
        <v>333</v>
      </c>
      <c r="E1574" s="156">
        <v>44348</v>
      </c>
      <c r="F1574" t="s">
        <v>926</v>
      </c>
      <c r="G1574" s="156">
        <v>44336</v>
      </c>
      <c r="H1574" t="s">
        <v>1232</v>
      </c>
      <c r="I1574">
        <v>1500000</v>
      </c>
      <c r="K1574">
        <v>285000</v>
      </c>
      <c r="M1574">
        <v>0</v>
      </c>
      <c r="N1574">
        <v>0.11</v>
      </c>
      <c r="O1574">
        <v>165000</v>
      </c>
      <c r="P1574" s="117">
        <v>1620000</v>
      </c>
      <c r="Q1574" s="117" t="s">
        <v>1021</v>
      </c>
      <c r="R1574" s="150">
        <v>0</v>
      </c>
      <c r="S1574" s="117" t="b">
        <f>OR(COUNTIF(Tabla2[[#This Row],[PROVEEDOR]],"*"&amp;'Palabra no opera'!$A$2&amp;"*"))</f>
        <v>1</v>
      </c>
      <c r="T1574" s="150">
        <f>+$W$5-Tabla2[[#This Row],[FECHA DE FACTURACIÓN]]</f>
        <v>498</v>
      </c>
      <c r="U1574" t="str">
        <f>+IF(Tabla2[[#This Row],[dias de credito]]&gt;=Tabla2[[#This Row],[PLAZO Días]],"venc", "No venc")</f>
        <v>venc</v>
      </c>
      <c r="V1574" t="str">
        <f>+IF(Tabla2[[#This Row],[FECHA DE PAGO]]&gt;0,"pagada","por pagar")</f>
        <v>pagada</v>
      </c>
      <c r="W1574" s="152" t="str">
        <f>+IF(AND(Tabla2[[#This Row],[venc]]="venc",Tabla2[[#This Row],[Columna1]]="por pagar"),"vencida","no")</f>
        <v>no</v>
      </c>
    </row>
    <row r="1575" spans="1:23" x14ac:dyDescent="0.3">
      <c r="A1575">
        <v>30</v>
      </c>
      <c r="B1575">
        <v>19675613.1195</v>
      </c>
      <c r="D1575" t="s">
        <v>256</v>
      </c>
      <c r="E1575" s="156">
        <v>44348</v>
      </c>
      <c r="F1575" t="s">
        <v>318</v>
      </c>
      <c r="G1575" s="156">
        <v>44320</v>
      </c>
      <c r="H1575">
        <v>1037460</v>
      </c>
      <c r="I1575">
        <v>850000</v>
      </c>
      <c r="K1575">
        <v>161500</v>
      </c>
      <c r="M1575">
        <v>0</v>
      </c>
      <c r="N1575">
        <v>0</v>
      </c>
      <c r="O1575">
        <v>0</v>
      </c>
      <c r="P1575" s="117">
        <v>1011500</v>
      </c>
      <c r="Q1575" s="117" t="s">
        <v>1021</v>
      </c>
      <c r="R1575" s="150">
        <v>0</v>
      </c>
      <c r="S1575" s="117" t="b">
        <f>OR(COUNTIF(Tabla2[[#This Row],[PROVEEDOR]],"*"&amp;'Palabra no opera'!$A$2&amp;"*"))</f>
        <v>0</v>
      </c>
      <c r="T1575" s="150">
        <f>+$W$5-Tabla2[[#This Row],[FECHA DE FACTURACIÓN]]</f>
        <v>514</v>
      </c>
      <c r="U1575" t="str">
        <f>+IF(Tabla2[[#This Row],[dias de credito]]&gt;=Tabla2[[#This Row],[PLAZO Días]],"venc", "No venc")</f>
        <v>venc</v>
      </c>
      <c r="V1575" t="str">
        <f>+IF(Tabla2[[#This Row],[FECHA DE PAGO]]&gt;0,"pagada","por pagar")</f>
        <v>pagada</v>
      </c>
      <c r="W1575" s="152" t="str">
        <f>+IF(AND(Tabla2[[#This Row],[venc]]="venc",Tabla2[[#This Row],[Columna1]]="por pagar"),"vencida","no")</f>
        <v>no</v>
      </c>
    </row>
    <row r="1576" spans="1:23" x14ac:dyDescent="0.3">
      <c r="A1576">
        <v>30</v>
      </c>
      <c r="B1576">
        <v>0</v>
      </c>
      <c r="D1576" t="s">
        <v>139</v>
      </c>
      <c r="E1576" s="156">
        <v>44348</v>
      </c>
      <c r="F1576" t="s">
        <v>652</v>
      </c>
      <c r="G1576" s="156">
        <v>44318</v>
      </c>
      <c r="H1576" t="s">
        <v>1220</v>
      </c>
      <c r="I1576">
        <v>464000</v>
      </c>
      <c r="K1576">
        <v>0</v>
      </c>
      <c r="M1576">
        <v>0</v>
      </c>
      <c r="N1576">
        <v>0</v>
      </c>
      <c r="O1576">
        <v>0</v>
      </c>
      <c r="P1576" s="117">
        <v>464000</v>
      </c>
      <c r="Q1576" s="117" t="s">
        <v>1021</v>
      </c>
      <c r="R1576" s="150">
        <v>0</v>
      </c>
      <c r="S1576" s="117" t="b">
        <f>OR(COUNTIF(Tabla2[[#This Row],[PROVEEDOR]],"*"&amp;'Palabra no opera'!$A$2&amp;"*"))</f>
        <v>0</v>
      </c>
      <c r="T1576" s="150">
        <f>+$W$5-Tabla2[[#This Row],[FECHA DE FACTURACIÓN]]</f>
        <v>516</v>
      </c>
      <c r="U1576" t="str">
        <f>+IF(Tabla2[[#This Row],[dias de credito]]&gt;=Tabla2[[#This Row],[PLAZO Días]],"venc", "No venc")</f>
        <v>venc</v>
      </c>
      <c r="V1576" t="str">
        <f>+IF(Tabla2[[#This Row],[FECHA DE PAGO]]&gt;0,"pagada","por pagar")</f>
        <v>pagada</v>
      </c>
      <c r="W1576" s="152" t="str">
        <f>+IF(AND(Tabla2[[#This Row],[venc]]="venc",Tabla2[[#This Row],[Columna1]]="por pagar"),"vencida","no")</f>
        <v>no</v>
      </c>
    </row>
    <row r="1577" spans="1:23" x14ac:dyDescent="0.3">
      <c r="A1577">
        <v>30</v>
      </c>
      <c r="B1577">
        <v>8190204</v>
      </c>
      <c r="D1577" t="s">
        <v>263</v>
      </c>
      <c r="E1577" s="156">
        <v>44348</v>
      </c>
      <c r="F1577" t="s">
        <v>1637</v>
      </c>
      <c r="G1577" s="156">
        <v>44307</v>
      </c>
      <c r="H1577">
        <v>20716</v>
      </c>
      <c r="I1577">
        <v>1928928</v>
      </c>
      <c r="J1577">
        <v>133188</v>
      </c>
      <c r="K1577">
        <v>341190.6</v>
      </c>
      <c r="M1577">
        <v>0</v>
      </c>
      <c r="N1577">
        <v>2.5000000000000001E-2</v>
      </c>
      <c r="O1577">
        <v>44893.5</v>
      </c>
      <c r="P1577" s="117">
        <v>2092037.1</v>
      </c>
      <c r="Q1577" s="117" t="s">
        <v>1021</v>
      </c>
      <c r="R1577" s="150">
        <v>0</v>
      </c>
      <c r="S1577" s="117" t="b">
        <f>OR(COUNTIF(Tabla2[[#This Row],[PROVEEDOR]],"*"&amp;'Palabra no opera'!$A$2&amp;"*"))</f>
        <v>0</v>
      </c>
      <c r="T1577" s="150">
        <f>+$W$5-Tabla2[[#This Row],[FECHA DE FACTURACIÓN]]</f>
        <v>527</v>
      </c>
      <c r="U1577" t="str">
        <f>+IF(Tabla2[[#This Row],[dias de credito]]&gt;=Tabla2[[#This Row],[PLAZO Días]],"venc", "No venc")</f>
        <v>venc</v>
      </c>
      <c r="V1577" t="str">
        <f>+IF(Tabla2[[#This Row],[FECHA DE PAGO]]&gt;0,"pagada","por pagar")</f>
        <v>pagada</v>
      </c>
      <c r="W1577" s="152" t="str">
        <f>+IF(AND(Tabla2[[#This Row],[venc]]="venc",Tabla2[[#This Row],[Columna1]]="por pagar"),"vencida","no")</f>
        <v>no</v>
      </c>
    </row>
    <row r="1578" spans="1:23" x14ac:dyDescent="0.3">
      <c r="A1578">
        <v>30</v>
      </c>
      <c r="B1578">
        <v>4656887.12</v>
      </c>
      <c r="D1578" t="s">
        <v>170</v>
      </c>
      <c r="E1578" s="156">
        <v>44348</v>
      </c>
      <c r="F1578" t="s">
        <v>20</v>
      </c>
      <c r="G1578" s="156">
        <v>44306</v>
      </c>
      <c r="H1578">
        <v>3909</v>
      </c>
      <c r="I1578">
        <v>898920</v>
      </c>
      <c r="K1578">
        <v>170794.8</v>
      </c>
      <c r="M1578">
        <v>0</v>
      </c>
      <c r="N1578">
        <v>0</v>
      </c>
      <c r="O1578">
        <v>0</v>
      </c>
      <c r="P1578" s="117">
        <v>1069714.8</v>
      </c>
      <c r="Q1578" s="117" t="s">
        <v>1021</v>
      </c>
      <c r="R1578" s="150">
        <v>0</v>
      </c>
      <c r="S1578" s="117" t="b">
        <f>OR(COUNTIF(Tabla2[[#This Row],[PROVEEDOR]],"*"&amp;'Palabra no opera'!$A$2&amp;"*"))</f>
        <v>0</v>
      </c>
      <c r="T1578" s="150">
        <f>+$W$5-Tabla2[[#This Row],[FECHA DE FACTURACIÓN]]</f>
        <v>528</v>
      </c>
      <c r="U1578" t="str">
        <f>+IF(Tabla2[[#This Row],[dias de credito]]&gt;=Tabla2[[#This Row],[PLAZO Días]],"venc", "No venc")</f>
        <v>venc</v>
      </c>
      <c r="V1578" t="str">
        <f>+IF(Tabla2[[#This Row],[FECHA DE PAGO]]&gt;0,"pagada","por pagar")</f>
        <v>pagada</v>
      </c>
      <c r="W1578" s="152" t="str">
        <f>+IF(AND(Tabla2[[#This Row],[venc]]="venc",Tabla2[[#This Row],[Columna1]]="por pagar"),"vencida","no")</f>
        <v>no</v>
      </c>
    </row>
    <row r="1579" spans="1:23" x14ac:dyDescent="0.3">
      <c r="A1579">
        <v>30</v>
      </c>
      <c r="B1579">
        <v>0</v>
      </c>
      <c r="D1579" t="s">
        <v>622</v>
      </c>
      <c r="E1579" s="156">
        <v>44348</v>
      </c>
      <c r="F1579" t="s">
        <v>623</v>
      </c>
      <c r="G1579" s="156">
        <v>44299</v>
      </c>
      <c r="H1579" t="s">
        <v>1208</v>
      </c>
      <c r="I1579">
        <v>2550000</v>
      </c>
      <c r="K1579">
        <v>0</v>
      </c>
      <c r="M1579">
        <v>0</v>
      </c>
      <c r="N1579">
        <v>0</v>
      </c>
      <c r="O1579">
        <v>0</v>
      </c>
      <c r="P1579" s="117">
        <v>2550000</v>
      </c>
      <c r="Q1579" s="117" t="s">
        <v>1021</v>
      </c>
      <c r="R1579" s="150">
        <v>0</v>
      </c>
      <c r="S1579" s="117" t="b">
        <f>OR(COUNTIF(Tabla2[[#This Row],[PROVEEDOR]],"*"&amp;'Palabra no opera'!$A$2&amp;"*"))</f>
        <v>0</v>
      </c>
      <c r="T1579" s="150">
        <f>+$W$5-Tabla2[[#This Row],[FECHA DE FACTURACIÓN]]</f>
        <v>535</v>
      </c>
      <c r="U1579" t="str">
        <f>+IF(Tabla2[[#This Row],[dias de credito]]&gt;=Tabla2[[#This Row],[PLAZO Días]],"venc", "No venc")</f>
        <v>venc</v>
      </c>
      <c r="V1579" t="str">
        <f>+IF(Tabla2[[#This Row],[FECHA DE PAGO]]&gt;0,"pagada","por pagar")</f>
        <v>pagada</v>
      </c>
      <c r="W1579" s="152" t="str">
        <f>+IF(AND(Tabla2[[#This Row],[venc]]="venc",Tabla2[[#This Row],[Columna1]]="por pagar"),"vencida","no")</f>
        <v>no</v>
      </c>
    </row>
    <row r="1580" spans="1:23" x14ac:dyDescent="0.3">
      <c r="A1580">
        <v>30</v>
      </c>
      <c r="B1580">
        <v>8457900</v>
      </c>
      <c r="D1580" t="s">
        <v>1027</v>
      </c>
      <c r="E1580" s="156">
        <v>44348</v>
      </c>
      <c r="F1580" t="s">
        <v>11</v>
      </c>
      <c r="G1580" s="156">
        <v>44292</v>
      </c>
      <c r="H1580" t="s">
        <v>293</v>
      </c>
      <c r="I1580">
        <v>912101</v>
      </c>
      <c r="K1580">
        <v>173299.19</v>
      </c>
      <c r="M1580">
        <v>0</v>
      </c>
      <c r="N1580">
        <v>0</v>
      </c>
      <c r="O1580">
        <v>0</v>
      </c>
      <c r="P1580" s="117">
        <v>1085400.19</v>
      </c>
      <c r="Q1580" s="117" t="s">
        <v>1021</v>
      </c>
      <c r="R1580" s="150">
        <v>0</v>
      </c>
      <c r="S1580" s="117" t="b">
        <f>OR(COUNTIF(Tabla2[[#This Row],[PROVEEDOR]],"*"&amp;'Palabra no opera'!$A$2&amp;"*"))</f>
        <v>0</v>
      </c>
      <c r="T1580" s="150">
        <f>+$W$5-Tabla2[[#This Row],[FECHA DE FACTURACIÓN]]</f>
        <v>542</v>
      </c>
      <c r="U1580" t="str">
        <f>+IF(Tabla2[[#This Row],[dias de credito]]&gt;=Tabla2[[#This Row],[PLAZO Días]],"venc", "No venc")</f>
        <v>venc</v>
      </c>
      <c r="V1580" t="str">
        <f>+IF(Tabla2[[#This Row],[FECHA DE PAGO]]&gt;0,"pagada","por pagar")</f>
        <v>pagada</v>
      </c>
      <c r="W1580" s="152" t="str">
        <f>+IF(AND(Tabla2[[#This Row],[venc]]="venc",Tabla2[[#This Row],[Columna1]]="por pagar"),"vencida","no")</f>
        <v>no</v>
      </c>
    </row>
    <row r="1581" spans="1:23" x14ac:dyDescent="0.3">
      <c r="A1581">
        <v>30</v>
      </c>
      <c r="B1581">
        <v>8190204</v>
      </c>
      <c r="D1581" t="s">
        <v>263</v>
      </c>
      <c r="E1581" s="156">
        <v>44348</v>
      </c>
      <c r="F1581" t="s">
        <v>1637</v>
      </c>
      <c r="G1581" s="156">
        <v>44280</v>
      </c>
      <c r="H1581" t="s">
        <v>317</v>
      </c>
      <c r="I1581">
        <v>-384000</v>
      </c>
      <c r="K1581">
        <v>-72960</v>
      </c>
      <c r="M1581">
        <v>0</v>
      </c>
      <c r="N1581">
        <v>0</v>
      </c>
      <c r="O1581">
        <v>0</v>
      </c>
      <c r="P1581" s="117">
        <v>-456960</v>
      </c>
      <c r="Q1581" s="117" t="s">
        <v>1021</v>
      </c>
      <c r="R1581" s="150">
        <v>0</v>
      </c>
      <c r="S1581" s="117" t="b">
        <f>OR(COUNTIF(Tabla2[[#This Row],[PROVEEDOR]],"*"&amp;'Palabra no opera'!$A$2&amp;"*"))</f>
        <v>0</v>
      </c>
      <c r="T1581" s="150">
        <f>+$W$5-Tabla2[[#This Row],[FECHA DE FACTURACIÓN]]</f>
        <v>554</v>
      </c>
      <c r="U1581" t="str">
        <f>+IF(Tabla2[[#This Row],[dias de credito]]&gt;=Tabla2[[#This Row],[PLAZO Días]],"venc", "No venc")</f>
        <v>venc</v>
      </c>
      <c r="V1581" t="str">
        <f>+IF(Tabla2[[#This Row],[FECHA DE PAGO]]&gt;0,"pagada","por pagar")</f>
        <v>pagada</v>
      </c>
      <c r="W1581" s="152" t="str">
        <f>+IF(AND(Tabla2[[#This Row],[venc]]="venc",Tabla2[[#This Row],[Columna1]]="por pagar"),"vencida","no")</f>
        <v>no</v>
      </c>
    </row>
    <row r="1582" spans="1:23" x14ac:dyDescent="0.3">
      <c r="A1582">
        <v>30</v>
      </c>
      <c r="B1582">
        <v>8190204</v>
      </c>
      <c r="D1582" t="s">
        <v>263</v>
      </c>
      <c r="E1582" s="156">
        <v>44348</v>
      </c>
      <c r="F1582" t="s">
        <v>1637</v>
      </c>
      <c r="G1582" s="156">
        <v>44279</v>
      </c>
      <c r="H1582">
        <v>20403</v>
      </c>
      <c r="I1582">
        <v>1417944</v>
      </c>
      <c r="K1582">
        <v>269409.36</v>
      </c>
      <c r="M1582">
        <v>0</v>
      </c>
      <c r="N1582">
        <v>2.5000000000000001E-2</v>
      </c>
      <c r="O1582">
        <v>35448.6</v>
      </c>
      <c r="P1582" s="117">
        <v>1651904.7599999998</v>
      </c>
      <c r="Q1582" s="117" t="s">
        <v>1021</v>
      </c>
      <c r="R1582" s="150">
        <v>0</v>
      </c>
      <c r="S1582" s="117" t="b">
        <f>OR(COUNTIF(Tabla2[[#This Row],[PROVEEDOR]],"*"&amp;'Palabra no opera'!$A$2&amp;"*"))</f>
        <v>0</v>
      </c>
      <c r="T1582" s="150">
        <f>+$W$5-Tabla2[[#This Row],[FECHA DE FACTURACIÓN]]</f>
        <v>555</v>
      </c>
      <c r="U1582" t="str">
        <f>+IF(Tabla2[[#This Row],[dias de credito]]&gt;=Tabla2[[#This Row],[PLAZO Días]],"venc", "No venc")</f>
        <v>venc</v>
      </c>
      <c r="V1582" t="str">
        <f>+IF(Tabla2[[#This Row],[FECHA DE PAGO]]&gt;0,"pagada","por pagar")</f>
        <v>pagada</v>
      </c>
      <c r="W1582" s="152" t="str">
        <f>+IF(AND(Tabla2[[#This Row],[venc]]="venc",Tabla2[[#This Row],[Columna1]]="por pagar"),"vencida","no")</f>
        <v>no</v>
      </c>
    </row>
    <row r="1583" spans="1:23" x14ac:dyDescent="0.3">
      <c r="A1583">
        <v>30</v>
      </c>
      <c r="B1583">
        <v>0</v>
      </c>
      <c r="D1583" t="s">
        <v>291</v>
      </c>
      <c r="E1583" s="156">
        <v>44348</v>
      </c>
      <c r="F1583" t="s">
        <v>26</v>
      </c>
      <c r="G1583" s="156">
        <v>44274</v>
      </c>
      <c r="H1583" t="s">
        <v>241</v>
      </c>
      <c r="I1583">
        <v>1100000</v>
      </c>
      <c r="K1583">
        <v>209000</v>
      </c>
      <c r="M1583">
        <v>0</v>
      </c>
      <c r="N1583">
        <v>2.5000000000000001E-2</v>
      </c>
      <c r="O1583">
        <v>27500</v>
      </c>
      <c r="P1583" s="117">
        <v>1281500</v>
      </c>
      <c r="Q1583" s="117" t="s">
        <v>1021</v>
      </c>
      <c r="R1583" s="150">
        <v>0</v>
      </c>
      <c r="S1583" s="117" t="b">
        <f>OR(COUNTIF(Tabla2[[#This Row],[PROVEEDOR]],"*"&amp;'Palabra no opera'!$A$2&amp;"*"))</f>
        <v>0</v>
      </c>
      <c r="T1583" s="150">
        <f>+$W$5-Tabla2[[#This Row],[FECHA DE FACTURACIÓN]]</f>
        <v>560</v>
      </c>
      <c r="U1583" t="str">
        <f>+IF(Tabla2[[#This Row],[dias de credito]]&gt;=Tabla2[[#This Row],[PLAZO Días]],"venc", "No venc")</f>
        <v>venc</v>
      </c>
      <c r="V1583" t="str">
        <f>+IF(Tabla2[[#This Row],[FECHA DE PAGO]]&gt;0,"pagada","por pagar")</f>
        <v>pagada</v>
      </c>
      <c r="W1583" s="152" t="str">
        <f>+IF(AND(Tabla2[[#This Row],[venc]]="venc",Tabla2[[#This Row],[Columna1]]="por pagar"),"vencida","no")</f>
        <v>no</v>
      </c>
    </row>
    <row r="1584" spans="1:23" x14ac:dyDescent="0.3">
      <c r="A1584">
        <v>30</v>
      </c>
      <c r="B1584">
        <v>2111011.8149999999</v>
      </c>
      <c r="D1584" t="s">
        <v>251</v>
      </c>
      <c r="E1584" s="156">
        <v>44348</v>
      </c>
      <c r="F1584" t="s">
        <v>216</v>
      </c>
      <c r="G1584" s="156">
        <v>44274</v>
      </c>
      <c r="H1584">
        <v>219</v>
      </c>
      <c r="I1584">
        <v>1477310</v>
      </c>
      <c r="K1584">
        <v>280688.90000000002</v>
      </c>
      <c r="M1584">
        <v>0</v>
      </c>
      <c r="N1584">
        <v>2.5000000000000001E-2</v>
      </c>
      <c r="O1584">
        <v>36932.75</v>
      </c>
      <c r="P1584" s="117">
        <v>1721066.15</v>
      </c>
      <c r="Q1584" s="117" t="s">
        <v>1021</v>
      </c>
      <c r="R1584" s="150">
        <v>0</v>
      </c>
      <c r="S1584" s="117" t="b">
        <f>OR(COUNTIF(Tabla2[[#This Row],[PROVEEDOR]],"*"&amp;'Palabra no opera'!$A$2&amp;"*"))</f>
        <v>0</v>
      </c>
      <c r="T1584" s="150">
        <f>+$W$5-Tabla2[[#This Row],[FECHA DE FACTURACIÓN]]</f>
        <v>560</v>
      </c>
      <c r="U1584" t="str">
        <f>+IF(Tabla2[[#This Row],[dias de credito]]&gt;=Tabla2[[#This Row],[PLAZO Días]],"venc", "No venc")</f>
        <v>venc</v>
      </c>
      <c r="V1584" t="str">
        <f>+IF(Tabla2[[#This Row],[FECHA DE PAGO]]&gt;0,"pagada","por pagar")</f>
        <v>pagada</v>
      </c>
      <c r="W1584" s="152" t="str">
        <f>+IF(AND(Tabla2[[#This Row],[venc]]="venc",Tabla2[[#This Row],[Columna1]]="por pagar"),"vencida","no")</f>
        <v>no</v>
      </c>
    </row>
    <row r="1585" spans="1:23" x14ac:dyDescent="0.3">
      <c r="A1585">
        <v>30</v>
      </c>
      <c r="B1585">
        <v>8190204</v>
      </c>
      <c r="D1585" t="s">
        <v>263</v>
      </c>
      <c r="E1585" s="156">
        <v>44348</v>
      </c>
      <c r="F1585" t="s">
        <v>1637</v>
      </c>
      <c r="G1585" s="156">
        <v>44263</v>
      </c>
      <c r="H1585">
        <v>20217</v>
      </c>
      <c r="I1585">
        <v>1560000</v>
      </c>
      <c r="K1585">
        <v>296400</v>
      </c>
      <c r="M1585">
        <v>0</v>
      </c>
      <c r="N1585">
        <v>2.5000000000000001E-2</v>
      </c>
      <c r="O1585">
        <v>39000</v>
      </c>
      <c r="P1585" s="117">
        <v>1817400</v>
      </c>
      <c r="Q1585" s="117" t="s">
        <v>1021</v>
      </c>
      <c r="R1585" s="150">
        <v>0</v>
      </c>
      <c r="S1585" s="117" t="b">
        <f>OR(COUNTIF(Tabla2[[#This Row],[PROVEEDOR]],"*"&amp;'Palabra no opera'!$A$2&amp;"*"))</f>
        <v>0</v>
      </c>
      <c r="T1585" s="150">
        <f>+$W$5-Tabla2[[#This Row],[FECHA DE FACTURACIÓN]]</f>
        <v>571</v>
      </c>
      <c r="U1585" t="str">
        <f>+IF(Tabla2[[#This Row],[dias de credito]]&gt;=Tabla2[[#This Row],[PLAZO Días]],"venc", "No venc")</f>
        <v>venc</v>
      </c>
      <c r="V1585" t="str">
        <f>+IF(Tabla2[[#This Row],[FECHA DE PAGO]]&gt;0,"pagada","por pagar")</f>
        <v>pagada</v>
      </c>
      <c r="W1585" s="152" t="str">
        <f>+IF(AND(Tabla2[[#This Row],[venc]]="venc",Tabla2[[#This Row],[Columna1]]="por pagar"),"vencida","no")</f>
        <v>no</v>
      </c>
    </row>
    <row r="1586" spans="1:23" x14ac:dyDescent="0.3">
      <c r="A1586">
        <v>30</v>
      </c>
      <c r="B1586">
        <v>8190204</v>
      </c>
      <c r="D1586" t="s">
        <v>263</v>
      </c>
      <c r="E1586" s="156">
        <v>44348</v>
      </c>
      <c r="F1586" t="s">
        <v>1637</v>
      </c>
      <c r="G1586" s="156">
        <v>44253</v>
      </c>
      <c r="H1586">
        <v>20108</v>
      </c>
      <c r="I1586">
        <v>1018772</v>
      </c>
      <c r="K1586">
        <v>193566.68</v>
      </c>
      <c r="M1586">
        <v>0</v>
      </c>
      <c r="N1586">
        <v>2.5000000000000001E-2</v>
      </c>
      <c r="O1586">
        <v>25469.300000000003</v>
      </c>
      <c r="P1586" s="117">
        <v>1186869.3799999999</v>
      </c>
      <c r="Q1586" s="117" t="s">
        <v>1021</v>
      </c>
      <c r="R1586" s="150">
        <v>0</v>
      </c>
      <c r="S1586" s="117" t="b">
        <f>OR(COUNTIF(Tabla2[[#This Row],[PROVEEDOR]],"*"&amp;'Palabra no opera'!$A$2&amp;"*"))</f>
        <v>0</v>
      </c>
      <c r="T1586" s="150">
        <f>+$W$5-Tabla2[[#This Row],[FECHA DE FACTURACIÓN]]</f>
        <v>581</v>
      </c>
      <c r="U1586" t="str">
        <f>+IF(Tabla2[[#This Row],[dias de credito]]&gt;=Tabla2[[#This Row],[PLAZO Días]],"venc", "No venc")</f>
        <v>venc</v>
      </c>
      <c r="V1586" t="str">
        <f>+IF(Tabla2[[#This Row],[FECHA DE PAGO]]&gt;0,"pagada","por pagar")</f>
        <v>pagada</v>
      </c>
      <c r="W1586" s="152" t="str">
        <f>+IF(AND(Tabla2[[#This Row],[venc]]="venc",Tabla2[[#This Row],[Columna1]]="por pagar"),"vencida","no")</f>
        <v>no</v>
      </c>
    </row>
    <row r="1587" spans="1:23" x14ac:dyDescent="0.3">
      <c r="A1587">
        <v>30</v>
      </c>
      <c r="B1587">
        <v>0</v>
      </c>
      <c r="D1587" t="s">
        <v>261</v>
      </c>
      <c r="E1587" s="156">
        <v>44348</v>
      </c>
      <c r="F1587" t="s">
        <v>746</v>
      </c>
      <c r="G1587" s="156">
        <v>44244</v>
      </c>
      <c r="H1587">
        <v>830</v>
      </c>
      <c r="I1587">
        <v>738655.46</v>
      </c>
      <c r="K1587">
        <v>140344.5374</v>
      </c>
      <c r="M1587">
        <v>0</v>
      </c>
      <c r="N1587">
        <v>0</v>
      </c>
      <c r="O1587">
        <v>0</v>
      </c>
      <c r="P1587" s="117">
        <v>878999.99739999999</v>
      </c>
      <c r="Q1587" s="117" t="s">
        <v>1021</v>
      </c>
      <c r="R1587" s="150">
        <v>0</v>
      </c>
      <c r="S1587" s="117" t="b">
        <f>OR(COUNTIF(Tabla2[[#This Row],[PROVEEDOR]],"*"&amp;'Palabra no opera'!$A$2&amp;"*"))</f>
        <v>0</v>
      </c>
      <c r="T1587" s="150">
        <f>+$W$5-Tabla2[[#This Row],[FECHA DE FACTURACIÓN]]</f>
        <v>590</v>
      </c>
      <c r="U1587" t="str">
        <f>+IF(Tabla2[[#This Row],[dias de credito]]&gt;=Tabla2[[#This Row],[PLAZO Días]],"venc", "No venc")</f>
        <v>venc</v>
      </c>
      <c r="V1587" t="str">
        <f>+IF(Tabla2[[#This Row],[FECHA DE PAGO]]&gt;0,"pagada","por pagar")</f>
        <v>pagada</v>
      </c>
      <c r="W1587" s="152" t="str">
        <f>+IF(AND(Tabla2[[#This Row],[venc]]="venc",Tabla2[[#This Row],[Columna1]]="por pagar"),"vencida","no")</f>
        <v>no</v>
      </c>
    </row>
    <row r="1588" spans="1:23" x14ac:dyDescent="0.3">
      <c r="A1588">
        <v>30</v>
      </c>
      <c r="B1588">
        <v>0</v>
      </c>
      <c r="D1588" t="s">
        <v>139</v>
      </c>
      <c r="E1588" s="156">
        <v>44348</v>
      </c>
      <c r="F1588" t="s">
        <v>679</v>
      </c>
      <c r="G1588" s="156">
        <v>44230</v>
      </c>
      <c r="H1588">
        <v>4689</v>
      </c>
      <c r="I1588">
        <v>390000</v>
      </c>
      <c r="K1588">
        <v>0</v>
      </c>
      <c r="M1588">
        <v>0</v>
      </c>
      <c r="N1588">
        <v>0</v>
      </c>
      <c r="O1588">
        <v>0</v>
      </c>
      <c r="P1588" s="117">
        <v>390000</v>
      </c>
      <c r="Q1588" s="117" t="s">
        <v>1021</v>
      </c>
      <c r="R1588" s="150">
        <v>0</v>
      </c>
      <c r="S1588" s="117" t="b">
        <f>OR(COUNTIF(Tabla2[[#This Row],[PROVEEDOR]],"*"&amp;'Palabra no opera'!$A$2&amp;"*"))</f>
        <v>0</v>
      </c>
      <c r="T1588" s="150">
        <f>+$W$5-Tabla2[[#This Row],[FECHA DE FACTURACIÓN]]</f>
        <v>604</v>
      </c>
      <c r="U1588" t="str">
        <f>+IF(Tabla2[[#This Row],[dias de credito]]&gt;=Tabla2[[#This Row],[PLAZO Días]],"venc", "No venc")</f>
        <v>venc</v>
      </c>
      <c r="V1588" t="str">
        <f>+IF(Tabla2[[#This Row],[FECHA DE PAGO]]&gt;0,"pagada","por pagar")</f>
        <v>pagada</v>
      </c>
      <c r="W1588" s="152" t="str">
        <f>+IF(AND(Tabla2[[#This Row],[venc]]="venc",Tabla2[[#This Row],[Columna1]]="por pagar"),"vencida","no")</f>
        <v>no</v>
      </c>
    </row>
    <row r="1589" spans="1:23" x14ac:dyDescent="0.3">
      <c r="A1589">
        <v>30</v>
      </c>
      <c r="B1589">
        <v>2111011.8149999999</v>
      </c>
      <c r="D1589" t="s">
        <v>251</v>
      </c>
      <c r="E1589" s="156">
        <v>44348</v>
      </c>
      <c r="F1589" t="s">
        <v>216</v>
      </c>
      <c r="G1589" s="156">
        <v>44218</v>
      </c>
      <c r="H1589">
        <v>134</v>
      </c>
      <c r="I1589">
        <v>1112605</v>
      </c>
      <c r="K1589">
        <v>211394.95</v>
      </c>
      <c r="M1589">
        <v>0</v>
      </c>
      <c r="N1589">
        <v>2.5000000000000001E-2</v>
      </c>
      <c r="O1589">
        <v>27815.125</v>
      </c>
      <c r="P1589" s="117">
        <v>1296184.825</v>
      </c>
      <c r="Q1589" s="117" t="s">
        <v>1021</v>
      </c>
      <c r="R1589" s="150">
        <v>0</v>
      </c>
      <c r="S1589" s="117" t="b">
        <f>OR(COUNTIF(Tabla2[[#This Row],[PROVEEDOR]],"*"&amp;'Palabra no opera'!$A$2&amp;"*"))</f>
        <v>0</v>
      </c>
      <c r="T1589" s="150">
        <f>+$W$5-Tabla2[[#This Row],[FECHA DE FACTURACIÓN]]</f>
        <v>616</v>
      </c>
      <c r="U1589" t="str">
        <f>+IF(Tabla2[[#This Row],[dias de credito]]&gt;=Tabla2[[#This Row],[PLAZO Días]],"venc", "No venc")</f>
        <v>venc</v>
      </c>
      <c r="V1589" t="str">
        <f>+IF(Tabla2[[#This Row],[FECHA DE PAGO]]&gt;0,"pagada","por pagar")</f>
        <v>pagada</v>
      </c>
      <c r="W1589" s="152" t="str">
        <f>+IF(AND(Tabla2[[#This Row],[venc]]="venc",Tabla2[[#This Row],[Columna1]]="por pagar"),"vencida","no")</f>
        <v>no</v>
      </c>
    </row>
    <row r="1590" spans="1:23" x14ac:dyDescent="0.3">
      <c r="A1590">
        <v>30</v>
      </c>
      <c r="B1590">
        <v>0</v>
      </c>
      <c r="D1590" t="s">
        <v>139</v>
      </c>
      <c r="E1590" s="156">
        <v>44347</v>
      </c>
      <c r="F1590" t="s">
        <v>644</v>
      </c>
      <c r="G1590" s="156">
        <v>44347</v>
      </c>
      <c r="H1590" t="s">
        <v>596</v>
      </c>
      <c r="I1590">
        <v>0</v>
      </c>
      <c r="K1590">
        <v>0</v>
      </c>
      <c r="M1590">
        <v>0</v>
      </c>
      <c r="N1590">
        <v>0</v>
      </c>
      <c r="O1590">
        <v>0</v>
      </c>
      <c r="P1590" s="117">
        <v>0</v>
      </c>
      <c r="Q1590" s="117" t="s">
        <v>1021</v>
      </c>
      <c r="R1590" s="150">
        <v>0</v>
      </c>
      <c r="S1590" s="117" t="b">
        <f>OR(COUNTIF(Tabla2[[#This Row],[PROVEEDOR]],"*"&amp;'Palabra no opera'!$A$2&amp;"*"))</f>
        <v>0</v>
      </c>
      <c r="T1590" s="150">
        <f>+$W$5-Tabla2[[#This Row],[FECHA DE FACTURACIÓN]]</f>
        <v>487</v>
      </c>
      <c r="U1590" t="str">
        <f>+IF(Tabla2[[#This Row],[dias de credito]]&gt;=Tabla2[[#This Row],[PLAZO Días]],"venc", "No venc")</f>
        <v>venc</v>
      </c>
      <c r="V1590" t="str">
        <f>+IF(Tabla2[[#This Row],[FECHA DE PAGO]]&gt;0,"pagada","por pagar")</f>
        <v>pagada</v>
      </c>
      <c r="W1590" s="152" t="str">
        <f>+IF(AND(Tabla2[[#This Row],[venc]]="venc",Tabla2[[#This Row],[Columna1]]="por pagar"),"vencida","no")</f>
        <v>no</v>
      </c>
    </row>
    <row r="1591" spans="1:23" x14ac:dyDescent="0.3">
      <c r="A1591">
        <v>30</v>
      </c>
      <c r="B1591">
        <v>0</v>
      </c>
      <c r="D1591" t="s">
        <v>139</v>
      </c>
      <c r="E1591" s="156">
        <v>44347</v>
      </c>
      <c r="F1591" t="s">
        <v>644</v>
      </c>
      <c r="G1591" s="156">
        <v>44347</v>
      </c>
      <c r="H1591" t="s">
        <v>174</v>
      </c>
      <c r="I1591">
        <v>709000</v>
      </c>
      <c r="K1591">
        <v>0</v>
      </c>
      <c r="M1591">
        <v>0</v>
      </c>
      <c r="N1591">
        <v>0</v>
      </c>
      <c r="O1591">
        <v>0</v>
      </c>
      <c r="P1591" s="117">
        <v>709000</v>
      </c>
      <c r="Q1591" s="117" t="s">
        <v>1021</v>
      </c>
      <c r="R1591" s="150">
        <v>0</v>
      </c>
      <c r="S1591" s="117" t="b">
        <f>OR(COUNTIF(Tabla2[[#This Row],[PROVEEDOR]],"*"&amp;'Palabra no opera'!$A$2&amp;"*"))</f>
        <v>0</v>
      </c>
      <c r="T1591" s="150">
        <f>+$W$5-Tabla2[[#This Row],[FECHA DE FACTURACIÓN]]</f>
        <v>487</v>
      </c>
      <c r="U1591" t="str">
        <f>+IF(Tabla2[[#This Row],[dias de credito]]&gt;=Tabla2[[#This Row],[PLAZO Días]],"venc", "No venc")</f>
        <v>venc</v>
      </c>
      <c r="V1591" t="str">
        <f>+IF(Tabla2[[#This Row],[FECHA DE PAGO]]&gt;0,"pagada","por pagar")</f>
        <v>pagada</v>
      </c>
      <c r="W1591" s="152" t="str">
        <f>+IF(AND(Tabla2[[#This Row],[venc]]="venc",Tabla2[[#This Row],[Columna1]]="por pagar"),"vencida","no")</f>
        <v>no</v>
      </c>
    </row>
    <row r="1592" spans="1:23" x14ac:dyDescent="0.3">
      <c r="A1592">
        <v>30</v>
      </c>
      <c r="B1592">
        <v>0</v>
      </c>
      <c r="D1592" t="s">
        <v>139</v>
      </c>
      <c r="E1592" s="156">
        <v>44347</v>
      </c>
      <c r="F1592" t="s">
        <v>644</v>
      </c>
      <c r="G1592" s="156">
        <v>44347</v>
      </c>
      <c r="H1592" t="s">
        <v>597</v>
      </c>
      <c r="I1592">
        <v>1095000</v>
      </c>
      <c r="K1592">
        <v>0</v>
      </c>
      <c r="M1592">
        <v>0</v>
      </c>
      <c r="N1592">
        <v>0</v>
      </c>
      <c r="O1592">
        <v>0</v>
      </c>
      <c r="P1592" s="117">
        <v>1095000</v>
      </c>
      <c r="Q1592" s="117" t="s">
        <v>1021</v>
      </c>
      <c r="R1592" s="150">
        <v>0</v>
      </c>
      <c r="S1592" s="117" t="b">
        <f>OR(COUNTIF(Tabla2[[#This Row],[PROVEEDOR]],"*"&amp;'Palabra no opera'!$A$2&amp;"*"))</f>
        <v>0</v>
      </c>
      <c r="T1592" s="150">
        <f>+$W$5-Tabla2[[#This Row],[FECHA DE FACTURACIÓN]]</f>
        <v>487</v>
      </c>
      <c r="U1592" t="str">
        <f>+IF(Tabla2[[#This Row],[dias de credito]]&gt;=Tabla2[[#This Row],[PLAZO Días]],"venc", "No venc")</f>
        <v>venc</v>
      </c>
      <c r="V1592" t="str">
        <f>+IF(Tabla2[[#This Row],[FECHA DE PAGO]]&gt;0,"pagada","por pagar")</f>
        <v>pagada</v>
      </c>
      <c r="W1592" s="152" t="str">
        <f>+IF(AND(Tabla2[[#This Row],[venc]]="venc",Tabla2[[#This Row],[Columna1]]="por pagar"),"vencida","no")</f>
        <v>no</v>
      </c>
    </row>
    <row r="1593" spans="1:23" x14ac:dyDescent="0.3">
      <c r="A1593">
        <v>30</v>
      </c>
      <c r="B1593">
        <v>0</v>
      </c>
      <c r="D1593" t="s">
        <v>139</v>
      </c>
      <c r="E1593" s="156">
        <v>44347</v>
      </c>
      <c r="F1593" t="s">
        <v>644</v>
      </c>
      <c r="G1593" s="156">
        <v>44347</v>
      </c>
      <c r="H1593" t="s">
        <v>598</v>
      </c>
      <c r="I1593">
        <v>2264200</v>
      </c>
      <c r="K1593">
        <v>0</v>
      </c>
      <c r="M1593">
        <v>0</v>
      </c>
      <c r="N1593">
        <v>0</v>
      </c>
      <c r="O1593">
        <v>0</v>
      </c>
      <c r="P1593" s="117">
        <v>2264200</v>
      </c>
      <c r="Q1593" s="117" t="s">
        <v>1021</v>
      </c>
      <c r="R1593" s="150">
        <v>0</v>
      </c>
      <c r="S1593" s="117" t="b">
        <f>OR(COUNTIF(Tabla2[[#This Row],[PROVEEDOR]],"*"&amp;'Palabra no opera'!$A$2&amp;"*"))</f>
        <v>0</v>
      </c>
      <c r="T1593" s="150">
        <f>+$W$5-Tabla2[[#This Row],[FECHA DE FACTURACIÓN]]</f>
        <v>487</v>
      </c>
      <c r="U1593" t="str">
        <f>+IF(Tabla2[[#This Row],[dias de credito]]&gt;=Tabla2[[#This Row],[PLAZO Días]],"venc", "No venc")</f>
        <v>venc</v>
      </c>
      <c r="V1593" t="str">
        <f>+IF(Tabla2[[#This Row],[FECHA DE PAGO]]&gt;0,"pagada","por pagar")</f>
        <v>pagada</v>
      </c>
      <c r="W1593" s="152" t="str">
        <f>+IF(AND(Tabla2[[#This Row],[venc]]="venc",Tabla2[[#This Row],[Columna1]]="por pagar"),"vencida","no")</f>
        <v>no</v>
      </c>
    </row>
    <row r="1594" spans="1:23" x14ac:dyDescent="0.3">
      <c r="A1594">
        <v>30</v>
      </c>
      <c r="B1594">
        <v>0</v>
      </c>
      <c r="D1594" t="s">
        <v>139</v>
      </c>
      <c r="E1594" s="156">
        <v>44347</v>
      </c>
      <c r="F1594" t="s">
        <v>644</v>
      </c>
      <c r="G1594" s="156">
        <v>44347</v>
      </c>
      <c r="H1594" t="s">
        <v>595</v>
      </c>
      <c r="I1594">
        <v>2835922</v>
      </c>
      <c r="K1594">
        <v>0</v>
      </c>
      <c r="M1594">
        <v>0</v>
      </c>
      <c r="N1594">
        <v>0</v>
      </c>
      <c r="O1594">
        <v>0</v>
      </c>
      <c r="P1594" s="117">
        <v>2835922</v>
      </c>
      <c r="Q1594" s="117" t="s">
        <v>1021</v>
      </c>
      <c r="R1594" s="150">
        <v>0</v>
      </c>
      <c r="S1594" s="117" t="b">
        <f>OR(COUNTIF(Tabla2[[#This Row],[PROVEEDOR]],"*"&amp;'Palabra no opera'!$A$2&amp;"*"))</f>
        <v>0</v>
      </c>
      <c r="T1594" s="150">
        <f>+$W$5-Tabla2[[#This Row],[FECHA DE FACTURACIÓN]]</f>
        <v>487</v>
      </c>
      <c r="U1594" t="str">
        <f>+IF(Tabla2[[#This Row],[dias de credito]]&gt;=Tabla2[[#This Row],[PLAZO Días]],"venc", "No venc")</f>
        <v>venc</v>
      </c>
      <c r="V1594" t="str">
        <f>+IF(Tabla2[[#This Row],[FECHA DE PAGO]]&gt;0,"pagada","por pagar")</f>
        <v>pagada</v>
      </c>
      <c r="W1594" s="152" t="str">
        <f>+IF(AND(Tabla2[[#This Row],[venc]]="venc",Tabla2[[#This Row],[Columna1]]="por pagar"),"vencida","no")</f>
        <v>no</v>
      </c>
    </row>
    <row r="1595" spans="1:23" x14ac:dyDescent="0.3">
      <c r="A1595">
        <v>30</v>
      </c>
      <c r="B1595">
        <v>0</v>
      </c>
      <c r="D1595" t="s">
        <v>139</v>
      </c>
      <c r="E1595" s="156">
        <v>44347</v>
      </c>
      <c r="F1595" t="s">
        <v>661</v>
      </c>
      <c r="G1595" s="156">
        <v>44347</v>
      </c>
      <c r="H1595" t="s">
        <v>1237</v>
      </c>
      <c r="I1595">
        <v>384000</v>
      </c>
      <c r="K1595">
        <v>0</v>
      </c>
      <c r="M1595">
        <v>0</v>
      </c>
      <c r="N1595">
        <v>0</v>
      </c>
      <c r="O1595">
        <v>0</v>
      </c>
      <c r="P1595" s="117">
        <v>384000</v>
      </c>
      <c r="Q1595" s="117" t="s">
        <v>1021</v>
      </c>
      <c r="R1595" s="150">
        <v>0</v>
      </c>
      <c r="S1595" s="117" t="b">
        <f>OR(COUNTIF(Tabla2[[#This Row],[PROVEEDOR]],"*"&amp;'Palabra no opera'!$A$2&amp;"*"))</f>
        <v>0</v>
      </c>
      <c r="T1595" s="150">
        <f>+$W$5-Tabla2[[#This Row],[FECHA DE FACTURACIÓN]]</f>
        <v>487</v>
      </c>
      <c r="U1595" t="str">
        <f>+IF(Tabla2[[#This Row],[dias de credito]]&gt;=Tabla2[[#This Row],[PLAZO Días]],"venc", "No venc")</f>
        <v>venc</v>
      </c>
      <c r="V1595" t="str">
        <f>+IF(Tabla2[[#This Row],[FECHA DE PAGO]]&gt;0,"pagada","por pagar")</f>
        <v>pagada</v>
      </c>
      <c r="W1595" s="152" t="str">
        <f>+IF(AND(Tabla2[[#This Row],[venc]]="venc",Tabla2[[#This Row],[Columna1]]="por pagar"),"vencida","no")</f>
        <v>no</v>
      </c>
    </row>
    <row r="1596" spans="1:23" x14ac:dyDescent="0.3">
      <c r="A1596">
        <v>30</v>
      </c>
      <c r="B1596">
        <v>0</v>
      </c>
      <c r="D1596" t="s">
        <v>139</v>
      </c>
      <c r="E1596" s="156">
        <v>44347</v>
      </c>
      <c r="F1596" t="s">
        <v>673</v>
      </c>
      <c r="G1596" s="156">
        <v>44347</v>
      </c>
      <c r="I1596">
        <v>600000</v>
      </c>
      <c r="K1596">
        <v>0</v>
      </c>
      <c r="M1596">
        <v>0</v>
      </c>
      <c r="N1596">
        <v>0</v>
      </c>
      <c r="O1596">
        <v>0</v>
      </c>
      <c r="P1596" s="117">
        <v>600000</v>
      </c>
      <c r="Q1596" s="117" t="s">
        <v>1021</v>
      </c>
      <c r="R1596" s="150">
        <v>0</v>
      </c>
      <c r="S1596" s="117" t="b">
        <f>OR(COUNTIF(Tabla2[[#This Row],[PROVEEDOR]],"*"&amp;'Palabra no opera'!$A$2&amp;"*"))</f>
        <v>0</v>
      </c>
      <c r="T1596" s="150">
        <f>+$W$5-Tabla2[[#This Row],[FECHA DE FACTURACIÓN]]</f>
        <v>487</v>
      </c>
      <c r="U1596" t="str">
        <f>+IF(Tabla2[[#This Row],[dias de credito]]&gt;=Tabla2[[#This Row],[PLAZO Días]],"venc", "No venc")</f>
        <v>venc</v>
      </c>
      <c r="V1596" t="str">
        <f>+IF(Tabla2[[#This Row],[FECHA DE PAGO]]&gt;0,"pagada","por pagar")</f>
        <v>pagada</v>
      </c>
      <c r="W1596" s="152" t="str">
        <f>+IF(AND(Tabla2[[#This Row],[venc]]="venc",Tabla2[[#This Row],[Columna1]]="por pagar"),"vencida","no")</f>
        <v>no</v>
      </c>
    </row>
    <row r="1597" spans="1:23" x14ac:dyDescent="0.3">
      <c r="A1597">
        <v>30</v>
      </c>
      <c r="B1597">
        <v>-101001.25</v>
      </c>
      <c r="D1597" t="s">
        <v>274</v>
      </c>
      <c r="E1597" s="156">
        <v>44344</v>
      </c>
      <c r="F1597" t="s">
        <v>14</v>
      </c>
      <c r="G1597" s="156">
        <v>44308</v>
      </c>
      <c r="H1597" t="s">
        <v>299</v>
      </c>
      <c r="I1597">
        <v>202496</v>
      </c>
      <c r="K1597">
        <v>38474.239999999998</v>
      </c>
      <c r="M1597">
        <v>0</v>
      </c>
      <c r="N1597">
        <v>0</v>
      </c>
      <c r="O1597">
        <v>0</v>
      </c>
      <c r="P1597" s="117">
        <v>240970.23999999999</v>
      </c>
      <c r="Q1597" s="117" t="s">
        <v>1021</v>
      </c>
      <c r="R1597" s="150">
        <v>0</v>
      </c>
      <c r="S1597" s="117" t="b">
        <f>OR(COUNTIF(Tabla2[[#This Row],[PROVEEDOR]],"*"&amp;'Palabra no opera'!$A$2&amp;"*"))</f>
        <v>0</v>
      </c>
      <c r="T1597" s="150">
        <f>+$W$5-Tabla2[[#This Row],[FECHA DE FACTURACIÓN]]</f>
        <v>526</v>
      </c>
      <c r="U1597" t="str">
        <f>+IF(Tabla2[[#This Row],[dias de credito]]&gt;=Tabla2[[#This Row],[PLAZO Días]],"venc", "No venc")</f>
        <v>venc</v>
      </c>
      <c r="V1597" t="str">
        <f>+IF(Tabla2[[#This Row],[FECHA DE PAGO]]&gt;0,"pagada","por pagar")</f>
        <v>pagada</v>
      </c>
      <c r="W1597" s="152" t="str">
        <f>+IF(AND(Tabla2[[#This Row],[venc]]="venc",Tabla2[[#This Row],[Columna1]]="por pagar"),"vencida","no")</f>
        <v>no</v>
      </c>
    </row>
    <row r="1598" spans="1:23" x14ac:dyDescent="0.3">
      <c r="A1598">
        <v>30</v>
      </c>
      <c r="B1598">
        <v>146262.9</v>
      </c>
      <c r="D1598" t="s">
        <v>262</v>
      </c>
      <c r="E1598" s="156">
        <v>44344</v>
      </c>
      <c r="F1598" t="s">
        <v>17</v>
      </c>
      <c r="G1598" s="156">
        <v>44307</v>
      </c>
      <c r="H1598">
        <v>1754054</v>
      </c>
      <c r="I1598">
        <v>126965.96</v>
      </c>
      <c r="K1598">
        <v>24123.5324</v>
      </c>
      <c r="M1598">
        <v>0</v>
      </c>
      <c r="N1598">
        <v>0</v>
      </c>
      <c r="O1598">
        <v>0</v>
      </c>
      <c r="P1598" s="117">
        <v>151089.49240000002</v>
      </c>
      <c r="Q1598" s="117" t="s">
        <v>1021</v>
      </c>
      <c r="R1598" s="150">
        <v>0</v>
      </c>
      <c r="S1598" s="117" t="b">
        <f>OR(COUNTIF(Tabla2[[#This Row],[PROVEEDOR]],"*"&amp;'Palabra no opera'!$A$2&amp;"*"))</f>
        <v>0</v>
      </c>
      <c r="T1598" s="150">
        <f>+$W$5-Tabla2[[#This Row],[FECHA DE FACTURACIÓN]]</f>
        <v>527</v>
      </c>
      <c r="U1598" t="str">
        <f>+IF(Tabla2[[#This Row],[dias de credito]]&gt;=Tabla2[[#This Row],[PLAZO Días]],"venc", "No venc")</f>
        <v>venc</v>
      </c>
      <c r="V1598" t="str">
        <f>+IF(Tabla2[[#This Row],[FECHA DE PAGO]]&gt;0,"pagada","por pagar")</f>
        <v>pagada</v>
      </c>
      <c r="W1598" s="152" t="str">
        <f>+IF(AND(Tabla2[[#This Row],[venc]]="venc",Tabla2[[#This Row],[Columna1]]="por pagar"),"vencida","no")</f>
        <v>no</v>
      </c>
    </row>
    <row r="1599" spans="1:23" x14ac:dyDescent="0.3">
      <c r="A1599">
        <v>30</v>
      </c>
      <c r="B1599">
        <v>749999.88</v>
      </c>
      <c r="D1599" t="s">
        <v>249</v>
      </c>
      <c r="E1599" s="156">
        <v>44344</v>
      </c>
      <c r="F1599" t="s">
        <v>49</v>
      </c>
      <c r="G1599" s="156">
        <v>44299</v>
      </c>
      <c r="H1599">
        <v>2131</v>
      </c>
      <c r="I1599">
        <v>2891700</v>
      </c>
      <c r="K1599">
        <v>549423</v>
      </c>
      <c r="M1599">
        <v>0</v>
      </c>
      <c r="N1599">
        <v>2.5000000000000001E-2</v>
      </c>
      <c r="O1599">
        <v>72292.5</v>
      </c>
      <c r="P1599" s="117">
        <v>3368830.5</v>
      </c>
      <c r="Q1599" s="117" t="s">
        <v>1021</v>
      </c>
      <c r="R1599" s="150">
        <v>0</v>
      </c>
      <c r="S1599" s="117" t="b">
        <f>OR(COUNTIF(Tabla2[[#This Row],[PROVEEDOR]],"*"&amp;'Palabra no opera'!$A$2&amp;"*"))</f>
        <v>0</v>
      </c>
      <c r="T1599" s="150">
        <f>+$W$5-Tabla2[[#This Row],[FECHA DE FACTURACIÓN]]</f>
        <v>535</v>
      </c>
      <c r="U1599" t="str">
        <f>+IF(Tabla2[[#This Row],[dias de credito]]&gt;=Tabla2[[#This Row],[PLAZO Días]],"venc", "No venc")</f>
        <v>venc</v>
      </c>
      <c r="V1599" t="str">
        <f>+IF(Tabla2[[#This Row],[FECHA DE PAGO]]&gt;0,"pagada","por pagar")</f>
        <v>pagada</v>
      </c>
      <c r="W1599" s="152" t="str">
        <f>+IF(AND(Tabla2[[#This Row],[venc]]="venc",Tabla2[[#This Row],[Columna1]]="por pagar"),"vencida","no")</f>
        <v>no</v>
      </c>
    </row>
    <row r="1600" spans="1:23" x14ac:dyDescent="0.3">
      <c r="A1600">
        <v>30</v>
      </c>
      <c r="B1600">
        <v>0</v>
      </c>
      <c r="D1600" t="s">
        <v>139</v>
      </c>
      <c r="E1600" s="156">
        <v>44343</v>
      </c>
      <c r="F1600" t="s">
        <v>673</v>
      </c>
      <c r="G1600" s="156">
        <v>44343</v>
      </c>
      <c r="I1600">
        <v>600000</v>
      </c>
      <c r="K1600">
        <v>0</v>
      </c>
      <c r="M1600">
        <v>0</v>
      </c>
      <c r="N1600">
        <v>0</v>
      </c>
      <c r="O1600">
        <v>0</v>
      </c>
      <c r="P1600" s="117">
        <v>600000</v>
      </c>
      <c r="Q1600" s="117" t="s">
        <v>1021</v>
      </c>
      <c r="R1600" s="150">
        <v>0</v>
      </c>
      <c r="S1600" s="117" t="b">
        <f>OR(COUNTIF(Tabla2[[#This Row],[PROVEEDOR]],"*"&amp;'Palabra no opera'!$A$2&amp;"*"))</f>
        <v>0</v>
      </c>
      <c r="T1600" s="150">
        <f>+$W$5-Tabla2[[#This Row],[FECHA DE FACTURACIÓN]]</f>
        <v>491</v>
      </c>
      <c r="U1600" t="str">
        <f>+IF(Tabla2[[#This Row],[dias de credito]]&gt;=Tabla2[[#This Row],[PLAZO Días]],"venc", "No venc")</f>
        <v>venc</v>
      </c>
      <c r="V1600" t="str">
        <f>+IF(Tabla2[[#This Row],[FECHA DE PAGO]]&gt;0,"pagada","por pagar")</f>
        <v>pagada</v>
      </c>
      <c r="W1600" s="152" t="str">
        <f>+IF(AND(Tabla2[[#This Row],[venc]]="venc",Tabla2[[#This Row],[Columna1]]="por pagar"),"vencida","no")</f>
        <v>no</v>
      </c>
    </row>
    <row r="1601" spans="1:23" x14ac:dyDescent="0.3">
      <c r="A1601">
        <v>30</v>
      </c>
      <c r="B1601">
        <v>6259125.5999999996</v>
      </c>
      <c r="D1601" t="s">
        <v>264</v>
      </c>
      <c r="E1601" s="156">
        <v>44343</v>
      </c>
      <c r="F1601" t="s">
        <v>1448</v>
      </c>
      <c r="G1601" s="156">
        <v>44284</v>
      </c>
      <c r="H1601">
        <v>15631</v>
      </c>
      <c r="I1601">
        <v>11868000</v>
      </c>
      <c r="K1601">
        <v>2254920</v>
      </c>
      <c r="M1601">
        <v>0</v>
      </c>
      <c r="N1601">
        <v>2.5000000000000001E-2</v>
      </c>
      <c r="O1601">
        <v>296700</v>
      </c>
      <c r="P1601" s="117">
        <v>13826220</v>
      </c>
      <c r="Q1601" s="117" t="s">
        <v>1021</v>
      </c>
      <c r="R1601" s="150">
        <v>0</v>
      </c>
      <c r="S1601" s="117" t="b">
        <f>OR(COUNTIF(Tabla2[[#This Row],[PROVEEDOR]],"*"&amp;'Palabra no opera'!$A$2&amp;"*"))</f>
        <v>0</v>
      </c>
      <c r="T1601" s="150">
        <f>+$W$5-Tabla2[[#This Row],[FECHA DE FACTURACIÓN]]</f>
        <v>550</v>
      </c>
      <c r="U1601" t="str">
        <f>+IF(Tabla2[[#This Row],[dias de credito]]&gt;=Tabla2[[#This Row],[PLAZO Días]],"venc", "No venc")</f>
        <v>venc</v>
      </c>
      <c r="V1601" t="str">
        <f>+IF(Tabla2[[#This Row],[FECHA DE PAGO]]&gt;0,"pagada","por pagar")</f>
        <v>pagada</v>
      </c>
      <c r="W1601" s="152" t="str">
        <f>+IF(AND(Tabla2[[#This Row],[venc]]="venc",Tabla2[[#This Row],[Columna1]]="por pagar"),"vencida","no")</f>
        <v>no</v>
      </c>
    </row>
    <row r="1602" spans="1:23" x14ac:dyDescent="0.3">
      <c r="A1602">
        <v>45</v>
      </c>
      <c r="B1602">
        <v>30078253.170000002</v>
      </c>
      <c r="D1602" t="s">
        <v>884</v>
      </c>
      <c r="E1602" s="156">
        <v>44343</v>
      </c>
      <c r="F1602" t="s">
        <v>19</v>
      </c>
      <c r="G1602" s="156">
        <v>44270</v>
      </c>
      <c r="H1602" t="s">
        <v>245</v>
      </c>
      <c r="I1602">
        <v>4154835</v>
      </c>
      <c r="K1602">
        <v>789418.65</v>
      </c>
      <c r="M1602">
        <v>0</v>
      </c>
      <c r="N1602">
        <v>0</v>
      </c>
      <c r="O1602">
        <v>0</v>
      </c>
      <c r="P1602" s="117">
        <v>4944253.6500000004</v>
      </c>
      <c r="Q1602" s="117" t="s">
        <v>1021</v>
      </c>
      <c r="R1602" s="150">
        <v>0</v>
      </c>
      <c r="S1602" s="117" t="b">
        <f>OR(COUNTIF(Tabla2[[#This Row],[PROVEEDOR]],"*"&amp;'Palabra no opera'!$A$2&amp;"*"))</f>
        <v>0</v>
      </c>
      <c r="T1602" s="150">
        <f>+$W$5-Tabla2[[#This Row],[FECHA DE FACTURACIÓN]]</f>
        <v>564</v>
      </c>
      <c r="U1602" t="str">
        <f>+IF(Tabla2[[#This Row],[dias de credito]]&gt;=Tabla2[[#This Row],[PLAZO Días]],"venc", "No venc")</f>
        <v>venc</v>
      </c>
      <c r="V1602" t="str">
        <f>+IF(Tabla2[[#This Row],[FECHA DE PAGO]]&gt;0,"pagada","por pagar")</f>
        <v>pagada</v>
      </c>
      <c r="W1602" s="152" t="str">
        <f>+IF(AND(Tabla2[[#This Row],[venc]]="venc",Tabla2[[#This Row],[Columna1]]="por pagar"),"vencida","no")</f>
        <v>no</v>
      </c>
    </row>
    <row r="1603" spans="1:23" x14ac:dyDescent="0.3">
      <c r="A1603">
        <v>30</v>
      </c>
      <c r="B1603">
        <v>0</v>
      </c>
      <c r="D1603" t="s">
        <v>139</v>
      </c>
      <c r="E1603" s="156">
        <v>44342</v>
      </c>
      <c r="F1603" t="s">
        <v>683</v>
      </c>
      <c r="G1603" s="156">
        <v>44342</v>
      </c>
      <c r="H1603" t="s">
        <v>1236</v>
      </c>
      <c r="I1603">
        <v>228000</v>
      </c>
      <c r="K1603">
        <v>0</v>
      </c>
      <c r="M1603">
        <v>0</v>
      </c>
      <c r="N1603">
        <v>0</v>
      </c>
      <c r="O1603">
        <v>0</v>
      </c>
      <c r="P1603" s="117">
        <v>228000</v>
      </c>
      <c r="Q1603" s="117" t="s">
        <v>1021</v>
      </c>
      <c r="R1603" s="150">
        <v>0</v>
      </c>
      <c r="S1603" s="117" t="b">
        <f>OR(COUNTIF(Tabla2[[#This Row],[PROVEEDOR]],"*"&amp;'Palabra no opera'!$A$2&amp;"*"))</f>
        <v>0</v>
      </c>
      <c r="T1603" s="150">
        <f>+$W$5-Tabla2[[#This Row],[FECHA DE FACTURACIÓN]]</f>
        <v>492</v>
      </c>
      <c r="U1603" t="str">
        <f>+IF(Tabla2[[#This Row],[dias de credito]]&gt;=Tabla2[[#This Row],[PLAZO Días]],"venc", "No venc")</f>
        <v>venc</v>
      </c>
      <c r="V1603" t="str">
        <f>+IF(Tabla2[[#This Row],[FECHA DE PAGO]]&gt;0,"pagada","por pagar")</f>
        <v>pagada</v>
      </c>
      <c r="W1603" s="152" t="str">
        <f>+IF(AND(Tabla2[[#This Row],[venc]]="venc",Tabla2[[#This Row],[Columna1]]="por pagar"),"vencida","no")</f>
        <v>no</v>
      </c>
    </row>
    <row r="1604" spans="1:23" x14ac:dyDescent="0.3">
      <c r="A1604">
        <v>10</v>
      </c>
      <c r="B1604">
        <v>0</v>
      </c>
      <c r="D1604" t="s">
        <v>139</v>
      </c>
      <c r="E1604" s="156">
        <v>44342</v>
      </c>
      <c r="F1604" t="s">
        <v>23</v>
      </c>
      <c r="G1604" s="156">
        <v>44341</v>
      </c>
      <c r="H1604">
        <v>282538</v>
      </c>
      <c r="I1604">
        <v>7810900</v>
      </c>
      <c r="K1604">
        <v>0</v>
      </c>
      <c r="M1604">
        <v>0</v>
      </c>
      <c r="N1604">
        <v>0</v>
      </c>
      <c r="O1604">
        <v>0</v>
      </c>
      <c r="P1604" s="117">
        <v>7810900</v>
      </c>
      <c r="Q1604" s="117" t="s">
        <v>1021</v>
      </c>
      <c r="R1604" s="150">
        <v>0</v>
      </c>
      <c r="S1604" s="117" t="b">
        <f>OR(COUNTIF(Tabla2[[#This Row],[PROVEEDOR]],"*"&amp;'Palabra no opera'!$A$2&amp;"*"))</f>
        <v>0</v>
      </c>
      <c r="T1604" s="150">
        <f>+$W$5-Tabla2[[#This Row],[FECHA DE FACTURACIÓN]]</f>
        <v>493</v>
      </c>
      <c r="U1604" t="str">
        <f>+IF(Tabla2[[#This Row],[dias de credito]]&gt;=Tabla2[[#This Row],[PLAZO Días]],"venc", "No venc")</f>
        <v>venc</v>
      </c>
      <c r="V1604" t="str">
        <f>+IF(Tabla2[[#This Row],[FECHA DE PAGO]]&gt;0,"pagada","por pagar")</f>
        <v>pagada</v>
      </c>
      <c r="W1604" s="152" t="str">
        <f>+IF(AND(Tabla2[[#This Row],[venc]]="venc",Tabla2[[#This Row],[Columna1]]="por pagar"),"vencida","no")</f>
        <v>no</v>
      </c>
    </row>
    <row r="1605" spans="1:23" x14ac:dyDescent="0.3">
      <c r="A1605">
        <v>30</v>
      </c>
      <c r="B1605">
        <v>5225000</v>
      </c>
      <c r="D1605" t="s">
        <v>139</v>
      </c>
      <c r="E1605" s="156">
        <v>44342</v>
      </c>
      <c r="F1605" t="s">
        <v>629</v>
      </c>
      <c r="G1605" s="156">
        <v>44291</v>
      </c>
      <c r="H1605" t="s">
        <v>1203</v>
      </c>
      <c r="I1605">
        <v>3216000</v>
      </c>
      <c r="K1605">
        <v>0</v>
      </c>
      <c r="M1605">
        <v>0</v>
      </c>
      <c r="N1605">
        <v>0</v>
      </c>
      <c r="O1605">
        <v>0</v>
      </c>
      <c r="P1605" s="117">
        <v>3216000</v>
      </c>
      <c r="Q1605" s="117" t="s">
        <v>1021</v>
      </c>
      <c r="R1605" s="150">
        <v>0</v>
      </c>
      <c r="S1605" s="117" t="b">
        <f>OR(COUNTIF(Tabla2[[#This Row],[PROVEEDOR]],"*"&amp;'Palabra no opera'!$A$2&amp;"*"))</f>
        <v>0</v>
      </c>
      <c r="T1605" s="150">
        <f>+$W$5-Tabla2[[#This Row],[FECHA DE FACTURACIÓN]]</f>
        <v>543</v>
      </c>
      <c r="U1605" t="str">
        <f>+IF(Tabla2[[#This Row],[dias de credito]]&gt;=Tabla2[[#This Row],[PLAZO Días]],"venc", "No venc")</f>
        <v>venc</v>
      </c>
      <c r="V1605" t="str">
        <f>+IF(Tabla2[[#This Row],[FECHA DE PAGO]]&gt;0,"pagada","por pagar")</f>
        <v>pagada</v>
      </c>
      <c r="W1605" s="152" t="str">
        <f>+IF(AND(Tabla2[[#This Row],[venc]]="venc",Tabla2[[#This Row],[Columna1]]="por pagar"),"vencida","no")</f>
        <v>no</v>
      </c>
    </row>
    <row r="1606" spans="1:23" x14ac:dyDescent="0.3">
      <c r="A1606">
        <v>45</v>
      </c>
      <c r="B1606">
        <v>7497238</v>
      </c>
      <c r="D1606" t="s">
        <v>272</v>
      </c>
      <c r="E1606" s="156">
        <v>44342</v>
      </c>
      <c r="F1606" t="s">
        <v>10</v>
      </c>
      <c r="G1606" s="156">
        <v>44270</v>
      </c>
      <c r="H1606" t="s">
        <v>242</v>
      </c>
      <c r="I1606">
        <v>1386000</v>
      </c>
      <c r="K1606">
        <v>263340</v>
      </c>
      <c r="M1606">
        <v>0</v>
      </c>
      <c r="N1606">
        <v>0</v>
      </c>
      <c r="O1606">
        <v>0</v>
      </c>
      <c r="P1606" s="117">
        <v>1649340</v>
      </c>
      <c r="Q1606" s="117" t="s">
        <v>1021</v>
      </c>
      <c r="R1606" s="150">
        <v>0</v>
      </c>
      <c r="S1606" s="117" t="b">
        <f>OR(COUNTIF(Tabla2[[#This Row],[PROVEEDOR]],"*"&amp;'Palabra no opera'!$A$2&amp;"*"))</f>
        <v>0</v>
      </c>
      <c r="T1606" s="150">
        <f>+$W$5-Tabla2[[#This Row],[FECHA DE FACTURACIÓN]]</f>
        <v>564</v>
      </c>
      <c r="U1606" t="str">
        <f>+IF(Tabla2[[#This Row],[dias de credito]]&gt;=Tabla2[[#This Row],[PLAZO Días]],"venc", "No venc")</f>
        <v>venc</v>
      </c>
      <c r="V1606" t="str">
        <f>+IF(Tabla2[[#This Row],[FECHA DE PAGO]]&gt;0,"pagada","por pagar")</f>
        <v>pagada</v>
      </c>
      <c r="W1606" s="152" t="str">
        <f>+IF(AND(Tabla2[[#This Row],[venc]]="venc",Tabla2[[#This Row],[Columna1]]="por pagar"),"vencida","no")</f>
        <v>no</v>
      </c>
    </row>
    <row r="1607" spans="1:23" x14ac:dyDescent="0.3">
      <c r="A1607">
        <v>45</v>
      </c>
      <c r="B1607">
        <v>7497238</v>
      </c>
      <c r="D1607" t="s">
        <v>272</v>
      </c>
      <c r="E1607" s="156">
        <v>44342</v>
      </c>
      <c r="F1607" t="s">
        <v>10</v>
      </c>
      <c r="G1607" s="156">
        <v>44261</v>
      </c>
      <c r="H1607" t="s">
        <v>229</v>
      </c>
      <c r="I1607">
        <v>1200000</v>
      </c>
      <c r="K1607">
        <v>228000</v>
      </c>
      <c r="M1607">
        <v>0</v>
      </c>
      <c r="N1607">
        <v>0</v>
      </c>
      <c r="O1607">
        <v>0</v>
      </c>
      <c r="P1607" s="117">
        <v>1428000</v>
      </c>
      <c r="Q1607" s="117" t="s">
        <v>1021</v>
      </c>
      <c r="R1607" s="150">
        <v>0</v>
      </c>
      <c r="S1607" s="117" t="b">
        <f>OR(COUNTIF(Tabla2[[#This Row],[PROVEEDOR]],"*"&amp;'Palabra no opera'!$A$2&amp;"*"))</f>
        <v>0</v>
      </c>
      <c r="T1607" s="150">
        <f>+$W$5-Tabla2[[#This Row],[FECHA DE FACTURACIÓN]]</f>
        <v>573</v>
      </c>
      <c r="U1607" t="str">
        <f>+IF(Tabla2[[#This Row],[dias de credito]]&gt;=Tabla2[[#This Row],[PLAZO Días]],"venc", "No venc")</f>
        <v>venc</v>
      </c>
      <c r="V1607" t="str">
        <f>+IF(Tabla2[[#This Row],[FECHA DE PAGO]]&gt;0,"pagada","por pagar")</f>
        <v>pagada</v>
      </c>
      <c r="W1607" s="152" t="str">
        <f>+IF(AND(Tabla2[[#This Row],[venc]]="venc",Tabla2[[#This Row],[Columna1]]="por pagar"),"vencida","no")</f>
        <v>no</v>
      </c>
    </row>
    <row r="1608" spans="1:23" x14ac:dyDescent="0.3">
      <c r="A1608">
        <v>45</v>
      </c>
      <c r="B1608">
        <v>7497238</v>
      </c>
      <c r="D1608" t="s">
        <v>272</v>
      </c>
      <c r="E1608" s="156">
        <v>44342</v>
      </c>
      <c r="F1608" t="s">
        <v>10</v>
      </c>
      <c r="G1608" s="156">
        <v>44257</v>
      </c>
      <c r="H1608" t="s">
        <v>231</v>
      </c>
      <c r="I1608">
        <v>864000</v>
      </c>
      <c r="K1608">
        <v>164160</v>
      </c>
      <c r="M1608">
        <v>0</v>
      </c>
      <c r="N1608">
        <v>0</v>
      </c>
      <c r="O1608">
        <v>0</v>
      </c>
      <c r="P1608" s="117">
        <v>1028160</v>
      </c>
      <c r="Q1608" s="117" t="s">
        <v>1021</v>
      </c>
      <c r="R1608" s="150">
        <v>0</v>
      </c>
      <c r="S1608" s="117" t="b">
        <f>OR(COUNTIF(Tabla2[[#This Row],[PROVEEDOR]],"*"&amp;'Palabra no opera'!$A$2&amp;"*"))</f>
        <v>0</v>
      </c>
      <c r="T1608" s="150">
        <f>+$W$5-Tabla2[[#This Row],[FECHA DE FACTURACIÓN]]</f>
        <v>577</v>
      </c>
      <c r="U1608" t="str">
        <f>+IF(Tabla2[[#This Row],[dias de credito]]&gt;=Tabla2[[#This Row],[PLAZO Días]],"venc", "No venc")</f>
        <v>venc</v>
      </c>
      <c r="V1608" t="str">
        <f>+IF(Tabla2[[#This Row],[FECHA DE PAGO]]&gt;0,"pagada","por pagar")</f>
        <v>pagada</v>
      </c>
      <c r="W1608" s="152" t="str">
        <f>+IF(AND(Tabla2[[#This Row],[venc]]="venc",Tabla2[[#This Row],[Columna1]]="por pagar"),"vencida","no")</f>
        <v>no</v>
      </c>
    </row>
    <row r="1609" spans="1:23" x14ac:dyDescent="0.3">
      <c r="A1609">
        <v>30</v>
      </c>
      <c r="B1609">
        <v>0</v>
      </c>
      <c r="D1609" t="s">
        <v>1688</v>
      </c>
      <c r="E1609" s="156">
        <v>44341</v>
      </c>
      <c r="F1609" t="s">
        <v>928</v>
      </c>
      <c r="G1609" s="156">
        <v>44340</v>
      </c>
      <c r="H1609" t="s">
        <v>584</v>
      </c>
      <c r="I1609">
        <v>-36000</v>
      </c>
      <c r="K1609">
        <v>0</v>
      </c>
      <c r="M1609">
        <v>0</v>
      </c>
      <c r="N1609">
        <v>0</v>
      </c>
      <c r="O1609">
        <v>0</v>
      </c>
      <c r="P1609" s="117">
        <v>-36000</v>
      </c>
      <c r="Q1609" s="117" t="s">
        <v>1021</v>
      </c>
      <c r="R1609" s="150">
        <v>0</v>
      </c>
      <c r="S1609" s="117" t="b">
        <f>OR(COUNTIF(Tabla2[[#This Row],[PROVEEDOR]],"*"&amp;'Palabra no opera'!$A$2&amp;"*"))</f>
        <v>1</v>
      </c>
      <c r="T1609" s="150">
        <f>+$W$5-Tabla2[[#This Row],[FECHA DE FACTURACIÓN]]</f>
        <v>494</v>
      </c>
      <c r="U1609" t="str">
        <f>+IF(Tabla2[[#This Row],[dias de credito]]&gt;=Tabla2[[#This Row],[PLAZO Días]],"venc", "No venc")</f>
        <v>venc</v>
      </c>
      <c r="V1609" t="str">
        <f>+IF(Tabla2[[#This Row],[FECHA DE PAGO]]&gt;0,"pagada","por pagar")</f>
        <v>pagada</v>
      </c>
      <c r="W1609" s="152" t="str">
        <f>+IF(AND(Tabla2[[#This Row],[venc]]="venc",Tabla2[[#This Row],[Columna1]]="por pagar"),"vencida","no")</f>
        <v>no</v>
      </c>
    </row>
    <row r="1610" spans="1:23" x14ac:dyDescent="0.3">
      <c r="A1610">
        <v>30</v>
      </c>
      <c r="B1610">
        <v>0</v>
      </c>
      <c r="D1610" t="s">
        <v>250</v>
      </c>
      <c r="E1610" s="156">
        <v>44341</v>
      </c>
      <c r="F1610" t="s">
        <v>1451</v>
      </c>
      <c r="G1610" s="156">
        <v>44339</v>
      </c>
      <c r="H1610">
        <v>102</v>
      </c>
      <c r="I1610">
        <v>637000</v>
      </c>
      <c r="K1610">
        <v>0</v>
      </c>
      <c r="M1610">
        <v>0</v>
      </c>
      <c r="N1610">
        <v>0.01</v>
      </c>
      <c r="O1610">
        <v>6370</v>
      </c>
      <c r="P1610" s="117">
        <v>630630</v>
      </c>
      <c r="Q1610" s="117" t="s">
        <v>1021</v>
      </c>
      <c r="R1610" s="150">
        <v>0</v>
      </c>
      <c r="S1610" s="117" t="b">
        <f>OR(COUNTIF(Tabla2[[#This Row],[PROVEEDOR]],"*"&amp;'Palabra no opera'!$A$2&amp;"*"))</f>
        <v>0</v>
      </c>
      <c r="T1610" s="150">
        <f>+$W$5-Tabla2[[#This Row],[FECHA DE FACTURACIÓN]]</f>
        <v>495</v>
      </c>
      <c r="U1610" t="str">
        <f>+IF(Tabla2[[#This Row],[dias de credito]]&gt;=Tabla2[[#This Row],[PLAZO Días]],"venc", "No venc")</f>
        <v>venc</v>
      </c>
      <c r="V1610" t="str">
        <f>+IF(Tabla2[[#This Row],[FECHA DE PAGO]]&gt;0,"pagada","por pagar")</f>
        <v>pagada</v>
      </c>
      <c r="W1610" s="152" t="str">
        <f>+IF(AND(Tabla2[[#This Row],[venc]]="venc",Tabla2[[#This Row],[Columna1]]="por pagar"),"vencida","no")</f>
        <v>no</v>
      </c>
    </row>
    <row r="1611" spans="1:23" x14ac:dyDescent="0.3">
      <c r="A1611">
        <v>20</v>
      </c>
      <c r="B1611">
        <v>0</v>
      </c>
      <c r="D1611" t="s">
        <v>308</v>
      </c>
      <c r="E1611" s="156">
        <v>44341</v>
      </c>
      <c r="F1611" t="s">
        <v>397</v>
      </c>
      <c r="G1611" s="156">
        <v>44334</v>
      </c>
      <c r="H1611" t="s">
        <v>1226</v>
      </c>
      <c r="I1611">
        <v>205300</v>
      </c>
      <c r="K1611">
        <v>0</v>
      </c>
      <c r="M1611">
        <v>0</v>
      </c>
      <c r="N1611">
        <v>0.01</v>
      </c>
      <c r="O1611">
        <v>2053</v>
      </c>
      <c r="P1611" s="117">
        <v>203247</v>
      </c>
      <c r="Q1611" s="117" t="s">
        <v>1021</v>
      </c>
      <c r="R1611" s="150">
        <v>0</v>
      </c>
      <c r="S1611" s="117" t="b">
        <f>OR(COUNTIF(Tabla2[[#This Row],[PROVEEDOR]],"*"&amp;'Palabra no opera'!$A$2&amp;"*"))</f>
        <v>0</v>
      </c>
      <c r="T1611" s="150">
        <f>+$W$5-Tabla2[[#This Row],[FECHA DE FACTURACIÓN]]</f>
        <v>500</v>
      </c>
      <c r="U1611" t="str">
        <f>+IF(Tabla2[[#This Row],[dias de credito]]&gt;=Tabla2[[#This Row],[PLAZO Días]],"venc", "No venc")</f>
        <v>venc</v>
      </c>
      <c r="V1611" t="str">
        <f>+IF(Tabla2[[#This Row],[FECHA DE PAGO]]&gt;0,"pagada","por pagar")</f>
        <v>pagada</v>
      </c>
      <c r="W1611" s="152" t="str">
        <f>+IF(AND(Tabla2[[#This Row],[venc]]="venc",Tabla2[[#This Row],[Columna1]]="por pagar"),"vencida","no")</f>
        <v>no</v>
      </c>
    </row>
    <row r="1612" spans="1:23" x14ac:dyDescent="0.3">
      <c r="A1612">
        <v>30</v>
      </c>
      <c r="B1612">
        <v>0</v>
      </c>
      <c r="D1612" t="s">
        <v>650</v>
      </c>
      <c r="E1612" s="156">
        <v>44341</v>
      </c>
      <c r="F1612" t="s">
        <v>913</v>
      </c>
      <c r="G1612" s="156">
        <v>44317</v>
      </c>
      <c r="H1612" t="s">
        <v>1216</v>
      </c>
      <c r="I1612">
        <v>716544</v>
      </c>
      <c r="K1612">
        <v>136143.36000000002</v>
      </c>
      <c r="M1612">
        <v>0</v>
      </c>
      <c r="N1612">
        <v>0</v>
      </c>
      <c r="O1612">
        <v>0</v>
      </c>
      <c r="P1612" s="117">
        <v>852687.35999999999</v>
      </c>
      <c r="Q1612" s="117" t="s">
        <v>1021</v>
      </c>
      <c r="R1612" s="150">
        <v>0</v>
      </c>
      <c r="S1612" s="117" t="b">
        <f>OR(COUNTIF(Tabla2[[#This Row],[PROVEEDOR]],"*"&amp;'Palabra no opera'!$A$2&amp;"*"))</f>
        <v>1</v>
      </c>
      <c r="T1612" s="150">
        <f>+$W$5-Tabla2[[#This Row],[FECHA DE FACTURACIÓN]]</f>
        <v>517</v>
      </c>
      <c r="U1612" t="str">
        <f>+IF(Tabla2[[#This Row],[dias de credito]]&gt;=Tabla2[[#This Row],[PLAZO Días]],"venc", "No venc")</f>
        <v>venc</v>
      </c>
      <c r="V1612" t="str">
        <f>+IF(Tabla2[[#This Row],[FECHA DE PAGO]]&gt;0,"pagada","por pagar")</f>
        <v>pagada</v>
      </c>
      <c r="W1612" s="152" t="str">
        <f>+IF(AND(Tabla2[[#This Row],[venc]]="venc",Tabla2[[#This Row],[Columna1]]="por pagar"),"vencida","no")</f>
        <v>no</v>
      </c>
    </row>
    <row r="1613" spans="1:23" x14ac:dyDescent="0.3">
      <c r="A1613">
        <v>30</v>
      </c>
      <c r="B1613">
        <v>0</v>
      </c>
      <c r="D1613" t="s">
        <v>1688</v>
      </c>
      <c r="E1613" s="156">
        <v>44341</v>
      </c>
      <c r="F1613" t="s">
        <v>928</v>
      </c>
      <c r="G1613" s="156">
        <v>44317</v>
      </c>
      <c r="H1613" t="s">
        <v>583</v>
      </c>
      <c r="I1613">
        <v>2226666</v>
      </c>
      <c r="K1613">
        <v>0</v>
      </c>
      <c r="M1613">
        <v>0</v>
      </c>
      <c r="N1613">
        <v>3.5000000000000003E-2</v>
      </c>
      <c r="O1613">
        <v>77933.310000000012</v>
      </c>
      <c r="P1613" s="117">
        <v>2148732.69</v>
      </c>
      <c r="Q1613" s="117" t="s">
        <v>1021</v>
      </c>
      <c r="R1613" s="150">
        <v>0</v>
      </c>
      <c r="S1613" s="117" t="b">
        <f>OR(COUNTIF(Tabla2[[#This Row],[PROVEEDOR]],"*"&amp;'Palabra no opera'!$A$2&amp;"*"))</f>
        <v>1</v>
      </c>
      <c r="T1613" s="150">
        <f>+$W$5-Tabla2[[#This Row],[FECHA DE FACTURACIÓN]]</f>
        <v>517</v>
      </c>
      <c r="U1613" t="str">
        <f>+IF(Tabla2[[#This Row],[dias de credito]]&gt;=Tabla2[[#This Row],[PLAZO Días]],"venc", "No venc")</f>
        <v>venc</v>
      </c>
      <c r="V1613" t="str">
        <f>+IF(Tabla2[[#This Row],[FECHA DE PAGO]]&gt;0,"pagada","por pagar")</f>
        <v>pagada</v>
      </c>
      <c r="W1613" s="152" t="str">
        <f>+IF(AND(Tabla2[[#This Row],[venc]]="venc",Tabla2[[#This Row],[Columna1]]="por pagar"),"vencida","no")</f>
        <v>no</v>
      </c>
    </row>
    <row r="1614" spans="1:23" x14ac:dyDescent="0.3">
      <c r="A1614">
        <v>30</v>
      </c>
      <c r="B1614">
        <v>0</v>
      </c>
      <c r="D1614" t="s">
        <v>259</v>
      </c>
      <c r="E1614" s="156">
        <v>44341</v>
      </c>
      <c r="F1614" t="s">
        <v>918</v>
      </c>
      <c r="G1614" s="156">
        <v>44317</v>
      </c>
      <c r="H1614">
        <v>8123</v>
      </c>
      <c r="I1614">
        <v>1454122</v>
      </c>
      <c r="K1614">
        <v>0</v>
      </c>
      <c r="M1614">
        <v>0</v>
      </c>
      <c r="N1614">
        <v>0</v>
      </c>
      <c r="O1614">
        <v>0</v>
      </c>
      <c r="P1614" s="117">
        <v>1454122</v>
      </c>
      <c r="Q1614" s="117" t="s">
        <v>1021</v>
      </c>
      <c r="R1614" s="150">
        <v>0</v>
      </c>
      <c r="S1614" s="117" t="b">
        <f>OR(COUNTIF(Tabla2[[#This Row],[PROVEEDOR]],"*"&amp;'Palabra no opera'!$A$2&amp;"*"))</f>
        <v>1</v>
      </c>
      <c r="T1614" s="150">
        <f>+$W$5-Tabla2[[#This Row],[FECHA DE FACTURACIÓN]]</f>
        <v>517</v>
      </c>
      <c r="U1614" t="str">
        <f>+IF(Tabla2[[#This Row],[dias de credito]]&gt;=Tabla2[[#This Row],[PLAZO Días]],"venc", "No venc")</f>
        <v>venc</v>
      </c>
      <c r="V1614" t="str">
        <f>+IF(Tabla2[[#This Row],[FECHA DE PAGO]]&gt;0,"pagada","por pagar")</f>
        <v>pagada</v>
      </c>
      <c r="W1614" s="152" t="str">
        <f>+IF(AND(Tabla2[[#This Row],[venc]]="venc",Tabla2[[#This Row],[Columna1]]="por pagar"),"vencida","no")</f>
        <v>no</v>
      </c>
    </row>
    <row r="1615" spans="1:23" x14ac:dyDescent="0.3">
      <c r="A1615">
        <v>30</v>
      </c>
      <c r="B1615">
        <v>0</v>
      </c>
      <c r="D1615" t="s">
        <v>433</v>
      </c>
      <c r="E1615" s="156">
        <v>44341</v>
      </c>
      <c r="F1615" t="s">
        <v>925</v>
      </c>
      <c r="G1615" s="156">
        <v>44317</v>
      </c>
      <c r="H1615" t="s">
        <v>1218</v>
      </c>
      <c r="I1615">
        <v>2092227</v>
      </c>
      <c r="K1615">
        <v>0</v>
      </c>
      <c r="M1615">
        <v>0</v>
      </c>
      <c r="N1615">
        <v>3.5000000000000003E-2</v>
      </c>
      <c r="O1615">
        <v>73227.945000000007</v>
      </c>
      <c r="P1615" s="117">
        <v>2018999.0549999999</v>
      </c>
      <c r="Q1615" s="117" t="s">
        <v>1021</v>
      </c>
      <c r="R1615" s="150">
        <v>0</v>
      </c>
      <c r="S1615" s="117" t="b">
        <f>OR(COUNTIF(Tabla2[[#This Row],[PROVEEDOR]],"*"&amp;'Palabra no opera'!$A$2&amp;"*"))</f>
        <v>1</v>
      </c>
      <c r="T1615" s="150">
        <f>+$W$5-Tabla2[[#This Row],[FECHA DE FACTURACIÓN]]</f>
        <v>517</v>
      </c>
      <c r="U1615" t="str">
        <f>+IF(Tabla2[[#This Row],[dias de credito]]&gt;=Tabla2[[#This Row],[PLAZO Días]],"venc", "No venc")</f>
        <v>venc</v>
      </c>
      <c r="V1615" t="str">
        <f>+IF(Tabla2[[#This Row],[FECHA DE PAGO]]&gt;0,"pagada","por pagar")</f>
        <v>pagada</v>
      </c>
      <c r="W1615" s="152" t="str">
        <f>+IF(AND(Tabla2[[#This Row],[venc]]="venc",Tabla2[[#This Row],[Columna1]]="por pagar"),"vencida","no")</f>
        <v>no</v>
      </c>
    </row>
    <row r="1616" spans="1:23" x14ac:dyDescent="0.3">
      <c r="A1616">
        <v>30</v>
      </c>
      <c r="B1616">
        <v>0</v>
      </c>
      <c r="D1616" t="s">
        <v>267</v>
      </c>
      <c r="E1616" s="156">
        <v>44341</v>
      </c>
      <c r="F1616" t="s">
        <v>941</v>
      </c>
      <c r="G1616" s="156">
        <v>44317</v>
      </c>
      <c r="H1616">
        <v>1976</v>
      </c>
      <c r="I1616">
        <v>203897</v>
      </c>
      <c r="K1616">
        <v>38740.43</v>
      </c>
      <c r="M1616">
        <v>0</v>
      </c>
      <c r="N1616">
        <v>3.5000000000000003E-2</v>
      </c>
      <c r="O1616">
        <v>7136.3950000000004</v>
      </c>
      <c r="P1616" s="117">
        <v>235501.035</v>
      </c>
      <c r="Q1616" s="117" t="s">
        <v>1021</v>
      </c>
      <c r="R1616" s="150">
        <v>0</v>
      </c>
      <c r="S1616" s="117" t="b">
        <f>OR(COUNTIF(Tabla2[[#This Row],[PROVEEDOR]],"*"&amp;'Palabra no opera'!$A$2&amp;"*"))</f>
        <v>1</v>
      </c>
      <c r="T1616" s="150">
        <f>+$W$5-Tabla2[[#This Row],[FECHA DE FACTURACIÓN]]</f>
        <v>517</v>
      </c>
      <c r="U1616" t="str">
        <f>+IF(Tabla2[[#This Row],[dias de credito]]&gt;=Tabla2[[#This Row],[PLAZO Días]],"venc", "No venc")</f>
        <v>venc</v>
      </c>
      <c r="V1616" t="str">
        <f>+IF(Tabla2[[#This Row],[FECHA DE PAGO]]&gt;0,"pagada","por pagar")</f>
        <v>pagada</v>
      </c>
      <c r="W1616" s="152" t="str">
        <f>+IF(AND(Tabla2[[#This Row],[venc]]="venc",Tabla2[[#This Row],[Columna1]]="por pagar"),"vencida","no")</f>
        <v>no</v>
      </c>
    </row>
    <row r="1617" spans="1:23" x14ac:dyDescent="0.3">
      <c r="A1617">
        <v>20</v>
      </c>
      <c r="B1617">
        <v>0</v>
      </c>
      <c r="D1617" t="s">
        <v>275</v>
      </c>
      <c r="E1617" s="156">
        <v>44341</v>
      </c>
      <c r="F1617" t="s">
        <v>942</v>
      </c>
      <c r="G1617" s="156">
        <v>44317</v>
      </c>
      <c r="H1617">
        <v>39048</v>
      </c>
      <c r="I1617">
        <v>3322500</v>
      </c>
      <c r="K1617">
        <v>631275</v>
      </c>
      <c r="M1617">
        <v>0</v>
      </c>
      <c r="N1617">
        <v>3.5000000000000003E-2</v>
      </c>
      <c r="O1617">
        <v>116287.50000000001</v>
      </c>
      <c r="P1617" s="117">
        <v>3837487.5</v>
      </c>
      <c r="Q1617" s="117" t="s">
        <v>1021</v>
      </c>
      <c r="R1617" s="150">
        <v>0</v>
      </c>
      <c r="S1617" s="117" t="b">
        <f>OR(COUNTIF(Tabla2[[#This Row],[PROVEEDOR]],"*"&amp;'Palabra no opera'!$A$2&amp;"*"))</f>
        <v>1</v>
      </c>
      <c r="T1617" s="150">
        <f>+$W$5-Tabla2[[#This Row],[FECHA DE FACTURACIÓN]]</f>
        <v>517</v>
      </c>
      <c r="U1617" t="str">
        <f>+IF(Tabla2[[#This Row],[dias de credito]]&gt;=Tabla2[[#This Row],[PLAZO Días]],"venc", "No venc")</f>
        <v>venc</v>
      </c>
      <c r="V1617" t="str">
        <f>+IF(Tabla2[[#This Row],[FECHA DE PAGO]]&gt;0,"pagada","por pagar")</f>
        <v>pagada</v>
      </c>
      <c r="W1617" s="152" t="str">
        <f>+IF(AND(Tabla2[[#This Row],[venc]]="venc",Tabla2[[#This Row],[Columna1]]="por pagar"),"vencida","no")</f>
        <v>no</v>
      </c>
    </row>
    <row r="1618" spans="1:23" x14ac:dyDescent="0.3">
      <c r="A1618">
        <v>30</v>
      </c>
      <c r="B1618">
        <v>0</v>
      </c>
      <c r="D1618" t="s">
        <v>650</v>
      </c>
      <c r="E1618" s="156">
        <v>44341</v>
      </c>
      <c r="F1618" t="s">
        <v>913</v>
      </c>
      <c r="G1618" s="156">
        <v>44287</v>
      </c>
      <c r="H1618" t="s">
        <v>1199</v>
      </c>
      <c r="I1618">
        <v>3061166</v>
      </c>
      <c r="K1618">
        <v>581621.54</v>
      </c>
      <c r="M1618">
        <v>0</v>
      </c>
      <c r="N1618">
        <v>0</v>
      </c>
      <c r="O1618">
        <v>0</v>
      </c>
      <c r="P1618" s="117">
        <v>3642787.54</v>
      </c>
      <c r="Q1618" s="117" t="s">
        <v>1021</v>
      </c>
      <c r="R1618" s="150">
        <v>0</v>
      </c>
      <c r="S1618" s="117" t="b">
        <f>OR(COUNTIF(Tabla2[[#This Row],[PROVEEDOR]],"*"&amp;'Palabra no opera'!$A$2&amp;"*"))</f>
        <v>1</v>
      </c>
      <c r="T1618" s="150">
        <f>+$W$5-Tabla2[[#This Row],[FECHA DE FACTURACIÓN]]</f>
        <v>547</v>
      </c>
      <c r="U1618" t="str">
        <f>+IF(Tabla2[[#This Row],[dias de credito]]&gt;=Tabla2[[#This Row],[PLAZO Días]],"venc", "No venc")</f>
        <v>venc</v>
      </c>
      <c r="V1618" t="str">
        <f>+IF(Tabla2[[#This Row],[FECHA DE PAGO]]&gt;0,"pagada","por pagar")</f>
        <v>pagada</v>
      </c>
      <c r="W1618" s="152" t="str">
        <f>+IF(AND(Tabla2[[#This Row],[venc]]="venc",Tabla2[[#This Row],[Columna1]]="por pagar"),"vencida","no")</f>
        <v>no</v>
      </c>
    </row>
    <row r="1619" spans="1:23" x14ac:dyDescent="0.3">
      <c r="A1619">
        <v>30</v>
      </c>
      <c r="B1619">
        <v>0</v>
      </c>
      <c r="D1619" t="s">
        <v>650</v>
      </c>
      <c r="E1619" s="156">
        <v>44341</v>
      </c>
      <c r="F1619" t="s">
        <v>913</v>
      </c>
      <c r="G1619" s="156">
        <v>44287</v>
      </c>
      <c r="H1619" t="s">
        <v>1201</v>
      </c>
      <c r="I1619">
        <v>-918350</v>
      </c>
      <c r="K1619">
        <v>-174486.5</v>
      </c>
      <c r="M1619">
        <v>0</v>
      </c>
      <c r="N1619">
        <v>0</v>
      </c>
      <c r="O1619">
        <v>0</v>
      </c>
      <c r="P1619" s="117">
        <v>-1092836.5</v>
      </c>
      <c r="Q1619" s="117" t="s">
        <v>1021</v>
      </c>
      <c r="R1619" s="150">
        <v>0</v>
      </c>
      <c r="S1619" s="117" t="b">
        <f>OR(COUNTIF(Tabla2[[#This Row],[PROVEEDOR]],"*"&amp;'Palabra no opera'!$A$2&amp;"*"))</f>
        <v>1</v>
      </c>
      <c r="T1619" s="150">
        <f>+$W$5-Tabla2[[#This Row],[FECHA DE FACTURACIÓN]]</f>
        <v>547</v>
      </c>
      <c r="U1619" t="str">
        <f>+IF(Tabla2[[#This Row],[dias de credito]]&gt;=Tabla2[[#This Row],[PLAZO Días]],"venc", "No venc")</f>
        <v>venc</v>
      </c>
      <c r="V1619" t="str">
        <f>+IF(Tabla2[[#This Row],[FECHA DE PAGO]]&gt;0,"pagada","por pagar")</f>
        <v>pagada</v>
      </c>
      <c r="W1619" s="152" t="str">
        <f>+IF(AND(Tabla2[[#This Row],[venc]]="venc",Tabla2[[#This Row],[Columna1]]="por pagar"),"vencida","no")</f>
        <v>no</v>
      </c>
    </row>
    <row r="1620" spans="1:23" x14ac:dyDescent="0.3">
      <c r="A1620">
        <v>30</v>
      </c>
      <c r="B1620">
        <v>0</v>
      </c>
      <c r="D1620" t="s">
        <v>1688</v>
      </c>
      <c r="E1620" s="156">
        <v>44341</v>
      </c>
      <c r="F1620" t="s">
        <v>928</v>
      </c>
      <c r="G1620" s="156">
        <v>44287</v>
      </c>
      <c r="H1620" t="s">
        <v>292</v>
      </c>
      <c r="I1620">
        <v>2492240</v>
      </c>
      <c r="K1620">
        <v>0</v>
      </c>
      <c r="M1620">
        <v>0</v>
      </c>
      <c r="N1620">
        <v>3.5000000000000003E-2</v>
      </c>
      <c r="O1620">
        <v>87228.400000000009</v>
      </c>
      <c r="P1620" s="117">
        <v>2405011.6</v>
      </c>
      <c r="Q1620" s="117" t="s">
        <v>1021</v>
      </c>
      <c r="R1620" s="150">
        <v>0</v>
      </c>
      <c r="S1620" s="117" t="b">
        <f>OR(COUNTIF(Tabla2[[#This Row],[PROVEEDOR]],"*"&amp;'Palabra no opera'!$A$2&amp;"*"))</f>
        <v>1</v>
      </c>
      <c r="T1620" s="150">
        <f>+$W$5-Tabla2[[#This Row],[FECHA DE FACTURACIÓN]]</f>
        <v>547</v>
      </c>
      <c r="U1620" t="str">
        <f>+IF(Tabla2[[#This Row],[dias de credito]]&gt;=Tabla2[[#This Row],[PLAZO Días]],"venc", "No venc")</f>
        <v>venc</v>
      </c>
      <c r="V1620" t="str">
        <f>+IF(Tabla2[[#This Row],[FECHA DE PAGO]]&gt;0,"pagada","por pagar")</f>
        <v>pagada</v>
      </c>
      <c r="W1620" s="152" t="str">
        <f>+IF(AND(Tabla2[[#This Row],[venc]]="venc",Tabla2[[#This Row],[Columna1]]="por pagar"),"vencida","no")</f>
        <v>no</v>
      </c>
    </row>
    <row r="1621" spans="1:23" x14ac:dyDescent="0.3">
      <c r="A1621">
        <v>30</v>
      </c>
      <c r="B1621">
        <v>0</v>
      </c>
      <c r="D1621" t="s">
        <v>650</v>
      </c>
      <c r="E1621" s="156">
        <v>44341</v>
      </c>
      <c r="F1621" t="s">
        <v>913</v>
      </c>
      <c r="G1621" s="156">
        <v>44284</v>
      </c>
      <c r="H1621" t="s">
        <v>224</v>
      </c>
      <c r="I1621">
        <v>-136143.00000000003</v>
      </c>
      <c r="K1621">
        <v>-25867.170000000006</v>
      </c>
      <c r="M1621">
        <v>0</v>
      </c>
      <c r="N1621">
        <v>0</v>
      </c>
      <c r="O1621">
        <v>0</v>
      </c>
      <c r="P1621" s="117">
        <v>-162010.17000000004</v>
      </c>
      <c r="Q1621" s="117" t="s">
        <v>1021</v>
      </c>
      <c r="R1621" s="150">
        <v>0</v>
      </c>
      <c r="S1621" s="117" t="b">
        <f>OR(COUNTIF(Tabla2[[#This Row],[PROVEEDOR]],"*"&amp;'Palabra no opera'!$A$2&amp;"*"))</f>
        <v>1</v>
      </c>
      <c r="T1621" s="150">
        <f>+$W$5-Tabla2[[#This Row],[FECHA DE FACTURACIÓN]]</f>
        <v>550</v>
      </c>
      <c r="U1621" t="str">
        <f>+IF(Tabla2[[#This Row],[dias de credito]]&gt;=Tabla2[[#This Row],[PLAZO Días]],"venc", "No venc")</f>
        <v>venc</v>
      </c>
      <c r="V1621" t="str">
        <f>+IF(Tabla2[[#This Row],[FECHA DE PAGO]]&gt;0,"pagada","por pagar")</f>
        <v>pagada</v>
      </c>
      <c r="W1621" s="152" t="str">
        <f>+IF(AND(Tabla2[[#This Row],[venc]]="venc",Tabla2[[#This Row],[Columna1]]="por pagar"),"vencida","no")</f>
        <v>no</v>
      </c>
    </row>
    <row r="1622" spans="1:23" x14ac:dyDescent="0.3">
      <c r="A1622">
        <v>30</v>
      </c>
      <c r="B1622">
        <v>0</v>
      </c>
      <c r="D1622" t="s">
        <v>267</v>
      </c>
      <c r="E1622" s="156">
        <v>44341</v>
      </c>
      <c r="F1622" t="s">
        <v>941</v>
      </c>
      <c r="G1622" s="156">
        <v>44284</v>
      </c>
      <c r="H1622" t="s">
        <v>144</v>
      </c>
      <c r="I1622">
        <v>-5996.9747899159665</v>
      </c>
      <c r="K1622">
        <v>-1139.4252100840336</v>
      </c>
      <c r="M1622">
        <v>0</v>
      </c>
      <c r="N1622">
        <v>0</v>
      </c>
      <c r="O1622">
        <v>0</v>
      </c>
      <c r="P1622" s="117">
        <v>-7136.4</v>
      </c>
      <c r="Q1622" s="117" t="s">
        <v>1021</v>
      </c>
      <c r="R1622" s="150">
        <v>0</v>
      </c>
      <c r="S1622" s="117" t="b">
        <f>OR(COUNTIF(Tabla2[[#This Row],[PROVEEDOR]],"*"&amp;'Palabra no opera'!$A$2&amp;"*"))</f>
        <v>1</v>
      </c>
      <c r="T1622" s="150">
        <f>+$W$5-Tabla2[[#This Row],[FECHA DE FACTURACIÓN]]</f>
        <v>550</v>
      </c>
      <c r="U1622" t="str">
        <f>+IF(Tabla2[[#This Row],[dias de credito]]&gt;=Tabla2[[#This Row],[PLAZO Días]],"venc", "No venc")</f>
        <v>venc</v>
      </c>
      <c r="V1622" t="str">
        <f>+IF(Tabla2[[#This Row],[FECHA DE PAGO]]&gt;0,"pagada","por pagar")</f>
        <v>pagada</v>
      </c>
      <c r="W1622" s="152" t="str">
        <f>+IF(AND(Tabla2[[#This Row],[venc]]="venc",Tabla2[[#This Row],[Columna1]]="por pagar"),"vencida","no")</f>
        <v>no</v>
      </c>
    </row>
    <row r="1623" spans="1:23" x14ac:dyDescent="0.3">
      <c r="A1623">
        <v>30</v>
      </c>
      <c r="B1623">
        <v>3450150</v>
      </c>
      <c r="D1623" t="s">
        <v>402</v>
      </c>
      <c r="E1623" s="156">
        <v>44341</v>
      </c>
      <c r="F1623" t="s">
        <v>691</v>
      </c>
      <c r="G1623" s="156">
        <v>44235</v>
      </c>
      <c r="H1623">
        <v>2618</v>
      </c>
      <c r="I1623">
        <v>418000</v>
      </c>
      <c r="K1623">
        <v>0</v>
      </c>
      <c r="M1623">
        <v>0</v>
      </c>
      <c r="N1623">
        <v>0</v>
      </c>
      <c r="O1623">
        <v>0</v>
      </c>
      <c r="P1623" s="117">
        <v>418000</v>
      </c>
      <c r="Q1623" s="117" t="s">
        <v>1021</v>
      </c>
      <c r="R1623" s="150">
        <v>0</v>
      </c>
      <c r="S1623" s="117" t="b">
        <f>OR(COUNTIF(Tabla2[[#This Row],[PROVEEDOR]],"*"&amp;'Palabra no opera'!$A$2&amp;"*"))</f>
        <v>0</v>
      </c>
      <c r="T1623" s="150">
        <f>+$W$5-Tabla2[[#This Row],[FECHA DE FACTURACIÓN]]</f>
        <v>599</v>
      </c>
      <c r="U1623" t="str">
        <f>+IF(Tabla2[[#This Row],[dias de credito]]&gt;=Tabla2[[#This Row],[PLAZO Días]],"venc", "No venc")</f>
        <v>venc</v>
      </c>
      <c r="V1623" t="str">
        <f>+IF(Tabla2[[#This Row],[FECHA DE PAGO]]&gt;0,"pagada","por pagar")</f>
        <v>pagada</v>
      </c>
      <c r="W1623" s="152" t="str">
        <f>+IF(AND(Tabla2[[#This Row],[venc]]="venc",Tabla2[[#This Row],[Columna1]]="por pagar"),"vencida","no")</f>
        <v>no</v>
      </c>
    </row>
    <row r="1624" spans="1:23" x14ac:dyDescent="0.3">
      <c r="A1624">
        <v>30</v>
      </c>
      <c r="B1624">
        <v>0</v>
      </c>
      <c r="D1624">
        <v>0</v>
      </c>
      <c r="E1624" s="156">
        <v>44340</v>
      </c>
      <c r="F1624" t="s">
        <v>932</v>
      </c>
      <c r="G1624" s="156">
        <v>44331</v>
      </c>
      <c r="H1624" t="s">
        <v>307</v>
      </c>
      <c r="I1624">
        <v>313385</v>
      </c>
      <c r="K1624">
        <v>0</v>
      </c>
      <c r="M1624">
        <v>0</v>
      </c>
      <c r="N1624">
        <v>0</v>
      </c>
      <c r="O1624">
        <v>0</v>
      </c>
      <c r="P1624" s="117">
        <v>313385</v>
      </c>
      <c r="Q1624" s="117" t="s">
        <v>1021</v>
      </c>
      <c r="R1624" s="150">
        <v>0</v>
      </c>
      <c r="S1624" s="117" t="b">
        <f>OR(COUNTIF(Tabla2[[#This Row],[PROVEEDOR]],"*"&amp;'Palabra no opera'!$A$2&amp;"*"))</f>
        <v>1</v>
      </c>
      <c r="T1624" s="150">
        <f>+$W$5-Tabla2[[#This Row],[FECHA DE FACTURACIÓN]]</f>
        <v>503</v>
      </c>
      <c r="U1624" t="str">
        <f>+IF(Tabla2[[#This Row],[dias de credito]]&gt;=Tabla2[[#This Row],[PLAZO Días]],"venc", "No venc")</f>
        <v>venc</v>
      </c>
      <c r="V1624" t="str">
        <f>+IF(Tabla2[[#This Row],[FECHA DE PAGO]]&gt;0,"pagada","por pagar")</f>
        <v>pagada</v>
      </c>
      <c r="W1624" s="152" t="str">
        <f>+IF(AND(Tabla2[[#This Row],[venc]]="venc",Tabla2[[#This Row],[Columna1]]="por pagar"),"vencida","no")</f>
        <v>no</v>
      </c>
    </row>
    <row r="1625" spans="1:23" x14ac:dyDescent="0.3">
      <c r="A1625">
        <v>30</v>
      </c>
      <c r="B1625">
        <v>0</v>
      </c>
      <c r="D1625" t="s">
        <v>1036</v>
      </c>
      <c r="E1625" s="156">
        <v>44340</v>
      </c>
      <c r="F1625" t="s">
        <v>927</v>
      </c>
      <c r="G1625" s="156">
        <v>44317</v>
      </c>
      <c r="H1625" t="s">
        <v>312</v>
      </c>
      <c r="I1625">
        <v>727051</v>
      </c>
      <c r="K1625">
        <v>0</v>
      </c>
      <c r="M1625">
        <v>0</v>
      </c>
      <c r="N1625">
        <v>0</v>
      </c>
      <c r="O1625">
        <v>0</v>
      </c>
      <c r="P1625" s="117">
        <v>727051</v>
      </c>
      <c r="Q1625" s="117" t="s">
        <v>1021</v>
      </c>
      <c r="R1625" s="150">
        <v>0</v>
      </c>
      <c r="S1625" s="117" t="b">
        <f>OR(COUNTIF(Tabla2[[#This Row],[PROVEEDOR]],"*"&amp;'Palabra no opera'!$A$2&amp;"*"))</f>
        <v>1</v>
      </c>
      <c r="T1625" s="150">
        <f>+$W$5-Tabla2[[#This Row],[FECHA DE FACTURACIÓN]]</f>
        <v>517</v>
      </c>
      <c r="U1625" t="str">
        <f>+IF(Tabla2[[#This Row],[dias de credito]]&gt;=Tabla2[[#This Row],[PLAZO Días]],"venc", "No venc")</f>
        <v>venc</v>
      </c>
      <c r="V1625" t="str">
        <f>+IF(Tabla2[[#This Row],[FECHA DE PAGO]]&gt;0,"pagada","por pagar")</f>
        <v>pagada</v>
      </c>
      <c r="W1625" s="152" t="str">
        <f>+IF(AND(Tabla2[[#This Row],[venc]]="venc",Tabla2[[#This Row],[Columna1]]="por pagar"),"vencida","no")</f>
        <v>no</v>
      </c>
    </row>
    <row r="1626" spans="1:23" x14ac:dyDescent="0.3">
      <c r="A1626">
        <v>30</v>
      </c>
      <c r="B1626">
        <v>0</v>
      </c>
      <c r="D1626" t="s">
        <v>1036</v>
      </c>
      <c r="E1626" s="156">
        <v>44340</v>
      </c>
      <c r="F1626" t="s">
        <v>927</v>
      </c>
      <c r="G1626" s="156">
        <v>44317</v>
      </c>
      <c r="H1626" t="s">
        <v>313</v>
      </c>
      <c r="I1626">
        <v>743959</v>
      </c>
      <c r="K1626">
        <v>0</v>
      </c>
      <c r="M1626">
        <v>0</v>
      </c>
      <c r="N1626">
        <v>0</v>
      </c>
      <c r="O1626">
        <v>0</v>
      </c>
      <c r="P1626" s="117">
        <v>743959</v>
      </c>
      <c r="Q1626" s="117" t="s">
        <v>1021</v>
      </c>
      <c r="R1626" s="150">
        <v>0</v>
      </c>
      <c r="S1626" s="117" t="b">
        <f>OR(COUNTIF(Tabla2[[#This Row],[PROVEEDOR]],"*"&amp;'Palabra no opera'!$A$2&amp;"*"))</f>
        <v>1</v>
      </c>
      <c r="T1626" s="150">
        <f>+$W$5-Tabla2[[#This Row],[FECHA DE FACTURACIÓN]]</f>
        <v>517</v>
      </c>
      <c r="U1626" t="str">
        <f>+IF(Tabla2[[#This Row],[dias de credito]]&gt;=Tabla2[[#This Row],[PLAZO Días]],"venc", "No venc")</f>
        <v>venc</v>
      </c>
      <c r="V1626" t="str">
        <f>+IF(Tabla2[[#This Row],[FECHA DE PAGO]]&gt;0,"pagada","por pagar")</f>
        <v>pagada</v>
      </c>
      <c r="W1626" s="152" t="str">
        <f>+IF(AND(Tabla2[[#This Row],[venc]]="venc",Tabla2[[#This Row],[Columna1]]="por pagar"),"vencida","no")</f>
        <v>no</v>
      </c>
    </row>
    <row r="1627" spans="1:23" x14ac:dyDescent="0.3">
      <c r="A1627">
        <v>30</v>
      </c>
      <c r="B1627">
        <v>0</v>
      </c>
      <c r="D1627">
        <v>0</v>
      </c>
      <c r="E1627" s="156">
        <v>44340</v>
      </c>
      <c r="F1627" t="s">
        <v>923</v>
      </c>
      <c r="G1627" s="156">
        <v>44293</v>
      </c>
      <c r="H1627" t="s">
        <v>1204</v>
      </c>
      <c r="I1627">
        <v>256261</v>
      </c>
      <c r="K1627">
        <v>0</v>
      </c>
      <c r="M1627">
        <v>0</v>
      </c>
      <c r="N1627">
        <v>0</v>
      </c>
      <c r="O1627">
        <v>0</v>
      </c>
      <c r="P1627" s="117">
        <v>256261</v>
      </c>
      <c r="Q1627" s="117" t="s">
        <v>1021</v>
      </c>
      <c r="R1627" s="150">
        <v>0</v>
      </c>
      <c r="S1627" s="117" t="b">
        <f>OR(COUNTIF(Tabla2[[#This Row],[PROVEEDOR]],"*"&amp;'Palabra no opera'!$A$2&amp;"*"))</f>
        <v>1</v>
      </c>
      <c r="T1627" s="150">
        <f>+$W$5-Tabla2[[#This Row],[FECHA DE FACTURACIÓN]]</f>
        <v>541</v>
      </c>
      <c r="U1627" t="str">
        <f>+IF(Tabla2[[#This Row],[dias de credito]]&gt;=Tabla2[[#This Row],[PLAZO Días]],"venc", "No venc")</f>
        <v>venc</v>
      </c>
      <c r="V1627" t="str">
        <f>+IF(Tabla2[[#This Row],[FECHA DE PAGO]]&gt;0,"pagada","por pagar")</f>
        <v>pagada</v>
      </c>
      <c r="W1627" s="152" t="str">
        <f>+IF(AND(Tabla2[[#This Row],[venc]]="venc",Tabla2[[#This Row],[Columna1]]="por pagar"),"vencida","no")</f>
        <v>no</v>
      </c>
    </row>
    <row r="1628" spans="1:23" x14ac:dyDescent="0.3">
      <c r="A1628">
        <v>30</v>
      </c>
      <c r="B1628">
        <v>0</v>
      </c>
      <c r="D1628">
        <v>0</v>
      </c>
      <c r="E1628" s="156">
        <v>44340</v>
      </c>
      <c r="F1628" t="s">
        <v>923</v>
      </c>
      <c r="G1628" s="156">
        <v>44293</v>
      </c>
      <c r="H1628" t="s">
        <v>1205</v>
      </c>
      <c r="I1628">
        <v>1545030</v>
      </c>
      <c r="K1628">
        <v>0</v>
      </c>
      <c r="M1628">
        <v>0</v>
      </c>
      <c r="N1628">
        <v>0</v>
      </c>
      <c r="O1628">
        <v>0</v>
      </c>
      <c r="P1628" s="117">
        <v>1545030</v>
      </c>
      <c r="Q1628" s="117" t="s">
        <v>1021</v>
      </c>
      <c r="R1628" s="150">
        <v>0</v>
      </c>
      <c r="S1628" s="117" t="b">
        <f>OR(COUNTIF(Tabla2[[#This Row],[PROVEEDOR]],"*"&amp;'Palabra no opera'!$A$2&amp;"*"))</f>
        <v>1</v>
      </c>
      <c r="T1628" s="150">
        <f>+$W$5-Tabla2[[#This Row],[FECHA DE FACTURACIÓN]]</f>
        <v>541</v>
      </c>
      <c r="U1628" t="str">
        <f>+IF(Tabla2[[#This Row],[dias de credito]]&gt;=Tabla2[[#This Row],[PLAZO Días]],"venc", "No venc")</f>
        <v>venc</v>
      </c>
      <c r="V1628" t="str">
        <f>+IF(Tabla2[[#This Row],[FECHA DE PAGO]]&gt;0,"pagada","por pagar")</f>
        <v>pagada</v>
      </c>
      <c r="W1628" s="152" t="str">
        <f>+IF(AND(Tabla2[[#This Row],[venc]]="venc",Tabla2[[#This Row],[Columna1]]="por pagar"),"vencida","no")</f>
        <v>no</v>
      </c>
    </row>
    <row r="1629" spans="1:23" x14ac:dyDescent="0.3">
      <c r="A1629">
        <v>30</v>
      </c>
      <c r="B1629">
        <v>0</v>
      </c>
      <c r="D1629">
        <v>0</v>
      </c>
      <c r="E1629" s="156">
        <v>44340</v>
      </c>
      <c r="F1629" t="s">
        <v>923</v>
      </c>
      <c r="G1629" s="156">
        <v>44287</v>
      </c>
      <c r="H1629" t="s">
        <v>305</v>
      </c>
      <c r="I1629">
        <v>1230953</v>
      </c>
      <c r="K1629">
        <v>0</v>
      </c>
      <c r="M1629">
        <v>0</v>
      </c>
      <c r="N1629">
        <v>0</v>
      </c>
      <c r="O1629">
        <v>0</v>
      </c>
      <c r="P1629" s="117">
        <v>1230953</v>
      </c>
      <c r="Q1629" s="117" t="s">
        <v>1021</v>
      </c>
      <c r="R1629" s="150">
        <v>0</v>
      </c>
      <c r="S1629" s="117" t="b">
        <f>OR(COUNTIF(Tabla2[[#This Row],[PROVEEDOR]],"*"&amp;'Palabra no opera'!$A$2&amp;"*"))</f>
        <v>1</v>
      </c>
      <c r="T1629" s="150">
        <f>+$W$5-Tabla2[[#This Row],[FECHA DE FACTURACIÓN]]</f>
        <v>547</v>
      </c>
      <c r="U1629" t="str">
        <f>+IF(Tabla2[[#This Row],[dias de credito]]&gt;=Tabla2[[#This Row],[PLAZO Días]],"venc", "No venc")</f>
        <v>venc</v>
      </c>
      <c r="V1629" t="str">
        <f>+IF(Tabla2[[#This Row],[FECHA DE PAGO]]&gt;0,"pagada","por pagar")</f>
        <v>pagada</v>
      </c>
      <c r="W1629" s="152" t="str">
        <f>+IF(AND(Tabla2[[#This Row],[venc]]="venc",Tabla2[[#This Row],[Columna1]]="por pagar"),"vencida","no")</f>
        <v>no</v>
      </c>
    </row>
    <row r="1630" spans="1:23" x14ac:dyDescent="0.3">
      <c r="A1630">
        <v>30</v>
      </c>
      <c r="B1630">
        <v>527800</v>
      </c>
      <c r="D1630" t="s">
        <v>139</v>
      </c>
      <c r="E1630" s="156">
        <v>44340</v>
      </c>
      <c r="F1630" t="s">
        <v>624</v>
      </c>
      <c r="G1630" s="156">
        <v>44243</v>
      </c>
      <c r="H1630" t="s">
        <v>1453</v>
      </c>
      <c r="I1630">
        <v>595000</v>
      </c>
      <c r="K1630">
        <v>0</v>
      </c>
      <c r="M1630">
        <v>0</v>
      </c>
      <c r="N1630">
        <v>0</v>
      </c>
      <c r="O1630">
        <v>0</v>
      </c>
      <c r="P1630" s="117">
        <v>595000</v>
      </c>
      <c r="Q1630" s="117" t="s">
        <v>1021</v>
      </c>
      <c r="R1630" s="150">
        <v>0</v>
      </c>
      <c r="S1630" s="117" t="b">
        <f>OR(COUNTIF(Tabla2[[#This Row],[PROVEEDOR]],"*"&amp;'Palabra no opera'!$A$2&amp;"*"))</f>
        <v>0</v>
      </c>
      <c r="T1630" s="150">
        <f>+$W$5-Tabla2[[#This Row],[FECHA DE FACTURACIÓN]]</f>
        <v>591</v>
      </c>
      <c r="U1630" t="str">
        <f>+IF(Tabla2[[#This Row],[dias de credito]]&gt;=Tabla2[[#This Row],[PLAZO Días]],"venc", "No venc")</f>
        <v>venc</v>
      </c>
      <c r="V1630" t="str">
        <f>+IF(Tabla2[[#This Row],[FECHA DE PAGO]]&gt;0,"pagada","por pagar")</f>
        <v>pagada</v>
      </c>
      <c r="W1630" s="152" t="str">
        <f>+IF(AND(Tabla2[[#This Row],[venc]]="venc",Tabla2[[#This Row],[Columna1]]="por pagar"),"vencida","no")</f>
        <v>no</v>
      </c>
    </row>
    <row r="1631" spans="1:23" x14ac:dyDescent="0.3">
      <c r="A1631">
        <v>30</v>
      </c>
      <c r="B1631">
        <v>0</v>
      </c>
      <c r="D1631" t="s">
        <v>139</v>
      </c>
      <c r="E1631" s="156">
        <v>44338</v>
      </c>
      <c r="F1631" t="s">
        <v>673</v>
      </c>
      <c r="G1631" s="156">
        <v>44338</v>
      </c>
      <c r="I1631">
        <v>600000</v>
      </c>
      <c r="K1631">
        <v>0</v>
      </c>
      <c r="M1631">
        <v>0</v>
      </c>
      <c r="N1631">
        <v>0</v>
      </c>
      <c r="O1631">
        <v>0</v>
      </c>
      <c r="P1631" s="117">
        <v>600000</v>
      </c>
      <c r="Q1631" s="117" t="s">
        <v>1021</v>
      </c>
      <c r="R1631" s="150">
        <v>0</v>
      </c>
      <c r="S1631" s="117" t="b">
        <f>OR(COUNTIF(Tabla2[[#This Row],[PROVEEDOR]],"*"&amp;'Palabra no opera'!$A$2&amp;"*"))</f>
        <v>0</v>
      </c>
      <c r="T1631" s="150">
        <f>+$W$5-Tabla2[[#This Row],[FECHA DE FACTURACIÓN]]</f>
        <v>496</v>
      </c>
      <c r="U1631" t="str">
        <f>+IF(Tabla2[[#This Row],[dias de credito]]&gt;=Tabla2[[#This Row],[PLAZO Días]],"venc", "No venc")</f>
        <v>venc</v>
      </c>
      <c r="V1631" t="str">
        <f>+IF(Tabla2[[#This Row],[FECHA DE PAGO]]&gt;0,"pagada","por pagar")</f>
        <v>pagada</v>
      </c>
      <c r="W1631" s="152" t="str">
        <f>+IF(AND(Tabla2[[#This Row],[venc]]="venc",Tabla2[[#This Row],[Columna1]]="por pagar"),"vencida","no")</f>
        <v>no</v>
      </c>
    </row>
    <row r="1632" spans="1:23" x14ac:dyDescent="0.3">
      <c r="A1632">
        <v>30</v>
      </c>
      <c r="B1632">
        <v>2192943.5750000002</v>
      </c>
      <c r="D1632" t="s">
        <v>273</v>
      </c>
      <c r="E1632" s="156">
        <v>44336</v>
      </c>
      <c r="F1632" t="s">
        <v>1638</v>
      </c>
      <c r="G1632" s="156">
        <v>44336</v>
      </c>
      <c r="H1632" t="s">
        <v>336</v>
      </c>
      <c r="I1632">
        <v>294454</v>
      </c>
      <c r="K1632">
        <v>55946.26</v>
      </c>
      <c r="M1632">
        <v>0</v>
      </c>
      <c r="N1632">
        <v>0</v>
      </c>
      <c r="O1632">
        <v>0</v>
      </c>
      <c r="P1632" s="117">
        <v>350400.26</v>
      </c>
      <c r="Q1632" s="117" t="s">
        <v>1021</v>
      </c>
      <c r="R1632" s="150">
        <v>0</v>
      </c>
      <c r="S1632" s="117" t="b">
        <f>OR(COUNTIF(Tabla2[[#This Row],[PROVEEDOR]],"*"&amp;'Palabra no opera'!$A$2&amp;"*"))</f>
        <v>0</v>
      </c>
      <c r="T1632" s="150">
        <f>+$W$5-Tabla2[[#This Row],[FECHA DE FACTURACIÓN]]</f>
        <v>498</v>
      </c>
      <c r="U1632" t="str">
        <f>+IF(Tabla2[[#This Row],[dias de credito]]&gt;=Tabla2[[#This Row],[PLAZO Días]],"venc", "No venc")</f>
        <v>venc</v>
      </c>
      <c r="V1632" t="str">
        <f>+IF(Tabla2[[#This Row],[FECHA DE PAGO]]&gt;0,"pagada","por pagar")</f>
        <v>pagada</v>
      </c>
      <c r="W1632" s="152" t="str">
        <f>+IF(AND(Tabla2[[#This Row],[venc]]="venc",Tabla2[[#This Row],[Columna1]]="por pagar"),"vencida","no")</f>
        <v>no</v>
      </c>
    </row>
    <row r="1633" spans="1:23" x14ac:dyDescent="0.3">
      <c r="A1633">
        <v>30</v>
      </c>
      <c r="B1633">
        <v>0</v>
      </c>
      <c r="D1633" t="s">
        <v>139</v>
      </c>
      <c r="E1633" s="156">
        <v>44336</v>
      </c>
      <c r="F1633" t="s">
        <v>697</v>
      </c>
      <c r="G1633" s="156">
        <v>44336</v>
      </c>
      <c r="H1633" t="s">
        <v>1231</v>
      </c>
      <c r="I1633">
        <v>91000</v>
      </c>
      <c r="K1633">
        <v>0</v>
      </c>
      <c r="M1633">
        <v>0</v>
      </c>
      <c r="N1633">
        <v>0</v>
      </c>
      <c r="O1633">
        <v>0</v>
      </c>
      <c r="P1633" s="117">
        <v>91000</v>
      </c>
      <c r="Q1633" s="117" t="s">
        <v>1021</v>
      </c>
      <c r="R1633" s="150">
        <v>0</v>
      </c>
      <c r="S1633" s="117" t="b">
        <f>OR(COUNTIF(Tabla2[[#This Row],[PROVEEDOR]],"*"&amp;'Palabra no opera'!$A$2&amp;"*"))</f>
        <v>0</v>
      </c>
      <c r="T1633" s="150">
        <f>+$W$5-Tabla2[[#This Row],[FECHA DE FACTURACIÓN]]</f>
        <v>498</v>
      </c>
      <c r="U1633" t="str">
        <f>+IF(Tabla2[[#This Row],[dias de credito]]&gt;=Tabla2[[#This Row],[PLAZO Días]],"venc", "No venc")</f>
        <v>venc</v>
      </c>
      <c r="V1633" t="str">
        <f>+IF(Tabla2[[#This Row],[FECHA DE PAGO]]&gt;0,"pagada","por pagar")</f>
        <v>pagada</v>
      </c>
      <c r="W1633" s="152" t="str">
        <f>+IF(AND(Tabla2[[#This Row],[venc]]="venc",Tabla2[[#This Row],[Columna1]]="por pagar"),"vencida","no")</f>
        <v>no</v>
      </c>
    </row>
    <row r="1634" spans="1:23" x14ac:dyDescent="0.3">
      <c r="A1634">
        <v>30</v>
      </c>
      <c r="B1634">
        <v>0</v>
      </c>
      <c r="D1634" t="s">
        <v>139</v>
      </c>
      <c r="E1634" s="156">
        <v>44336</v>
      </c>
      <c r="F1634" t="s">
        <v>689</v>
      </c>
      <c r="G1634" s="156">
        <v>44335</v>
      </c>
      <c r="H1634">
        <v>628478</v>
      </c>
      <c r="I1634">
        <v>2327596</v>
      </c>
      <c r="K1634">
        <v>0</v>
      </c>
      <c r="M1634">
        <v>0</v>
      </c>
      <c r="N1634">
        <v>0</v>
      </c>
      <c r="O1634">
        <v>0</v>
      </c>
      <c r="P1634" s="117">
        <v>2327596</v>
      </c>
      <c r="Q1634" s="117" t="s">
        <v>1021</v>
      </c>
      <c r="R1634" s="150">
        <v>0</v>
      </c>
      <c r="S1634" s="117" t="b">
        <f>OR(COUNTIF(Tabla2[[#This Row],[PROVEEDOR]],"*"&amp;'Palabra no opera'!$A$2&amp;"*"))</f>
        <v>0</v>
      </c>
      <c r="T1634" s="150">
        <f>+$W$5-Tabla2[[#This Row],[FECHA DE FACTURACIÓN]]</f>
        <v>499</v>
      </c>
      <c r="U1634" t="str">
        <f>+IF(Tabla2[[#This Row],[dias de credito]]&gt;=Tabla2[[#This Row],[PLAZO Días]],"venc", "No venc")</f>
        <v>venc</v>
      </c>
      <c r="V1634" t="str">
        <f>+IF(Tabla2[[#This Row],[FECHA DE PAGO]]&gt;0,"pagada","por pagar")</f>
        <v>pagada</v>
      </c>
      <c r="W1634" s="152" t="str">
        <f>+IF(AND(Tabla2[[#This Row],[venc]]="venc",Tabla2[[#This Row],[Columna1]]="por pagar"),"vencida","no")</f>
        <v>no</v>
      </c>
    </row>
    <row r="1635" spans="1:23" x14ac:dyDescent="0.3">
      <c r="A1635">
        <v>30</v>
      </c>
      <c r="B1635">
        <v>0</v>
      </c>
      <c r="D1635" t="s">
        <v>139</v>
      </c>
      <c r="E1635" s="156">
        <v>44335</v>
      </c>
      <c r="F1635" t="s">
        <v>638</v>
      </c>
      <c r="G1635" s="156">
        <v>44335</v>
      </c>
      <c r="H1635" t="s">
        <v>1227</v>
      </c>
      <c r="I1635">
        <v>4819000</v>
      </c>
      <c r="K1635">
        <v>0</v>
      </c>
      <c r="M1635">
        <v>0</v>
      </c>
      <c r="N1635">
        <v>0</v>
      </c>
      <c r="O1635">
        <v>0</v>
      </c>
      <c r="P1635" s="117">
        <v>4819000</v>
      </c>
      <c r="Q1635" s="117" t="s">
        <v>1021</v>
      </c>
      <c r="R1635" s="150">
        <v>0</v>
      </c>
      <c r="S1635" s="117" t="b">
        <f>OR(COUNTIF(Tabla2[[#This Row],[PROVEEDOR]],"*"&amp;'Palabra no opera'!$A$2&amp;"*"))</f>
        <v>0</v>
      </c>
      <c r="T1635" s="150">
        <f>+$W$5-Tabla2[[#This Row],[FECHA DE FACTURACIÓN]]</f>
        <v>499</v>
      </c>
      <c r="U1635" t="str">
        <f>+IF(Tabla2[[#This Row],[dias de credito]]&gt;=Tabla2[[#This Row],[PLAZO Días]],"venc", "No venc")</f>
        <v>venc</v>
      </c>
      <c r="V1635" t="str">
        <f>+IF(Tabla2[[#This Row],[FECHA DE PAGO]]&gt;0,"pagada","por pagar")</f>
        <v>pagada</v>
      </c>
      <c r="W1635" s="152" t="str">
        <f>+IF(AND(Tabla2[[#This Row],[venc]]="venc",Tabla2[[#This Row],[Columna1]]="por pagar"),"vencida","no")</f>
        <v>no</v>
      </c>
    </row>
    <row r="1636" spans="1:23" x14ac:dyDescent="0.3">
      <c r="A1636">
        <v>30</v>
      </c>
      <c r="B1636">
        <v>2324000</v>
      </c>
      <c r="D1636" t="s">
        <v>251</v>
      </c>
      <c r="E1636" s="156">
        <v>44335</v>
      </c>
      <c r="F1636" t="s">
        <v>699</v>
      </c>
      <c r="G1636" s="156">
        <v>44320</v>
      </c>
      <c r="H1636" t="s">
        <v>1222</v>
      </c>
      <c r="I1636">
        <v>210000</v>
      </c>
      <c r="K1636">
        <v>0</v>
      </c>
      <c r="M1636">
        <v>0</v>
      </c>
      <c r="N1636">
        <v>0</v>
      </c>
      <c r="O1636">
        <v>0</v>
      </c>
      <c r="P1636" s="117">
        <v>210000</v>
      </c>
      <c r="Q1636" s="117" t="s">
        <v>1021</v>
      </c>
      <c r="R1636" s="150">
        <v>0</v>
      </c>
      <c r="S1636" s="117" t="b">
        <f>OR(COUNTIF(Tabla2[[#This Row],[PROVEEDOR]],"*"&amp;'Palabra no opera'!$A$2&amp;"*"))</f>
        <v>0</v>
      </c>
      <c r="T1636" s="150">
        <f>+$W$5-Tabla2[[#This Row],[FECHA DE FACTURACIÓN]]</f>
        <v>514</v>
      </c>
      <c r="U1636" t="str">
        <f>+IF(Tabla2[[#This Row],[dias de credito]]&gt;=Tabla2[[#This Row],[PLAZO Días]],"venc", "No venc")</f>
        <v>venc</v>
      </c>
      <c r="V1636" t="str">
        <f>+IF(Tabla2[[#This Row],[FECHA DE PAGO]]&gt;0,"pagada","por pagar")</f>
        <v>pagada</v>
      </c>
      <c r="W1636" s="152" t="str">
        <f>+IF(AND(Tabla2[[#This Row],[venc]]="venc",Tabla2[[#This Row],[Columna1]]="por pagar"),"vencida","no")</f>
        <v>no</v>
      </c>
    </row>
    <row r="1637" spans="1:23" x14ac:dyDescent="0.3">
      <c r="A1637">
        <v>30</v>
      </c>
      <c r="B1637">
        <v>19675613.1195</v>
      </c>
      <c r="D1637" t="s">
        <v>256</v>
      </c>
      <c r="E1637" s="156">
        <v>44335</v>
      </c>
      <c r="F1637" t="s">
        <v>18</v>
      </c>
      <c r="G1637" s="156">
        <v>44308</v>
      </c>
      <c r="H1637">
        <v>1037035</v>
      </c>
      <c r="I1637">
        <v>2259006.4</v>
      </c>
      <c r="K1637">
        <v>429211.21600000001</v>
      </c>
      <c r="M1637">
        <v>0</v>
      </c>
      <c r="N1637">
        <v>2.5000000000000001E-2</v>
      </c>
      <c r="O1637">
        <v>56475.16</v>
      </c>
      <c r="P1637" s="117">
        <v>2631742.4559999998</v>
      </c>
      <c r="Q1637" s="117" t="s">
        <v>1021</v>
      </c>
      <c r="R1637" s="150">
        <v>0</v>
      </c>
      <c r="S1637" s="117" t="b">
        <f>OR(COUNTIF(Tabla2[[#This Row],[PROVEEDOR]],"*"&amp;'Palabra no opera'!$A$2&amp;"*"))</f>
        <v>0</v>
      </c>
      <c r="T1637" s="150">
        <f>+$W$5-Tabla2[[#This Row],[FECHA DE FACTURACIÓN]]</f>
        <v>526</v>
      </c>
      <c r="U1637" t="str">
        <f>+IF(Tabla2[[#This Row],[dias de credito]]&gt;=Tabla2[[#This Row],[PLAZO Días]],"venc", "No venc")</f>
        <v>venc</v>
      </c>
      <c r="V1637" t="str">
        <f>+IF(Tabla2[[#This Row],[FECHA DE PAGO]]&gt;0,"pagada","por pagar")</f>
        <v>pagada</v>
      </c>
      <c r="W1637" s="152" t="str">
        <f>+IF(AND(Tabla2[[#This Row],[venc]]="venc",Tabla2[[#This Row],[Columna1]]="por pagar"),"vencida","no")</f>
        <v>no</v>
      </c>
    </row>
    <row r="1638" spans="1:23" x14ac:dyDescent="0.3">
      <c r="A1638">
        <v>30</v>
      </c>
      <c r="B1638">
        <v>0</v>
      </c>
      <c r="D1638">
        <v>0</v>
      </c>
      <c r="E1638" s="156">
        <v>44335</v>
      </c>
      <c r="F1638" t="s">
        <v>278</v>
      </c>
      <c r="G1638" s="156">
        <v>44281</v>
      </c>
      <c r="H1638">
        <v>61</v>
      </c>
      <c r="I1638">
        <v>746206</v>
      </c>
      <c r="K1638">
        <v>141779.14000000001</v>
      </c>
      <c r="M1638">
        <v>0</v>
      </c>
      <c r="N1638">
        <v>0</v>
      </c>
      <c r="O1638">
        <v>0</v>
      </c>
      <c r="P1638" s="117">
        <v>887985.14</v>
      </c>
      <c r="Q1638" s="117" t="s">
        <v>1021</v>
      </c>
      <c r="R1638" s="150">
        <v>0</v>
      </c>
      <c r="S1638" s="117" t="b">
        <f>OR(COUNTIF(Tabla2[[#This Row],[PROVEEDOR]],"*"&amp;'Palabra no opera'!$A$2&amp;"*"))</f>
        <v>0</v>
      </c>
      <c r="T1638" s="150">
        <f>+$W$5-Tabla2[[#This Row],[FECHA DE FACTURACIÓN]]</f>
        <v>553</v>
      </c>
      <c r="U1638" t="str">
        <f>+IF(Tabla2[[#This Row],[dias de credito]]&gt;=Tabla2[[#This Row],[PLAZO Días]],"venc", "No venc")</f>
        <v>venc</v>
      </c>
      <c r="V1638" t="str">
        <f>+IF(Tabla2[[#This Row],[FECHA DE PAGO]]&gt;0,"pagada","por pagar")</f>
        <v>pagada</v>
      </c>
      <c r="W1638" s="152" t="str">
        <f>+IF(AND(Tabla2[[#This Row],[venc]]="venc",Tabla2[[#This Row],[Columna1]]="por pagar"),"vencida","no")</f>
        <v>no</v>
      </c>
    </row>
    <row r="1639" spans="1:23" x14ac:dyDescent="0.3">
      <c r="A1639">
        <v>30</v>
      </c>
      <c r="B1639">
        <v>146262.9</v>
      </c>
      <c r="D1639" t="s">
        <v>262</v>
      </c>
      <c r="E1639" s="156">
        <v>44335</v>
      </c>
      <c r="F1639" t="s">
        <v>17</v>
      </c>
      <c r="G1639" s="156">
        <v>44281</v>
      </c>
      <c r="H1639">
        <v>1744568</v>
      </c>
      <c r="I1639">
        <v>1740230</v>
      </c>
      <c r="K1639">
        <v>330643.7</v>
      </c>
      <c r="M1639">
        <v>0</v>
      </c>
      <c r="N1639">
        <v>0</v>
      </c>
      <c r="O1639">
        <v>0</v>
      </c>
      <c r="P1639" s="117">
        <v>2070873.7</v>
      </c>
      <c r="Q1639" s="117" t="s">
        <v>1021</v>
      </c>
      <c r="R1639" s="150">
        <v>0</v>
      </c>
      <c r="S1639" s="117" t="b">
        <f>OR(COUNTIF(Tabla2[[#This Row],[PROVEEDOR]],"*"&amp;'Palabra no opera'!$A$2&amp;"*"))</f>
        <v>0</v>
      </c>
      <c r="T1639" s="150">
        <f>+$W$5-Tabla2[[#This Row],[FECHA DE FACTURACIÓN]]</f>
        <v>553</v>
      </c>
      <c r="U1639" t="str">
        <f>+IF(Tabla2[[#This Row],[dias de credito]]&gt;=Tabla2[[#This Row],[PLAZO Días]],"venc", "No venc")</f>
        <v>venc</v>
      </c>
      <c r="V1639" t="str">
        <f>+IF(Tabla2[[#This Row],[FECHA DE PAGO]]&gt;0,"pagada","por pagar")</f>
        <v>pagada</v>
      </c>
      <c r="W1639" s="152" t="str">
        <f>+IF(AND(Tabla2[[#This Row],[venc]]="venc",Tabla2[[#This Row],[Columna1]]="por pagar"),"vencida","no")</f>
        <v>no</v>
      </c>
    </row>
    <row r="1640" spans="1:23" x14ac:dyDescent="0.3">
      <c r="A1640">
        <v>30</v>
      </c>
      <c r="B1640">
        <v>749999.88</v>
      </c>
      <c r="D1640" t="s">
        <v>249</v>
      </c>
      <c r="E1640" s="156">
        <v>44335</v>
      </c>
      <c r="F1640" t="s">
        <v>49</v>
      </c>
      <c r="G1640" s="156">
        <v>44279</v>
      </c>
      <c r="H1640">
        <v>1908</v>
      </c>
      <c r="I1640">
        <v>2268906</v>
      </c>
      <c r="K1640">
        <v>431092.14</v>
      </c>
      <c r="M1640">
        <v>0</v>
      </c>
      <c r="N1640">
        <v>2.5000000000000001E-2</v>
      </c>
      <c r="O1640">
        <v>56722.65</v>
      </c>
      <c r="P1640" s="117">
        <v>2643275.4900000002</v>
      </c>
      <c r="Q1640" s="117" t="s">
        <v>1021</v>
      </c>
      <c r="R1640" s="150">
        <v>0</v>
      </c>
      <c r="S1640" s="117" t="b">
        <f>OR(COUNTIF(Tabla2[[#This Row],[PROVEEDOR]],"*"&amp;'Palabra no opera'!$A$2&amp;"*"))</f>
        <v>0</v>
      </c>
      <c r="T1640" s="150">
        <f>+$W$5-Tabla2[[#This Row],[FECHA DE FACTURACIÓN]]</f>
        <v>555</v>
      </c>
      <c r="U1640" t="str">
        <f>+IF(Tabla2[[#This Row],[dias de credito]]&gt;=Tabla2[[#This Row],[PLAZO Días]],"venc", "No venc")</f>
        <v>venc</v>
      </c>
      <c r="V1640" t="str">
        <f>+IF(Tabla2[[#This Row],[FECHA DE PAGO]]&gt;0,"pagada","por pagar")</f>
        <v>pagada</v>
      </c>
      <c r="W1640" s="152" t="str">
        <f>+IF(AND(Tabla2[[#This Row],[venc]]="venc",Tabla2[[#This Row],[Columna1]]="por pagar"),"vencida","no")</f>
        <v>no</v>
      </c>
    </row>
    <row r="1641" spans="1:23" x14ac:dyDescent="0.3">
      <c r="A1641">
        <v>30</v>
      </c>
      <c r="B1641">
        <v>19675613.1195</v>
      </c>
      <c r="D1641" t="s">
        <v>256</v>
      </c>
      <c r="E1641" s="156">
        <v>44335</v>
      </c>
      <c r="F1641" t="s">
        <v>18</v>
      </c>
      <c r="G1641" s="156">
        <v>44274</v>
      </c>
      <c r="H1641">
        <v>1035834</v>
      </c>
      <c r="I1641">
        <v>3865479.42</v>
      </c>
      <c r="K1641">
        <v>734441.08979999996</v>
      </c>
      <c r="M1641">
        <v>0</v>
      </c>
      <c r="N1641">
        <v>2.5000000000000001E-2</v>
      </c>
      <c r="O1641">
        <v>96636.98550000001</v>
      </c>
      <c r="P1641" s="117">
        <v>4503283.5242999997</v>
      </c>
      <c r="Q1641" s="117" t="s">
        <v>1021</v>
      </c>
      <c r="R1641" s="150">
        <v>0</v>
      </c>
      <c r="S1641" s="117" t="b">
        <f>OR(COUNTIF(Tabla2[[#This Row],[PROVEEDOR]],"*"&amp;'Palabra no opera'!$A$2&amp;"*"))</f>
        <v>0</v>
      </c>
      <c r="T1641" s="150">
        <f>+$W$5-Tabla2[[#This Row],[FECHA DE FACTURACIÓN]]</f>
        <v>560</v>
      </c>
      <c r="U1641" t="str">
        <f>+IF(Tabla2[[#This Row],[dias de credito]]&gt;=Tabla2[[#This Row],[PLAZO Días]],"venc", "No venc")</f>
        <v>venc</v>
      </c>
      <c r="V1641" t="str">
        <f>+IF(Tabla2[[#This Row],[FECHA DE PAGO]]&gt;0,"pagada","por pagar")</f>
        <v>pagada</v>
      </c>
      <c r="W1641" s="152" t="str">
        <f>+IF(AND(Tabla2[[#This Row],[venc]]="venc",Tabla2[[#This Row],[Columna1]]="por pagar"),"vencida","no")</f>
        <v>no</v>
      </c>
    </row>
    <row r="1642" spans="1:23" x14ac:dyDescent="0.3">
      <c r="A1642">
        <v>30</v>
      </c>
      <c r="B1642">
        <v>4656887.12</v>
      </c>
      <c r="D1642" t="s">
        <v>170</v>
      </c>
      <c r="E1642" s="156">
        <v>44335</v>
      </c>
      <c r="F1642" t="s">
        <v>20</v>
      </c>
      <c r="G1642" s="156">
        <v>44265</v>
      </c>
      <c r="H1642">
        <v>3556</v>
      </c>
      <c r="I1642">
        <v>1098280</v>
      </c>
      <c r="K1642">
        <v>208673.2</v>
      </c>
      <c r="M1642">
        <v>0</v>
      </c>
      <c r="N1642">
        <v>2.5000000000000001E-2</v>
      </c>
      <c r="O1642">
        <v>27457</v>
      </c>
      <c r="P1642" s="117">
        <v>1279496.2</v>
      </c>
      <c r="Q1642" s="117" t="s">
        <v>1021</v>
      </c>
      <c r="R1642" s="150">
        <v>0</v>
      </c>
      <c r="S1642" s="117" t="b">
        <f>OR(COUNTIF(Tabla2[[#This Row],[PROVEEDOR]],"*"&amp;'Palabra no opera'!$A$2&amp;"*"))</f>
        <v>0</v>
      </c>
      <c r="T1642" s="150">
        <f>+$W$5-Tabla2[[#This Row],[FECHA DE FACTURACIÓN]]</f>
        <v>569</v>
      </c>
      <c r="U1642" t="str">
        <f>+IF(Tabla2[[#This Row],[dias de credito]]&gt;=Tabla2[[#This Row],[PLAZO Días]],"venc", "No venc")</f>
        <v>venc</v>
      </c>
      <c r="V1642" t="str">
        <f>+IF(Tabla2[[#This Row],[FECHA DE PAGO]]&gt;0,"pagada","por pagar")</f>
        <v>pagada</v>
      </c>
      <c r="W1642" s="152" t="str">
        <f>+IF(AND(Tabla2[[#This Row],[venc]]="venc",Tabla2[[#This Row],[Columna1]]="por pagar"),"vencida","no")</f>
        <v>no</v>
      </c>
    </row>
    <row r="1643" spans="1:23" x14ac:dyDescent="0.3">
      <c r="A1643">
        <v>30</v>
      </c>
      <c r="B1643">
        <v>2324000</v>
      </c>
      <c r="D1643" t="s">
        <v>251</v>
      </c>
      <c r="E1643" s="156">
        <v>44335</v>
      </c>
      <c r="F1643" t="s">
        <v>699</v>
      </c>
      <c r="G1643" s="156">
        <v>44228</v>
      </c>
      <c r="H1643" t="s">
        <v>1190</v>
      </c>
      <c r="I1643">
        <v>290000</v>
      </c>
      <c r="K1643">
        <v>0</v>
      </c>
      <c r="M1643">
        <v>0</v>
      </c>
      <c r="N1643">
        <v>0</v>
      </c>
      <c r="O1643">
        <v>0</v>
      </c>
      <c r="P1643" s="117">
        <v>290000</v>
      </c>
      <c r="Q1643" s="117" t="s">
        <v>1021</v>
      </c>
      <c r="R1643" s="150">
        <v>0</v>
      </c>
      <c r="S1643" s="117" t="b">
        <f>OR(COUNTIF(Tabla2[[#This Row],[PROVEEDOR]],"*"&amp;'Palabra no opera'!$A$2&amp;"*"))</f>
        <v>0</v>
      </c>
      <c r="T1643" s="150">
        <f>+$W$5-Tabla2[[#This Row],[FECHA DE FACTURACIÓN]]</f>
        <v>606</v>
      </c>
      <c r="U1643" t="str">
        <f>+IF(Tabla2[[#This Row],[dias de credito]]&gt;=Tabla2[[#This Row],[PLAZO Días]],"venc", "No venc")</f>
        <v>venc</v>
      </c>
      <c r="V1643" t="str">
        <f>+IF(Tabla2[[#This Row],[FECHA DE PAGO]]&gt;0,"pagada","por pagar")</f>
        <v>pagada</v>
      </c>
      <c r="W1643" s="152" t="str">
        <f>+IF(AND(Tabla2[[#This Row],[venc]]="venc",Tabla2[[#This Row],[Columna1]]="por pagar"),"vencida","no")</f>
        <v>no</v>
      </c>
    </row>
    <row r="1644" spans="1:23" x14ac:dyDescent="0.3">
      <c r="A1644">
        <v>30</v>
      </c>
      <c r="B1644">
        <v>2324000</v>
      </c>
      <c r="D1644" t="s">
        <v>251</v>
      </c>
      <c r="E1644" s="156">
        <v>44335</v>
      </c>
      <c r="F1644" t="s">
        <v>699</v>
      </c>
      <c r="G1644" s="156">
        <v>44186</v>
      </c>
      <c r="H1644" t="s">
        <v>1181</v>
      </c>
      <c r="I1644">
        <v>380000</v>
      </c>
      <c r="K1644">
        <v>0</v>
      </c>
      <c r="M1644">
        <v>0</v>
      </c>
      <c r="N1644">
        <v>0</v>
      </c>
      <c r="O1644">
        <v>0</v>
      </c>
      <c r="P1644" s="117">
        <v>380000</v>
      </c>
      <c r="Q1644" s="117" t="s">
        <v>1021</v>
      </c>
      <c r="R1644" s="150">
        <v>0</v>
      </c>
      <c r="S1644" s="117" t="b">
        <f>OR(COUNTIF(Tabla2[[#This Row],[PROVEEDOR]],"*"&amp;'Palabra no opera'!$A$2&amp;"*"))</f>
        <v>0</v>
      </c>
      <c r="T1644" s="150">
        <f>+$W$5-Tabla2[[#This Row],[FECHA DE FACTURACIÓN]]</f>
        <v>648</v>
      </c>
      <c r="U1644" t="str">
        <f>+IF(Tabla2[[#This Row],[dias de credito]]&gt;=Tabla2[[#This Row],[PLAZO Días]],"venc", "No venc")</f>
        <v>venc</v>
      </c>
      <c r="V1644" t="str">
        <f>+IF(Tabla2[[#This Row],[FECHA DE PAGO]]&gt;0,"pagada","por pagar")</f>
        <v>pagada</v>
      </c>
      <c r="W1644" s="152" t="str">
        <f>+IF(AND(Tabla2[[#This Row],[venc]]="venc",Tabla2[[#This Row],[Columna1]]="por pagar"),"vencida","no")</f>
        <v>no</v>
      </c>
    </row>
    <row r="1645" spans="1:23" x14ac:dyDescent="0.3">
      <c r="A1645">
        <v>30</v>
      </c>
      <c r="B1645">
        <v>2324000</v>
      </c>
      <c r="D1645" t="s">
        <v>251</v>
      </c>
      <c r="E1645" s="156">
        <v>44335</v>
      </c>
      <c r="F1645" t="s">
        <v>699</v>
      </c>
      <c r="G1645" s="156">
        <v>44186</v>
      </c>
      <c r="H1645" t="s">
        <v>1182</v>
      </c>
      <c r="I1645">
        <v>2415900</v>
      </c>
      <c r="K1645">
        <v>0</v>
      </c>
      <c r="M1645">
        <v>0</v>
      </c>
      <c r="N1645">
        <v>0</v>
      </c>
      <c r="O1645">
        <v>0</v>
      </c>
      <c r="P1645" s="117">
        <v>2415900</v>
      </c>
      <c r="Q1645" s="117" t="s">
        <v>1021</v>
      </c>
      <c r="R1645" s="150">
        <v>0</v>
      </c>
      <c r="S1645" s="117" t="b">
        <f>OR(COUNTIF(Tabla2[[#This Row],[PROVEEDOR]],"*"&amp;'Palabra no opera'!$A$2&amp;"*"))</f>
        <v>0</v>
      </c>
      <c r="T1645" s="150">
        <f>+$W$5-Tabla2[[#This Row],[FECHA DE FACTURACIÓN]]</f>
        <v>648</v>
      </c>
      <c r="U1645" t="str">
        <f>+IF(Tabla2[[#This Row],[dias de credito]]&gt;=Tabla2[[#This Row],[PLAZO Días]],"venc", "No venc")</f>
        <v>venc</v>
      </c>
      <c r="V1645" t="str">
        <f>+IF(Tabla2[[#This Row],[FECHA DE PAGO]]&gt;0,"pagada","por pagar")</f>
        <v>pagada</v>
      </c>
      <c r="W1645" s="152" t="str">
        <f>+IF(AND(Tabla2[[#This Row],[venc]]="venc",Tabla2[[#This Row],[Columna1]]="por pagar"),"vencida","no")</f>
        <v>no</v>
      </c>
    </row>
    <row r="1646" spans="1:23" x14ac:dyDescent="0.3">
      <c r="A1646">
        <v>30</v>
      </c>
      <c r="B1646">
        <v>0</v>
      </c>
      <c r="D1646" t="s">
        <v>139</v>
      </c>
      <c r="E1646" s="156">
        <v>44334</v>
      </c>
      <c r="F1646" t="s">
        <v>661</v>
      </c>
      <c r="G1646" s="156">
        <v>44334</v>
      </c>
      <c r="H1646" t="s">
        <v>1225</v>
      </c>
      <c r="I1646">
        <v>376000</v>
      </c>
      <c r="K1646">
        <v>0</v>
      </c>
      <c r="M1646">
        <v>0</v>
      </c>
      <c r="N1646">
        <v>0</v>
      </c>
      <c r="O1646">
        <v>0</v>
      </c>
      <c r="P1646" s="117">
        <v>376000</v>
      </c>
      <c r="Q1646" s="117" t="s">
        <v>1021</v>
      </c>
      <c r="R1646" s="150">
        <v>0</v>
      </c>
      <c r="S1646" s="117" t="b">
        <f>OR(COUNTIF(Tabla2[[#This Row],[PROVEEDOR]],"*"&amp;'Palabra no opera'!$A$2&amp;"*"))</f>
        <v>0</v>
      </c>
      <c r="T1646" s="150">
        <f>+$W$5-Tabla2[[#This Row],[FECHA DE FACTURACIÓN]]</f>
        <v>500</v>
      </c>
      <c r="U1646" t="str">
        <f>+IF(Tabla2[[#This Row],[dias de credito]]&gt;=Tabla2[[#This Row],[PLAZO Días]],"venc", "No venc")</f>
        <v>venc</v>
      </c>
      <c r="V1646" t="str">
        <f>+IF(Tabla2[[#This Row],[FECHA DE PAGO]]&gt;0,"pagada","por pagar")</f>
        <v>pagada</v>
      </c>
      <c r="W1646" s="152" t="str">
        <f>+IF(AND(Tabla2[[#This Row],[venc]]="venc",Tabla2[[#This Row],[Columna1]]="por pagar"),"vencida","no")</f>
        <v>no</v>
      </c>
    </row>
    <row r="1647" spans="1:23" x14ac:dyDescent="0.3">
      <c r="A1647">
        <v>30</v>
      </c>
      <c r="B1647">
        <v>0</v>
      </c>
      <c r="D1647" t="s">
        <v>676</v>
      </c>
      <c r="E1647" s="156">
        <v>44334</v>
      </c>
      <c r="F1647" t="s">
        <v>940</v>
      </c>
      <c r="G1647" s="156">
        <v>44317</v>
      </c>
      <c r="H1647">
        <v>62725</v>
      </c>
      <c r="I1647">
        <v>302625</v>
      </c>
      <c r="K1647">
        <v>0</v>
      </c>
      <c r="M1647">
        <v>0</v>
      </c>
      <c r="N1647">
        <v>0</v>
      </c>
      <c r="O1647">
        <v>0</v>
      </c>
      <c r="P1647" s="117">
        <v>302625</v>
      </c>
      <c r="Q1647" s="117" t="s">
        <v>1021</v>
      </c>
      <c r="R1647" s="150">
        <v>0</v>
      </c>
      <c r="S1647" s="117" t="b">
        <f>OR(COUNTIF(Tabla2[[#This Row],[PROVEEDOR]],"*"&amp;'Palabra no opera'!$A$2&amp;"*"))</f>
        <v>1</v>
      </c>
      <c r="T1647" s="150">
        <f>+$W$5-Tabla2[[#This Row],[FECHA DE FACTURACIÓN]]</f>
        <v>517</v>
      </c>
      <c r="U1647" t="str">
        <f>+IF(Tabla2[[#This Row],[dias de credito]]&gt;=Tabla2[[#This Row],[PLAZO Días]],"venc", "No venc")</f>
        <v>venc</v>
      </c>
      <c r="V1647" t="str">
        <f>+IF(Tabla2[[#This Row],[FECHA DE PAGO]]&gt;0,"pagada","por pagar")</f>
        <v>pagada</v>
      </c>
      <c r="W1647" s="152" t="str">
        <f>+IF(AND(Tabla2[[#This Row],[venc]]="venc",Tabla2[[#This Row],[Columna1]]="por pagar"),"vencida","no")</f>
        <v>no</v>
      </c>
    </row>
    <row r="1648" spans="1:23" x14ac:dyDescent="0.3">
      <c r="A1648">
        <v>30</v>
      </c>
      <c r="B1648">
        <v>0</v>
      </c>
      <c r="D1648">
        <v>0</v>
      </c>
      <c r="E1648" s="156">
        <v>44334</v>
      </c>
      <c r="F1648" t="s">
        <v>931</v>
      </c>
      <c r="G1648" s="156">
        <v>44317</v>
      </c>
      <c r="H1648" t="s">
        <v>1219</v>
      </c>
      <c r="I1648">
        <v>2643860</v>
      </c>
      <c r="K1648">
        <v>502333.4</v>
      </c>
      <c r="M1648">
        <v>0</v>
      </c>
      <c r="N1648">
        <v>3.5000000000000003E-2</v>
      </c>
      <c r="O1648">
        <v>92535.1</v>
      </c>
      <c r="P1648" s="117">
        <v>3053658.3</v>
      </c>
      <c r="Q1648" s="117" t="s">
        <v>1021</v>
      </c>
      <c r="R1648" s="150">
        <v>0</v>
      </c>
      <c r="S1648" s="117" t="b">
        <f>OR(COUNTIF(Tabla2[[#This Row],[PROVEEDOR]],"*"&amp;'Palabra no opera'!$A$2&amp;"*"))</f>
        <v>1</v>
      </c>
      <c r="T1648" s="150">
        <f>+$W$5-Tabla2[[#This Row],[FECHA DE FACTURACIÓN]]</f>
        <v>517</v>
      </c>
      <c r="U1648" t="str">
        <f>+IF(Tabla2[[#This Row],[dias de credito]]&gt;=Tabla2[[#This Row],[PLAZO Días]],"venc", "No venc")</f>
        <v>venc</v>
      </c>
      <c r="V1648" t="str">
        <f>+IF(Tabla2[[#This Row],[FECHA DE PAGO]]&gt;0,"pagada","por pagar")</f>
        <v>pagada</v>
      </c>
      <c r="W1648" s="152" t="str">
        <f>+IF(AND(Tabla2[[#This Row],[venc]]="venc",Tabla2[[#This Row],[Columna1]]="por pagar"),"vencida","no")</f>
        <v>no</v>
      </c>
    </row>
    <row r="1649" spans="1:23" x14ac:dyDescent="0.3">
      <c r="A1649">
        <v>13</v>
      </c>
      <c r="B1649">
        <v>0</v>
      </c>
      <c r="D1649">
        <v>0</v>
      </c>
      <c r="E1649" s="156">
        <v>44334</v>
      </c>
      <c r="F1649" t="s">
        <v>934</v>
      </c>
      <c r="G1649" s="156">
        <v>44317</v>
      </c>
      <c r="I1649">
        <v>765395</v>
      </c>
      <c r="K1649">
        <v>0</v>
      </c>
      <c r="M1649">
        <v>0</v>
      </c>
      <c r="N1649">
        <v>0</v>
      </c>
      <c r="O1649">
        <v>0</v>
      </c>
      <c r="P1649" s="117">
        <v>765395</v>
      </c>
      <c r="Q1649" s="117" t="s">
        <v>1021</v>
      </c>
      <c r="R1649" s="150">
        <v>0</v>
      </c>
      <c r="S1649" s="117" t="b">
        <f>OR(COUNTIF(Tabla2[[#This Row],[PROVEEDOR]],"*"&amp;'Palabra no opera'!$A$2&amp;"*"))</f>
        <v>1</v>
      </c>
      <c r="T1649" s="150">
        <f>+$W$5-Tabla2[[#This Row],[FECHA DE FACTURACIÓN]]</f>
        <v>517</v>
      </c>
      <c r="U1649" t="str">
        <f>+IF(Tabla2[[#This Row],[dias de credito]]&gt;=Tabla2[[#This Row],[PLAZO Días]],"venc", "No venc")</f>
        <v>venc</v>
      </c>
      <c r="V1649" t="str">
        <f>+IF(Tabla2[[#This Row],[FECHA DE PAGO]]&gt;0,"pagada","por pagar")</f>
        <v>pagada</v>
      </c>
      <c r="W1649" s="152" t="str">
        <f>+IF(AND(Tabla2[[#This Row],[venc]]="venc",Tabla2[[#This Row],[Columna1]]="por pagar"),"vencida","no")</f>
        <v>no</v>
      </c>
    </row>
    <row r="1650" spans="1:23" x14ac:dyDescent="0.3">
      <c r="A1650">
        <v>30</v>
      </c>
      <c r="B1650">
        <v>0</v>
      </c>
      <c r="D1650" t="s">
        <v>141</v>
      </c>
      <c r="E1650" s="156">
        <v>44334</v>
      </c>
      <c r="F1650" t="s">
        <v>935</v>
      </c>
      <c r="G1650" s="156">
        <v>44317</v>
      </c>
      <c r="I1650">
        <v>356260</v>
      </c>
      <c r="K1650">
        <v>0</v>
      </c>
      <c r="M1650">
        <v>0</v>
      </c>
      <c r="N1650">
        <v>0</v>
      </c>
      <c r="O1650">
        <v>0</v>
      </c>
      <c r="P1650" s="117">
        <v>356260</v>
      </c>
      <c r="Q1650" s="117" t="s">
        <v>1021</v>
      </c>
      <c r="R1650" s="150">
        <v>0</v>
      </c>
      <c r="S1650" s="117" t="b">
        <f>OR(COUNTIF(Tabla2[[#This Row],[PROVEEDOR]],"*"&amp;'Palabra no opera'!$A$2&amp;"*"))</f>
        <v>1</v>
      </c>
      <c r="T1650" s="150">
        <f>+$W$5-Tabla2[[#This Row],[FECHA DE FACTURACIÓN]]</f>
        <v>517</v>
      </c>
      <c r="U1650" t="str">
        <f>+IF(Tabla2[[#This Row],[dias de credito]]&gt;=Tabla2[[#This Row],[PLAZO Días]],"venc", "No venc")</f>
        <v>venc</v>
      </c>
      <c r="V1650" t="str">
        <f>+IF(Tabla2[[#This Row],[FECHA DE PAGO]]&gt;0,"pagada","por pagar")</f>
        <v>pagada</v>
      </c>
      <c r="W1650" s="152" t="str">
        <f>+IF(AND(Tabla2[[#This Row],[venc]]="venc",Tabla2[[#This Row],[Columna1]]="por pagar"),"vencida","no")</f>
        <v>no</v>
      </c>
    </row>
    <row r="1651" spans="1:23" x14ac:dyDescent="0.3">
      <c r="A1651">
        <v>20</v>
      </c>
      <c r="B1651">
        <v>0</v>
      </c>
      <c r="D1651">
        <v>0</v>
      </c>
      <c r="E1651" s="156">
        <v>44334</v>
      </c>
      <c r="F1651" t="s">
        <v>692</v>
      </c>
      <c r="G1651" s="156">
        <v>44281</v>
      </c>
      <c r="I1651">
        <v>216000</v>
      </c>
      <c r="K1651">
        <v>0</v>
      </c>
      <c r="M1651">
        <v>0</v>
      </c>
      <c r="N1651">
        <v>0</v>
      </c>
      <c r="O1651">
        <v>0</v>
      </c>
      <c r="P1651" s="117">
        <v>216000</v>
      </c>
      <c r="Q1651" s="117" t="s">
        <v>1021</v>
      </c>
      <c r="R1651" s="150">
        <v>0</v>
      </c>
      <c r="S1651" s="117" t="b">
        <f>OR(COUNTIF(Tabla2[[#This Row],[PROVEEDOR]],"*"&amp;'Palabra no opera'!$A$2&amp;"*"))</f>
        <v>0</v>
      </c>
      <c r="T1651" s="150">
        <f>+$W$5-Tabla2[[#This Row],[FECHA DE FACTURACIÓN]]</f>
        <v>553</v>
      </c>
      <c r="U1651" t="str">
        <f>+IF(Tabla2[[#This Row],[dias de credito]]&gt;=Tabla2[[#This Row],[PLAZO Días]],"venc", "No venc")</f>
        <v>venc</v>
      </c>
      <c r="V1651" t="str">
        <f>+IF(Tabla2[[#This Row],[FECHA DE PAGO]]&gt;0,"pagada","por pagar")</f>
        <v>pagada</v>
      </c>
      <c r="W1651" s="152" t="str">
        <f>+IF(AND(Tabla2[[#This Row],[venc]]="venc",Tabla2[[#This Row],[Columna1]]="por pagar"),"vencida","no")</f>
        <v>no</v>
      </c>
    </row>
    <row r="1652" spans="1:23" x14ac:dyDescent="0.3">
      <c r="A1652">
        <v>30</v>
      </c>
      <c r="B1652">
        <v>0</v>
      </c>
      <c r="D1652" t="s">
        <v>139</v>
      </c>
      <c r="E1652" s="156">
        <v>44331</v>
      </c>
      <c r="F1652" t="s">
        <v>673</v>
      </c>
      <c r="G1652" s="156">
        <v>44331</v>
      </c>
      <c r="I1652">
        <v>600000</v>
      </c>
      <c r="K1652">
        <v>0</v>
      </c>
      <c r="M1652">
        <v>0</v>
      </c>
      <c r="N1652">
        <v>0</v>
      </c>
      <c r="O1652">
        <v>0</v>
      </c>
      <c r="P1652" s="117">
        <v>600000</v>
      </c>
      <c r="Q1652" s="117" t="s">
        <v>1021</v>
      </c>
      <c r="R1652" s="150">
        <v>0</v>
      </c>
      <c r="S1652" s="117" t="b">
        <f>OR(COUNTIF(Tabla2[[#This Row],[PROVEEDOR]],"*"&amp;'Palabra no opera'!$A$2&amp;"*"))</f>
        <v>0</v>
      </c>
      <c r="T1652" s="150">
        <f>+$W$5-Tabla2[[#This Row],[FECHA DE FACTURACIÓN]]</f>
        <v>503</v>
      </c>
      <c r="U1652" t="str">
        <f>+IF(Tabla2[[#This Row],[dias de credito]]&gt;=Tabla2[[#This Row],[PLAZO Días]],"venc", "No venc")</f>
        <v>venc</v>
      </c>
      <c r="V1652" t="str">
        <f>+IF(Tabla2[[#This Row],[FECHA DE PAGO]]&gt;0,"pagada","por pagar")</f>
        <v>pagada</v>
      </c>
      <c r="W1652" s="152" t="str">
        <f>+IF(AND(Tabla2[[#This Row],[venc]]="venc",Tabla2[[#This Row],[Columna1]]="por pagar"),"vencida","no")</f>
        <v>no</v>
      </c>
    </row>
    <row r="1653" spans="1:23" x14ac:dyDescent="0.3">
      <c r="A1653">
        <v>30</v>
      </c>
      <c r="B1653">
        <v>0</v>
      </c>
      <c r="D1653" t="s">
        <v>139</v>
      </c>
      <c r="E1653" s="156">
        <v>44331</v>
      </c>
      <c r="F1653" t="s">
        <v>27</v>
      </c>
      <c r="G1653" s="156">
        <v>44319</v>
      </c>
      <c r="H1653" t="s">
        <v>324</v>
      </c>
      <c r="I1653">
        <v>7035320</v>
      </c>
      <c r="K1653">
        <v>0</v>
      </c>
      <c r="M1653">
        <v>0</v>
      </c>
      <c r="N1653">
        <v>0</v>
      </c>
      <c r="O1653">
        <v>0</v>
      </c>
      <c r="P1653" s="117">
        <v>7035320</v>
      </c>
      <c r="Q1653" s="117" t="s">
        <v>1021</v>
      </c>
      <c r="R1653" s="150">
        <v>0</v>
      </c>
      <c r="S1653" s="117" t="b">
        <f>OR(COUNTIF(Tabla2[[#This Row],[PROVEEDOR]],"*"&amp;'Palabra no opera'!$A$2&amp;"*"))</f>
        <v>0</v>
      </c>
      <c r="T1653" s="150">
        <f>+$W$5-Tabla2[[#This Row],[FECHA DE FACTURACIÓN]]</f>
        <v>515</v>
      </c>
      <c r="U1653" t="str">
        <f>+IF(Tabla2[[#This Row],[dias de credito]]&gt;=Tabla2[[#This Row],[PLAZO Días]],"venc", "No venc")</f>
        <v>venc</v>
      </c>
      <c r="V1653" t="str">
        <f>+IF(Tabla2[[#This Row],[FECHA DE PAGO]]&gt;0,"pagada","por pagar")</f>
        <v>pagada</v>
      </c>
      <c r="W1653" s="152" t="str">
        <f>+IF(AND(Tabla2[[#This Row],[venc]]="venc",Tabla2[[#This Row],[Columna1]]="por pagar"),"vencida","no")</f>
        <v>no</v>
      </c>
    </row>
    <row r="1654" spans="1:23" x14ac:dyDescent="0.3">
      <c r="A1654">
        <v>30</v>
      </c>
      <c r="B1654">
        <v>0</v>
      </c>
      <c r="D1654">
        <v>0</v>
      </c>
      <c r="E1654" s="156">
        <v>44329</v>
      </c>
      <c r="F1654" t="s">
        <v>628</v>
      </c>
      <c r="G1654" s="156">
        <v>44329</v>
      </c>
      <c r="H1654" t="s">
        <v>1224</v>
      </c>
      <c r="I1654">
        <v>224000</v>
      </c>
      <c r="K1654">
        <v>0</v>
      </c>
      <c r="M1654">
        <v>0</v>
      </c>
      <c r="N1654">
        <v>0</v>
      </c>
      <c r="O1654">
        <v>0</v>
      </c>
      <c r="P1654" s="117">
        <v>224000</v>
      </c>
      <c r="Q1654" s="117" t="s">
        <v>1021</v>
      </c>
      <c r="R1654" s="150">
        <v>0</v>
      </c>
      <c r="S1654" s="117" t="b">
        <f>OR(COUNTIF(Tabla2[[#This Row],[PROVEEDOR]],"*"&amp;'Palabra no opera'!$A$2&amp;"*"))</f>
        <v>0</v>
      </c>
      <c r="T1654" s="150">
        <f>+$W$5-Tabla2[[#This Row],[FECHA DE FACTURACIÓN]]</f>
        <v>505</v>
      </c>
      <c r="U1654" t="str">
        <f>+IF(Tabla2[[#This Row],[dias de credito]]&gt;=Tabla2[[#This Row],[PLAZO Días]],"venc", "No venc")</f>
        <v>venc</v>
      </c>
      <c r="V1654" t="str">
        <f>+IF(Tabla2[[#This Row],[FECHA DE PAGO]]&gt;0,"pagada","por pagar")</f>
        <v>pagada</v>
      </c>
      <c r="W1654" s="152" t="str">
        <f>+IF(AND(Tabla2[[#This Row],[venc]]="venc",Tabla2[[#This Row],[Columna1]]="por pagar"),"vencida","no")</f>
        <v>no</v>
      </c>
    </row>
    <row r="1655" spans="1:23" x14ac:dyDescent="0.3">
      <c r="A1655">
        <v>30</v>
      </c>
      <c r="B1655">
        <v>0</v>
      </c>
      <c r="D1655" t="s">
        <v>261</v>
      </c>
      <c r="E1655" s="156">
        <v>44328</v>
      </c>
      <c r="F1655" t="s">
        <v>746</v>
      </c>
      <c r="G1655" s="156">
        <v>44344</v>
      </c>
      <c r="H1655">
        <v>23</v>
      </c>
      <c r="I1655">
        <v>-100842</v>
      </c>
      <c r="K1655">
        <v>-19159.98</v>
      </c>
      <c r="M1655">
        <v>0</v>
      </c>
      <c r="N1655">
        <v>0</v>
      </c>
      <c r="O1655">
        <v>0</v>
      </c>
      <c r="P1655" s="117">
        <v>-120001.98</v>
      </c>
      <c r="Q1655" s="117" t="s">
        <v>1021</v>
      </c>
      <c r="R1655" s="150">
        <v>0</v>
      </c>
      <c r="S1655" s="117" t="b">
        <f>OR(COUNTIF(Tabla2[[#This Row],[PROVEEDOR]],"*"&amp;'Palabra no opera'!$A$2&amp;"*"))</f>
        <v>0</v>
      </c>
      <c r="T1655" s="150">
        <f>+$W$5-Tabla2[[#This Row],[FECHA DE FACTURACIÓN]]</f>
        <v>490</v>
      </c>
      <c r="U1655" t="str">
        <f>+IF(Tabla2[[#This Row],[dias de credito]]&gt;=Tabla2[[#This Row],[PLAZO Días]],"venc", "No venc")</f>
        <v>venc</v>
      </c>
      <c r="V1655" t="str">
        <f>+IF(Tabla2[[#This Row],[FECHA DE PAGO]]&gt;0,"pagada","por pagar")</f>
        <v>pagada</v>
      </c>
      <c r="W1655" s="152" t="str">
        <f>+IF(AND(Tabla2[[#This Row],[venc]]="venc",Tabla2[[#This Row],[Columna1]]="por pagar"),"vencida","no")</f>
        <v>no</v>
      </c>
    </row>
    <row r="1656" spans="1:23" x14ac:dyDescent="0.3">
      <c r="A1656">
        <v>30</v>
      </c>
      <c r="B1656">
        <v>0</v>
      </c>
      <c r="D1656" t="s">
        <v>261</v>
      </c>
      <c r="E1656" s="156">
        <v>44328</v>
      </c>
      <c r="F1656" t="s">
        <v>746</v>
      </c>
      <c r="G1656" s="156">
        <v>44243</v>
      </c>
      <c r="H1656" t="s">
        <v>311</v>
      </c>
      <c r="I1656">
        <v>-95798.32</v>
      </c>
      <c r="K1656">
        <v>-18201.680800000002</v>
      </c>
      <c r="M1656">
        <v>0</v>
      </c>
      <c r="N1656">
        <v>0</v>
      </c>
      <c r="O1656">
        <v>0</v>
      </c>
      <c r="P1656" s="117">
        <v>-114000.00080000001</v>
      </c>
      <c r="Q1656" s="117" t="s">
        <v>1021</v>
      </c>
      <c r="R1656" s="150">
        <v>0</v>
      </c>
      <c r="S1656" s="117" t="b">
        <f>OR(COUNTIF(Tabla2[[#This Row],[PROVEEDOR]],"*"&amp;'Palabra no opera'!$A$2&amp;"*"))</f>
        <v>0</v>
      </c>
      <c r="T1656" s="150">
        <f>+$W$5-Tabla2[[#This Row],[FECHA DE FACTURACIÓN]]</f>
        <v>591</v>
      </c>
      <c r="U1656" t="str">
        <f>+IF(Tabla2[[#This Row],[dias de credito]]&gt;=Tabla2[[#This Row],[PLAZO Días]],"venc", "No venc")</f>
        <v>venc</v>
      </c>
      <c r="V1656" t="str">
        <f>+IF(Tabla2[[#This Row],[FECHA DE PAGO]]&gt;0,"pagada","por pagar")</f>
        <v>pagada</v>
      </c>
      <c r="W1656" s="152" t="str">
        <f>+IF(AND(Tabla2[[#This Row],[venc]]="venc",Tabla2[[#This Row],[Columna1]]="por pagar"),"vencida","no")</f>
        <v>no</v>
      </c>
    </row>
    <row r="1657" spans="1:23" x14ac:dyDescent="0.3">
      <c r="A1657">
        <v>30</v>
      </c>
      <c r="B1657">
        <v>0</v>
      </c>
      <c r="D1657" t="s">
        <v>261</v>
      </c>
      <c r="E1657" s="156">
        <v>44328</v>
      </c>
      <c r="F1657" t="s">
        <v>746</v>
      </c>
      <c r="G1657" s="156">
        <v>44225</v>
      </c>
      <c r="H1657">
        <v>769</v>
      </c>
      <c r="I1657">
        <v>2547058.81</v>
      </c>
      <c r="K1657">
        <v>483941.17389999999</v>
      </c>
      <c r="M1657">
        <v>0</v>
      </c>
      <c r="N1657">
        <v>2.5000000000000001E-2</v>
      </c>
      <c r="O1657">
        <v>63676.470250000006</v>
      </c>
      <c r="P1657" s="117">
        <v>2967323.5136500001</v>
      </c>
      <c r="Q1657" s="117" t="s">
        <v>1021</v>
      </c>
      <c r="R1657" s="150">
        <v>0</v>
      </c>
      <c r="S1657" s="117" t="b">
        <f>OR(COUNTIF(Tabla2[[#This Row],[PROVEEDOR]],"*"&amp;'Palabra no opera'!$A$2&amp;"*"))</f>
        <v>0</v>
      </c>
      <c r="T1657" s="150">
        <f>+$W$5-Tabla2[[#This Row],[FECHA DE FACTURACIÓN]]</f>
        <v>609</v>
      </c>
      <c r="U1657" t="str">
        <f>+IF(Tabla2[[#This Row],[dias de credito]]&gt;=Tabla2[[#This Row],[PLAZO Días]],"venc", "No venc")</f>
        <v>venc</v>
      </c>
      <c r="V1657" t="str">
        <f>+IF(Tabla2[[#This Row],[FECHA DE PAGO]]&gt;0,"pagada","por pagar")</f>
        <v>pagada</v>
      </c>
      <c r="W1657" s="152" t="str">
        <f>+IF(AND(Tabla2[[#This Row],[venc]]="venc",Tabla2[[#This Row],[Columna1]]="por pagar"),"vencida","no")</f>
        <v>no</v>
      </c>
    </row>
    <row r="1658" spans="1:23" x14ac:dyDescent="0.3">
      <c r="A1658">
        <v>30</v>
      </c>
      <c r="B1658">
        <v>0</v>
      </c>
      <c r="D1658" t="s">
        <v>139</v>
      </c>
      <c r="E1658" s="156">
        <v>44327</v>
      </c>
      <c r="F1658" t="s">
        <v>673</v>
      </c>
      <c r="G1658" s="156">
        <v>44327</v>
      </c>
      <c r="I1658">
        <v>500000</v>
      </c>
      <c r="K1658">
        <v>0</v>
      </c>
      <c r="M1658">
        <v>0</v>
      </c>
      <c r="N1658">
        <v>0</v>
      </c>
      <c r="O1658">
        <v>0</v>
      </c>
      <c r="P1658" s="117">
        <v>500000</v>
      </c>
      <c r="Q1658" s="117" t="s">
        <v>1021</v>
      </c>
      <c r="R1658" s="150">
        <v>0</v>
      </c>
      <c r="S1658" s="117" t="b">
        <f>OR(COUNTIF(Tabla2[[#This Row],[PROVEEDOR]],"*"&amp;'Palabra no opera'!$A$2&amp;"*"))</f>
        <v>0</v>
      </c>
      <c r="T1658" s="150">
        <f>+$W$5-Tabla2[[#This Row],[FECHA DE FACTURACIÓN]]</f>
        <v>507</v>
      </c>
      <c r="U1658" t="str">
        <f>+IF(Tabla2[[#This Row],[dias de credito]]&gt;=Tabla2[[#This Row],[PLAZO Días]],"venc", "No venc")</f>
        <v>venc</v>
      </c>
      <c r="V1658" t="str">
        <f>+IF(Tabla2[[#This Row],[FECHA DE PAGO]]&gt;0,"pagada","por pagar")</f>
        <v>pagada</v>
      </c>
      <c r="W1658" s="152" t="str">
        <f>+IF(AND(Tabla2[[#This Row],[venc]]="venc",Tabla2[[#This Row],[Columna1]]="por pagar"),"vencida","no")</f>
        <v>no</v>
      </c>
    </row>
    <row r="1659" spans="1:23" x14ac:dyDescent="0.3">
      <c r="A1659">
        <v>30</v>
      </c>
      <c r="B1659">
        <v>0</v>
      </c>
      <c r="D1659" t="s">
        <v>139</v>
      </c>
      <c r="E1659" s="156">
        <v>44327</v>
      </c>
      <c r="F1659" t="s">
        <v>37</v>
      </c>
      <c r="G1659" s="156">
        <v>44327</v>
      </c>
      <c r="H1659">
        <v>3391</v>
      </c>
      <c r="I1659">
        <v>392000</v>
      </c>
      <c r="K1659">
        <v>74480</v>
      </c>
      <c r="M1659">
        <v>0</v>
      </c>
      <c r="N1659">
        <v>0</v>
      </c>
      <c r="O1659">
        <v>0</v>
      </c>
      <c r="P1659" s="117">
        <v>466480</v>
      </c>
      <c r="Q1659" s="117" t="s">
        <v>1021</v>
      </c>
      <c r="R1659" s="150">
        <v>0</v>
      </c>
      <c r="S1659" s="117" t="b">
        <f>OR(COUNTIF(Tabla2[[#This Row],[PROVEEDOR]],"*"&amp;'Palabra no opera'!$A$2&amp;"*"))</f>
        <v>0</v>
      </c>
      <c r="T1659" s="150">
        <f>+$W$5-Tabla2[[#This Row],[FECHA DE FACTURACIÓN]]</f>
        <v>507</v>
      </c>
      <c r="U1659" t="str">
        <f>+IF(Tabla2[[#This Row],[dias de credito]]&gt;=Tabla2[[#This Row],[PLAZO Días]],"venc", "No venc")</f>
        <v>venc</v>
      </c>
      <c r="V1659" t="str">
        <f>+IF(Tabla2[[#This Row],[FECHA DE PAGO]]&gt;0,"pagada","por pagar")</f>
        <v>pagada</v>
      </c>
      <c r="W1659" s="152" t="str">
        <f>+IF(AND(Tabla2[[#This Row],[venc]]="venc",Tabla2[[#This Row],[Columna1]]="por pagar"),"vencida","no")</f>
        <v>no</v>
      </c>
    </row>
    <row r="1660" spans="1:23" x14ac:dyDescent="0.3">
      <c r="A1660">
        <v>30</v>
      </c>
      <c r="B1660">
        <v>0</v>
      </c>
      <c r="D1660" t="s">
        <v>326</v>
      </c>
      <c r="E1660" s="156">
        <v>44327</v>
      </c>
      <c r="F1660" t="s">
        <v>325</v>
      </c>
      <c r="G1660" s="156">
        <v>44327</v>
      </c>
      <c r="H1660" t="s">
        <v>1223</v>
      </c>
      <c r="I1660">
        <v>6017000</v>
      </c>
      <c r="K1660">
        <v>1143230</v>
      </c>
      <c r="M1660">
        <v>0</v>
      </c>
      <c r="N1660">
        <v>0.01</v>
      </c>
      <c r="O1660">
        <v>60170</v>
      </c>
      <c r="P1660" s="117">
        <v>7100060</v>
      </c>
      <c r="Q1660" s="117" t="s">
        <v>1021</v>
      </c>
      <c r="R1660" s="150">
        <v>0</v>
      </c>
      <c r="S1660" s="117" t="b">
        <f>OR(COUNTIF(Tabla2[[#This Row],[PROVEEDOR]],"*"&amp;'Palabra no opera'!$A$2&amp;"*"))</f>
        <v>0</v>
      </c>
      <c r="T1660" s="150">
        <f>+$W$5-Tabla2[[#This Row],[FECHA DE FACTURACIÓN]]</f>
        <v>507</v>
      </c>
      <c r="U1660" t="str">
        <f>+IF(Tabla2[[#This Row],[dias de credito]]&gt;=Tabla2[[#This Row],[PLAZO Días]],"venc", "No venc")</f>
        <v>venc</v>
      </c>
      <c r="V1660" t="str">
        <f>+IF(Tabla2[[#This Row],[FECHA DE PAGO]]&gt;0,"pagada","por pagar")</f>
        <v>pagada</v>
      </c>
      <c r="W1660" s="152" t="str">
        <f>+IF(AND(Tabla2[[#This Row],[venc]]="venc",Tabla2[[#This Row],[Columna1]]="por pagar"),"vencida","no")</f>
        <v>no</v>
      </c>
    </row>
    <row r="1661" spans="1:23" x14ac:dyDescent="0.3">
      <c r="A1661">
        <v>30</v>
      </c>
      <c r="B1661">
        <v>0</v>
      </c>
      <c r="D1661" t="s">
        <v>270</v>
      </c>
      <c r="E1661" s="156">
        <v>44326</v>
      </c>
      <c r="F1661" t="s">
        <v>39</v>
      </c>
      <c r="G1661" s="156">
        <v>44326</v>
      </c>
      <c r="H1661" t="s">
        <v>319</v>
      </c>
      <c r="I1661">
        <v>75900</v>
      </c>
      <c r="K1661">
        <v>14421</v>
      </c>
      <c r="M1661">
        <v>0</v>
      </c>
      <c r="N1661">
        <v>0</v>
      </c>
      <c r="O1661">
        <v>0</v>
      </c>
      <c r="P1661" s="117">
        <v>90321</v>
      </c>
      <c r="Q1661" s="117" t="s">
        <v>1021</v>
      </c>
      <c r="R1661" s="150">
        <v>0</v>
      </c>
      <c r="S1661" s="117" t="b">
        <f>OR(COUNTIF(Tabla2[[#This Row],[PROVEEDOR]],"*"&amp;'Palabra no opera'!$A$2&amp;"*"))</f>
        <v>0</v>
      </c>
      <c r="T1661" s="150">
        <f>+$W$5-Tabla2[[#This Row],[FECHA DE FACTURACIÓN]]</f>
        <v>508</v>
      </c>
      <c r="U1661" t="str">
        <f>+IF(Tabla2[[#This Row],[dias de credito]]&gt;=Tabla2[[#This Row],[PLAZO Días]],"venc", "No venc")</f>
        <v>venc</v>
      </c>
      <c r="V1661" t="str">
        <f>+IF(Tabla2[[#This Row],[FECHA DE PAGO]]&gt;0,"pagada","por pagar")</f>
        <v>pagada</v>
      </c>
      <c r="W1661" s="152" t="str">
        <f>+IF(AND(Tabla2[[#This Row],[venc]]="venc",Tabla2[[#This Row],[Columna1]]="por pagar"),"vencida","no")</f>
        <v>no</v>
      </c>
    </row>
    <row r="1662" spans="1:23" x14ac:dyDescent="0.3">
      <c r="A1662">
        <v>30</v>
      </c>
      <c r="B1662">
        <v>0</v>
      </c>
      <c r="D1662" t="s">
        <v>270</v>
      </c>
      <c r="E1662" s="156">
        <v>44326</v>
      </c>
      <c r="F1662" t="s">
        <v>39</v>
      </c>
      <c r="G1662" s="156">
        <v>44257</v>
      </c>
      <c r="H1662" t="s">
        <v>144</v>
      </c>
      <c r="I1662">
        <v>-42016.806722689078</v>
      </c>
      <c r="K1662">
        <v>-7983.1932773109247</v>
      </c>
      <c r="M1662">
        <v>0</v>
      </c>
      <c r="N1662">
        <v>0</v>
      </c>
      <c r="O1662">
        <v>0</v>
      </c>
      <c r="P1662" s="117">
        <v>-50000</v>
      </c>
      <c r="Q1662" s="117" t="s">
        <v>1021</v>
      </c>
      <c r="R1662" s="150">
        <v>0</v>
      </c>
      <c r="S1662" s="117" t="b">
        <f>OR(COUNTIF(Tabla2[[#This Row],[PROVEEDOR]],"*"&amp;'Palabra no opera'!$A$2&amp;"*"))</f>
        <v>0</v>
      </c>
      <c r="T1662" s="150">
        <f>+$W$5-Tabla2[[#This Row],[FECHA DE FACTURACIÓN]]</f>
        <v>577</v>
      </c>
      <c r="U1662" t="str">
        <f>+IF(Tabla2[[#This Row],[dias de credito]]&gt;=Tabla2[[#This Row],[PLAZO Días]],"venc", "No venc")</f>
        <v>venc</v>
      </c>
      <c r="V1662" t="str">
        <f>+IF(Tabla2[[#This Row],[FECHA DE PAGO]]&gt;0,"pagada","por pagar")</f>
        <v>pagada</v>
      </c>
      <c r="W1662" s="152" t="str">
        <f>+IF(AND(Tabla2[[#This Row],[venc]]="venc",Tabla2[[#This Row],[Columna1]]="por pagar"),"vencida","no")</f>
        <v>no</v>
      </c>
    </row>
    <row r="1663" spans="1:23" x14ac:dyDescent="0.3">
      <c r="A1663">
        <v>30</v>
      </c>
      <c r="B1663">
        <v>0</v>
      </c>
      <c r="D1663" t="s">
        <v>270</v>
      </c>
      <c r="E1663" s="156">
        <v>44326</v>
      </c>
      <c r="F1663" t="s">
        <v>39</v>
      </c>
      <c r="G1663" s="156">
        <v>44252</v>
      </c>
      <c r="H1663">
        <v>327</v>
      </c>
      <c r="I1663">
        <v>668100</v>
      </c>
      <c r="K1663">
        <v>126939</v>
      </c>
      <c r="M1663">
        <v>0</v>
      </c>
      <c r="N1663">
        <v>0</v>
      </c>
      <c r="O1663">
        <v>0</v>
      </c>
      <c r="P1663" s="117">
        <v>795039</v>
      </c>
      <c r="Q1663" s="117" t="s">
        <v>1021</v>
      </c>
      <c r="R1663" s="150">
        <v>0</v>
      </c>
      <c r="S1663" s="117" t="b">
        <f>OR(COUNTIF(Tabla2[[#This Row],[PROVEEDOR]],"*"&amp;'Palabra no opera'!$A$2&amp;"*"))</f>
        <v>0</v>
      </c>
      <c r="T1663" s="150">
        <f>+$W$5-Tabla2[[#This Row],[FECHA DE FACTURACIÓN]]</f>
        <v>582</v>
      </c>
      <c r="U1663" t="str">
        <f>+IF(Tabla2[[#This Row],[dias de credito]]&gt;=Tabla2[[#This Row],[PLAZO Días]],"venc", "No venc")</f>
        <v>venc</v>
      </c>
      <c r="V1663" t="str">
        <f>+IF(Tabla2[[#This Row],[FECHA DE PAGO]]&gt;0,"pagada","por pagar")</f>
        <v>pagada</v>
      </c>
      <c r="W1663" s="152" t="str">
        <f>+IF(AND(Tabla2[[#This Row],[venc]]="venc",Tabla2[[#This Row],[Columna1]]="por pagar"),"vencida","no")</f>
        <v>no</v>
      </c>
    </row>
    <row r="1664" spans="1:23" x14ac:dyDescent="0.3">
      <c r="A1664">
        <v>30</v>
      </c>
      <c r="B1664">
        <v>0</v>
      </c>
      <c r="D1664" t="s">
        <v>139</v>
      </c>
      <c r="E1664" s="156">
        <v>44323</v>
      </c>
      <c r="F1664" t="s">
        <v>661</v>
      </c>
      <c r="G1664" s="156">
        <v>44323</v>
      </c>
      <c r="I1664">
        <v>384000</v>
      </c>
      <c r="K1664">
        <v>0</v>
      </c>
      <c r="M1664">
        <v>0</v>
      </c>
      <c r="N1664">
        <v>0</v>
      </c>
      <c r="O1664">
        <v>0</v>
      </c>
      <c r="P1664" s="117">
        <v>384000</v>
      </c>
      <c r="Q1664" s="117" t="s">
        <v>1021</v>
      </c>
      <c r="R1664" s="150">
        <v>0</v>
      </c>
      <c r="S1664" s="117" t="b">
        <f>OR(COUNTIF(Tabla2[[#This Row],[PROVEEDOR]],"*"&amp;'Palabra no opera'!$A$2&amp;"*"))</f>
        <v>0</v>
      </c>
      <c r="T1664" s="150">
        <f>+$W$5-Tabla2[[#This Row],[FECHA DE FACTURACIÓN]]</f>
        <v>511</v>
      </c>
      <c r="U1664" t="str">
        <f>+IF(Tabla2[[#This Row],[dias de credito]]&gt;=Tabla2[[#This Row],[PLAZO Días]],"venc", "No venc")</f>
        <v>venc</v>
      </c>
      <c r="V1664" t="str">
        <f>+IF(Tabla2[[#This Row],[FECHA DE PAGO]]&gt;0,"pagada","por pagar")</f>
        <v>pagada</v>
      </c>
      <c r="W1664" s="152" t="str">
        <f>+IF(AND(Tabla2[[#This Row],[venc]]="venc",Tabla2[[#This Row],[Columna1]]="por pagar"),"vencida","no")</f>
        <v>no</v>
      </c>
    </row>
    <row r="1665" spans="1:23" x14ac:dyDescent="0.3">
      <c r="A1665">
        <v>30</v>
      </c>
      <c r="B1665">
        <v>2192943.5750000002</v>
      </c>
      <c r="D1665" t="s">
        <v>273</v>
      </c>
      <c r="E1665" s="156">
        <v>44321</v>
      </c>
      <c r="F1665" t="s">
        <v>1638</v>
      </c>
      <c r="G1665" s="156">
        <v>44321</v>
      </c>
      <c r="H1665" t="s">
        <v>322</v>
      </c>
      <c r="I1665">
        <v>60504</v>
      </c>
      <c r="K1665">
        <v>11495.76</v>
      </c>
      <c r="M1665">
        <v>0</v>
      </c>
      <c r="N1665">
        <v>0</v>
      </c>
      <c r="O1665">
        <v>0</v>
      </c>
      <c r="P1665" s="117">
        <v>71999.759999999995</v>
      </c>
      <c r="Q1665" s="117" t="s">
        <v>1021</v>
      </c>
      <c r="R1665" s="150">
        <v>0</v>
      </c>
      <c r="S1665" s="117" t="b">
        <f>OR(COUNTIF(Tabla2[[#This Row],[PROVEEDOR]],"*"&amp;'Palabra no opera'!$A$2&amp;"*"))</f>
        <v>0</v>
      </c>
      <c r="T1665" s="150">
        <f>+$W$5-Tabla2[[#This Row],[FECHA DE FACTURACIÓN]]</f>
        <v>513</v>
      </c>
      <c r="U1665" t="str">
        <f>+IF(Tabla2[[#This Row],[dias de credito]]&gt;=Tabla2[[#This Row],[PLAZO Días]],"venc", "No venc")</f>
        <v>venc</v>
      </c>
      <c r="V1665" t="str">
        <f>+IF(Tabla2[[#This Row],[FECHA DE PAGO]]&gt;0,"pagada","por pagar")</f>
        <v>pagada</v>
      </c>
      <c r="W1665" s="152" t="str">
        <f>+IF(AND(Tabla2[[#This Row],[venc]]="venc",Tabla2[[#This Row],[Columna1]]="por pagar"),"vencida","no")</f>
        <v>no</v>
      </c>
    </row>
    <row r="1666" spans="1:23" x14ac:dyDescent="0.3">
      <c r="A1666">
        <v>10</v>
      </c>
      <c r="B1666">
        <v>0</v>
      </c>
      <c r="D1666" t="s">
        <v>315</v>
      </c>
      <c r="E1666" s="156">
        <v>44321</v>
      </c>
      <c r="F1666" t="s">
        <v>314</v>
      </c>
      <c r="G1666" s="156">
        <v>44320</v>
      </c>
      <c r="H1666" t="s">
        <v>316</v>
      </c>
      <c r="I1666">
        <v>70000</v>
      </c>
      <c r="K1666">
        <v>13300</v>
      </c>
      <c r="M1666">
        <v>0</v>
      </c>
      <c r="N1666">
        <v>0</v>
      </c>
      <c r="O1666">
        <v>0</v>
      </c>
      <c r="P1666" s="117">
        <v>83300</v>
      </c>
      <c r="Q1666" s="117" t="s">
        <v>1021</v>
      </c>
      <c r="R1666" s="150">
        <v>0</v>
      </c>
      <c r="S1666" s="117" t="b">
        <f>OR(COUNTIF(Tabla2[[#This Row],[PROVEEDOR]],"*"&amp;'Palabra no opera'!$A$2&amp;"*"))</f>
        <v>0</v>
      </c>
      <c r="T1666" s="150">
        <f>+$W$5-Tabla2[[#This Row],[FECHA DE FACTURACIÓN]]</f>
        <v>514</v>
      </c>
      <c r="U1666" t="str">
        <f>+IF(Tabla2[[#This Row],[dias de credito]]&gt;=Tabla2[[#This Row],[PLAZO Días]],"venc", "No venc")</f>
        <v>venc</v>
      </c>
      <c r="V1666" t="str">
        <f>+IF(Tabla2[[#This Row],[FECHA DE PAGO]]&gt;0,"pagada","por pagar")</f>
        <v>pagada</v>
      </c>
      <c r="W1666" s="152" t="str">
        <f>+IF(AND(Tabla2[[#This Row],[venc]]="venc",Tabla2[[#This Row],[Columna1]]="por pagar"),"vencida","no")</f>
        <v>no</v>
      </c>
    </row>
    <row r="1667" spans="1:23" x14ac:dyDescent="0.3">
      <c r="A1667">
        <v>20</v>
      </c>
      <c r="B1667">
        <v>0</v>
      </c>
      <c r="D1667" t="s">
        <v>308</v>
      </c>
      <c r="E1667" s="156">
        <v>44321</v>
      </c>
      <c r="F1667" t="s">
        <v>397</v>
      </c>
      <c r="G1667" s="156">
        <v>44294</v>
      </c>
      <c r="H1667" t="s">
        <v>1206</v>
      </c>
      <c r="I1667">
        <v>443400</v>
      </c>
      <c r="K1667">
        <v>0</v>
      </c>
      <c r="M1667">
        <v>0</v>
      </c>
      <c r="N1667">
        <v>0.01</v>
      </c>
      <c r="O1667">
        <v>4434</v>
      </c>
      <c r="P1667" s="117">
        <v>438966</v>
      </c>
      <c r="Q1667" s="117" t="s">
        <v>1021</v>
      </c>
      <c r="R1667" s="150">
        <v>0</v>
      </c>
      <c r="S1667" s="117" t="b">
        <f>OR(COUNTIF(Tabla2[[#This Row],[PROVEEDOR]],"*"&amp;'Palabra no opera'!$A$2&amp;"*"))</f>
        <v>0</v>
      </c>
      <c r="T1667" s="150">
        <f>+$W$5-Tabla2[[#This Row],[FECHA DE FACTURACIÓN]]</f>
        <v>540</v>
      </c>
      <c r="U1667" t="str">
        <f>+IF(Tabla2[[#This Row],[dias de credito]]&gt;=Tabla2[[#This Row],[PLAZO Días]],"venc", "No venc")</f>
        <v>venc</v>
      </c>
      <c r="V1667" t="str">
        <f>+IF(Tabla2[[#This Row],[FECHA DE PAGO]]&gt;0,"pagada","por pagar")</f>
        <v>pagada</v>
      </c>
      <c r="W1667" s="152" t="str">
        <f>+IF(AND(Tabla2[[#This Row],[venc]]="venc",Tabla2[[#This Row],[Columna1]]="por pagar"),"vencida","no")</f>
        <v>no</v>
      </c>
    </row>
    <row r="1668" spans="1:23" x14ac:dyDescent="0.3">
      <c r="A1668">
        <v>30</v>
      </c>
      <c r="B1668">
        <v>0</v>
      </c>
      <c r="D1668" t="s">
        <v>254</v>
      </c>
      <c r="E1668" s="156">
        <v>44321</v>
      </c>
      <c r="F1668" t="s">
        <v>46</v>
      </c>
      <c r="G1668" s="156">
        <v>44281</v>
      </c>
      <c r="H1668">
        <v>160216733</v>
      </c>
      <c r="I1668">
        <v>606700</v>
      </c>
      <c r="K1668">
        <v>115273</v>
      </c>
      <c r="M1668">
        <v>0</v>
      </c>
      <c r="N1668">
        <v>0</v>
      </c>
      <c r="O1668">
        <v>0</v>
      </c>
      <c r="P1668" s="117">
        <v>721973</v>
      </c>
      <c r="Q1668" s="117" t="s">
        <v>1021</v>
      </c>
      <c r="R1668" s="150">
        <v>0</v>
      </c>
      <c r="S1668" s="117" t="b">
        <f>OR(COUNTIF(Tabla2[[#This Row],[PROVEEDOR]],"*"&amp;'Palabra no opera'!$A$2&amp;"*"))</f>
        <v>0</v>
      </c>
      <c r="T1668" s="150">
        <f>+$W$5-Tabla2[[#This Row],[FECHA DE FACTURACIÓN]]</f>
        <v>553</v>
      </c>
      <c r="U1668" t="str">
        <f>+IF(Tabla2[[#This Row],[dias de credito]]&gt;=Tabla2[[#This Row],[PLAZO Días]],"venc", "No venc")</f>
        <v>venc</v>
      </c>
      <c r="V1668" t="str">
        <f>+IF(Tabla2[[#This Row],[FECHA DE PAGO]]&gt;0,"pagada","por pagar")</f>
        <v>pagada</v>
      </c>
      <c r="W1668" s="152" t="str">
        <f>+IF(AND(Tabla2[[#This Row],[venc]]="venc",Tabla2[[#This Row],[Columna1]]="por pagar"),"vencida","no")</f>
        <v>no</v>
      </c>
    </row>
    <row r="1669" spans="1:23" x14ac:dyDescent="0.3">
      <c r="A1669">
        <v>30</v>
      </c>
      <c r="B1669">
        <v>0</v>
      </c>
      <c r="D1669" t="s">
        <v>254</v>
      </c>
      <c r="E1669" s="156">
        <v>44321</v>
      </c>
      <c r="F1669" t="s">
        <v>46</v>
      </c>
      <c r="G1669" s="156">
        <v>44280</v>
      </c>
      <c r="H1669">
        <v>160216698</v>
      </c>
      <c r="I1669">
        <v>1213400</v>
      </c>
      <c r="K1669">
        <v>230546</v>
      </c>
      <c r="M1669">
        <v>0</v>
      </c>
      <c r="N1669">
        <v>0</v>
      </c>
      <c r="O1669">
        <v>0</v>
      </c>
      <c r="P1669" s="117">
        <v>1443946</v>
      </c>
      <c r="Q1669" s="117" t="s">
        <v>1021</v>
      </c>
      <c r="R1669" s="150">
        <v>0</v>
      </c>
      <c r="S1669" s="117" t="b">
        <f>OR(COUNTIF(Tabla2[[#This Row],[PROVEEDOR]],"*"&amp;'Palabra no opera'!$A$2&amp;"*"))</f>
        <v>0</v>
      </c>
      <c r="T1669" s="150">
        <f>+$W$5-Tabla2[[#This Row],[FECHA DE FACTURACIÓN]]</f>
        <v>554</v>
      </c>
      <c r="U1669" t="str">
        <f>+IF(Tabla2[[#This Row],[dias de credito]]&gt;=Tabla2[[#This Row],[PLAZO Días]],"venc", "No venc")</f>
        <v>venc</v>
      </c>
      <c r="V1669" t="str">
        <f>+IF(Tabla2[[#This Row],[FECHA DE PAGO]]&gt;0,"pagada","por pagar")</f>
        <v>pagada</v>
      </c>
      <c r="W1669" s="152" t="str">
        <f>+IF(AND(Tabla2[[#This Row],[venc]]="venc",Tabla2[[#This Row],[Columna1]]="por pagar"),"vencida","no")</f>
        <v>no</v>
      </c>
    </row>
    <row r="1670" spans="1:23" x14ac:dyDescent="0.3">
      <c r="A1670">
        <v>30</v>
      </c>
      <c r="B1670">
        <v>0</v>
      </c>
      <c r="D1670" t="s">
        <v>254</v>
      </c>
      <c r="E1670" s="156">
        <v>44321</v>
      </c>
      <c r="F1670" t="s">
        <v>46</v>
      </c>
      <c r="G1670" s="156">
        <v>44277</v>
      </c>
      <c r="H1670">
        <v>160216236</v>
      </c>
      <c r="I1670">
        <v>2479248</v>
      </c>
      <c r="K1670">
        <v>471057.12</v>
      </c>
      <c r="M1670">
        <v>0</v>
      </c>
      <c r="N1670">
        <v>0</v>
      </c>
      <c r="O1670">
        <v>0</v>
      </c>
      <c r="P1670" s="117">
        <v>2950305.12</v>
      </c>
      <c r="Q1670" s="117" t="s">
        <v>1021</v>
      </c>
      <c r="R1670" s="150">
        <v>0</v>
      </c>
      <c r="S1670" s="117" t="b">
        <f>OR(COUNTIF(Tabla2[[#This Row],[PROVEEDOR]],"*"&amp;'Palabra no opera'!$A$2&amp;"*"))</f>
        <v>0</v>
      </c>
      <c r="T1670" s="150">
        <f>+$W$5-Tabla2[[#This Row],[FECHA DE FACTURACIÓN]]</f>
        <v>557</v>
      </c>
      <c r="U1670" t="str">
        <f>+IF(Tabla2[[#This Row],[dias de credito]]&gt;=Tabla2[[#This Row],[PLAZO Días]],"venc", "No venc")</f>
        <v>venc</v>
      </c>
      <c r="V1670" t="str">
        <f>+IF(Tabla2[[#This Row],[FECHA DE PAGO]]&gt;0,"pagada","por pagar")</f>
        <v>pagada</v>
      </c>
      <c r="W1670" s="152" t="str">
        <f>+IF(AND(Tabla2[[#This Row],[venc]]="venc",Tabla2[[#This Row],[Columna1]]="por pagar"),"vencida","no")</f>
        <v>no</v>
      </c>
    </row>
    <row r="1671" spans="1:23" x14ac:dyDescent="0.3">
      <c r="A1671">
        <v>30</v>
      </c>
      <c r="B1671">
        <v>0</v>
      </c>
      <c r="D1671" t="s">
        <v>1653</v>
      </c>
      <c r="E1671" s="156">
        <v>44321</v>
      </c>
      <c r="F1671" t="s">
        <v>24</v>
      </c>
      <c r="G1671" s="156">
        <v>44273</v>
      </c>
      <c r="H1671" t="s">
        <v>247</v>
      </c>
      <c r="I1671">
        <v>3650562</v>
      </c>
      <c r="K1671">
        <v>693606.78</v>
      </c>
      <c r="M1671">
        <v>0</v>
      </c>
      <c r="N1671">
        <v>2.5000000000000001E-2</v>
      </c>
      <c r="O1671">
        <v>91264.05</v>
      </c>
      <c r="P1671" s="117">
        <v>4252904.7300000004</v>
      </c>
      <c r="Q1671" s="117" t="s">
        <v>1021</v>
      </c>
      <c r="R1671" s="150">
        <v>0</v>
      </c>
      <c r="S1671" s="117" t="b">
        <f>OR(COUNTIF(Tabla2[[#This Row],[PROVEEDOR]],"*"&amp;'Palabra no opera'!$A$2&amp;"*"))</f>
        <v>0</v>
      </c>
      <c r="T1671" s="150">
        <f>+$W$5-Tabla2[[#This Row],[FECHA DE FACTURACIÓN]]</f>
        <v>561</v>
      </c>
      <c r="U1671" t="str">
        <f>+IF(Tabla2[[#This Row],[dias de credito]]&gt;=Tabla2[[#This Row],[PLAZO Días]],"venc", "No venc")</f>
        <v>venc</v>
      </c>
      <c r="V1671" t="str">
        <f>+IF(Tabla2[[#This Row],[FECHA DE PAGO]]&gt;0,"pagada","por pagar")</f>
        <v>pagada</v>
      </c>
      <c r="W1671" s="152" t="str">
        <f>+IF(AND(Tabla2[[#This Row],[venc]]="venc",Tabla2[[#This Row],[Columna1]]="por pagar"),"vencida","no")</f>
        <v>no</v>
      </c>
    </row>
    <row r="1672" spans="1:23" x14ac:dyDescent="0.3">
      <c r="A1672">
        <v>30</v>
      </c>
      <c r="B1672">
        <v>0</v>
      </c>
      <c r="D1672" t="s">
        <v>1653</v>
      </c>
      <c r="E1672" s="156">
        <v>44321</v>
      </c>
      <c r="F1672" t="s">
        <v>24</v>
      </c>
      <c r="G1672" s="156">
        <v>44250</v>
      </c>
      <c r="H1672" t="s">
        <v>227</v>
      </c>
      <c r="I1672">
        <v>375000</v>
      </c>
      <c r="K1672">
        <v>71250</v>
      </c>
      <c r="M1672">
        <v>0</v>
      </c>
      <c r="N1672">
        <v>0</v>
      </c>
      <c r="O1672">
        <v>0</v>
      </c>
      <c r="P1672" s="117">
        <v>446250</v>
      </c>
      <c r="Q1672" s="117" t="s">
        <v>1021</v>
      </c>
      <c r="R1672" s="150">
        <v>0</v>
      </c>
      <c r="S1672" s="117" t="b">
        <f>OR(COUNTIF(Tabla2[[#This Row],[PROVEEDOR]],"*"&amp;'Palabra no opera'!$A$2&amp;"*"))</f>
        <v>0</v>
      </c>
      <c r="T1672" s="150">
        <f>+$W$5-Tabla2[[#This Row],[FECHA DE FACTURACIÓN]]</f>
        <v>584</v>
      </c>
      <c r="U1672" t="str">
        <f>+IF(Tabla2[[#This Row],[dias de credito]]&gt;=Tabla2[[#This Row],[PLAZO Días]],"venc", "No venc")</f>
        <v>venc</v>
      </c>
      <c r="V1672" t="str">
        <f>+IF(Tabla2[[#This Row],[FECHA DE PAGO]]&gt;0,"pagada","por pagar")</f>
        <v>pagada</v>
      </c>
      <c r="W1672" s="152" t="str">
        <f>+IF(AND(Tabla2[[#This Row],[venc]]="venc",Tabla2[[#This Row],[Columna1]]="por pagar"),"vencida","no")</f>
        <v>no</v>
      </c>
    </row>
    <row r="1673" spans="1:23" x14ac:dyDescent="0.3">
      <c r="A1673">
        <v>30</v>
      </c>
      <c r="B1673">
        <v>0</v>
      </c>
      <c r="D1673" t="s">
        <v>254</v>
      </c>
      <c r="E1673" s="156">
        <v>44321</v>
      </c>
      <c r="F1673" t="s">
        <v>46</v>
      </c>
      <c r="G1673" s="156">
        <v>44243</v>
      </c>
      <c r="H1673" t="s">
        <v>212</v>
      </c>
      <c r="I1673">
        <v>-54316</v>
      </c>
      <c r="K1673">
        <v>-10320.040000000001</v>
      </c>
      <c r="M1673">
        <v>0</v>
      </c>
      <c r="N1673">
        <v>0</v>
      </c>
      <c r="O1673">
        <v>0</v>
      </c>
      <c r="P1673" s="117">
        <v>-64636.04</v>
      </c>
      <c r="Q1673" s="117" t="s">
        <v>1021</v>
      </c>
      <c r="R1673" s="150">
        <v>0</v>
      </c>
      <c r="S1673" s="117" t="b">
        <f>OR(COUNTIF(Tabla2[[#This Row],[PROVEEDOR]],"*"&amp;'Palabra no opera'!$A$2&amp;"*"))</f>
        <v>0</v>
      </c>
      <c r="T1673" s="150">
        <f>+$W$5-Tabla2[[#This Row],[FECHA DE FACTURACIÓN]]</f>
        <v>591</v>
      </c>
      <c r="U1673" t="str">
        <f>+IF(Tabla2[[#This Row],[dias de credito]]&gt;=Tabla2[[#This Row],[PLAZO Días]],"venc", "No venc")</f>
        <v>venc</v>
      </c>
      <c r="V1673" t="str">
        <f>+IF(Tabla2[[#This Row],[FECHA DE PAGO]]&gt;0,"pagada","por pagar")</f>
        <v>pagada</v>
      </c>
      <c r="W1673" s="152" t="str">
        <f>+IF(AND(Tabla2[[#This Row],[venc]]="venc",Tabla2[[#This Row],[Columna1]]="por pagar"),"vencida","no")</f>
        <v>no</v>
      </c>
    </row>
    <row r="1674" spans="1:23" x14ac:dyDescent="0.3">
      <c r="A1674">
        <v>30</v>
      </c>
      <c r="B1674">
        <v>0</v>
      </c>
      <c r="D1674" t="s">
        <v>139</v>
      </c>
      <c r="E1674" s="156">
        <v>44320</v>
      </c>
      <c r="F1674" t="s">
        <v>681</v>
      </c>
      <c r="G1674" s="156">
        <v>44320</v>
      </c>
      <c r="H1674" t="s">
        <v>1221</v>
      </c>
      <c r="I1674">
        <v>75000</v>
      </c>
      <c r="K1674">
        <v>0</v>
      </c>
      <c r="M1674">
        <v>0</v>
      </c>
      <c r="N1674">
        <v>0</v>
      </c>
      <c r="O1674">
        <v>0</v>
      </c>
      <c r="P1674" s="117">
        <v>75000</v>
      </c>
      <c r="Q1674" s="117" t="s">
        <v>1021</v>
      </c>
      <c r="R1674" s="150">
        <v>0</v>
      </c>
      <c r="S1674" s="117" t="b">
        <f>OR(COUNTIF(Tabla2[[#This Row],[PROVEEDOR]],"*"&amp;'Palabra no opera'!$A$2&amp;"*"))</f>
        <v>0</v>
      </c>
      <c r="T1674" s="150">
        <f>+$W$5-Tabla2[[#This Row],[FECHA DE FACTURACIÓN]]</f>
        <v>514</v>
      </c>
      <c r="U1674" t="str">
        <f>+IF(Tabla2[[#This Row],[dias de credito]]&gt;=Tabla2[[#This Row],[PLAZO Días]],"venc", "No venc")</f>
        <v>venc</v>
      </c>
      <c r="V1674" t="str">
        <f>+IF(Tabla2[[#This Row],[FECHA DE PAGO]]&gt;0,"pagada","por pagar")</f>
        <v>pagada</v>
      </c>
      <c r="W1674" s="152" t="str">
        <f>+IF(AND(Tabla2[[#This Row],[venc]]="venc",Tabla2[[#This Row],[Columna1]]="por pagar"),"vencida","no")</f>
        <v>no</v>
      </c>
    </row>
    <row r="1675" spans="1:23" x14ac:dyDescent="0.3">
      <c r="A1675">
        <v>10</v>
      </c>
      <c r="B1675">
        <v>0</v>
      </c>
      <c r="D1675" t="s">
        <v>304</v>
      </c>
      <c r="E1675" s="156">
        <v>44320</v>
      </c>
      <c r="F1675" t="s">
        <v>303</v>
      </c>
      <c r="G1675" s="156">
        <v>44319</v>
      </c>
      <c r="H1675">
        <v>114001</v>
      </c>
      <c r="I1675">
        <v>2739403.1313</v>
      </c>
      <c r="K1675">
        <v>0</v>
      </c>
      <c r="M1675">
        <v>0</v>
      </c>
      <c r="N1675">
        <v>0</v>
      </c>
      <c r="O1675">
        <v>0</v>
      </c>
      <c r="P1675" s="117">
        <v>2739403.1313</v>
      </c>
      <c r="Q1675" s="117" t="s">
        <v>1021</v>
      </c>
      <c r="R1675" s="150">
        <v>0</v>
      </c>
      <c r="S1675" s="117" t="b">
        <f>OR(COUNTIF(Tabla2[[#This Row],[PROVEEDOR]],"*"&amp;'Palabra no opera'!$A$2&amp;"*"))</f>
        <v>0</v>
      </c>
      <c r="T1675" s="150">
        <f>+$W$5-Tabla2[[#This Row],[FECHA DE FACTURACIÓN]]</f>
        <v>515</v>
      </c>
      <c r="U1675" t="str">
        <f>+IF(Tabla2[[#This Row],[dias de credito]]&gt;=Tabla2[[#This Row],[PLAZO Días]],"venc", "No venc")</f>
        <v>venc</v>
      </c>
      <c r="V1675" t="str">
        <f>+IF(Tabla2[[#This Row],[FECHA DE PAGO]]&gt;0,"pagada","por pagar")</f>
        <v>pagada</v>
      </c>
      <c r="W1675" s="152" t="str">
        <f>+IF(AND(Tabla2[[#This Row],[venc]]="venc",Tabla2[[#This Row],[Columna1]]="por pagar"),"vencida","no")</f>
        <v>no</v>
      </c>
    </row>
    <row r="1676" spans="1:23" x14ac:dyDescent="0.3">
      <c r="A1676">
        <v>30</v>
      </c>
      <c r="B1676">
        <v>0</v>
      </c>
      <c r="D1676" t="s">
        <v>139</v>
      </c>
      <c r="E1676" s="156">
        <v>44319</v>
      </c>
      <c r="F1676" t="s">
        <v>673</v>
      </c>
      <c r="G1676" s="156">
        <v>44319</v>
      </c>
      <c r="I1676">
        <v>800000</v>
      </c>
      <c r="K1676">
        <v>0</v>
      </c>
      <c r="M1676">
        <v>0</v>
      </c>
      <c r="N1676">
        <v>0</v>
      </c>
      <c r="O1676">
        <v>0</v>
      </c>
      <c r="P1676" s="117">
        <v>800000</v>
      </c>
      <c r="Q1676" s="117" t="s">
        <v>1021</v>
      </c>
      <c r="R1676" s="150">
        <v>0</v>
      </c>
      <c r="S1676" s="117" t="b">
        <f>OR(COUNTIF(Tabla2[[#This Row],[PROVEEDOR]],"*"&amp;'Palabra no opera'!$A$2&amp;"*"))</f>
        <v>0</v>
      </c>
      <c r="T1676" s="150">
        <f>+$W$5-Tabla2[[#This Row],[FECHA DE FACTURACIÓN]]</f>
        <v>515</v>
      </c>
      <c r="U1676" t="str">
        <f>+IF(Tabla2[[#This Row],[dias de credito]]&gt;=Tabla2[[#This Row],[PLAZO Días]],"venc", "No venc")</f>
        <v>venc</v>
      </c>
      <c r="V1676" t="str">
        <f>+IF(Tabla2[[#This Row],[FECHA DE PAGO]]&gt;0,"pagada","por pagar")</f>
        <v>pagada</v>
      </c>
      <c r="W1676" s="152" t="str">
        <f>+IF(AND(Tabla2[[#This Row],[venc]]="venc",Tabla2[[#This Row],[Columna1]]="por pagar"),"vencida","no")</f>
        <v>no</v>
      </c>
    </row>
    <row r="1677" spans="1:23" x14ac:dyDescent="0.3">
      <c r="A1677">
        <v>30</v>
      </c>
      <c r="B1677">
        <v>0</v>
      </c>
      <c r="D1677" t="s">
        <v>250</v>
      </c>
      <c r="E1677" s="156">
        <v>44319</v>
      </c>
      <c r="F1677" t="s">
        <v>1451</v>
      </c>
      <c r="G1677" s="156">
        <v>44318</v>
      </c>
      <c r="H1677">
        <v>91</v>
      </c>
      <c r="I1677">
        <v>557000</v>
      </c>
      <c r="K1677">
        <v>0</v>
      </c>
      <c r="M1677">
        <v>0</v>
      </c>
      <c r="N1677">
        <v>0.01</v>
      </c>
      <c r="O1677">
        <v>5570</v>
      </c>
      <c r="P1677" s="117">
        <v>551430</v>
      </c>
      <c r="Q1677" s="117" t="s">
        <v>1021</v>
      </c>
      <c r="R1677" s="150">
        <v>0</v>
      </c>
      <c r="S1677" s="117" t="b">
        <f>OR(COUNTIF(Tabla2[[#This Row],[PROVEEDOR]],"*"&amp;'Palabra no opera'!$A$2&amp;"*"))</f>
        <v>0</v>
      </c>
      <c r="T1677" s="150">
        <f>+$W$5-Tabla2[[#This Row],[FECHA DE FACTURACIÓN]]</f>
        <v>516</v>
      </c>
      <c r="U1677" t="str">
        <f>+IF(Tabla2[[#This Row],[dias de credito]]&gt;=Tabla2[[#This Row],[PLAZO Días]],"venc", "No venc")</f>
        <v>venc</v>
      </c>
      <c r="V1677" t="str">
        <f>+IF(Tabla2[[#This Row],[FECHA DE PAGO]]&gt;0,"pagada","por pagar")</f>
        <v>pagada</v>
      </c>
      <c r="W1677" s="152" t="str">
        <f>+IF(AND(Tabla2[[#This Row],[venc]]="venc",Tabla2[[#This Row],[Columna1]]="por pagar"),"vencida","no")</f>
        <v>no</v>
      </c>
    </row>
    <row r="1678" spans="1:23" x14ac:dyDescent="0.3">
      <c r="A1678">
        <v>20</v>
      </c>
      <c r="B1678">
        <v>0</v>
      </c>
      <c r="D1678" t="s">
        <v>308</v>
      </c>
      <c r="E1678" s="156">
        <v>44319</v>
      </c>
      <c r="F1678" t="s">
        <v>331</v>
      </c>
      <c r="G1678" s="156">
        <v>44309</v>
      </c>
      <c r="H1678" t="s">
        <v>400</v>
      </c>
      <c r="I1678">
        <v>3691762.2846000004</v>
      </c>
      <c r="K1678">
        <v>701434.83407400013</v>
      </c>
      <c r="M1678">
        <v>0</v>
      </c>
      <c r="N1678">
        <v>0.04</v>
      </c>
      <c r="O1678">
        <v>147670.49138400002</v>
      </c>
      <c r="P1678" s="117">
        <v>4245526.6272900011</v>
      </c>
      <c r="Q1678" s="117" t="s">
        <v>1021</v>
      </c>
      <c r="R1678" s="150">
        <v>0</v>
      </c>
      <c r="S1678" s="117" t="b">
        <f>OR(COUNTIF(Tabla2[[#This Row],[PROVEEDOR]],"*"&amp;'Palabra no opera'!$A$2&amp;"*"))</f>
        <v>0</v>
      </c>
      <c r="T1678" s="150">
        <f>+$W$5-Tabla2[[#This Row],[FECHA DE FACTURACIÓN]]</f>
        <v>525</v>
      </c>
      <c r="U1678" t="str">
        <f>+IF(Tabla2[[#This Row],[dias de credito]]&gt;=Tabla2[[#This Row],[PLAZO Días]],"venc", "No venc")</f>
        <v>venc</v>
      </c>
      <c r="V1678" t="str">
        <f>+IF(Tabla2[[#This Row],[FECHA DE PAGO]]&gt;0,"pagada","por pagar")</f>
        <v>pagada</v>
      </c>
      <c r="W1678" s="152" t="str">
        <f>+IF(AND(Tabla2[[#This Row],[venc]]="venc",Tabla2[[#This Row],[Columna1]]="por pagar"),"vencida","no")</f>
        <v>no</v>
      </c>
    </row>
    <row r="1679" spans="1:23" x14ac:dyDescent="0.3">
      <c r="A1679">
        <v>30</v>
      </c>
      <c r="B1679">
        <v>27452.91</v>
      </c>
      <c r="D1679" t="s">
        <v>949</v>
      </c>
      <c r="E1679" s="156">
        <v>44319</v>
      </c>
      <c r="F1679" t="s">
        <v>118</v>
      </c>
      <c r="G1679" s="156">
        <v>44308</v>
      </c>
      <c r="H1679" t="s">
        <v>302</v>
      </c>
      <c r="I1679">
        <v>158258.28</v>
      </c>
      <c r="K1679">
        <v>0</v>
      </c>
      <c r="M1679">
        <v>0</v>
      </c>
      <c r="N1679">
        <v>0</v>
      </c>
      <c r="O1679">
        <v>0</v>
      </c>
      <c r="P1679" s="117">
        <v>158258.28</v>
      </c>
      <c r="Q1679" s="117" t="s">
        <v>1021</v>
      </c>
      <c r="R1679" s="150">
        <v>0</v>
      </c>
      <c r="S1679" s="117" t="b">
        <f>OR(COUNTIF(Tabla2[[#This Row],[PROVEEDOR]],"*"&amp;'Palabra no opera'!$A$2&amp;"*"))</f>
        <v>0</v>
      </c>
      <c r="T1679" s="150">
        <f>+$W$5-Tabla2[[#This Row],[FECHA DE FACTURACIÓN]]</f>
        <v>526</v>
      </c>
      <c r="U1679" t="str">
        <f>+IF(Tabla2[[#This Row],[dias de credito]]&gt;=Tabla2[[#This Row],[PLAZO Días]],"venc", "No venc")</f>
        <v>venc</v>
      </c>
      <c r="V1679" t="str">
        <f>+IF(Tabla2[[#This Row],[FECHA DE PAGO]]&gt;0,"pagada","por pagar")</f>
        <v>pagada</v>
      </c>
      <c r="W1679" s="152" t="str">
        <f>+IF(AND(Tabla2[[#This Row],[venc]]="venc",Tabla2[[#This Row],[Columna1]]="por pagar"),"vencida","no")</f>
        <v>no</v>
      </c>
    </row>
    <row r="1680" spans="1:23" x14ac:dyDescent="0.3">
      <c r="A1680">
        <v>30</v>
      </c>
      <c r="B1680">
        <v>6259125.5999999996</v>
      </c>
      <c r="D1680" t="s">
        <v>264</v>
      </c>
      <c r="E1680" s="156">
        <v>44319</v>
      </c>
      <c r="F1680" t="s">
        <v>1448</v>
      </c>
      <c r="G1680" s="156">
        <v>44275</v>
      </c>
      <c r="H1680">
        <v>15294</v>
      </c>
      <c r="I1680">
        <v>1463200</v>
      </c>
      <c r="K1680">
        <v>278008</v>
      </c>
      <c r="M1680">
        <v>0</v>
      </c>
      <c r="N1680">
        <v>2.5000000000000001E-2</v>
      </c>
      <c r="O1680">
        <v>36580</v>
      </c>
      <c r="P1680" s="117">
        <v>1704628</v>
      </c>
      <c r="Q1680" s="117" t="s">
        <v>1021</v>
      </c>
      <c r="R1680" s="150">
        <v>0</v>
      </c>
      <c r="S1680" s="117" t="b">
        <f>OR(COUNTIF(Tabla2[[#This Row],[PROVEEDOR]],"*"&amp;'Palabra no opera'!$A$2&amp;"*"))</f>
        <v>0</v>
      </c>
      <c r="T1680" s="150">
        <f>+$W$5-Tabla2[[#This Row],[FECHA DE FACTURACIÓN]]</f>
        <v>559</v>
      </c>
      <c r="U1680" t="str">
        <f>+IF(Tabla2[[#This Row],[dias de credito]]&gt;=Tabla2[[#This Row],[PLAZO Días]],"venc", "No venc")</f>
        <v>venc</v>
      </c>
      <c r="V1680" t="str">
        <f>+IF(Tabla2[[#This Row],[FECHA DE PAGO]]&gt;0,"pagada","por pagar")</f>
        <v>pagada</v>
      </c>
      <c r="W1680" s="152" t="str">
        <f>+IF(AND(Tabla2[[#This Row],[venc]]="venc",Tabla2[[#This Row],[Columna1]]="por pagar"),"vencida","no")</f>
        <v>no</v>
      </c>
    </row>
    <row r="1681" spans="1:23" x14ac:dyDescent="0.3">
      <c r="A1681">
        <v>30</v>
      </c>
      <c r="B1681">
        <v>8457900</v>
      </c>
      <c r="D1681" t="s">
        <v>1027</v>
      </c>
      <c r="E1681" s="156">
        <v>44319</v>
      </c>
      <c r="F1681" t="s">
        <v>11</v>
      </c>
      <c r="G1681" s="156">
        <v>44273</v>
      </c>
      <c r="H1681" t="s">
        <v>244</v>
      </c>
      <c r="I1681">
        <v>1980000</v>
      </c>
      <c r="K1681">
        <v>376200</v>
      </c>
      <c r="M1681">
        <v>0</v>
      </c>
      <c r="N1681">
        <v>2.5000000000000001E-2</v>
      </c>
      <c r="O1681">
        <v>49500</v>
      </c>
      <c r="P1681" s="117">
        <v>2306700</v>
      </c>
      <c r="Q1681" s="117" t="s">
        <v>1021</v>
      </c>
      <c r="R1681" s="150">
        <v>0</v>
      </c>
      <c r="S1681" s="117" t="b">
        <f>OR(COUNTIF(Tabla2[[#This Row],[PROVEEDOR]],"*"&amp;'Palabra no opera'!$A$2&amp;"*"))</f>
        <v>0</v>
      </c>
      <c r="T1681" s="150">
        <f>+$W$5-Tabla2[[#This Row],[FECHA DE FACTURACIÓN]]</f>
        <v>561</v>
      </c>
      <c r="U1681" t="str">
        <f>+IF(Tabla2[[#This Row],[dias de credito]]&gt;=Tabla2[[#This Row],[PLAZO Días]],"venc", "No venc")</f>
        <v>venc</v>
      </c>
      <c r="V1681" t="str">
        <f>+IF(Tabla2[[#This Row],[FECHA DE PAGO]]&gt;0,"pagada","por pagar")</f>
        <v>pagada</v>
      </c>
      <c r="W1681" s="152" t="str">
        <f>+IF(AND(Tabla2[[#This Row],[venc]]="venc",Tabla2[[#This Row],[Columna1]]="por pagar"),"vencida","no")</f>
        <v>no</v>
      </c>
    </row>
    <row r="1682" spans="1:23" x14ac:dyDescent="0.3">
      <c r="A1682">
        <v>30</v>
      </c>
      <c r="B1682">
        <v>8457900</v>
      </c>
      <c r="D1682" t="s">
        <v>1027</v>
      </c>
      <c r="E1682" s="156">
        <v>44319</v>
      </c>
      <c r="F1682" t="s">
        <v>11</v>
      </c>
      <c r="G1682" s="156">
        <v>44263</v>
      </c>
      <c r="H1682" t="s">
        <v>234</v>
      </c>
      <c r="I1682">
        <v>1980000</v>
      </c>
      <c r="K1682">
        <v>376200</v>
      </c>
      <c r="M1682">
        <v>0</v>
      </c>
      <c r="N1682">
        <v>2.5000000000000001E-2</v>
      </c>
      <c r="O1682">
        <v>49500</v>
      </c>
      <c r="P1682" s="117">
        <v>2306700</v>
      </c>
      <c r="Q1682" s="117" t="s">
        <v>1021</v>
      </c>
      <c r="R1682" s="150">
        <v>0</v>
      </c>
      <c r="S1682" s="117" t="b">
        <f>OR(COUNTIF(Tabla2[[#This Row],[PROVEEDOR]],"*"&amp;'Palabra no opera'!$A$2&amp;"*"))</f>
        <v>0</v>
      </c>
      <c r="T1682" s="150">
        <f>+$W$5-Tabla2[[#This Row],[FECHA DE FACTURACIÓN]]</f>
        <v>571</v>
      </c>
      <c r="U1682" t="str">
        <f>+IF(Tabla2[[#This Row],[dias de credito]]&gt;=Tabla2[[#This Row],[PLAZO Días]],"venc", "No venc")</f>
        <v>venc</v>
      </c>
      <c r="V1682" t="str">
        <f>+IF(Tabla2[[#This Row],[FECHA DE PAGO]]&gt;0,"pagada","por pagar")</f>
        <v>pagada</v>
      </c>
      <c r="W1682" s="152" t="str">
        <f>+IF(AND(Tabla2[[#This Row],[venc]]="venc",Tabla2[[#This Row],[Columna1]]="por pagar"),"vencida","no")</f>
        <v>no</v>
      </c>
    </row>
    <row r="1683" spans="1:23" x14ac:dyDescent="0.3">
      <c r="A1683">
        <v>45</v>
      </c>
      <c r="B1683">
        <v>7497238</v>
      </c>
      <c r="D1683" t="s">
        <v>272</v>
      </c>
      <c r="E1683" s="156">
        <v>44319</v>
      </c>
      <c r="F1683" t="s">
        <v>10</v>
      </c>
      <c r="G1683" s="156">
        <v>44235</v>
      </c>
      <c r="H1683" t="s">
        <v>181</v>
      </c>
      <c r="I1683">
        <v>798000</v>
      </c>
      <c r="K1683">
        <v>151620</v>
      </c>
      <c r="M1683">
        <v>0</v>
      </c>
      <c r="N1683">
        <v>0</v>
      </c>
      <c r="O1683">
        <v>0</v>
      </c>
      <c r="P1683" s="117">
        <v>949620</v>
      </c>
      <c r="Q1683" s="117" t="s">
        <v>1021</v>
      </c>
      <c r="R1683" s="150">
        <v>0</v>
      </c>
      <c r="S1683" s="117" t="b">
        <f>OR(COUNTIF(Tabla2[[#This Row],[PROVEEDOR]],"*"&amp;'Palabra no opera'!$A$2&amp;"*"))</f>
        <v>0</v>
      </c>
      <c r="T1683" s="150">
        <f>+$W$5-Tabla2[[#This Row],[FECHA DE FACTURACIÓN]]</f>
        <v>599</v>
      </c>
      <c r="U1683" t="str">
        <f>+IF(Tabla2[[#This Row],[dias de credito]]&gt;=Tabla2[[#This Row],[PLAZO Días]],"venc", "No venc")</f>
        <v>venc</v>
      </c>
      <c r="V1683" t="str">
        <f>+IF(Tabla2[[#This Row],[FECHA DE PAGO]]&gt;0,"pagada","por pagar")</f>
        <v>pagada</v>
      </c>
      <c r="W1683" s="152" t="str">
        <f>+IF(AND(Tabla2[[#This Row],[venc]]="venc",Tabla2[[#This Row],[Columna1]]="por pagar"),"vencida","no")</f>
        <v>no</v>
      </c>
    </row>
    <row r="1684" spans="1:23" x14ac:dyDescent="0.3">
      <c r="A1684">
        <v>45</v>
      </c>
      <c r="B1684">
        <v>7497238</v>
      </c>
      <c r="D1684" t="s">
        <v>272</v>
      </c>
      <c r="E1684" s="156">
        <v>44319</v>
      </c>
      <c r="F1684" t="s">
        <v>10</v>
      </c>
      <c r="G1684" s="156">
        <v>44235</v>
      </c>
      <c r="H1684" t="s">
        <v>182</v>
      </c>
      <c r="I1684">
        <v>3703000</v>
      </c>
      <c r="K1684">
        <v>703570</v>
      </c>
      <c r="M1684">
        <v>0</v>
      </c>
      <c r="N1684">
        <v>0</v>
      </c>
      <c r="O1684">
        <v>0</v>
      </c>
      <c r="P1684" s="117">
        <v>4406570</v>
      </c>
      <c r="Q1684" s="117" t="s">
        <v>1021</v>
      </c>
      <c r="R1684" s="150">
        <v>0</v>
      </c>
      <c r="S1684" s="117" t="b">
        <f>OR(COUNTIF(Tabla2[[#This Row],[PROVEEDOR]],"*"&amp;'Palabra no opera'!$A$2&amp;"*"))</f>
        <v>0</v>
      </c>
      <c r="T1684" s="150">
        <f>+$W$5-Tabla2[[#This Row],[FECHA DE FACTURACIÓN]]</f>
        <v>599</v>
      </c>
      <c r="U1684" t="str">
        <f>+IF(Tabla2[[#This Row],[dias de credito]]&gt;=Tabla2[[#This Row],[PLAZO Días]],"venc", "No venc")</f>
        <v>venc</v>
      </c>
      <c r="V1684" t="str">
        <f>+IF(Tabla2[[#This Row],[FECHA DE PAGO]]&gt;0,"pagada","por pagar")</f>
        <v>pagada</v>
      </c>
      <c r="W1684" s="152" t="str">
        <f>+IF(AND(Tabla2[[#This Row],[venc]]="venc",Tabla2[[#This Row],[Columna1]]="por pagar"),"vencida","no")</f>
        <v>no</v>
      </c>
    </row>
    <row r="1685" spans="1:23" x14ac:dyDescent="0.3">
      <c r="A1685">
        <v>30</v>
      </c>
      <c r="B1685">
        <v>0</v>
      </c>
      <c r="D1685" t="s">
        <v>139</v>
      </c>
      <c r="E1685" s="156">
        <v>44316</v>
      </c>
      <c r="F1685" t="s">
        <v>644</v>
      </c>
      <c r="G1685" s="156">
        <v>44316</v>
      </c>
      <c r="H1685" t="s">
        <v>174</v>
      </c>
      <c r="I1685">
        <v>71400</v>
      </c>
      <c r="K1685">
        <v>0</v>
      </c>
      <c r="M1685">
        <v>0</v>
      </c>
      <c r="N1685">
        <v>0</v>
      </c>
      <c r="O1685">
        <v>0</v>
      </c>
      <c r="P1685" s="117">
        <v>71400</v>
      </c>
      <c r="Q1685" s="117" t="s">
        <v>1021</v>
      </c>
      <c r="R1685" s="150">
        <v>0</v>
      </c>
      <c r="S1685" s="117" t="b">
        <f>OR(COUNTIF(Tabla2[[#This Row],[PROVEEDOR]],"*"&amp;'Palabra no opera'!$A$2&amp;"*"))</f>
        <v>0</v>
      </c>
      <c r="T1685" s="150">
        <f>+$W$5-Tabla2[[#This Row],[FECHA DE FACTURACIÓN]]</f>
        <v>518</v>
      </c>
      <c r="U1685" t="str">
        <f>+IF(Tabla2[[#This Row],[dias de credito]]&gt;=Tabla2[[#This Row],[PLAZO Días]],"venc", "No venc")</f>
        <v>venc</v>
      </c>
      <c r="V1685" t="str">
        <f>+IF(Tabla2[[#This Row],[FECHA DE PAGO]]&gt;0,"pagada","por pagar")</f>
        <v>pagada</v>
      </c>
      <c r="W1685" s="152" t="str">
        <f>+IF(AND(Tabla2[[#This Row],[venc]]="venc",Tabla2[[#This Row],[Columna1]]="por pagar"),"vencida","no")</f>
        <v>no</v>
      </c>
    </row>
    <row r="1686" spans="1:23" x14ac:dyDescent="0.3">
      <c r="A1686">
        <v>30</v>
      </c>
      <c r="B1686">
        <v>0</v>
      </c>
      <c r="D1686" t="s">
        <v>139</v>
      </c>
      <c r="E1686" s="156">
        <v>44316</v>
      </c>
      <c r="F1686" t="s">
        <v>644</v>
      </c>
      <c r="G1686" s="156">
        <v>44316</v>
      </c>
      <c r="H1686" t="s">
        <v>596</v>
      </c>
      <c r="I1686">
        <v>82400</v>
      </c>
      <c r="K1686">
        <v>0</v>
      </c>
      <c r="M1686">
        <v>0</v>
      </c>
      <c r="N1686">
        <v>0</v>
      </c>
      <c r="O1686">
        <v>0</v>
      </c>
      <c r="P1686" s="117">
        <v>82400</v>
      </c>
      <c r="Q1686" s="117" t="s">
        <v>1021</v>
      </c>
      <c r="R1686" s="150">
        <v>0</v>
      </c>
      <c r="S1686" s="117" t="b">
        <f>OR(COUNTIF(Tabla2[[#This Row],[PROVEEDOR]],"*"&amp;'Palabra no opera'!$A$2&amp;"*"))</f>
        <v>0</v>
      </c>
      <c r="T1686" s="150">
        <f>+$W$5-Tabla2[[#This Row],[FECHA DE FACTURACIÓN]]</f>
        <v>518</v>
      </c>
      <c r="U1686" t="str">
        <f>+IF(Tabla2[[#This Row],[dias de credito]]&gt;=Tabla2[[#This Row],[PLAZO Días]],"venc", "No venc")</f>
        <v>venc</v>
      </c>
      <c r="V1686" t="str">
        <f>+IF(Tabla2[[#This Row],[FECHA DE PAGO]]&gt;0,"pagada","por pagar")</f>
        <v>pagada</v>
      </c>
      <c r="W1686" s="152" t="str">
        <f>+IF(AND(Tabla2[[#This Row],[venc]]="venc",Tabla2[[#This Row],[Columna1]]="por pagar"),"vencida","no")</f>
        <v>no</v>
      </c>
    </row>
    <row r="1687" spans="1:23" x14ac:dyDescent="0.3">
      <c r="A1687">
        <v>30</v>
      </c>
      <c r="B1687">
        <v>0</v>
      </c>
      <c r="D1687" t="s">
        <v>139</v>
      </c>
      <c r="E1687" s="156">
        <v>44316</v>
      </c>
      <c r="F1687" t="s">
        <v>644</v>
      </c>
      <c r="G1687" s="156">
        <v>44316</v>
      </c>
      <c r="H1687" t="s">
        <v>598</v>
      </c>
      <c r="I1687">
        <v>166000</v>
      </c>
      <c r="K1687">
        <v>0</v>
      </c>
      <c r="M1687">
        <v>0</v>
      </c>
      <c r="N1687">
        <v>0</v>
      </c>
      <c r="O1687">
        <v>0</v>
      </c>
      <c r="P1687" s="117">
        <v>166000</v>
      </c>
      <c r="Q1687" s="117" t="s">
        <v>1021</v>
      </c>
      <c r="R1687" s="150">
        <v>0</v>
      </c>
      <c r="S1687" s="117" t="b">
        <f>OR(COUNTIF(Tabla2[[#This Row],[PROVEEDOR]],"*"&amp;'Palabra no opera'!$A$2&amp;"*"))</f>
        <v>0</v>
      </c>
      <c r="T1687" s="150">
        <f>+$W$5-Tabla2[[#This Row],[FECHA DE FACTURACIÓN]]</f>
        <v>518</v>
      </c>
      <c r="U1687" t="str">
        <f>+IF(Tabla2[[#This Row],[dias de credito]]&gt;=Tabla2[[#This Row],[PLAZO Días]],"venc", "No venc")</f>
        <v>venc</v>
      </c>
      <c r="V1687" t="str">
        <f>+IF(Tabla2[[#This Row],[FECHA DE PAGO]]&gt;0,"pagada","por pagar")</f>
        <v>pagada</v>
      </c>
      <c r="W1687" s="152" t="str">
        <f>+IF(AND(Tabla2[[#This Row],[venc]]="venc",Tabla2[[#This Row],[Columna1]]="por pagar"),"vencida","no")</f>
        <v>no</v>
      </c>
    </row>
    <row r="1688" spans="1:23" x14ac:dyDescent="0.3">
      <c r="A1688">
        <v>30</v>
      </c>
      <c r="B1688">
        <v>0</v>
      </c>
      <c r="D1688" t="s">
        <v>139</v>
      </c>
      <c r="E1688" s="156">
        <v>44316</v>
      </c>
      <c r="F1688" t="s">
        <v>644</v>
      </c>
      <c r="G1688" s="156">
        <v>44316</v>
      </c>
      <c r="H1688" t="s">
        <v>597</v>
      </c>
      <c r="I1688">
        <v>487200</v>
      </c>
      <c r="K1688">
        <v>0</v>
      </c>
      <c r="M1688">
        <v>0</v>
      </c>
      <c r="N1688">
        <v>0</v>
      </c>
      <c r="O1688">
        <v>0</v>
      </c>
      <c r="P1688" s="117">
        <v>487200</v>
      </c>
      <c r="Q1688" s="117" t="s">
        <v>1021</v>
      </c>
      <c r="R1688" s="150">
        <v>0</v>
      </c>
      <c r="S1688" s="117" t="b">
        <f>OR(COUNTIF(Tabla2[[#This Row],[PROVEEDOR]],"*"&amp;'Palabra no opera'!$A$2&amp;"*"))</f>
        <v>0</v>
      </c>
      <c r="T1688" s="150">
        <f>+$W$5-Tabla2[[#This Row],[FECHA DE FACTURACIÓN]]</f>
        <v>518</v>
      </c>
      <c r="U1688" t="str">
        <f>+IF(Tabla2[[#This Row],[dias de credito]]&gt;=Tabla2[[#This Row],[PLAZO Días]],"venc", "No venc")</f>
        <v>venc</v>
      </c>
      <c r="V1688" t="str">
        <f>+IF(Tabla2[[#This Row],[FECHA DE PAGO]]&gt;0,"pagada","por pagar")</f>
        <v>pagada</v>
      </c>
      <c r="W1688" s="152" t="str">
        <f>+IF(AND(Tabla2[[#This Row],[venc]]="venc",Tabla2[[#This Row],[Columna1]]="por pagar"),"vencida","no")</f>
        <v>no</v>
      </c>
    </row>
    <row r="1689" spans="1:23" x14ac:dyDescent="0.3">
      <c r="A1689">
        <v>30</v>
      </c>
      <c r="B1689">
        <v>0</v>
      </c>
      <c r="D1689" t="s">
        <v>139</v>
      </c>
      <c r="E1689" s="156">
        <v>44316</v>
      </c>
      <c r="F1689" t="s">
        <v>644</v>
      </c>
      <c r="G1689" s="156">
        <v>44316</v>
      </c>
      <c r="H1689" t="s">
        <v>595</v>
      </c>
      <c r="I1689">
        <v>1519700</v>
      </c>
      <c r="K1689">
        <v>0</v>
      </c>
      <c r="M1689">
        <v>0</v>
      </c>
      <c r="N1689">
        <v>0</v>
      </c>
      <c r="O1689">
        <v>0</v>
      </c>
      <c r="P1689" s="117">
        <v>1519700</v>
      </c>
      <c r="Q1689" s="117" t="s">
        <v>1021</v>
      </c>
      <c r="R1689" s="150">
        <v>0</v>
      </c>
      <c r="S1689" s="117" t="b">
        <f>OR(COUNTIF(Tabla2[[#This Row],[PROVEEDOR]],"*"&amp;'Palabra no opera'!$A$2&amp;"*"))</f>
        <v>0</v>
      </c>
      <c r="T1689" s="150">
        <f>+$W$5-Tabla2[[#This Row],[FECHA DE FACTURACIÓN]]</f>
        <v>518</v>
      </c>
      <c r="U1689" t="str">
        <f>+IF(Tabla2[[#This Row],[dias de credito]]&gt;=Tabla2[[#This Row],[PLAZO Días]],"venc", "No venc")</f>
        <v>venc</v>
      </c>
      <c r="V1689" t="str">
        <f>+IF(Tabla2[[#This Row],[FECHA DE PAGO]]&gt;0,"pagada","por pagar")</f>
        <v>pagada</v>
      </c>
      <c r="W1689" s="152" t="str">
        <f>+IF(AND(Tabla2[[#This Row],[venc]]="venc",Tabla2[[#This Row],[Columna1]]="por pagar"),"vencida","no")</f>
        <v>no</v>
      </c>
    </row>
    <row r="1690" spans="1:23" x14ac:dyDescent="0.3">
      <c r="A1690">
        <v>18</v>
      </c>
      <c r="B1690">
        <v>0</v>
      </c>
      <c r="D1690" t="s">
        <v>265</v>
      </c>
      <c r="E1690" s="156">
        <v>44316</v>
      </c>
      <c r="F1690" t="s">
        <v>924</v>
      </c>
      <c r="G1690" s="156">
        <v>44316</v>
      </c>
      <c r="H1690" t="s">
        <v>309</v>
      </c>
      <c r="I1690">
        <v>-972802</v>
      </c>
      <c r="K1690">
        <v>0</v>
      </c>
      <c r="M1690">
        <v>0</v>
      </c>
      <c r="N1690">
        <v>0</v>
      </c>
      <c r="O1690">
        <v>0</v>
      </c>
      <c r="P1690" s="117">
        <v>-972802</v>
      </c>
      <c r="Q1690" s="117" t="s">
        <v>1021</v>
      </c>
      <c r="R1690" s="150">
        <v>0</v>
      </c>
      <c r="S1690" s="117" t="b">
        <f>OR(COUNTIF(Tabla2[[#This Row],[PROVEEDOR]],"*"&amp;'Palabra no opera'!$A$2&amp;"*"))</f>
        <v>1</v>
      </c>
      <c r="T1690" s="150">
        <f>+$W$5-Tabla2[[#This Row],[FECHA DE FACTURACIÓN]]</f>
        <v>518</v>
      </c>
      <c r="U1690" t="str">
        <f>+IF(Tabla2[[#This Row],[dias de credito]]&gt;=Tabla2[[#This Row],[PLAZO Días]],"venc", "No venc")</f>
        <v>venc</v>
      </c>
      <c r="V1690" t="str">
        <f>+IF(Tabla2[[#This Row],[FECHA DE PAGO]]&gt;0,"pagada","por pagar")</f>
        <v>pagada</v>
      </c>
      <c r="W1690" s="152" t="str">
        <f>+IF(AND(Tabla2[[#This Row],[venc]]="venc",Tabla2[[#This Row],[Columna1]]="por pagar"),"vencida","no")</f>
        <v>no</v>
      </c>
    </row>
    <row r="1691" spans="1:23" x14ac:dyDescent="0.3">
      <c r="A1691">
        <v>18</v>
      </c>
      <c r="B1691">
        <v>0</v>
      </c>
      <c r="D1691" t="s">
        <v>265</v>
      </c>
      <c r="E1691" s="156">
        <v>44316</v>
      </c>
      <c r="F1691" t="s">
        <v>924</v>
      </c>
      <c r="G1691" s="156">
        <v>44284</v>
      </c>
      <c r="H1691">
        <v>68</v>
      </c>
      <c r="I1691">
        <v>972802</v>
      </c>
      <c r="K1691">
        <v>0</v>
      </c>
      <c r="M1691">
        <v>0</v>
      </c>
      <c r="N1691">
        <v>0</v>
      </c>
      <c r="O1691">
        <v>0</v>
      </c>
      <c r="P1691" s="117">
        <v>972802</v>
      </c>
      <c r="Q1691" s="117" t="s">
        <v>1021</v>
      </c>
      <c r="R1691" s="150">
        <v>0</v>
      </c>
      <c r="S1691" s="117" t="b">
        <f>OR(COUNTIF(Tabla2[[#This Row],[PROVEEDOR]],"*"&amp;'Palabra no opera'!$A$2&amp;"*"))</f>
        <v>1</v>
      </c>
      <c r="T1691" s="150">
        <f>+$W$5-Tabla2[[#This Row],[FECHA DE FACTURACIÓN]]</f>
        <v>550</v>
      </c>
      <c r="U1691" t="str">
        <f>+IF(Tabla2[[#This Row],[dias de credito]]&gt;=Tabla2[[#This Row],[PLAZO Días]],"venc", "No venc")</f>
        <v>venc</v>
      </c>
      <c r="V1691" t="str">
        <f>+IF(Tabla2[[#This Row],[FECHA DE PAGO]]&gt;0,"pagada","por pagar")</f>
        <v>pagada</v>
      </c>
      <c r="W1691" s="152" t="str">
        <f>+IF(AND(Tabla2[[#This Row],[venc]]="venc",Tabla2[[#This Row],[Columna1]]="por pagar"),"vencida","no")</f>
        <v>no</v>
      </c>
    </row>
    <row r="1692" spans="1:23" x14ac:dyDescent="0.3">
      <c r="A1692">
        <v>30</v>
      </c>
      <c r="B1692">
        <v>0</v>
      </c>
      <c r="D1692" t="s">
        <v>139</v>
      </c>
      <c r="E1692" s="156">
        <v>44314</v>
      </c>
      <c r="F1692" t="s">
        <v>673</v>
      </c>
      <c r="G1692" s="156">
        <v>44314</v>
      </c>
      <c r="I1692">
        <v>500000</v>
      </c>
      <c r="K1692">
        <v>0</v>
      </c>
      <c r="M1692">
        <v>0</v>
      </c>
      <c r="N1692">
        <v>0</v>
      </c>
      <c r="O1692">
        <v>0</v>
      </c>
      <c r="P1692" s="117">
        <v>500000</v>
      </c>
      <c r="Q1692" s="117" t="s">
        <v>1021</v>
      </c>
      <c r="R1692" s="150">
        <v>0</v>
      </c>
      <c r="S1692" s="117" t="b">
        <f>OR(COUNTIF(Tabla2[[#This Row],[PROVEEDOR]],"*"&amp;'Palabra no opera'!$A$2&amp;"*"))</f>
        <v>0</v>
      </c>
      <c r="T1692" s="150">
        <f>+$W$5-Tabla2[[#This Row],[FECHA DE FACTURACIÓN]]</f>
        <v>520</v>
      </c>
      <c r="U1692" t="str">
        <f>+IF(Tabla2[[#This Row],[dias de credito]]&gt;=Tabla2[[#This Row],[PLAZO Días]],"venc", "No venc")</f>
        <v>venc</v>
      </c>
      <c r="V1692" t="str">
        <f>+IF(Tabla2[[#This Row],[FECHA DE PAGO]]&gt;0,"pagada","por pagar")</f>
        <v>pagada</v>
      </c>
      <c r="W1692" s="152" t="str">
        <f>+IF(AND(Tabla2[[#This Row],[venc]]="venc",Tabla2[[#This Row],[Columna1]]="por pagar"),"vencida","no")</f>
        <v>no</v>
      </c>
    </row>
    <row r="1693" spans="1:23" x14ac:dyDescent="0.3">
      <c r="A1693">
        <v>30</v>
      </c>
      <c r="B1693">
        <v>0</v>
      </c>
      <c r="D1693" t="s">
        <v>650</v>
      </c>
      <c r="E1693" s="156">
        <v>44314</v>
      </c>
      <c r="F1693" t="s">
        <v>913</v>
      </c>
      <c r="G1693" s="156">
        <v>44287</v>
      </c>
      <c r="H1693" t="s">
        <v>1200</v>
      </c>
      <c r="I1693">
        <v>716544</v>
      </c>
      <c r="K1693">
        <v>136143.36000000002</v>
      </c>
      <c r="M1693">
        <v>0</v>
      </c>
      <c r="N1693">
        <v>0</v>
      </c>
      <c r="O1693">
        <v>0</v>
      </c>
      <c r="P1693" s="117">
        <v>852687.35999999999</v>
      </c>
      <c r="Q1693" s="117" t="s">
        <v>1021</v>
      </c>
      <c r="R1693" s="150">
        <v>0</v>
      </c>
      <c r="S1693" s="117" t="b">
        <f>OR(COUNTIF(Tabla2[[#This Row],[PROVEEDOR]],"*"&amp;'Palabra no opera'!$A$2&amp;"*"))</f>
        <v>1</v>
      </c>
      <c r="T1693" s="150">
        <f>+$W$5-Tabla2[[#This Row],[FECHA DE FACTURACIÓN]]</f>
        <v>547</v>
      </c>
      <c r="U1693" t="str">
        <f>+IF(Tabla2[[#This Row],[dias de credito]]&gt;=Tabla2[[#This Row],[PLAZO Días]],"venc", "No venc")</f>
        <v>venc</v>
      </c>
      <c r="V1693" t="str">
        <f>+IF(Tabla2[[#This Row],[FECHA DE PAGO]]&gt;0,"pagada","por pagar")</f>
        <v>pagada</v>
      </c>
      <c r="W1693" s="152" t="str">
        <f>+IF(AND(Tabla2[[#This Row],[venc]]="venc",Tabla2[[#This Row],[Columna1]]="por pagar"),"vencida","no")</f>
        <v>no</v>
      </c>
    </row>
    <row r="1694" spans="1:23" x14ac:dyDescent="0.3">
      <c r="A1694">
        <v>30</v>
      </c>
      <c r="B1694">
        <v>0</v>
      </c>
      <c r="D1694" t="s">
        <v>259</v>
      </c>
      <c r="E1694" s="156">
        <v>44314</v>
      </c>
      <c r="F1694" t="s">
        <v>918</v>
      </c>
      <c r="G1694" s="156">
        <v>44287</v>
      </c>
      <c r="H1694">
        <v>7921</v>
      </c>
      <c r="I1694">
        <v>1517363</v>
      </c>
      <c r="K1694">
        <v>0</v>
      </c>
      <c r="M1694">
        <v>0</v>
      </c>
      <c r="N1694">
        <v>0</v>
      </c>
      <c r="O1694">
        <v>0</v>
      </c>
      <c r="P1694" s="117">
        <v>1517363</v>
      </c>
      <c r="Q1694" s="117" t="s">
        <v>1021</v>
      </c>
      <c r="R1694" s="150">
        <v>0</v>
      </c>
      <c r="S1694" s="117" t="b">
        <f>OR(COUNTIF(Tabla2[[#This Row],[PROVEEDOR]],"*"&amp;'Palabra no opera'!$A$2&amp;"*"))</f>
        <v>1</v>
      </c>
      <c r="T1694" s="150">
        <f>+$W$5-Tabla2[[#This Row],[FECHA DE FACTURACIÓN]]</f>
        <v>547</v>
      </c>
      <c r="U1694" t="str">
        <f>+IF(Tabla2[[#This Row],[dias de credito]]&gt;=Tabla2[[#This Row],[PLAZO Días]],"venc", "No venc")</f>
        <v>venc</v>
      </c>
      <c r="V1694" t="str">
        <f>+IF(Tabla2[[#This Row],[FECHA DE PAGO]]&gt;0,"pagada","por pagar")</f>
        <v>pagada</v>
      </c>
      <c r="W1694" s="152" t="str">
        <f>+IF(AND(Tabla2[[#This Row],[venc]]="venc",Tabla2[[#This Row],[Columna1]]="por pagar"),"vencida","no")</f>
        <v>no</v>
      </c>
    </row>
    <row r="1695" spans="1:23" x14ac:dyDescent="0.3">
      <c r="A1695">
        <v>30</v>
      </c>
      <c r="B1695">
        <v>0</v>
      </c>
      <c r="D1695" t="s">
        <v>267</v>
      </c>
      <c r="E1695" s="156">
        <v>44314</v>
      </c>
      <c r="F1695" t="s">
        <v>941</v>
      </c>
      <c r="G1695" s="156">
        <v>44287</v>
      </c>
      <c r="H1695">
        <v>1764</v>
      </c>
      <c r="I1695">
        <v>203897</v>
      </c>
      <c r="K1695">
        <v>38740.43</v>
      </c>
      <c r="M1695">
        <v>0</v>
      </c>
      <c r="N1695">
        <v>3.5000000000000003E-2</v>
      </c>
      <c r="O1695">
        <v>7136.3950000000004</v>
      </c>
      <c r="P1695" s="117">
        <v>235501.035</v>
      </c>
      <c r="Q1695" s="117" t="s">
        <v>1021</v>
      </c>
      <c r="R1695" s="150">
        <v>0</v>
      </c>
      <c r="S1695" s="117" t="b">
        <f>OR(COUNTIF(Tabla2[[#This Row],[PROVEEDOR]],"*"&amp;'Palabra no opera'!$A$2&amp;"*"))</f>
        <v>1</v>
      </c>
      <c r="T1695" s="150">
        <f>+$W$5-Tabla2[[#This Row],[FECHA DE FACTURACIÓN]]</f>
        <v>547</v>
      </c>
      <c r="U1695" t="str">
        <f>+IF(Tabla2[[#This Row],[dias de credito]]&gt;=Tabla2[[#This Row],[PLAZO Días]],"venc", "No venc")</f>
        <v>venc</v>
      </c>
      <c r="V1695" t="str">
        <f>+IF(Tabla2[[#This Row],[FECHA DE PAGO]]&gt;0,"pagada","por pagar")</f>
        <v>pagada</v>
      </c>
      <c r="W1695" s="152" t="str">
        <f>+IF(AND(Tabla2[[#This Row],[venc]]="venc",Tabla2[[#This Row],[Columna1]]="por pagar"),"vencida","no")</f>
        <v>no</v>
      </c>
    </row>
    <row r="1696" spans="1:23" x14ac:dyDescent="0.3">
      <c r="A1696">
        <v>30</v>
      </c>
      <c r="B1696">
        <v>0</v>
      </c>
      <c r="D1696" t="s">
        <v>267</v>
      </c>
      <c r="E1696" s="156">
        <v>44314</v>
      </c>
      <c r="F1696" t="s">
        <v>941</v>
      </c>
      <c r="G1696" s="156">
        <v>44287</v>
      </c>
      <c r="H1696" t="s">
        <v>289</v>
      </c>
      <c r="I1696">
        <v>203897</v>
      </c>
      <c r="K1696">
        <v>38740.43</v>
      </c>
      <c r="M1696">
        <v>0</v>
      </c>
      <c r="N1696">
        <v>3.5000000000000003E-2</v>
      </c>
      <c r="O1696">
        <v>7136.3950000000004</v>
      </c>
      <c r="P1696" s="117">
        <v>235501.035</v>
      </c>
      <c r="Q1696" s="117" t="s">
        <v>1021</v>
      </c>
      <c r="R1696" s="150">
        <v>0</v>
      </c>
      <c r="S1696" s="117" t="b">
        <f>OR(COUNTIF(Tabla2[[#This Row],[PROVEEDOR]],"*"&amp;'Palabra no opera'!$A$2&amp;"*"))</f>
        <v>1</v>
      </c>
      <c r="T1696" s="150">
        <f>+$W$5-Tabla2[[#This Row],[FECHA DE FACTURACIÓN]]</f>
        <v>547</v>
      </c>
      <c r="U1696" t="str">
        <f>+IF(Tabla2[[#This Row],[dias de credito]]&gt;=Tabla2[[#This Row],[PLAZO Días]],"venc", "No venc")</f>
        <v>venc</v>
      </c>
      <c r="V1696" t="str">
        <f>+IF(Tabla2[[#This Row],[FECHA DE PAGO]]&gt;0,"pagada","por pagar")</f>
        <v>pagada</v>
      </c>
      <c r="W1696" s="152" t="str">
        <f>+IF(AND(Tabla2[[#This Row],[venc]]="venc",Tabla2[[#This Row],[Columna1]]="por pagar"),"vencida","no")</f>
        <v>no</v>
      </c>
    </row>
    <row r="1697" spans="1:23" x14ac:dyDescent="0.3">
      <c r="A1697">
        <v>30</v>
      </c>
      <c r="B1697">
        <v>0</v>
      </c>
      <c r="D1697" t="s">
        <v>139</v>
      </c>
      <c r="E1697" s="156">
        <v>44313</v>
      </c>
      <c r="F1697" t="s">
        <v>682</v>
      </c>
      <c r="G1697" s="156">
        <v>44312</v>
      </c>
      <c r="H1697" t="s">
        <v>1212</v>
      </c>
      <c r="I1697">
        <v>180000</v>
      </c>
      <c r="K1697">
        <v>0</v>
      </c>
      <c r="M1697">
        <v>0</v>
      </c>
      <c r="N1697">
        <v>0</v>
      </c>
      <c r="O1697">
        <v>0</v>
      </c>
      <c r="P1697" s="117">
        <v>180000</v>
      </c>
      <c r="Q1697" s="117" t="s">
        <v>1021</v>
      </c>
      <c r="R1697" s="150">
        <v>0</v>
      </c>
      <c r="S1697" s="117" t="b">
        <f>OR(COUNTIF(Tabla2[[#This Row],[PROVEEDOR]],"*"&amp;'Palabra no opera'!$A$2&amp;"*"))</f>
        <v>0</v>
      </c>
      <c r="T1697" s="150">
        <f>+$W$5-Tabla2[[#This Row],[FECHA DE FACTURACIÓN]]</f>
        <v>522</v>
      </c>
      <c r="U1697" t="str">
        <f>+IF(Tabla2[[#This Row],[dias de credito]]&gt;=Tabla2[[#This Row],[PLAZO Días]],"venc", "No venc")</f>
        <v>venc</v>
      </c>
      <c r="V1697" t="str">
        <f>+IF(Tabla2[[#This Row],[FECHA DE PAGO]]&gt;0,"pagada","por pagar")</f>
        <v>pagada</v>
      </c>
      <c r="W1697" s="152" t="str">
        <f>+IF(AND(Tabla2[[#This Row],[venc]]="venc",Tabla2[[#This Row],[Columna1]]="por pagar"),"vencida","no")</f>
        <v>no</v>
      </c>
    </row>
    <row r="1698" spans="1:23" x14ac:dyDescent="0.3">
      <c r="A1698">
        <v>30</v>
      </c>
      <c r="B1698">
        <v>19675613.1195</v>
      </c>
      <c r="D1698" t="s">
        <v>256</v>
      </c>
      <c r="E1698" s="156">
        <v>44312</v>
      </c>
      <c r="F1698" t="s">
        <v>18</v>
      </c>
      <c r="G1698" s="156">
        <v>44265</v>
      </c>
      <c r="H1698">
        <v>1035528</v>
      </c>
      <c r="I1698">
        <v>500285.04</v>
      </c>
      <c r="K1698">
        <v>95054.157599999991</v>
      </c>
      <c r="M1698">
        <v>0</v>
      </c>
      <c r="N1698">
        <v>0</v>
      </c>
      <c r="O1698">
        <v>0</v>
      </c>
      <c r="P1698" s="117">
        <v>595339.19759999996</v>
      </c>
      <c r="Q1698" s="117" t="s">
        <v>1021</v>
      </c>
      <c r="R1698" s="150">
        <v>0</v>
      </c>
      <c r="S1698" s="117" t="b">
        <f>OR(COUNTIF(Tabla2[[#This Row],[PROVEEDOR]],"*"&amp;'Palabra no opera'!$A$2&amp;"*"))</f>
        <v>0</v>
      </c>
      <c r="T1698" s="150">
        <f>+$W$5-Tabla2[[#This Row],[FECHA DE FACTURACIÓN]]</f>
        <v>569</v>
      </c>
      <c r="U1698" t="str">
        <f>+IF(Tabla2[[#This Row],[dias de credito]]&gt;=Tabla2[[#This Row],[PLAZO Días]],"venc", "No venc")</f>
        <v>venc</v>
      </c>
      <c r="V1698" t="str">
        <f>+IF(Tabla2[[#This Row],[FECHA DE PAGO]]&gt;0,"pagada","por pagar")</f>
        <v>pagada</v>
      </c>
      <c r="W1698" s="152" t="str">
        <f>+IF(AND(Tabla2[[#This Row],[venc]]="venc",Tabla2[[#This Row],[Columna1]]="por pagar"),"vencida","no")</f>
        <v>no</v>
      </c>
    </row>
    <row r="1699" spans="1:23" x14ac:dyDescent="0.3">
      <c r="A1699">
        <v>30</v>
      </c>
      <c r="B1699">
        <v>19675613.1195</v>
      </c>
      <c r="D1699" t="s">
        <v>256</v>
      </c>
      <c r="E1699" s="156">
        <v>44312</v>
      </c>
      <c r="F1699" t="s">
        <v>18</v>
      </c>
      <c r="G1699" s="156">
        <v>44263</v>
      </c>
      <c r="H1699">
        <v>1035371</v>
      </c>
      <c r="I1699">
        <v>1837723.2</v>
      </c>
      <c r="K1699">
        <v>349167.408</v>
      </c>
      <c r="M1699">
        <v>0</v>
      </c>
      <c r="N1699">
        <v>2.5000000000000001E-2</v>
      </c>
      <c r="O1699">
        <v>45943.08</v>
      </c>
      <c r="P1699" s="117">
        <v>2140947.5279999999</v>
      </c>
      <c r="Q1699" s="117" t="s">
        <v>1021</v>
      </c>
      <c r="R1699" s="150">
        <v>0</v>
      </c>
      <c r="S1699" s="117" t="b">
        <f>OR(COUNTIF(Tabla2[[#This Row],[PROVEEDOR]],"*"&amp;'Palabra no opera'!$A$2&amp;"*"))</f>
        <v>0</v>
      </c>
      <c r="T1699" s="150">
        <f>+$W$5-Tabla2[[#This Row],[FECHA DE FACTURACIÓN]]</f>
        <v>571</v>
      </c>
      <c r="U1699" t="str">
        <f>+IF(Tabla2[[#This Row],[dias de credito]]&gt;=Tabla2[[#This Row],[PLAZO Días]],"venc", "No venc")</f>
        <v>venc</v>
      </c>
      <c r="V1699" t="str">
        <f>+IF(Tabla2[[#This Row],[FECHA DE PAGO]]&gt;0,"pagada","por pagar")</f>
        <v>pagada</v>
      </c>
      <c r="W1699" s="152" t="str">
        <f>+IF(AND(Tabla2[[#This Row],[venc]]="venc",Tabla2[[#This Row],[Columna1]]="por pagar"),"vencida","no")</f>
        <v>no</v>
      </c>
    </row>
    <row r="1700" spans="1:23" x14ac:dyDescent="0.3">
      <c r="A1700">
        <v>45</v>
      </c>
      <c r="B1700">
        <v>30078253.170000002</v>
      </c>
      <c r="D1700" t="s">
        <v>884</v>
      </c>
      <c r="E1700" s="156">
        <v>44312</v>
      </c>
      <c r="F1700" t="s">
        <v>19</v>
      </c>
      <c r="G1700" s="156">
        <v>44260</v>
      </c>
      <c r="H1700" t="s">
        <v>230</v>
      </c>
      <c r="I1700">
        <v>4483620</v>
      </c>
      <c r="K1700">
        <v>851887.8</v>
      </c>
      <c r="M1700">
        <v>0</v>
      </c>
      <c r="N1700">
        <v>0</v>
      </c>
      <c r="O1700">
        <v>0</v>
      </c>
      <c r="P1700" s="117">
        <v>5335507.8</v>
      </c>
      <c r="Q1700" s="117" t="s">
        <v>1021</v>
      </c>
      <c r="R1700" s="150">
        <v>0</v>
      </c>
      <c r="S1700" s="117" t="b">
        <f>OR(COUNTIF(Tabla2[[#This Row],[PROVEEDOR]],"*"&amp;'Palabra no opera'!$A$2&amp;"*"))</f>
        <v>0</v>
      </c>
      <c r="T1700" s="150">
        <f>+$W$5-Tabla2[[#This Row],[FECHA DE FACTURACIÓN]]</f>
        <v>574</v>
      </c>
      <c r="U1700" t="str">
        <f>+IF(Tabla2[[#This Row],[dias de credito]]&gt;=Tabla2[[#This Row],[PLAZO Días]],"venc", "No venc")</f>
        <v>venc</v>
      </c>
      <c r="V1700" t="str">
        <f>+IF(Tabla2[[#This Row],[FECHA DE PAGO]]&gt;0,"pagada","por pagar")</f>
        <v>pagada</v>
      </c>
      <c r="W1700" s="152" t="str">
        <f>+IF(AND(Tabla2[[#This Row],[venc]]="venc",Tabla2[[#This Row],[Columna1]]="por pagar"),"vencida","no")</f>
        <v>no</v>
      </c>
    </row>
    <row r="1701" spans="1:23" x14ac:dyDescent="0.3">
      <c r="A1701">
        <v>30</v>
      </c>
      <c r="B1701">
        <v>5225000</v>
      </c>
      <c r="D1701" t="s">
        <v>139</v>
      </c>
      <c r="E1701" s="156">
        <v>44312</v>
      </c>
      <c r="F1701" t="s">
        <v>629</v>
      </c>
      <c r="G1701" s="156">
        <v>44258</v>
      </c>
      <c r="H1701" t="s">
        <v>1195</v>
      </c>
      <c r="I1701">
        <v>1360000</v>
      </c>
      <c r="K1701">
        <v>0</v>
      </c>
      <c r="M1701">
        <v>0</v>
      </c>
      <c r="N1701">
        <v>0</v>
      </c>
      <c r="O1701">
        <v>0</v>
      </c>
      <c r="P1701" s="117">
        <v>1360000</v>
      </c>
      <c r="Q1701" s="117" t="s">
        <v>1021</v>
      </c>
      <c r="R1701" s="150">
        <v>0</v>
      </c>
      <c r="S1701" s="117" t="b">
        <f>OR(COUNTIF(Tabla2[[#This Row],[PROVEEDOR]],"*"&amp;'Palabra no opera'!$A$2&amp;"*"))</f>
        <v>0</v>
      </c>
      <c r="T1701" s="150">
        <f>+$W$5-Tabla2[[#This Row],[FECHA DE FACTURACIÓN]]</f>
        <v>576</v>
      </c>
      <c r="U1701" t="str">
        <f>+IF(Tabla2[[#This Row],[dias de credito]]&gt;=Tabla2[[#This Row],[PLAZO Días]],"venc", "No venc")</f>
        <v>venc</v>
      </c>
      <c r="V1701" t="str">
        <f>+IF(Tabla2[[#This Row],[FECHA DE PAGO]]&gt;0,"pagada","por pagar")</f>
        <v>pagada</v>
      </c>
      <c r="W1701" s="152" t="str">
        <f>+IF(AND(Tabla2[[#This Row],[venc]]="venc",Tabla2[[#This Row],[Columna1]]="por pagar"),"vencida","no")</f>
        <v>no</v>
      </c>
    </row>
    <row r="1702" spans="1:23" x14ac:dyDescent="0.3">
      <c r="A1702">
        <v>45</v>
      </c>
      <c r="B1702">
        <v>30078253.170000002</v>
      </c>
      <c r="D1702" t="s">
        <v>884</v>
      </c>
      <c r="E1702" s="156">
        <v>44312</v>
      </c>
      <c r="F1702" t="s">
        <v>19</v>
      </c>
      <c r="G1702" s="156">
        <v>44236</v>
      </c>
      <c r="H1702" t="s">
        <v>220</v>
      </c>
      <c r="I1702">
        <v>1144089</v>
      </c>
      <c r="K1702">
        <v>217376.91</v>
      </c>
      <c r="M1702">
        <v>0</v>
      </c>
      <c r="N1702">
        <v>0</v>
      </c>
      <c r="O1702">
        <v>0</v>
      </c>
      <c r="P1702" s="117">
        <v>1361465.91</v>
      </c>
      <c r="Q1702" s="117" t="s">
        <v>1021</v>
      </c>
      <c r="R1702" s="150">
        <v>0</v>
      </c>
      <c r="S1702" s="117" t="b">
        <f>OR(COUNTIF(Tabla2[[#This Row],[PROVEEDOR]],"*"&amp;'Palabra no opera'!$A$2&amp;"*"))</f>
        <v>0</v>
      </c>
      <c r="T1702" s="150">
        <f>+$W$5-Tabla2[[#This Row],[FECHA DE FACTURACIÓN]]</f>
        <v>598</v>
      </c>
      <c r="U1702" t="str">
        <f>+IF(Tabla2[[#This Row],[dias de credito]]&gt;=Tabla2[[#This Row],[PLAZO Días]],"venc", "No venc")</f>
        <v>venc</v>
      </c>
      <c r="V1702" t="str">
        <f>+IF(Tabla2[[#This Row],[FECHA DE PAGO]]&gt;0,"pagada","por pagar")</f>
        <v>pagada</v>
      </c>
      <c r="W1702" s="152" t="str">
        <f>+IF(AND(Tabla2[[#This Row],[venc]]="venc",Tabla2[[#This Row],[Columna1]]="por pagar"),"vencida","no")</f>
        <v>no</v>
      </c>
    </row>
    <row r="1703" spans="1:23" x14ac:dyDescent="0.3">
      <c r="A1703">
        <v>30</v>
      </c>
      <c r="B1703">
        <v>0</v>
      </c>
      <c r="D1703" t="s">
        <v>139</v>
      </c>
      <c r="E1703" s="156">
        <v>44307</v>
      </c>
      <c r="F1703" t="s">
        <v>673</v>
      </c>
      <c r="G1703" s="156">
        <v>44307</v>
      </c>
      <c r="I1703">
        <v>500000</v>
      </c>
      <c r="K1703">
        <v>0</v>
      </c>
      <c r="M1703">
        <v>0</v>
      </c>
      <c r="N1703">
        <v>0</v>
      </c>
      <c r="O1703">
        <v>0</v>
      </c>
      <c r="P1703" s="117">
        <v>500000</v>
      </c>
      <c r="Q1703" s="117" t="s">
        <v>1021</v>
      </c>
      <c r="R1703" s="150">
        <v>0</v>
      </c>
      <c r="S1703" s="117" t="b">
        <f>OR(COUNTIF(Tabla2[[#This Row],[PROVEEDOR]],"*"&amp;'Palabra no opera'!$A$2&amp;"*"))</f>
        <v>0</v>
      </c>
      <c r="T1703" s="150">
        <f>+$W$5-Tabla2[[#This Row],[FECHA DE FACTURACIÓN]]</f>
        <v>527</v>
      </c>
      <c r="U1703" t="str">
        <f>+IF(Tabla2[[#This Row],[dias de credito]]&gt;=Tabla2[[#This Row],[PLAZO Días]],"venc", "No venc")</f>
        <v>venc</v>
      </c>
      <c r="V1703" t="str">
        <f>+IF(Tabla2[[#This Row],[FECHA DE PAGO]]&gt;0,"pagada","por pagar")</f>
        <v>pagada</v>
      </c>
      <c r="W1703" s="152" t="str">
        <f>+IF(AND(Tabla2[[#This Row],[venc]]="venc",Tabla2[[#This Row],[Columna1]]="por pagar"),"vencida","no")</f>
        <v>no</v>
      </c>
    </row>
    <row r="1704" spans="1:23" x14ac:dyDescent="0.3">
      <c r="A1704">
        <v>30</v>
      </c>
      <c r="B1704">
        <v>19675613.1195</v>
      </c>
      <c r="D1704" t="s">
        <v>256</v>
      </c>
      <c r="E1704" s="156">
        <v>44307</v>
      </c>
      <c r="F1704" t="s">
        <v>18</v>
      </c>
      <c r="G1704" s="156">
        <v>44261</v>
      </c>
      <c r="H1704">
        <v>1035341</v>
      </c>
      <c r="I1704">
        <v>1508580</v>
      </c>
      <c r="K1704">
        <v>286630.2</v>
      </c>
      <c r="M1704">
        <v>0</v>
      </c>
      <c r="N1704">
        <v>2.5000000000000001E-2</v>
      </c>
      <c r="O1704">
        <v>37714.5</v>
      </c>
      <c r="P1704" s="117">
        <v>1757495.7</v>
      </c>
      <c r="Q1704" s="117" t="s">
        <v>1021</v>
      </c>
      <c r="R1704" s="150">
        <v>0</v>
      </c>
      <c r="S1704" s="117" t="b">
        <f>OR(COUNTIF(Tabla2[[#This Row],[PROVEEDOR]],"*"&amp;'Palabra no opera'!$A$2&amp;"*"))</f>
        <v>0</v>
      </c>
      <c r="T1704" s="150">
        <f>+$W$5-Tabla2[[#This Row],[FECHA DE FACTURACIÓN]]</f>
        <v>573</v>
      </c>
      <c r="U1704" t="str">
        <f>+IF(Tabla2[[#This Row],[dias de credito]]&gt;=Tabla2[[#This Row],[PLAZO Días]],"venc", "No venc")</f>
        <v>venc</v>
      </c>
      <c r="V1704" t="str">
        <f>+IF(Tabla2[[#This Row],[FECHA DE PAGO]]&gt;0,"pagada","por pagar")</f>
        <v>pagada</v>
      </c>
      <c r="W1704" s="152" t="str">
        <f>+IF(AND(Tabla2[[#This Row],[venc]]="venc",Tabla2[[#This Row],[Columna1]]="por pagar"),"vencida","no")</f>
        <v>no</v>
      </c>
    </row>
    <row r="1705" spans="1:23" x14ac:dyDescent="0.3">
      <c r="A1705">
        <v>30</v>
      </c>
      <c r="B1705">
        <v>19675613.1195</v>
      </c>
      <c r="D1705" t="s">
        <v>256</v>
      </c>
      <c r="E1705" s="156">
        <v>44307</v>
      </c>
      <c r="F1705" t="s">
        <v>18</v>
      </c>
      <c r="G1705" s="156">
        <v>44258</v>
      </c>
      <c r="H1705">
        <v>1035231</v>
      </c>
      <c r="I1705">
        <v>1334863.2</v>
      </c>
      <c r="K1705">
        <v>253624.008</v>
      </c>
      <c r="M1705">
        <v>0</v>
      </c>
      <c r="N1705">
        <v>2.5000000000000001E-2</v>
      </c>
      <c r="O1705">
        <v>33371.58</v>
      </c>
      <c r="P1705" s="117">
        <v>1555115.6279999998</v>
      </c>
      <c r="Q1705" s="117" t="s">
        <v>1021</v>
      </c>
      <c r="R1705" s="150">
        <v>0</v>
      </c>
      <c r="S1705" s="117" t="b">
        <f>OR(COUNTIF(Tabla2[[#This Row],[PROVEEDOR]],"*"&amp;'Palabra no opera'!$A$2&amp;"*"))</f>
        <v>0</v>
      </c>
      <c r="T1705" s="150">
        <f>+$W$5-Tabla2[[#This Row],[FECHA DE FACTURACIÓN]]</f>
        <v>576</v>
      </c>
      <c r="U1705" t="str">
        <f>+IF(Tabla2[[#This Row],[dias de credito]]&gt;=Tabla2[[#This Row],[PLAZO Días]],"venc", "No venc")</f>
        <v>venc</v>
      </c>
      <c r="V1705" t="str">
        <f>+IF(Tabla2[[#This Row],[FECHA DE PAGO]]&gt;0,"pagada","por pagar")</f>
        <v>pagada</v>
      </c>
      <c r="W1705" s="152" t="str">
        <f>+IF(AND(Tabla2[[#This Row],[venc]]="venc",Tabla2[[#This Row],[Columna1]]="por pagar"),"vencida","no")</f>
        <v>no</v>
      </c>
    </row>
    <row r="1706" spans="1:23" x14ac:dyDescent="0.3">
      <c r="A1706">
        <v>30</v>
      </c>
      <c r="B1706">
        <v>19675613.1195</v>
      </c>
      <c r="D1706" t="s">
        <v>256</v>
      </c>
      <c r="E1706" s="156">
        <v>44307</v>
      </c>
      <c r="F1706" t="s">
        <v>18</v>
      </c>
      <c r="G1706" s="156">
        <v>44246</v>
      </c>
      <c r="H1706" t="s">
        <v>238</v>
      </c>
      <c r="I1706">
        <v>-268907.56302521011</v>
      </c>
      <c r="K1706">
        <v>-51092.436974789918</v>
      </c>
      <c r="M1706">
        <v>0</v>
      </c>
      <c r="N1706">
        <v>0</v>
      </c>
      <c r="O1706">
        <v>0</v>
      </c>
      <c r="P1706" s="117">
        <v>-320000</v>
      </c>
      <c r="Q1706" s="117" t="s">
        <v>1021</v>
      </c>
      <c r="R1706" s="150">
        <v>0</v>
      </c>
      <c r="S1706" s="117" t="b">
        <f>OR(COUNTIF(Tabla2[[#This Row],[PROVEEDOR]],"*"&amp;'Palabra no opera'!$A$2&amp;"*"))</f>
        <v>0</v>
      </c>
      <c r="T1706" s="150">
        <f>+$W$5-Tabla2[[#This Row],[FECHA DE FACTURACIÓN]]</f>
        <v>588</v>
      </c>
      <c r="U1706" t="str">
        <f>+IF(Tabla2[[#This Row],[dias de credito]]&gt;=Tabla2[[#This Row],[PLAZO Días]],"venc", "No venc")</f>
        <v>venc</v>
      </c>
      <c r="V1706" t="str">
        <f>+IF(Tabla2[[#This Row],[FECHA DE PAGO]]&gt;0,"pagada","por pagar")</f>
        <v>pagada</v>
      </c>
      <c r="W1706" s="152" t="str">
        <f>+IF(AND(Tabla2[[#This Row],[venc]]="venc",Tabla2[[#This Row],[Columna1]]="por pagar"),"vencida","no")</f>
        <v>no</v>
      </c>
    </row>
    <row r="1707" spans="1:23" x14ac:dyDescent="0.3">
      <c r="A1707">
        <v>30</v>
      </c>
      <c r="B1707">
        <v>8190204</v>
      </c>
      <c r="D1707" t="s">
        <v>263</v>
      </c>
      <c r="E1707" s="156">
        <v>44307</v>
      </c>
      <c r="F1707" t="s">
        <v>1637</v>
      </c>
      <c r="G1707" s="156">
        <v>44234</v>
      </c>
      <c r="H1707">
        <v>19824</v>
      </c>
      <c r="I1707">
        <v>1900000</v>
      </c>
      <c r="K1707">
        <v>361000</v>
      </c>
      <c r="M1707">
        <v>0</v>
      </c>
      <c r="N1707">
        <v>2.5000000000000001E-2</v>
      </c>
      <c r="O1707">
        <v>47500</v>
      </c>
      <c r="P1707" s="117">
        <v>2213500</v>
      </c>
      <c r="Q1707" s="117" t="s">
        <v>1021</v>
      </c>
      <c r="R1707" s="150">
        <v>0</v>
      </c>
      <c r="S1707" s="117" t="b">
        <f>OR(COUNTIF(Tabla2[[#This Row],[PROVEEDOR]],"*"&amp;'Palabra no opera'!$A$2&amp;"*"))</f>
        <v>0</v>
      </c>
      <c r="T1707" s="150">
        <f>+$W$5-Tabla2[[#This Row],[FECHA DE FACTURACIÓN]]</f>
        <v>600</v>
      </c>
      <c r="U1707" t="str">
        <f>+IF(Tabla2[[#This Row],[dias de credito]]&gt;=Tabla2[[#This Row],[PLAZO Días]],"venc", "No venc")</f>
        <v>venc</v>
      </c>
      <c r="V1707" t="str">
        <f>+IF(Tabla2[[#This Row],[FECHA DE PAGO]]&gt;0,"pagada","por pagar")</f>
        <v>pagada</v>
      </c>
      <c r="W1707" s="152" t="str">
        <f>+IF(AND(Tabla2[[#This Row],[venc]]="venc",Tabla2[[#This Row],[Columna1]]="por pagar"),"vencida","no")</f>
        <v>no</v>
      </c>
    </row>
    <row r="1708" spans="1:23" x14ac:dyDescent="0.3">
      <c r="A1708">
        <v>30</v>
      </c>
      <c r="B1708">
        <v>0</v>
      </c>
      <c r="D1708" t="s">
        <v>139</v>
      </c>
      <c r="E1708" s="156">
        <v>44306</v>
      </c>
      <c r="F1708" t="s">
        <v>638</v>
      </c>
      <c r="G1708" s="156">
        <v>44305</v>
      </c>
      <c r="H1708" t="s">
        <v>1209</v>
      </c>
      <c r="I1708">
        <v>3351000</v>
      </c>
      <c r="K1708">
        <v>0</v>
      </c>
      <c r="M1708">
        <v>0</v>
      </c>
      <c r="N1708">
        <v>0</v>
      </c>
      <c r="O1708">
        <v>0</v>
      </c>
      <c r="P1708" s="117">
        <v>3351000</v>
      </c>
      <c r="Q1708" s="117" t="s">
        <v>1021</v>
      </c>
      <c r="R1708" s="150">
        <v>0</v>
      </c>
      <c r="S1708" s="117" t="b">
        <f>OR(COUNTIF(Tabla2[[#This Row],[PROVEEDOR]],"*"&amp;'Palabra no opera'!$A$2&amp;"*"))</f>
        <v>0</v>
      </c>
      <c r="T1708" s="150">
        <f>+$W$5-Tabla2[[#This Row],[FECHA DE FACTURACIÓN]]</f>
        <v>529</v>
      </c>
      <c r="U1708" t="str">
        <f>+IF(Tabla2[[#This Row],[dias de credito]]&gt;=Tabla2[[#This Row],[PLAZO Días]],"venc", "No venc")</f>
        <v>venc</v>
      </c>
      <c r="V1708" t="str">
        <f>+IF(Tabla2[[#This Row],[FECHA DE PAGO]]&gt;0,"pagada","por pagar")</f>
        <v>pagada</v>
      </c>
      <c r="W1708" s="152" t="str">
        <f>+IF(AND(Tabla2[[#This Row],[venc]]="venc",Tabla2[[#This Row],[Columna1]]="por pagar"),"vencida","no")</f>
        <v>no</v>
      </c>
    </row>
    <row r="1709" spans="1:23" x14ac:dyDescent="0.3">
      <c r="A1709">
        <v>30</v>
      </c>
      <c r="B1709">
        <v>4656887.12</v>
      </c>
      <c r="D1709" t="s">
        <v>170</v>
      </c>
      <c r="E1709" s="156">
        <v>44305</v>
      </c>
      <c r="F1709" t="s">
        <v>20</v>
      </c>
      <c r="G1709" s="156">
        <v>44236</v>
      </c>
      <c r="H1709">
        <v>3284</v>
      </c>
      <c r="I1709">
        <v>1310490</v>
      </c>
      <c r="K1709">
        <v>248993.1</v>
      </c>
      <c r="M1709">
        <v>0</v>
      </c>
      <c r="N1709">
        <v>2.5000000000000001E-2</v>
      </c>
      <c r="O1709">
        <v>32762.25</v>
      </c>
      <c r="P1709" s="117">
        <v>1526720.85</v>
      </c>
      <c r="Q1709" s="117" t="s">
        <v>1021</v>
      </c>
      <c r="R1709" s="150">
        <v>0</v>
      </c>
      <c r="S1709" s="117" t="b">
        <f>OR(COUNTIF(Tabla2[[#This Row],[PROVEEDOR]],"*"&amp;'Palabra no opera'!$A$2&amp;"*"))</f>
        <v>0</v>
      </c>
      <c r="T1709" s="150">
        <f>+$W$5-Tabla2[[#This Row],[FECHA DE FACTURACIÓN]]</f>
        <v>598</v>
      </c>
      <c r="U1709" t="str">
        <f>+IF(Tabla2[[#This Row],[dias de credito]]&gt;=Tabla2[[#This Row],[PLAZO Días]],"venc", "No venc")</f>
        <v>venc</v>
      </c>
      <c r="V1709" t="str">
        <f>+IF(Tabla2[[#This Row],[FECHA DE PAGO]]&gt;0,"pagada","por pagar")</f>
        <v>pagada</v>
      </c>
      <c r="W1709" s="152" t="str">
        <f>+IF(AND(Tabla2[[#This Row],[venc]]="venc",Tabla2[[#This Row],[Columna1]]="por pagar"),"vencida","no")</f>
        <v>no</v>
      </c>
    </row>
    <row r="1710" spans="1:23" x14ac:dyDescent="0.3">
      <c r="A1710">
        <v>30</v>
      </c>
      <c r="B1710">
        <v>0</v>
      </c>
      <c r="D1710" t="s">
        <v>139</v>
      </c>
      <c r="E1710" s="156">
        <v>44302</v>
      </c>
      <c r="F1710" t="s">
        <v>55</v>
      </c>
      <c r="G1710" s="156">
        <v>44301</v>
      </c>
      <c r="H1710">
        <v>53922</v>
      </c>
      <c r="I1710">
        <v>5377000</v>
      </c>
      <c r="K1710">
        <v>0</v>
      </c>
      <c r="M1710">
        <v>0</v>
      </c>
      <c r="N1710">
        <v>0</v>
      </c>
      <c r="O1710">
        <v>0</v>
      </c>
      <c r="P1710" s="117">
        <v>5377000</v>
      </c>
      <c r="Q1710" s="117" t="s">
        <v>1021</v>
      </c>
      <c r="R1710" s="150">
        <v>0</v>
      </c>
      <c r="S1710" s="117" t="b">
        <f>OR(COUNTIF(Tabla2[[#This Row],[PROVEEDOR]],"*"&amp;'Palabra no opera'!$A$2&amp;"*"))</f>
        <v>0</v>
      </c>
      <c r="T1710" s="150">
        <f>+$W$5-Tabla2[[#This Row],[FECHA DE FACTURACIÓN]]</f>
        <v>533</v>
      </c>
      <c r="U1710" t="str">
        <f>+IF(Tabla2[[#This Row],[dias de credito]]&gt;=Tabla2[[#This Row],[PLAZO Días]],"venc", "No venc")</f>
        <v>venc</v>
      </c>
      <c r="V1710" t="str">
        <f>+IF(Tabla2[[#This Row],[FECHA DE PAGO]]&gt;0,"pagada","por pagar")</f>
        <v>pagada</v>
      </c>
      <c r="W1710" s="152" t="str">
        <f>+IF(AND(Tabla2[[#This Row],[venc]]="venc",Tabla2[[#This Row],[Columna1]]="por pagar"),"vencida","no")</f>
        <v>no</v>
      </c>
    </row>
    <row r="1711" spans="1:23" x14ac:dyDescent="0.3">
      <c r="A1711">
        <v>30</v>
      </c>
      <c r="B1711">
        <v>0</v>
      </c>
      <c r="D1711" t="s">
        <v>676</v>
      </c>
      <c r="E1711" s="156">
        <v>44302</v>
      </c>
      <c r="F1711" t="s">
        <v>940</v>
      </c>
      <c r="G1711" s="156">
        <v>44287</v>
      </c>
      <c r="H1711">
        <v>62349</v>
      </c>
      <c r="I1711">
        <v>302625</v>
      </c>
      <c r="K1711">
        <v>0</v>
      </c>
      <c r="M1711">
        <v>0</v>
      </c>
      <c r="N1711">
        <v>0</v>
      </c>
      <c r="O1711">
        <v>0</v>
      </c>
      <c r="P1711" s="117">
        <v>302625</v>
      </c>
      <c r="Q1711" s="117" t="s">
        <v>1021</v>
      </c>
      <c r="R1711" s="150">
        <v>0</v>
      </c>
      <c r="S1711" s="117" t="b">
        <f>OR(COUNTIF(Tabla2[[#This Row],[PROVEEDOR]],"*"&amp;'Palabra no opera'!$A$2&amp;"*"))</f>
        <v>1</v>
      </c>
      <c r="T1711" s="150">
        <f>+$W$5-Tabla2[[#This Row],[FECHA DE FACTURACIÓN]]</f>
        <v>547</v>
      </c>
      <c r="U1711" t="str">
        <f>+IF(Tabla2[[#This Row],[dias de credito]]&gt;=Tabla2[[#This Row],[PLAZO Días]],"venc", "No venc")</f>
        <v>venc</v>
      </c>
      <c r="V1711" t="str">
        <f>+IF(Tabla2[[#This Row],[FECHA DE PAGO]]&gt;0,"pagada","por pagar")</f>
        <v>pagada</v>
      </c>
      <c r="W1711" s="152" t="str">
        <f>+IF(AND(Tabla2[[#This Row],[venc]]="venc",Tabla2[[#This Row],[Columna1]]="por pagar"),"vencida","no")</f>
        <v>no</v>
      </c>
    </row>
    <row r="1712" spans="1:23" x14ac:dyDescent="0.3">
      <c r="A1712">
        <v>30</v>
      </c>
      <c r="B1712">
        <v>0</v>
      </c>
      <c r="D1712" t="s">
        <v>380</v>
      </c>
      <c r="E1712" s="156">
        <v>44300</v>
      </c>
      <c r="F1712" t="s">
        <v>56</v>
      </c>
      <c r="G1712" s="156">
        <v>44300</v>
      </c>
      <c r="H1712" t="s">
        <v>295</v>
      </c>
      <c r="I1712">
        <v>243496</v>
      </c>
      <c r="K1712">
        <v>46264.24</v>
      </c>
      <c r="M1712">
        <v>0</v>
      </c>
      <c r="N1712">
        <v>0</v>
      </c>
      <c r="O1712">
        <v>0</v>
      </c>
      <c r="P1712" s="117">
        <v>289760.24</v>
      </c>
      <c r="Q1712" s="117" t="s">
        <v>1021</v>
      </c>
      <c r="R1712" s="150">
        <v>0</v>
      </c>
      <c r="S1712" s="117" t="b">
        <f>OR(COUNTIF(Tabla2[[#This Row],[PROVEEDOR]],"*"&amp;'Palabra no opera'!$A$2&amp;"*"))</f>
        <v>0</v>
      </c>
      <c r="T1712" s="150">
        <f>+$W$5-Tabla2[[#This Row],[FECHA DE FACTURACIÓN]]</f>
        <v>534</v>
      </c>
      <c r="U1712" t="str">
        <f>+IF(Tabla2[[#This Row],[dias de credito]]&gt;=Tabla2[[#This Row],[PLAZO Días]],"venc", "No venc")</f>
        <v>venc</v>
      </c>
      <c r="V1712" t="str">
        <f>+IF(Tabla2[[#This Row],[FECHA DE PAGO]]&gt;0,"pagada","por pagar")</f>
        <v>pagada</v>
      </c>
      <c r="W1712" s="152" t="str">
        <f>+IF(AND(Tabla2[[#This Row],[venc]]="venc",Tabla2[[#This Row],[Columna1]]="por pagar"),"vencida","no")</f>
        <v>no</v>
      </c>
    </row>
    <row r="1713" spans="1:23" x14ac:dyDescent="0.3">
      <c r="A1713">
        <v>10</v>
      </c>
      <c r="B1713">
        <v>0</v>
      </c>
      <c r="D1713" t="s">
        <v>139</v>
      </c>
      <c r="E1713" s="156">
        <v>44299</v>
      </c>
      <c r="F1713" t="s">
        <v>23</v>
      </c>
      <c r="G1713" s="156">
        <v>44296</v>
      </c>
      <c r="H1713">
        <v>281564</v>
      </c>
      <c r="I1713">
        <v>13266350</v>
      </c>
      <c r="K1713">
        <v>0</v>
      </c>
      <c r="M1713">
        <v>0</v>
      </c>
      <c r="N1713">
        <v>0</v>
      </c>
      <c r="O1713">
        <v>0</v>
      </c>
      <c r="P1713" s="117">
        <v>13266350</v>
      </c>
      <c r="Q1713" s="117" t="s">
        <v>1021</v>
      </c>
      <c r="R1713" s="150">
        <v>0</v>
      </c>
      <c r="S1713" s="117" t="b">
        <f>OR(COUNTIF(Tabla2[[#This Row],[PROVEEDOR]],"*"&amp;'Palabra no opera'!$A$2&amp;"*"))</f>
        <v>0</v>
      </c>
      <c r="T1713" s="150">
        <f>+$W$5-Tabla2[[#This Row],[FECHA DE FACTURACIÓN]]</f>
        <v>538</v>
      </c>
      <c r="U1713" t="str">
        <f>+IF(Tabla2[[#This Row],[dias de credito]]&gt;=Tabla2[[#This Row],[PLAZO Días]],"venc", "No venc")</f>
        <v>venc</v>
      </c>
      <c r="V1713" t="str">
        <f>+IF(Tabla2[[#This Row],[FECHA DE PAGO]]&gt;0,"pagada","por pagar")</f>
        <v>pagada</v>
      </c>
      <c r="W1713" s="152" t="str">
        <f>+IF(AND(Tabla2[[#This Row],[venc]]="venc",Tabla2[[#This Row],[Columna1]]="por pagar"),"vencida","no")</f>
        <v>no</v>
      </c>
    </row>
    <row r="1714" spans="1:23" x14ac:dyDescent="0.3">
      <c r="A1714">
        <v>20</v>
      </c>
      <c r="B1714">
        <v>0</v>
      </c>
      <c r="D1714" t="s">
        <v>288</v>
      </c>
      <c r="E1714" s="156">
        <v>44298</v>
      </c>
      <c r="F1714" t="s">
        <v>286</v>
      </c>
      <c r="G1714" s="156">
        <v>44291</v>
      </c>
      <c r="I1714">
        <v>810000</v>
      </c>
      <c r="K1714">
        <v>0</v>
      </c>
      <c r="M1714">
        <v>0</v>
      </c>
      <c r="N1714">
        <v>0</v>
      </c>
      <c r="O1714">
        <v>0</v>
      </c>
      <c r="P1714" s="117">
        <v>810000</v>
      </c>
      <c r="Q1714" s="117" t="s">
        <v>1021</v>
      </c>
      <c r="R1714" s="150">
        <v>0</v>
      </c>
      <c r="S1714" s="117" t="b">
        <f>OR(COUNTIF(Tabla2[[#This Row],[PROVEEDOR]],"*"&amp;'Palabra no opera'!$A$2&amp;"*"))</f>
        <v>0</v>
      </c>
      <c r="T1714" s="150">
        <f>+$W$5-Tabla2[[#This Row],[FECHA DE FACTURACIÓN]]</f>
        <v>543</v>
      </c>
      <c r="U1714" t="str">
        <f>+IF(Tabla2[[#This Row],[dias de credito]]&gt;=Tabla2[[#This Row],[PLAZO Días]],"venc", "No venc")</f>
        <v>venc</v>
      </c>
      <c r="V1714" t="str">
        <f>+IF(Tabla2[[#This Row],[FECHA DE PAGO]]&gt;0,"pagada","por pagar")</f>
        <v>pagada</v>
      </c>
      <c r="W1714" s="152" t="str">
        <f>+IF(AND(Tabla2[[#This Row],[venc]]="venc",Tabla2[[#This Row],[Columna1]]="por pagar"),"vencida","no")</f>
        <v>no</v>
      </c>
    </row>
    <row r="1715" spans="1:23" x14ac:dyDescent="0.3">
      <c r="A1715">
        <v>30</v>
      </c>
      <c r="B1715">
        <v>0</v>
      </c>
      <c r="D1715" t="s">
        <v>257</v>
      </c>
      <c r="E1715" s="156">
        <v>44298</v>
      </c>
      <c r="F1715" t="s">
        <v>34</v>
      </c>
      <c r="G1715" s="156">
        <v>44279</v>
      </c>
      <c r="H1715">
        <v>1313</v>
      </c>
      <c r="I1715">
        <v>880332</v>
      </c>
      <c r="K1715">
        <v>167263.08000000002</v>
      </c>
      <c r="M1715">
        <v>0</v>
      </c>
      <c r="N1715">
        <v>0</v>
      </c>
      <c r="O1715">
        <v>0</v>
      </c>
      <c r="P1715" s="117">
        <v>1047595.0800000001</v>
      </c>
      <c r="Q1715" s="117" t="s">
        <v>1021</v>
      </c>
      <c r="R1715" s="150">
        <v>0</v>
      </c>
      <c r="S1715" s="117" t="b">
        <f>OR(COUNTIF(Tabla2[[#This Row],[PROVEEDOR]],"*"&amp;'Palabra no opera'!$A$2&amp;"*"))</f>
        <v>0</v>
      </c>
      <c r="T1715" s="150">
        <f>+$W$5-Tabla2[[#This Row],[FECHA DE FACTURACIÓN]]</f>
        <v>555</v>
      </c>
      <c r="U1715" t="str">
        <f>+IF(Tabla2[[#This Row],[dias de credito]]&gt;=Tabla2[[#This Row],[PLAZO Días]],"venc", "No venc")</f>
        <v>venc</v>
      </c>
      <c r="V1715" t="str">
        <f>+IF(Tabla2[[#This Row],[FECHA DE PAGO]]&gt;0,"pagada","por pagar")</f>
        <v>pagada</v>
      </c>
      <c r="W1715" s="152" t="str">
        <f>+IF(AND(Tabla2[[#This Row],[venc]]="venc",Tabla2[[#This Row],[Columna1]]="por pagar"),"vencida","no")</f>
        <v>no</v>
      </c>
    </row>
    <row r="1716" spans="1:23" x14ac:dyDescent="0.3">
      <c r="A1716">
        <v>30</v>
      </c>
      <c r="B1716">
        <v>0</v>
      </c>
      <c r="D1716" t="s">
        <v>290</v>
      </c>
      <c r="E1716" s="156">
        <v>44298</v>
      </c>
      <c r="F1716" t="s">
        <v>47</v>
      </c>
      <c r="G1716" s="156">
        <v>44267</v>
      </c>
      <c r="H1716" t="s">
        <v>240</v>
      </c>
      <c r="I1716">
        <v>-60000</v>
      </c>
      <c r="K1716">
        <v>-11400</v>
      </c>
      <c r="M1716">
        <v>0</v>
      </c>
      <c r="N1716">
        <v>0</v>
      </c>
      <c r="O1716">
        <v>0</v>
      </c>
      <c r="P1716" s="117">
        <v>-71400</v>
      </c>
      <c r="Q1716" s="117" t="s">
        <v>1021</v>
      </c>
      <c r="R1716" s="150">
        <v>0</v>
      </c>
      <c r="S1716" s="117" t="b">
        <f>OR(COUNTIF(Tabla2[[#This Row],[PROVEEDOR]],"*"&amp;'Palabra no opera'!$A$2&amp;"*"))</f>
        <v>0</v>
      </c>
      <c r="T1716" s="150">
        <f>+$W$5-Tabla2[[#This Row],[FECHA DE FACTURACIÓN]]</f>
        <v>567</v>
      </c>
      <c r="U1716" t="str">
        <f>+IF(Tabla2[[#This Row],[dias de credito]]&gt;=Tabla2[[#This Row],[PLAZO Días]],"venc", "No venc")</f>
        <v>venc</v>
      </c>
      <c r="V1716" t="str">
        <f>+IF(Tabla2[[#This Row],[FECHA DE PAGO]]&gt;0,"pagada","por pagar")</f>
        <v>pagada</v>
      </c>
      <c r="W1716" s="152" t="str">
        <f>+IF(AND(Tabla2[[#This Row],[venc]]="venc",Tabla2[[#This Row],[Columna1]]="por pagar"),"vencida","no")</f>
        <v>no</v>
      </c>
    </row>
    <row r="1717" spans="1:23" x14ac:dyDescent="0.3">
      <c r="A1717">
        <v>30</v>
      </c>
      <c r="B1717">
        <v>6259125.5999999996</v>
      </c>
      <c r="D1717" t="s">
        <v>264</v>
      </c>
      <c r="E1717" s="156">
        <v>44298</v>
      </c>
      <c r="F1717" t="s">
        <v>1448</v>
      </c>
      <c r="G1717" s="156">
        <v>44260</v>
      </c>
      <c r="H1717">
        <v>14581</v>
      </c>
      <c r="I1717">
        <v>1708000</v>
      </c>
      <c r="K1717">
        <v>324520</v>
      </c>
      <c r="M1717">
        <v>0</v>
      </c>
      <c r="N1717">
        <v>2.5000000000000001E-2</v>
      </c>
      <c r="O1717">
        <v>42700</v>
      </c>
      <c r="P1717" s="117">
        <v>1989820</v>
      </c>
      <c r="Q1717" s="117" t="s">
        <v>1021</v>
      </c>
      <c r="R1717" s="150">
        <v>0</v>
      </c>
      <c r="S1717" s="117" t="b">
        <f>OR(COUNTIF(Tabla2[[#This Row],[PROVEEDOR]],"*"&amp;'Palabra no opera'!$A$2&amp;"*"))</f>
        <v>0</v>
      </c>
      <c r="T1717" s="150">
        <f>+$W$5-Tabla2[[#This Row],[FECHA DE FACTURACIÓN]]</f>
        <v>574</v>
      </c>
      <c r="U1717" t="str">
        <f>+IF(Tabla2[[#This Row],[dias de credito]]&gt;=Tabla2[[#This Row],[PLAZO Días]],"venc", "No venc")</f>
        <v>venc</v>
      </c>
      <c r="V1717" t="str">
        <f>+IF(Tabla2[[#This Row],[FECHA DE PAGO]]&gt;0,"pagada","por pagar")</f>
        <v>pagada</v>
      </c>
      <c r="W1717" s="152" t="str">
        <f>+IF(AND(Tabla2[[#This Row],[venc]]="venc",Tabla2[[#This Row],[Columna1]]="por pagar"),"vencida","no")</f>
        <v>no</v>
      </c>
    </row>
    <row r="1718" spans="1:23" x14ac:dyDescent="0.3">
      <c r="A1718">
        <v>30</v>
      </c>
      <c r="B1718">
        <v>0</v>
      </c>
      <c r="D1718" t="s">
        <v>290</v>
      </c>
      <c r="E1718" s="156">
        <v>44298</v>
      </c>
      <c r="F1718" t="s">
        <v>47</v>
      </c>
      <c r="G1718" s="156">
        <v>44252</v>
      </c>
      <c r="H1718">
        <v>26574</v>
      </c>
      <c r="I1718">
        <v>812350</v>
      </c>
      <c r="K1718">
        <v>154346.5</v>
      </c>
      <c r="M1718">
        <v>0</v>
      </c>
      <c r="N1718">
        <v>0</v>
      </c>
      <c r="O1718">
        <v>0</v>
      </c>
      <c r="P1718" s="117">
        <v>966696.5</v>
      </c>
      <c r="Q1718" s="117" t="s">
        <v>1021</v>
      </c>
      <c r="R1718" s="150">
        <v>0</v>
      </c>
      <c r="S1718" s="117" t="b">
        <f>OR(COUNTIF(Tabla2[[#This Row],[PROVEEDOR]],"*"&amp;'Palabra no opera'!$A$2&amp;"*"))</f>
        <v>0</v>
      </c>
      <c r="T1718" s="150">
        <f>+$W$5-Tabla2[[#This Row],[FECHA DE FACTURACIÓN]]</f>
        <v>582</v>
      </c>
      <c r="U1718" t="str">
        <f>+IF(Tabla2[[#This Row],[dias de credito]]&gt;=Tabla2[[#This Row],[PLAZO Días]],"venc", "No venc")</f>
        <v>venc</v>
      </c>
      <c r="V1718" t="str">
        <f>+IF(Tabla2[[#This Row],[FECHA DE PAGO]]&gt;0,"pagada","por pagar")</f>
        <v>pagada</v>
      </c>
      <c r="W1718" s="152" t="str">
        <f>+IF(AND(Tabla2[[#This Row],[venc]]="venc",Tabla2[[#This Row],[Columna1]]="por pagar"),"vencida","no")</f>
        <v>no</v>
      </c>
    </row>
    <row r="1719" spans="1:23" x14ac:dyDescent="0.3">
      <c r="A1719">
        <v>30</v>
      </c>
      <c r="B1719">
        <v>0</v>
      </c>
      <c r="D1719" t="s">
        <v>291</v>
      </c>
      <c r="E1719" s="156">
        <v>44298</v>
      </c>
      <c r="F1719" t="s">
        <v>26</v>
      </c>
      <c r="G1719" s="156">
        <v>44244</v>
      </c>
      <c r="H1719">
        <v>910</v>
      </c>
      <c r="I1719">
        <v>2410000</v>
      </c>
      <c r="K1719">
        <v>457900</v>
      </c>
      <c r="M1719">
        <v>0</v>
      </c>
      <c r="N1719">
        <v>2.5000000000000001E-2</v>
      </c>
      <c r="O1719">
        <v>60250</v>
      </c>
      <c r="P1719" s="117">
        <v>2807650</v>
      </c>
      <c r="Q1719" s="117" t="s">
        <v>1021</v>
      </c>
      <c r="R1719" s="150">
        <v>0</v>
      </c>
      <c r="S1719" s="117" t="b">
        <f>OR(COUNTIF(Tabla2[[#This Row],[PROVEEDOR]],"*"&amp;'Palabra no opera'!$A$2&amp;"*"))</f>
        <v>0</v>
      </c>
      <c r="T1719" s="150">
        <f>+$W$5-Tabla2[[#This Row],[FECHA DE FACTURACIÓN]]</f>
        <v>590</v>
      </c>
      <c r="U1719" t="str">
        <f>+IF(Tabla2[[#This Row],[dias de credito]]&gt;=Tabla2[[#This Row],[PLAZO Días]],"venc", "No venc")</f>
        <v>venc</v>
      </c>
      <c r="V1719" t="str">
        <f>+IF(Tabla2[[#This Row],[FECHA DE PAGO]]&gt;0,"pagada","por pagar")</f>
        <v>pagada</v>
      </c>
      <c r="W1719" s="152" t="str">
        <f>+IF(AND(Tabla2[[#This Row],[venc]]="venc",Tabla2[[#This Row],[Columna1]]="por pagar"),"vencida","no")</f>
        <v>no</v>
      </c>
    </row>
    <row r="1720" spans="1:23" x14ac:dyDescent="0.3">
      <c r="A1720">
        <v>30</v>
      </c>
      <c r="B1720">
        <v>0</v>
      </c>
      <c r="D1720" t="s">
        <v>290</v>
      </c>
      <c r="E1720" s="156">
        <v>44298</v>
      </c>
      <c r="F1720" t="s">
        <v>47</v>
      </c>
      <c r="G1720" s="156">
        <v>44235</v>
      </c>
      <c r="H1720">
        <v>25994</v>
      </c>
      <c r="I1720">
        <v>484254</v>
      </c>
      <c r="K1720">
        <v>92008.26</v>
      </c>
      <c r="M1720">
        <v>0</v>
      </c>
      <c r="N1720">
        <v>0</v>
      </c>
      <c r="O1720">
        <v>0</v>
      </c>
      <c r="P1720" s="117">
        <v>576262.26</v>
      </c>
      <c r="Q1720" s="117" t="s">
        <v>1021</v>
      </c>
      <c r="R1720" s="150">
        <v>0</v>
      </c>
      <c r="S1720" s="117" t="b">
        <f>OR(COUNTIF(Tabla2[[#This Row],[PROVEEDOR]],"*"&amp;'Palabra no opera'!$A$2&amp;"*"))</f>
        <v>0</v>
      </c>
      <c r="T1720" s="150">
        <f>+$W$5-Tabla2[[#This Row],[FECHA DE FACTURACIÓN]]</f>
        <v>599</v>
      </c>
      <c r="U1720" t="str">
        <f>+IF(Tabla2[[#This Row],[dias de credito]]&gt;=Tabla2[[#This Row],[PLAZO Días]],"venc", "No venc")</f>
        <v>venc</v>
      </c>
      <c r="V1720" t="str">
        <f>+IF(Tabla2[[#This Row],[FECHA DE PAGO]]&gt;0,"pagada","por pagar")</f>
        <v>pagada</v>
      </c>
      <c r="W1720" s="152" t="str">
        <f>+IF(AND(Tabla2[[#This Row],[venc]]="venc",Tabla2[[#This Row],[Columna1]]="por pagar"),"vencida","no")</f>
        <v>no</v>
      </c>
    </row>
    <row r="1721" spans="1:23" x14ac:dyDescent="0.3">
      <c r="A1721">
        <v>30</v>
      </c>
      <c r="B1721">
        <v>0</v>
      </c>
      <c r="D1721" t="s">
        <v>257</v>
      </c>
      <c r="E1721" s="156">
        <v>44298</v>
      </c>
      <c r="F1721" t="s">
        <v>34</v>
      </c>
      <c r="G1721" s="156">
        <v>44226</v>
      </c>
      <c r="H1721" t="s">
        <v>279</v>
      </c>
      <c r="I1721">
        <v>-52017</v>
      </c>
      <c r="K1721">
        <v>-9883.23</v>
      </c>
      <c r="M1721">
        <v>0</v>
      </c>
      <c r="N1721">
        <v>0</v>
      </c>
      <c r="O1721">
        <v>0</v>
      </c>
      <c r="P1721" s="117">
        <v>-61900.229999999996</v>
      </c>
      <c r="Q1721" s="117" t="s">
        <v>1021</v>
      </c>
      <c r="R1721" s="150">
        <v>0</v>
      </c>
      <c r="S1721" s="117" t="b">
        <f>OR(COUNTIF(Tabla2[[#This Row],[PROVEEDOR]],"*"&amp;'Palabra no opera'!$A$2&amp;"*"))</f>
        <v>0</v>
      </c>
      <c r="T1721" s="150">
        <f>+$W$5-Tabla2[[#This Row],[FECHA DE FACTURACIÓN]]</f>
        <v>608</v>
      </c>
      <c r="U1721" t="str">
        <f>+IF(Tabla2[[#This Row],[dias de credito]]&gt;=Tabla2[[#This Row],[PLAZO Días]],"venc", "No venc")</f>
        <v>venc</v>
      </c>
      <c r="V1721" t="str">
        <f>+IF(Tabla2[[#This Row],[FECHA DE PAGO]]&gt;0,"pagada","por pagar")</f>
        <v>pagada</v>
      </c>
      <c r="W1721" s="152" t="str">
        <f>+IF(AND(Tabla2[[#This Row],[venc]]="venc",Tabla2[[#This Row],[Columna1]]="por pagar"),"vencida","no")</f>
        <v>no</v>
      </c>
    </row>
    <row r="1722" spans="1:23" x14ac:dyDescent="0.3">
      <c r="A1722">
        <v>30</v>
      </c>
      <c r="B1722">
        <v>0</v>
      </c>
      <c r="D1722" t="s">
        <v>250</v>
      </c>
      <c r="E1722" s="156">
        <v>44292</v>
      </c>
      <c r="F1722" t="s">
        <v>1450</v>
      </c>
      <c r="G1722" s="156">
        <v>44290</v>
      </c>
      <c r="H1722">
        <v>271</v>
      </c>
      <c r="I1722">
        <v>264000</v>
      </c>
      <c r="K1722">
        <v>0</v>
      </c>
      <c r="M1722">
        <v>0</v>
      </c>
      <c r="N1722">
        <v>0</v>
      </c>
      <c r="O1722">
        <v>0</v>
      </c>
      <c r="P1722" s="117">
        <v>264000</v>
      </c>
      <c r="Q1722" s="117" t="s">
        <v>1021</v>
      </c>
      <c r="R1722" s="150">
        <v>0</v>
      </c>
      <c r="S1722" s="117" t="b">
        <f>OR(COUNTIF(Tabla2[[#This Row],[PROVEEDOR]],"*"&amp;'Palabra no opera'!$A$2&amp;"*"))</f>
        <v>0</v>
      </c>
      <c r="T1722" s="150">
        <f>+$W$5-Tabla2[[#This Row],[FECHA DE FACTURACIÓN]]</f>
        <v>544</v>
      </c>
      <c r="U1722" t="str">
        <f>+IF(Tabla2[[#This Row],[dias de credito]]&gt;=Tabla2[[#This Row],[PLAZO Días]],"venc", "No venc")</f>
        <v>venc</v>
      </c>
      <c r="V1722" t="str">
        <f>+IF(Tabla2[[#This Row],[FECHA DE PAGO]]&gt;0,"pagada","por pagar")</f>
        <v>pagada</v>
      </c>
      <c r="W1722" s="152" t="str">
        <f>+IF(AND(Tabla2[[#This Row],[venc]]="venc",Tabla2[[#This Row],[Columna1]]="por pagar"),"vencida","no")</f>
        <v>no</v>
      </c>
    </row>
    <row r="1723" spans="1:23" x14ac:dyDescent="0.3">
      <c r="A1723">
        <v>30</v>
      </c>
      <c r="B1723">
        <v>0</v>
      </c>
      <c r="D1723" t="s">
        <v>250</v>
      </c>
      <c r="E1723" s="156">
        <v>44292</v>
      </c>
      <c r="F1723" t="s">
        <v>1451</v>
      </c>
      <c r="G1723" s="156">
        <v>44290</v>
      </c>
      <c r="H1723">
        <v>82</v>
      </c>
      <c r="I1723">
        <v>320000</v>
      </c>
      <c r="K1723">
        <v>0</v>
      </c>
      <c r="M1723">
        <v>0</v>
      </c>
      <c r="N1723">
        <v>0.01</v>
      </c>
      <c r="O1723">
        <v>3200</v>
      </c>
      <c r="P1723" s="117">
        <v>316800</v>
      </c>
      <c r="Q1723" s="117" t="s">
        <v>1021</v>
      </c>
      <c r="R1723" s="150">
        <v>0</v>
      </c>
      <c r="S1723" s="117" t="b">
        <f>OR(COUNTIF(Tabla2[[#This Row],[PROVEEDOR]],"*"&amp;'Palabra no opera'!$A$2&amp;"*"))</f>
        <v>0</v>
      </c>
      <c r="T1723" s="150">
        <f>+$W$5-Tabla2[[#This Row],[FECHA DE FACTURACIÓN]]</f>
        <v>544</v>
      </c>
      <c r="U1723" t="str">
        <f>+IF(Tabla2[[#This Row],[dias de credito]]&gt;=Tabla2[[#This Row],[PLAZO Días]],"venc", "No venc")</f>
        <v>venc</v>
      </c>
      <c r="V1723" t="str">
        <f>+IF(Tabla2[[#This Row],[FECHA DE PAGO]]&gt;0,"pagada","por pagar")</f>
        <v>pagada</v>
      </c>
      <c r="W1723" s="152" t="str">
        <f>+IF(AND(Tabla2[[#This Row],[venc]]="venc",Tabla2[[#This Row],[Columna1]]="por pagar"),"vencida","no")</f>
        <v>no</v>
      </c>
    </row>
    <row r="1724" spans="1:23" x14ac:dyDescent="0.3">
      <c r="A1724">
        <v>90</v>
      </c>
      <c r="B1724">
        <v>124999.98</v>
      </c>
      <c r="D1724" t="s">
        <v>260</v>
      </c>
      <c r="E1724" s="156">
        <v>44292</v>
      </c>
      <c r="F1724" t="s">
        <v>77</v>
      </c>
      <c r="G1724" s="156">
        <v>44186</v>
      </c>
      <c r="H1724" t="s">
        <v>94</v>
      </c>
      <c r="I1724">
        <v>10899167.226890758</v>
      </c>
      <c r="K1724">
        <v>2070841.7731092439</v>
      </c>
      <c r="M1724">
        <v>0</v>
      </c>
      <c r="N1724">
        <v>2.5000000000000001E-2</v>
      </c>
      <c r="O1724">
        <v>272479.18067226897</v>
      </c>
      <c r="P1724" s="117">
        <v>12697529.819327733</v>
      </c>
      <c r="Q1724" s="117" t="s">
        <v>1021</v>
      </c>
      <c r="R1724" s="150">
        <v>0</v>
      </c>
      <c r="S1724" s="117" t="b">
        <f>OR(COUNTIF(Tabla2[[#This Row],[PROVEEDOR]],"*"&amp;'Palabra no opera'!$A$2&amp;"*"))</f>
        <v>0</v>
      </c>
      <c r="T1724" s="150">
        <f>+$W$5-Tabla2[[#This Row],[FECHA DE FACTURACIÓN]]</f>
        <v>648</v>
      </c>
      <c r="U1724" t="str">
        <f>+IF(Tabla2[[#This Row],[dias de credito]]&gt;=Tabla2[[#This Row],[PLAZO Días]],"venc", "No venc")</f>
        <v>venc</v>
      </c>
      <c r="V1724" t="str">
        <f>+IF(Tabla2[[#This Row],[FECHA DE PAGO]]&gt;0,"pagada","por pagar")</f>
        <v>pagada</v>
      </c>
      <c r="W1724" s="152" t="str">
        <f>+IF(AND(Tabla2[[#This Row],[venc]]="venc",Tabla2[[#This Row],[Columna1]]="por pagar"),"vencida","no")</f>
        <v>no</v>
      </c>
    </row>
    <row r="1725" spans="1:23" x14ac:dyDescent="0.3">
      <c r="A1725">
        <v>30</v>
      </c>
      <c r="B1725">
        <v>0</v>
      </c>
      <c r="D1725" t="s">
        <v>139</v>
      </c>
      <c r="E1725" s="156">
        <v>44290</v>
      </c>
      <c r="F1725" t="s">
        <v>673</v>
      </c>
      <c r="G1725" s="156">
        <v>44290</v>
      </c>
      <c r="I1725">
        <v>1000000</v>
      </c>
      <c r="K1725">
        <v>0</v>
      </c>
      <c r="M1725">
        <v>0</v>
      </c>
      <c r="N1725">
        <v>0</v>
      </c>
      <c r="O1725">
        <v>0</v>
      </c>
      <c r="P1725" s="117">
        <v>1000000</v>
      </c>
      <c r="Q1725" s="117" t="s">
        <v>1021</v>
      </c>
      <c r="R1725" s="150">
        <v>0</v>
      </c>
      <c r="S1725" s="117" t="b">
        <f>OR(COUNTIF(Tabla2[[#This Row],[PROVEEDOR]],"*"&amp;'Palabra no opera'!$A$2&amp;"*"))</f>
        <v>0</v>
      </c>
      <c r="T1725" s="150">
        <f>+$W$5-Tabla2[[#This Row],[FECHA DE FACTURACIÓN]]</f>
        <v>544</v>
      </c>
      <c r="U1725" t="str">
        <f>+IF(Tabla2[[#This Row],[dias de credito]]&gt;=Tabla2[[#This Row],[PLAZO Días]],"venc", "No venc")</f>
        <v>venc</v>
      </c>
      <c r="V1725" t="str">
        <f>+IF(Tabla2[[#This Row],[FECHA DE PAGO]]&gt;0,"pagada","por pagar")</f>
        <v>pagada</v>
      </c>
      <c r="W1725" s="152" t="str">
        <f>+IF(AND(Tabla2[[#This Row],[venc]]="venc",Tabla2[[#This Row],[Columna1]]="por pagar"),"vencida","no")</f>
        <v>no</v>
      </c>
    </row>
    <row r="1726" spans="1:23" x14ac:dyDescent="0.3">
      <c r="A1726">
        <v>30</v>
      </c>
      <c r="B1726">
        <v>5225000</v>
      </c>
      <c r="D1726" t="s">
        <v>139</v>
      </c>
      <c r="E1726" s="156">
        <v>44290</v>
      </c>
      <c r="F1726" t="s">
        <v>629</v>
      </c>
      <c r="G1726" s="156">
        <v>44246</v>
      </c>
      <c r="H1726" t="s">
        <v>1193</v>
      </c>
      <c r="I1726">
        <v>2760000</v>
      </c>
      <c r="K1726">
        <v>0</v>
      </c>
      <c r="M1726">
        <v>0</v>
      </c>
      <c r="N1726">
        <v>0</v>
      </c>
      <c r="O1726">
        <v>0</v>
      </c>
      <c r="P1726" s="117">
        <v>2760000</v>
      </c>
      <c r="Q1726" s="117" t="s">
        <v>1021</v>
      </c>
      <c r="R1726" s="150">
        <v>0</v>
      </c>
      <c r="S1726" s="117" t="b">
        <f>OR(COUNTIF(Tabla2[[#This Row],[PROVEEDOR]],"*"&amp;'Palabra no opera'!$A$2&amp;"*"))</f>
        <v>0</v>
      </c>
      <c r="T1726" s="150">
        <f>+$W$5-Tabla2[[#This Row],[FECHA DE FACTURACIÓN]]</f>
        <v>588</v>
      </c>
      <c r="U1726" t="str">
        <f>+IF(Tabla2[[#This Row],[dias de credito]]&gt;=Tabla2[[#This Row],[PLAZO Días]],"venc", "No venc")</f>
        <v>venc</v>
      </c>
      <c r="V1726" t="str">
        <f>+IF(Tabla2[[#This Row],[FECHA DE PAGO]]&gt;0,"pagada","por pagar")</f>
        <v>pagada</v>
      </c>
      <c r="W1726" s="152" t="str">
        <f>+IF(AND(Tabla2[[#This Row],[venc]]="venc",Tabla2[[#This Row],[Columna1]]="por pagar"),"vencida","no")</f>
        <v>no</v>
      </c>
    </row>
    <row r="1727" spans="1:23" x14ac:dyDescent="0.3">
      <c r="A1727">
        <v>30</v>
      </c>
      <c r="B1727">
        <v>0</v>
      </c>
      <c r="D1727" t="s">
        <v>622</v>
      </c>
      <c r="E1727" s="156">
        <v>44290</v>
      </c>
      <c r="F1727" t="s">
        <v>623</v>
      </c>
      <c r="G1727" s="156">
        <v>44183</v>
      </c>
      <c r="H1727">
        <v>537</v>
      </c>
      <c r="I1727">
        <v>1086000</v>
      </c>
      <c r="K1727">
        <v>0</v>
      </c>
      <c r="M1727">
        <v>0</v>
      </c>
      <c r="N1727">
        <v>0</v>
      </c>
      <c r="O1727">
        <v>0</v>
      </c>
      <c r="P1727" s="117">
        <v>1086000</v>
      </c>
      <c r="Q1727" s="117" t="s">
        <v>1021</v>
      </c>
      <c r="R1727" s="150">
        <v>0</v>
      </c>
      <c r="S1727" s="117" t="b">
        <f>OR(COUNTIF(Tabla2[[#This Row],[PROVEEDOR]],"*"&amp;'Palabra no opera'!$A$2&amp;"*"))</f>
        <v>0</v>
      </c>
      <c r="T1727" s="150">
        <f>+$W$5-Tabla2[[#This Row],[FECHA DE FACTURACIÓN]]</f>
        <v>651</v>
      </c>
      <c r="U1727" t="str">
        <f>+IF(Tabla2[[#This Row],[dias de credito]]&gt;=Tabla2[[#This Row],[PLAZO Días]],"venc", "No venc")</f>
        <v>venc</v>
      </c>
      <c r="V1727" t="str">
        <f>+IF(Tabla2[[#This Row],[FECHA DE PAGO]]&gt;0,"pagada","por pagar")</f>
        <v>pagada</v>
      </c>
      <c r="W1727" s="152" t="str">
        <f>+IF(AND(Tabla2[[#This Row],[venc]]="venc",Tabla2[[#This Row],[Columna1]]="por pagar"),"vencida","no")</f>
        <v>no</v>
      </c>
    </row>
    <row r="1728" spans="1:23" x14ac:dyDescent="0.3">
      <c r="A1728">
        <v>30</v>
      </c>
      <c r="B1728">
        <v>0</v>
      </c>
      <c r="D1728" t="s">
        <v>139</v>
      </c>
      <c r="E1728" s="156">
        <v>44286</v>
      </c>
      <c r="F1728" t="s">
        <v>644</v>
      </c>
      <c r="G1728" s="156">
        <v>44286</v>
      </c>
      <c r="H1728" t="s">
        <v>596</v>
      </c>
      <c r="I1728">
        <v>132400</v>
      </c>
      <c r="K1728">
        <v>0</v>
      </c>
      <c r="M1728">
        <v>0</v>
      </c>
      <c r="N1728">
        <v>0</v>
      </c>
      <c r="O1728">
        <v>0</v>
      </c>
      <c r="P1728" s="117">
        <v>132400</v>
      </c>
      <c r="Q1728" s="117" t="s">
        <v>1021</v>
      </c>
      <c r="R1728" s="150">
        <v>0</v>
      </c>
      <c r="S1728" s="117" t="b">
        <f>OR(COUNTIF(Tabla2[[#This Row],[PROVEEDOR]],"*"&amp;'Palabra no opera'!$A$2&amp;"*"))</f>
        <v>0</v>
      </c>
      <c r="T1728" s="150">
        <f>+$W$5-Tabla2[[#This Row],[FECHA DE FACTURACIÓN]]</f>
        <v>548</v>
      </c>
      <c r="U1728" t="str">
        <f>+IF(Tabla2[[#This Row],[dias de credito]]&gt;=Tabla2[[#This Row],[PLAZO Días]],"venc", "No venc")</f>
        <v>venc</v>
      </c>
      <c r="V1728" t="str">
        <f>+IF(Tabla2[[#This Row],[FECHA DE PAGO]]&gt;0,"pagada","por pagar")</f>
        <v>pagada</v>
      </c>
      <c r="W1728" s="152" t="str">
        <f>+IF(AND(Tabla2[[#This Row],[venc]]="venc",Tabla2[[#This Row],[Columna1]]="por pagar"),"vencida","no")</f>
        <v>no</v>
      </c>
    </row>
    <row r="1729" spans="1:23" x14ac:dyDescent="0.3">
      <c r="A1729">
        <v>30</v>
      </c>
      <c r="B1729">
        <v>0</v>
      </c>
      <c r="D1729" t="s">
        <v>139</v>
      </c>
      <c r="E1729" s="156">
        <v>44286</v>
      </c>
      <c r="F1729" t="s">
        <v>644</v>
      </c>
      <c r="G1729" s="156">
        <v>44286</v>
      </c>
      <c r="H1729" t="s">
        <v>598</v>
      </c>
      <c r="I1729">
        <v>323500</v>
      </c>
      <c r="K1729">
        <v>0</v>
      </c>
      <c r="M1729">
        <v>0</v>
      </c>
      <c r="N1729">
        <v>0</v>
      </c>
      <c r="O1729">
        <v>0</v>
      </c>
      <c r="P1729" s="117">
        <v>323500</v>
      </c>
      <c r="Q1729" s="117" t="s">
        <v>1021</v>
      </c>
      <c r="R1729" s="150">
        <v>0</v>
      </c>
      <c r="S1729" s="117" t="b">
        <f>OR(COUNTIF(Tabla2[[#This Row],[PROVEEDOR]],"*"&amp;'Palabra no opera'!$A$2&amp;"*"))</f>
        <v>0</v>
      </c>
      <c r="T1729" s="150">
        <f>+$W$5-Tabla2[[#This Row],[FECHA DE FACTURACIÓN]]</f>
        <v>548</v>
      </c>
      <c r="U1729" t="str">
        <f>+IF(Tabla2[[#This Row],[dias de credito]]&gt;=Tabla2[[#This Row],[PLAZO Días]],"venc", "No venc")</f>
        <v>venc</v>
      </c>
      <c r="V1729" t="str">
        <f>+IF(Tabla2[[#This Row],[FECHA DE PAGO]]&gt;0,"pagada","por pagar")</f>
        <v>pagada</v>
      </c>
      <c r="W1729" s="152" t="str">
        <f>+IF(AND(Tabla2[[#This Row],[venc]]="venc",Tabla2[[#This Row],[Columna1]]="por pagar"),"vencida","no")</f>
        <v>no</v>
      </c>
    </row>
    <row r="1730" spans="1:23" x14ac:dyDescent="0.3">
      <c r="A1730">
        <v>30</v>
      </c>
      <c r="B1730">
        <v>0</v>
      </c>
      <c r="D1730" t="s">
        <v>139</v>
      </c>
      <c r="E1730" s="156">
        <v>44286</v>
      </c>
      <c r="F1730" t="s">
        <v>644</v>
      </c>
      <c r="G1730" s="156">
        <v>44286</v>
      </c>
      <c r="H1730" t="s">
        <v>174</v>
      </c>
      <c r="I1730">
        <v>456000</v>
      </c>
      <c r="K1730">
        <v>0</v>
      </c>
      <c r="M1730">
        <v>0</v>
      </c>
      <c r="N1730">
        <v>0</v>
      </c>
      <c r="O1730">
        <v>0</v>
      </c>
      <c r="P1730" s="117">
        <v>456000</v>
      </c>
      <c r="Q1730" s="117" t="s">
        <v>1021</v>
      </c>
      <c r="R1730" s="150">
        <v>0</v>
      </c>
      <c r="S1730" s="117" t="b">
        <f>OR(COUNTIF(Tabla2[[#This Row],[PROVEEDOR]],"*"&amp;'Palabra no opera'!$A$2&amp;"*"))</f>
        <v>0</v>
      </c>
      <c r="T1730" s="150">
        <f>+$W$5-Tabla2[[#This Row],[FECHA DE FACTURACIÓN]]</f>
        <v>548</v>
      </c>
      <c r="U1730" t="str">
        <f>+IF(Tabla2[[#This Row],[dias de credito]]&gt;=Tabla2[[#This Row],[PLAZO Días]],"venc", "No venc")</f>
        <v>venc</v>
      </c>
      <c r="V1730" t="str">
        <f>+IF(Tabla2[[#This Row],[FECHA DE PAGO]]&gt;0,"pagada","por pagar")</f>
        <v>pagada</v>
      </c>
      <c r="W1730" s="152" t="str">
        <f>+IF(AND(Tabla2[[#This Row],[venc]]="venc",Tabla2[[#This Row],[Columna1]]="por pagar"),"vencida","no")</f>
        <v>no</v>
      </c>
    </row>
    <row r="1731" spans="1:23" x14ac:dyDescent="0.3">
      <c r="A1731">
        <v>30</v>
      </c>
      <c r="B1731">
        <v>0</v>
      </c>
      <c r="D1731" t="s">
        <v>139</v>
      </c>
      <c r="E1731" s="156">
        <v>44286</v>
      </c>
      <c r="F1731" t="s">
        <v>644</v>
      </c>
      <c r="G1731" s="156">
        <v>44286</v>
      </c>
      <c r="H1731" t="s">
        <v>597</v>
      </c>
      <c r="I1731">
        <v>1054000</v>
      </c>
      <c r="K1731">
        <v>0</v>
      </c>
      <c r="M1731">
        <v>0</v>
      </c>
      <c r="N1731">
        <v>0</v>
      </c>
      <c r="O1731">
        <v>0</v>
      </c>
      <c r="P1731" s="117">
        <v>1054000</v>
      </c>
      <c r="Q1731" s="117" t="s">
        <v>1021</v>
      </c>
      <c r="R1731" s="150">
        <v>0</v>
      </c>
      <c r="S1731" s="117" t="b">
        <f>OR(COUNTIF(Tabla2[[#This Row],[PROVEEDOR]],"*"&amp;'Palabra no opera'!$A$2&amp;"*"))</f>
        <v>0</v>
      </c>
      <c r="T1731" s="150">
        <f>+$W$5-Tabla2[[#This Row],[FECHA DE FACTURACIÓN]]</f>
        <v>548</v>
      </c>
      <c r="U1731" t="str">
        <f>+IF(Tabla2[[#This Row],[dias de credito]]&gt;=Tabla2[[#This Row],[PLAZO Días]],"venc", "No venc")</f>
        <v>venc</v>
      </c>
      <c r="V1731" t="str">
        <f>+IF(Tabla2[[#This Row],[FECHA DE PAGO]]&gt;0,"pagada","por pagar")</f>
        <v>pagada</v>
      </c>
      <c r="W1731" s="152" t="str">
        <f>+IF(AND(Tabla2[[#This Row],[venc]]="venc",Tabla2[[#This Row],[Columna1]]="por pagar"),"vencida","no")</f>
        <v>no</v>
      </c>
    </row>
    <row r="1732" spans="1:23" x14ac:dyDescent="0.3">
      <c r="A1732">
        <v>30</v>
      </c>
      <c r="B1732">
        <v>0</v>
      </c>
      <c r="D1732" t="s">
        <v>139</v>
      </c>
      <c r="E1732" s="156">
        <v>44286</v>
      </c>
      <c r="F1732" t="s">
        <v>644</v>
      </c>
      <c r="G1732" s="156">
        <v>44286</v>
      </c>
      <c r="H1732" t="s">
        <v>595</v>
      </c>
      <c r="I1732">
        <v>2073000</v>
      </c>
      <c r="K1732">
        <v>0</v>
      </c>
      <c r="M1732">
        <v>0</v>
      </c>
      <c r="N1732">
        <v>0</v>
      </c>
      <c r="O1732">
        <v>0</v>
      </c>
      <c r="P1732" s="117">
        <v>2073000</v>
      </c>
      <c r="Q1732" s="117" t="s">
        <v>1021</v>
      </c>
      <c r="R1732" s="150">
        <v>0</v>
      </c>
      <c r="S1732" s="117" t="b">
        <f>OR(COUNTIF(Tabla2[[#This Row],[PROVEEDOR]],"*"&amp;'Palabra no opera'!$A$2&amp;"*"))</f>
        <v>0</v>
      </c>
      <c r="T1732" s="150">
        <f>+$W$5-Tabla2[[#This Row],[FECHA DE FACTURACIÓN]]</f>
        <v>548</v>
      </c>
      <c r="U1732" t="str">
        <f>+IF(Tabla2[[#This Row],[dias de credito]]&gt;=Tabla2[[#This Row],[PLAZO Días]],"venc", "No venc")</f>
        <v>venc</v>
      </c>
      <c r="V1732" t="str">
        <f>+IF(Tabla2[[#This Row],[FECHA DE PAGO]]&gt;0,"pagada","por pagar")</f>
        <v>pagada</v>
      </c>
      <c r="W1732" s="152" t="str">
        <f>+IF(AND(Tabla2[[#This Row],[venc]]="venc",Tabla2[[#This Row],[Columna1]]="por pagar"),"vencida","no")</f>
        <v>no</v>
      </c>
    </row>
    <row r="1733" spans="1:23" x14ac:dyDescent="0.3">
      <c r="A1733">
        <v>30</v>
      </c>
      <c r="B1733">
        <v>0</v>
      </c>
      <c r="D1733" t="s">
        <v>139</v>
      </c>
      <c r="E1733" s="156">
        <v>44286</v>
      </c>
      <c r="F1733" t="s">
        <v>115</v>
      </c>
      <c r="G1733" s="156">
        <v>44284</v>
      </c>
      <c r="H1733" t="s">
        <v>281</v>
      </c>
      <c r="I1733">
        <v>1374000</v>
      </c>
      <c r="K1733">
        <v>0</v>
      </c>
      <c r="M1733">
        <v>0</v>
      </c>
      <c r="N1733">
        <v>0</v>
      </c>
      <c r="O1733">
        <v>0</v>
      </c>
      <c r="P1733" s="117">
        <v>1374000</v>
      </c>
      <c r="Q1733" s="117" t="s">
        <v>1021</v>
      </c>
      <c r="R1733" s="150">
        <v>0</v>
      </c>
      <c r="S1733" s="117" t="b">
        <f>OR(COUNTIF(Tabla2[[#This Row],[PROVEEDOR]],"*"&amp;'Palabra no opera'!$A$2&amp;"*"))</f>
        <v>0</v>
      </c>
      <c r="T1733" s="150">
        <f>+$W$5-Tabla2[[#This Row],[FECHA DE FACTURACIÓN]]</f>
        <v>550</v>
      </c>
      <c r="U1733" t="str">
        <f>+IF(Tabla2[[#This Row],[dias de credito]]&gt;=Tabla2[[#This Row],[PLAZO Días]],"venc", "No venc")</f>
        <v>venc</v>
      </c>
      <c r="V1733" t="str">
        <f>+IF(Tabla2[[#This Row],[FECHA DE PAGO]]&gt;0,"pagada","por pagar")</f>
        <v>pagada</v>
      </c>
      <c r="W1733" s="152" t="str">
        <f>+IF(AND(Tabla2[[#This Row],[venc]]="venc",Tabla2[[#This Row],[Columna1]]="por pagar"),"vencida","no")</f>
        <v>no</v>
      </c>
    </row>
    <row r="1734" spans="1:23" x14ac:dyDescent="0.3">
      <c r="A1734">
        <v>30</v>
      </c>
      <c r="B1734">
        <v>0</v>
      </c>
      <c r="D1734" t="s">
        <v>139</v>
      </c>
      <c r="E1734" s="156">
        <v>44286</v>
      </c>
      <c r="F1734" t="s">
        <v>133</v>
      </c>
      <c r="G1734" s="156">
        <v>44284</v>
      </c>
      <c r="H1734" t="s">
        <v>1198</v>
      </c>
      <c r="I1734">
        <v>1789527</v>
      </c>
      <c r="K1734">
        <v>340010.13</v>
      </c>
      <c r="M1734">
        <v>0</v>
      </c>
      <c r="N1734">
        <v>3.5000000000000003E-2</v>
      </c>
      <c r="O1734">
        <v>62633.445000000007</v>
      </c>
      <c r="P1734" s="117">
        <v>2066903.6849999998</v>
      </c>
      <c r="Q1734" s="117" t="s">
        <v>1021</v>
      </c>
      <c r="R1734" s="150">
        <v>0</v>
      </c>
      <c r="S1734" s="117" t="b">
        <f>OR(COUNTIF(Tabla2[[#This Row],[PROVEEDOR]],"*"&amp;'Palabra no opera'!$A$2&amp;"*"))</f>
        <v>0</v>
      </c>
      <c r="T1734" s="150">
        <f>+$W$5-Tabla2[[#This Row],[FECHA DE FACTURACIÓN]]</f>
        <v>550</v>
      </c>
      <c r="U1734" t="str">
        <f>+IF(Tabla2[[#This Row],[dias de credito]]&gt;=Tabla2[[#This Row],[PLAZO Días]],"venc", "No venc")</f>
        <v>venc</v>
      </c>
      <c r="V1734" t="str">
        <f>+IF(Tabla2[[#This Row],[FECHA DE PAGO]]&gt;0,"pagada","por pagar")</f>
        <v>pagada</v>
      </c>
      <c r="W1734" s="152" t="str">
        <f>+IF(AND(Tabla2[[#This Row],[venc]]="venc",Tabla2[[#This Row],[Columna1]]="por pagar"),"vencida","no")</f>
        <v>no</v>
      </c>
    </row>
    <row r="1735" spans="1:23" x14ac:dyDescent="0.3">
      <c r="A1735">
        <v>30</v>
      </c>
      <c r="B1735">
        <v>0</v>
      </c>
      <c r="D1735" t="s">
        <v>255</v>
      </c>
      <c r="E1735" s="156">
        <v>44286</v>
      </c>
      <c r="F1735" t="s">
        <v>137</v>
      </c>
      <c r="G1735" s="156">
        <v>44271</v>
      </c>
      <c r="H1735">
        <v>9838</v>
      </c>
      <c r="I1735">
        <v>126000</v>
      </c>
      <c r="K1735">
        <v>0</v>
      </c>
      <c r="M1735">
        <v>0</v>
      </c>
      <c r="N1735">
        <v>0</v>
      </c>
      <c r="O1735">
        <v>0</v>
      </c>
      <c r="P1735" s="117">
        <v>126000</v>
      </c>
      <c r="Q1735" s="117" t="s">
        <v>1021</v>
      </c>
      <c r="R1735" s="150">
        <v>0</v>
      </c>
      <c r="S1735" s="117" t="b">
        <f>OR(COUNTIF(Tabla2[[#This Row],[PROVEEDOR]],"*"&amp;'Palabra no opera'!$A$2&amp;"*"))</f>
        <v>0</v>
      </c>
      <c r="T1735" s="150">
        <f>+$W$5-Tabla2[[#This Row],[FECHA DE FACTURACIÓN]]</f>
        <v>563</v>
      </c>
      <c r="U1735" t="str">
        <f>+IF(Tabla2[[#This Row],[dias de credito]]&gt;=Tabla2[[#This Row],[PLAZO Días]],"venc", "No venc")</f>
        <v>venc</v>
      </c>
      <c r="V1735" t="str">
        <f>+IF(Tabla2[[#This Row],[FECHA DE PAGO]]&gt;0,"pagada","por pagar")</f>
        <v>pagada</v>
      </c>
      <c r="W1735" s="152" t="str">
        <f>+IF(AND(Tabla2[[#This Row],[venc]]="venc",Tabla2[[#This Row],[Columna1]]="por pagar"),"vencida","no")</f>
        <v>no</v>
      </c>
    </row>
    <row r="1736" spans="1:23" x14ac:dyDescent="0.3">
      <c r="A1736">
        <v>30</v>
      </c>
      <c r="B1736">
        <v>0</v>
      </c>
      <c r="D1736" t="s">
        <v>255</v>
      </c>
      <c r="E1736" s="156">
        <v>44286</v>
      </c>
      <c r="F1736" t="s">
        <v>137</v>
      </c>
      <c r="G1736" s="156">
        <v>44250</v>
      </c>
      <c r="H1736" t="s">
        <v>1454</v>
      </c>
      <c r="I1736">
        <v>144000</v>
      </c>
      <c r="K1736">
        <v>0</v>
      </c>
      <c r="M1736">
        <v>0</v>
      </c>
      <c r="N1736">
        <v>0</v>
      </c>
      <c r="O1736">
        <v>0</v>
      </c>
      <c r="P1736" s="117">
        <v>144000</v>
      </c>
      <c r="Q1736" s="117" t="s">
        <v>1021</v>
      </c>
      <c r="R1736" s="150">
        <v>0</v>
      </c>
      <c r="S1736" s="117" t="b">
        <f>OR(COUNTIF(Tabla2[[#This Row],[PROVEEDOR]],"*"&amp;'Palabra no opera'!$A$2&amp;"*"))</f>
        <v>0</v>
      </c>
      <c r="T1736" s="150">
        <f>+$W$5-Tabla2[[#This Row],[FECHA DE FACTURACIÓN]]</f>
        <v>584</v>
      </c>
      <c r="U1736" t="str">
        <f>+IF(Tabla2[[#This Row],[dias de credito]]&gt;=Tabla2[[#This Row],[PLAZO Días]],"venc", "No venc")</f>
        <v>venc</v>
      </c>
      <c r="V1736" t="str">
        <f>+IF(Tabla2[[#This Row],[FECHA DE PAGO]]&gt;0,"pagada","por pagar")</f>
        <v>pagada</v>
      </c>
      <c r="W1736" s="152" t="str">
        <f>+IF(AND(Tabla2[[#This Row],[venc]]="venc",Tabla2[[#This Row],[Columna1]]="por pagar"),"vencida","no")</f>
        <v>no</v>
      </c>
    </row>
    <row r="1737" spans="1:23" x14ac:dyDescent="0.3">
      <c r="A1737">
        <v>30</v>
      </c>
      <c r="B1737">
        <v>0</v>
      </c>
      <c r="D1737" t="s">
        <v>139</v>
      </c>
      <c r="E1737" s="156">
        <v>44285</v>
      </c>
      <c r="F1737" t="s">
        <v>673</v>
      </c>
      <c r="G1737" s="156">
        <v>44285</v>
      </c>
      <c r="I1737">
        <v>1000000</v>
      </c>
      <c r="K1737">
        <v>0</v>
      </c>
      <c r="M1737">
        <v>0</v>
      </c>
      <c r="N1737">
        <v>0</v>
      </c>
      <c r="O1737">
        <v>0</v>
      </c>
      <c r="P1737" s="117">
        <v>1000000</v>
      </c>
      <c r="Q1737" s="117" t="s">
        <v>1021</v>
      </c>
      <c r="R1737" s="150">
        <v>0</v>
      </c>
      <c r="S1737" s="117" t="b">
        <f>OR(COUNTIF(Tabla2[[#This Row],[PROVEEDOR]],"*"&amp;'Palabra no opera'!$A$2&amp;"*"))</f>
        <v>0</v>
      </c>
      <c r="T1737" s="150">
        <f>+$W$5-Tabla2[[#This Row],[FECHA DE FACTURACIÓN]]</f>
        <v>549</v>
      </c>
      <c r="U1737" t="str">
        <f>+IF(Tabla2[[#This Row],[dias de credito]]&gt;=Tabla2[[#This Row],[PLAZO Días]],"venc", "No venc")</f>
        <v>venc</v>
      </c>
      <c r="V1737" t="str">
        <f>+IF(Tabla2[[#This Row],[FECHA DE PAGO]]&gt;0,"pagada","por pagar")</f>
        <v>pagada</v>
      </c>
      <c r="W1737" s="152" t="str">
        <f>+IF(AND(Tabla2[[#This Row],[venc]]="venc",Tabla2[[#This Row],[Columna1]]="por pagar"),"vencida","no")</f>
        <v>no</v>
      </c>
    </row>
    <row r="1738" spans="1:23" x14ac:dyDescent="0.3">
      <c r="A1738">
        <v>30</v>
      </c>
      <c r="B1738">
        <v>0</v>
      </c>
      <c r="D1738" t="s">
        <v>259</v>
      </c>
      <c r="E1738" s="156">
        <v>44285</v>
      </c>
      <c r="F1738" t="s">
        <v>918</v>
      </c>
      <c r="G1738" s="156">
        <v>44256</v>
      </c>
      <c r="H1738">
        <v>7708</v>
      </c>
      <c r="I1738">
        <v>1327746</v>
      </c>
      <c r="K1738">
        <v>0</v>
      </c>
      <c r="M1738">
        <v>0</v>
      </c>
      <c r="N1738">
        <v>0</v>
      </c>
      <c r="O1738">
        <v>0</v>
      </c>
      <c r="P1738" s="117">
        <v>1327746</v>
      </c>
      <c r="Q1738" s="117" t="s">
        <v>1021</v>
      </c>
      <c r="R1738" s="150">
        <v>0</v>
      </c>
      <c r="S1738" s="117" t="b">
        <f>OR(COUNTIF(Tabla2[[#This Row],[PROVEEDOR]],"*"&amp;'Palabra no opera'!$A$2&amp;"*"))</f>
        <v>1</v>
      </c>
      <c r="T1738" s="150">
        <f>+$W$5-Tabla2[[#This Row],[FECHA DE FACTURACIÓN]]</f>
        <v>578</v>
      </c>
      <c r="U1738" t="str">
        <f>+IF(Tabla2[[#This Row],[dias de credito]]&gt;=Tabla2[[#This Row],[PLAZO Días]],"venc", "No venc")</f>
        <v>venc</v>
      </c>
      <c r="V1738" t="str">
        <f>+IF(Tabla2[[#This Row],[FECHA DE PAGO]]&gt;0,"pagada","por pagar")</f>
        <v>pagada</v>
      </c>
      <c r="W1738" s="152" t="str">
        <f>+IF(AND(Tabla2[[#This Row],[venc]]="venc",Tabla2[[#This Row],[Columna1]]="por pagar"),"vencida","no")</f>
        <v>no</v>
      </c>
    </row>
    <row r="1739" spans="1:23" x14ac:dyDescent="0.3">
      <c r="A1739">
        <v>30</v>
      </c>
      <c r="B1739">
        <v>0</v>
      </c>
      <c r="D1739" t="s">
        <v>277</v>
      </c>
      <c r="E1739" s="156">
        <v>44285</v>
      </c>
      <c r="F1739" t="s">
        <v>131</v>
      </c>
      <c r="G1739" s="156">
        <v>44246</v>
      </c>
      <c r="H1739" t="s">
        <v>222</v>
      </c>
      <c r="I1739">
        <v>1335643</v>
      </c>
      <c r="J1739">
        <v>128222</v>
      </c>
      <c r="K1739">
        <v>229409.99</v>
      </c>
      <c r="M1739">
        <v>0</v>
      </c>
      <c r="N1739">
        <v>2.5000000000000001E-2</v>
      </c>
      <c r="O1739">
        <v>30185.525000000001</v>
      </c>
      <c r="P1739" s="117">
        <v>1406645.4650000001</v>
      </c>
      <c r="Q1739" s="117" t="s">
        <v>1021</v>
      </c>
      <c r="R1739" s="150">
        <v>0</v>
      </c>
      <c r="S1739" s="117" t="b">
        <f>OR(COUNTIF(Tabla2[[#This Row],[PROVEEDOR]],"*"&amp;'Palabra no opera'!$A$2&amp;"*"))</f>
        <v>0</v>
      </c>
      <c r="T1739" s="150">
        <f>+$W$5-Tabla2[[#This Row],[FECHA DE FACTURACIÓN]]</f>
        <v>588</v>
      </c>
      <c r="U1739" t="str">
        <f>+IF(Tabla2[[#This Row],[dias de credito]]&gt;=Tabla2[[#This Row],[PLAZO Días]],"venc", "No venc")</f>
        <v>venc</v>
      </c>
      <c r="V1739" t="str">
        <f>+IF(Tabla2[[#This Row],[FECHA DE PAGO]]&gt;0,"pagada","por pagar")</f>
        <v>pagada</v>
      </c>
      <c r="W1739" s="152" t="str">
        <f>+IF(AND(Tabla2[[#This Row],[venc]]="venc",Tabla2[[#This Row],[Columna1]]="por pagar"),"vencida","no")</f>
        <v>no</v>
      </c>
    </row>
    <row r="1740" spans="1:23" x14ac:dyDescent="0.3">
      <c r="A1740">
        <v>90</v>
      </c>
      <c r="B1740">
        <v>64586412</v>
      </c>
      <c r="D1740" t="s">
        <v>368</v>
      </c>
      <c r="E1740" s="156">
        <v>44285</v>
      </c>
      <c r="F1740" t="s">
        <v>31</v>
      </c>
      <c r="G1740" s="156">
        <v>44175</v>
      </c>
      <c r="H1740">
        <v>53263</v>
      </c>
      <c r="I1740">
        <v>44070382.352941178</v>
      </c>
      <c r="K1740">
        <v>0</v>
      </c>
      <c r="M1740">
        <v>0</v>
      </c>
      <c r="N1740">
        <v>0</v>
      </c>
      <c r="O1740">
        <v>0</v>
      </c>
      <c r="P1740" s="117">
        <v>44070382.352941178</v>
      </c>
      <c r="Q1740" s="117" t="s">
        <v>1021</v>
      </c>
      <c r="R1740" s="150">
        <v>0</v>
      </c>
      <c r="S1740" s="117" t="b">
        <f>OR(COUNTIF(Tabla2[[#This Row],[PROVEEDOR]],"*"&amp;'Palabra no opera'!$A$2&amp;"*"))</f>
        <v>0</v>
      </c>
      <c r="T1740" s="150">
        <f>+$W$5-Tabla2[[#This Row],[FECHA DE FACTURACIÓN]]</f>
        <v>659</v>
      </c>
      <c r="U1740" t="str">
        <f>+IF(Tabla2[[#This Row],[dias de credito]]&gt;=Tabla2[[#This Row],[PLAZO Días]],"venc", "No venc")</f>
        <v>venc</v>
      </c>
      <c r="V1740" t="str">
        <f>+IF(Tabla2[[#This Row],[FECHA DE PAGO]]&gt;0,"pagada","por pagar")</f>
        <v>pagada</v>
      </c>
      <c r="W1740" s="152" t="str">
        <f>+IF(AND(Tabla2[[#This Row],[venc]]="venc",Tabla2[[#This Row],[Columna1]]="por pagar"),"vencida","no")</f>
        <v>no</v>
      </c>
    </row>
    <row r="1741" spans="1:23" x14ac:dyDescent="0.3">
      <c r="A1741">
        <v>30</v>
      </c>
      <c r="B1741">
        <v>0</v>
      </c>
      <c r="D1741" t="s">
        <v>139</v>
      </c>
      <c r="E1741" s="156">
        <v>44284</v>
      </c>
      <c r="F1741" t="s">
        <v>133</v>
      </c>
      <c r="G1741" s="156">
        <v>44281</v>
      </c>
      <c r="H1741" t="s">
        <v>280</v>
      </c>
      <c r="I1741">
        <v>2244410.4649999999</v>
      </c>
      <c r="K1741">
        <v>426437.98835</v>
      </c>
      <c r="M1741">
        <v>0</v>
      </c>
      <c r="N1741">
        <v>3.5000000000000003E-2</v>
      </c>
      <c r="O1741">
        <v>78554.366275000008</v>
      </c>
      <c r="P1741" s="117">
        <v>2592294.0870750002</v>
      </c>
      <c r="Q1741" s="117" t="s">
        <v>1021</v>
      </c>
      <c r="R1741" s="150">
        <v>0</v>
      </c>
      <c r="S1741" s="117" t="b">
        <f>OR(COUNTIF(Tabla2[[#This Row],[PROVEEDOR]],"*"&amp;'Palabra no opera'!$A$2&amp;"*"))</f>
        <v>0</v>
      </c>
      <c r="T1741" s="150">
        <f>+$W$5-Tabla2[[#This Row],[FECHA DE FACTURACIÓN]]</f>
        <v>553</v>
      </c>
      <c r="U1741" t="str">
        <f>+IF(Tabla2[[#This Row],[dias de credito]]&gt;=Tabla2[[#This Row],[PLAZO Días]],"venc", "No venc")</f>
        <v>venc</v>
      </c>
      <c r="V1741" t="str">
        <f>+IF(Tabla2[[#This Row],[FECHA DE PAGO]]&gt;0,"pagada","por pagar")</f>
        <v>pagada</v>
      </c>
      <c r="W1741" s="152" t="str">
        <f>+IF(AND(Tabla2[[#This Row],[venc]]="venc",Tabla2[[#This Row],[Columna1]]="por pagar"),"vencida","no")</f>
        <v>no</v>
      </c>
    </row>
    <row r="1742" spans="1:23" x14ac:dyDescent="0.3">
      <c r="A1742">
        <v>30</v>
      </c>
      <c r="B1742">
        <v>0</v>
      </c>
      <c r="D1742" t="s">
        <v>650</v>
      </c>
      <c r="E1742" s="156">
        <v>44284</v>
      </c>
      <c r="F1742" t="s">
        <v>913</v>
      </c>
      <c r="G1742" s="156">
        <v>44256</v>
      </c>
      <c r="H1742">
        <v>486</v>
      </c>
      <c r="I1742">
        <v>3061166</v>
      </c>
      <c r="K1742">
        <v>581621.54</v>
      </c>
      <c r="M1742">
        <v>0</v>
      </c>
      <c r="N1742">
        <v>0</v>
      </c>
      <c r="O1742">
        <v>0</v>
      </c>
      <c r="P1742" s="117">
        <v>3642787.54</v>
      </c>
      <c r="Q1742" s="117" t="s">
        <v>1021</v>
      </c>
      <c r="R1742" s="150">
        <v>0</v>
      </c>
      <c r="S1742" s="117" t="b">
        <f>OR(COUNTIF(Tabla2[[#This Row],[PROVEEDOR]],"*"&amp;'Palabra no opera'!$A$2&amp;"*"))</f>
        <v>1</v>
      </c>
      <c r="T1742" s="150">
        <f>+$W$5-Tabla2[[#This Row],[FECHA DE FACTURACIÓN]]</f>
        <v>578</v>
      </c>
      <c r="U1742" t="str">
        <f>+IF(Tabla2[[#This Row],[dias de credito]]&gt;=Tabla2[[#This Row],[PLAZO Días]],"venc", "No venc")</f>
        <v>venc</v>
      </c>
      <c r="V1742" t="str">
        <f>+IF(Tabla2[[#This Row],[FECHA DE PAGO]]&gt;0,"pagada","por pagar")</f>
        <v>pagada</v>
      </c>
      <c r="W1742" s="152" t="str">
        <f>+IF(AND(Tabla2[[#This Row],[venc]]="venc",Tabla2[[#This Row],[Columna1]]="por pagar"),"vencida","no")</f>
        <v>no</v>
      </c>
    </row>
    <row r="1743" spans="1:23" x14ac:dyDescent="0.3">
      <c r="A1743">
        <v>30</v>
      </c>
      <c r="B1743">
        <v>0</v>
      </c>
      <c r="D1743" t="s">
        <v>650</v>
      </c>
      <c r="E1743" s="156">
        <v>44284</v>
      </c>
      <c r="F1743" t="s">
        <v>913</v>
      </c>
      <c r="G1743" s="156">
        <v>44256</v>
      </c>
      <c r="H1743">
        <v>234</v>
      </c>
      <c r="I1743">
        <v>716544</v>
      </c>
      <c r="K1743">
        <v>136143.36000000002</v>
      </c>
      <c r="M1743">
        <v>0</v>
      </c>
      <c r="N1743">
        <v>0</v>
      </c>
      <c r="O1743">
        <v>0</v>
      </c>
      <c r="P1743" s="117">
        <v>852687.35999999999</v>
      </c>
      <c r="Q1743" s="117" t="s">
        <v>1021</v>
      </c>
      <c r="R1743" s="150">
        <v>0</v>
      </c>
      <c r="S1743" s="117" t="b">
        <f>OR(COUNTIF(Tabla2[[#This Row],[PROVEEDOR]],"*"&amp;'Palabra no opera'!$A$2&amp;"*"))</f>
        <v>1</v>
      </c>
      <c r="T1743" s="150">
        <f>+$W$5-Tabla2[[#This Row],[FECHA DE FACTURACIÓN]]</f>
        <v>578</v>
      </c>
      <c r="U1743" t="str">
        <f>+IF(Tabla2[[#This Row],[dias de credito]]&gt;=Tabla2[[#This Row],[PLAZO Días]],"venc", "No venc")</f>
        <v>venc</v>
      </c>
      <c r="V1743" t="str">
        <f>+IF(Tabla2[[#This Row],[FECHA DE PAGO]]&gt;0,"pagada","por pagar")</f>
        <v>pagada</v>
      </c>
      <c r="W1743" s="152" t="str">
        <f>+IF(AND(Tabla2[[#This Row],[venc]]="venc",Tabla2[[#This Row],[Columna1]]="por pagar"),"vencida","no")</f>
        <v>no</v>
      </c>
    </row>
    <row r="1744" spans="1:23" x14ac:dyDescent="0.3">
      <c r="A1744">
        <v>30</v>
      </c>
      <c r="B1744">
        <v>0</v>
      </c>
      <c r="D1744" t="s">
        <v>1688</v>
      </c>
      <c r="E1744" s="156">
        <v>44284</v>
      </c>
      <c r="F1744" t="s">
        <v>928</v>
      </c>
      <c r="G1744" s="156">
        <v>44256</v>
      </c>
      <c r="H1744" t="s">
        <v>228</v>
      </c>
      <c r="I1744">
        <v>3023387</v>
      </c>
      <c r="K1744">
        <v>0</v>
      </c>
      <c r="M1744">
        <v>0</v>
      </c>
      <c r="N1744">
        <v>3.5000000000000003E-2</v>
      </c>
      <c r="O1744">
        <v>105818.54500000001</v>
      </c>
      <c r="P1744" s="117">
        <v>2917568.4550000001</v>
      </c>
      <c r="Q1744" s="117" t="s">
        <v>1021</v>
      </c>
      <c r="R1744" s="150">
        <v>0</v>
      </c>
      <c r="S1744" s="117" t="b">
        <f>OR(COUNTIF(Tabla2[[#This Row],[PROVEEDOR]],"*"&amp;'Palabra no opera'!$A$2&amp;"*"))</f>
        <v>1</v>
      </c>
      <c r="T1744" s="150">
        <f>+$W$5-Tabla2[[#This Row],[FECHA DE FACTURACIÓN]]</f>
        <v>578</v>
      </c>
      <c r="U1744" t="str">
        <f>+IF(Tabla2[[#This Row],[dias de credito]]&gt;=Tabla2[[#This Row],[PLAZO Días]],"venc", "No venc")</f>
        <v>venc</v>
      </c>
      <c r="V1744" t="str">
        <f>+IF(Tabla2[[#This Row],[FECHA DE PAGO]]&gt;0,"pagada","por pagar")</f>
        <v>pagada</v>
      </c>
      <c r="W1744" s="152" t="str">
        <f>+IF(AND(Tabla2[[#This Row],[venc]]="venc",Tabla2[[#This Row],[Columna1]]="por pagar"),"vencida","no")</f>
        <v>no</v>
      </c>
    </row>
    <row r="1745" spans="1:23" x14ac:dyDescent="0.3">
      <c r="A1745">
        <v>30</v>
      </c>
      <c r="B1745">
        <v>0</v>
      </c>
      <c r="D1745" t="s">
        <v>433</v>
      </c>
      <c r="E1745" s="156">
        <v>44284</v>
      </c>
      <c r="F1745" t="s">
        <v>925</v>
      </c>
      <c r="G1745" s="156">
        <v>44256</v>
      </c>
      <c r="H1745">
        <v>3831</v>
      </c>
      <c r="I1745">
        <v>2789636</v>
      </c>
      <c r="K1745">
        <v>0</v>
      </c>
      <c r="M1745">
        <v>0</v>
      </c>
      <c r="N1745">
        <v>3.5000000000000003E-2</v>
      </c>
      <c r="O1745">
        <v>97637.260000000009</v>
      </c>
      <c r="P1745" s="117">
        <v>2691998.74</v>
      </c>
      <c r="Q1745" s="117" t="s">
        <v>1021</v>
      </c>
      <c r="R1745" s="150">
        <v>0</v>
      </c>
      <c r="S1745" s="117" t="b">
        <f>OR(COUNTIF(Tabla2[[#This Row],[PROVEEDOR]],"*"&amp;'Palabra no opera'!$A$2&amp;"*"))</f>
        <v>1</v>
      </c>
      <c r="T1745" s="150">
        <f>+$W$5-Tabla2[[#This Row],[FECHA DE FACTURACIÓN]]</f>
        <v>578</v>
      </c>
      <c r="U1745" t="str">
        <f>+IF(Tabla2[[#This Row],[dias de credito]]&gt;=Tabla2[[#This Row],[PLAZO Días]],"venc", "No venc")</f>
        <v>venc</v>
      </c>
      <c r="V1745" t="str">
        <f>+IF(Tabla2[[#This Row],[FECHA DE PAGO]]&gt;0,"pagada","por pagar")</f>
        <v>pagada</v>
      </c>
      <c r="W1745" s="152" t="str">
        <f>+IF(AND(Tabla2[[#This Row],[venc]]="venc",Tabla2[[#This Row],[Columna1]]="por pagar"),"vencida","no")</f>
        <v>no</v>
      </c>
    </row>
    <row r="1746" spans="1:23" x14ac:dyDescent="0.3">
      <c r="A1746">
        <v>30</v>
      </c>
      <c r="B1746">
        <v>0</v>
      </c>
      <c r="D1746" t="s">
        <v>267</v>
      </c>
      <c r="E1746" s="156">
        <v>44284</v>
      </c>
      <c r="F1746" t="s">
        <v>941</v>
      </c>
      <c r="G1746" s="156">
        <v>44256</v>
      </c>
      <c r="H1746">
        <v>1554</v>
      </c>
      <c r="I1746">
        <v>203897</v>
      </c>
      <c r="K1746">
        <v>38740.43</v>
      </c>
      <c r="M1746">
        <v>0</v>
      </c>
      <c r="N1746">
        <v>3.5000000000000003E-2</v>
      </c>
      <c r="O1746">
        <v>7136.3950000000004</v>
      </c>
      <c r="P1746" s="117">
        <v>235501.035</v>
      </c>
      <c r="Q1746" s="117" t="s">
        <v>1021</v>
      </c>
      <c r="R1746" s="150">
        <v>0</v>
      </c>
      <c r="S1746" s="117" t="b">
        <f>OR(COUNTIF(Tabla2[[#This Row],[PROVEEDOR]],"*"&amp;'Palabra no opera'!$A$2&amp;"*"))</f>
        <v>1</v>
      </c>
      <c r="T1746" s="150">
        <f>+$W$5-Tabla2[[#This Row],[FECHA DE FACTURACIÓN]]</f>
        <v>578</v>
      </c>
      <c r="U1746" t="str">
        <f>+IF(Tabla2[[#This Row],[dias de credito]]&gt;=Tabla2[[#This Row],[PLAZO Días]],"venc", "No venc")</f>
        <v>venc</v>
      </c>
      <c r="V1746" t="str">
        <f>+IF(Tabla2[[#This Row],[FECHA DE PAGO]]&gt;0,"pagada","por pagar")</f>
        <v>pagada</v>
      </c>
      <c r="W1746" s="152" t="str">
        <f>+IF(AND(Tabla2[[#This Row],[venc]]="venc",Tabla2[[#This Row],[Columna1]]="por pagar"),"vencida","no")</f>
        <v>no</v>
      </c>
    </row>
    <row r="1747" spans="1:23" x14ac:dyDescent="0.3">
      <c r="A1747">
        <v>45</v>
      </c>
      <c r="B1747">
        <v>30078253.170000002</v>
      </c>
      <c r="D1747" t="s">
        <v>884</v>
      </c>
      <c r="E1747" s="156">
        <v>44284</v>
      </c>
      <c r="F1747" t="s">
        <v>19</v>
      </c>
      <c r="G1747" s="156">
        <v>44224</v>
      </c>
      <c r="H1747" t="s">
        <v>166</v>
      </c>
      <c r="I1747">
        <v>11854200</v>
      </c>
      <c r="K1747">
        <v>2252298</v>
      </c>
      <c r="M1747">
        <v>0</v>
      </c>
      <c r="N1747">
        <v>0</v>
      </c>
      <c r="O1747">
        <v>0</v>
      </c>
      <c r="P1747" s="117">
        <v>14106498</v>
      </c>
      <c r="Q1747" s="117" t="s">
        <v>1021</v>
      </c>
      <c r="R1747" s="150">
        <v>0</v>
      </c>
      <c r="S1747" s="117" t="b">
        <f>OR(COUNTIF(Tabla2[[#This Row],[PROVEEDOR]],"*"&amp;'Palabra no opera'!$A$2&amp;"*"))</f>
        <v>0</v>
      </c>
      <c r="T1747" s="150">
        <f>+$W$5-Tabla2[[#This Row],[FECHA DE FACTURACIÓN]]</f>
        <v>610</v>
      </c>
      <c r="U1747" t="str">
        <f>+IF(Tabla2[[#This Row],[dias de credito]]&gt;=Tabla2[[#This Row],[PLAZO Días]],"venc", "No venc")</f>
        <v>venc</v>
      </c>
      <c r="V1747" t="str">
        <f>+IF(Tabla2[[#This Row],[FECHA DE PAGO]]&gt;0,"pagada","por pagar")</f>
        <v>pagada</v>
      </c>
      <c r="W1747" s="152" t="str">
        <f>+IF(AND(Tabla2[[#This Row],[venc]]="venc",Tabla2[[#This Row],[Columna1]]="por pagar"),"vencida","no")</f>
        <v>no</v>
      </c>
    </row>
    <row r="1748" spans="1:23" x14ac:dyDescent="0.3">
      <c r="A1748">
        <v>30</v>
      </c>
      <c r="B1748">
        <v>3876467.9400000004</v>
      </c>
      <c r="D1748">
        <v>0</v>
      </c>
      <c r="E1748" s="156">
        <v>44281</v>
      </c>
      <c r="F1748" t="s">
        <v>542</v>
      </c>
      <c r="G1748" s="156">
        <v>44281</v>
      </c>
      <c r="H1748">
        <v>2229</v>
      </c>
      <c r="I1748">
        <v>922404</v>
      </c>
      <c r="K1748">
        <v>175256.76</v>
      </c>
      <c r="M1748">
        <v>0</v>
      </c>
      <c r="N1748">
        <v>0</v>
      </c>
      <c r="O1748">
        <v>0</v>
      </c>
      <c r="P1748" s="117">
        <v>1097660.76</v>
      </c>
      <c r="Q1748" s="117" t="s">
        <v>1021</v>
      </c>
      <c r="R1748" s="150">
        <v>0</v>
      </c>
      <c r="S1748" s="117" t="b">
        <f>OR(COUNTIF(Tabla2[[#This Row],[PROVEEDOR]],"*"&amp;'Palabra no opera'!$A$2&amp;"*"))</f>
        <v>0</v>
      </c>
      <c r="T1748" s="150">
        <f>+$W$5-Tabla2[[#This Row],[FECHA DE FACTURACIÓN]]</f>
        <v>553</v>
      </c>
      <c r="U1748" t="str">
        <f>+IF(Tabla2[[#This Row],[dias de credito]]&gt;=Tabla2[[#This Row],[PLAZO Días]],"venc", "No venc")</f>
        <v>venc</v>
      </c>
      <c r="V1748" t="str">
        <f>+IF(Tabla2[[#This Row],[FECHA DE PAGO]]&gt;0,"pagada","por pagar")</f>
        <v>pagada</v>
      </c>
      <c r="W1748" s="152" t="str">
        <f>+IF(AND(Tabla2[[#This Row],[venc]]="venc",Tabla2[[#This Row],[Columna1]]="por pagar"),"vencida","no")</f>
        <v>no</v>
      </c>
    </row>
    <row r="1749" spans="1:23" x14ac:dyDescent="0.3">
      <c r="A1749">
        <v>30</v>
      </c>
      <c r="B1749">
        <v>0</v>
      </c>
      <c r="D1749">
        <v>0</v>
      </c>
      <c r="E1749" s="156">
        <v>44280</v>
      </c>
      <c r="F1749" t="s">
        <v>678</v>
      </c>
      <c r="G1749" s="156">
        <v>44280</v>
      </c>
      <c r="H1749" t="s">
        <v>1197</v>
      </c>
      <c r="I1749">
        <v>75000</v>
      </c>
      <c r="K1749">
        <v>0</v>
      </c>
      <c r="M1749">
        <v>0</v>
      </c>
      <c r="N1749">
        <v>0</v>
      </c>
      <c r="O1749">
        <v>0</v>
      </c>
      <c r="P1749" s="117">
        <v>75000</v>
      </c>
      <c r="Q1749" s="117" t="s">
        <v>1021</v>
      </c>
      <c r="R1749" s="150">
        <v>0</v>
      </c>
      <c r="S1749" s="117" t="b">
        <f>OR(COUNTIF(Tabla2[[#This Row],[PROVEEDOR]],"*"&amp;'Palabra no opera'!$A$2&amp;"*"))</f>
        <v>0</v>
      </c>
      <c r="T1749" s="150">
        <f>+$W$5-Tabla2[[#This Row],[FECHA DE FACTURACIÓN]]</f>
        <v>554</v>
      </c>
      <c r="U1749" t="str">
        <f>+IF(Tabla2[[#This Row],[dias de credito]]&gt;=Tabla2[[#This Row],[PLAZO Días]],"venc", "No venc")</f>
        <v>venc</v>
      </c>
      <c r="V1749" t="str">
        <f>+IF(Tabla2[[#This Row],[FECHA DE PAGO]]&gt;0,"pagada","por pagar")</f>
        <v>pagada</v>
      </c>
      <c r="W1749" s="152" t="str">
        <f>+IF(AND(Tabla2[[#This Row],[venc]]="venc",Tabla2[[#This Row],[Columna1]]="por pagar"),"vencida","no")</f>
        <v>no</v>
      </c>
    </row>
    <row r="1750" spans="1:23" x14ac:dyDescent="0.3">
      <c r="A1750">
        <v>30</v>
      </c>
      <c r="B1750">
        <v>0</v>
      </c>
      <c r="D1750" t="s">
        <v>139</v>
      </c>
      <c r="E1750" s="156">
        <v>44280</v>
      </c>
      <c r="F1750" t="s">
        <v>638</v>
      </c>
      <c r="G1750" s="156">
        <v>44279</v>
      </c>
      <c r="I1750">
        <v>3686000</v>
      </c>
      <c r="K1750">
        <v>0</v>
      </c>
      <c r="M1750">
        <v>0</v>
      </c>
      <c r="N1750">
        <v>0</v>
      </c>
      <c r="O1750">
        <v>0</v>
      </c>
      <c r="P1750" s="117">
        <v>3686000</v>
      </c>
      <c r="Q1750" s="117" t="s">
        <v>1021</v>
      </c>
      <c r="R1750" s="150">
        <v>0</v>
      </c>
      <c r="S1750" s="117" t="b">
        <f>OR(COUNTIF(Tabla2[[#This Row],[PROVEEDOR]],"*"&amp;'Palabra no opera'!$A$2&amp;"*"))</f>
        <v>0</v>
      </c>
      <c r="T1750" s="150">
        <f>+$W$5-Tabla2[[#This Row],[FECHA DE FACTURACIÓN]]</f>
        <v>555</v>
      </c>
      <c r="U1750" t="str">
        <f>+IF(Tabla2[[#This Row],[dias de credito]]&gt;=Tabla2[[#This Row],[PLAZO Días]],"venc", "No venc")</f>
        <v>venc</v>
      </c>
      <c r="V1750" t="str">
        <f>+IF(Tabla2[[#This Row],[FECHA DE PAGO]]&gt;0,"pagada","por pagar")</f>
        <v>pagada</v>
      </c>
      <c r="W1750" s="152" t="str">
        <f>+IF(AND(Tabla2[[#This Row],[venc]]="venc",Tabla2[[#This Row],[Columna1]]="por pagar"),"vencida","no")</f>
        <v>no</v>
      </c>
    </row>
    <row r="1751" spans="1:23" x14ac:dyDescent="0.3">
      <c r="A1751">
        <v>20</v>
      </c>
      <c r="B1751">
        <v>0</v>
      </c>
      <c r="D1751" t="s">
        <v>275</v>
      </c>
      <c r="E1751" s="156">
        <v>44280</v>
      </c>
      <c r="F1751" t="s">
        <v>942</v>
      </c>
      <c r="G1751" s="156">
        <v>44256</v>
      </c>
      <c r="H1751">
        <v>38432</v>
      </c>
      <c r="I1751">
        <v>3706000</v>
      </c>
      <c r="K1751">
        <v>704140</v>
      </c>
      <c r="M1751">
        <v>0</v>
      </c>
      <c r="N1751">
        <v>3.5000000000000003E-2</v>
      </c>
      <c r="O1751">
        <v>129710.00000000001</v>
      </c>
      <c r="P1751" s="117">
        <v>4280430</v>
      </c>
      <c r="Q1751" s="117" t="s">
        <v>1021</v>
      </c>
      <c r="R1751" s="150">
        <v>0</v>
      </c>
      <c r="S1751" s="117" t="b">
        <f>OR(COUNTIF(Tabla2[[#This Row],[PROVEEDOR]],"*"&amp;'Palabra no opera'!$A$2&amp;"*"))</f>
        <v>1</v>
      </c>
      <c r="T1751" s="150">
        <f>+$W$5-Tabla2[[#This Row],[FECHA DE FACTURACIÓN]]</f>
        <v>578</v>
      </c>
      <c r="U1751" t="str">
        <f>+IF(Tabla2[[#This Row],[dias de credito]]&gt;=Tabla2[[#This Row],[PLAZO Días]],"venc", "No venc")</f>
        <v>venc</v>
      </c>
      <c r="V1751" t="str">
        <f>+IF(Tabla2[[#This Row],[FECHA DE PAGO]]&gt;0,"pagada","por pagar")</f>
        <v>pagada</v>
      </c>
      <c r="W1751" s="152" t="str">
        <f>+IF(AND(Tabla2[[#This Row],[venc]]="venc",Tabla2[[#This Row],[Columna1]]="por pagar"),"vencida","no")</f>
        <v>no</v>
      </c>
    </row>
    <row r="1752" spans="1:23" x14ac:dyDescent="0.3">
      <c r="A1752">
        <v>20</v>
      </c>
      <c r="B1752">
        <v>0</v>
      </c>
      <c r="D1752" t="s">
        <v>275</v>
      </c>
      <c r="E1752" s="156">
        <v>44280</v>
      </c>
      <c r="F1752" t="s">
        <v>942</v>
      </c>
      <c r="G1752" s="156">
        <v>44251</v>
      </c>
      <c r="H1752" t="s">
        <v>224</v>
      </c>
      <c r="I1752">
        <v>-174400</v>
      </c>
      <c r="K1752">
        <v>-33136</v>
      </c>
      <c r="M1752">
        <v>0</v>
      </c>
      <c r="N1752">
        <v>0</v>
      </c>
      <c r="O1752">
        <v>0</v>
      </c>
      <c r="P1752" s="117">
        <v>-207536</v>
      </c>
      <c r="Q1752" s="117" t="s">
        <v>1021</v>
      </c>
      <c r="R1752" s="150">
        <v>0</v>
      </c>
      <c r="S1752" s="117" t="b">
        <f>OR(COUNTIF(Tabla2[[#This Row],[PROVEEDOR]],"*"&amp;'Palabra no opera'!$A$2&amp;"*"))</f>
        <v>1</v>
      </c>
      <c r="T1752" s="150">
        <f>+$W$5-Tabla2[[#This Row],[FECHA DE FACTURACIÓN]]</f>
        <v>583</v>
      </c>
      <c r="U1752" t="str">
        <f>+IF(Tabla2[[#This Row],[dias de credito]]&gt;=Tabla2[[#This Row],[PLAZO Días]],"venc", "No venc")</f>
        <v>venc</v>
      </c>
      <c r="V1752" t="str">
        <f>+IF(Tabla2[[#This Row],[FECHA DE PAGO]]&gt;0,"pagada","por pagar")</f>
        <v>pagada</v>
      </c>
      <c r="W1752" s="152" t="str">
        <f>+IF(AND(Tabla2[[#This Row],[venc]]="venc",Tabla2[[#This Row],[Columna1]]="por pagar"),"vencida","no")</f>
        <v>no</v>
      </c>
    </row>
    <row r="1753" spans="1:23" x14ac:dyDescent="0.3">
      <c r="A1753">
        <v>30</v>
      </c>
      <c r="B1753">
        <v>0</v>
      </c>
      <c r="D1753" t="s">
        <v>139</v>
      </c>
      <c r="E1753" s="156">
        <v>44279</v>
      </c>
      <c r="F1753" t="s">
        <v>27</v>
      </c>
      <c r="G1753" s="156">
        <v>44400</v>
      </c>
      <c r="H1753">
        <v>129398</v>
      </c>
      <c r="I1753">
        <v>8204000</v>
      </c>
      <c r="K1753">
        <v>0</v>
      </c>
      <c r="M1753">
        <v>0</v>
      </c>
      <c r="N1753">
        <v>0</v>
      </c>
      <c r="O1753">
        <v>0</v>
      </c>
      <c r="P1753" s="117">
        <v>8204000</v>
      </c>
      <c r="Q1753" s="117" t="s">
        <v>1021</v>
      </c>
      <c r="R1753" s="150">
        <v>0</v>
      </c>
      <c r="S1753" s="117" t="b">
        <f>OR(COUNTIF(Tabla2[[#This Row],[PROVEEDOR]],"*"&amp;'Palabra no opera'!$A$2&amp;"*"))</f>
        <v>0</v>
      </c>
      <c r="T1753" s="150">
        <f>+$W$5-Tabla2[[#This Row],[FECHA DE FACTURACIÓN]]</f>
        <v>434</v>
      </c>
      <c r="U1753" t="str">
        <f>+IF(Tabla2[[#This Row],[dias de credito]]&gt;=Tabla2[[#This Row],[PLAZO Días]],"venc", "No venc")</f>
        <v>venc</v>
      </c>
      <c r="V1753" t="str">
        <f>+IF(Tabla2[[#This Row],[FECHA DE PAGO]]&gt;0,"pagada","por pagar")</f>
        <v>pagada</v>
      </c>
      <c r="W1753" s="152" t="str">
        <f>+IF(AND(Tabla2[[#This Row],[venc]]="venc",Tabla2[[#This Row],[Columna1]]="por pagar"),"vencida","no")</f>
        <v>no</v>
      </c>
    </row>
    <row r="1754" spans="1:23" x14ac:dyDescent="0.3">
      <c r="A1754">
        <v>30</v>
      </c>
      <c r="B1754">
        <v>146262.9</v>
      </c>
      <c r="D1754" t="s">
        <v>262</v>
      </c>
      <c r="E1754" s="156">
        <v>44279</v>
      </c>
      <c r="F1754" t="s">
        <v>17</v>
      </c>
      <c r="G1754" s="156">
        <v>44319</v>
      </c>
      <c r="H1754">
        <v>1735621</v>
      </c>
      <c r="I1754">
        <v>363600</v>
      </c>
      <c r="K1754">
        <v>69084</v>
      </c>
      <c r="M1754">
        <v>0</v>
      </c>
      <c r="N1754">
        <v>0</v>
      </c>
      <c r="O1754">
        <v>0</v>
      </c>
      <c r="P1754" s="117">
        <v>432684</v>
      </c>
      <c r="Q1754" s="117" t="s">
        <v>1021</v>
      </c>
      <c r="R1754" s="150">
        <v>0</v>
      </c>
      <c r="S1754" s="117" t="b">
        <f>OR(COUNTIF(Tabla2[[#This Row],[PROVEEDOR]],"*"&amp;'Palabra no opera'!$A$2&amp;"*"))</f>
        <v>0</v>
      </c>
      <c r="T1754" s="150">
        <f>+$W$5-Tabla2[[#This Row],[FECHA DE FACTURACIÓN]]</f>
        <v>515</v>
      </c>
      <c r="U1754" t="str">
        <f>+IF(Tabla2[[#This Row],[dias de credito]]&gt;=Tabla2[[#This Row],[PLAZO Días]],"venc", "No venc")</f>
        <v>venc</v>
      </c>
      <c r="V1754" t="str">
        <f>+IF(Tabla2[[#This Row],[FECHA DE PAGO]]&gt;0,"pagada","por pagar")</f>
        <v>pagada</v>
      </c>
      <c r="W1754" s="152" t="str">
        <f>+IF(AND(Tabla2[[#This Row],[venc]]="venc",Tabla2[[#This Row],[Columna1]]="por pagar"),"vencida","no")</f>
        <v>no</v>
      </c>
    </row>
    <row r="1755" spans="1:23" x14ac:dyDescent="0.3">
      <c r="A1755">
        <v>30</v>
      </c>
      <c r="B1755">
        <v>0</v>
      </c>
      <c r="D1755" t="s">
        <v>255</v>
      </c>
      <c r="E1755" s="156">
        <v>44279</v>
      </c>
      <c r="F1755" t="s">
        <v>114</v>
      </c>
      <c r="G1755" s="156">
        <v>44277</v>
      </c>
      <c r="H1755" t="s">
        <v>248</v>
      </c>
      <c r="I1755">
        <v>1649000</v>
      </c>
      <c r="K1755">
        <v>0</v>
      </c>
      <c r="M1755">
        <v>0</v>
      </c>
      <c r="N1755">
        <v>0</v>
      </c>
      <c r="O1755">
        <v>0</v>
      </c>
      <c r="P1755" s="117">
        <v>1649000</v>
      </c>
      <c r="Q1755" s="117" t="s">
        <v>1021</v>
      </c>
      <c r="R1755" s="150">
        <v>0</v>
      </c>
      <c r="S1755" s="117" t="b">
        <f>OR(COUNTIF(Tabla2[[#This Row],[PROVEEDOR]],"*"&amp;'Palabra no opera'!$A$2&amp;"*"))</f>
        <v>0</v>
      </c>
      <c r="T1755" s="150">
        <f>+$W$5-Tabla2[[#This Row],[FECHA DE FACTURACIÓN]]</f>
        <v>557</v>
      </c>
      <c r="U1755" t="str">
        <f>+IF(Tabla2[[#This Row],[dias de credito]]&gt;=Tabla2[[#This Row],[PLAZO Días]],"venc", "No venc")</f>
        <v>venc</v>
      </c>
      <c r="V1755" t="str">
        <f>+IF(Tabla2[[#This Row],[FECHA DE PAGO]]&gt;0,"pagada","por pagar")</f>
        <v>pagada</v>
      </c>
      <c r="W1755" s="152" t="str">
        <f>+IF(AND(Tabla2[[#This Row],[venc]]="venc",Tabla2[[#This Row],[Columna1]]="por pagar"),"vencida","no")</f>
        <v>no</v>
      </c>
    </row>
    <row r="1756" spans="1:23" x14ac:dyDescent="0.3">
      <c r="A1756">
        <v>30</v>
      </c>
      <c r="B1756">
        <v>0</v>
      </c>
      <c r="D1756" t="s">
        <v>250</v>
      </c>
      <c r="E1756" s="156">
        <v>44279</v>
      </c>
      <c r="F1756" t="s">
        <v>1450</v>
      </c>
      <c r="G1756" s="156">
        <v>44273</v>
      </c>
      <c r="H1756">
        <v>270</v>
      </c>
      <c r="I1756">
        <v>192000</v>
      </c>
      <c r="K1756">
        <v>0</v>
      </c>
      <c r="M1756">
        <v>0</v>
      </c>
      <c r="N1756">
        <v>0</v>
      </c>
      <c r="O1756">
        <v>0</v>
      </c>
      <c r="P1756" s="117">
        <v>192000</v>
      </c>
      <c r="Q1756" s="117" t="s">
        <v>1021</v>
      </c>
      <c r="R1756" s="150">
        <v>0</v>
      </c>
      <c r="S1756" s="117" t="b">
        <f>OR(COUNTIF(Tabla2[[#This Row],[PROVEEDOR]],"*"&amp;'Palabra no opera'!$A$2&amp;"*"))</f>
        <v>0</v>
      </c>
      <c r="T1756" s="150">
        <f>+$W$5-Tabla2[[#This Row],[FECHA DE FACTURACIÓN]]</f>
        <v>561</v>
      </c>
      <c r="U1756" t="str">
        <f>+IF(Tabla2[[#This Row],[dias de credito]]&gt;=Tabla2[[#This Row],[PLAZO Días]],"venc", "No venc")</f>
        <v>venc</v>
      </c>
      <c r="V1756" t="str">
        <f>+IF(Tabla2[[#This Row],[FECHA DE PAGO]]&gt;0,"pagada","por pagar")</f>
        <v>pagada</v>
      </c>
      <c r="W1756" s="152" t="str">
        <f>+IF(AND(Tabla2[[#This Row],[venc]]="venc",Tabla2[[#This Row],[Columna1]]="por pagar"),"vencida","no")</f>
        <v>no</v>
      </c>
    </row>
    <row r="1757" spans="1:23" x14ac:dyDescent="0.3">
      <c r="A1757">
        <v>30</v>
      </c>
      <c r="B1757">
        <v>0</v>
      </c>
      <c r="D1757" t="s">
        <v>250</v>
      </c>
      <c r="E1757" s="156">
        <v>44279</v>
      </c>
      <c r="F1757" t="s">
        <v>1451</v>
      </c>
      <c r="G1757" s="156">
        <v>44273</v>
      </c>
      <c r="H1757">
        <v>78</v>
      </c>
      <c r="I1757">
        <v>396000</v>
      </c>
      <c r="K1757">
        <v>0</v>
      </c>
      <c r="M1757">
        <v>0</v>
      </c>
      <c r="N1757">
        <v>0.01</v>
      </c>
      <c r="O1757">
        <v>3960</v>
      </c>
      <c r="P1757" s="117">
        <v>392040</v>
      </c>
      <c r="Q1757" s="117" t="s">
        <v>1021</v>
      </c>
      <c r="R1757" s="150">
        <v>0</v>
      </c>
      <c r="S1757" s="117" t="b">
        <f>OR(COUNTIF(Tabla2[[#This Row],[PROVEEDOR]],"*"&amp;'Palabra no opera'!$A$2&amp;"*"))</f>
        <v>0</v>
      </c>
      <c r="T1757" s="150">
        <f>+$W$5-Tabla2[[#This Row],[FECHA DE FACTURACIÓN]]</f>
        <v>561</v>
      </c>
      <c r="U1757" t="str">
        <f>+IF(Tabla2[[#This Row],[dias de credito]]&gt;=Tabla2[[#This Row],[PLAZO Días]],"venc", "No venc")</f>
        <v>venc</v>
      </c>
      <c r="V1757" t="str">
        <f>+IF(Tabla2[[#This Row],[FECHA DE PAGO]]&gt;0,"pagada","por pagar")</f>
        <v>pagada</v>
      </c>
      <c r="W1757" s="152" t="str">
        <f>+IF(AND(Tabla2[[#This Row],[venc]]="venc",Tabla2[[#This Row],[Columna1]]="por pagar"),"vencida","no")</f>
        <v>no</v>
      </c>
    </row>
    <row r="1758" spans="1:23" x14ac:dyDescent="0.3">
      <c r="A1758">
        <v>30</v>
      </c>
      <c r="B1758">
        <v>146262.9</v>
      </c>
      <c r="D1758" t="s">
        <v>262</v>
      </c>
      <c r="E1758" s="156">
        <v>44279</v>
      </c>
      <c r="F1758" t="s">
        <v>17</v>
      </c>
      <c r="G1758" s="156">
        <v>44256</v>
      </c>
      <c r="H1758">
        <v>1733179</v>
      </c>
      <c r="I1758">
        <v>512507</v>
      </c>
      <c r="K1758">
        <v>97376.33</v>
      </c>
      <c r="M1758">
        <v>0</v>
      </c>
      <c r="N1758">
        <v>0</v>
      </c>
      <c r="O1758">
        <v>0</v>
      </c>
      <c r="P1758" s="117">
        <v>609883.32999999996</v>
      </c>
      <c r="Q1758" s="117" t="s">
        <v>1021</v>
      </c>
      <c r="R1758" s="150">
        <v>0</v>
      </c>
      <c r="S1758" s="117" t="b">
        <f>OR(COUNTIF(Tabla2[[#This Row],[PROVEEDOR]],"*"&amp;'Palabra no opera'!$A$2&amp;"*"))</f>
        <v>0</v>
      </c>
      <c r="T1758" s="150">
        <f>+$W$5-Tabla2[[#This Row],[FECHA DE FACTURACIÓN]]</f>
        <v>578</v>
      </c>
      <c r="U1758" t="str">
        <f>+IF(Tabla2[[#This Row],[dias de credito]]&gt;=Tabla2[[#This Row],[PLAZO Días]],"venc", "No venc")</f>
        <v>venc</v>
      </c>
      <c r="V1758" t="str">
        <f>+IF(Tabla2[[#This Row],[FECHA DE PAGO]]&gt;0,"pagada","por pagar")</f>
        <v>pagada</v>
      </c>
      <c r="W1758" s="152" t="str">
        <f>+IF(AND(Tabla2[[#This Row],[venc]]="venc",Tabla2[[#This Row],[Columna1]]="por pagar"),"vencida","no")</f>
        <v>no</v>
      </c>
    </row>
    <row r="1759" spans="1:23" x14ac:dyDescent="0.3">
      <c r="A1759">
        <v>30</v>
      </c>
      <c r="B1759">
        <v>8457900</v>
      </c>
      <c r="D1759" t="s">
        <v>1027</v>
      </c>
      <c r="E1759" s="156">
        <v>44279</v>
      </c>
      <c r="F1759" t="s">
        <v>11</v>
      </c>
      <c r="G1759" s="156">
        <v>44235</v>
      </c>
      <c r="H1759" t="s">
        <v>183</v>
      </c>
      <c r="I1759">
        <v>5532101</v>
      </c>
      <c r="K1759">
        <v>1051099.19</v>
      </c>
      <c r="M1759">
        <v>0</v>
      </c>
      <c r="N1759">
        <v>2.5000000000000001E-2</v>
      </c>
      <c r="O1759">
        <v>138302.52499999999</v>
      </c>
      <c r="P1759" s="117">
        <v>6444897.6649999991</v>
      </c>
      <c r="Q1759" s="117" t="s">
        <v>1021</v>
      </c>
      <c r="R1759" s="150">
        <v>0</v>
      </c>
      <c r="S1759" s="117" t="b">
        <f>OR(COUNTIF(Tabla2[[#This Row],[PROVEEDOR]],"*"&amp;'Palabra no opera'!$A$2&amp;"*"))</f>
        <v>0</v>
      </c>
      <c r="T1759" s="150">
        <f>+$W$5-Tabla2[[#This Row],[FECHA DE FACTURACIÓN]]</f>
        <v>599</v>
      </c>
      <c r="U1759" t="str">
        <f>+IF(Tabla2[[#This Row],[dias de credito]]&gt;=Tabla2[[#This Row],[PLAZO Días]],"venc", "No venc")</f>
        <v>venc</v>
      </c>
      <c r="V1759" t="str">
        <f>+IF(Tabla2[[#This Row],[FECHA DE PAGO]]&gt;0,"pagada","por pagar")</f>
        <v>pagada</v>
      </c>
      <c r="W1759" s="152" t="str">
        <f>+IF(AND(Tabla2[[#This Row],[venc]]="venc",Tabla2[[#This Row],[Columna1]]="por pagar"),"vencida","no")</f>
        <v>no</v>
      </c>
    </row>
    <row r="1760" spans="1:23" x14ac:dyDescent="0.3">
      <c r="A1760">
        <v>30</v>
      </c>
      <c r="B1760">
        <v>749999.88</v>
      </c>
      <c r="D1760" t="s">
        <v>249</v>
      </c>
      <c r="E1760" s="156">
        <v>44278</v>
      </c>
      <c r="F1760" t="s">
        <v>49</v>
      </c>
      <c r="G1760" s="156">
        <v>44242</v>
      </c>
      <c r="H1760">
        <v>1462</v>
      </c>
      <c r="I1760">
        <v>588235</v>
      </c>
      <c r="K1760">
        <v>111764.65</v>
      </c>
      <c r="M1760">
        <v>0</v>
      </c>
      <c r="N1760">
        <v>0</v>
      </c>
      <c r="O1760">
        <v>0</v>
      </c>
      <c r="P1760" s="117">
        <v>699999.65</v>
      </c>
      <c r="Q1760" s="117" t="s">
        <v>1021</v>
      </c>
      <c r="R1760" s="150">
        <v>0</v>
      </c>
      <c r="S1760" s="117" t="b">
        <f>OR(COUNTIF(Tabla2[[#This Row],[PROVEEDOR]],"*"&amp;'Palabra no opera'!$A$2&amp;"*"))</f>
        <v>0</v>
      </c>
      <c r="T1760" s="150">
        <f>+$W$5-Tabla2[[#This Row],[FECHA DE FACTURACIÓN]]</f>
        <v>592</v>
      </c>
      <c r="U1760" t="str">
        <f>+IF(Tabla2[[#This Row],[dias de credito]]&gt;=Tabla2[[#This Row],[PLAZO Días]],"venc", "No venc")</f>
        <v>venc</v>
      </c>
      <c r="V1760" t="str">
        <f>+IF(Tabla2[[#This Row],[FECHA DE PAGO]]&gt;0,"pagada","por pagar")</f>
        <v>pagada</v>
      </c>
      <c r="W1760" s="152" t="str">
        <f>+IF(AND(Tabla2[[#This Row],[venc]]="venc",Tabla2[[#This Row],[Columna1]]="por pagar"),"vencida","no")</f>
        <v>no</v>
      </c>
    </row>
    <row r="1761" spans="1:23" x14ac:dyDescent="0.3">
      <c r="A1761">
        <v>30</v>
      </c>
      <c r="B1761">
        <v>749999.88</v>
      </c>
      <c r="D1761" t="s">
        <v>249</v>
      </c>
      <c r="E1761" s="156">
        <v>44278</v>
      </c>
      <c r="F1761" t="s">
        <v>49</v>
      </c>
      <c r="G1761" s="156">
        <v>44236</v>
      </c>
      <c r="H1761">
        <v>1405</v>
      </c>
      <c r="I1761">
        <v>2956953</v>
      </c>
      <c r="K1761">
        <v>561821.06999999995</v>
      </c>
      <c r="M1761">
        <v>0</v>
      </c>
      <c r="N1761">
        <v>2.5000000000000001E-2</v>
      </c>
      <c r="O1761">
        <v>73923.824999999997</v>
      </c>
      <c r="P1761" s="117">
        <v>3444850.2449999996</v>
      </c>
      <c r="Q1761" s="117" t="s">
        <v>1021</v>
      </c>
      <c r="R1761" s="150">
        <v>0</v>
      </c>
      <c r="S1761" s="117" t="b">
        <f>OR(COUNTIF(Tabla2[[#This Row],[PROVEEDOR]],"*"&amp;'Palabra no opera'!$A$2&amp;"*"))</f>
        <v>0</v>
      </c>
      <c r="T1761" s="150">
        <f>+$W$5-Tabla2[[#This Row],[FECHA DE FACTURACIÓN]]</f>
        <v>598</v>
      </c>
      <c r="U1761" t="str">
        <f>+IF(Tabla2[[#This Row],[dias de credito]]&gt;=Tabla2[[#This Row],[PLAZO Días]],"venc", "No venc")</f>
        <v>venc</v>
      </c>
      <c r="V1761" t="str">
        <f>+IF(Tabla2[[#This Row],[FECHA DE PAGO]]&gt;0,"pagada","por pagar")</f>
        <v>pagada</v>
      </c>
      <c r="W1761" s="152" t="str">
        <f>+IF(AND(Tabla2[[#This Row],[venc]]="venc",Tabla2[[#This Row],[Columna1]]="por pagar"),"vencida","no")</f>
        <v>no</v>
      </c>
    </row>
    <row r="1762" spans="1:23" x14ac:dyDescent="0.3">
      <c r="A1762">
        <v>30</v>
      </c>
      <c r="B1762">
        <v>0</v>
      </c>
      <c r="D1762" t="s">
        <v>255</v>
      </c>
      <c r="E1762" s="156">
        <v>44272</v>
      </c>
      <c r="F1762" t="s">
        <v>59</v>
      </c>
      <c r="G1762" s="156">
        <v>44271</v>
      </c>
      <c r="H1762">
        <v>9839</v>
      </c>
      <c r="I1762">
        <v>1944000</v>
      </c>
      <c r="K1762">
        <v>0</v>
      </c>
      <c r="M1762">
        <v>0</v>
      </c>
      <c r="N1762">
        <v>0</v>
      </c>
      <c r="O1762">
        <v>0</v>
      </c>
      <c r="P1762" s="117">
        <v>1944000</v>
      </c>
      <c r="Q1762" s="117" t="s">
        <v>1021</v>
      </c>
      <c r="R1762" s="150">
        <v>0</v>
      </c>
      <c r="S1762" s="117" t="b">
        <f>OR(COUNTIF(Tabla2[[#This Row],[PROVEEDOR]],"*"&amp;'Palabra no opera'!$A$2&amp;"*"))</f>
        <v>0</v>
      </c>
      <c r="T1762" s="150">
        <f>+$W$5-Tabla2[[#This Row],[FECHA DE FACTURACIÓN]]</f>
        <v>563</v>
      </c>
      <c r="U1762" t="str">
        <f>+IF(Tabla2[[#This Row],[dias de credito]]&gt;=Tabla2[[#This Row],[PLAZO Días]],"venc", "No venc")</f>
        <v>venc</v>
      </c>
      <c r="V1762" t="str">
        <f>+IF(Tabla2[[#This Row],[FECHA DE PAGO]]&gt;0,"pagada","por pagar")</f>
        <v>pagada</v>
      </c>
      <c r="W1762" s="152" t="str">
        <f>+IF(AND(Tabla2[[#This Row],[venc]]="venc",Tabla2[[#This Row],[Columna1]]="por pagar"),"vencida","no")</f>
        <v>no</v>
      </c>
    </row>
    <row r="1763" spans="1:23" x14ac:dyDescent="0.3">
      <c r="A1763">
        <v>30</v>
      </c>
      <c r="B1763">
        <v>2324000</v>
      </c>
      <c r="D1763" t="s">
        <v>251</v>
      </c>
      <c r="E1763" s="156">
        <v>44272</v>
      </c>
      <c r="F1763" t="s">
        <v>699</v>
      </c>
      <c r="G1763" s="156">
        <v>44186</v>
      </c>
      <c r="H1763">
        <v>320277</v>
      </c>
      <c r="I1763">
        <v>2087500</v>
      </c>
      <c r="K1763">
        <v>0</v>
      </c>
      <c r="M1763">
        <v>0</v>
      </c>
      <c r="N1763">
        <v>0</v>
      </c>
      <c r="O1763">
        <v>0</v>
      </c>
      <c r="P1763" s="117">
        <v>2087500</v>
      </c>
      <c r="Q1763" s="117" t="s">
        <v>1021</v>
      </c>
      <c r="R1763" s="150">
        <v>0</v>
      </c>
      <c r="S1763" s="117" t="b">
        <f>OR(COUNTIF(Tabla2[[#This Row],[PROVEEDOR]],"*"&amp;'Palabra no opera'!$A$2&amp;"*"))</f>
        <v>0</v>
      </c>
      <c r="T1763" s="150">
        <f>+$W$5-Tabla2[[#This Row],[FECHA DE FACTURACIÓN]]</f>
        <v>648</v>
      </c>
      <c r="U1763" t="str">
        <f>+IF(Tabla2[[#This Row],[dias de credito]]&gt;=Tabla2[[#This Row],[PLAZO Días]],"venc", "No venc")</f>
        <v>venc</v>
      </c>
      <c r="V1763" t="str">
        <f>+IF(Tabla2[[#This Row],[FECHA DE PAGO]]&gt;0,"pagada","por pagar")</f>
        <v>pagada</v>
      </c>
      <c r="W1763" s="152" t="str">
        <f>+IF(AND(Tabla2[[#This Row],[venc]]="venc",Tabla2[[#This Row],[Columna1]]="por pagar"),"vencida","no")</f>
        <v>no</v>
      </c>
    </row>
    <row r="1764" spans="1:23" x14ac:dyDescent="0.3">
      <c r="A1764">
        <v>30</v>
      </c>
      <c r="B1764">
        <v>2324000</v>
      </c>
      <c r="D1764" t="s">
        <v>251</v>
      </c>
      <c r="E1764" s="156">
        <v>44272</v>
      </c>
      <c r="F1764" t="s">
        <v>699</v>
      </c>
      <c r="G1764" s="156">
        <v>44175</v>
      </c>
      <c r="H1764">
        <v>320167</v>
      </c>
      <c r="I1764">
        <v>596000</v>
      </c>
      <c r="K1764">
        <v>0</v>
      </c>
      <c r="M1764">
        <v>0</v>
      </c>
      <c r="N1764">
        <v>0</v>
      </c>
      <c r="O1764">
        <v>0</v>
      </c>
      <c r="P1764" s="117">
        <v>596000</v>
      </c>
      <c r="Q1764" s="117" t="s">
        <v>1021</v>
      </c>
      <c r="R1764" s="150">
        <v>0</v>
      </c>
      <c r="S1764" s="117" t="b">
        <f>OR(COUNTIF(Tabla2[[#This Row],[PROVEEDOR]],"*"&amp;'Palabra no opera'!$A$2&amp;"*"))</f>
        <v>0</v>
      </c>
      <c r="T1764" s="150">
        <f>+$W$5-Tabla2[[#This Row],[FECHA DE FACTURACIÓN]]</f>
        <v>659</v>
      </c>
      <c r="U1764" t="str">
        <f>+IF(Tabla2[[#This Row],[dias de credito]]&gt;=Tabla2[[#This Row],[PLAZO Días]],"venc", "No venc")</f>
        <v>venc</v>
      </c>
      <c r="V1764" t="str">
        <f>+IF(Tabla2[[#This Row],[FECHA DE PAGO]]&gt;0,"pagada","por pagar")</f>
        <v>pagada</v>
      </c>
      <c r="W1764" s="152" t="str">
        <f>+IF(AND(Tabla2[[#This Row],[venc]]="venc",Tabla2[[#This Row],[Columna1]]="por pagar"),"vencida","no")</f>
        <v>no</v>
      </c>
    </row>
    <row r="1765" spans="1:23" x14ac:dyDescent="0.3">
      <c r="A1765">
        <v>30</v>
      </c>
      <c r="B1765">
        <v>0</v>
      </c>
      <c r="D1765" t="s">
        <v>139</v>
      </c>
      <c r="E1765" s="156">
        <v>44271</v>
      </c>
      <c r="F1765" t="s">
        <v>673</v>
      </c>
      <c r="G1765" s="156">
        <v>44271</v>
      </c>
      <c r="I1765">
        <v>2000000</v>
      </c>
      <c r="K1765">
        <v>0</v>
      </c>
      <c r="M1765">
        <v>0</v>
      </c>
      <c r="N1765">
        <v>0</v>
      </c>
      <c r="O1765">
        <v>0</v>
      </c>
      <c r="P1765" s="117">
        <v>2000000</v>
      </c>
      <c r="Q1765" s="117" t="s">
        <v>1021</v>
      </c>
      <c r="R1765" s="150">
        <v>0</v>
      </c>
      <c r="S1765" s="117" t="b">
        <f>OR(COUNTIF(Tabla2[[#This Row],[PROVEEDOR]],"*"&amp;'Palabra no opera'!$A$2&amp;"*"))</f>
        <v>0</v>
      </c>
      <c r="T1765" s="150">
        <f>+$W$5-Tabla2[[#This Row],[FECHA DE FACTURACIÓN]]</f>
        <v>563</v>
      </c>
      <c r="U1765" t="str">
        <f>+IF(Tabla2[[#This Row],[dias de credito]]&gt;=Tabla2[[#This Row],[PLAZO Días]],"venc", "No venc")</f>
        <v>venc</v>
      </c>
      <c r="V1765" t="str">
        <f>+IF(Tabla2[[#This Row],[FECHA DE PAGO]]&gt;0,"pagada","por pagar")</f>
        <v>pagada</v>
      </c>
      <c r="W1765" s="152" t="str">
        <f>+IF(AND(Tabla2[[#This Row],[venc]]="venc",Tabla2[[#This Row],[Columna1]]="por pagar"),"vencida","no")</f>
        <v>no</v>
      </c>
    </row>
    <row r="1766" spans="1:23" x14ac:dyDescent="0.3">
      <c r="A1766">
        <v>30</v>
      </c>
      <c r="B1766">
        <v>0</v>
      </c>
      <c r="D1766" t="s">
        <v>139</v>
      </c>
      <c r="E1766" s="156">
        <v>44271</v>
      </c>
      <c r="F1766" t="s">
        <v>680</v>
      </c>
      <c r="G1766" s="156">
        <v>44261</v>
      </c>
      <c r="I1766">
        <v>1040200</v>
      </c>
      <c r="K1766">
        <v>0</v>
      </c>
      <c r="M1766">
        <v>0</v>
      </c>
      <c r="N1766">
        <v>0</v>
      </c>
      <c r="O1766">
        <v>0</v>
      </c>
      <c r="P1766" s="117">
        <v>1040200</v>
      </c>
      <c r="Q1766" s="117" t="s">
        <v>1021</v>
      </c>
      <c r="R1766" s="150">
        <v>0</v>
      </c>
      <c r="S1766" s="117" t="b">
        <f>OR(COUNTIF(Tabla2[[#This Row],[PROVEEDOR]],"*"&amp;'Palabra no opera'!$A$2&amp;"*"))</f>
        <v>0</v>
      </c>
      <c r="T1766" s="150">
        <f>+$W$5-Tabla2[[#This Row],[FECHA DE FACTURACIÓN]]</f>
        <v>573</v>
      </c>
      <c r="U1766" t="str">
        <f>+IF(Tabla2[[#This Row],[dias de credito]]&gt;=Tabla2[[#This Row],[PLAZO Días]],"venc", "No venc")</f>
        <v>venc</v>
      </c>
      <c r="V1766" t="str">
        <f>+IF(Tabla2[[#This Row],[FECHA DE PAGO]]&gt;0,"pagada","por pagar")</f>
        <v>pagada</v>
      </c>
      <c r="W1766" s="152" t="str">
        <f>+IF(AND(Tabla2[[#This Row],[venc]]="venc",Tabla2[[#This Row],[Columna1]]="por pagar"),"vencida","no")</f>
        <v>no</v>
      </c>
    </row>
    <row r="1767" spans="1:23" x14ac:dyDescent="0.3">
      <c r="A1767">
        <v>30</v>
      </c>
      <c r="B1767">
        <v>0</v>
      </c>
      <c r="D1767" t="s">
        <v>676</v>
      </c>
      <c r="E1767" s="156">
        <v>44271</v>
      </c>
      <c r="F1767" t="s">
        <v>940</v>
      </c>
      <c r="G1767" s="156">
        <v>44256</v>
      </c>
      <c r="H1767">
        <v>61974</v>
      </c>
      <c r="I1767">
        <v>250973</v>
      </c>
      <c r="K1767">
        <v>0</v>
      </c>
      <c r="M1767">
        <v>0</v>
      </c>
      <c r="N1767">
        <v>0</v>
      </c>
      <c r="O1767">
        <v>0</v>
      </c>
      <c r="P1767" s="117">
        <v>250973</v>
      </c>
      <c r="Q1767" s="117" t="s">
        <v>1021</v>
      </c>
      <c r="R1767" s="150">
        <v>0</v>
      </c>
      <c r="S1767" s="117" t="b">
        <f>OR(COUNTIF(Tabla2[[#This Row],[PROVEEDOR]],"*"&amp;'Palabra no opera'!$A$2&amp;"*"))</f>
        <v>1</v>
      </c>
      <c r="T1767" s="150">
        <f>+$W$5-Tabla2[[#This Row],[FECHA DE FACTURACIÓN]]</f>
        <v>578</v>
      </c>
      <c r="U1767" t="str">
        <f>+IF(Tabla2[[#This Row],[dias de credito]]&gt;=Tabla2[[#This Row],[PLAZO Días]],"venc", "No venc")</f>
        <v>venc</v>
      </c>
      <c r="V1767" t="str">
        <f>+IF(Tabla2[[#This Row],[FECHA DE PAGO]]&gt;0,"pagada","por pagar")</f>
        <v>pagada</v>
      </c>
      <c r="W1767" s="152" t="str">
        <f>+IF(AND(Tabla2[[#This Row],[venc]]="venc",Tabla2[[#This Row],[Columna1]]="por pagar"),"vencida","no")</f>
        <v>no</v>
      </c>
    </row>
    <row r="1768" spans="1:23" x14ac:dyDescent="0.3">
      <c r="A1768">
        <v>30</v>
      </c>
      <c r="B1768">
        <v>146262.9</v>
      </c>
      <c r="D1768" t="s">
        <v>262</v>
      </c>
      <c r="E1768" s="156">
        <v>44271</v>
      </c>
      <c r="F1768" t="s">
        <v>17</v>
      </c>
      <c r="G1768" s="156">
        <v>44242</v>
      </c>
      <c r="H1768">
        <v>1726381</v>
      </c>
      <c r="I1768">
        <v>3219678</v>
      </c>
      <c r="K1768">
        <v>611738.82000000007</v>
      </c>
      <c r="M1768">
        <v>0</v>
      </c>
      <c r="N1768">
        <v>0</v>
      </c>
      <c r="O1768">
        <v>0</v>
      </c>
      <c r="P1768" s="117">
        <v>3831416.8200000003</v>
      </c>
      <c r="Q1768" s="117" t="s">
        <v>1021</v>
      </c>
      <c r="R1768" s="150">
        <v>0</v>
      </c>
      <c r="S1768" s="117" t="b">
        <f>OR(COUNTIF(Tabla2[[#This Row],[PROVEEDOR]],"*"&amp;'Palabra no opera'!$A$2&amp;"*"))</f>
        <v>0</v>
      </c>
      <c r="T1768" s="150">
        <f>+$W$5-Tabla2[[#This Row],[FECHA DE FACTURACIÓN]]</f>
        <v>592</v>
      </c>
      <c r="U1768" t="str">
        <f>+IF(Tabla2[[#This Row],[dias de credito]]&gt;=Tabla2[[#This Row],[PLAZO Días]],"venc", "No venc")</f>
        <v>venc</v>
      </c>
      <c r="V1768" t="str">
        <f>+IF(Tabla2[[#This Row],[FECHA DE PAGO]]&gt;0,"pagada","por pagar")</f>
        <v>pagada</v>
      </c>
      <c r="W1768" s="152" t="str">
        <f>+IF(AND(Tabla2[[#This Row],[venc]]="venc",Tabla2[[#This Row],[Columna1]]="por pagar"),"vencida","no")</f>
        <v>no</v>
      </c>
    </row>
    <row r="1769" spans="1:23" x14ac:dyDescent="0.3">
      <c r="A1769">
        <v>30</v>
      </c>
      <c r="B1769">
        <v>19675613.1195</v>
      </c>
      <c r="D1769" t="s">
        <v>256</v>
      </c>
      <c r="E1769" s="156">
        <v>44271</v>
      </c>
      <c r="F1769" t="s">
        <v>18</v>
      </c>
      <c r="G1769" s="156">
        <v>44238</v>
      </c>
      <c r="H1769">
        <v>1034429</v>
      </c>
      <c r="I1769">
        <v>1825646.4</v>
      </c>
      <c r="K1769">
        <v>346872.81599999999</v>
      </c>
      <c r="M1769">
        <v>0</v>
      </c>
      <c r="N1769">
        <v>2.5000000000000001E-2</v>
      </c>
      <c r="O1769">
        <v>45641.16</v>
      </c>
      <c r="P1769" s="117">
        <v>2126878.0559999999</v>
      </c>
      <c r="Q1769" s="117" t="s">
        <v>1021</v>
      </c>
      <c r="R1769" s="150">
        <v>0</v>
      </c>
      <c r="S1769" s="117" t="b">
        <f>OR(COUNTIF(Tabla2[[#This Row],[PROVEEDOR]],"*"&amp;'Palabra no opera'!$A$2&amp;"*"))</f>
        <v>0</v>
      </c>
      <c r="T1769" s="150">
        <f>+$W$5-Tabla2[[#This Row],[FECHA DE FACTURACIÓN]]</f>
        <v>596</v>
      </c>
      <c r="U1769" t="str">
        <f>+IF(Tabla2[[#This Row],[dias de credito]]&gt;=Tabla2[[#This Row],[PLAZO Días]],"venc", "No venc")</f>
        <v>venc</v>
      </c>
      <c r="V1769" t="str">
        <f>+IF(Tabla2[[#This Row],[FECHA DE PAGO]]&gt;0,"pagada","por pagar")</f>
        <v>pagada</v>
      </c>
      <c r="W1769" s="152" t="str">
        <f>+IF(AND(Tabla2[[#This Row],[venc]]="venc",Tabla2[[#This Row],[Columna1]]="por pagar"),"vencida","no")</f>
        <v>no</v>
      </c>
    </row>
    <row r="1770" spans="1:23" x14ac:dyDescent="0.3">
      <c r="A1770">
        <v>30</v>
      </c>
      <c r="B1770">
        <v>-101001.25</v>
      </c>
      <c r="D1770" t="s">
        <v>274</v>
      </c>
      <c r="E1770" s="156">
        <v>44271</v>
      </c>
      <c r="F1770" t="s">
        <v>14</v>
      </c>
      <c r="G1770" s="156">
        <v>44237</v>
      </c>
      <c r="H1770" t="s">
        <v>237</v>
      </c>
      <c r="I1770">
        <v>174202</v>
      </c>
      <c r="K1770">
        <v>33098.379999999997</v>
      </c>
      <c r="M1770">
        <v>0</v>
      </c>
      <c r="N1770">
        <v>0</v>
      </c>
      <c r="O1770">
        <v>0</v>
      </c>
      <c r="P1770" s="117">
        <v>207300.38</v>
      </c>
      <c r="Q1770" s="117" t="s">
        <v>1021</v>
      </c>
      <c r="R1770" s="150">
        <v>0</v>
      </c>
      <c r="S1770" s="117" t="b">
        <f>OR(COUNTIF(Tabla2[[#This Row],[PROVEEDOR]],"*"&amp;'Palabra no opera'!$A$2&amp;"*"))</f>
        <v>0</v>
      </c>
      <c r="T1770" s="150">
        <f>+$W$5-Tabla2[[#This Row],[FECHA DE FACTURACIÓN]]</f>
        <v>597</v>
      </c>
      <c r="U1770" t="str">
        <f>+IF(Tabla2[[#This Row],[dias de credito]]&gt;=Tabla2[[#This Row],[PLAZO Días]],"venc", "No venc")</f>
        <v>venc</v>
      </c>
      <c r="V1770" t="str">
        <f>+IF(Tabla2[[#This Row],[FECHA DE PAGO]]&gt;0,"pagada","por pagar")</f>
        <v>pagada</v>
      </c>
      <c r="W1770" s="152" t="str">
        <f>+IF(AND(Tabla2[[#This Row],[venc]]="venc",Tabla2[[#This Row],[Columna1]]="por pagar"),"vencida","no")</f>
        <v>no</v>
      </c>
    </row>
    <row r="1771" spans="1:23" x14ac:dyDescent="0.3">
      <c r="A1771">
        <v>30</v>
      </c>
      <c r="B1771">
        <v>0</v>
      </c>
      <c r="D1771" t="s">
        <v>1653</v>
      </c>
      <c r="E1771" s="156">
        <v>44271</v>
      </c>
      <c r="F1771" t="s">
        <v>24</v>
      </c>
      <c r="G1771" s="156">
        <v>44233</v>
      </c>
      <c r="H1771" t="s">
        <v>184</v>
      </c>
      <c r="I1771">
        <v>1542573</v>
      </c>
      <c r="K1771">
        <v>293088.87</v>
      </c>
      <c r="M1771">
        <v>0</v>
      </c>
      <c r="N1771">
        <v>2.5000000000000001E-2</v>
      </c>
      <c r="O1771">
        <v>38564.325000000004</v>
      </c>
      <c r="P1771" s="117">
        <v>1797097.5450000002</v>
      </c>
      <c r="Q1771" s="117" t="s">
        <v>1021</v>
      </c>
      <c r="R1771" s="150">
        <v>0</v>
      </c>
      <c r="S1771" s="117" t="b">
        <f>OR(COUNTIF(Tabla2[[#This Row],[PROVEEDOR]],"*"&amp;'Palabra no opera'!$A$2&amp;"*"))</f>
        <v>0</v>
      </c>
      <c r="T1771" s="150">
        <f>+$W$5-Tabla2[[#This Row],[FECHA DE FACTURACIÓN]]</f>
        <v>601</v>
      </c>
      <c r="U1771" t="str">
        <f>+IF(Tabla2[[#This Row],[dias de credito]]&gt;=Tabla2[[#This Row],[PLAZO Días]],"venc", "No venc")</f>
        <v>venc</v>
      </c>
      <c r="V1771" t="str">
        <f>+IF(Tabla2[[#This Row],[FECHA DE PAGO]]&gt;0,"pagada","por pagar")</f>
        <v>pagada</v>
      </c>
      <c r="W1771" s="152" t="str">
        <f>+IF(AND(Tabla2[[#This Row],[venc]]="venc",Tabla2[[#This Row],[Columna1]]="por pagar"),"vencida","no")</f>
        <v>no</v>
      </c>
    </row>
    <row r="1772" spans="1:23" x14ac:dyDescent="0.3">
      <c r="A1772">
        <v>30</v>
      </c>
      <c r="B1772">
        <v>0</v>
      </c>
      <c r="D1772" t="s">
        <v>1653</v>
      </c>
      <c r="E1772" s="156">
        <v>44271</v>
      </c>
      <c r="F1772" t="s">
        <v>24</v>
      </c>
      <c r="G1772" s="156">
        <v>44211</v>
      </c>
      <c r="H1772" t="s">
        <v>134</v>
      </c>
      <c r="I1772">
        <v>555000</v>
      </c>
      <c r="K1772">
        <v>105450</v>
      </c>
      <c r="M1772">
        <v>0</v>
      </c>
      <c r="N1772">
        <v>0</v>
      </c>
      <c r="O1772">
        <v>0</v>
      </c>
      <c r="P1772" s="117">
        <v>660450</v>
      </c>
      <c r="Q1772" s="117" t="s">
        <v>1021</v>
      </c>
      <c r="R1772" s="150">
        <v>0</v>
      </c>
      <c r="S1772" s="117" t="b">
        <f>OR(COUNTIF(Tabla2[[#This Row],[PROVEEDOR]],"*"&amp;'Palabra no opera'!$A$2&amp;"*"))</f>
        <v>0</v>
      </c>
      <c r="T1772" s="150">
        <f>+$W$5-Tabla2[[#This Row],[FECHA DE FACTURACIÓN]]</f>
        <v>623</v>
      </c>
      <c r="U1772" t="str">
        <f>+IF(Tabla2[[#This Row],[dias de credito]]&gt;=Tabla2[[#This Row],[PLAZO Días]],"venc", "No venc")</f>
        <v>venc</v>
      </c>
      <c r="V1772" t="str">
        <f>+IF(Tabla2[[#This Row],[FECHA DE PAGO]]&gt;0,"pagada","por pagar")</f>
        <v>pagada</v>
      </c>
      <c r="W1772" s="152" t="str">
        <f>+IF(AND(Tabla2[[#This Row],[venc]]="venc",Tabla2[[#This Row],[Columna1]]="por pagar"),"vencida","no")</f>
        <v>no</v>
      </c>
    </row>
    <row r="1773" spans="1:23" x14ac:dyDescent="0.3">
      <c r="A1773">
        <v>30</v>
      </c>
      <c r="B1773">
        <v>0</v>
      </c>
      <c r="D1773" t="s">
        <v>622</v>
      </c>
      <c r="E1773" s="156">
        <v>44271</v>
      </c>
      <c r="F1773" t="s">
        <v>623</v>
      </c>
      <c r="G1773" s="156">
        <v>44183</v>
      </c>
      <c r="H1773">
        <v>538</v>
      </c>
      <c r="I1773">
        <v>3268500</v>
      </c>
      <c r="K1773">
        <v>0</v>
      </c>
      <c r="M1773">
        <v>0</v>
      </c>
      <c r="N1773">
        <v>0</v>
      </c>
      <c r="O1773">
        <v>0</v>
      </c>
      <c r="P1773" s="117">
        <v>3268500</v>
      </c>
      <c r="Q1773" s="117" t="s">
        <v>1021</v>
      </c>
      <c r="R1773" s="150">
        <v>0</v>
      </c>
      <c r="S1773" s="117" t="b">
        <f>OR(COUNTIF(Tabla2[[#This Row],[PROVEEDOR]],"*"&amp;'Palabra no opera'!$A$2&amp;"*"))</f>
        <v>0</v>
      </c>
      <c r="T1773" s="150">
        <f>+$W$5-Tabla2[[#This Row],[FECHA DE FACTURACIÓN]]</f>
        <v>651</v>
      </c>
      <c r="U1773" t="str">
        <f>+IF(Tabla2[[#This Row],[dias de credito]]&gt;=Tabla2[[#This Row],[PLAZO Días]],"venc", "No venc")</f>
        <v>venc</v>
      </c>
      <c r="V1773" t="str">
        <f>+IF(Tabla2[[#This Row],[FECHA DE PAGO]]&gt;0,"pagada","por pagar")</f>
        <v>pagada</v>
      </c>
      <c r="W1773" s="152" t="str">
        <f>+IF(AND(Tabla2[[#This Row],[venc]]="venc",Tabla2[[#This Row],[Columna1]]="por pagar"),"vencida","no")</f>
        <v>no</v>
      </c>
    </row>
    <row r="1774" spans="1:23" x14ac:dyDescent="0.3">
      <c r="A1774">
        <v>10</v>
      </c>
      <c r="B1774">
        <v>0</v>
      </c>
      <c r="D1774" t="s">
        <v>139</v>
      </c>
      <c r="E1774" s="156">
        <v>44270</v>
      </c>
      <c r="F1774" t="s">
        <v>23</v>
      </c>
      <c r="G1774" s="156">
        <v>44265</v>
      </c>
      <c r="H1774">
        <v>280663</v>
      </c>
      <c r="I1774">
        <v>7538400</v>
      </c>
      <c r="K1774">
        <v>0</v>
      </c>
      <c r="M1774">
        <v>0</v>
      </c>
      <c r="N1774">
        <v>0</v>
      </c>
      <c r="O1774">
        <v>0</v>
      </c>
      <c r="P1774" s="117">
        <v>7538400</v>
      </c>
      <c r="Q1774" s="117" t="s">
        <v>1021</v>
      </c>
      <c r="R1774" s="150">
        <v>0</v>
      </c>
      <c r="S1774" s="117" t="b">
        <f>OR(COUNTIF(Tabla2[[#This Row],[PROVEEDOR]],"*"&amp;'Palabra no opera'!$A$2&amp;"*"))</f>
        <v>0</v>
      </c>
      <c r="T1774" s="150">
        <f>+$W$5-Tabla2[[#This Row],[FECHA DE FACTURACIÓN]]</f>
        <v>569</v>
      </c>
      <c r="U1774" t="str">
        <f>+IF(Tabla2[[#This Row],[dias de credito]]&gt;=Tabla2[[#This Row],[PLAZO Días]],"venc", "No venc")</f>
        <v>venc</v>
      </c>
      <c r="V1774" t="str">
        <f>+IF(Tabla2[[#This Row],[FECHA DE PAGO]]&gt;0,"pagada","por pagar")</f>
        <v>pagada</v>
      </c>
      <c r="W1774" s="152" t="str">
        <f>+IF(AND(Tabla2[[#This Row],[venc]]="venc",Tabla2[[#This Row],[Columna1]]="por pagar"),"vencida","no")</f>
        <v>no</v>
      </c>
    </row>
    <row r="1775" spans="1:23" x14ac:dyDescent="0.3">
      <c r="A1775">
        <v>30</v>
      </c>
      <c r="B1775">
        <v>0</v>
      </c>
      <c r="D1775" t="s">
        <v>255</v>
      </c>
      <c r="E1775" s="156">
        <v>44265</v>
      </c>
      <c r="F1775" t="s">
        <v>137</v>
      </c>
      <c r="G1775" s="156">
        <v>44217</v>
      </c>
      <c r="H1775">
        <v>9769</v>
      </c>
      <c r="I1775">
        <v>451800</v>
      </c>
      <c r="K1775">
        <v>0</v>
      </c>
      <c r="M1775">
        <v>0</v>
      </c>
      <c r="N1775">
        <v>0</v>
      </c>
      <c r="O1775">
        <v>0</v>
      </c>
      <c r="P1775" s="117">
        <v>451800</v>
      </c>
      <c r="Q1775" s="117" t="s">
        <v>1021</v>
      </c>
      <c r="R1775" s="150">
        <v>0</v>
      </c>
      <c r="S1775" s="117" t="b">
        <f>OR(COUNTIF(Tabla2[[#This Row],[PROVEEDOR]],"*"&amp;'Palabra no opera'!$A$2&amp;"*"))</f>
        <v>0</v>
      </c>
      <c r="T1775" s="150">
        <f>+$W$5-Tabla2[[#This Row],[FECHA DE FACTURACIÓN]]</f>
        <v>617</v>
      </c>
      <c r="U1775" t="str">
        <f>+IF(Tabla2[[#This Row],[dias de credito]]&gt;=Tabla2[[#This Row],[PLAZO Días]],"venc", "No venc")</f>
        <v>venc</v>
      </c>
      <c r="V1775" t="str">
        <f>+IF(Tabla2[[#This Row],[FECHA DE PAGO]]&gt;0,"pagada","por pagar")</f>
        <v>pagada</v>
      </c>
      <c r="W1775" s="152" t="str">
        <f>+IF(AND(Tabla2[[#This Row],[venc]]="venc",Tabla2[[#This Row],[Columna1]]="por pagar"),"vencida","no")</f>
        <v>no</v>
      </c>
    </row>
    <row r="1776" spans="1:23" x14ac:dyDescent="0.3">
      <c r="A1776">
        <v>30</v>
      </c>
      <c r="B1776">
        <v>0</v>
      </c>
      <c r="D1776" t="s">
        <v>139</v>
      </c>
      <c r="E1776" s="156">
        <v>44264</v>
      </c>
      <c r="F1776" t="s">
        <v>673</v>
      </c>
      <c r="G1776" s="156">
        <v>44264</v>
      </c>
      <c r="I1776">
        <v>1000000</v>
      </c>
      <c r="K1776">
        <v>0</v>
      </c>
      <c r="M1776">
        <v>0</v>
      </c>
      <c r="N1776">
        <v>0</v>
      </c>
      <c r="O1776">
        <v>0</v>
      </c>
      <c r="P1776" s="117">
        <v>1000000</v>
      </c>
      <c r="Q1776" s="117" t="s">
        <v>1021</v>
      </c>
      <c r="R1776" s="150">
        <v>0</v>
      </c>
      <c r="S1776" s="117" t="b">
        <f>OR(COUNTIF(Tabla2[[#This Row],[PROVEEDOR]],"*"&amp;'Palabra no opera'!$A$2&amp;"*"))</f>
        <v>0</v>
      </c>
      <c r="T1776" s="150">
        <f>+$W$5-Tabla2[[#This Row],[FECHA DE FACTURACIÓN]]</f>
        <v>570</v>
      </c>
      <c r="U1776" t="str">
        <f>+IF(Tabla2[[#This Row],[dias de credito]]&gt;=Tabla2[[#This Row],[PLAZO Días]],"venc", "No venc")</f>
        <v>venc</v>
      </c>
      <c r="V1776" t="str">
        <f>+IF(Tabla2[[#This Row],[FECHA DE PAGO]]&gt;0,"pagada","por pagar")</f>
        <v>pagada</v>
      </c>
      <c r="W1776" s="152" t="str">
        <f>+IF(AND(Tabla2[[#This Row],[venc]]="venc",Tabla2[[#This Row],[Columna1]]="por pagar"),"vencida","no")</f>
        <v>no</v>
      </c>
    </row>
    <row r="1777" spans="1:23" x14ac:dyDescent="0.3">
      <c r="A1777">
        <v>30</v>
      </c>
      <c r="B1777">
        <v>-101001.25</v>
      </c>
      <c r="D1777" t="s">
        <v>274</v>
      </c>
      <c r="E1777" s="156">
        <v>44264</v>
      </c>
      <c r="F1777" t="s">
        <v>14</v>
      </c>
      <c r="G1777" s="156">
        <v>44254</v>
      </c>
      <c r="H1777">
        <v>4881</v>
      </c>
      <c r="I1777">
        <v>377984</v>
      </c>
      <c r="K1777">
        <v>71816.960000000006</v>
      </c>
      <c r="M1777">
        <v>0</v>
      </c>
      <c r="N1777">
        <v>0</v>
      </c>
      <c r="O1777">
        <v>0</v>
      </c>
      <c r="P1777" s="117">
        <v>449800.96000000002</v>
      </c>
      <c r="Q1777" s="117" t="s">
        <v>1021</v>
      </c>
      <c r="R1777" s="150">
        <v>0</v>
      </c>
      <c r="S1777" s="117" t="b">
        <f>OR(COUNTIF(Tabla2[[#This Row],[PROVEEDOR]],"*"&amp;'Palabra no opera'!$A$2&amp;"*"))</f>
        <v>0</v>
      </c>
      <c r="T1777" s="150">
        <f>+$W$5-Tabla2[[#This Row],[FECHA DE FACTURACIÓN]]</f>
        <v>580</v>
      </c>
      <c r="U1777" t="str">
        <f>+IF(Tabla2[[#This Row],[dias de credito]]&gt;=Tabla2[[#This Row],[PLAZO Días]],"venc", "No venc")</f>
        <v>venc</v>
      </c>
      <c r="V1777" t="str">
        <f>+IF(Tabla2[[#This Row],[FECHA DE PAGO]]&gt;0,"pagada","por pagar")</f>
        <v>pagada</v>
      </c>
      <c r="W1777" s="152" t="str">
        <f>+IF(AND(Tabla2[[#This Row],[venc]]="venc",Tabla2[[#This Row],[Columna1]]="por pagar"),"vencida","no")</f>
        <v>no</v>
      </c>
    </row>
    <row r="1778" spans="1:23" x14ac:dyDescent="0.3">
      <c r="A1778">
        <v>30</v>
      </c>
      <c r="B1778">
        <v>0</v>
      </c>
      <c r="D1778" t="s">
        <v>1688</v>
      </c>
      <c r="E1778" s="156">
        <v>44264</v>
      </c>
      <c r="F1778" t="s">
        <v>928</v>
      </c>
      <c r="G1778" s="156">
        <v>44249</v>
      </c>
      <c r="H1778" t="s">
        <v>223</v>
      </c>
      <c r="I1778">
        <v>3023387</v>
      </c>
      <c r="K1778">
        <v>0</v>
      </c>
      <c r="M1778">
        <v>0</v>
      </c>
      <c r="N1778">
        <v>3.5000000000000003E-2</v>
      </c>
      <c r="O1778">
        <v>105818.54500000001</v>
      </c>
      <c r="P1778" s="117">
        <v>2917568.4550000001</v>
      </c>
      <c r="Q1778" s="117" t="s">
        <v>1021</v>
      </c>
      <c r="R1778" s="150">
        <v>0</v>
      </c>
      <c r="S1778" s="117" t="b">
        <f>OR(COUNTIF(Tabla2[[#This Row],[PROVEEDOR]],"*"&amp;'Palabra no opera'!$A$2&amp;"*"))</f>
        <v>1</v>
      </c>
      <c r="T1778" s="150">
        <f>+$W$5-Tabla2[[#This Row],[FECHA DE FACTURACIÓN]]</f>
        <v>585</v>
      </c>
      <c r="U1778" t="str">
        <f>+IF(Tabla2[[#This Row],[dias de credito]]&gt;=Tabla2[[#This Row],[PLAZO Días]],"venc", "No venc")</f>
        <v>venc</v>
      </c>
      <c r="V1778" t="str">
        <f>+IF(Tabla2[[#This Row],[FECHA DE PAGO]]&gt;0,"pagada","por pagar")</f>
        <v>pagada</v>
      </c>
      <c r="W1778" s="152" t="str">
        <f>+IF(AND(Tabla2[[#This Row],[venc]]="venc",Tabla2[[#This Row],[Columna1]]="por pagar"),"vencida","no")</f>
        <v>no</v>
      </c>
    </row>
    <row r="1779" spans="1:23" x14ac:dyDescent="0.3">
      <c r="A1779">
        <v>30</v>
      </c>
      <c r="B1779">
        <v>0</v>
      </c>
      <c r="D1779" t="s">
        <v>258</v>
      </c>
      <c r="E1779" s="156">
        <v>44264</v>
      </c>
      <c r="F1779" t="s">
        <v>667</v>
      </c>
      <c r="G1779" s="156">
        <v>44243</v>
      </c>
      <c r="H1779">
        <v>4110</v>
      </c>
      <c r="I1779">
        <v>530000</v>
      </c>
      <c r="K1779">
        <v>0</v>
      </c>
      <c r="M1779">
        <v>0</v>
      </c>
      <c r="N1779">
        <v>0</v>
      </c>
      <c r="O1779">
        <v>0</v>
      </c>
      <c r="P1779" s="117">
        <v>530000</v>
      </c>
      <c r="Q1779" s="117" t="s">
        <v>1021</v>
      </c>
      <c r="R1779" s="150">
        <v>0</v>
      </c>
      <c r="S1779" s="117" t="b">
        <f>OR(COUNTIF(Tabla2[[#This Row],[PROVEEDOR]],"*"&amp;'Palabra no opera'!$A$2&amp;"*"))</f>
        <v>0</v>
      </c>
      <c r="T1779" s="150">
        <f>+$W$5-Tabla2[[#This Row],[FECHA DE FACTURACIÓN]]</f>
        <v>591</v>
      </c>
      <c r="U1779" t="str">
        <f>+IF(Tabla2[[#This Row],[dias de credito]]&gt;=Tabla2[[#This Row],[PLAZO Días]],"venc", "No venc")</f>
        <v>venc</v>
      </c>
      <c r="V1779" t="str">
        <f>+IF(Tabla2[[#This Row],[FECHA DE PAGO]]&gt;0,"pagada","por pagar")</f>
        <v>pagada</v>
      </c>
      <c r="W1779" s="152" t="str">
        <f>+IF(AND(Tabla2[[#This Row],[venc]]="venc",Tabla2[[#This Row],[Columna1]]="por pagar"),"vencida","no")</f>
        <v>no</v>
      </c>
    </row>
    <row r="1780" spans="1:23" x14ac:dyDescent="0.3">
      <c r="A1780">
        <v>30</v>
      </c>
      <c r="B1780">
        <v>3450150</v>
      </c>
      <c r="D1780" t="s">
        <v>402</v>
      </c>
      <c r="E1780" s="156">
        <v>44264</v>
      </c>
      <c r="F1780" t="s">
        <v>691</v>
      </c>
      <c r="G1780" s="156">
        <v>44233</v>
      </c>
      <c r="H1780">
        <v>2617</v>
      </c>
      <c r="I1780">
        <v>2217650</v>
      </c>
      <c r="K1780">
        <v>0</v>
      </c>
      <c r="M1780">
        <v>0</v>
      </c>
      <c r="N1780">
        <v>0</v>
      </c>
      <c r="O1780">
        <v>0</v>
      </c>
      <c r="P1780" s="117">
        <v>2217650</v>
      </c>
      <c r="Q1780" s="117" t="s">
        <v>1021</v>
      </c>
      <c r="R1780" s="150">
        <v>0</v>
      </c>
      <c r="S1780" s="117" t="b">
        <f>OR(COUNTIF(Tabla2[[#This Row],[PROVEEDOR]],"*"&amp;'Palabra no opera'!$A$2&amp;"*"))</f>
        <v>0</v>
      </c>
      <c r="T1780" s="150">
        <f>+$W$5-Tabla2[[#This Row],[FECHA DE FACTURACIÓN]]</f>
        <v>601</v>
      </c>
      <c r="U1780" t="str">
        <f>+IF(Tabla2[[#This Row],[dias de credito]]&gt;=Tabla2[[#This Row],[PLAZO Días]],"venc", "No venc")</f>
        <v>venc</v>
      </c>
      <c r="V1780" t="str">
        <f>+IF(Tabla2[[#This Row],[FECHA DE PAGO]]&gt;0,"pagada","por pagar")</f>
        <v>pagada</v>
      </c>
      <c r="W1780" s="152" t="str">
        <f>+IF(AND(Tabla2[[#This Row],[venc]]="venc",Tabla2[[#This Row],[Columna1]]="por pagar"),"vencida","no")</f>
        <v>no</v>
      </c>
    </row>
    <row r="1781" spans="1:23" x14ac:dyDescent="0.3">
      <c r="A1781">
        <v>30</v>
      </c>
      <c r="B1781">
        <v>3450150</v>
      </c>
      <c r="D1781" t="s">
        <v>402</v>
      </c>
      <c r="E1781" s="156">
        <v>44264</v>
      </c>
      <c r="F1781" t="s">
        <v>691</v>
      </c>
      <c r="G1781" s="156">
        <v>44230</v>
      </c>
      <c r="H1781" t="s">
        <v>179</v>
      </c>
      <c r="I1781">
        <v>-68000</v>
      </c>
      <c r="K1781">
        <v>0</v>
      </c>
      <c r="M1781">
        <v>0</v>
      </c>
      <c r="N1781">
        <v>0</v>
      </c>
      <c r="O1781">
        <v>0</v>
      </c>
      <c r="P1781" s="117">
        <v>-68000</v>
      </c>
      <c r="Q1781" s="117" t="s">
        <v>1021</v>
      </c>
      <c r="R1781" s="150">
        <v>0</v>
      </c>
      <c r="S1781" s="117" t="b">
        <f>OR(COUNTIF(Tabla2[[#This Row],[PROVEEDOR]],"*"&amp;'Palabra no opera'!$A$2&amp;"*"))</f>
        <v>0</v>
      </c>
      <c r="T1781" s="150">
        <f>+$W$5-Tabla2[[#This Row],[FECHA DE FACTURACIÓN]]</f>
        <v>604</v>
      </c>
      <c r="U1781" t="str">
        <f>+IF(Tabla2[[#This Row],[dias de credito]]&gt;=Tabla2[[#This Row],[PLAZO Días]],"venc", "No venc")</f>
        <v>venc</v>
      </c>
      <c r="V1781" t="str">
        <f>+IF(Tabla2[[#This Row],[FECHA DE PAGO]]&gt;0,"pagada","por pagar")</f>
        <v>pagada</v>
      </c>
      <c r="W1781" s="152" t="str">
        <f>+IF(AND(Tabla2[[#This Row],[venc]]="venc",Tabla2[[#This Row],[Columna1]]="por pagar"),"vencida","no")</f>
        <v>no</v>
      </c>
    </row>
    <row r="1782" spans="1:23" x14ac:dyDescent="0.3">
      <c r="A1782">
        <v>30</v>
      </c>
      <c r="B1782">
        <v>3450150</v>
      </c>
      <c r="D1782" t="s">
        <v>402</v>
      </c>
      <c r="E1782" s="156">
        <v>44264</v>
      </c>
      <c r="F1782" t="s">
        <v>691</v>
      </c>
      <c r="G1782" s="156">
        <v>44230</v>
      </c>
      <c r="H1782">
        <v>2610</v>
      </c>
      <c r="I1782">
        <v>483550</v>
      </c>
      <c r="K1782">
        <v>0</v>
      </c>
      <c r="M1782">
        <v>0</v>
      </c>
      <c r="N1782">
        <v>0</v>
      </c>
      <c r="O1782">
        <v>0</v>
      </c>
      <c r="P1782" s="117">
        <v>483550</v>
      </c>
      <c r="Q1782" s="117" t="s">
        <v>1021</v>
      </c>
      <c r="R1782" s="150">
        <v>0</v>
      </c>
      <c r="S1782" s="117" t="b">
        <f>OR(COUNTIF(Tabla2[[#This Row],[PROVEEDOR]],"*"&amp;'Palabra no opera'!$A$2&amp;"*"))</f>
        <v>0</v>
      </c>
      <c r="T1782" s="150">
        <f>+$W$5-Tabla2[[#This Row],[FECHA DE FACTURACIÓN]]</f>
        <v>604</v>
      </c>
      <c r="U1782" t="str">
        <f>+IF(Tabla2[[#This Row],[dias de credito]]&gt;=Tabla2[[#This Row],[PLAZO Días]],"venc", "No venc")</f>
        <v>venc</v>
      </c>
      <c r="V1782" t="str">
        <f>+IF(Tabla2[[#This Row],[FECHA DE PAGO]]&gt;0,"pagada","por pagar")</f>
        <v>pagada</v>
      </c>
      <c r="W1782" s="152" t="str">
        <f>+IF(AND(Tabla2[[#This Row],[venc]]="venc",Tabla2[[#This Row],[Columna1]]="por pagar"),"vencida","no")</f>
        <v>no</v>
      </c>
    </row>
    <row r="1783" spans="1:23" x14ac:dyDescent="0.3">
      <c r="A1783">
        <v>30</v>
      </c>
      <c r="B1783">
        <v>3450150</v>
      </c>
      <c r="D1783" t="s">
        <v>402</v>
      </c>
      <c r="E1783" s="156">
        <v>44264</v>
      </c>
      <c r="F1783" t="s">
        <v>691</v>
      </c>
      <c r="G1783" s="156">
        <v>44230</v>
      </c>
      <c r="H1783">
        <v>2609</v>
      </c>
      <c r="I1783">
        <v>849850</v>
      </c>
      <c r="K1783">
        <v>0</v>
      </c>
      <c r="M1783">
        <v>0</v>
      </c>
      <c r="N1783">
        <v>0</v>
      </c>
      <c r="O1783">
        <v>0</v>
      </c>
      <c r="P1783" s="117">
        <v>849850</v>
      </c>
      <c r="Q1783" s="117" t="s">
        <v>1021</v>
      </c>
      <c r="R1783" s="150">
        <v>0</v>
      </c>
      <c r="S1783" s="117" t="b">
        <f>OR(COUNTIF(Tabla2[[#This Row],[PROVEEDOR]],"*"&amp;'Palabra no opera'!$A$2&amp;"*"))</f>
        <v>0</v>
      </c>
      <c r="T1783" s="150">
        <f>+$W$5-Tabla2[[#This Row],[FECHA DE FACTURACIÓN]]</f>
        <v>604</v>
      </c>
      <c r="U1783" t="str">
        <f>+IF(Tabla2[[#This Row],[dias de credito]]&gt;=Tabla2[[#This Row],[PLAZO Días]],"venc", "No venc")</f>
        <v>venc</v>
      </c>
      <c r="V1783" t="str">
        <f>+IF(Tabla2[[#This Row],[FECHA DE PAGO]]&gt;0,"pagada","por pagar")</f>
        <v>pagada</v>
      </c>
      <c r="W1783" s="152" t="str">
        <f>+IF(AND(Tabla2[[#This Row],[venc]]="venc",Tabla2[[#This Row],[Columna1]]="por pagar"),"vencida","no")</f>
        <v>no</v>
      </c>
    </row>
    <row r="1784" spans="1:23" x14ac:dyDescent="0.3">
      <c r="A1784">
        <v>30</v>
      </c>
      <c r="B1784">
        <v>4656887.12</v>
      </c>
      <c r="D1784" t="s">
        <v>170</v>
      </c>
      <c r="E1784" s="156">
        <v>44264</v>
      </c>
      <c r="F1784" t="s">
        <v>20</v>
      </c>
      <c r="G1784" s="156">
        <v>44229</v>
      </c>
      <c r="H1784">
        <v>3224</v>
      </c>
      <c r="I1784">
        <v>43740</v>
      </c>
      <c r="K1784">
        <v>8310.6</v>
      </c>
      <c r="M1784">
        <v>0</v>
      </c>
      <c r="N1784">
        <v>0</v>
      </c>
      <c r="O1784">
        <v>0</v>
      </c>
      <c r="P1784" s="117">
        <v>52050.6</v>
      </c>
      <c r="Q1784" s="117" t="s">
        <v>1021</v>
      </c>
      <c r="R1784" s="150">
        <v>0</v>
      </c>
      <c r="S1784" s="117" t="b">
        <f>OR(COUNTIF(Tabla2[[#This Row],[PROVEEDOR]],"*"&amp;'Palabra no opera'!$A$2&amp;"*"))</f>
        <v>0</v>
      </c>
      <c r="T1784" s="150">
        <f>+$W$5-Tabla2[[#This Row],[FECHA DE FACTURACIÓN]]</f>
        <v>605</v>
      </c>
      <c r="U1784" t="str">
        <f>+IF(Tabla2[[#This Row],[dias de credito]]&gt;=Tabla2[[#This Row],[PLAZO Días]],"venc", "No venc")</f>
        <v>venc</v>
      </c>
      <c r="V1784" t="str">
        <f>+IF(Tabla2[[#This Row],[FECHA DE PAGO]]&gt;0,"pagada","por pagar")</f>
        <v>pagada</v>
      </c>
      <c r="W1784" s="152" t="str">
        <f>+IF(AND(Tabla2[[#This Row],[venc]]="venc",Tabla2[[#This Row],[Columna1]]="por pagar"),"vencida","no")</f>
        <v>no</v>
      </c>
    </row>
    <row r="1785" spans="1:23" x14ac:dyDescent="0.3">
      <c r="A1785">
        <v>30</v>
      </c>
      <c r="B1785">
        <v>5225000</v>
      </c>
      <c r="D1785" t="s">
        <v>139</v>
      </c>
      <c r="E1785" s="156">
        <v>44264</v>
      </c>
      <c r="F1785" t="s">
        <v>629</v>
      </c>
      <c r="G1785" s="156">
        <v>44217</v>
      </c>
      <c r="H1785">
        <v>1416</v>
      </c>
      <c r="I1785">
        <v>1100000</v>
      </c>
      <c r="K1785">
        <v>0</v>
      </c>
      <c r="M1785">
        <v>0</v>
      </c>
      <c r="N1785">
        <v>0</v>
      </c>
      <c r="O1785">
        <v>0</v>
      </c>
      <c r="P1785" s="117">
        <v>1100000</v>
      </c>
      <c r="Q1785" s="117" t="s">
        <v>1021</v>
      </c>
      <c r="R1785" s="150">
        <v>0</v>
      </c>
      <c r="S1785" s="117" t="b">
        <f>OR(COUNTIF(Tabla2[[#This Row],[PROVEEDOR]],"*"&amp;'Palabra no opera'!$A$2&amp;"*"))</f>
        <v>0</v>
      </c>
      <c r="T1785" s="150">
        <f>+$W$5-Tabla2[[#This Row],[FECHA DE FACTURACIÓN]]</f>
        <v>617</v>
      </c>
      <c r="U1785" t="str">
        <f>+IF(Tabla2[[#This Row],[dias de credito]]&gt;=Tabla2[[#This Row],[PLAZO Días]],"venc", "No venc")</f>
        <v>venc</v>
      </c>
      <c r="V1785" t="str">
        <f>+IF(Tabla2[[#This Row],[FECHA DE PAGO]]&gt;0,"pagada","por pagar")</f>
        <v>pagada</v>
      </c>
      <c r="W1785" s="152" t="str">
        <f>+IF(AND(Tabla2[[#This Row],[venc]]="venc",Tabla2[[#This Row],[Columna1]]="por pagar"),"vencida","no")</f>
        <v>no</v>
      </c>
    </row>
    <row r="1786" spans="1:23" x14ac:dyDescent="0.3">
      <c r="A1786">
        <v>30</v>
      </c>
      <c r="B1786">
        <v>4656887.12</v>
      </c>
      <c r="D1786" t="s">
        <v>170</v>
      </c>
      <c r="E1786" s="156">
        <v>44264</v>
      </c>
      <c r="F1786" t="s">
        <v>20</v>
      </c>
      <c r="G1786" s="156">
        <v>44216</v>
      </c>
      <c r="H1786">
        <v>3129</v>
      </c>
      <c r="I1786">
        <v>979579</v>
      </c>
      <c r="K1786">
        <v>186120.01</v>
      </c>
      <c r="M1786">
        <v>0</v>
      </c>
      <c r="N1786">
        <v>0</v>
      </c>
      <c r="O1786">
        <v>0</v>
      </c>
      <c r="P1786" s="117">
        <v>1165699.01</v>
      </c>
      <c r="Q1786" s="117" t="s">
        <v>1021</v>
      </c>
      <c r="R1786" s="150">
        <v>0</v>
      </c>
      <c r="S1786" s="117" t="b">
        <f>OR(COUNTIF(Tabla2[[#This Row],[PROVEEDOR]],"*"&amp;'Palabra no opera'!$A$2&amp;"*"))</f>
        <v>0</v>
      </c>
      <c r="T1786" s="150">
        <f>+$W$5-Tabla2[[#This Row],[FECHA DE FACTURACIÓN]]</f>
        <v>618</v>
      </c>
      <c r="U1786" t="str">
        <f>+IF(Tabla2[[#This Row],[dias de credito]]&gt;=Tabla2[[#This Row],[PLAZO Días]],"venc", "No venc")</f>
        <v>venc</v>
      </c>
      <c r="V1786" t="str">
        <f>+IF(Tabla2[[#This Row],[FECHA DE PAGO]]&gt;0,"pagada","por pagar")</f>
        <v>pagada</v>
      </c>
      <c r="W1786" s="152" t="str">
        <f>+IF(AND(Tabla2[[#This Row],[venc]]="venc",Tabla2[[#This Row],[Columna1]]="por pagar"),"vencida","no")</f>
        <v>no</v>
      </c>
    </row>
    <row r="1787" spans="1:23" x14ac:dyDescent="0.3">
      <c r="A1787">
        <v>45</v>
      </c>
      <c r="B1787">
        <v>30078253.170000002</v>
      </c>
      <c r="D1787" t="s">
        <v>884</v>
      </c>
      <c r="E1787" s="156">
        <v>44264</v>
      </c>
      <c r="F1787" t="s">
        <v>19</v>
      </c>
      <c r="G1787" s="156">
        <v>44214</v>
      </c>
      <c r="H1787" t="s">
        <v>135</v>
      </c>
      <c r="I1787">
        <v>595470</v>
      </c>
      <c r="K1787">
        <v>113139.3</v>
      </c>
      <c r="M1787">
        <v>0</v>
      </c>
      <c r="N1787">
        <v>0</v>
      </c>
      <c r="O1787">
        <v>0</v>
      </c>
      <c r="P1787" s="117">
        <v>708609.3</v>
      </c>
      <c r="Q1787" s="117" t="s">
        <v>1021</v>
      </c>
      <c r="R1787" s="150">
        <v>0</v>
      </c>
      <c r="S1787" s="117" t="b">
        <f>OR(COUNTIF(Tabla2[[#This Row],[PROVEEDOR]],"*"&amp;'Palabra no opera'!$A$2&amp;"*"))</f>
        <v>0</v>
      </c>
      <c r="T1787" s="150">
        <f>+$W$5-Tabla2[[#This Row],[FECHA DE FACTURACIÓN]]</f>
        <v>620</v>
      </c>
      <c r="U1787" t="str">
        <f>+IF(Tabla2[[#This Row],[dias de credito]]&gt;=Tabla2[[#This Row],[PLAZO Días]],"venc", "No venc")</f>
        <v>venc</v>
      </c>
      <c r="V1787" t="str">
        <f>+IF(Tabla2[[#This Row],[FECHA DE PAGO]]&gt;0,"pagada","por pagar")</f>
        <v>pagada</v>
      </c>
      <c r="W1787" s="152" t="str">
        <f>+IF(AND(Tabla2[[#This Row],[venc]]="venc",Tabla2[[#This Row],[Columna1]]="por pagar"),"vencida","no")</f>
        <v>no</v>
      </c>
    </row>
    <row r="1788" spans="1:23" x14ac:dyDescent="0.3">
      <c r="A1788">
        <v>45</v>
      </c>
      <c r="B1788">
        <v>30078253.170000002</v>
      </c>
      <c r="D1788" t="s">
        <v>884</v>
      </c>
      <c r="E1788" s="156">
        <v>44264</v>
      </c>
      <c r="F1788" t="s">
        <v>19</v>
      </c>
      <c r="G1788" s="156">
        <v>44211</v>
      </c>
      <c r="H1788" t="s">
        <v>232</v>
      </c>
      <c r="I1788">
        <v>23000</v>
      </c>
      <c r="K1788">
        <v>4370</v>
      </c>
      <c r="M1788">
        <v>0</v>
      </c>
      <c r="N1788">
        <v>0</v>
      </c>
      <c r="O1788">
        <v>0</v>
      </c>
      <c r="P1788" s="117">
        <v>27370</v>
      </c>
      <c r="Q1788" s="117" t="s">
        <v>1021</v>
      </c>
      <c r="R1788" s="150">
        <v>0</v>
      </c>
      <c r="S1788" s="117" t="b">
        <f>OR(COUNTIF(Tabla2[[#This Row],[PROVEEDOR]],"*"&amp;'Palabra no opera'!$A$2&amp;"*"))</f>
        <v>0</v>
      </c>
      <c r="T1788" s="150">
        <f>+$W$5-Tabla2[[#This Row],[FECHA DE FACTURACIÓN]]</f>
        <v>623</v>
      </c>
      <c r="U1788" t="str">
        <f>+IF(Tabla2[[#This Row],[dias de credito]]&gt;=Tabla2[[#This Row],[PLAZO Días]],"venc", "No venc")</f>
        <v>venc</v>
      </c>
      <c r="V1788" t="str">
        <f>+IF(Tabla2[[#This Row],[FECHA DE PAGO]]&gt;0,"pagada","por pagar")</f>
        <v>pagada</v>
      </c>
      <c r="W1788" s="152" t="str">
        <f>+IF(AND(Tabla2[[#This Row],[venc]]="venc",Tabla2[[#This Row],[Columna1]]="por pagar"),"vencida","no")</f>
        <v>no</v>
      </c>
    </row>
    <row r="1789" spans="1:23" x14ac:dyDescent="0.3">
      <c r="A1789">
        <v>30</v>
      </c>
      <c r="B1789">
        <v>5225000</v>
      </c>
      <c r="D1789" t="s">
        <v>139</v>
      </c>
      <c r="E1789" s="156">
        <v>44264</v>
      </c>
      <c r="F1789" t="s">
        <v>629</v>
      </c>
      <c r="G1789" s="156">
        <v>44210</v>
      </c>
      <c r="H1789" t="s">
        <v>1184</v>
      </c>
      <c r="I1789">
        <v>534000</v>
      </c>
      <c r="K1789">
        <v>0</v>
      </c>
      <c r="M1789">
        <v>0</v>
      </c>
      <c r="N1789">
        <v>0</v>
      </c>
      <c r="O1789">
        <v>0</v>
      </c>
      <c r="P1789" s="117">
        <v>534000</v>
      </c>
      <c r="Q1789" s="117" t="s">
        <v>1021</v>
      </c>
      <c r="R1789" s="150">
        <v>0</v>
      </c>
      <c r="S1789" s="117" t="b">
        <f>OR(COUNTIF(Tabla2[[#This Row],[PROVEEDOR]],"*"&amp;'Palabra no opera'!$A$2&amp;"*"))</f>
        <v>0</v>
      </c>
      <c r="T1789" s="150">
        <f>+$W$5-Tabla2[[#This Row],[FECHA DE FACTURACIÓN]]</f>
        <v>624</v>
      </c>
      <c r="U1789" t="str">
        <f>+IF(Tabla2[[#This Row],[dias de credito]]&gt;=Tabla2[[#This Row],[PLAZO Días]],"venc", "No venc")</f>
        <v>venc</v>
      </c>
      <c r="V1789" t="str">
        <f>+IF(Tabla2[[#This Row],[FECHA DE PAGO]]&gt;0,"pagada","por pagar")</f>
        <v>pagada</v>
      </c>
      <c r="W1789" s="152" t="str">
        <f>+IF(AND(Tabla2[[#This Row],[venc]]="venc",Tabla2[[#This Row],[Columna1]]="por pagar"),"vencida","no")</f>
        <v>no</v>
      </c>
    </row>
    <row r="1790" spans="1:23" x14ac:dyDescent="0.3">
      <c r="A1790">
        <v>30</v>
      </c>
      <c r="B1790">
        <v>1580500</v>
      </c>
      <c r="D1790" t="s">
        <v>139</v>
      </c>
      <c r="E1790" s="156">
        <v>44264</v>
      </c>
      <c r="F1790" t="s">
        <v>686</v>
      </c>
      <c r="G1790" s="156">
        <v>44210</v>
      </c>
      <c r="H1790">
        <v>757</v>
      </c>
      <c r="I1790">
        <v>990500</v>
      </c>
      <c r="K1790">
        <v>0</v>
      </c>
      <c r="M1790">
        <v>0</v>
      </c>
      <c r="N1790">
        <v>0</v>
      </c>
      <c r="O1790">
        <v>0</v>
      </c>
      <c r="P1790" s="117">
        <v>990500</v>
      </c>
      <c r="Q1790" s="117" t="s">
        <v>1021</v>
      </c>
      <c r="R1790" s="150">
        <v>0</v>
      </c>
      <c r="S1790" s="117" t="b">
        <f>OR(COUNTIF(Tabla2[[#This Row],[PROVEEDOR]],"*"&amp;'Palabra no opera'!$A$2&amp;"*"))</f>
        <v>0</v>
      </c>
      <c r="T1790" s="150">
        <f>+$W$5-Tabla2[[#This Row],[FECHA DE FACTURACIÓN]]</f>
        <v>624</v>
      </c>
      <c r="U1790" t="str">
        <f>+IF(Tabla2[[#This Row],[dias de credito]]&gt;=Tabla2[[#This Row],[PLAZO Días]],"venc", "No venc")</f>
        <v>venc</v>
      </c>
      <c r="V1790" t="str">
        <f>+IF(Tabla2[[#This Row],[FECHA DE PAGO]]&gt;0,"pagada","por pagar")</f>
        <v>pagada</v>
      </c>
      <c r="W1790" s="152" t="str">
        <f>+IF(AND(Tabla2[[#This Row],[venc]]="venc",Tabla2[[#This Row],[Columna1]]="por pagar"),"vencida","no")</f>
        <v>no</v>
      </c>
    </row>
    <row r="1791" spans="1:23" x14ac:dyDescent="0.3">
      <c r="A1791">
        <v>30</v>
      </c>
      <c r="B1791">
        <v>0</v>
      </c>
      <c r="D1791" t="s">
        <v>139</v>
      </c>
      <c r="E1791" s="156">
        <v>44258</v>
      </c>
      <c r="F1791" t="s">
        <v>673</v>
      </c>
      <c r="G1791" s="156">
        <v>44258</v>
      </c>
      <c r="I1791">
        <v>1000000</v>
      </c>
      <c r="K1791">
        <v>0</v>
      </c>
      <c r="M1791">
        <v>0</v>
      </c>
      <c r="N1791">
        <v>0</v>
      </c>
      <c r="O1791">
        <v>0</v>
      </c>
      <c r="P1791" s="117">
        <v>1000000</v>
      </c>
      <c r="Q1791" s="117" t="s">
        <v>1021</v>
      </c>
      <c r="R1791" s="150">
        <v>0</v>
      </c>
      <c r="S1791" s="117" t="b">
        <f>OR(COUNTIF(Tabla2[[#This Row],[PROVEEDOR]],"*"&amp;'Palabra no opera'!$A$2&amp;"*"))</f>
        <v>0</v>
      </c>
      <c r="T1791" s="150">
        <f>+$W$5-Tabla2[[#This Row],[FECHA DE FACTURACIÓN]]</f>
        <v>576</v>
      </c>
      <c r="U1791" t="str">
        <f>+IF(Tabla2[[#This Row],[dias de credito]]&gt;=Tabla2[[#This Row],[PLAZO Días]],"venc", "No venc")</f>
        <v>venc</v>
      </c>
      <c r="V1791" t="str">
        <f>+IF(Tabla2[[#This Row],[FECHA DE PAGO]]&gt;0,"pagada","por pagar")</f>
        <v>pagada</v>
      </c>
      <c r="W1791" s="152" t="str">
        <f>+IF(AND(Tabla2[[#This Row],[venc]]="venc",Tabla2[[#This Row],[Columna1]]="por pagar"),"vencida","no")</f>
        <v>no</v>
      </c>
    </row>
    <row r="1792" spans="1:23" x14ac:dyDescent="0.3">
      <c r="A1792">
        <v>30</v>
      </c>
      <c r="B1792">
        <v>0</v>
      </c>
      <c r="D1792" t="s">
        <v>270</v>
      </c>
      <c r="E1792" s="156">
        <v>44258</v>
      </c>
      <c r="F1792" t="s">
        <v>39</v>
      </c>
      <c r="G1792" s="156">
        <v>44214</v>
      </c>
      <c r="H1792">
        <v>216</v>
      </c>
      <c r="I1792">
        <v>262800</v>
      </c>
      <c r="K1792">
        <v>49932</v>
      </c>
      <c r="M1792">
        <v>0</v>
      </c>
      <c r="N1792">
        <v>0</v>
      </c>
      <c r="O1792">
        <v>0</v>
      </c>
      <c r="P1792" s="117">
        <v>312732</v>
      </c>
      <c r="Q1792" s="117" t="s">
        <v>1021</v>
      </c>
      <c r="R1792" s="150">
        <v>0</v>
      </c>
      <c r="S1792" s="117" t="b">
        <f>OR(COUNTIF(Tabla2[[#This Row],[PROVEEDOR]],"*"&amp;'Palabra no opera'!$A$2&amp;"*"))</f>
        <v>0</v>
      </c>
      <c r="T1792" s="150">
        <f>+$W$5-Tabla2[[#This Row],[FECHA DE FACTURACIÓN]]</f>
        <v>620</v>
      </c>
      <c r="U1792" t="str">
        <f>+IF(Tabla2[[#This Row],[dias de credito]]&gt;=Tabla2[[#This Row],[PLAZO Días]],"venc", "No venc")</f>
        <v>venc</v>
      </c>
      <c r="V1792" t="str">
        <f>+IF(Tabla2[[#This Row],[FECHA DE PAGO]]&gt;0,"pagada","por pagar")</f>
        <v>pagada</v>
      </c>
      <c r="W1792" s="152" t="str">
        <f>+IF(AND(Tabla2[[#This Row],[venc]]="venc",Tabla2[[#This Row],[Columna1]]="por pagar"),"vencida","no")</f>
        <v>no</v>
      </c>
    </row>
    <row r="1793" spans="1:23" x14ac:dyDescent="0.3">
      <c r="A1793">
        <v>30</v>
      </c>
      <c r="B1793">
        <v>0</v>
      </c>
      <c r="D1793" t="s">
        <v>139</v>
      </c>
      <c r="E1793" s="156">
        <v>44257</v>
      </c>
      <c r="F1793" t="s">
        <v>638</v>
      </c>
      <c r="G1793" s="156">
        <v>44257</v>
      </c>
      <c r="H1793" t="s">
        <v>1194</v>
      </c>
      <c r="I1793">
        <v>1711000</v>
      </c>
      <c r="K1793">
        <v>0</v>
      </c>
      <c r="M1793">
        <v>0</v>
      </c>
      <c r="N1793">
        <v>0</v>
      </c>
      <c r="O1793">
        <v>0</v>
      </c>
      <c r="P1793" s="117">
        <v>1711000</v>
      </c>
      <c r="Q1793" s="117" t="s">
        <v>1021</v>
      </c>
      <c r="R1793" s="150">
        <v>0</v>
      </c>
      <c r="S1793" s="117" t="b">
        <f>OR(COUNTIF(Tabla2[[#This Row],[PROVEEDOR]],"*"&amp;'Palabra no opera'!$A$2&amp;"*"))</f>
        <v>0</v>
      </c>
      <c r="T1793" s="150">
        <f>+$W$5-Tabla2[[#This Row],[FECHA DE FACTURACIÓN]]</f>
        <v>577</v>
      </c>
      <c r="U1793" t="str">
        <f>+IF(Tabla2[[#This Row],[dias de credito]]&gt;=Tabla2[[#This Row],[PLAZO Días]],"venc", "No venc")</f>
        <v>venc</v>
      </c>
      <c r="V1793" t="str">
        <f>+IF(Tabla2[[#This Row],[FECHA DE PAGO]]&gt;0,"pagada","por pagar")</f>
        <v>pagada</v>
      </c>
      <c r="W1793" s="152" t="str">
        <f>+IF(AND(Tabla2[[#This Row],[venc]]="venc",Tabla2[[#This Row],[Columna1]]="por pagar"),"vencida","no")</f>
        <v>no</v>
      </c>
    </row>
    <row r="1794" spans="1:23" x14ac:dyDescent="0.3">
      <c r="A1794">
        <v>45</v>
      </c>
      <c r="B1794">
        <v>7497238</v>
      </c>
      <c r="D1794" t="s">
        <v>272</v>
      </c>
      <c r="E1794" s="156">
        <v>44257</v>
      </c>
      <c r="F1794" t="s">
        <v>10</v>
      </c>
      <c r="G1794" s="156">
        <v>44229</v>
      </c>
      <c r="H1794" t="s">
        <v>1646</v>
      </c>
      <c r="I1794">
        <v>-732000</v>
      </c>
      <c r="K1794">
        <v>-139080</v>
      </c>
      <c r="M1794">
        <v>0</v>
      </c>
      <c r="N1794">
        <v>0</v>
      </c>
      <c r="O1794">
        <v>0</v>
      </c>
      <c r="P1794" s="117">
        <v>-871080</v>
      </c>
      <c r="Q1794" s="117" t="s">
        <v>1021</v>
      </c>
      <c r="R1794" s="150">
        <v>0</v>
      </c>
      <c r="S1794" s="117" t="b">
        <f>OR(COUNTIF(Tabla2[[#This Row],[PROVEEDOR]],"*"&amp;'Palabra no opera'!$A$2&amp;"*"))</f>
        <v>0</v>
      </c>
      <c r="T1794" s="150">
        <f>+$W$5-Tabla2[[#This Row],[FECHA DE FACTURACIÓN]]</f>
        <v>605</v>
      </c>
      <c r="U1794" t="str">
        <f>+IF(Tabla2[[#This Row],[dias de credito]]&gt;=Tabla2[[#This Row],[PLAZO Días]],"venc", "No venc")</f>
        <v>venc</v>
      </c>
      <c r="V1794" t="str">
        <f>+IF(Tabla2[[#This Row],[FECHA DE PAGO]]&gt;0,"pagada","por pagar")</f>
        <v>pagada</v>
      </c>
      <c r="W1794" s="152" t="str">
        <f>+IF(AND(Tabla2[[#This Row],[venc]]="venc",Tabla2[[#This Row],[Columna1]]="por pagar"),"vencida","no")</f>
        <v>no</v>
      </c>
    </row>
    <row r="1795" spans="1:23" x14ac:dyDescent="0.3">
      <c r="A1795">
        <v>30</v>
      </c>
      <c r="B1795">
        <v>146262.9</v>
      </c>
      <c r="D1795" t="s">
        <v>262</v>
      </c>
      <c r="E1795" s="156">
        <v>44257</v>
      </c>
      <c r="F1795" t="s">
        <v>17</v>
      </c>
      <c r="G1795" s="156">
        <v>44221</v>
      </c>
      <c r="H1795">
        <v>1716568</v>
      </c>
      <c r="I1795">
        <v>948000</v>
      </c>
      <c r="K1795">
        <v>180120</v>
      </c>
      <c r="M1795">
        <v>0</v>
      </c>
      <c r="N1795">
        <v>0</v>
      </c>
      <c r="O1795">
        <v>0</v>
      </c>
      <c r="P1795" s="117">
        <v>1128120</v>
      </c>
      <c r="Q1795" s="117" t="s">
        <v>1021</v>
      </c>
      <c r="R1795" s="150">
        <v>0</v>
      </c>
      <c r="S1795" s="117" t="b">
        <f>OR(COUNTIF(Tabla2[[#This Row],[PROVEEDOR]],"*"&amp;'Palabra no opera'!$A$2&amp;"*"))</f>
        <v>0</v>
      </c>
      <c r="T1795" s="150">
        <f>+$W$5-Tabla2[[#This Row],[FECHA DE FACTURACIÓN]]</f>
        <v>613</v>
      </c>
      <c r="U1795" t="str">
        <f>+IF(Tabla2[[#This Row],[dias de credito]]&gt;=Tabla2[[#This Row],[PLAZO Días]],"venc", "No venc")</f>
        <v>venc</v>
      </c>
      <c r="V1795" t="str">
        <f>+IF(Tabla2[[#This Row],[FECHA DE PAGO]]&gt;0,"pagada","por pagar")</f>
        <v>pagada</v>
      </c>
      <c r="W1795" s="152" t="str">
        <f>+IF(AND(Tabla2[[#This Row],[venc]]="venc",Tabla2[[#This Row],[Columna1]]="por pagar"),"vencida","no")</f>
        <v>no</v>
      </c>
    </row>
    <row r="1796" spans="1:23" x14ac:dyDescent="0.3">
      <c r="A1796">
        <v>30</v>
      </c>
      <c r="B1796">
        <v>19675613.1195</v>
      </c>
      <c r="D1796" t="s">
        <v>256</v>
      </c>
      <c r="E1796" s="156">
        <v>44257</v>
      </c>
      <c r="F1796" t="s">
        <v>18</v>
      </c>
      <c r="G1796" s="156">
        <v>44213</v>
      </c>
      <c r="H1796">
        <v>1033457</v>
      </c>
      <c r="I1796">
        <v>3519586.8</v>
      </c>
      <c r="K1796">
        <v>668721.49199999997</v>
      </c>
      <c r="M1796">
        <v>0</v>
      </c>
      <c r="N1796">
        <v>2.5000000000000001E-2</v>
      </c>
      <c r="O1796">
        <v>87989.67</v>
      </c>
      <c r="P1796" s="117">
        <v>4100318.622</v>
      </c>
      <c r="Q1796" s="117" t="s">
        <v>1021</v>
      </c>
      <c r="R1796" s="150">
        <v>0</v>
      </c>
      <c r="S1796" s="117" t="b">
        <f>OR(COUNTIF(Tabla2[[#This Row],[PROVEEDOR]],"*"&amp;'Palabra no opera'!$A$2&amp;"*"))</f>
        <v>0</v>
      </c>
      <c r="T1796" s="150">
        <f>+$W$5-Tabla2[[#This Row],[FECHA DE FACTURACIÓN]]</f>
        <v>621</v>
      </c>
      <c r="U1796" t="str">
        <f>+IF(Tabla2[[#This Row],[dias de credito]]&gt;=Tabla2[[#This Row],[PLAZO Días]],"venc", "No venc")</f>
        <v>venc</v>
      </c>
      <c r="V1796" t="str">
        <f>+IF(Tabla2[[#This Row],[FECHA DE PAGO]]&gt;0,"pagada","por pagar")</f>
        <v>pagada</v>
      </c>
      <c r="W1796" s="152" t="str">
        <f>+IF(AND(Tabla2[[#This Row],[venc]]="venc",Tabla2[[#This Row],[Columna1]]="por pagar"),"vencida","no")</f>
        <v>no</v>
      </c>
    </row>
    <row r="1797" spans="1:23" x14ac:dyDescent="0.3">
      <c r="A1797">
        <v>45</v>
      </c>
      <c r="B1797">
        <v>7497238</v>
      </c>
      <c r="D1797" t="s">
        <v>272</v>
      </c>
      <c r="E1797" s="156">
        <v>44257</v>
      </c>
      <c r="F1797" t="s">
        <v>10</v>
      </c>
      <c r="G1797" s="156">
        <v>44209</v>
      </c>
      <c r="H1797" t="s">
        <v>105</v>
      </c>
      <c r="I1797">
        <v>938000</v>
      </c>
      <c r="K1797">
        <v>178220</v>
      </c>
      <c r="M1797">
        <v>0</v>
      </c>
      <c r="N1797">
        <v>0</v>
      </c>
      <c r="O1797">
        <v>0</v>
      </c>
      <c r="P1797" s="117">
        <v>1116220</v>
      </c>
      <c r="Q1797" s="117" t="s">
        <v>1021</v>
      </c>
      <c r="R1797" s="150">
        <v>0</v>
      </c>
      <c r="S1797" s="117" t="b">
        <f>OR(COUNTIF(Tabla2[[#This Row],[PROVEEDOR]],"*"&amp;'Palabra no opera'!$A$2&amp;"*"))</f>
        <v>0</v>
      </c>
      <c r="T1797" s="150">
        <f>+$W$5-Tabla2[[#This Row],[FECHA DE FACTURACIÓN]]</f>
        <v>625</v>
      </c>
      <c r="U1797" t="str">
        <f>+IF(Tabla2[[#This Row],[dias de credito]]&gt;=Tabla2[[#This Row],[PLAZO Días]],"venc", "No venc")</f>
        <v>venc</v>
      </c>
      <c r="V1797" t="str">
        <f>+IF(Tabla2[[#This Row],[FECHA DE PAGO]]&gt;0,"pagada","por pagar")</f>
        <v>pagada</v>
      </c>
      <c r="W1797" s="152" t="str">
        <f>+IF(AND(Tabla2[[#This Row],[venc]]="venc",Tabla2[[#This Row],[Columna1]]="por pagar"),"vencida","no")</f>
        <v>no</v>
      </c>
    </row>
    <row r="1798" spans="1:23" x14ac:dyDescent="0.3">
      <c r="A1798">
        <v>30</v>
      </c>
      <c r="B1798">
        <v>8457900</v>
      </c>
      <c r="D1798" t="s">
        <v>1027</v>
      </c>
      <c r="E1798" s="156">
        <v>44257</v>
      </c>
      <c r="F1798" t="s">
        <v>11</v>
      </c>
      <c r="G1798" s="156">
        <v>44209</v>
      </c>
      <c r="H1798" t="s">
        <v>102</v>
      </c>
      <c r="I1798">
        <v>3300000</v>
      </c>
      <c r="K1798">
        <v>627000</v>
      </c>
      <c r="M1798">
        <v>0</v>
      </c>
      <c r="N1798">
        <v>2.5000000000000001E-2</v>
      </c>
      <c r="O1798">
        <v>82500</v>
      </c>
      <c r="P1798" s="117">
        <v>3844500</v>
      </c>
      <c r="Q1798" s="117" t="s">
        <v>1021</v>
      </c>
      <c r="R1798" s="150">
        <v>0</v>
      </c>
      <c r="S1798" s="117" t="b">
        <f>OR(COUNTIF(Tabla2[[#This Row],[PROVEEDOR]],"*"&amp;'Palabra no opera'!$A$2&amp;"*"))</f>
        <v>0</v>
      </c>
      <c r="T1798" s="150">
        <f>+$W$5-Tabla2[[#This Row],[FECHA DE FACTURACIÓN]]</f>
        <v>625</v>
      </c>
      <c r="U1798" t="str">
        <f>+IF(Tabla2[[#This Row],[dias de credito]]&gt;=Tabla2[[#This Row],[PLAZO Días]],"venc", "No venc")</f>
        <v>venc</v>
      </c>
      <c r="V1798" t="str">
        <f>+IF(Tabla2[[#This Row],[FECHA DE PAGO]]&gt;0,"pagada","por pagar")</f>
        <v>pagada</v>
      </c>
      <c r="W1798" s="152" t="str">
        <f>+IF(AND(Tabla2[[#This Row],[venc]]="venc",Tabla2[[#This Row],[Columna1]]="por pagar"),"vencida","no")</f>
        <v>no</v>
      </c>
    </row>
    <row r="1799" spans="1:23" x14ac:dyDescent="0.3">
      <c r="A1799">
        <v>30</v>
      </c>
      <c r="B1799">
        <v>19675613.1195</v>
      </c>
      <c r="D1799" t="s">
        <v>256</v>
      </c>
      <c r="E1799" s="156">
        <v>44257</v>
      </c>
      <c r="F1799" t="s">
        <v>18</v>
      </c>
      <c r="G1799" s="156">
        <v>44208</v>
      </c>
      <c r="H1799">
        <v>1033186</v>
      </c>
      <c r="I1799">
        <v>2093726.1764705882</v>
      </c>
      <c r="K1799">
        <v>397807.97352941177</v>
      </c>
      <c r="M1799">
        <v>0</v>
      </c>
      <c r="N1799">
        <v>2.5000000000000001E-2</v>
      </c>
      <c r="O1799">
        <v>52343.154411764706</v>
      </c>
      <c r="P1799" s="117">
        <v>2439190.9955882351</v>
      </c>
      <c r="Q1799" s="117" t="s">
        <v>1021</v>
      </c>
      <c r="R1799" s="150">
        <v>0</v>
      </c>
      <c r="S1799" s="117" t="b">
        <f>OR(COUNTIF(Tabla2[[#This Row],[PROVEEDOR]],"*"&amp;'Palabra no opera'!$A$2&amp;"*"))</f>
        <v>0</v>
      </c>
      <c r="T1799" s="150">
        <f>+$W$5-Tabla2[[#This Row],[FECHA DE FACTURACIÓN]]</f>
        <v>626</v>
      </c>
      <c r="U1799" t="str">
        <f>+IF(Tabla2[[#This Row],[dias de credito]]&gt;=Tabla2[[#This Row],[PLAZO Días]],"venc", "No venc")</f>
        <v>venc</v>
      </c>
      <c r="V1799" t="str">
        <f>+IF(Tabla2[[#This Row],[FECHA DE PAGO]]&gt;0,"pagada","por pagar")</f>
        <v>pagada</v>
      </c>
      <c r="W1799" s="152" t="str">
        <f>+IF(AND(Tabla2[[#This Row],[venc]]="venc",Tabla2[[#This Row],[Columna1]]="por pagar"),"vencida","no")</f>
        <v>no</v>
      </c>
    </row>
    <row r="1800" spans="1:23" x14ac:dyDescent="0.3">
      <c r="A1800">
        <v>45</v>
      </c>
      <c r="B1800">
        <v>7497238</v>
      </c>
      <c r="D1800" t="s">
        <v>272</v>
      </c>
      <c r="E1800" s="156">
        <v>44257</v>
      </c>
      <c r="F1800" t="s">
        <v>10</v>
      </c>
      <c r="G1800" s="156">
        <v>44187</v>
      </c>
      <c r="H1800" t="s">
        <v>91</v>
      </c>
      <c r="I1800">
        <v>1386000</v>
      </c>
      <c r="K1800">
        <v>263340</v>
      </c>
      <c r="M1800">
        <v>0</v>
      </c>
      <c r="N1800">
        <v>0</v>
      </c>
      <c r="O1800">
        <v>0</v>
      </c>
      <c r="P1800" s="117">
        <v>1649340</v>
      </c>
      <c r="Q1800" s="117" t="s">
        <v>1021</v>
      </c>
      <c r="R1800" s="150">
        <v>0</v>
      </c>
      <c r="S1800" s="117" t="b">
        <f>OR(COUNTIF(Tabla2[[#This Row],[PROVEEDOR]],"*"&amp;'Palabra no opera'!$A$2&amp;"*"))</f>
        <v>0</v>
      </c>
      <c r="T1800" s="150">
        <f>+$W$5-Tabla2[[#This Row],[FECHA DE FACTURACIÓN]]</f>
        <v>647</v>
      </c>
      <c r="U1800" t="str">
        <f>+IF(Tabla2[[#This Row],[dias de credito]]&gt;=Tabla2[[#This Row],[PLAZO Días]],"venc", "No venc")</f>
        <v>venc</v>
      </c>
      <c r="V1800" t="str">
        <f>+IF(Tabla2[[#This Row],[FECHA DE PAGO]]&gt;0,"pagada","por pagar")</f>
        <v>pagada</v>
      </c>
      <c r="W1800" s="152" t="str">
        <f>+IF(AND(Tabla2[[#This Row],[venc]]="venc",Tabla2[[#This Row],[Columna1]]="por pagar"),"vencida","no")</f>
        <v>no</v>
      </c>
    </row>
    <row r="1801" spans="1:23" x14ac:dyDescent="0.3">
      <c r="A1801">
        <v>45</v>
      </c>
      <c r="B1801">
        <v>7497238</v>
      </c>
      <c r="D1801" t="s">
        <v>272</v>
      </c>
      <c r="E1801" s="156">
        <v>44257</v>
      </c>
      <c r="F1801" t="s">
        <v>10</v>
      </c>
      <c r="G1801" s="156">
        <v>44187</v>
      </c>
      <c r="H1801" t="s">
        <v>89</v>
      </c>
      <c r="I1801">
        <v>800000</v>
      </c>
      <c r="K1801">
        <v>152000</v>
      </c>
      <c r="M1801">
        <v>0</v>
      </c>
      <c r="N1801">
        <v>0</v>
      </c>
      <c r="O1801">
        <v>0</v>
      </c>
      <c r="P1801" s="117">
        <v>952000</v>
      </c>
      <c r="Q1801" s="117" t="s">
        <v>1021</v>
      </c>
      <c r="R1801" s="150">
        <v>0</v>
      </c>
      <c r="S1801" s="117" t="b">
        <f>OR(COUNTIF(Tabla2[[#This Row],[PROVEEDOR]],"*"&amp;'Palabra no opera'!$A$2&amp;"*"))</f>
        <v>0</v>
      </c>
      <c r="T1801" s="150">
        <f>+$W$5-Tabla2[[#This Row],[FECHA DE FACTURACIÓN]]</f>
        <v>647</v>
      </c>
      <c r="U1801" t="str">
        <f>+IF(Tabla2[[#This Row],[dias de credito]]&gt;=Tabla2[[#This Row],[PLAZO Días]],"venc", "No venc")</f>
        <v>venc</v>
      </c>
      <c r="V1801" t="str">
        <f>+IF(Tabla2[[#This Row],[FECHA DE PAGO]]&gt;0,"pagada","por pagar")</f>
        <v>pagada</v>
      </c>
      <c r="W1801" s="152" t="str">
        <f>+IF(AND(Tabla2[[#This Row],[venc]]="venc",Tabla2[[#This Row],[Columna1]]="por pagar"),"vencida","no")</f>
        <v>no</v>
      </c>
    </row>
    <row r="1802" spans="1:23" x14ac:dyDescent="0.3">
      <c r="A1802">
        <v>30</v>
      </c>
      <c r="B1802">
        <v>8190204</v>
      </c>
      <c r="D1802" t="s">
        <v>263</v>
      </c>
      <c r="E1802" s="156">
        <v>44257</v>
      </c>
      <c r="F1802" t="s">
        <v>1637</v>
      </c>
      <c r="G1802" s="156">
        <v>44183</v>
      </c>
      <c r="H1802">
        <v>19328</v>
      </c>
      <c r="I1802">
        <v>1465068</v>
      </c>
      <c r="J1802">
        <v>133188</v>
      </c>
      <c r="K1802">
        <v>253057.2</v>
      </c>
      <c r="M1802">
        <v>0</v>
      </c>
      <c r="N1802">
        <v>2.5000000000000001E-2</v>
      </c>
      <c r="O1802">
        <v>33297</v>
      </c>
      <c r="P1802" s="117">
        <v>1551640.2</v>
      </c>
      <c r="Q1802" s="117" t="s">
        <v>1021</v>
      </c>
      <c r="R1802" s="150">
        <v>0</v>
      </c>
      <c r="S1802" s="117" t="b">
        <f>OR(COUNTIF(Tabla2[[#This Row],[PROVEEDOR]],"*"&amp;'Palabra no opera'!$A$2&amp;"*"))</f>
        <v>0</v>
      </c>
      <c r="T1802" s="150">
        <f>+$W$5-Tabla2[[#This Row],[FECHA DE FACTURACIÓN]]</f>
        <v>651</v>
      </c>
      <c r="U1802" t="str">
        <f>+IF(Tabla2[[#This Row],[dias de credito]]&gt;=Tabla2[[#This Row],[PLAZO Días]],"venc", "No venc")</f>
        <v>venc</v>
      </c>
      <c r="V1802" t="str">
        <f>+IF(Tabla2[[#This Row],[FECHA DE PAGO]]&gt;0,"pagada","por pagar")</f>
        <v>pagada</v>
      </c>
      <c r="W1802" s="152" t="str">
        <f>+IF(AND(Tabla2[[#This Row],[venc]]="venc",Tabla2[[#This Row],[Columna1]]="por pagar"),"vencida","no")</f>
        <v>no</v>
      </c>
    </row>
    <row r="1803" spans="1:23" x14ac:dyDescent="0.3">
      <c r="A1803">
        <v>30</v>
      </c>
      <c r="B1803">
        <v>8190204</v>
      </c>
      <c r="D1803" t="s">
        <v>263</v>
      </c>
      <c r="E1803" s="156">
        <v>44257</v>
      </c>
      <c r="F1803" t="s">
        <v>1637</v>
      </c>
      <c r="G1803" s="156">
        <v>44180</v>
      </c>
      <c r="H1803">
        <v>19269</v>
      </c>
      <c r="I1803">
        <v>3336616</v>
      </c>
      <c r="J1803">
        <v>71448</v>
      </c>
      <c r="K1803">
        <v>620381.92000000004</v>
      </c>
      <c r="M1803">
        <v>0</v>
      </c>
      <c r="N1803">
        <v>2.5000000000000001E-2</v>
      </c>
      <c r="O1803">
        <v>81629.200000000012</v>
      </c>
      <c r="P1803" s="117">
        <v>3803920.7199999997</v>
      </c>
      <c r="Q1803" s="117" t="s">
        <v>1021</v>
      </c>
      <c r="R1803" s="150">
        <v>0</v>
      </c>
      <c r="S1803" s="117" t="b">
        <f>OR(COUNTIF(Tabla2[[#This Row],[PROVEEDOR]],"*"&amp;'Palabra no opera'!$A$2&amp;"*"))</f>
        <v>0</v>
      </c>
      <c r="T1803" s="150">
        <f>+$W$5-Tabla2[[#This Row],[FECHA DE FACTURACIÓN]]</f>
        <v>654</v>
      </c>
      <c r="U1803" t="str">
        <f>+IF(Tabla2[[#This Row],[dias de credito]]&gt;=Tabla2[[#This Row],[PLAZO Días]],"venc", "No venc")</f>
        <v>venc</v>
      </c>
      <c r="V1803" t="str">
        <f>+IF(Tabla2[[#This Row],[FECHA DE PAGO]]&gt;0,"pagada","por pagar")</f>
        <v>pagada</v>
      </c>
      <c r="W1803" s="152" t="str">
        <f>+IF(AND(Tabla2[[#This Row],[venc]]="venc",Tabla2[[#This Row],[Columna1]]="por pagar"),"vencida","no")</f>
        <v>no</v>
      </c>
    </row>
    <row r="1804" spans="1:23" x14ac:dyDescent="0.3">
      <c r="A1804">
        <v>30</v>
      </c>
      <c r="B1804">
        <v>0</v>
      </c>
      <c r="D1804" t="s">
        <v>254</v>
      </c>
      <c r="E1804" s="156">
        <v>44250</v>
      </c>
      <c r="F1804" t="s">
        <v>46</v>
      </c>
      <c r="G1804" s="156">
        <v>44323</v>
      </c>
      <c r="H1804">
        <v>160217364</v>
      </c>
      <c r="I1804">
        <v>6636590</v>
      </c>
      <c r="K1804">
        <v>1260952.1000000001</v>
      </c>
      <c r="M1804">
        <v>0</v>
      </c>
      <c r="N1804">
        <v>0</v>
      </c>
      <c r="O1804">
        <v>0</v>
      </c>
      <c r="P1804" s="117">
        <v>7897542.0999999996</v>
      </c>
      <c r="Q1804" s="117" t="s">
        <v>1021</v>
      </c>
      <c r="R1804" s="150">
        <v>0</v>
      </c>
      <c r="S1804" s="117" t="b">
        <f>OR(COUNTIF(Tabla2[[#This Row],[PROVEEDOR]],"*"&amp;'Palabra no opera'!$A$2&amp;"*"))</f>
        <v>0</v>
      </c>
      <c r="T1804" s="150">
        <f>+$W$5-Tabla2[[#This Row],[FECHA DE FACTURACIÓN]]</f>
        <v>511</v>
      </c>
      <c r="U1804" t="str">
        <f>+IF(Tabla2[[#This Row],[dias de credito]]&gt;=Tabla2[[#This Row],[PLAZO Días]],"venc", "No venc")</f>
        <v>venc</v>
      </c>
      <c r="V1804" t="str">
        <f>+IF(Tabla2[[#This Row],[FECHA DE PAGO]]&gt;0,"pagada","por pagar")</f>
        <v>pagada</v>
      </c>
      <c r="W1804" s="152" t="str">
        <f>+IF(AND(Tabla2[[#This Row],[venc]]="venc",Tabla2[[#This Row],[Columna1]]="por pagar"),"vencida","no")</f>
        <v>no</v>
      </c>
    </row>
    <row r="1805" spans="1:23" x14ac:dyDescent="0.3">
      <c r="A1805">
        <v>30</v>
      </c>
      <c r="B1805">
        <v>0</v>
      </c>
      <c r="D1805" t="s">
        <v>255</v>
      </c>
      <c r="E1805" s="156">
        <v>44250</v>
      </c>
      <c r="F1805" t="s">
        <v>130</v>
      </c>
      <c r="G1805" s="156">
        <v>44246</v>
      </c>
      <c r="H1805" t="s">
        <v>219</v>
      </c>
      <c r="I1805">
        <v>1667000</v>
      </c>
      <c r="K1805">
        <v>0</v>
      </c>
      <c r="M1805">
        <v>0</v>
      </c>
      <c r="N1805">
        <v>0</v>
      </c>
      <c r="O1805">
        <v>0</v>
      </c>
      <c r="P1805" s="117">
        <v>1667000</v>
      </c>
      <c r="Q1805" s="117" t="s">
        <v>1021</v>
      </c>
      <c r="R1805" s="150">
        <v>0</v>
      </c>
      <c r="S1805" s="117" t="b">
        <f>OR(COUNTIF(Tabla2[[#This Row],[PROVEEDOR]],"*"&amp;'Palabra no opera'!$A$2&amp;"*"))</f>
        <v>0</v>
      </c>
      <c r="T1805" s="150">
        <f>+$W$5-Tabla2[[#This Row],[FECHA DE FACTURACIÓN]]</f>
        <v>588</v>
      </c>
      <c r="U1805" t="str">
        <f>+IF(Tabla2[[#This Row],[dias de credito]]&gt;=Tabla2[[#This Row],[PLAZO Días]],"venc", "No venc")</f>
        <v>venc</v>
      </c>
      <c r="V1805" t="str">
        <f>+IF(Tabla2[[#This Row],[FECHA DE PAGO]]&gt;0,"pagada","por pagar")</f>
        <v>pagada</v>
      </c>
      <c r="W1805" s="152" t="str">
        <f>+IF(AND(Tabla2[[#This Row],[venc]]="venc",Tabla2[[#This Row],[Columna1]]="por pagar"),"vencida","no")</f>
        <v>no</v>
      </c>
    </row>
    <row r="1806" spans="1:23" x14ac:dyDescent="0.3">
      <c r="A1806">
        <v>30</v>
      </c>
      <c r="B1806">
        <v>0</v>
      </c>
      <c r="D1806" t="s">
        <v>650</v>
      </c>
      <c r="E1806" s="156">
        <v>44250</v>
      </c>
      <c r="F1806" t="s">
        <v>913</v>
      </c>
      <c r="G1806" s="156">
        <v>44228</v>
      </c>
      <c r="H1806">
        <v>5070</v>
      </c>
      <c r="I1806">
        <v>3061166</v>
      </c>
      <c r="K1806">
        <v>581621.54</v>
      </c>
      <c r="M1806">
        <v>0</v>
      </c>
      <c r="N1806">
        <v>0</v>
      </c>
      <c r="O1806">
        <v>0</v>
      </c>
      <c r="P1806" s="117">
        <v>3642787.54</v>
      </c>
      <c r="Q1806" s="117" t="s">
        <v>1021</v>
      </c>
      <c r="R1806" s="150">
        <v>0</v>
      </c>
      <c r="S1806" s="117" t="b">
        <f>OR(COUNTIF(Tabla2[[#This Row],[PROVEEDOR]],"*"&amp;'Palabra no opera'!$A$2&amp;"*"))</f>
        <v>1</v>
      </c>
      <c r="T1806" s="150">
        <f>+$W$5-Tabla2[[#This Row],[FECHA DE FACTURACIÓN]]</f>
        <v>606</v>
      </c>
      <c r="U1806" t="str">
        <f>+IF(Tabla2[[#This Row],[dias de credito]]&gt;=Tabla2[[#This Row],[PLAZO Días]],"venc", "No venc")</f>
        <v>venc</v>
      </c>
      <c r="V1806" t="str">
        <f>+IF(Tabla2[[#This Row],[FECHA DE PAGO]]&gt;0,"pagada","por pagar")</f>
        <v>pagada</v>
      </c>
      <c r="W1806" s="152" t="str">
        <f>+IF(AND(Tabla2[[#This Row],[venc]]="venc",Tabla2[[#This Row],[Columna1]]="por pagar"),"vencida","no")</f>
        <v>no</v>
      </c>
    </row>
    <row r="1807" spans="1:23" x14ac:dyDescent="0.3">
      <c r="A1807">
        <v>30</v>
      </c>
      <c r="B1807">
        <v>0</v>
      </c>
      <c r="D1807" t="s">
        <v>650</v>
      </c>
      <c r="E1807" s="156">
        <v>44250</v>
      </c>
      <c r="F1807" t="s">
        <v>913</v>
      </c>
      <c r="G1807" s="156">
        <v>44228</v>
      </c>
      <c r="H1807">
        <v>4792</v>
      </c>
      <c r="I1807">
        <v>716544</v>
      </c>
      <c r="K1807">
        <v>136143.36000000002</v>
      </c>
      <c r="M1807">
        <v>0</v>
      </c>
      <c r="N1807">
        <v>0</v>
      </c>
      <c r="O1807">
        <v>0</v>
      </c>
      <c r="P1807" s="117">
        <v>852687.35999999999</v>
      </c>
      <c r="Q1807" s="117" t="s">
        <v>1021</v>
      </c>
      <c r="R1807" s="150">
        <v>0</v>
      </c>
      <c r="S1807" s="117" t="b">
        <f>OR(COUNTIF(Tabla2[[#This Row],[PROVEEDOR]],"*"&amp;'Palabra no opera'!$A$2&amp;"*"))</f>
        <v>1</v>
      </c>
      <c r="T1807" s="150">
        <f>+$W$5-Tabla2[[#This Row],[FECHA DE FACTURACIÓN]]</f>
        <v>606</v>
      </c>
      <c r="U1807" t="str">
        <f>+IF(Tabla2[[#This Row],[dias de credito]]&gt;=Tabla2[[#This Row],[PLAZO Días]],"venc", "No venc")</f>
        <v>venc</v>
      </c>
      <c r="V1807" t="str">
        <f>+IF(Tabla2[[#This Row],[FECHA DE PAGO]]&gt;0,"pagada","por pagar")</f>
        <v>pagada</v>
      </c>
      <c r="W1807" s="152" t="str">
        <f>+IF(AND(Tabla2[[#This Row],[venc]]="venc",Tabla2[[#This Row],[Columna1]]="por pagar"),"vencida","no")</f>
        <v>no</v>
      </c>
    </row>
    <row r="1808" spans="1:23" x14ac:dyDescent="0.3">
      <c r="A1808">
        <v>30</v>
      </c>
      <c r="B1808">
        <v>0</v>
      </c>
      <c r="D1808" t="s">
        <v>259</v>
      </c>
      <c r="E1808" s="156">
        <v>44250</v>
      </c>
      <c r="F1808" t="s">
        <v>918</v>
      </c>
      <c r="G1808" s="156">
        <v>44228</v>
      </c>
      <c r="I1808">
        <v>1327746</v>
      </c>
      <c r="K1808">
        <v>0</v>
      </c>
      <c r="M1808">
        <v>0</v>
      </c>
      <c r="N1808">
        <v>0</v>
      </c>
      <c r="O1808">
        <v>0</v>
      </c>
      <c r="P1808" s="117">
        <v>1327746</v>
      </c>
      <c r="Q1808" s="117" t="s">
        <v>1021</v>
      </c>
      <c r="R1808" s="150">
        <v>0</v>
      </c>
      <c r="S1808" s="117" t="b">
        <f>OR(COUNTIF(Tabla2[[#This Row],[PROVEEDOR]],"*"&amp;'Palabra no opera'!$A$2&amp;"*"))</f>
        <v>1</v>
      </c>
      <c r="T1808" s="150">
        <f>+$W$5-Tabla2[[#This Row],[FECHA DE FACTURACIÓN]]</f>
        <v>606</v>
      </c>
      <c r="U1808" t="str">
        <f>+IF(Tabla2[[#This Row],[dias de credito]]&gt;=Tabla2[[#This Row],[PLAZO Días]],"venc", "No venc")</f>
        <v>venc</v>
      </c>
      <c r="V1808" t="str">
        <f>+IF(Tabla2[[#This Row],[FECHA DE PAGO]]&gt;0,"pagada","por pagar")</f>
        <v>pagada</v>
      </c>
      <c r="W1808" s="152" t="str">
        <f>+IF(AND(Tabla2[[#This Row],[venc]]="venc",Tabla2[[#This Row],[Columna1]]="por pagar"),"vencida","no")</f>
        <v>no</v>
      </c>
    </row>
    <row r="1809" spans="1:23" x14ac:dyDescent="0.3">
      <c r="A1809">
        <v>30</v>
      </c>
      <c r="B1809">
        <v>0</v>
      </c>
      <c r="D1809" t="s">
        <v>433</v>
      </c>
      <c r="E1809" s="156">
        <v>44250</v>
      </c>
      <c r="F1809" t="s">
        <v>925</v>
      </c>
      <c r="G1809" s="156">
        <v>44228</v>
      </c>
      <c r="H1809" t="s">
        <v>1191</v>
      </c>
      <c r="I1809">
        <v>2789636</v>
      </c>
      <c r="K1809">
        <v>0</v>
      </c>
      <c r="M1809">
        <v>0</v>
      </c>
      <c r="N1809">
        <v>3.5000000000000003E-2</v>
      </c>
      <c r="O1809">
        <v>97637.260000000009</v>
      </c>
      <c r="P1809" s="117">
        <v>2691998.74</v>
      </c>
      <c r="Q1809" s="117" t="s">
        <v>1021</v>
      </c>
      <c r="R1809" s="150">
        <v>0</v>
      </c>
      <c r="S1809" s="117" t="b">
        <f>OR(COUNTIF(Tabla2[[#This Row],[PROVEEDOR]],"*"&amp;'Palabra no opera'!$A$2&amp;"*"))</f>
        <v>1</v>
      </c>
      <c r="T1809" s="150">
        <f>+$W$5-Tabla2[[#This Row],[FECHA DE FACTURACIÓN]]</f>
        <v>606</v>
      </c>
      <c r="U1809" t="str">
        <f>+IF(Tabla2[[#This Row],[dias de credito]]&gt;=Tabla2[[#This Row],[PLAZO Días]],"venc", "No venc")</f>
        <v>venc</v>
      </c>
      <c r="V1809" t="str">
        <f>+IF(Tabla2[[#This Row],[FECHA DE PAGO]]&gt;0,"pagada","por pagar")</f>
        <v>pagada</v>
      </c>
      <c r="W1809" s="152" t="str">
        <f>+IF(AND(Tabla2[[#This Row],[venc]]="venc",Tabla2[[#This Row],[Columna1]]="por pagar"),"vencida","no")</f>
        <v>no</v>
      </c>
    </row>
    <row r="1810" spans="1:23" x14ac:dyDescent="0.3">
      <c r="A1810">
        <v>30</v>
      </c>
      <c r="B1810">
        <v>0</v>
      </c>
      <c r="D1810" t="s">
        <v>267</v>
      </c>
      <c r="E1810" s="156">
        <v>44250</v>
      </c>
      <c r="F1810" t="s">
        <v>941</v>
      </c>
      <c r="G1810" s="156">
        <v>44228</v>
      </c>
      <c r="H1810">
        <v>1350</v>
      </c>
      <c r="I1810">
        <v>203897</v>
      </c>
      <c r="K1810">
        <v>38740.43</v>
      </c>
      <c r="M1810">
        <v>0</v>
      </c>
      <c r="N1810">
        <v>3.5000000000000003E-2</v>
      </c>
      <c r="O1810">
        <v>7136.3950000000004</v>
      </c>
      <c r="P1810" s="117">
        <v>235501.035</v>
      </c>
      <c r="Q1810" s="117" t="s">
        <v>1021</v>
      </c>
      <c r="R1810" s="150">
        <v>0</v>
      </c>
      <c r="S1810" s="117" t="b">
        <f>OR(COUNTIF(Tabla2[[#This Row],[PROVEEDOR]],"*"&amp;'Palabra no opera'!$A$2&amp;"*"))</f>
        <v>1</v>
      </c>
      <c r="T1810" s="150">
        <f>+$W$5-Tabla2[[#This Row],[FECHA DE FACTURACIÓN]]</f>
        <v>606</v>
      </c>
      <c r="U1810" t="str">
        <f>+IF(Tabla2[[#This Row],[dias de credito]]&gt;=Tabla2[[#This Row],[PLAZO Días]],"venc", "No venc")</f>
        <v>venc</v>
      </c>
      <c r="V1810" t="str">
        <f>+IF(Tabla2[[#This Row],[FECHA DE PAGO]]&gt;0,"pagada","por pagar")</f>
        <v>pagada</v>
      </c>
      <c r="W1810" s="152" t="str">
        <f>+IF(AND(Tabla2[[#This Row],[venc]]="venc",Tabla2[[#This Row],[Columna1]]="por pagar"),"vencida","no")</f>
        <v>no</v>
      </c>
    </row>
    <row r="1811" spans="1:23" x14ac:dyDescent="0.3">
      <c r="A1811">
        <v>20</v>
      </c>
      <c r="B1811">
        <v>0</v>
      </c>
      <c r="D1811" t="s">
        <v>275</v>
      </c>
      <c r="E1811" s="156">
        <v>44250</v>
      </c>
      <c r="F1811" t="s">
        <v>942</v>
      </c>
      <c r="G1811" s="156">
        <v>44228</v>
      </c>
      <c r="H1811">
        <v>38129</v>
      </c>
      <c r="I1811">
        <v>3488000</v>
      </c>
      <c r="K1811">
        <v>662720</v>
      </c>
      <c r="M1811">
        <v>0</v>
      </c>
      <c r="N1811">
        <v>3.5000000000000003E-2</v>
      </c>
      <c r="O1811">
        <v>122080.00000000001</v>
      </c>
      <c r="P1811" s="117">
        <v>4028640</v>
      </c>
      <c r="Q1811" s="117" t="s">
        <v>1021</v>
      </c>
      <c r="R1811" s="150">
        <v>0</v>
      </c>
      <c r="S1811" s="117" t="b">
        <f>OR(COUNTIF(Tabla2[[#This Row],[PROVEEDOR]],"*"&amp;'Palabra no opera'!$A$2&amp;"*"))</f>
        <v>1</v>
      </c>
      <c r="T1811" s="150">
        <f>+$W$5-Tabla2[[#This Row],[FECHA DE FACTURACIÓN]]</f>
        <v>606</v>
      </c>
      <c r="U1811" t="str">
        <f>+IF(Tabla2[[#This Row],[dias de credito]]&gt;=Tabla2[[#This Row],[PLAZO Días]],"venc", "No venc")</f>
        <v>venc</v>
      </c>
      <c r="V1811" t="str">
        <f>+IF(Tabla2[[#This Row],[FECHA DE PAGO]]&gt;0,"pagada","por pagar")</f>
        <v>pagada</v>
      </c>
      <c r="W1811" s="152" t="str">
        <f>+IF(AND(Tabla2[[#This Row],[venc]]="venc",Tabla2[[#This Row],[Columna1]]="por pagar"),"vencida","no")</f>
        <v>no</v>
      </c>
    </row>
    <row r="1812" spans="1:23" x14ac:dyDescent="0.3">
      <c r="A1812">
        <v>30</v>
      </c>
      <c r="B1812">
        <v>0</v>
      </c>
      <c r="D1812" t="s">
        <v>255</v>
      </c>
      <c r="E1812" s="156">
        <v>44250</v>
      </c>
      <c r="F1812" t="s">
        <v>130</v>
      </c>
      <c r="G1812" s="156">
        <v>44216</v>
      </c>
      <c r="H1812" t="s">
        <v>1185</v>
      </c>
      <c r="I1812">
        <v>-62000</v>
      </c>
      <c r="K1812">
        <v>0</v>
      </c>
      <c r="M1812">
        <v>0</v>
      </c>
      <c r="N1812">
        <v>0</v>
      </c>
      <c r="O1812">
        <v>0</v>
      </c>
      <c r="P1812" s="117">
        <v>-62000</v>
      </c>
      <c r="Q1812" s="117" t="s">
        <v>1021</v>
      </c>
      <c r="R1812" s="150">
        <v>0</v>
      </c>
      <c r="S1812" s="117" t="b">
        <f>OR(COUNTIF(Tabla2[[#This Row],[PROVEEDOR]],"*"&amp;'Palabra no opera'!$A$2&amp;"*"))</f>
        <v>0</v>
      </c>
      <c r="T1812" s="150">
        <f>+$W$5-Tabla2[[#This Row],[FECHA DE FACTURACIÓN]]</f>
        <v>618</v>
      </c>
      <c r="U1812" t="str">
        <f>+IF(Tabla2[[#This Row],[dias de credito]]&gt;=Tabla2[[#This Row],[PLAZO Días]],"venc", "No venc")</f>
        <v>venc</v>
      </c>
      <c r="V1812" t="str">
        <f>+IF(Tabla2[[#This Row],[FECHA DE PAGO]]&gt;0,"pagada","por pagar")</f>
        <v>pagada</v>
      </c>
      <c r="W1812" s="152" t="str">
        <f>+IF(AND(Tabla2[[#This Row],[venc]]="venc",Tabla2[[#This Row],[Columna1]]="por pagar"),"vencida","no")</f>
        <v>no</v>
      </c>
    </row>
    <row r="1813" spans="1:23" x14ac:dyDescent="0.3">
      <c r="A1813">
        <v>90</v>
      </c>
      <c r="B1813">
        <v>5541947.6899999995</v>
      </c>
      <c r="D1813" t="s">
        <v>253</v>
      </c>
      <c r="E1813" s="156">
        <v>44250</v>
      </c>
      <c r="F1813" t="s">
        <v>12</v>
      </c>
      <c r="G1813" s="156">
        <v>44195</v>
      </c>
      <c r="H1813" t="s">
        <v>221</v>
      </c>
      <c r="I1813">
        <v>-54622</v>
      </c>
      <c r="K1813">
        <v>-10378.18</v>
      </c>
      <c r="M1813">
        <v>0</v>
      </c>
      <c r="N1813">
        <v>0</v>
      </c>
      <c r="O1813">
        <v>0</v>
      </c>
      <c r="P1813" s="117">
        <v>-65000.18</v>
      </c>
      <c r="Q1813" s="117" t="s">
        <v>1021</v>
      </c>
      <c r="R1813" s="150">
        <v>0</v>
      </c>
      <c r="S1813" s="117" t="b">
        <f>OR(COUNTIF(Tabla2[[#This Row],[PROVEEDOR]],"*"&amp;'Palabra no opera'!$A$2&amp;"*"))</f>
        <v>0</v>
      </c>
      <c r="T1813" s="150">
        <f>+$W$5-Tabla2[[#This Row],[FECHA DE FACTURACIÓN]]</f>
        <v>639</v>
      </c>
      <c r="U1813" t="str">
        <f>+IF(Tabla2[[#This Row],[dias de credito]]&gt;=Tabla2[[#This Row],[PLAZO Días]],"venc", "No venc")</f>
        <v>venc</v>
      </c>
      <c r="V1813" t="str">
        <f>+IF(Tabla2[[#This Row],[FECHA DE PAGO]]&gt;0,"pagada","por pagar")</f>
        <v>pagada</v>
      </c>
      <c r="W1813" s="152" t="str">
        <f>+IF(AND(Tabla2[[#This Row],[venc]]="venc",Tabla2[[#This Row],[Columna1]]="por pagar"),"vencida","no")</f>
        <v>no</v>
      </c>
    </row>
    <row r="1814" spans="1:23" x14ac:dyDescent="0.3">
      <c r="A1814">
        <v>90</v>
      </c>
      <c r="B1814">
        <v>5541947.6899999995</v>
      </c>
      <c r="D1814" t="s">
        <v>253</v>
      </c>
      <c r="E1814" s="156">
        <v>44250</v>
      </c>
      <c r="F1814" t="s">
        <v>12</v>
      </c>
      <c r="G1814" s="156">
        <v>44153</v>
      </c>
      <c r="H1814" t="s">
        <v>80</v>
      </c>
      <c r="I1814">
        <v>7241596.6470588241</v>
      </c>
      <c r="K1814">
        <v>1375903.3629411766</v>
      </c>
      <c r="M1814">
        <v>0</v>
      </c>
      <c r="N1814">
        <v>2.5000000000000001E-2</v>
      </c>
      <c r="O1814">
        <v>181039.91617647061</v>
      </c>
      <c r="P1814" s="117">
        <v>8436460.0938235316</v>
      </c>
      <c r="Q1814" s="117" t="s">
        <v>1021</v>
      </c>
      <c r="R1814" s="150">
        <v>0</v>
      </c>
      <c r="S1814" s="117" t="b">
        <f>OR(COUNTIF(Tabla2[[#This Row],[PROVEEDOR]],"*"&amp;'Palabra no opera'!$A$2&amp;"*"))</f>
        <v>0</v>
      </c>
      <c r="T1814" s="150">
        <f>+$W$5-Tabla2[[#This Row],[FECHA DE FACTURACIÓN]]</f>
        <v>681</v>
      </c>
      <c r="U1814" t="str">
        <f>+IF(Tabla2[[#This Row],[dias de credito]]&gt;=Tabla2[[#This Row],[PLAZO Días]],"venc", "No venc")</f>
        <v>venc</v>
      </c>
      <c r="V1814" t="str">
        <f>+IF(Tabla2[[#This Row],[FECHA DE PAGO]]&gt;0,"pagada","por pagar")</f>
        <v>pagada</v>
      </c>
      <c r="W1814" s="152" t="str">
        <f>+IF(AND(Tabla2[[#This Row],[venc]]="venc",Tabla2[[#This Row],[Columna1]]="por pagar"),"vencida","no")</f>
        <v>no</v>
      </c>
    </row>
    <row r="1815" spans="1:23" x14ac:dyDescent="0.3">
      <c r="A1815">
        <v>30</v>
      </c>
      <c r="B1815">
        <v>0</v>
      </c>
      <c r="D1815" t="s">
        <v>255</v>
      </c>
      <c r="E1815" s="156">
        <v>44248</v>
      </c>
      <c r="F1815" t="s">
        <v>129</v>
      </c>
      <c r="G1815" s="156">
        <v>44204</v>
      </c>
      <c r="H1815" t="s">
        <v>1183</v>
      </c>
      <c r="I1815">
        <v>1372000</v>
      </c>
      <c r="K1815">
        <v>0</v>
      </c>
      <c r="M1815">
        <v>0</v>
      </c>
      <c r="N1815">
        <v>0</v>
      </c>
      <c r="O1815">
        <v>0</v>
      </c>
      <c r="P1815" s="117">
        <v>1372000</v>
      </c>
      <c r="Q1815" s="117" t="s">
        <v>1021</v>
      </c>
      <c r="R1815" s="150">
        <v>0</v>
      </c>
      <c r="S1815" s="117" t="b">
        <f>OR(COUNTIF(Tabla2[[#This Row],[PROVEEDOR]],"*"&amp;'Palabra no opera'!$A$2&amp;"*"))</f>
        <v>0</v>
      </c>
      <c r="T1815" s="150">
        <f>+$W$5-Tabla2[[#This Row],[FECHA DE FACTURACIÓN]]</f>
        <v>630</v>
      </c>
      <c r="U1815" t="str">
        <f>+IF(Tabla2[[#This Row],[dias de credito]]&gt;=Tabla2[[#This Row],[PLAZO Días]],"venc", "No venc")</f>
        <v>venc</v>
      </c>
      <c r="V1815" t="str">
        <f>+IF(Tabla2[[#This Row],[FECHA DE PAGO]]&gt;0,"pagada","por pagar")</f>
        <v>pagada</v>
      </c>
      <c r="W1815" s="152" t="str">
        <f>+IF(AND(Tabla2[[#This Row],[venc]]="venc",Tabla2[[#This Row],[Columna1]]="por pagar"),"vencida","no")</f>
        <v>no</v>
      </c>
    </row>
    <row r="1816" spans="1:23" x14ac:dyDescent="0.3">
      <c r="A1816">
        <v>30</v>
      </c>
      <c r="B1816">
        <v>0</v>
      </c>
      <c r="D1816" t="s">
        <v>139</v>
      </c>
      <c r="E1816" s="156">
        <v>44247</v>
      </c>
      <c r="F1816" t="s">
        <v>635</v>
      </c>
      <c r="G1816" s="156">
        <v>44247</v>
      </c>
      <c r="H1816">
        <v>2218</v>
      </c>
      <c r="I1816">
        <v>540000</v>
      </c>
      <c r="K1816">
        <v>0</v>
      </c>
      <c r="M1816">
        <v>0</v>
      </c>
      <c r="N1816">
        <v>0</v>
      </c>
      <c r="O1816">
        <v>0</v>
      </c>
      <c r="P1816" s="117">
        <v>540000</v>
      </c>
      <c r="Q1816" s="117" t="s">
        <v>1021</v>
      </c>
      <c r="R1816" s="150">
        <v>0</v>
      </c>
      <c r="S1816" s="117" t="b">
        <f>OR(COUNTIF(Tabla2[[#This Row],[PROVEEDOR]],"*"&amp;'Palabra no opera'!$A$2&amp;"*"))</f>
        <v>0</v>
      </c>
      <c r="T1816" s="150">
        <f>+$W$5-Tabla2[[#This Row],[FECHA DE FACTURACIÓN]]</f>
        <v>587</v>
      </c>
      <c r="U1816" t="str">
        <f>+IF(Tabla2[[#This Row],[dias de credito]]&gt;=Tabla2[[#This Row],[PLAZO Días]],"venc", "No venc")</f>
        <v>venc</v>
      </c>
      <c r="V1816" t="str">
        <f>+IF(Tabla2[[#This Row],[FECHA DE PAGO]]&gt;0,"pagada","por pagar")</f>
        <v>pagada</v>
      </c>
      <c r="W1816" s="152" t="str">
        <f>+IF(AND(Tabla2[[#This Row],[venc]]="venc",Tabla2[[#This Row],[Columna1]]="por pagar"),"vencida","no")</f>
        <v>no</v>
      </c>
    </row>
    <row r="1817" spans="1:23" x14ac:dyDescent="0.3">
      <c r="A1817">
        <v>30</v>
      </c>
      <c r="B1817">
        <v>0</v>
      </c>
      <c r="D1817" t="s">
        <v>139</v>
      </c>
      <c r="E1817" s="156">
        <v>44246</v>
      </c>
      <c r="F1817" t="s">
        <v>682</v>
      </c>
      <c r="G1817" s="156">
        <v>44246</v>
      </c>
      <c r="I1817">
        <v>20000</v>
      </c>
      <c r="K1817">
        <v>0</v>
      </c>
      <c r="M1817">
        <v>0</v>
      </c>
      <c r="N1817">
        <v>0</v>
      </c>
      <c r="O1817">
        <v>0</v>
      </c>
      <c r="P1817" s="117">
        <v>20000</v>
      </c>
      <c r="Q1817" s="117" t="s">
        <v>1021</v>
      </c>
      <c r="R1817" s="150">
        <v>0</v>
      </c>
      <c r="S1817" s="117" t="b">
        <f>OR(COUNTIF(Tabla2[[#This Row],[PROVEEDOR]],"*"&amp;'Palabra no opera'!$A$2&amp;"*"))</f>
        <v>0</v>
      </c>
      <c r="T1817" s="150">
        <f>+$W$5-Tabla2[[#This Row],[FECHA DE FACTURACIÓN]]</f>
        <v>588</v>
      </c>
      <c r="U1817" t="str">
        <f>+IF(Tabla2[[#This Row],[dias de credito]]&gt;=Tabla2[[#This Row],[PLAZO Días]],"venc", "No venc")</f>
        <v>venc</v>
      </c>
      <c r="V1817" t="str">
        <f>+IF(Tabla2[[#This Row],[FECHA DE PAGO]]&gt;0,"pagada","por pagar")</f>
        <v>pagada</v>
      </c>
      <c r="W1817" s="152" t="str">
        <f>+IF(AND(Tabla2[[#This Row],[venc]]="venc",Tabla2[[#This Row],[Columna1]]="por pagar"),"vencida","no")</f>
        <v>no</v>
      </c>
    </row>
    <row r="1818" spans="1:23" x14ac:dyDescent="0.3">
      <c r="A1818">
        <v>30</v>
      </c>
      <c r="B1818">
        <v>0</v>
      </c>
      <c r="D1818" t="s">
        <v>139</v>
      </c>
      <c r="E1818" s="156">
        <v>44245</v>
      </c>
      <c r="F1818" t="s">
        <v>673</v>
      </c>
      <c r="G1818" s="156">
        <v>44245</v>
      </c>
      <c r="I1818">
        <v>1000000</v>
      </c>
      <c r="K1818">
        <v>0</v>
      </c>
      <c r="M1818">
        <v>0</v>
      </c>
      <c r="N1818">
        <v>0</v>
      </c>
      <c r="O1818">
        <v>0</v>
      </c>
      <c r="P1818" s="117">
        <v>1000000</v>
      </c>
      <c r="Q1818" s="117" t="s">
        <v>1021</v>
      </c>
      <c r="R1818" s="150">
        <v>0</v>
      </c>
      <c r="S1818" s="117" t="b">
        <f>OR(COUNTIF(Tabla2[[#This Row],[PROVEEDOR]],"*"&amp;'Palabra no opera'!$A$2&amp;"*"))</f>
        <v>0</v>
      </c>
      <c r="T1818" s="150">
        <f>+$W$5-Tabla2[[#This Row],[FECHA DE FACTURACIÓN]]</f>
        <v>589</v>
      </c>
      <c r="U1818" t="str">
        <f>+IF(Tabla2[[#This Row],[dias de credito]]&gt;=Tabla2[[#This Row],[PLAZO Días]],"venc", "No venc")</f>
        <v>venc</v>
      </c>
      <c r="V1818" t="str">
        <f>+IF(Tabla2[[#This Row],[FECHA DE PAGO]]&gt;0,"pagada","por pagar")</f>
        <v>pagada</v>
      </c>
      <c r="W1818" s="152" t="str">
        <f>+IF(AND(Tabla2[[#This Row],[venc]]="venc",Tabla2[[#This Row],[Columna1]]="por pagar"),"vencida","no")</f>
        <v>no</v>
      </c>
    </row>
    <row r="1819" spans="1:23" x14ac:dyDescent="0.3">
      <c r="A1819">
        <v>30</v>
      </c>
      <c r="B1819">
        <v>0</v>
      </c>
      <c r="D1819" t="s">
        <v>255</v>
      </c>
      <c r="E1819" s="156">
        <v>44245</v>
      </c>
      <c r="F1819" t="s">
        <v>57</v>
      </c>
      <c r="G1819" s="156">
        <v>44245</v>
      </c>
      <c r="H1819" t="s">
        <v>215</v>
      </c>
      <c r="I1819">
        <v>1944000</v>
      </c>
      <c r="K1819">
        <v>0</v>
      </c>
      <c r="M1819">
        <v>0</v>
      </c>
      <c r="N1819">
        <v>0</v>
      </c>
      <c r="O1819">
        <v>0</v>
      </c>
      <c r="P1819" s="117">
        <v>1944000</v>
      </c>
      <c r="Q1819" s="117" t="s">
        <v>1021</v>
      </c>
      <c r="R1819" s="150">
        <v>0</v>
      </c>
      <c r="S1819" s="117" t="b">
        <f>OR(COUNTIF(Tabla2[[#This Row],[PROVEEDOR]],"*"&amp;'Palabra no opera'!$A$2&amp;"*"))</f>
        <v>0</v>
      </c>
      <c r="T1819" s="150">
        <f>+$W$5-Tabla2[[#This Row],[FECHA DE FACTURACIÓN]]</f>
        <v>589</v>
      </c>
      <c r="U1819" t="str">
        <f>+IF(Tabla2[[#This Row],[dias de credito]]&gt;=Tabla2[[#This Row],[PLAZO Días]],"venc", "No venc")</f>
        <v>venc</v>
      </c>
      <c r="V1819" t="str">
        <f>+IF(Tabla2[[#This Row],[FECHA DE PAGO]]&gt;0,"pagada","por pagar")</f>
        <v>pagada</v>
      </c>
      <c r="W1819" s="152" t="str">
        <f>+IF(AND(Tabla2[[#This Row],[venc]]="venc",Tabla2[[#This Row],[Columna1]]="por pagar"),"vencida","no")</f>
        <v>no</v>
      </c>
    </row>
    <row r="1820" spans="1:23" x14ac:dyDescent="0.3">
      <c r="A1820">
        <v>30</v>
      </c>
      <c r="B1820">
        <v>0</v>
      </c>
      <c r="D1820" t="s">
        <v>255</v>
      </c>
      <c r="E1820" s="156">
        <v>44245</v>
      </c>
      <c r="F1820" t="s">
        <v>129</v>
      </c>
      <c r="G1820" s="156">
        <v>44244</v>
      </c>
      <c r="H1820" t="s">
        <v>214</v>
      </c>
      <c r="I1820">
        <v>1190000</v>
      </c>
      <c r="K1820">
        <v>0</v>
      </c>
      <c r="M1820">
        <v>0</v>
      </c>
      <c r="N1820">
        <v>0</v>
      </c>
      <c r="O1820">
        <v>0</v>
      </c>
      <c r="P1820" s="117">
        <v>1190000</v>
      </c>
      <c r="Q1820" s="117" t="s">
        <v>1021</v>
      </c>
      <c r="R1820" s="150">
        <v>0</v>
      </c>
      <c r="S1820" s="117" t="b">
        <f>OR(COUNTIF(Tabla2[[#This Row],[PROVEEDOR]],"*"&amp;'Palabra no opera'!$A$2&amp;"*"))</f>
        <v>0</v>
      </c>
      <c r="T1820" s="150">
        <f>+$W$5-Tabla2[[#This Row],[FECHA DE FACTURACIÓN]]</f>
        <v>590</v>
      </c>
      <c r="U1820" t="str">
        <f>+IF(Tabla2[[#This Row],[dias de credito]]&gt;=Tabla2[[#This Row],[PLAZO Días]],"venc", "No venc")</f>
        <v>venc</v>
      </c>
      <c r="V1820" t="str">
        <f>+IF(Tabla2[[#This Row],[FECHA DE PAGO]]&gt;0,"pagada","por pagar")</f>
        <v>pagada</v>
      </c>
      <c r="W1820" s="152" t="str">
        <f>+IF(AND(Tabla2[[#This Row],[venc]]="venc",Tabla2[[#This Row],[Columna1]]="por pagar"),"vencida","no")</f>
        <v>no</v>
      </c>
    </row>
    <row r="1821" spans="1:23" x14ac:dyDescent="0.3">
      <c r="A1821">
        <v>30</v>
      </c>
      <c r="B1821">
        <v>0</v>
      </c>
      <c r="D1821" t="s">
        <v>139</v>
      </c>
      <c r="E1821" s="156">
        <v>44244</v>
      </c>
      <c r="F1821" t="s">
        <v>673</v>
      </c>
      <c r="G1821" s="156">
        <v>44244</v>
      </c>
      <c r="I1821">
        <v>1000000</v>
      </c>
      <c r="K1821">
        <v>0</v>
      </c>
      <c r="M1821">
        <v>0</v>
      </c>
      <c r="N1821">
        <v>0</v>
      </c>
      <c r="O1821">
        <v>0</v>
      </c>
      <c r="P1821" s="117">
        <v>1000000</v>
      </c>
      <c r="Q1821" s="117" t="s">
        <v>1021</v>
      </c>
      <c r="R1821" s="150">
        <v>0</v>
      </c>
      <c r="S1821" s="117" t="b">
        <f>OR(COUNTIF(Tabla2[[#This Row],[PROVEEDOR]],"*"&amp;'Palabra no opera'!$A$2&amp;"*"))</f>
        <v>0</v>
      </c>
      <c r="T1821" s="150">
        <f>+$W$5-Tabla2[[#This Row],[FECHA DE FACTURACIÓN]]</f>
        <v>590</v>
      </c>
      <c r="U1821" t="str">
        <f>+IF(Tabla2[[#This Row],[dias de credito]]&gt;=Tabla2[[#This Row],[PLAZO Días]],"venc", "No venc")</f>
        <v>venc</v>
      </c>
      <c r="V1821" t="str">
        <f>+IF(Tabla2[[#This Row],[FECHA DE PAGO]]&gt;0,"pagada","por pagar")</f>
        <v>pagada</v>
      </c>
      <c r="W1821" s="152" t="str">
        <f>+IF(AND(Tabla2[[#This Row],[venc]]="venc",Tabla2[[#This Row],[Columna1]]="por pagar"),"vencida","no")</f>
        <v>no</v>
      </c>
    </row>
    <row r="1822" spans="1:23" x14ac:dyDescent="0.3">
      <c r="A1822">
        <v>30</v>
      </c>
      <c r="B1822">
        <v>9756105</v>
      </c>
      <c r="D1822" t="s">
        <v>476</v>
      </c>
      <c r="E1822" s="156">
        <v>44243</v>
      </c>
      <c r="F1822" t="s">
        <v>670</v>
      </c>
      <c r="G1822" s="156">
        <v>44228</v>
      </c>
      <c r="H1822" t="s">
        <v>213</v>
      </c>
      <c r="I1822">
        <v>714500</v>
      </c>
      <c r="K1822">
        <v>0</v>
      </c>
      <c r="M1822">
        <v>0</v>
      </c>
      <c r="N1822">
        <v>0</v>
      </c>
      <c r="O1822">
        <v>0</v>
      </c>
      <c r="P1822" s="117">
        <v>714500</v>
      </c>
      <c r="Q1822" s="117" t="s">
        <v>1021</v>
      </c>
      <c r="R1822" s="150">
        <v>0</v>
      </c>
      <c r="S1822" s="117" t="b">
        <f>OR(COUNTIF(Tabla2[[#This Row],[PROVEEDOR]],"*"&amp;'Palabra no opera'!$A$2&amp;"*"))</f>
        <v>0</v>
      </c>
      <c r="T1822" s="150">
        <f>+$W$5-Tabla2[[#This Row],[FECHA DE FACTURACIÓN]]</f>
        <v>606</v>
      </c>
      <c r="U1822" t="str">
        <f>+IF(Tabla2[[#This Row],[dias de credito]]&gt;=Tabla2[[#This Row],[PLAZO Días]],"venc", "No venc")</f>
        <v>venc</v>
      </c>
      <c r="V1822" t="str">
        <f>+IF(Tabla2[[#This Row],[FECHA DE PAGO]]&gt;0,"pagada","por pagar")</f>
        <v>pagada</v>
      </c>
      <c r="W1822" s="152" t="str">
        <f>+IF(AND(Tabla2[[#This Row],[venc]]="venc",Tabla2[[#This Row],[Columna1]]="por pagar"),"vencida","no")</f>
        <v>no</v>
      </c>
    </row>
    <row r="1823" spans="1:23" x14ac:dyDescent="0.3">
      <c r="A1823">
        <v>30</v>
      </c>
      <c r="B1823">
        <v>0</v>
      </c>
      <c r="D1823" t="s">
        <v>676</v>
      </c>
      <c r="E1823" s="156">
        <v>44243</v>
      </c>
      <c r="F1823" t="s">
        <v>940</v>
      </c>
      <c r="G1823" s="156">
        <v>44228</v>
      </c>
      <c r="I1823">
        <v>250973</v>
      </c>
      <c r="K1823">
        <v>0</v>
      </c>
      <c r="M1823">
        <v>0</v>
      </c>
      <c r="N1823">
        <v>0</v>
      </c>
      <c r="O1823">
        <v>0</v>
      </c>
      <c r="P1823" s="117">
        <v>250973</v>
      </c>
      <c r="Q1823" s="117" t="s">
        <v>1021</v>
      </c>
      <c r="R1823" s="150">
        <v>0</v>
      </c>
      <c r="S1823" s="117" t="b">
        <f>OR(COUNTIF(Tabla2[[#This Row],[PROVEEDOR]],"*"&amp;'Palabra no opera'!$A$2&amp;"*"))</f>
        <v>1</v>
      </c>
      <c r="T1823" s="150">
        <f>+$W$5-Tabla2[[#This Row],[FECHA DE FACTURACIÓN]]</f>
        <v>606</v>
      </c>
      <c r="U1823" t="str">
        <f>+IF(Tabla2[[#This Row],[dias de credito]]&gt;=Tabla2[[#This Row],[PLAZO Días]],"venc", "No venc")</f>
        <v>venc</v>
      </c>
      <c r="V1823" t="str">
        <f>+IF(Tabla2[[#This Row],[FECHA DE PAGO]]&gt;0,"pagada","por pagar")</f>
        <v>pagada</v>
      </c>
      <c r="W1823" s="152" t="str">
        <f>+IF(AND(Tabla2[[#This Row],[venc]]="venc",Tabla2[[#This Row],[Columna1]]="por pagar"),"vencida","no")</f>
        <v>no</v>
      </c>
    </row>
    <row r="1824" spans="1:23" x14ac:dyDescent="0.3">
      <c r="A1824">
        <v>45</v>
      </c>
      <c r="B1824">
        <v>30078253.170000002</v>
      </c>
      <c r="D1824" t="s">
        <v>884</v>
      </c>
      <c r="E1824" s="156">
        <v>44243</v>
      </c>
      <c r="F1824" t="s">
        <v>19</v>
      </c>
      <c r="G1824" s="156">
        <v>44214</v>
      </c>
      <c r="H1824" t="s">
        <v>136</v>
      </c>
      <c r="I1824">
        <v>1778130</v>
      </c>
      <c r="K1824">
        <v>337844.7</v>
      </c>
      <c r="M1824">
        <v>0</v>
      </c>
      <c r="N1824">
        <v>0</v>
      </c>
      <c r="O1824">
        <v>0</v>
      </c>
      <c r="P1824" s="117">
        <v>2115974.7000000002</v>
      </c>
      <c r="Q1824" s="117" t="s">
        <v>1021</v>
      </c>
      <c r="R1824" s="150">
        <v>0</v>
      </c>
      <c r="S1824" s="117" t="b">
        <f>OR(COUNTIF(Tabla2[[#This Row],[PROVEEDOR]],"*"&amp;'Palabra no opera'!$A$2&amp;"*"))</f>
        <v>0</v>
      </c>
      <c r="T1824" s="150">
        <f>+$W$5-Tabla2[[#This Row],[FECHA DE FACTURACIÓN]]</f>
        <v>620</v>
      </c>
      <c r="U1824" t="str">
        <f>+IF(Tabla2[[#This Row],[dias de credito]]&gt;=Tabla2[[#This Row],[PLAZO Días]],"venc", "No venc")</f>
        <v>venc</v>
      </c>
      <c r="V1824" t="str">
        <f>+IF(Tabla2[[#This Row],[FECHA DE PAGO]]&gt;0,"pagada","por pagar")</f>
        <v>pagada</v>
      </c>
      <c r="W1824" s="152" t="str">
        <f>+IF(AND(Tabla2[[#This Row],[venc]]="venc",Tabla2[[#This Row],[Columna1]]="por pagar"),"vencida","no")</f>
        <v>no</v>
      </c>
    </row>
    <row r="1825" spans="1:23" x14ac:dyDescent="0.3">
      <c r="A1825">
        <v>90</v>
      </c>
      <c r="B1825">
        <v>18086014.540000003</v>
      </c>
      <c r="D1825" t="s">
        <v>271</v>
      </c>
      <c r="E1825" s="156">
        <v>44243</v>
      </c>
      <c r="F1825" t="s">
        <v>9</v>
      </c>
      <c r="G1825" s="156">
        <v>44187</v>
      </c>
      <c r="H1825">
        <v>68545</v>
      </c>
      <c r="I1825">
        <v>5954922</v>
      </c>
      <c r="K1825">
        <v>1131435.18</v>
      </c>
      <c r="L1825">
        <v>0.04</v>
      </c>
      <c r="M1825">
        <v>238196.88</v>
      </c>
      <c r="N1825">
        <v>2.5000000000000001E-2</v>
      </c>
      <c r="O1825">
        <v>148873.05000000002</v>
      </c>
      <c r="P1825" s="117">
        <v>6699287.25</v>
      </c>
      <c r="Q1825" s="117" t="s">
        <v>1021</v>
      </c>
      <c r="R1825" s="150">
        <v>0</v>
      </c>
      <c r="S1825" s="117" t="b">
        <f>OR(COUNTIF(Tabla2[[#This Row],[PROVEEDOR]],"*"&amp;'Palabra no opera'!$A$2&amp;"*"))</f>
        <v>0</v>
      </c>
      <c r="T1825" s="150">
        <f>+$W$5-Tabla2[[#This Row],[FECHA DE FACTURACIÓN]]</f>
        <v>647</v>
      </c>
      <c r="U1825" t="str">
        <f>+IF(Tabla2[[#This Row],[dias de credito]]&gt;=Tabla2[[#This Row],[PLAZO Días]],"venc", "No venc")</f>
        <v>venc</v>
      </c>
      <c r="V1825" t="str">
        <f>+IF(Tabla2[[#This Row],[FECHA DE PAGO]]&gt;0,"pagada","por pagar")</f>
        <v>pagada</v>
      </c>
      <c r="W1825" s="152" t="str">
        <f>+IF(AND(Tabla2[[#This Row],[venc]]="venc",Tabla2[[#This Row],[Columna1]]="por pagar"),"vencida","no")</f>
        <v>no</v>
      </c>
    </row>
    <row r="1826" spans="1:23" x14ac:dyDescent="0.3">
      <c r="A1826">
        <v>30</v>
      </c>
      <c r="B1826">
        <v>0</v>
      </c>
      <c r="D1826" t="s">
        <v>254</v>
      </c>
      <c r="E1826" s="156">
        <v>44243</v>
      </c>
      <c r="F1826" t="s">
        <v>46</v>
      </c>
      <c r="G1826" s="156">
        <v>44181</v>
      </c>
      <c r="H1826">
        <v>160215342</v>
      </c>
      <c r="I1826">
        <v>1631002</v>
      </c>
      <c r="K1826">
        <v>309890.38</v>
      </c>
      <c r="M1826">
        <v>0</v>
      </c>
      <c r="N1826">
        <v>0</v>
      </c>
      <c r="O1826">
        <v>0</v>
      </c>
      <c r="P1826" s="117">
        <v>1940892.38</v>
      </c>
      <c r="Q1826" s="117" t="s">
        <v>1021</v>
      </c>
      <c r="R1826" s="150">
        <v>0</v>
      </c>
      <c r="S1826" s="117" t="b">
        <f>OR(COUNTIF(Tabla2[[#This Row],[PROVEEDOR]],"*"&amp;'Palabra no opera'!$A$2&amp;"*"))</f>
        <v>0</v>
      </c>
      <c r="T1826" s="150">
        <f>+$W$5-Tabla2[[#This Row],[FECHA DE FACTURACIÓN]]</f>
        <v>653</v>
      </c>
      <c r="U1826" t="str">
        <f>+IF(Tabla2[[#This Row],[dias de credito]]&gt;=Tabla2[[#This Row],[PLAZO Días]],"venc", "No venc")</f>
        <v>venc</v>
      </c>
      <c r="V1826" t="str">
        <f>+IF(Tabla2[[#This Row],[FECHA DE PAGO]]&gt;0,"pagada","por pagar")</f>
        <v>pagada</v>
      </c>
      <c r="W1826" s="152" t="str">
        <f>+IF(AND(Tabla2[[#This Row],[venc]]="venc",Tabla2[[#This Row],[Columna1]]="por pagar"),"vencida","no")</f>
        <v>no</v>
      </c>
    </row>
    <row r="1827" spans="1:23" x14ac:dyDescent="0.3">
      <c r="A1827">
        <v>90</v>
      </c>
      <c r="B1827">
        <v>0</v>
      </c>
      <c r="D1827" t="s">
        <v>139</v>
      </c>
      <c r="E1827" s="156">
        <v>44240</v>
      </c>
      <c r="F1827" t="s">
        <v>651</v>
      </c>
      <c r="G1827" s="156">
        <v>44168</v>
      </c>
      <c r="H1827">
        <v>1483</v>
      </c>
      <c r="I1827">
        <v>6064000</v>
      </c>
      <c r="K1827">
        <v>0</v>
      </c>
      <c r="M1827">
        <v>0</v>
      </c>
      <c r="N1827">
        <v>0</v>
      </c>
      <c r="O1827">
        <v>0</v>
      </c>
      <c r="P1827" s="117">
        <v>6064000</v>
      </c>
      <c r="Q1827" s="117" t="s">
        <v>1021</v>
      </c>
      <c r="R1827" s="150">
        <v>0</v>
      </c>
      <c r="S1827" s="117" t="b">
        <f>OR(COUNTIF(Tabla2[[#This Row],[PROVEEDOR]],"*"&amp;'Palabra no opera'!$A$2&amp;"*"))</f>
        <v>0</v>
      </c>
      <c r="T1827" s="150">
        <f>+$W$5-Tabla2[[#This Row],[FECHA DE FACTURACIÓN]]</f>
        <v>666</v>
      </c>
      <c r="U1827" t="str">
        <f>+IF(Tabla2[[#This Row],[dias de credito]]&gt;=Tabla2[[#This Row],[PLAZO Días]],"venc", "No venc")</f>
        <v>venc</v>
      </c>
      <c r="V1827" t="str">
        <f>+IF(Tabla2[[#This Row],[FECHA DE PAGO]]&gt;0,"pagada","por pagar")</f>
        <v>pagada</v>
      </c>
      <c r="W1827" s="152" t="str">
        <f>+IF(AND(Tabla2[[#This Row],[venc]]="venc",Tabla2[[#This Row],[Columna1]]="por pagar"),"vencida","no")</f>
        <v>no</v>
      </c>
    </row>
    <row r="1828" spans="1:23" x14ac:dyDescent="0.3">
      <c r="A1828">
        <v>10</v>
      </c>
      <c r="B1828">
        <v>0</v>
      </c>
      <c r="D1828" t="s">
        <v>139</v>
      </c>
      <c r="E1828" s="156">
        <v>44239</v>
      </c>
      <c r="F1828" t="s">
        <v>23</v>
      </c>
      <c r="G1828" s="156">
        <v>44238</v>
      </c>
      <c r="H1828">
        <v>280191</v>
      </c>
      <c r="I1828">
        <v>6801300</v>
      </c>
      <c r="K1828">
        <v>0</v>
      </c>
      <c r="M1828">
        <v>0</v>
      </c>
      <c r="N1828">
        <v>0</v>
      </c>
      <c r="O1828">
        <v>0</v>
      </c>
      <c r="P1828" s="117">
        <v>6801300</v>
      </c>
      <c r="Q1828" s="117" t="s">
        <v>1021</v>
      </c>
      <c r="R1828" s="150">
        <v>0</v>
      </c>
      <c r="S1828" s="117" t="b">
        <f>OR(COUNTIF(Tabla2[[#This Row],[PROVEEDOR]],"*"&amp;'Palabra no opera'!$A$2&amp;"*"))</f>
        <v>0</v>
      </c>
      <c r="T1828" s="150">
        <f>+$W$5-Tabla2[[#This Row],[FECHA DE FACTURACIÓN]]</f>
        <v>596</v>
      </c>
      <c r="U1828" t="str">
        <f>+IF(Tabla2[[#This Row],[dias de credito]]&gt;=Tabla2[[#This Row],[PLAZO Días]],"venc", "No venc")</f>
        <v>venc</v>
      </c>
      <c r="V1828" t="str">
        <f>+IF(Tabla2[[#This Row],[FECHA DE PAGO]]&gt;0,"pagada","por pagar")</f>
        <v>pagada</v>
      </c>
      <c r="W1828" s="152" t="str">
        <f>+IF(AND(Tabla2[[#This Row],[venc]]="venc",Tabla2[[#This Row],[Columna1]]="por pagar"),"vencida","no")</f>
        <v>no</v>
      </c>
    </row>
    <row r="1829" spans="1:23" x14ac:dyDescent="0.3">
      <c r="A1829">
        <v>30</v>
      </c>
      <c r="B1829">
        <v>19675613.1195</v>
      </c>
      <c r="D1829" t="s">
        <v>256</v>
      </c>
      <c r="E1829" s="156">
        <v>44239</v>
      </c>
      <c r="F1829" t="s">
        <v>18</v>
      </c>
      <c r="G1829" s="156">
        <v>44235</v>
      </c>
      <c r="H1829" t="s">
        <v>180</v>
      </c>
      <c r="I1829">
        <v>-279600</v>
      </c>
      <c r="K1829">
        <v>-53124</v>
      </c>
      <c r="M1829">
        <v>0</v>
      </c>
      <c r="N1829">
        <v>0</v>
      </c>
      <c r="O1829">
        <v>0</v>
      </c>
      <c r="P1829" s="117">
        <v>-332724</v>
      </c>
      <c r="Q1829" s="117" t="s">
        <v>1021</v>
      </c>
      <c r="R1829" s="150">
        <v>0</v>
      </c>
      <c r="S1829" s="117" t="b">
        <f>OR(COUNTIF(Tabla2[[#This Row],[PROVEEDOR]],"*"&amp;'Palabra no opera'!$A$2&amp;"*"))</f>
        <v>0</v>
      </c>
      <c r="T1829" s="150">
        <f>+$W$5-Tabla2[[#This Row],[FECHA DE FACTURACIÓN]]</f>
        <v>599</v>
      </c>
      <c r="U1829" t="str">
        <f>+IF(Tabla2[[#This Row],[dias de credito]]&gt;=Tabla2[[#This Row],[PLAZO Días]],"venc", "No venc")</f>
        <v>venc</v>
      </c>
      <c r="V1829" t="str">
        <f>+IF(Tabla2[[#This Row],[FECHA DE PAGO]]&gt;0,"pagada","por pagar")</f>
        <v>pagada</v>
      </c>
      <c r="W1829" s="152" t="str">
        <f>+IF(AND(Tabla2[[#This Row],[venc]]="venc",Tabla2[[#This Row],[Columna1]]="por pagar"),"vencida","no")</f>
        <v>no</v>
      </c>
    </row>
    <row r="1830" spans="1:23" x14ac:dyDescent="0.3">
      <c r="A1830">
        <v>30</v>
      </c>
      <c r="B1830">
        <v>0</v>
      </c>
      <c r="D1830" t="s">
        <v>287</v>
      </c>
      <c r="E1830" s="156">
        <v>44239</v>
      </c>
      <c r="F1830" t="s">
        <v>176</v>
      </c>
      <c r="G1830" s="156">
        <v>44229</v>
      </c>
      <c r="H1830">
        <v>1528</v>
      </c>
      <c r="I1830">
        <v>134453.78</v>
      </c>
      <c r="K1830">
        <v>25546.218199999999</v>
      </c>
      <c r="M1830">
        <v>0</v>
      </c>
      <c r="N1830">
        <v>0</v>
      </c>
      <c r="O1830">
        <v>0</v>
      </c>
      <c r="P1830" s="117">
        <v>159999.9982</v>
      </c>
      <c r="Q1830" s="117" t="s">
        <v>1021</v>
      </c>
      <c r="R1830" s="150">
        <v>0</v>
      </c>
      <c r="S1830" s="117" t="b">
        <f>OR(COUNTIF(Tabla2[[#This Row],[PROVEEDOR]],"*"&amp;'Palabra no opera'!$A$2&amp;"*"))</f>
        <v>0</v>
      </c>
      <c r="T1830" s="150">
        <f>+$W$5-Tabla2[[#This Row],[FECHA DE FACTURACIÓN]]</f>
        <v>605</v>
      </c>
      <c r="U1830" t="str">
        <f>+IF(Tabla2[[#This Row],[dias de credito]]&gt;=Tabla2[[#This Row],[PLAZO Días]],"venc", "No venc")</f>
        <v>venc</v>
      </c>
      <c r="V1830" t="str">
        <f>+IF(Tabla2[[#This Row],[FECHA DE PAGO]]&gt;0,"pagada","por pagar")</f>
        <v>pagada</v>
      </c>
      <c r="W1830" s="152" t="str">
        <f>+IF(AND(Tabla2[[#This Row],[venc]]="venc",Tabla2[[#This Row],[Columna1]]="por pagar"),"vencida","no")</f>
        <v>no</v>
      </c>
    </row>
    <row r="1831" spans="1:23" x14ac:dyDescent="0.3">
      <c r="A1831">
        <v>0</v>
      </c>
      <c r="B1831">
        <v>0</v>
      </c>
      <c r="D1831" t="s">
        <v>171</v>
      </c>
      <c r="E1831" s="156">
        <v>44239</v>
      </c>
      <c r="F1831" t="s">
        <v>939</v>
      </c>
      <c r="G1831" s="156">
        <v>44228</v>
      </c>
      <c r="H1831">
        <v>252</v>
      </c>
      <c r="I1831">
        <v>600000</v>
      </c>
      <c r="K1831">
        <v>114000</v>
      </c>
      <c r="M1831">
        <v>0</v>
      </c>
      <c r="N1831">
        <v>0</v>
      </c>
      <c r="O1831">
        <v>0</v>
      </c>
      <c r="P1831" s="117">
        <v>714000</v>
      </c>
      <c r="Q1831" s="117" t="s">
        <v>1021</v>
      </c>
      <c r="R1831" s="150">
        <v>0</v>
      </c>
      <c r="S1831" s="117" t="b">
        <f>OR(COUNTIF(Tabla2[[#This Row],[PROVEEDOR]],"*"&amp;'Palabra no opera'!$A$2&amp;"*"))</f>
        <v>1</v>
      </c>
      <c r="T1831" s="150">
        <f>+$W$5-Tabla2[[#This Row],[FECHA DE FACTURACIÓN]]</f>
        <v>606</v>
      </c>
      <c r="U1831" t="str">
        <f>+IF(Tabla2[[#This Row],[dias de credito]]&gt;=Tabla2[[#This Row],[PLAZO Días]],"venc", "No venc")</f>
        <v>venc</v>
      </c>
      <c r="V1831" t="str">
        <f>+IF(Tabla2[[#This Row],[FECHA DE PAGO]]&gt;0,"pagada","por pagar")</f>
        <v>pagada</v>
      </c>
      <c r="W1831" s="152" t="str">
        <f>+IF(AND(Tabla2[[#This Row],[venc]]="venc",Tabla2[[#This Row],[Columna1]]="por pagar"),"vencida","no")</f>
        <v>no</v>
      </c>
    </row>
    <row r="1832" spans="1:23" x14ac:dyDescent="0.3">
      <c r="A1832">
        <v>30</v>
      </c>
      <c r="B1832">
        <v>0</v>
      </c>
      <c r="D1832" t="s">
        <v>250</v>
      </c>
      <c r="E1832" s="156">
        <v>44239</v>
      </c>
      <c r="F1832" t="s">
        <v>1451</v>
      </c>
      <c r="G1832" s="156">
        <v>44228</v>
      </c>
      <c r="H1832">
        <v>66</v>
      </c>
      <c r="I1832">
        <v>144000</v>
      </c>
      <c r="K1832">
        <v>0</v>
      </c>
      <c r="M1832">
        <v>0</v>
      </c>
      <c r="N1832">
        <v>0</v>
      </c>
      <c r="O1832">
        <v>0</v>
      </c>
      <c r="P1832" s="117">
        <v>144000</v>
      </c>
      <c r="Q1832" s="117" t="s">
        <v>1021</v>
      </c>
      <c r="R1832" s="150">
        <v>0</v>
      </c>
      <c r="S1832" s="117" t="b">
        <f>OR(COUNTIF(Tabla2[[#This Row],[PROVEEDOR]],"*"&amp;'Palabra no opera'!$A$2&amp;"*"))</f>
        <v>0</v>
      </c>
      <c r="T1832" s="150">
        <f>+$W$5-Tabla2[[#This Row],[FECHA DE FACTURACIÓN]]</f>
        <v>606</v>
      </c>
      <c r="U1832" t="str">
        <f>+IF(Tabla2[[#This Row],[dias de credito]]&gt;=Tabla2[[#This Row],[PLAZO Días]],"venc", "No venc")</f>
        <v>venc</v>
      </c>
      <c r="V1832" t="str">
        <f>+IF(Tabla2[[#This Row],[FECHA DE PAGO]]&gt;0,"pagada","por pagar")</f>
        <v>pagada</v>
      </c>
      <c r="W1832" s="152" t="str">
        <f>+IF(AND(Tabla2[[#This Row],[venc]]="venc",Tabla2[[#This Row],[Columna1]]="por pagar"),"vencida","no")</f>
        <v>no</v>
      </c>
    </row>
    <row r="1833" spans="1:23" x14ac:dyDescent="0.3">
      <c r="A1833">
        <v>30</v>
      </c>
      <c r="B1833">
        <v>0</v>
      </c>
      <c r="D1833" t="s">
        <v>261</v>
      </c>
      <c r="E1833" s="156">
        <v>44239</v>
      </c>
      <c r="F1833" t="s">
        <v>746</v>
      </c>
      <c r="G1833" s="156">
        <v>44217</v>
      </c>
      <c r="H1833">
        <v>729</v>
      </c>
      <c r="I1833">
        <v>311764.71000000002</v>
      </c>
      <c r="K1833">
        <v>59235.294900000008</v>
      </c>
      <c r="M1833">
        <v>0</v>
      </c>
      <c r="N1833">
        <v>0</v>
      </c>
      <c r="O1833">
        <v>0</v>
      </c>
      <c r="P1833" s="117">
        <v>371000.00490000006</v>
      </c>
      <c r="Q1833" s="117" t="s">
        <v>1021</v>
      </c>
      <c r="R1833" s="150">
        <v>0</v>
      </c>
      <c r="S1833" s="117" t="b">
        <f>OR(COUNTIF(Tabla2[[#This Row],[PROVEEDOR]],"*"&amp;'Palabra no opera'!$A$2&amp;"*"))</f>
        <v>0</v>
      </c>
      <c r="T1833" s="150">
        <f>+$W$5-Tabla2[[#This Row],[FECHA DE FACTURACIÓN]]</f>
        <v>617</v>
      </c>
      <c r="U1833" t="str">
        <f>+IF(Tabla2[[#This Row],[dias de credito]]&gt;=Tabla2[[#This Row],[PLAZO Días]],"venc", "No venc")</f>
        <v>venc</v>
      </c>
      <c r="V1833" t="str">
        <f>+IF(Tabla2[[#This Row],[FECHA DE PAGO]]&gt;0,"pagada","por pagar")</f>
        <v>pagada</v>
      </c>
      <c r="W1833" s="152" t="str">
        <f>+IF(AND(Tabla2[[#This Row],[venc]]="venc",Tabla2[[#This Row],[Columna1]]="por pagar"),"vencida","no")</f>
        <v>no</v>
      </c>
    </row>
    <row r="1834" spans="1:23" x14ac:dyDescent="0.3">
      <c r="A1834">
        <v>45</v>
      </c>
      <c r="B1834">
        <v>30078253.170000002</v>
      </c>
      <c r="D1834" t="s">
        <v>884</v>
      </c>
      <c r="E1834" s="156">
        <v>44239</v>
      </c>
      <c r="F1834" t="s">
        <v>19</v>
      </c>
      <c r="G1834" s="156">
        <v>44201</v>
      </c>
      <c r="H1834" t="s">
        <v>103</v>
      </c>
      <c r="I1834">
        <v>3875040.3361344538</v>
      </c>
      <c r="K1834">
        <v>736257.66386554623</v>
      </c>
      <c r="M1834">
        <v>0</v>
      </c>
      <c r="N1834">
        <v>0</v>
      </c>
      <c r="O1834">
        <v>0</v>
      </c>
      <c r="P1834" s="117">
        <v>4611298</v>
      </c>
      <c r="Q1834" s="117" t="s">
        <v>1021</v>
      </c>
      <c r="R1834" s="150">
        <v>0</v>
      </c>
      <c r="S1834" s="117" t="b">
        <f>OR(COUNTIF(Tabla2[[#This Row],[PROVEEDOR]],"*"&amp;'Palabra no opera'!$A$2&amp;"*"))</f>
        <v>0</v>
      </c>
      <c r="T1834" s="150">
        <f>+$W$5-Tabla2[[#This Row],[FECHA DE FACTURACIÓN]]</f>
        <v>633</v>
      </c>
      <c r="U1834" t="str">
        <f>+IF(Tabla2[[#This Row],[dias de credito]]&gt;=Tabla2[[#This Row],[PLAZO Días]],"venc", "No venc")</f>
        <v>venc</v>
      </c>
      <c r="V1834" t="str">
        <f>+IF(Tabla2[[#This Row],[FECHA DE PAGO]]&gt;0,"pagada","por pagar")</f>
        <v>pagada</v>
      </c>
      <c r="W1834" s="152" t="str">
        <f>+IF(AND(Tabla2[[#This Row],[venc]]="venc",Tabla2[[#This Row],[Columna1]]="por pagar"),"vencida","no")</f>
        <v>no</v>
      </c>
    </row>
    <row r="1835" spans="1:23" x14ac:dyDescent="0.3">
      <c r="A1835">
        <v>30</v>
      </c>
      <c r="B1835">
        <v>19675613.1195</v>
      </c>
      <c r="D1835" t="s">
        <v>256</v>
      </c>
      <c r="E1835" s="156">
        <v>44239</v>
      </c>
      <c r="F1835" t="s">
        <v>18</v>
      </c>
      <c r="G1835" s="156">
        <v>44191</v>
      </c>
      <c r="H1835">
        <v>1032784</v>
      </c>
      <c r="I1835">
        <v>1615387.1176470588</v>
      </c>
      <c r="K1835">
        <v>306923.55235294119</v>
      </c>
      <c r="M1835">
        <v>0</v>
      </c>
      <c r="N1835">
        <v>2.5000000000000001E-2</v>
      </c>
      <c r="O1835">
        <v>40384.677941176473</v>
      </c>
      <c r="P1835" s="117">
        <v>1881925.9920588234</v>
      </c>
      <c r="Q1835" s="117" t="s">
        <v>1021</v>
      </c>
      <c r="R1835" s="150">
        <v>0</v>
      </c>
      <c r="S1835" s="117" t="b">
        <f>OR(COUNTIF(Tabla2[[#This Row],[PROVEEDOR]],"*"&amp;'Palabra no opera'!$A$2&amp;"*"))</f>
        <v>0</v>
      </c>
      <c r="T1835" s="150">
        <f>+$W$5-Tabla2[[#This Row],[FECHA DE FACTURACIÓN]]</f>
        <v>643</v>
      </c>
      <c r="U1835" t="str">
        <f>+IF(Tabla2[[#This Row],[dias de credito]]&gt;=Tabla2[[#This Row],[PLAZO Días]],"venc", "No venc")</f>
        <v>venc</v>
      </c>
      <c r="V1835" t="str">
        <f>+IF(Tabla2[[#This Row],[FECHA DE PAGO]]&gt;0,"pagada","por pagar")</f>
        <v>pagada</v>
      </c>
      <c r="W1835" s="152" t="str">
        <f>+IF(AND(Tabla2[[#This Row],[venc]]="venc",Tabla2[[#This Row],[Columna1]]="por pagar"),"vencida","no")</f>
        <v>no</v>
      </c>
    </row>
    <row r="1836" spans="1:23" x14ac:dyDescent="0.3">
      <c r="A1836">
        <v>30</v>
      </c>
      <c r="B1836">
        <v>0</v>
      </c>
      <c r="D1836" t="s">
        <v>261</v>
      </c>
      <c r="E1836" s="156">
        <v>44239</v>
      </c>
      <c r="F1836" t="s">
        <v>746</v>
      </c>
      <c r="G1836" s="156">
        <v>44179</v>
      </c>
      <c r="H1836">
        <v>528</v>
      </c>
      <c r="I1836">
        <v>630252.9411764706</v>
      </c>
      <c r="K1836">
        <v>119748.05882352941</v>
      </c>
      <c r="M1836">
        <v>0</v>
      </c>
      <c r="N1836">
        <v>0</v>
      </c>
      <c r="O1836">
        <v>0</v>
      </c>
      <c r="P1836" s="117">
        <v>750001</v>
      </c>
      <c r="Q1836" s="117" t="s">
        <v>1021</v>
      </c>
      <c r="R1836" s="150">
        <v>0</v>
      </c>
      <c r="S1836" s="117" t="b">
        <f>OR(COUNTIF(Tabla2[[#This Row],[PROVEEDOR]],"*"&amp;'Palabra no opera'!$A$2&amp;"*"))</f>
        <v>0</v>
      </c>
      <c r="T1836" s="150">
        <f>+$W$5-Tabla2[[#This Row],[FECHA DE FACTURACIÓN]]</f>
        <v>655</v>
      </c>
      <c r="U1836" t="str">
        <f>+IF(Tabla2[[#This Row],[dias de credito]]&gt;=Tabla2[[#This Row],[PLAZO Días]],"venc", "No venc")</f>
        <v>venc</v>
      </c>
      <c r="V1836" t="str">
        <f>+IF(Tabla2[[#This Row],[FECHA DE PAGO]]&gt;0,"pagada","por pagar")</f>
        <v>pagada</v>
      </c>
      <c r="W1836" s="152" t="str">
        <f>+IF(AND(Tabla2[[#This Row],[venc]]="venc",Tabla2[[#This Row],[Columna1]]="por pagar"),"vencida","no")</f>
        <v>no</v>
      </c>
    </row>
    <row r="1837" spans="1:23" x14ac:dyDescent="0.3">
      <c r="A1837">
        <v>30</v>
      </c>
      <c r="B1837">
        <v>8457900</v>
      </c>
      <c r="D1837" t="s">
        <v>1027</v>
      </c>
      <c r="E1837" s="156">
        <v>44239</v>
      </c>
      <c r="F1837" t="s">
        <v>11</v>
      </c>
      <c r="G1837" s="156">
        <v>44179</v>
      </c>
      <c r="H1837" t="s">
        <v>87</v>
      </c>
      <c r="I1837">
        <v>1980000</v>
      </c>
      <c r="K1837">
        <v>376200</v>
      </c>
      <c r="M1837">
        <v>0</v>
      </c>
      <c r="N1837">
        <v>2.5000000000000001E-2</v>
      </c>
      <c r="O1837">
        <v>49500</v>
      </c>
      <c r="P1837" s="117">
        <v>2306700</v>
      </c>
      <c r="Q1837" s="117" t="s">
        <v>1021</v>
      </c>
      <c r="R1837" s="150">
        <v>0</v>
      </c>
      <c r="S1837" s="117" t="b">
        <f>OR(COUNTIF(Tabla2[[#This Row],[PROVEEDOR]],"*"&amp;'Palabra no opera'!$A$2&amp;"*"))</f>
        <v>0</v>
      </c>
      <c r="T1837" s="150">
        <f>+$W$5-Tabla2[[#This Row],[FECHA DE FACTURACIÓN]]</f>
        <v>655</v>
      </c>
      <c r="U1837" t="str">
        <f>+IF(Tabla2[[#This Row],[dias de credito]]&gt;=Tabla2[[#This Row],[PLAZO Días]],"venc", "No venc")</f>
        <v>venc</v>
      </c>
      <c r="V1837" t="str">
        <f>+IF(Tabla2[[#This Row],[FECHA DE PAGO]]&gt;0,"pagada","por pagar")</f>
        <v>pagada</v>
      </c>
      <c r="W1837" s="152" t="str">
        <f>+IF(AND(Tabla2[[#This Row],[venc]]="venc",Tabla2[[#This Row],[Columna1]]="por pagar"),"vencida","no")</f>
        <v>no</v>
      </c>
    </row>
    <row r="1838" spans="1:23" x14ac:dyDescent="0.3">
      <c r="A1838">
        <v>30</v>
      </c>
      <c r="B1838">
        <v>2111011.8149999999</v>
      </c>
      <c r="D1838" t="s">
        <v>251</v>
      </c>
      <c r="E1838" s="156">
        <v>44239</v>
      </c>
      <c r="F1838" t="s">
        <v>216</v>
      </c>
      <c r="G1838" s="156">
        <v>44158</v>
      </c>
      <c r="H1838">
        <v>27</v>
      </c>
      <c r="I1838">
        <v>1917313.4453781513</v>
      </c>
      <c r="K1838">
        <v>364289.55462184874</v>
      </c>
      <c r="M1838">
        <v>0</v>
      </c>
      <c r="N1838">
        <v>2.5000000000000001E-2</v>
      </c>
      <c r="O1838">
        <v>47932.836134453784</v>
      </c>
      <c r="P1838" s="117">
        <v>2233670.1638655462</v>
      </c>
      <c r="Q1838" s="117" t="s">
        <v>1021</v>
      </c>
      <c r="R1838" s="150">
        <v>0</v>
      </c>
      <c r="S1838" s="117" t="b">
        <f>OR(COUNTIF(Tabla2[[#This Row],[PROVEEDOR]],"*"&amp;'Palabra no opera'!$A$2&amp;"*"))</f>
        <v>0</v>
      </c>
      <c r="T1838" s="150">
        <f>+$W$5-Tabla2[[#This Row],[FECHA DE FACTURACIÓN]]</f>
        <v>676</v>
      </c>
      <c r="U1838" t="str">
        <f>+IF(Tabla2[[#This Row],[dias de credito]]&gt;=Tabla2[[#This Row],[PLAZO Días]],"venc", "No venc")</f>
        <v>venc</v>
      </c>
      <c r="V1838" t="str">
        <f>+IF(Tabla2[[#This Row],[FECHA DE PAGO]]&gt;0,"pagada","por pagar")</f>
        <v>pagada</v>
      </c>
      <c r="W1838" s="152" t="str">
        <f>+IF(AND(Tabla2[[#This Row],[venc]]="venc",Tabla2[[#This Row],[Columna1]]="por pagar"),"vencida","no")</f>
        <v>no</v>
      </c>
    </row>
    <row r="1839" spans="1:23" x14ac:dyDescent="0.3">
      <c r="A1839">
        <v>30</v>
      </c>
      <c r="B1839">
        <v>0</v>
      </c>
      <c r="D1839" t="s">
        <v>139</v>
      </c>
      <c r="E1839" s="156">
        <v>44237</v>
      </c>
      <c r="F1839" t="s">
        <v>638</v>
      </c>
      <c r="G1839" s="156">
        <v>44228</v>
      </c>
      <c r="H1839" t="s">
        <v>1189</v>
      </c>
      <c r="I1839">
        <v>3313000</v>
      </c>
      <c r="K1839">
        <v>0</v>
      </c>
      <c r="M1839">
        <v>0</v>
      </c>
      <c r="N1839">
        <v>0</v>
      </c>
      <c r="O1839">
        <v>0</v>
      </c>
      <c r="P1839" s="117">
        <v>3313000</v>
      </c>
      <c r="Q1839" s="117" t="s">
        <v>1021</v>
      </c>
      <c r="R1839" s="150">
        <v>0</v>
      </c>
      <c r="S1839" s="117" t="b">
        <f>OR(COUNTIF(Tabla2[[#This Row],[PROVEEDOR]],"*"&amp;'Palabra no opera'!$A$2&amp;"*"))</f>
        <v>0</v>
      </c>
      <c r="T1839" s="150">
        <f>+$W$5-Tabla2[[#This Row],[FECHA DE FACTURACIÓN]]</f>
        <v>606</v>
      </c>
      <c r="U1839" t="str">
        <f>+IF(Tabla2[[#This Row],[dias de credito]]&gt;=Tabla2[[#This Row],[PLAZO Días]],"venc", "No venc")</f>
        <v>venc</v>
      </c>
      <c r="V1839" t="str">
        <f>+IF(Tabla2[[#This Row],[FECHA DE PAGO]]&gt;0,"pagada","por pagar")</f>
        <v>pagada</v>
      </c>
      <c r="W1839" s="152" t="str">
        <f>+IF(AND(Tabla2[[#This Row],[venc]]="venc",Tabla2[[#This Row],[Columna1]]="por pagar"),"vencida","no")</f>
        <v>no</v>
      </c>
    </row>
    <row r="1840" spans="1:23" x14ac:dyDescent="0.3">
      <c r="A1840">
        <v>30</v>
      </c>
      <c r="B1840">
        <v>0</v>
      </c>
      <c r="D1840" t="s">
        <v>139</v>
      </c>
      <c r="E1840" s="156">
        <v>44236</v>
      </c>
      <c r="F1840" t="s">
        <v>27</v>
      </c>
      <c r="G1840" s="156">
        <v>44235</v>
      </c>
      <c r="H1840">
        <v>128121</v>
      </c>
      <c r="I1840">
        <v>4914648</v>
      </c>
      <c r="K1840">
        <v>0</v>
      </c>
      <c r="M1840">
        <v>0</v>
      </c>
      <c r="N1840">
        <v>0</v>
      </c>
      <c r="O1840">
        <v>0</v>
      </c>
      <c r="P1840" s="117">
        <v>4914648</v>
      </c>
      <c r="Q1840" s="117" t="s">
        <v>1021</v>
      </c>
      <c r="R1840" s="150">
        <v>0</v>
      </c>
      <c r="S1840" s="117" t="b">
        <f>OR(COUNTIF(Tabla2[[#This Row],[PROVEEDOR]],"*"&amp;'Palabra no opera'!$A$2&amp;"*"))</f>
        <v>0</v>
      </c>
      <c r="T1840" s="150">
        <f>+$W$5-Tabla2[[#This Row],[FECHA DE FACTURACIÓN]]</f>
        <v>599</v>
      </c>
      <c r="U1840" t="str">
        <f>+IF(Tabla2[[#This Row],[dias de credito]]&gt;=Tabla2[[#This Row],[PLAZO Días]],"venc", "No venc")</f>
        <v>venc</v>
      </c>
      <c r="V1840" t="str">
        <f>+IF(Tabla2[[#This Row],[FECHA DE PAGO]]&gt;0,"pagada","por pagar")</f>
        <v>pagada</v>
      </c>
      <c r="W1840" s="152" t="str">
        <f>+IF(AND(Tabla2[[#This Row],[venc]]="venc",Tabla2[[#This Row],[Columna1]]="por pagar"),"vencida","no")</f>
        <v>no</v>
      </c>
    </row>
    <row r="1841" spans="1:23" x14ac:dyDescent="0.3">
      <c r="A1841">
        <v>30</v>
      </c>
      <c r="B1841">
        <v>0</v>
      </c>
      <c r="D1841" t="s">
        <v>250</v>
      </c>
      <c r="E1841" s="156">
        <v>44235</v>
      </c>
      <c r="F1841" t="s">
        <v>1450</v>
      </c>
      <c r="G1841" s="156">
        <v>44228</v>
      </c>
      <c r="H1841">
        <v>263</v>
      </c>
      <c r="I1841">
        <v>184000</v>
      </c>
      <c r="K1841">
        <v>0</v>
      </c>
      <c r="M1841">
        <v>0</v>
      </c>
      <c r="N1841">
        <v>0</v>
      </c>
      <c r="O1841">
        <v>0</v>
      </c>
      <c r="P1841" s="117">
        <v>184000</v>
      </c>
      <c r="Q1841" s="117" t="s">
        <v>1021</v>
      </c>
      <c r="R1841" s="150">
        <v>0</v>
      </c>
      <c r="S1841" s="117" t="b">
        <f>OR(COUNTIF(Tabla2[[#This Row],[PROVEEDOR]],"*"&amp;'Palabra no opera'!$A$2&amp;"*"))</f>
        <v>0</v>
      </c>
      <c r="T1841" s="150">
        <f>+$W$5-Tabla2[[#This Row],[FECHA DE FACTURACIÓN]]</f>
        <v>606</v>
      </c>
      <c r="U1841" t="str">
        <f>+IF(Tabla2[[#This Row],[dias de credito]]&gt;=Tabla2[[#This Row],[PLAZO Días]],"venc", "No venc")</f>
        <v>venc</v>
      </c>
      <c r="V1841" t="str">
        <f>+IF(Tabla2[[#This Row],[FECHA DE PAGO]]&gt;0,"pagada","por pagar")</f>
        <v>pagada</v>
      </c>
      <c r="W1841" s="152" t="str">
        <f>+IF(AND(Tabla2[[#This Row],[venc]]="venc",Tabla2[[#This Row],[Columna1]]="por pagar"),"vencida","no")</f>
        <v>no</v>
      </c>
    </row>
    <row r="1842" spans="1:23" x14ac:dyDescent="0.3">
      <c r="A1842">
        <v>30</v>
      </c>
      <c r="B1842">
        <v>0</v>
      </c>
      <c r="D1842" t="s">
        <v>258</v>
      </c>
      <c r="E1842" s="156">
        <v>44235</v>
      </c>
      <c r="F1842" t="s">
        <v>667</v>
      </c>
      <c r="G1842" s="156">
        <v>44218</v>
      </c>
      <c r="H1842">
        <v>3971</v>
      </c>
      <c r="I1842">
        <v>800000</v>
      </c>
      <c r="K1842">
        <v>0</v>
      </c>
      <c r="M1842">
        <v>0</v>
      </c>
      <c r="N1842">
        <v>0</v>
      </c>
      <c r="O1842">
        <v>0</v>
      </c>
      <c r="P1842" s="117">
        <v>800000</v>
      </c>
      <c r="Q1842" s="117" t="s">
        <v>1021</v>
      </c>
      <c r="R1842" s="150">
        <v>0</v>
      </c>
      <c r="S1842" s="117" t="b">
        <f>OR(COUNTIF(Tabla2[[#This Row],[PROVEEDOR]],"*"&amp;'Palabra no opera'!$A$2&amp;"*"))</f>
        <v>0</v>
      </c>
      <c r="T1842" s="150">
        <f>+$W$5-Tabla2[[#This Row],[FECHA DE FACTURACIÓN]]</f>
        <v>616</v>
      </c>
      <c r="U1842" t="str">
        <f>+IF(Tabla2[[#This Row],[dias de credito]]&gt;=Tabla2[[#This Row],[PLAZO Días]],"venc", "No venc")</f>
        <v>venc</v>
      </c>
      <c r="V1842" t="str">
        <f>+IF(Tabla2[[#This Row],[FECHA DE PAGO]]&gt;0,"pagada","por pagar")</f>
        <v>pagada</v>
      </c>
      <c r="W1842" s="152" t="str">
        <f>+IF(AND(Tabla2[[#This Row],[venc]]="venc",Tabla2[[#This Row],[Columna1]]="por pagar"),"vencida","no")</f>
        <v>no</v>
      </c>
    </row>
    <row r="1843" spans="1:23" x14ac:dyDescent="0.3">
      <c r="A1843">
        <v>30</v>
      </c>
      <c r="B1843">
        <v>3450150</v>
      </c>
      <c r="D1843" t="s">
        <v>402</v>
      </c>
      <c r="E1843" s="156">
        <v>44235</v>
      </c>
      <c r="F1843" t="s">
        <v>691</v>
      </c>
      <c r="G1843" s="156">
        <v>44215</v>
      </c>
      <c r="H1843">
        <v>2576</v>
      </c>
      <c r="I1843">
        <v>2422500</v>
      </c>
      <c r="K1843">
        <v>0</v>
      </c>
      <c r="M1843">
        <v>0</v>
      </c>
      <c r="N1843">
        <v>0</v>
      </c>
      <c r="O1843">
        <v>0</v>
      </c>
      <c r="P1843" s="117">
        <v>2422500</v>
      </c>
      <c r="Q1843" s="117" t="s">
        <v>1021</v>
      </c>
      <c r="R1843" s="150">
        <v>0</v>
      </c>
      <c r="S1843" s="117" t="b">
        <f>OR(COUNTIF(Tabla2[[#This Row],[PROVEEDOR]],"*"&amp;'Palabra no opera'!$A$2&amp;"*"))</f>
        <v>0</v>
      </c>
      <c r="T1843" s="150">
        <f>+$W$5-Tabla2[[#This Row],[FECHA DE FACTURACIÓN]]</f>
        <v>619</v>
      </c>
      <c r="U1843" t="str">
        <f>+IF(Tabla2[[#This Row],[dias de credito]]&gt;=Tabla2[[#This Row],[PLAZO Días]],"venc", "No venc")</f>
        <v>venc</v>
      </c>
      <c r="V1843" t="str">
        <f>+IF(Tabla2[[#This Row],[FECHA DE PAGO]]&gt;0,"pagada","por pagar")</f>
        <v>pagada</v>
      </c>
      <c r="W1843" s="152" t="str">
        <f>+IF(AND(Tabla2[[#This Row],[venc]]="venc",Tabla2[[#This Row],[Columna1]]="por pagar"),"vencida","no")</f>
        <v>no</v>
      </c>
    </row>
    <row r="1844" spans="1:23" x14ac:dyDescent="0.3">
      <c r="A1844">
        <v>30</v>
      </c>
      <c r="B1844">
        <v>0</v>
      </c>
      <c r="D1844" t="s">
        <v>139</v>
      </c>
      <c r="E1844" s="156">
        <v>44235</v>
      </c>
      <c r="F1844" t="s">
        <v>679</v>
      </c>
      <c r="G1844" s="156">
        <v>44187</v>
      </c>
      <c r="H1844">
        <v>46883</v>
      </c>
      <c r="I1844">
        <v>2046000</v>
      </c>
      <c r="K1844">
        <v>0</v>
      </c>
      <c r="M1844">
        <v>0</v>
      </c>
      <c r="N1844">
        <v>0</v>
      </c>
      <c r="O1844">
        <v>0</v>
      </c>
      <c r="P1844" s="117">
        <v>2046000</v>
      </c>
      <c r="Q1844" s="117" t="s">
        <v>1021</v>
      </c>
      <c r="R1844" s="150">
        <v>0</v>
      </c>
      <c r="S1844" s="117" t="b">
        <f>OR(COUNTIF(Tabla2[[#This Row],[PROVEEDOR]],"*"&amp;'Palabra no opera'!$A$2&amp;"*"))</f>
        <v>0</v>
      </c>
      <c r="T1844" s="150">
        <f>+$W$5-Tabla2[[#This Row],[FECHA DE FACTURACIÓN]]</f>
        <v>647</v>
      </c>
      <c r="U1844" t="str">
        <f>+IF(Tabla2[[#This Row],[dias de credito]]&gt;=Tabla2[[#This Row],[PLAZO Días]],"venc", "No venc")</f>
        <v>venc</v>
      </c>
      <c r="V1844" t="str">
        <f>+IF(Tabla2[[#This Row],[FECHA DE PAGO]]&gt;0,"pagada","por pagar")</f>
        <v>pagada</v>
      </c>
      <c r="W1844" s="152" t="str">
        <f>+IF(AND(Tabla2[[#This Row],[venc]]="venc",Tabla2[[#This Row],[Columna1]]="por pagar"),"vencida","no")</f>
        <v>no</v>
      </c>
    </row>
    <row r="1845" spans="1:23" x14ac:dyDescent="0.3">
      <c r="A1845">
        <v>30</v>
      </c>
      <c r="B1845">
        <v>0</v>
      </c>
      <c r="D1845" t="s">
        <v>139</v>
      </c>
      <c r="E1845" s="156">
        <v>44233</v>
      </c>
      <c r="F1845" t="s">
        <v>635</v>
      </c>
      <c r="G1845" s="156">
        <v>44233</v>
      </c>
      <c r="I1845">
        <v>880000</v>
      </c>
      <c r="K1845">
        <v>0</v>
      </c>
      <c r="M1845">
        <v>0</v>
      </c>
      <c r="N1845">
        <v>0</v>
      </c>
      <c r="O1845">
        <v>0</v>
      </c>
      <c r="P1845" s="117">
        <v>880000</v>
      </c>
      <c r="Q1845" s="117" t="s">
        <v>1021</v>
      </c>
      <c r="R1845" s="150">
        <v>0</v>
      </c>
      <c r="S1845" s="117" t="b">
        <f>OR(COUNTIF(Tabla2[[#This Row],[PROVEEDOR]],"*"&amp;'Palabra no opera'!$A$2&amp;"*"))</f>
        <v>0</v>
      </c>
      <c r="T1845" s="150">
        <f>+$W$5-Tabla2[[#This Row],[FECHA DE FACTURACIÓN]]</f>
        <v>601</v>
      </c>
      <c r="U1845" t="str">
        <f>+IF(Tabla2[[#This Row],[dias de credito]]&gt;=Tabla2[[#This Row],[PLAZO Días]],"venc", "No venc")</f>
        <v>venc</v>
      </c>
      <c r="V1845" t="str">
        <f>+IF(Tabla2[[#This Row],[FECHA DE PAGO]]&gt;0,"pagada","por pagar")</f>
        <v>pagada</v>
      </c>
      <c r="W1845" s="152" t="str">
        <f>+IF(AND(Tabla2[[#This Row],[venc]]="venc",Tabla2[[#This Row],[Columna1]]="por pagar"),"vencida","no")</f>
        <v>no</v>
      </c>
    </row>
    <row r="1846" spans="1:23" x14ac:dyDescent="0.3">
      <c r="A1846">
        <v>30</v>
      </c>
      <c r="B1846">
        <v>0</v>
      </c>
      <c r="D1846" t="s">
        <v>139</v>
      </c>
      <c r="E1846" s="156">
        <v>44232</v>
      </c>
      <c r="F1846" t="s">
        <v>661</v>
      </c>
      <c r="G1846" s="156">
        <v>44232</v>
      </c>
      <c r="H1846" t="s">
        <v>1192</v>
      </c>
      <c r="I1846">
        <v>1192000</v>
      </c>
      <c r="K1846">
        <v>0</v>
      </c>
      <c r="M1846">
        <v>0</v>
      </c>
      <c r="N1846">
        <v>0</v>
      </c>
      <c r="O1846">
        <v>0</v>
      </c>
      <c r="P1846" s="117">
        <v>1192000</v>
      </c>
      <c r="Q1846" s="117" t="s">
        <v>1021</v>
      </c>
      <c r="R1846" s="150">
        <v>0</v>
      </c>
      <c r="S1846" s="117" t="b">
        <f>OR(COUNTIF(Tabla2[[#This Row],[PROVEEDOR]],"*"&amp;'Palabra no opera'!$A$2&amp;"*"))</f>
        <v>0</v>
      </c>
      <c r="T1846" s="150">
        <f>+$W$5-Tabla2[[#This Row],[FECHA DE FACTURACIÓN]]</f>
        <v>602</v>
      </c>
      <c r="U1846" t="str">
        <f>+IF(Tabla2[[#This Row],[dias de credito]]&gt;=Tabla2[[#This Row],[PLAZO Días]],"venc", "No venc")</f>
        <v>venc</v>
      </c>
      <c r="V1846" t="str">
        <f>+IF(Tabla2[[#This Row],[FECHA DE PAGO]]&gt;0,"pagada","por pagar")</f>
        <v>pagada</v>
      </c>
      <c r="W1846" s="152" t="str">
        <f>+IF(AND(Tabla2[[#This Row],[venc]]="venc",Tabla2[[#This Row],[Columna1]]="por pagar"),"vencida","no")</f>
        <v>no</v>
      </c>
    </row>
    <row r="1847" spans="1:23" x14ac:dyDescent="0.3">
      <c r="A1847">
        <v>30</v>
      </c>
      <c r="B1847">
        <v>0</v>
      </c>
      <c r="D1847" t="s">
        <v>139</v>
      </c>
      <c r="E1847" s="156">
        <v>44230</v>
      </c>
      <c r="F1847" t="s">
        <v>673</v>
      </c>
      <c r="G1847" s="156">
        <v>44230</v>
      </c>
      <c r="I1847">
        <v>2000000</v>
      </c>
      <c r="K1847">
        <v>0</v>
      </c>
      <c r="M1847">
        <v>0</v>
      </c>
      <c r="N1847">
        <v>0</v>
      </c>
      <c r="O1847">
        <v>0</v>
      </c>
      <c r="P1847" s="117">
        <v>2000000</v>
      </c>
      <c r="Q1847" s="117" t="s">
        <v>1021</v>
      </c>
      <c r="R1847" s="150">
        <v>0</v>
      </c>
      <c r="S1847" s="117" t="b">
        <f>OR(COUNTIF(Tabla2[[#This Row],[PROVEEDOR]],"*"&amp;'Palabra no opera'!$A$2&amp;"*"))</f>
        <v>0</v>
      </c>
      <c r="T1847" s="150">
        <f>+$W$5-Tabla2[[#This Row],[FECHA DE FACTURACIÓN]]</f>
        <v>604</v>
      </c>
      <c r="U1847" t="str">
        <f>+IF(Tabla2[[#This Row],[dias de credito]]&gt;=Tabla2[[#This Row],[PLAZO Días]],"venc", "No venc")</f>
        <v>venc</v>
      </c>
      <c r="V1847" t="str">
        <f>+IF(Tabla2[[#This Row],[FECHA DE PAGO]]&gt;0,"pagada","por pagar")</f>
        <v>pagada</v>
      </c>
      <c r="W1847" s="152" t="str">
        <f>+IF(AND(Tabla2[[#This Row],[venc]]="venc",Tabla2[[#This Row],[Columna1]]="por pagar"),"vencida","no")</f>
        <v>no</v>
      </c>
    </row>
    <row r="1848" spans="1:23" x14ac:dyDescent="0.3">
      <c r="A1848">
        <v>30</v>
      </c>
      <c r="B1848">
        <v>4656887.12</v>
      </c>
      <c r="D1848" t="s">
        <v>170</v>
      </c>
      <c r="E1848" s="156">
        <v>44230</v>
      </c>
      <c r="F1848" t="s">
        <v>20</v>
      </c>
      <c r="G1848" s="156">
        <v>44188</v>
      </c>
      <c r="H1848">
        <v>2967</v>
      </c>
      <c r="I1848">
        <v>1833067</v>
      </c>
      <c r="K1848">
        <v>348282.73</v>
      </c>
      <c r="M1848">
        <v>0</v>
      </c>
      <c r="N1848">
        <v>2.5000000000000001E-2</v>
      </c>
      <c r="O1848">
        <v>45826.675000000003</v>
      </c>
      <c r="P1848" s="117">
        <v>2135523.0550000002</v>
      </c>
      <c r="Q1848" s="117" t="s">
        <v>1021</v>
      </c>
      <c r="R1848" s="150">
        <v>0</v>
      </c>
      <c r="S1848" s="117" t="b">
        <f>OR(COUNTIF(Tabla2[[#This Row],[PROVEEDOR]],"*"&amp;'Palabra no opera'!$A$2&amp;"*"))</f>
        <v>0</v>
      </c>
      <c r="T1848" s="150">
        <f>+$W$5-Tabla2[[#This Row],[FECHA DE FACTURACIÓN]]</f>
        <v>646</v>
      </c>
      <c r="U1848" t="str">
        <f>+IF(Tabla2[[#This Row],[dias de credito]]&gt;=Tabla2[[#This Row],[PLAZO Días]],"venc", "No venc")</f>
        <v>venc</v>
      </c>
      <c r="V1848" t="str">
        <f>+IF(Tabla2[[#This Row],[FECHA DE PAGO]]&gt;0,"pagada","por pagar")</f>
        <v>pagada</v>
      </c>
      <c r="W1848" s="152" t="str">
        <f>+IF(AND(Tabla2[[#This Row],[venc]]="venc",Tabla2[[#This Row],[Columna1]]="por pagar"),"vencida","no")</f>
        <v>no</v>
      </c>
    </row>
    <row r="1849" spans="1:23" x14ac:dyDescent="0.3">
      <c r="A1849">
        <v>30</v>
      </c>
      <c r="B1849">
        <v>0</v>
      </c>
      <c r="D1849" t="s">
        <v>139</v>
      </c>
      <c r="E1849" s="156">
        <v>44230</v>
      </c>
      <c r="F1849" t="s">
        <v>654</v>
      </c>
      <c r="G1849" s="156">
        <v>44183</v>
      </c>
      <c r="I1849">
        <v>3778000</v>
      </c>
      <c r="K1849">
        <v>0</v>
      </c>
      <c r="M1849">
        <v>0</v>
      </c>
      <c r="N1849">
        <v>0</v>
      </c>
      <c r="O1849">
        <v>0</v>
      </c>
      <c r="P1849" s="117">
        <v>3778000</v>
      </c>
      <c r="Q1849" s="117" t="s">
        <v>1021</v>
      </c>
      <c r="R1849" s="150">
        <v>0</v>
      </c>
      <c r="S1849" s="117" t="b">
        <f>OR(COUNTIF(Tabla2[[#This Row],[PROVEEDOR]],"*"&amp;'Palabra no opera'!$A$2&amp;"*"))</f>
        <v>0</v>
      </c>
      <c r="T1849" s="150">
        <f>+$W$5-Tabla2[[#This Row],[FECHA DE FACTURACIÓN]]</f>
        <v>651</v>
      </c>
      <c r="U1849" t="str">
        <f>+IF(Tabla2[[#This Row],[dias de credito]]&gt;=Tabla2[[#This Row],[PLAZO Días]],"venc", "No venc")</f>
        <v>venc</v>
      </c>
      <c r="V1849" t="str">
        <f>+IF(Tabla2[[#This Row],[FECHA DE PAGO]]&gt;0,"pagada","por pagar")</f>
        <v>pagada</v>
      </c>
      <c r="W1849" s="152" t="str">
        <f>+IF(AND(Tabla2[[#This Row],[venc]]="venc",Tabla2[[#This Row],[Columna1]]="por pagar"),"vencida","no")</f>
        <v>no</v>
      </c>
    </row>
    <row r="1850" spans="1:23" x14ac:dyDescent="0.3">
      <c r="A1850">
        <v>30</v>
      </c>
      <c r="B1850">
        <v>0</v>
      </c>
      <c r="D1850" t="s">
        <v>139</v>
      </c>
      <c r="E1850" s="156">
        <v>44229</v>
      </c>
      <c r="F1850" t="s">
        <v>636</v>
      </c>
      <c r="G1850" s="156">
        <v>44229</v>
      </c>
      <c r="I1850">
        <v>385000</v>
      </c>
      <c r="K1850">
        <v>0</v>
      </c>
      <c r="M1850">
        <v>0</v>
      </c>
      <c r="N1850">
        <v>0</v>
      </c>
      <c r="O1850">
        <v>0</v>
      </c>
      <c r="P1850" s="117">
        <v>385000</v>
      </c>
      <c r="Q1850" s="117" t="s">
        <v>1021</v>
      </c>
      <c r="R1850" s="150">
        <v>0</v>
      </c>
      <c r="S1850" s="117" t="b">
        <f>OR(COUNTIF(Tabla2[[#This Row],[PROVEEDOR]],"*"&amp;'Palabra no opera'!$A$2&amp;"*"))</f>
        <v>0</v>
      </c>
      <c r="T1850" s="150">
        <f>+$W$5-Tabla2[[#This Row],[FECHA DE FACTURACIÓN]]</f>
        <v>605</v>
      </c>
      <c r="U1850" t="str">
        <f>+IF(Tabla2[[#This Row],[dias de credito]]&gt;=Tabla2[[#This Row],[PLAZO Días]],"venc", "No venc")</f>
        <v>venc</v>
      </c>
      <c r="V1850" t="str">
        <f>+IF(Tabla2[[#This Row],[FECHA DE PAGO]]&gt;0,"pagada","por pagar")</f>
        <v>pagada</v>
      </c>
      <c r="W1850" s="152" t="str">
        <f>+IF(AND(Tabla2[[#This Row],[venc]]="venc",Tabla2[[#This Row],[Columna1]]="por pagar"),"vencida","no")</f>
        <v>no</v>
      </c>
    </row>
    <row r="1851" spans="1:23" x14ac:dyDescent="0.3">
      <c r="A1851">
        <v>0</v>
      </c>
      <c r="B1851">
        <v>0</v>
      </c>
      <c r="D1851" t="s">
        <v>171</v>
      </c>
      <c r="E1851" s="156">
        <v>44229</v>
      </c>
      <c r="F1851" t="s">
        <v>939</v>
      </c>
      <c r="G1851" s="156">
        <v>44197</v>
      </c>
      <c r="H1851">
        <v>204</v>
      </c>
      <c r="I1851">
        <v>490000</v>
      </c>
      <c r="K1851">
        <v>93100</v>
      </c>
      <c r="M1851">
        <v>0</v>
      </c>
      <c r="N1851">
        <v>0</v>
      </c>
      <c r="O1851">
        <v>0</v>
      </c>
      <c r="P1851" s="117">
        <v>583100</v>
      </c>
      <c r="Q1851" s="117" t="s">
        <v>1021</v>
      </c>
      <c r="R1851" s="150">
        <v>0</v>
      </c>
      <c r="S1851" s="117" t="b">
        <f>OR(COUNTIF(Tabla2[[#This Row],[PROVEEDOR]],"*"&amp;'Palabra no opera'!$A$2&amp;"*"))</f>
        <v>1</v>
      </c>
      <c r="T1851" s="150">
        <f>+$W$5-Tabla2[[#This Row],[FECHA DE FACTURACIÓN]]</f>
        <v>637</v>
      </c>
      <c r="U1851" t="str">
        <f>+IF(Tabla2[[#This Row],[dias de credito]]&gt;=Tabla2[[#This Row],[PLAZO Días]],"venc", "No venc")</f>
        <v>venc</v>
      </c>
      <c r="V1851" t="str">
        <f>+IF(Tabla2[[#This Row],[FECHA DE PAGO]]&gt;0,"pagada","por pagar")</f>
        <v>pagada</v>
      </c>
      <c r="W1851" s="152" t="str">
        <f>+IF(AND(Tabla2[[#This Row],[venc]]="venc",Tabla2[[#This Row],[Columna1]]="por pagar"),"vencida","no")</f>
        <v>no</v>
      </c>
    </row>
    <row r="1852" spans="1:23" x14ac:dyDescent="0.3">
      <c r="A1852">
        <v>30</v>
      </c>
      <c r="B1852">
        <v>0</v>
      </c>
      <c r="D1852" t="s">
        <v>431</v>
      </c>
      <c r="E1852" s="156">
        <v>44229</v>
      </c>
      <c r="F1852" t="s">
        <v>677</v>
      </c>
      <c r="G1852" s="156">
        <v>44191</v>
      </c>
      <c r="H1852">
        <v>906</v>
      </c>
      <c r="I1852">
        <v>1460000</v>
      </c>
      <c r="K1852">
        <v>0</v>
      </c>
      <c r="M1852">
        <v>0</v>
      </c>
      <c r="N1852">
        <v>0</v>
      </c>
      <c r="O1852">
        <v>0</v>
      </c>
      <c r="P1852" s="117">
        <v>1460000</v>
      </c>
      <c r="Q1852" s="117" t="s">
        <v>1021</v>
      </c>
      <c r="R1852" s="150">
        <v>0</v>
      </c>
      <c r="S1852" s="117" t="b">
        <f>OR(COUNTIF(Tabla2[[#This Row],[PROVEEDOR]],"*"&amp;'Palabra no opera'!$A$2&amp;"*"))</f>
        <v>0</v>
      </c>
      <c r="T1852" s="150">
        <f>+$W$5-Tabla2[[#This Row],[FECHA DE FACTURACIÓN]]</f>
        <v>643</v>
      </c>
      <c r="U1852" t="str">
        <f>+IF(Tabla2[[#This Row],[dias de credito]]&gt;=Tabla2[[#This Row],[PLAZO Días]],"venc", "No venc")</f>
        <v>venc</v>
      </c>
      <c r="V1852" t="str">
        <f>+IF(Tabla2[[#This Row],[FECHA DE PAGO]]&gt;0,"pagada","por pagar")</f>
        <v>pagada</v>
      </c>
      <c r="W1852" s="152" t="str">
        <f>+IF(AND(Tabla2[[#This Row],[venc]]="venc",Tabla2[[#This Row],[Columna1]]="por pagar"),"vencida","no")</f>
        <v>no</v>
      </c>
    </row>
    <row r="1853" spans="1:23" x14ac:dyDescent="0.3">
      <c r="A1853">
        <v>45</v>
      </c>
      <c r="B1853">
        <v>7497238</v>
      </c>
      <c r="D1853" t="s">
        <v>272</v>
      </c>
      <c r="E1853" s="156">
        <v>44229</v>
      </c>
      <c r="F1853" t="s">
        <v>10</v>
      </c>
      <c r="G1853" s="156">
        <v>44181</v>
      </c>
      <c r="H1853" t="s">
        <v>90</v>
      </c>
      <c r="I1853">
        <v>920000</v>
      </c>
      <c r="K1853">
        <v>174800</v>
      </c>
      <c r="M1853">
        <v>0</v>
      </c>
      <c r="N1853">
        <v>0</v>
      </c>
      <c r="O1853">
        <v>0</v>
      </c>
      <c r="P1853" s="117">
        <v>1094800</v>
      </c>
      <c r="Q1853" s="117" t="s">
        <v>1021</v>
      </c>
      <c r="R1853" s="150">
        <v>0</v>
      </c>
      <c r="S1853" s="117" t="b">
        <f>OR(COUNTIF(Tabla2[[#This Row],[PROVEEDOR]],"*"&amp;'Palabra no opera'!$A$2&amp;"*"))</f>
        <v>0</v>
      </c>
      <c r="T1853" s="150">
        <f>+$W$5-Tabla2[[#This Row],[FECHA DE FACTURACIÓN]]</f>
        <v>653</v>
      </c>
      <c r="U1853" t="str">
        <f>+IF(Tabla2[[#This Row],[dias de credito]]&gt;=Tabla2[[#This Row],[PLAZO Días]],"venc", "No venc")</f>
        <v>venc</v>
      </c>
      <c r="V1853" t="str">
        <f>+IF(Tabla2[[#This Row],[FECHA DE PAGO]]&gt;0,"pagada","por pagar")</f>
        <v>pagada</v>
      </c>
      <c r="W1853" s="152" t="str">
        <f>+IF(AND(Tabla2[[#This Row],[venc]]="venc",Tabla2[[#This Row],[Columna1]]="por pagar"),"vencida","no")</f>
        <v>no</v>
      </c>
    </row>
    <row r="1854" spans="1:23" x14ac:dyDescent="0.3">
      <c r="A1854">
        <v>30</v>
      </c>
      <c r="B1854">
        <v>0</v>
      </c>
      <c r="D1854" t="s">
        <v>1653</v>
      </c>
      <c r="E1854" s="156">
        <v>44229</v>
      </c>
      <c r="F1854" t="s">
        <v>24</v>
      </c>
      <c r="G1854" s="156">
        <v>44176</v>
      </c>
      <c r="H1854" t="s">
        <v>86</v>
      </c>
      <c r="I1854">
        <v>2056764</v>
      </c>
      <c r="K1854">
        <v>390785.16000000003</v>
      </c>
      <c r="M1854">
        <v>0</v>
      </c>
      <c r="N1854">
        <v>2.5000000000000001E-2</v>
      </c>
      <c r="O1854">
        <v>51419.100000000006</v>
      </c>
      <c r="P1854" s="117">
        <v>2396130.06</v>
      </c>
      <c r="Q1854" s="117" t="s">
        <v>1021</v>
      </c>
      <c r="R1854" s="150">
        <v>0</v>
      </c>
      <c r="S1854" s="117" t="b">
        <f>OR(COUNTIF(Tabla2[[#This Row],[PROVEEDOR]],"*"&amp;'Palabra no opera'!$A$2&amp;"*"))</f>
        <v>0</v>
      </c>
      <c r="T1854" s="150">
        <f>+$W$5-Tabla2[[#This Row],[FECHA DE FACTURACIÓN]]</f>
        <v>658</v>
      </c>
      <c r="U1854" t="str">
        <f>+IF(Tabla2[[#This Row],[dias de credito]]&gt;=Tabla2[[#This Row],[PLAZO Días]],"venc", "No venc")</f>
        <v>venc</v>
      </c>
      <c r="V1854" t="str">
        <f>+IF(Tabla2[[#This Row],[FECHA DE PAGO]]&gt;0,"pagada","por pagar")</f>
        <v>pagada</v>
      </c>
      <c r="W1854" s="152" t="str">
        <f>+IF(AND(Tabla2[[#This Row],[venc]]="venc",Tabla2[[#This Row],[Columna1]]="por pagar"),"vencida","no")</f>
        <v>no</v>
      </c>
    </row>
    <row r="1855" spans="1:23" x14ac:dyDescent="0.3">
      <c r="A1855">
        <v>45</v>
      </c>
      <c r="B1855">
        <v>7497238</v>
      </c>
      <c r="D1855" t="s">
        <v>272</v>
      </c>
      <c r="E1855" s="156">
        <v>44229</v>
      </c>
      <c r="F1855" t="s">
        <v>10</v>
      </c>
      <c r="G1855" s="156">
        <v>44169</v>
      </c>
      <c r="H1855" t="s">
        <v>85</v>
      </c>
      <c r="I1855">
        <v>800000</v>
      </c>
      <c r="K1855">
        <v>152000</v>
      </c>
      <c r="M1855">
        <v>0</v>
      </c>
      <c r="N1855">
        <v>0</v>
      </c>
      <c r="O1855">
        <v>0</v>
      </c>
      <c r="P1855" s="117">
        <v>952000</v>
      </c>
      <c r="Q1855" s="117" t="s">
        <v>1021</v>
      </c>
      <c r="R1855" s="150">
        <v>0</v>
      </c>
      <c r="S1855" s="117" t="b">
        <f>OR(COUNTIF(Tabla2[[#This Row],[PROVEEDOR]],"*"&amp;'Palabra no opera'!$A$2&amp;"*"))</f>
        <v>0</v>
      </c>
      <c r="T1855" s="150">
        <f>+$W$5-Tabla2[[#This Row],[FECHA DE FACTURACIÓN]]</f>
        <v>665</v>
      </c>
      <c r="U1855" t="str">
        <f>+IF(Tabla2[[#This Row],[dias de credito]]&gt;=Tabla2[[#This Row],[PLAZO Días]],"venc", "No venc")</f>
        <v>venc</v>
      </c>
      <c r="V1855" t="str">
        <f>+IF(Tabla2[[#This Row],[FECHA DE PAGO]]&gt;0,"pagada","por pagar")</f>
        <v>pagada</v>
      </c>
      <c r="W1855" s="152" t="str">
        <f>+IF(AND(Tabla2[[#This Row],[venc]]="venc",Tabla2[[#This Row],[Columna1]]="por pagar"),"vencida","no")</f>
        <v>no</v>
      </c>
    </row>
    <row r="1856" spans="1:23" x14ac:dyDescent="0.3">
      <c r="A1856">
        <v>45</v>
      </c>
      <c r="B1856">
        <v>7497238</v>
      </c>
      <c r="D1856" t="s">
        <v>272</v>
      </c>
      <c r="E1856" s="156">
        <v>44229</v>
      </c>
      <c r="F1856" t="s">
        <v>10</v>
      </c>
      <c r="G1856" s="156">
        <v>44168</v>
      </c>
      <c r="H1856" t="s">
        <v>84</v>
      </c>
      <c r="I1856">
        <v>2291200</v>
      </c>
      <c r="K1856">
        <v>435328</v>
      </c>
      <c r="M1856">
        <v>0</v>
      </c>
      <c r="N1856">
        <v>0</v>
      </c>
      <c r="O1856">
        <v>0</v>
      </c>
      <c r="P1856" s="117">
        <v>2726528</v>
      </c>
      <c r="Q1856" s="117" t="s">
        <v>1021</v>
      </c>
      <c r="R1856" s="150">
        <v>0</v>
      </c>
      <c r="S1856" s="117" t="b">
        <f>OR(COUNTIF(Tabla2[[#This Row],[PROVEEDOR]],"*"&amp;'Palabra no opera'!$A$2&amp;"*"))</f>
        <v>0</v>
      </c>
      <c r="T1856" s="150">
        <f>+$W$5-Tabla2[[#This Row],[FECHA DE FACTURACIÓN]]</f>
        <v>666</v>
      </c>
      <c r="U1856" t="str">
        <f>+IF(Tabla2[[#This Row],[dias de credito]]&gt;=Tabla2[[#This Row],[PLAZO Días]],"venc", "No venc")</f>
        <v>venc</v>
      </c>
      <c r="V1856" t="str">
        <f>+IF(Tabla2[[#This Row],[FECHA DE PAGO]]&gt;0,"pagada","por pagar")</f>
        <v>pagada</v>
      </c>
      <c r="W1856" s="152" t="str">
        <f>+IF(AND(Tabla2[[#This Row],[venc]]="venc",Tabla2[[#This Row],[Columna1]]="por pagar"),"vencida","no")</f>
        <v>no</v>
      </c>
    </row>
    <row r="1857" spans="1:23" x14ac:dyDescent="0.3">
      <c r="A1857">
        <v>30</v>
      </c>
      <c r="B1857">
        <v>0</v>
      </c>
      <c r="D1857" t="s">
        <v>139</v>
      </c>
      <c r="E1857" s="156">
        <v>44227</v>
      </c>
      <c r="F1857" t="s">
        <v>644</v>
      </c>
      <c r="G1857" s="156">
        <v>44227</v>
      </c>
      <c r="H1857" t="s">
        <v>1186</v>
      </c>
      <c r="I1857">
        <v>88500</v>
      </c>
      <c r="K1857">
        <v>0</v>
      </c>
      <c r="M1857">
        <v>0</v>
      </c>
      <c r="N1857">
        <v>0</v>
      </c>
      <c r="O1857">
        <v>0</v>
      </c>
      <c r="P1857" s="117">
        <v>88500</v>
      </c>
      <c r="Q1857" s="117" t="s">
        <v>1021</v>
      </c>
      <c r="R1857" s="150">
        <v>0</v>
      </c>
      <c r="S1857" s="117" t="b">
        <f>OR(COUNTIF(Tabla2[[#This Row],[PROVEEDOR]],"*"&amp;'Palabra no opera'!$A$2&amp;"*"))</f>
        <v>0</v>
      </c>
      <c r="T1857" s="150">
        <f>+$W$5-Tabla2[[#This Row],[FECHA DE FACTURACIÓN]]</f>
        <v>607</v>
      </c>
      <c r="U1857" t="str">
        <f>+IF(Tabla2[[#This Row],[dias de credito]]&gt;=Tabla2[[#This Row],[PLAZO Días]],"venc", "No venc")</f>
        <v>venc</v>
      </c>
      <c r="V1857" t="str">
        <f>+IF(Tabla2[[#This Row],[FECHA DE PAGO]]&gt;0,"pagada","por pagar")</f>
        <v>pagada</v>
      </c>
      <c r="W1857" s="152" t="str">
        <f>+IF(AND(Tabla2[[#This Row],[venc]]="venc",Tabla2[[#This Row],[Columna1]]="por pagar"),"vencida","no")</f>
        <v>no</v>
      </c>
    </row>
    <row r="1858" spans="1:23" x14ac:dyDescent="0.3">
      <c r="A1858">
        <v>30</v>
      </c>
      <c r="B1858">
        <v>0</v>
      </c>
      <c r="D1858" t="s">
        <v>139</v>
      </c>
      <c r="E1858" s="156">
        <v>44227</v>
      </c>
      <c r="F1858" t="s">
        <v>644</v>
      </c>
      <c r="G1858" s="156">
        <v>44227</v>
      </c>
      <c r="H1858" t="s">
        <v>1187</v>
      </c>
      <c r="I1858">
        <v>190000</v>
      </c>
      <c r="K1858">
        <v>0</v>
      </c>
      <c r="M1858">
        <v>0</v>
      </c>
      <c r="N1858">
        <v>0</v>
      </c>
      <c r="O1858">
        <v>0</v>
      </c>
      <c r="P1858" s="117">
        <v>190000</v>
      </c>
      <c r="Q1858" s="117" t="s">
        <v>1021</v>
      </c>
      <c r="R1858" s="150">
        <v>0</v>
      </c>
      <c r="S1858" s="117" t="b">
        <f>OR(COUNTIF(Tabla2[[#This Row],[PROVEEDOR]],"*"&amp;'Palabra no opera'!$A$2&amp;"*"))</f>
        <v>0</v>
      </c>
      <c r="T1858" s="150">
        <f>+$W$5-Tabla2[[#This Row],[FECHA DE FACTURACIÓN]]</f>
        <v>607</v>
      </c>
      <c r="U1858" t="str">
        <f>+IF(Tabla2[[#This Row],[dias de credito]]&gt;=Tabla2[[#This Row],[PLAZO Días]],"venc", "No venc")</f>
        <v>venc</v>
      </c>
      <c r="V1858" t="str">
        <f>+IF(Tabla2[[#This Row],[FECHA DE PAGO]]&gt;0,"pagada","por pagar")</f>
        <v>pagada</v>
      </c>
      <c r="W1858" s="152" t="str">
        <f>+IF(AND(Tabla2[[#This Row],[venc]]="venc",Tabla2[[#This Row],[Columna1]]="por pagar"),"vencida","no")</f>
        <v>no</v>
      </c>
    </row>
    <row r="1859" spans="1:23" x14ac:dyDescent="0.3">
      <c r="A1859">
        <v>30</v>
      </c>
      <c r="B1859">
        <v>0</v>
      </c>
      <c r="D1859" t="s">
        <v>139</v>
      </c>
      <c r="E1859" s="156">
        <v>44227</v>
      </c>
      <c r="F1859" t="s">
        <v>644</v>
      </c>
      <c r="G1859" s="156">
        <v>44227</v>
      </c>
      <c r="H1859" t="s">
        <v>174</v>
      </c>
      <c r="I1859">
        <v>208000</v>
      </c>
      <c r="K1859">
        <v>0</v>
      </c>
      <c r="M1859">
        <v>0</v>
      </c>
      <c r="N1859">
        <v>0</v>
      </c>
      <c r="O1859">
        <v>0</v>
      </c>
      <c r="P1859" s="117">
        <v>208000</v>
      </c>
      <c r="Q1859" s="117" t="s">
        <v>1021</v>
      </c>
      <c r="R1859" s="150">
        <v>0</v>
      </c>
      <c r="S1859" s="117" t="b">
        <f>OR(COUNTIF(Tabla2[[#This Row],[PROVEEDOR]],"*"&amp;'Palabra no opera'!$A$2&amp;"*"))</f>
        <v>0</v>
      </c>
      <c r="T1859" s="150">
        <f>+$W$5-Tabla2[[#This Row],[FECHA DE FACTURACIÓN]]</f>
        <v>607</v>
      </c>
      <c r="U1859" t="str">
        <f>+IF(Tabla2[[#This Row],[dias de credito]]&gt;=Tabla2[[#This Row],[PLAZO Días]],"venc", "No venc")</f>
        <v>venc</v>
      </c>
      <c r="V1859" t="str">
        <f>+IF(Tabla2[[#This Row],[FECHA DE PAGO]]&gt;0,"pagada","por pagar")</f>
        <v>pagada</v>
      </c>
      <c r="W1859" s="152" t="str">
        <f>+IF(AND(Tabla2[[#This Row],[venc]]="venc",Tabla2[[#This Row],[Columna1]]="por pagar"),"vencida","no")</f>
        <v>no</v>
      </c>
    </row>
    <row r="1860" spans="1:23" x14ac:dyDescent="0.3">
      <c r="A1860">
        <v>30</v>
      </c>
      <c r="B1860">
        <v>0</v>
      </c>
      <c r="D1860" t="s">
        <v>139</v>
      </c>
      <c r="E1860" s="156">
        <v>44227</v>
      </c>
      <c r="F1860" t="s">
        <v>644</v>
      </c>
      <c r="G1860" s="156">
        <v>44227</v>
      </c>
      <c r="H1860" t="s">
        <v>75</v>
      </c>
      <c r="I1860">
        <v>224000</v>
      </c>
      <c r="K1860">
        <v>0</v>
      </c>
      <c r="M1860">
        <v>0</v>
      </c>
      <c r="N1860">
        <v>0</v>
      </c>
      <c r="O1860">
        <v>0</v>
      </c>
      <c r="P1860" s="117">
        <v>224000</v>
      </c>
      <c r="Q1860" s="117" t="s">
        <v>1021</v>
      </c>
      <c r="R1860" s="150">
        <v>0</v>
      </c>
      <c r="S1860" s="117" t="b">
        <f>OR(COUNTIF(Tabla2[[#This Row],[PROVEEDOR]],"*"&amp;'Palabra no opera'!$A$2&amp;"*"))</f>
        <v>0</v>
      </c>
      <c r="T1860" s="150">
        <f>+$W$5-Tabla2[[#This Row],[FECHA DE FACTURACIÓN]]</f>
        <v>607</v>
      </c>
      <c r="U1860" t="str">
        <f>+IF(Tabla2[[#This Row],[dias de credito]]&gt;=Tabla2[[#This Row],[PLAZO Días]],"venc", "No venc")</f>
        <v>venc</v>
      </c>
      <c r="V1860" t="str">
        <f>+IF(Tabla2[[#This Row],[FECHA DE PAGO]]&gt;0,"pagada","por pagar")</f>
        <v>pagada</v>
      </c>
      <c r="W1860" s="152" t="str">
        <f>+IF(AND(Tabla2[[#This Row],[venc]]="venc",Tabla2[[#This Row],[Columna1]]="por pagar"),"vencida","no")</f>
        <v>no</v>
      </c>
    </row>
    <row r="1861" spans="1:23" x14ac:dyDescent="0.3">
      <c r="A1861">
        <v>30</v>
      </c>
      <c r="B1861">
        <v>0</v>
      </c>
      <c r="D1861" t="s">
        <v>139</v>
      </c>
      <c r="E1861" s="156">
        <v>44227</v>
      </c>
      <c r="F1861" t="s">
        <v>644</v>
      </c>
      <c r="G1861" s="156">
        <v>44227</v>
      </c>
      <c r="H1861" t="s">
        <v>1188</v>
      </c>
      <c r="I1861">
        <v>2282800</v>
      </c>
      <c r="K1861">
        <v>0</v>
      </c>
      <c r="M1861">
        <v>0</v>
      </c>
      <c r="N1861">
        <v>0</v>
      </c>
      <c r="O1861">
        <v>0</v>
      </c>
      <c r="P1861" s="117">
        <v>2282800</v>
      </c>
      <c r="Q1861" s="117" t="s">
        <v>1021</v>
      </c>
      <c r="R1861" s="150">
        <v>0</v>
      </c>
      <c r="S1861" s="117" t="b">
        <f>OR(COUNTIF(Tabla2[[#This Row],[PROVEEDOR]],"*"&amp;'Palabra no opera'!$A$2&amp;"*"))</f>
        <v>0</v>
      </c>
      <c r="T1861" s="150">
        <f>+$W$5-Tabla2[[#This Row],[FECHA DE FACTURACIÓN]]</f>
        <v>607</v>
      </c>
      <c r="U1861" t="str">
        <f>+IF(Tabla2[[#This Row],[dias de credito]]&gt;=Tabla2[[#This Row],[PLAZO Días]],"venc", "No venc")</f>
        <v>venc</v>
      </c>
      <c r="V1861" t="str">
        <f>+IF(Tabla2[[#This Row],[FECHA DE PAGO]]&gt;0,"pagada","por pagar")</f>
        <v>pagada</v>
      </c>
      <c r="W1861" s="152" t="str">
        <f>+IF(AND(Tabla2[[#This Row],[venc]]="venc",Tabla2[[#This Row],[Columna1]]="por pagar"),"vencida","no")</f>
        <v>no</v>
      </c>
    </row>
    <row r="1862" spans="1:23" x14ac:dyDescent="0.3">
      <c r="A1862">
        <v>30</v>
      </c>
      <c r="B1862">
        <v>0</v>
      </c>
      <c r="D1862" t="s">
        <v>141</v>
      </c>
      <c r="E1862" s="156">
        <v>44225</v>
      </c>
      <c r="F1862" t="s">
        <v>933</v>
      </c>
      <c r="G1862" s="156">
        <v>44197</v>
      </c>
      <c r="I1862">
        <v>340400</v>
      </c>
      <c r="K1862">
        <v>64676</v>
      </c>
      <c r="M1862">
        <v>0</v>
      </c>
      <c r="N1862">
        <v>0</v>
      </c>
      <c r="O1862">
        <v>0</v>
      </c>
      <c r="P1862" s="117">
        <v>405076</v>
      </c>
      <c r="Q1862" s="117" t="s">
        <v>1021</v>
      </c>
      <c r="R1862" s="150">
        <v>0</v>
      </c>
      <c r="S1862" s="117" t="b">
        <f>OR(COUNTIF(Tabla2[[#This Row],[PROVEEDOR]],"*"&amp;'Palabra no opera'!$A$2&amp;"*"))</f>
        <v>1</v>
      </c>
      <c r="T1862" s="150">
        <f>+$W$5-Tabla2[[#This Row],[FECHA DE FACTURACIÓN]]</f>
        <v>637</v>
      </c>
      <c r="U1862" t="str">
        <f>+IF(Tabla2[[#This Row],[dias de credito]]&gt;=Tabla2[[#This Row],[PLAZO Días]],"venc", "No venc")</f>
        <v>venc</v>
      </c>
      <c r="V1862" t="str">
        <f>+IF(Tabla2[[#This Row],[FECHA DE PAGO]]&gt;0,"pagada","por pagar")</f>
        <v>pagada</v>
      </c>
      <c r="W1862" s="152" t="str">
        <f>+IF(AND(Tabla2[[#This Row],[venc]]="venc",Tabla2[[#This Row],[Columna1]]="por pagar"),"vencida","no")</f>
        <v>no</v>
      </c>
    </row>
    <row r="1863" spans="1:23" x14ac:dyDescent="0.3">
      <c r="A1863">
        <v>30</v>
      </c>
      <c r="B1863">
        <v>0</v>
      </c>
      <c r="D1863" t="s">
        <v>139</v>
      </c>
      <c r="E1863" s="156">
        <v>44224</v>
      </c>
      <c r="F1863" t="s">
        <v>37</v>
      </c>
      <c r="G1863" s="156">
        <v>44224</v>
      </c>
      <c r="H1863">
        <v>9630</v>
      </c>
      <c r="I1863">
        <v>17000</v>
      </c>
      <c r="K1863">
        <v>3230</v>
      </c>
      <c r="M1863">
        <v>0</v>
      </c>
      <c r="N1863">
        <v>0</v>
      </c>
      <c r="O1863">
        <v>0</v>
      </c>
      <c r="P1863" s="117">
        <v>20230</v>
      </c>
      <c r="Q1863" s="117" t="s">
        <v>1021</v>
      </c>
      <c r="R1863" s="150">
        <v>0</v>
      </c>
      <c r="S1863" s="117" t="b">
        <f>OR(COUNTIF(Tabla2[[#This Row],[PROVEEDOR]],"*"&amp;'Palabra no opera'!$A$2&amp;"*"))</f>
        <v>0</v>
      </c>
      <c r="T1863" s="150">
        <f>+$W$5-Tabla2[[#This Row],[FECHA DE FACTURACIÓN]]</f>
        <v>610</v>
      </c>
      <c r="U1863" t="str">
        <f>+IF(Tabla2[[#This Row],[dias de credito]]&gt;=Tabla2[[#This Row],[PLAZO Días]],"venc", "No venc")</f>
        <v>venc</v>
      </c>
      <c r="V1863" t="str">
        <f>+IF(Tabla2[[#This Row],[FECHA DE PAGO]]&gt;0,"pagada","por pagar")</f>
        <v>pagada</v>
      </c>
      <c r="W1863" s="152" t="str">
        <f>+IF(AND(Tabla2[[#This Row],[venc]]="venc",Tabla2[[#This Row],[Columna1]]="por pagar"),"vencida","no")</f>
        <v>no</v>
      </c>
    </row>
    <row r="1864" spans="1:23" x14ac:dyDescent="0.3">
      <c r="A1864">
        <v>30</v>
      </c>
      <c r="B1864">
        <v>0</v>
      </c>
      <c r="D1864" t="s">
        <v>139</v>
      </c>
      <c r="E1864" s="156">
        <v>44223</v>
      </c>
      <c r="F1864" t="s">
        <v>638</v>
      </c>
      <c r="G1864" s="156">
        <v>44223</v>
      </c>
      <c r="I1864">
        <v>2645000</v>
      </c>
      <c r="K1864">
        <v>0</v>
      </c>
      <c r="M1864">
        <v>0</v>
      </c>
      <c r="N1864">
        <v>0</v>
      </c>
      <c r="O1864">
        <v>0</v>
      </c>
      <c r="P1864" s="117">
        <v>2645000</v>
      </c>
      <c r="Q1864" s="117" t="s">
        <v>1021</v>
      </c>
      <c r="R1864" s="150">
        <v>0</v>
      </c>
      <c r="S1864" s="117" t="b">
        <f>OR(COUNTIF(Tabla2[[#This Row],[PROVEEDOR]],"*"&amp;'Palabra no opera'!$A$2&amp;"*"))</f>
        <v>0</v>
      </c>
      <c r="T1864" s="150">
        <f>+$W$5-Tabla2[[#This Row],[FECHA DE FACTURACIÓN]]</f>
        <v>611</v>
      </c>
      <c r="U1864" t="str">
        <f>+IF(Tabla2[[#This Row],[dias de credito]]&gt;=Tabla2[[#This Row],[PLAZO Días]],"venc", "No venc")</f>
        <v>venc</v>
      </c>
      <c r="V1864" t="str">
        <f>+IF(Tabla2[[#This Row],[FECHA DE PAGO]]&gt;0,"pagada","por pagar")</f>
        <v>pagada</v>
      </c>
      <c r="W1864" s="152" t="str">
        <f>+IF(AND(Tabla2[[#This Row],[venc]]="venc",Tabla2[[#This Row],[Columna1]]="por pagar"),"vencida","no")</f>
        <v>no</v>
      </c>
    </row>
    <row r="1865" spans="1:23" x14ac:dyDescent="0.3">
      <c r="A1865">
        <v>30</v>
      </c>
      <c r="B1865">
        <v>0</v>
      </c>
      <c r="D1865" t="s">
        <v>139</v>
      </c>
      <c r="E1865" s="156">
        <v>44223</v>
      </c>
      <c r="F1865" t="s">
        <v>661</v>
      </c>
      <c r="G1865" s="156">
        <v>44223</v>
      </c>
      <c r="I1865">
        <v>944000</v>
      </c>
      <c r="K1865">
        <v>0</v>
      </c>
      <c r="M1865">
        <v>0</v>
      </c>
      <c r="N1865">
        <v>0</v>
      </c>
      <c r="O1865">
        <v>0</v>
      </c>
      <c r="P1865" s="117">
        <v>944000</v>
      </c>
      <c r="Q1865" s="117" t="s">
        <v>1021</v>
      </c>
      <c r="R1865" s="150">
        <v>0</v>
      </c>
      <c r="S1865" s="117" t="b">
        <f>OR(COUNTIF(Tabla2[[#This Row],[PROVEEDOR]],"*"&amp;'Palabra no opera'!$A$2&amp;"*"))</f>
        <v>0</v>
      </c>
      <c r="T1865" s="150">
        <f>+$W$5-Tabla2[[#This Row],[FECHA DE FACTURACIÓN]]</f>
        <v>611</v>
      </c>
      <c r="U1865" t="str">
        <f>+IF(Tabla2[[#This Row],[dias de credito]]&gt;=Tabla2[[#This Row],[PLAZO Días]],"venc", "No venc")</f>
        <v>venc</v>
      </c>
      <c r="V1865" t="str">
        <f>+IF(Tabla2[[#This Row],[FECHA DE PAGO]]&gt;0,"pagada","por pagar")</f>
        <v>pagada</v>
      </c>
      <c r="W1865" s="152" t="str">
        <f>+IF(AND(Tabla2[[#This Row],[venc]]="venc",Tabla2[[#This Row],[Columna1]]="por pagar"),"vencida","no")</f>
        <v>no</v>
      </c>
    </row>
    <row r="1866" spans="1:23" x14ac:dyDescent="0.3">
      <c r="A1866">
        <v>30</v>
      </c>
      <c r="B1866">
        <v>0</v>
      </c>
      <c r="D1866" t="s">
        <v>157</v>
      </c>
      <c r="E1866" s="156">
        <v>44223</v>
      </c>
      <c r="F1866" t="s">
        <v>156</v>
      </c>
      <c r="G1866" s="156">
        <v>44223</v>
      </c>
      <c r="H1866">
        <v>114001</v>
      </c>
      <c r="I1866">
        <v>17969355</v>
      </c>
      <c r="K1866">
        <v>0</v>
      </c>
      <c r="M1866">
        <v>0</v>
      </c>
      <c r="N1866">
        <v>0</v>
      </c>
      <c r="O1866">
        <v>0</v>
      </c>
      <c r="P1866" s="117">
        <v>17969355</v>
      </c>
      <c r="Q1866" s="117" t="s">
        <v>1021</v>
      </c>
      <c r="R1866" s="150">
        <v>0</v>
      </c>
      <c r="S1866" s="117" t="b">
        <f>OR(COUNTIF(Tabla2[[#This Row],[PROVEEDOR]],"*"&amp;'Palabra no opera'!$A$2&amp;"*"))</f>
        <v>0</v>
      </c>
      <c r="T1866" s="150">
        <f>+$W$5-Tabla2[[#This Row],[FECHA DE FACTURACIÓN]]</f>
        <v>611</v>
      </c>
      <c r="U1866" t="str">
        <f>+IF(Tabla2[[#This Row],[dias de credito]]&gt;=Tabla2[[#This Row],[PLAZO Días]],"venc", "No venc")</f>
        <v>venc</v>
      </c>
      <c r="V1866" t="str">
        <f>+IF(Tabla2[[#This Row],[FECHA DE PAGO]]&gt;0,"pagada","por pagar")</f>
        <v>pagada</v>
      </c>
      <c r="W1866" s="152" t="str">
        <f>+IF(AND(Tabla2[[#This Row],[venc]]="venc",Tabla2[[#This Row],[Columna1]]="por pagar"),"vencida","no")</f>
        <v>no</v>
      </c>
    </row>
    <row r="1867" spans="1:23" x14ac:dyDescent="0.3">
      <c r="A1867">
        <v>30</v>
      </c>
      <c r="B1867">
        <v>0</v>
      </c>
      <c r="D1867" t="s">
        <v>255</v>
      </c>
      <c r="E1867" s="156">
        <v>44222</v>
      </c>
      <c r="F1867" t="s">
        <v>137</v>
      </c>
      <c r="G1867" s="156">
        <v>44222</v>
      </c>
      <c r="H1867">
        <v>9721</v>
      </c>
      <c r="I1867">
        <v>172800</v>
      </c>
      <c r="K1867">
        <v>0</v>
      </c>
      <c r="M1867">
        <v>0</v>
      </c>
      <c r="N1867">
        <v>0</v>
      </c>
      <c r="O1867">
        <v>0</v>
      </c>
      <c r="P1867" s="117">
        <v>172800</v>
      </c>
      <c r="Q1867" s="117" t="s">
        <v>1021</v>
      </c>
      <c r="R1867" s="150">
        <v>0</v>
      </c>
      <c r="S1867" s="117" t="b">
        <f>OR(COUNTIF(Tabla2[[#This Row],[PROVEEDOR]],"*"&amp;'Palabra no opera'!$A$2&amp;"*"))</f>
        <v>0</v>
      </c>
      <c r="T1867" s="150">
        <f>+$W$5-Tabla2[[#This Row],[FECHA DE FACTURACIÓN]]</f>
        <v>612</v>
      </c>
      <c r="U1867" t="str">
        <f>+IF(Tabla2[[#This Row],[dias de credito]]&gt;=Tabla2[[#This Row],[PLAZO Días]],"venc", "No venc")</f>
        <v>venc</v>
      </c>
      <c r="V1867" t="str">
        <f>+IF(Tabla2[[#This Row],[FECHA DE PAGO]]&gt;0,"pagada","por pagar")</f>
        <v>pagada</v>
      </c>
      <c r="W1867" s="152" t="str">
        <f>+IF(AND(Tabla2[[#This Row],[venc]]="venc",Tabla2[[#This Row],[Columna1]]="por pagar"),"vencida","no")</f>
        <v>no</v>
      </c>
    </row>
    <row r="1868" spans="1:23" x14ac:dyDescent="0.3">
      <c r="A1868">
        <v>30</v>
      </c>
      <c r="B1868">
        <v>0</v>
      </c>
      <c r="D1868" t="s">
        <v>255</v>
      </c>
      <c r="E1868" s="156">
        <v>44222</v>
      </c>
      <c r="F1868" t="s">
        <v>128</v>
      </c>
      <c r="G1868" s="156">
        <v>44222</v>
      </c>
      <c r="H1868">
        <v>9731</v>
      </c>
      <c r="I1868">
        <v>1944000</v>
      </c>
      <c r="K1868">
        <v>0</v>
      </c>
      <c r="M1868">
        <v>0</v>
      </c>
      <c r="N1868">
        <v>0</v>
      </c>
      <c r="O1868">
        <v>0</v>
      </c>
      <c r="P1868" s="117">
        <v>1944000</v>
      </c>
      <c r="Q1868" s="117" t="s">
        <v>1021</v>
      </c>
      <c r="R1868" s="150">
        <v>0</v>
      </c>
      <c r="S1868" s="117" t="b">
        <f>OR(COUNTIF(Tabla2[[#This Row],[PROVEEDOR]],"*"&amp;'Palabra no opera'!$A$2&amp;"*"))</f>
        <v>0</v>
      </c>
      <c r="T1868" s="150">
        <f>+$W$5-Tabla2[[#This Row],[FECHA DE FACTURACIÓN]]</f>
        <v>612</v>
      </c>
      <c r="U1868" t="str">
        <f>+IF(Tabla2[[#This Row],[dias de credito]]&gt;=Tabla2[[#This Row],[PLAZO Días]],"venc", "No venc")</f>
        <v>venc</v>
      </c>
      <c r="V1868" t="str">
        <f>+IF(Tabla2[[#This Row],[FECHA DE PAGO]]&gt;0,"pagada","por pagar")</f>
        <v>pagada</v>
      </c>
      <c r="W1868" s="152" t="str">
        <f>+IF(AND(Tabla2[[#This Row],[venc]]="venc",Tabla2[[#This Row],[Columna1]]="por pagar"),"vencida","no")</f>
        <v>no</v>
      </c>
    </row>
    <row r="1869" spans="1:23" x14ac:dyDescent="0.3">
      <c r="A1869">
        <v>30</v>
      </c>
      <c r="B1869">
        <v>6259125.5999999996</v>
      </c>
      <c r="D1869" t="s">
        <v>264</v>
      </c>
      <c r="E1869" s="156">
        <v>44222</v>
      </c>
      <c r="F1869" t="s">
        <v>1448</v>
      </c>
      <c r="G1869" s="156">
        <v>44222</v>
      </c>
      <c r="H1869" t="s">
        <v>1185</v>
      </c>
      <c r="I1869">
        <v>1587200</v>
      </c>
      <c r="K1869">
        <v>301568</v>
      </c>
      <c r="M1869">
        <v>0</v>
      </c>
      <c r="N1869">
        <v>2.5000000000000001E-2</v>
      </c>
      <c r="O1869">
        <v>39680</v>
      </c>
      <c r="P1869" s="117">
        <v>1849088</v>
      </c>
      <c r="Q1869" s="117" t="s">
        <v>1021</v>
      </c>
      <c r="R1869" s="150">
        <v>0</v>
      </c>
      <c r="S1869" s="117" t="b">
        <f>OR(COUNTIF(Tabla2[[#This Row],[PROVEEDOR]],"*"&amp;'Palabra no opera'!$A$2&amp;"*"))</f>
        <v>0</v>
      </c>
      <c r="T1869" s="150">
        <f>+$W$5-Tabla2[[#This Row],[FECHA DE FACTURACIÓN]]</f>
        <v>612</v>
      </c>
      <c r="U1869" t="str">
        <f>+IF(Tabla2[[#This Row],[dias de credito]]&gt;=Tabla2[[#This Row],[PLAZO Días]],"venc", "No venc")</f>
        <v>venc</v>
      </c>
      <c r="V1869" t="str">
        <f>+IF(Tabla2[[#This Row],[FECHA DE PAGO]]&gt;0,"pagada","por pagar")</f>
        <v>pagada</v>
      </c>
      <c r="W1869" s="152" t="str">
        <f>+IF(AND(Tabla2[[#This Row],[venc]]="venc",Tabla2[[#This Row],[Columna1]]="por pagar"),"vencida","no")</f>
        <v>no</v>
      </c>
    </row>
    <row r="1870" spans="1:23" x14ac:dyDescent="0.3">
      <c r="A1870">
        <v>30</v>
      </c>
      <c r="B1870">
        <v>0</v>
      </c>
      <c r="D1870">
        <v>0</v>
      </c>
      <c r="E1870" s="156">
        <v>44222</v>
      </c>
      <c r="F1870" t="s">
        <v>167</v>
      </c>
      <c r="G1870" s="156">
        <v>44222</v>
      </c>
      <c r="H1870">
        <v>101</v>
      </c>
      <c r="I1870">
        <v>3300000</v>
      </c>
      <c r="K1870">
        <v>627000</v>
      </c>
      <c r="M1870">
        <v>0</v>
      </c>
      <c r="N1870">
        <v>2.5000000000000001E-2</v>
      </c>
      <c r="O1870">
        <v>82500</v>
      </c>
      <c r="P1870" s="117">
        <v>3844500</v>
      </c>
      <c r="Q1870" s="117" t="s">
        <v>1021</v>
      </c>
      <c r="R1870" s="150">
        <v>0</v>
      </c>
      <c r="S1870" s="117" t="b">
        <f>OR(COUNTIF(Tabla2[[#This Row],[PROVEEDOR]],"*"&amp;'Palabra no opera'!$A$2&amp;"*"))</f>
        <v>0</v>
      </c>
      <c r="T1870" s="150">
        <f>+$W$5-Tabla2[[#This Row],[FECHA DE FACTURACIÓN]]</f>
        <v>612</v>
      </c>
      <c r="U1870" t="str">
        <f>+IF(Tabla2[[#This Row],[dias de credito]]&gt;=Tabla2[[#This Row],[PLAZO Días]],"venc", "No venc")</f>
        <v>venc</v>
      </c>
      <c r="V1870" t="str">
        <f>+IF(Tabla2[[#This Row],[FECHA DE PAGO]]&gt;0,"pagada","por pagar")</f>
        <v>pagada</v>
      </c>
      <c r="W1870" s="152" t="str">
        <f>+IF(AND(Tabla2[[#This Row],[venc]]="venc",Tabla2[[#This Row],[Columna1]]="por pagar"),"vencida","no")</f>
        <v>no</v>
      </c>
    </row>
    <row r="1871" spans="1:23" x14ac:dyDescent="0.3">
      <c r="A1871">
        <v>30</v>
      </c>
      <c r="B1871">
        <v>0</v>
      </c>
      <c r="D1871" t="s">
        <v>250</v>
      </c>
      <c r="E1871" s="156">
        <v>44222</v>
      </c>
      <c r="F1871" t="s">
        <v>1451</v>
      </c>
      <c r="G1871" s="156">
        <v>44216</v>
      </c>
      <c r="H1871">
        <v>57</v>
      </c>
      <c r="I1871">
        <v>133000</v>
      </c>
      <c r="K1871">
        <v>0</v>
      </c>
      <c r="M1871">
        <v>0</v>
      </c>
      <c r="N1871">
        <v>0</v>
      </c>
      <c r="O1871">
        <v>0</v>
      </c>
      <c r="P1871" s="117">
        <v>133000</v>
      </c>
      <c r="Q1871" s="117" t="s">
        <v>1021</v>
      </c>
      <c r="R1871" s="150">
        <v>0</v>
      </c>
      <c r="S1871" s="117" t="b">
        <f>OR(COUNTIF(Tabla2[[#This Row],[PROVEEDOR]],"*"&amp;'Palabra no opera'!$A$2&amp;"*"))</f>
        <v>0</v>
      </c>
      <c r="T1871" s="150">
        <f>+$W$5-Tabla2[[#This Row],[FECHA DE FACTURACIÓN]]</f>
        <v>618</v>
      </c>
      <c r="U1871" t="str">
        <f>+IF(Tabla2[[#This Row],[dias de credito]]&gt;=Tabla2[[#This Row],[PLAZO Días]],"venc", "No venc")</f>
        <v>venc</v>
      </c>
      <c r="V1871" t="str">
        <f>+IF(Tabla2[[#This Row],[FECHA DE PAGO]]&gt;0,"pagada","por pagar")</f>
        <v>pagada</v>
      </c>
      <c r="W1871" s="152" t="str">
        <f>+IF(AND(Tabla2[[#This Row],[venc]]="venc",Tabla2[[#This Row],[Columna1]]="por pagar"),"vencida","no")</f>
        <v>no</v>
      </c>
    </row>
    <row r="1872" spans="1:23" x14ac:dyDescent="0.3">
      <c r="A1872">
        <v>30</v>
      </c>
      <c r="B1872">
        <v>0</v>
      </c>
      <c r="D1872" t="s">
        <v>139</v>
      </c>
      <c r="E1872" s="156">
        <v>44221</v>
      </c>
      <c r="F1872" t="s">
        <v>681</v>
      </c>
      <c r="G1872" s="156">
        <v>44221</v>
      </c>
      <c r="I1872">
        <v>1400000</v>
      </c>
      <c r="K1872">
        <v>0</v>
      </c>
      <c r="M1872">
        <v>0</v>
      </c>
      <c r="N1872">
        <v>0</v>
      </c>
      <c r="O1872">
        <v>0</v>
      </c>
      <c r="P1872" s="117">
        <v>1400000</v>
      </c>
      <c r="Q1872" s="117" t="s">
        <v>1021</v>
      </c>
      <c r="R1872" s="150">
        <v>0</v>
      </c>
      <c r="S1872" s="117" t="b">
        <f>OR(COUNTIF(Tabla2[[#This Row],[PROVEEDOR]],"*"&amp;'Palabra no opera'!$A$2&amp;"*"))</f>
        <v>0</v>
      </c>
      <c r="T1872" s="150">
        <f>+$W$5-Tabla2[[#This Row],[FECHA DE FACTURACIÓN]]</f>
        <v>613</v>
      </c>
      <c r="U1872" t="str">
        <f>+IF(Tabla2[[#This Row],[dias de credito]]&gt;=Tabla2[[#This Row],[PLAZO Días]],"venc", "No venc")</f>
        <v>venc</v>
      </c>
      <c r="V1872" t="str">
        <f>+IF(Tabla2[[#This Row],[FECHA DE PAGO]]&gt;0,"pagada","por pagar")</f>
        <v>pagada</v>
      </c>
      <c r="W1872" s="152" t="str">
        <f>+IF(AND(Tabla2[[#This Row],[venc]]="venc",Tabla2[[#This Row],[Columna1]]="por pagar"),"vencida","no")</f>
        <v>no</v>
      </c>
    </row>
    <row r="1873" spans="1:23" x14ac:dyDescent="0.3">
      <c r="A1873">
        <v>30</v>
      </c>
      <c r="B1873">
        <v>0</v>
      </c>
      <c r="D1873" t="s">
        <v>250</v>
      </c>
      <c r="E1873" s="156">
        <v>44221</v>
      </c>
      <c r="F1873" t="s">
        <v>1450</v>
      </c>
      <c r="G1873" s="156">
        <v>44216</v>
      </c>
      <c r="H1873">
        <v>260</v>
      </c>
      <c r="I1873">
        <v>160000</v>
      </c>
      <c r="K1873">
        <v>0</v>
      </c>
      <c r="M1873">
        <v>0</v>
      </c>
      <c r="N1873">
        <v>0</v>
      </c>
      <c r="O1873">
        <v>0</v>
      </c>
      <c r="P1873" s="117">
        <v>160000</v>
      </c>
      <c r="Q1873" s="117" t="s">
        <v>1021</v>
      </c>
      <c r="R1873" s="150">
        <v>0</v>
      </c>
      <c r="S1873" s="117" t="b">
        <f>OR(COUNTIF(Tabla2[[#This Row],[PROVEEDOR]],"*"&amp;'Palabra no opera'!$A$2&amp;"*"))</f>
        <v>0</v>
      </c>
      <c r="T1873" s="150">
        <f>+$W$5-Tabla2[[#This Row],[FECHA DE FACTURACIÓN]]</f>
        <v>618</v>
      </c>
      <c r="U1873" t="str">
        <f>+IF(Tabla2[[#This Row],[dias de credito]]&gt;=Tabla2[[#This Row],[PLAZO Días]],"venc", "No venc")</f>
        <v>venc</v>
      </c>
      <c r="V1873" t="str">
        <f>+IF(Tabla2[[#This Row],[FECHA DE PAGO]]&gt;0,"pagada","por pagar")</f>
        <v>pagada</v>
      </c>
      <c r="W1873" s="152" t="str">
        <f>+IF(AND(Tabla2[[#This Row],[venc]]="venc",Tabla2[[#This Row],[Columna1]]="por pagar"),"vencida","no")</f>
        <v>no</v>
      </c>
    </row>
    <row r="1874" spans="1:23" x14ac:dyDescent="0.3">
      <c r="A1874">
        <v>30</v>
      </c>
      <c r="B1874">
        <v>0</v>
      </c>
      <c r="D1874" t="s">
        <v>139</v>
      </c>
      <c r="E1874" s="156">
        <v>44221</v>
      </c>
      <c r="F1874" t="s">
        <v>634</v>
      </c>
      <c r="G1874" s="156">
        <v>44168</v>
      </c>
      <c r="I1874">
        <v>785000</v>
      </c>
      <c r="K1874">
        <v>0</v>
      </c>
      <c r="M1874">
        <v>0</v>
      </c>
      <c r="N1874">
        <v>0</v>
      </c>
      <c r="O1874">
        <v>0</v>
      </c>
      <c r="P1874" s="117">
        <v>785000</v>
      </c>
      <c r="Q1874" s="117" t="s">
        <v>1021</v>
      </c>
      <c r="R1874" s="150">
        <v>0</v>
      </c>
      <c r="S1874" s="117" t="b">
        <f>OR(COUNTIF(Tabla2[[#This Row],[PROVEEDOR]],"*"&amp;'Palabra no opera'!$A$2&amp;"*"))</f>
        <v>0</v>
      </c>
      <c r="T1874" s="150">
        <f>+$W$5-Tabla2[[#This Row],[FECHA DE FACTURACIÓN]]</f>
        <v>666</v>
      </c>
      <c r="U1874" t="str">
        <f>+IF(Tabla2[[#This Row],[dias de credito]]&gt;=Tabla2[[#This Row],[PLAZO Días]],"venc", "No venc")</f>
        <v>venc</v>
      </c>
      <c r="V1874" t="str">
        <f>+IF(Tabla2[[#This Row],[FECHA DE PAGO]]&gt;0,"pagada","por pagar")</f>
        <v>pagada</v>
      </c>
      <c r="W1874" s="152" t="str">
        <f>+IF(AND(Tabla2[[#This Row],[venc]]="venc",Tabla2[[#This Row],[Columna1]]="por pagar"),"vencida","no")</f>
        <v>no</v>
      </c>
    </row>
    <row r="1875" spans="1:23" x14ac:dyDescent="0.3">
      <c r="A1875">
        <v>30</v>
      </c>
      <c r="B1875">
        <v>0</v>
      </c>
      <c r="D1875" t="s">
        <v>139</v>
      </c>
      <c r="E1875" s="156">
        <v>44217</v>
      </c>
      <c r="F1875" t="s">
        <v>673</v>
      </c>
      <c r="G1875" s="156">
        <v>44217</v>
      </c>
      <c r="I1875">
        <v>2000000</v>
      </c>
      <c r="K1875">
        <v>0</v>
      </c>
      <c r="M1875">
        <v>0</v>
      </c>
      <c r="N1875">
        <v>0</v>
      </c>
      <c r="O1875">
        <v>0</v>
      </c>
      <c r="P1875" s="117">
        <v>2000000</v>
      </c>
      <c r="Q1875" s="117" t="s">
        <v>1021</v>
      </c>
      <c r="R1875" s="150">
        <v>0</v>
      </c>
      <c r="S1875" s="117" t="b">
        <f>OR(COUNTIF(Tabla2[[#This Row],[PROVEEDOR]],"*"&amp;'Palabra no opera'!$A$2&amp;"*"))</f>
        <v>0</v>
      </c>
      <c r="T1875" s="150">
        <f>+$W$5-Tabla2[[#This Row],[FECHA DE FACTURACIÓN]]</f>
        <v>617</v>
      </c>
      <c r="U1875" t="str">
        <f>+IF(Tabla2[[#This Row],[dias de credito]]&gt;=Tabla2[[#This Row],[PLAZO Días]],"venc", "No venc")</f>
        <v>venc</v>
      </c>
      <c r="V1875" t="str">
        <f>+IF(Tabla2[[#This Row],[FECHA DE PAGO]]&gt;0,"pagada","por pagar")</f>
        <v>pagada</v>
      </c>
      <c r="W1875" s="152" t="str">
        <f>+IF(AND(Tabla2[[#This Row],[venc]]="venc",Tabla2[[#This Row],[Columna1]]="por pagar"),"vencida","no")</f>
        <v>no</v>
      </c>
    </row>
    <row r="1876" spans="1:23" x14ac:dyDescent="0.3">
      <c r="A1876">
        <v>30</v>
      </c>
      <c r="B1876">
        <v>0</v>
      </c>
      <c r="D1876" t="s">
        <v>139</v>
      </c>
      <c r="E1876" s="156">
        <v>44216</v>
      </c>
      <c r="F1876" t="s">
        <v>681</v>
      </c>
      <c r="G1876" s="156">
        <v>44216</v>
      </c>
      <c r="H1876">
        <v>1411</v>
      </c>
      <c r="I1876">
        <v>60000</v>
      </c>
      <c r="K1876">
        <v>0</v>
      </c>
      <c r="M1876">
        <v>0</v>
      </c>
      <c r="N1876">
        <v>0</v>
      </c>
      <c r="O1876">
        <v>0</v>
      </c>
      <c r="P1876" s="117">
        <v>60000</v>
      </c>
      <c r="Q1876" s="117" t="s">
        <v>1021</v>
      </c>
      <c r="R1876" s="150">
        <v>0</v>
      </c>
      <c r="S1876" s="117" t="b">
        <f>OR(COUNTIF(Tabla2[[#This Row],[PROVEEDOR]],"*"&amp;'Palabra no opera'!$A$2&amp;"*"))</f>
        <v>0</v>
      </c>
      <c r="T1876" s="150">
        <f>+$W$5-Tabla2[[#This Row],[FECHA DE FACTURACIÓN]]</f>
        <v>618</v>
      </c>
      <c r="U1876" t="str">
        <f>+IF(Tabla2[[#This Row],[dias de credito]]&gt;=Tabla2[[#This Row],[PLAZO Días]],"venc", "No venc")</f>
        <v>venc</v>
      </c>
      <c r="V1876" t="str">
        <f>+IF(Tabla2[[#This Row],[FECHA DE PAGO]]&gt;0,"pagada","por pagar")</f>
        <v>pagada</v>
      </c>
      <c r="W1876" s="152" t="str">
        <f>+IF(AND(Tabla2[[#This Row],[venc]]="venc",Tabla2[[#This Row],[Columna1]]="por pagar"),"vencida","no")</f>
        <v>no</v>
      </c>
    </row>
    <row r="1877" spans="1:23" x14ac:dyDescent="0.3">
      <c r="A1877">
        <v>30</v>
      </c>
      <c r="B1877">
        <v>1651125</v>
      </c>
      <c r="D1877" t="s">
        <v>139</v>
      </c>
      <c r="E1877" s="156">
        <v>44216</v>
      </c>
      <c r="F1877" t="s">
        <v>684</v>
      </c>
      <c r="G1877" s="156">
        <v>44216</v>
      </c>
      <c r="H1877">
        <v>1409</v>
      </c>
      <c r="I1877">
        <v>100000</v>
      </c>
      <c r="K1877">
        <v>0</v>
      </c>
      <c r="M1877">
        <v>0</v>
      </c>
      <c r="N1877">
        <v>0</v>
      </c>
      <c r="O1877">
        <v>0</v>
      </c>
      <c r="P1877" s="117">
        <v>100000</v>
      </c>
      <c r="Q1877" s="117" t="s">
        <v>1021</v>
      </c>
      <c r="R1877" s="150">
        <v>0</v>
      </c>
      <c r="S1877" s="117" t="b">
        <f>OR(COUNTIF(Tabla2[[#This Row],[PROVEEDOR]],"*"&amp;'Palabra no opera'!$A$2&amp;"*"))</f>
        <v>0</v>
      </c>
      <c r="T1877" s="150">
        <f>+$W$5-Tabla2[[#This Row],[FECHA DE FACTURACIÓN]]</f>
        <v>618</v>
      </c>
      <c r="U1877" t="str">
        <f>+IF(Tabla2[[#This Row],[dias de credito]]&gt;=Tabla2[[#This Row],[PLAZO Días]],"venc", "No venc")</f>
        <v>venc</v>
      </c>
      <c r="V1877" t="str">
        <f>+IF(Tabla2[[#This Row],[FECHA DE PAGO]]&gt;0,"pagada","por pagar")</f>
        <v>pagada</v>
      </c>
      <c r="W1877" s="152" t="str">
        <f>+IF(AND(Tabla2[[#This Row],[venc]]="venc",Tabla2[[#This Row],[Columna1]]="por pagar"),"vencida","no")</f>
        <v>no</v>
      </c>
    </row>
    <row r="1878" spans="1:23" x14ac:dyDescent="0.3">
      <c r="A1878">
        <v>30</v>
      </c>
      <c r="B1878">
        <v>1651125</v>
      </c>
      <c r="D1878" t="s">
        <v>139</v>
      </c>
      <c r="E1878" s="156">
        <v>44216</v>
      </c>
      <c r="F1878" t="s">
        <v>684</v>
      </c>
      <c r="G1878" s="156">
        <v>44216</v>
      </c>
      <c r="H1878">
        <v>1410</v>
      </c>
      <c r="I1878">
        <v>192050</v>
      </c>
      <c r="K1878">
        <v>0</v>
      </c>
      <c r="M1878">
        <v>0</v>
      </c>
      <c r="N1878">
        <v>0</v>
      </c>
      <c r="O1878">
        <v>0</v>
      </c>
      <c r="P1878" s="117">
        <v>192050</v>
      </c>
      <c r="Q1878" s="117" t="s">
        <v>1021</v>
      </c>
      <c r="R1878" s="150">
        <v>0</v>
      </c>
      <c r="S1878" s="117" t="b">
        <f>OR(COUNTIF(Tabla2[[#This Row],[PROVEEDOR]],"*"&amp;'Palabra no opera'!$A$2&amp;"*"))</f>
        <v>0</v>
      </c>
      <c r="T1878" s="150">
        <f>+$W$5-Tabla2[[#This Row],[FECHA DE FACTURACIÓN]]</f>
        <v>618</v>
      </c>
      <c r="U1878" t="str">
        <f>+IF(Tabla2[[#This Row],[dias de credito]]&gt;=Tabla2[[#This Row],[PLAZO Días]],"venc", "No venc")</f>
        <v>venc</v>
      </c>
      <c r="V1878" t="str">
        <f>+IF(Tabla2[[#This Row],[FECHA DE PAGO]]&gt;0,"pagada","por pagar")</f>
        <v>pagada</v>
      </c>
      <c r="W1878" s="152" t="str">
        <f>+IF(AND(Tabla2[[#This Row],[venc]]="venc",Tabla2[[#This Row],[Columna1]]="por pagar"),"vencida","no")</f>
        <v>no</v>
      </c>
    </row>
    <row r="1879" spans="1:23" x14ac:dyDescent="0.3">
      <c r="A1879">
        <v>30</v>
      </c>
      <c r="B1879">
        <v>0</v>
      </c>
      <c r="D1879" t="s">
        <v>139</v>
      </c>
      <c r="E1879" s="156">
        <v>44215</v>
      </c>
      <c r="F1879" t="s">
        <v>661</v>
      </c>
      <c r="G1879" s="156">
        <v>44215</v>
      </c>
      <c r="H1879">
        <v>1408</v>
      </c>
      <c r="I1879">
        <v>300000</v>
      </c>
      <c r="K1879">
        <v>0</v>
      </c>
      <c r="M1879">
        <v>0</v>
      </c>
      <c r="N1879">
        <v>0</v>
      </c>
      <c r="O1879">
        <v>0</v>
      </c>
      <c r="P1879" s="117">
        <v>300000</v>
      </c>
      <c r="Q1879" s="117" t="s">
        <v>1021</v>
      </c>
      <c r="R1879" s="150">
        <v>0</v>
      </c>
      <c r="S1879" s="117" t="b">
        <f>OR(COUNTIF(Tabla2[[#This Row],[PROVEEDOR]],"*"&amp;'Palabra no opera'!$A$2&amp;"*"))</f>
        <v>0</v>
      </c>
      <c r="T1879" s="150">
        <f>+$W$5-Tabla2[[#This Row],[FECHA DE FACTURACIÓN]]</f>
        <v>619</v>
      </c>
      <c r="U1879" t="str">
        <f>+IF(Tabla2[[#This Row],[dias de credito]]&gt;=Tabla2[[#This Row],[PLAZO Días]],"venc", "No venc")</f>
        <v>venc</v>
      </c>
      <c r="V1879" t="str">
        <f>+IF(Tabla2[[#This Row],[FECHA DE PAGO]]&gt;0,"pagada","por pagar")</f>
        <v>pagada</v>
      </c>
      <c r="W1879" s="152" t="str">
        <f>+IF(AND(Tabla2[[#This Row],[venc]]="venc",Tabla2[[#This Row],[Columna1]]="por pagar"),"vencida","no")</f>
        <v>no</v>
      </c>
    </row>
    <row r="1880" spans="1:23" x14ac:dyDescent="0.3">
      <c r="A1880">
        <v>10</v>
      </c>
      <c r="B1880">
        <v>0</v>
      </c>
      <c r="D1880" t="s">
        <v>139</v>
      </c>
      <c r="E1880" s="156">
        <v>44215</v>
      </c>
      <c r="F1880" t="s">
        <v>23</v>
      </c>
      <c r="G1880" s="156">
        <v>44205</v>
      </c>
      <c r="H1880">
        <v>279400</v>
      </c>
      <c r="I1880">
        <v>4590250</v>
      </c>
      <c r="K1880">
        <v>0</v>
      </c>
      <c r="M1880">
        <v>0</v>
      </c>
      <c r="N1880">
        <v>0</v>
      </c>
      <c r="O1880">
        <v>0</v>
      </c>
      <c r="P1880" s="117">
        <v>4590250</v>
      </c>
      <c r="Q1880" s="117" t="s">
        <v>1021</v>
      </c>
      <c r="R1880" s="150">
        <v>0</v>
      </c>
      <c r="S1880" s="117" t="b">
        <f>OR(COUNTIF(Tabla2[[#This Row],[PROVEEDOR]],"*"&amp;'Palabra no opera'!$A$2&amp;"*"))</f>
        <v>0</v>
      </c>
      <c r="T1880" s="150">
        <f>+$W$5-Tabla2[[#This Row],[FECHA DE FACTURACIÓN]]</f>
        <v>629</v>
      </c>
      <c r="U1880" t="str">
        <f>+IF(Tabla2[[#This Row],[dias de credito]]&gt;=Tabla2[[#This Row],[PLAZO Días]],"venc", "No venc")</f>
        <v>venc</v>
      </c>
      <c r="V1880" t="str">
        <f>+IF(Tabla2[[#This Row],[FECHA DE PAGO]]&gt;0,"pagada","por pagar")</f>
        <v>pagada</v>
      </c>
      <c r="W1880" s="152" t="str">
        <f>+IF(AND(Tabla2[[#This Row],[venc]]="venc",Tabla2[[#This Row],[Columna1]]="por pagar"),"vencida","no")</f>
        <v>no</v>
      </c>
    </row>
    <row r="1881" spans="1:23" x14ac:dyDescent="0.3">
      <c r="A1881">
        <v>30</v>
      </c>
      <c r="B1881">
        <v>8457900</v>
      </c>
      <c r="D1881" t="s">
        <v>1027</v>
      </c>
      <c r="E1881" s="156">
        <v>44214</v>
      </c>
      <c r="F1881" t="s">
        <v>11</v>
      </c>
      <c r="G1881" s="156">
        <v>44182</v>
      </c>
      <c r="H1881" t="s">
        <v>88</v>
      </c>
      <c r="I1881">
        <v>1980000</v>
      </c>
      <c r="K1881">
        <v>376200</v>
      </c>
      <c r="M1881">
        <v>0</v>
      </c>
      <c r="N1881">
        <v>2.5000000000000001E-2</v>
      </c>
      <c r="O1881">
        <v>49500</v>
      </c>
      <c r="P1881" s="117">
        <v>2306700</v>
      </c>
      <c r="Q1881" s="117" t="s">
        <v>1021</v>
      </c>
      <c r="R1881" s="150">
        <v>0</v>
      </c>
      <c r="S1881" s="117" t="b">
        <f>OR(COUNTIF(Tabla2[[#This Row],[PROVEEDOR]],"*"&amp;'Palabra no opera'!$A$2&amp;"*"))</f>
        <v>0</v>
      </c>
      <c r="T1881" s="150">
        <f>+$W$5-Tabla2[[#This Row],[FECHA DE FACTURACIÓN]]</f>
        <v>652</v>
      </c>
      <c r="U1881" t="str">
        <f>+IF(Tabla2[[#This Row],[dias de credito]]&gt;=Tabla2[[#This Row],[PLAZO Días]],"venc", "No venc")</f>
        <v>venc</v>
      </c>
      <c r="V1881" t="str">
        <f>+IF(Tabla2[[#This Row],[FECHA DE PAGO]]&gt;0,"pagada","por pagar")</f>
        <v>pagada</v>
      </c>
      <c r="W1881" s="152" t="str">
        <f>+IF(AND(Tabla2[[#This Row],[venc]]="venc",Tabla2[[#This Row],[Columna1]]="por pagar"),"vencida","no")</f>
        <v>no</v>
      </c>
    </row>
    <row r="1882" spans="1:23" x14ac:dyDescent="0.3">
      <c r="A1882">
        <v>30</v>
      </c>
      <c r="B1882">
        <v>0</v>
      </c>
      <c r="D1882" t="s">
        <v>270</v>
      </c>
      <c r="E1882" s="156">
        <v>44214</v>
      </c>
      <c r="F1882" t="s">
        <v>39</v>
      </c>
      <c r="G1882" s="156">
        <v>44174</v>
      </c>
      <c r="H1882">
        <v>147</v>
      </c>
      <c r="I1882">
        <v>395200</v>
      </c>
      <c r="K1882">
        <v>75088</v>
      </c>
      <c r="M1882">
        <v>0</v>
      </c>
      <c r="N1882">
        <v>0</v>
      </c>
      <c r="O1882">
        <v>0</v>
      </c>
      <c r="P1882" s="117">
        <v>470288</v>
      </c>
      <c r="Q1882" s="117" t="s">
        <v>1021</v>
      </c>
      <c r="R1882" s="150">
        <v>0</v>
      </c>
      <c r="S1882" s="117" t="b">
        <f>OR(COUNTIF(Tabla2[[#This Row],[PROVEEDOR]],"*"&amp;'Palabra no opera'!$A$2&amp;"*"))</f>
        <v>0</v>
      </c>
      <c r="T1882" s="150">
        <f>+$W$5-Tabla2[[#This Row],[FECHA DE FACTURACIÓN]]</f>
        <v>660</v>
      </c>
      <c r="U1882" t="str">
        <f>+IF(Tabla2[[#This Row],[dias de credito]]&gt;=Tabla2[[#This Row],[PLAZO Días]],"venc", "No venc")</f>
        <v>venc</v>
      </c>
      <c r="V1882" t="str">
        <f>+IF(Tabla2[[#This Row],[FECHA DE PAGO]]&gt;0,"pagada","por pagar")</f>
        <v>pagada</v>
      </c>
      <c r="W1882" s="152" t="str">
        <f>+IF(AND(Tabla2[[#This Row],[venc]]="venc",Tabla2[[#This Row],[Columna1]]="por pagar"),"vencida","no")</f>
        <v>no</v>
      </c>
    </row>
    <row r="1883" spans="1:23" x14ac:dyDescent="0.3">
      <c r="A1883">
        <v>30</v>
      </c>
      <c r="B1883">
        <v>19675613.1195</v>
      </c>
      <c r="D1883" t="s">
        <v>256</v>
      </c>
      <c r="E1883" s="156">
        <v>44214</v>
      </c>
      <c r="F1883" t="s">
        <v>18</v>
      </c>
      <c r="G1883" s="156">
        <v>44169</v>
      </c>
      <c r="H1883">
        <v>1031773</v>
      </c>
      <c r="I1883">
        <v>1856607.7310924372</v>
      </c>
      <c r="K1883">
        <v>352755.46890756307</v>
      </c>
      <c r="M1883">
        <v>0</v>
      </c>
      <c r="N1883">
        <v>2.5000000000000001E-2</v>
      </c>
      <c r="O1883">
        <v>46415.193277310929</v>
      </c>
      <c r="P1883" s="117">
        <v>2162948.0067226891</v>
      </c>
      <c r="Q1883" s="117" t="s">
        <v>1021</v>
      </c>
      <c r="R1883" s="150">
        <v>0</v>
      </c>
      <c r="S1883" s="117" t="b">
        <f>OR(COUNTIF(Tabla2[[#This Row],[PROVEEDOR]],"*"&amp;'Palabra no opera'!$A$2&amp;"*"))</f>
        <v>0</v>
      </c>
      <c r="T1883" s="150">
        <f>+$W$5-Tabla2[[#This Row],[FECHA DE FACTURACIÓN]]</f>
        <v>665</v>
      </c>
      <c r="U1883" t="str">
        <f>+IF(Tabla2[[#This Row],[dias de credito]]&gt;=Tabla2[[#This Row],[PLAZO Días]],"venc", "No venc")</f>
        <v>venc</v>
      </c>
      <c r="V1883" t="str">
        <f>+IF(Tabla2[[#This Row],[FECHA DE PAGO]]&gt;0,"pagada","por pagar")</f>
        <v>pagada</v>
      </c>
      <c r="W1883" s="152" t="str">
        <f>+IF(AND(Tabla2[[#This Row],[venc]]="venc",Tabla2[[#This Row],[Columna1]]="por pagar"),"vencida","no")</f>
        <v>no</v>
      </c>
    </row>
    <row r="1884" spans="1:23" x14ac:dyDescent="0.3">
      <c r="A1884">
        <v>30</v>
      </c>
      <c r="B1884">
        <v>0</v>
      </c>
      <c r="D1884" t="s">
        <v>261</v>
      </c>
      <c r="E1884" s="156">
        <v>44214</v>
      </c>
      <c r="F1884" t="s">
        <v>746</v>
      </c>
      <c r="G1884" s="156">
        <v>44169</v>
      </c>
      <c r="H1884">
        <v>470</v>
      </c>
      <c r="I1884">
        <v>7478183.1932773115</v>
      </c>
      <c r="K1884">
        <v>1420854.8067226892</v>
      </c>
      <c r="M1884">
        <v>0</v>
      </c>
      <c r="N1884">
        <v>2.5000000000000001E-2</v>
      </c>
      <c r="O1884">
        <v>186954.57983193279</v>
      </c>
      <c r="P1884" s="117">
        <v>8712083.4201680664</v>
      </c>
      <c r="Q1884" s="117" t="s">
        <v>1021</v>
      </c>
      <c r="R1884" s="150">
        <v>0</v>
      </c>
      <c r="S1884" s="117" t="b">
        <f>OR(COUNTIF(Tabla2[[#This Row],[PROVEEDOR]],"*"&amp;'Palabra no opera'!$A$2&amp;"*"))</f>
        <v>0</v>
      </c>
      <c r="T1884" s="150">
        <f>+$W$5-Tabla2[[#This Row],[FECHA DE FACTURACIÓN]]</f>
        <v>665</v>
      </c>
      <c r="U1884" t="str">
        <f>+IF(Tabla2[[#This Row],[dias de credito]]&gt;=Tabla2[[#This Row],[PLAZO Días]],"venc", "No venc")</f>
        <v>venc</v>
      </c>
      <c r="V1884" t="str">
        <f>+IF(Tabla2[[#This Row],[FECHA DE PAGO]]&gt;0,"pagada","por pagar")</f>
        <v>pagada</v>
      </c>
      <c r="W1884" s="152" t="str">
        <f>+IF(AND(Tabla2[[#This Row],[venc]]="venc",Tabla2[[#This Row],[Columna1]]="por pagar"),"vencida","no")</f>
        <v>no</v>
      </c>
    </row>
    <row r="1885" spans="1:23" x14ac:dyDescent="0.3">
      <c r="A1885">
        <v>30</v>
      </c>
      <c r="B1885">
        <v>4656887.12</v>
      </c>
      <c r="D1885" t="s">
        <v>170</v>
      </c>
      <c r="E1885" s="156">
        <v>44214</v>
      </c>
      <c r="F1885" t="s">
        <v>20</v>
      </c>
      <c r="G1885" s="156">
        <v>44167</v>
      </c>
      <c r="H1885">
        <v>2766</v>
      </c>
      <c r="I1885">
        <v>1681026.8907563025</v>
      </c>
      <c r="K1885">
        <v>319395.10924369749</v>
      </c>
      <c r="M1885">
        <v>0</v>
      </c>
      <c r="N1885">
        <v>2.5000000000000001E-2</v>
      </c>
      <c r="O1885">
        <v>42025.672268907569</v>
      </c>
      <c r="P1885" s="117">
        <v>1958396.3277310925</v>
      </c>
      <c r="Q1885" s="117" t="s">
        <v>1021</v>
      </c>
      <c r="R1885" s="150">
        <v>0</v>
      </c>
      <c r="S1885" s="117" t="b">
        <f>OR(COUNTIF(Tabla2[[#This Row],[PROVEEDOR]],"*"&amp;'Palabra no opera'!$A$2&amp;"*"))</f>
        <v>0</v>
      </c>
      <c r="T1885" s="150">
        <f>+$W$5-Tabla2[[#This Row],[FECHA DE FACTURACIÓN]]</f>
        <v>667</v>
      </c>
      <c r="U1885" t="str">
        <f>+IF(Tabla2[[#This Row],[dias de credito]]&gt;=Tabla2[[#This Row],[PLAZO Días]],"venc", "No venc")</f>
        <v>venc</v>
      </c>
      <c r="V1885" t="str">
        <f>+IF(Tabla2[[#This Row],[FECHA DE PAGO]]&gt;0,"pagada","por pagar")</f>
        <v>pagada</v>
      </c>
      <c r="W1885" s="152" t="str">
        <f>+IF(AND(Tabla2[[#This Row],[venc]]="venc",Tabla2[[#This Row],[Columna1]]="por pagar"),"vencida","no")</f>
        <v>no</v>
      </c>
    </row>
    <row r="1886" spans="1:23" x14ac:dyDescent="0.3">
      <c r="A1886">
        <v>30</v>
      </c>
      <c r="B1886">
        <v>749999.88</v>
      </c>
      <c r="D1886" t="s">
        <v>249</v>
      </c>
      <c r="E1886" s="156">
        <v>44214</v>
      </c>
      <c r="F1886" t="s">
        <v>49</v>
      </c>
      <c r="G1886" s="156">
        <v>44166</v>
      </c>
      <c r="H1886">
        <v>732</v>
      </c>
      <c r="I1886">
        <v>1110619.9495798319</v>
      </c>
      <c r="K1886">
        <v>211017.79042016808</v>
      </c>
      <c r="M1886">
        <v>0</v>
      </c>
      <c r="N1886">
        <v>2.5000000000000001E-2</v>
      </c>
      <c r="O1886">
        <v>27765.498739495801</v>
      </c>
      <c r="P1886" s="117">
        <v>1293872.2412605041</v>
      </c>
      <c r="Q1886" s="117" t="s">
        <v>1021</v>
      </c>
      <c r="R1886" s="150">
        <v>0</v>
      </c>
      <c r="S1886" s="117" t="b">
        <f>OR(COUNTIF(Tabla2[[#This Row],[PROVEEDOR]],"*"&amp;'Palabra no opera'!$A$2&amp;"*"))</f>
        <v>0</v>
      </c>
      <c r="T1886" s="150">
        <f>+$W$5-Tabla2[[#This Row],[FECHA DE FACTURACIÓN]]</f>
        <v>668</v>
      </c>
      <c r="U1886" t="str">
        <f>+IF(Tabla2[[#This Row],[dias de credito]]&gt;=Tabla2[[#This Row],[PLAZO Días]],"venc", "No venc")</f>
        <v>venc</v>
      </c>
      <c r="V1886" t="str">
        <f>+IF(Tabla2[[#This Row],[FECHA DE PAGO]]&gt;0,"pagada","por pagar")</f>
        <v>pagada</v>
      </c>
      <c r="W1886" s="152" t="str">
        <f>+IF(AND(Tabla2[[#This Row],[venc]]="venc",Tabla2[[#This Row],[Columna1]]="por pagar"),"vencida","no")</f>
        <v>no</v>
      </c>
    </row>
    <row r="1887" spans="1:23" x14ac:dyDescent="0.3">
      <c r="A1887">
        <v>30</v>
      </c>
      <c r="B1887">
        <v>0</v>
      </c>
      <c r="D1887" t="s">
        <v>1024</v>
      </c>
      <c r="E1887" s="156">
        <v>44214</v>
      </c>
      <c r="F1887" t="s">
        <v>32</v>
      </c>
      <c r="G1887" s="156">
        <v>44166</v>
      </c>
      <c r="H1887">
        <v>2626</v>
      </c>
      <c r="I1887">
        <v>1961428.5714285716</v>
      </c>
      <c r="K1887">
        <v>372671.42857142858</v>
      </c>
      <c r="M1887">
        <v>0</v>
      </c>
      <c r="N1887">
        <v>2.5000000000000001E-2</v>
      </c>
      <c r="O1887">
        <v>49035.71428571429</v>
      </c>
      <c r="P1887" s="117">
        <v>2285064.2857142859</v>
      </c>
      <c r="Q1887" s="117" t="s">
        <v>1021</v>
      </c>
      <c r="R1887" s="150">
        <v>0</v>
      </c>
      <c r="S1887" s="117" t="b">
        <f>OR(COUNTIF(Tabla2[[#This Row],[PROVEEDOR]],"*"&amp;'Palabra no opera'!$A$2&amp;"*"))</f>
        <v>0</v>
      </c>
      <c r="T1887" s="150">
        <f>+$W$5-Tabla2[[#This Row],[FECHA DE FACTURACIÓN]]</f>
        <v>668</v>
      </c>
      <c r="U1887" t="str">
        <f>+IF(Tabla2[[#This Row],[dias de credito]]&gt;=Tabla2[[#This Row],[PLAZO Días]],"venc", "No venc")</f>
        <v>venc</v>
      </c>
      <c r="V1887" t="str">
        <f>+IF(Tabla2[[#This Row],[FECHA DE PAGO]]&gt;0,"pagada","por pagar")</f>
        <v>pagada</v>
      </c>
      <c r="W1887" s="152" t="str">
        <f>+IF(AND(Tabla2[[#This Row],[venc]]="venc",Tabla2[[#This Row],[Columna1]]="por pagar"),"vencida","no")</f>
        <v>no</v>
      </c>
    </row>
    <row r="1888" spans="1:23" x14ac:dyDescent="0.3">
      <c r="A1888">
        <v>30</v>
      </c>
      <c r="B1888">
        <v>3450150</v>
      </c>
      <c r="D1888" t="s">
        <v>402</v>
      </c>
      <c r="E1888" s="156">
        <v>44211</v>
      </c>
      <c r="F1888" t="s">
        <v>691</v>
      </c>
      <c r="G1888" s="156">
        <v>44194</v>
      </c>
      <c r="H1888">
        <v>2664</v>
      </c>
      <c r="I1888">
        <v>121550</v>
      </c>
      <c r="K1888">
        <v>0</v>
      </c>
      <c r="M1888">
        <v>0</v>
      </c>
      <c r="N1888">
        <v>0</v>
      </c>
      <c r="O1888">
        <v>0</v>
      </c>
      <c r="P1888" s="117">
        <v>121550</v>
      </c>
      <c r="Q1888" s="117" t="s">
        <v>1021</v>
      </c>
      <c r="R1888" s="150">
        <v>0</v>
      </c>
      <c r="S1888" s="117" t="b">
        <f>OR(COUNTIF(Tabla2[[#This Row],[PROVEEDOR]],"*"&amp;'Palabra no opera'!$A$2&amp;"*"))</f>
        <v>0</v>
      </c>
      <c r="T1888" s="150">
        <f>+$W$5-Tabla2[[#This Row],[FECHA DE FACTURACIÓN]]</f>
        <v>640</v>
      </c>
      <c r="U1888" t="str">
        <f>+IF(Tabla2[[#This Row],[dias de credito]]&gt;=Tabla2[[#This Row],[PLAZO Días]],"venc", "No venc")</f>
        <v>venc</v>
      </c>
      <c r="V1888" t="str">
        <f>+IF(Tabla2[[#This Row],[FECHA DE PAGO]]&gt;0,"pagada","por pagar")</f>
        <v>pagada</v>
      </c>
      <c r="W1888" s="152" t="str">
        <f>+IF(AND(Tabla2[[#This Row],[venc]]="venc",Tabla2[[#This Row],[Columna1]]="por pagar"),"vencida","no")</f>
        <v>no</v>
      </c>
    </row>
    <row r="1889" spans="1:23" x14ac:dyDescent="0.3">
      <c r="A1889">
        <v>30</v>
      </c>
      <c r="B1889">
        <v>5225000</v>
      </c>
      <c r="D1889" t="s">
        <v>139</v>
      </c>
      <c r="E1889" s="156">
        <v>44211</v>
      </c>
      <c r="F1889" t="s">
        <v>629</v>
      </c>
      <c r="G1889" s="156">
        <v>44150</v>
      </c>
      <c r="I1889">
        <v>1216000</v>
      </c>
      <c r="K1889">
        <v>0</v>
      </c>
      <c r="M1889">
        <v>0</v>
      </c>
      <c r="N1889">
        <v>0</v>
      </c>
      <c r="O1889">
        <v>0</v>
      </c>
      <c r="P1889" s="117">
        <v>1216000</v>
      </c>
      <c r="Q1889" s="117" t="s">
        <v>1021</v>
      </c>
      <c r="R1889" s="150">
        <v>0</v>
      </c>
      <c r="S1889" s="117" t="b">
        <f>OR(COUNTIF(Tabla2[[#This Row],[PROVEEDOR]],"*"&amp;'Palabra no opera'!$A$2&amp;"*"))</f>
        <v>0</v>
      </c>
      <c r="T1889" s="150">
        <f>+$W$5-Tabla2[[#This Row],[FECHA DE FACTURACIÓN]]</f>
        <v>684</v>
      </c>
      <c r="U1889" t="str">
        <f>+IF(Tabla2[[#This Row],[dias de credito]]&gt;=Tabla2[[#This Row],[PLAZO Días]],"venc", "No venc")</f>
        <v>venc</v>
      </c>
      <c r="V1889" t="str">
        <f>+IF(Tabla2[[#This Row],[FECHA DE PAGO]]&gt;0,"pagada","por pagar")</f>
        <v>pagada</v>
      </c>
      <c r="W1889" s="152" t="str">
        <f>+IF(AND(Tabla2[[#This Row],[venc]]="venc",Tabla2[[#This Row],[Columna1]]="por pagar"),"vencida","no")</f>
        <v>no</v>
      </c>
    </row>
    <row r="1890" spans="1:23" x14ac:dyDescent="0.3">
      <c r="A1890">
        <v>30</v>
      </c>
      <c r="B1890">
        <v>0</v>
      </c>
      <c r="D1890" t="s">
        <v>250</v>
      </c>
      <c r="E1890" s="156">
        <v>44210</v>
      </c>
      <c r="F1890" t="s">
        <v>1450</v>
      </c>
      <c r="G1890" s="156">
        <v>44209</v>
      </c>
      <c r="I1890">
        <v>241000</v>
      </c>
      <c r="K1890">
        <v>0</v>
      </c>
      <c r="M1890">
        <v>0</v>
      </c>
      <c r="N1890">
        <v>0</v>
      </c>
      <c r="O1890">
        <v>0</v>
      </c>
      <c r="P1890" s="117">
        <v>241000</v>
      </c>
      <c r="Q1890" s="117" t="s">
        <v>1021</v>
      </c>
      <c r="R1890" s="150">
        <v>0</v>
      </c>
      <c r="S1890" s="117" t="b">
        <f>OR(COUNTIF(Tabla2[[#This Row],[PROVEEDOR]],"*"&amp;'Palabra no opera'!$A$2&amp;"*"))</f>
        <v>0</v>
      </c>
      <c r="T1890" s="150">
        <f>+$W$5-Tabla2[[#This Row],[FECHA DE FACTURACIÓN]]</f>
        <v>625</v>
      </c>
      <c r="U1890" t="str">
        <f>+IF(Tabla2[[#This Row],[dias de credito]]&gt;=Tabla2[[#This Row],[PLAZO Días]],"venc", "No venc")</f>
        <v>venc</v>
      </c>
      <c r="V1890" t="str">
        <f>+IF(Tabla2[[#This Row],[FECHA DE PAGO]]&gt;0,"pagada","por pagar")</f>
        <v>pagada</v>
      </c>
      <c r="W1890" s="152" t="str">
        <f>+IF(AND(Tabla2[[#This Row],[venc]]="venc",Tabla2[[#This Row],[Columna1]]="por pagar"),"vencida","no")</f>
        <v>no</v>
      </c>
    </row>
    <row r="1891" spans="1:23" x14ac:dyDescent="0.3">
      <c r="A1891">
        <v>30</v>
      </c>
      <c r="B1891">
        <v>0</v>
      </c>
      <c r="D1891" t="s">
        <v>139</v>
      </c>
      <c r="E1891" s="156">
        <v>44210</v>
      </c>
      <c r="F1891" t="s">
        <v>636</v>
      </c>
      <c r="G1891" s="156">
        <v>44175</v>
      </c>
      <c r="H1891">
        <v>312</v>
      </c>
      <c r="I1891">
        <v>115000</v>
      </c>
      <c r="K1891">
        <v>0</v>
      </c>
      <c r="M1891">
        <v>0</v>
      </c>
      <c r="N1891">
        <v>0</v>
      </c>
      <c r="O1891">
        <v>0</v>
      </c>
      <c r="P1891" s="117">
        <v>115000</v>
      </c>
      <c r="Q1891" s="117" t="s">
        <v>1021</v>
      </c>
      <c r="R1891" s="150">
        <v>0</v>
      </c>
      <c r="S1891" s="117" t="b">
        <f>OR(COUNTIF(Tabla2[[#This Row],[PROVEEDOR]],"*"&amp;'Palabra no opera'!$A$2&amp;"*"))</f>
        <v>0</v>
      </c>
      <c r="T1891" s="150">
        <f>+$W$5-Tabla2[[#This Row],[FECHA DE FACTURACIÓN]]</f>
        <v>659</v>
      </c>
      <c r="U1891" t="str">
        <f>+IF(Tabla2[[#This Row],[dias de credito]]&gt;=Tabla2[[#This Row],[PLAZO Días]],"venc", "No venc")</f>
        <v>venc</v>
      </c>
      <c r="V1891" t="str">
        <f>+IF(Tabla2[[#This Row],[FECHA DE PAGO]]&gt;0,"pagada","por pagar")</f>
        <v>pagada</v>
      </c>
      <c r="W1891" s="152" t="str">
        <f>+IF(AND(Tabla2[[#This Row],[venc]]="venc",Tabla2[[#This Row],[Columna1]]="por pagar"),"vencida","no")</f>
        <v>no</v>
      </c>
    </row>
    <row r="1892" spans="1:23" x14ac:dyDescent="0.3">
      <c r="A1892">
        <v>30</v>
      </c>
      <c r="B1892">
        <v>5225000</v>
      </c>
      <c r="D1892" t="s">
        <v>139</v>
      </c>
      <c r="E1892" s="156">
        <v>44210</v>
      </c>
      <c r="F1892" t="s">
        <v>629</v>
      </c>
      <c r="G1892" s="156">
        <v>44166</v>
      </c>
      <c r="H1892">
        <v>1231</v>
      </c>
      <c r="I1892">
        <v>884250</v>
      </c>
      <c r="K1892">
        <v>0</v>
      </c>
      <c r="M1892">
        <v>0</v>
      </c>
      <c r="N1892">
        <v>0</v>
      </c>
      <c r="O1892">
        <v>0</v>
      </c>
      <c r="P1892" s="117">
        <v>884250</v>
      </c>
      <c r="Q1892" s="117" t="s">
        <v>1021</v>
      </c>
      <c r="R1892" s="150">
        <v>0</v>
      </c>
      <c r="S1892" s="117" t="b">
        <f>OR(COUNTIF(Tabla2[[#This Row],[PROVEEDOR]],"*"&amp;'Palabra no opera'!$A$2&amp;"*"))</f>
        <v>0</v>
      </c>
      <c r="T1892" s="150">
        <f>+$W$5-Tabla2[[#This Row],[FECHA DE FACTURACIÓN]]</f>
        <v>668</v>
      </c>
      <c r="U1892" t="str">
        <f>+IF(Tabla2[[#This Row],[dias de credito]]&gt;=Tabla2[[#This Row],[PLAZO Días]],"venc", "No venc")</f>
        <v>venc</v>
      </c>
      <c r="V1892" t="str">
        <f>+IF(Tabla2[[#This Row],[FECHA DE PAGO]]&gt;0,"pagada","por pagar")</f>
        <v>pagada</v>
      </c>
      <c r="W1892" s="152" t="str">
        <f>+IF(AND(Tabla2[[#This Row],[venc]]="venc",Tabla2[[#This Row],[Columna1]]="por pagar"),"vencida","no")</f>
        <v>no</v>
      </c>
    </row>
    <row r="1893" spans="1:23" x14ac:dyDescent="0.3">
      <c r="A1893">
        <v>30</v>
      </c>
      <c r="B1893">
        <v>3450150</v>
      </c>
      <c r="D1893" t="s">
        <v>402</v>
      </c>
      <c r="E1893" s="156">
        <v>44210</v>
      </c>
      <c r="F1893" t="s">
        <v>691</v>
      </c>
      <c r="G1893" s="156">
        <v>44138</v>
      </c>
      <c r="H1893">
        <v>2458</v>
      </c>
      <c r="I1893">
        <v>119000</v>
      </c>
      <c r="K1893">
        <v>0</v>
      </c>
      <c r="M1893">
        <v>0</v>
      </c>
      <c r="N1893">
        <v>0</v>
      </c>
      <c r="O1893">
        <v>0</v>
      </c>
      <c r="P1893" s="117">
        <v>119000</v>
      </c>
      <c r="Q1893" s="117" t="s">
        <v>1021</v>
      </c>
      <c r="R1893" s="150">
        <v>0</v>
      </c>
      <c r="S1893" s="117" t="b">
        <f>OR(COUNTIF(Tabla2[[#This Row],[PROVEEDOR]],"*"&amp;'Palabra no opera'!$A$2&amp;"*"))</f>
        <v>0</v>
      </c>
      <c r="T1893" s="150">
        <f>+$W$5-Tabla2[[#This Row],[FECHA DE FACTURACIÓN]]</f>
        <v>696</v>
      </c>
      <c r="U1893" t="str">
        <f>+IF(Tabla2[[#This Row],[dias de credito]]&gt;=Tabla2[[#This Row],[PLAZO Días]],"venc", "No venc")</f>
        <v>venc</v>
      </c>
      <c r="V1893" t="str">
        <f>+IF(Tabla2[[#This Row],[FECHA DE PAGO]]&gt;0,"pagada","por pagar")</f>
        <v>pagada</v>
      </c>
      <c r="W1893" s="152" t="str">
        <f>+IF(AND(Tabla2[[#This Row],[venc]]="venc",Tabla2[[#This Row],[Columna1]]="por pagar"),"vencida","no")</f>
        <v>no</v>
      </c>
    </row>
    <row r="1894" spans="1:23" x14ac:dyDescent="0.3">
      <c r="A1894">
        <v>30</v>
      </c>
      <c r="B1894">
        <v>0</v>
      </c>
      <c r="D1894" t="s">
        <v>139</v>
      </c>
      <c r="E1894" s="156">
        <v>44209</v>
      </c>
      <c r="F1894" t="s">
        <v>693</v>
      </c>
      <c r="G1894" s="156">
        <v>44209</v>
      </c>
      <c r="H1894">
        <v>2365</v>
      </c>
      <c r="I1894">
        <v>65000</v>
      </c>
      <c r="K1894">
        <v>0</v>
      </c>
      <c r="M1894">
        <v>0</v>
      </c>
      <c r="N1894">
        <v>0</v>
      </c>
      <c r="O1894">
        <v>0</v>
      </c>
      <c r="P1894" s="117">
        <v>65000</v>
      </c>
      <c r="Q1894" s="117" t="s">
        <v>1021</v>
      </c>
      <c r="R1894" s="150">
        <v>0</v>
      </c>
      <c r="S1894" s="117" t="b">
        <f>OR(COUNTIF(Tabla2[[#This Row],[PROVEEDOR]],"*"&amp;'Palabra no opera'!$A$2&amp;"*"))</f>
        <v>0</v>
      </c>
      <c r="T1894" s="150">
        <f>+$W$5-Tabla2[[#This Row],[FECHA DE FACTURACIÓN]]</f>
        <v>625</v>
      </c>
      <c r="U1894" t="str">
        <f>+IF(Tabla2[[#This Row],[dias de credito]]&gt;=Tabla2[[#This Row],[PLAZO Días]],"venc", "No venc")</f>
        <v>venc</v>
      </c>
      <c r="V1894" t="str">
        <f>+IF(Tabla2[[#This Row],[FECHA DE PAGO]]&gt;0,"pagada","por pagar")</f>
        <v>pagada</v>
      </c>
      <c r="W1894" s="152" t="str">
        <f>+IF(AND(Tabla2[[#This Row],[venc]]="venc",Tabla2[[#This Row],[Columna1]]="por pagar"),"vencida","no")</f>
        <v>no</v>
      </c>
    </row>
    <row r="1895" spans="1:23" x14ac:dyDescent="0.3">
      <c r="A1895">
        <v>30</v>
      </c>
      <c r="B1895">
        <v>0</v>
      </c>
      <c r="D1895" t="s">
        <v>139</v>
      </c>
      <c r="E1895" s="156">
        <v>44209</v>
      </c>
      <c r="F1895" t="s">
        <v>106</v>
      </c>
      <c r="G1895" s="156">
        <v>44209</v>
      </c>
      <c r="H1895">
        <v>245</v>
      </c>
      <c r="I1895">
        <v>46386.478991596647</v>
      </c>
      <c r="K1895">
        <v>8813.4310084033623</v>
      </c>
      <c r="M1895">
        <v>0</v>
      </c>
      <c r="N1895">
        <v>0</v>
      </c>
      <c r="O1895">
        <v>0</v>
      </c>
      <c r="P1895" s="117">
        <v>55199.910000000011</v>
      </c>
      <c r="Q1895" s="117" t="s">
        <v>1021</v>
      </c>
      <c r="R1895" s="150">
        <v>0</v>
      </c>
      <c r="S1895" s="117" t="b">
        <f>OR(COUNTIF(Tabla2[[#This Row],[PROVEEDOR]],"*"&amp;'Palabra no opera'!$A$2&amp;"*"))</f>
        <v>0</v>
      </c>
      <c r="T1895" s="150">
        <f>+$W$5-Tabla2[[#This Row],[FECHA DE FACTURACIÓN]]</f>
        <v>625</v>
      </c>
      <c r="U1895" t="str">
        <f>+IF(Tabla2[[#This Row],[dias de credito]]&gt;=Tabla2[[#This Row],[PLAZO Días]],"venc", "No venc")</f>
        <v>venc</v>
      </c>
      <c r="V1895" t="str">
        <f>+IF(Tabla2[[#This Row],[FECHA DE PAGO]]&gt;0,"pagada","por pagar")</f>
        <v>pagada</v>
      </c>
      <c r="W1895" s="152" t="str">
        <f>+IF(AND(Tabla2[[#This Row],[venc]]="venc",Tabla2[[#This Row],[Columna1]]="por pagar"),"vencida","no")</f>
        <v>no</v>
      </c>
    </row>
    <row r="1896" spans="1:23" x14ac:dyDescent="0.3">
      <c r="A1896">
        <v>30</v>
      </c>
      <c r="B1896">
        <v>146262.9</v>
      </c>
      <c r="D1896" t="s">
        <v>262</v>
      </c>
      <c r="E1896" s="156">
        <v>44208</v>
      </c>
      <c r="F1896" t="s">
        <v>17</v>
      </c>
      <c r="G1896" s="156">
        <v>44201</v>
      </c>
      <c r="H1896">
        <v>1710675</v>
      </c>
      <c r="I1896">
        <v>302521.00840336137</v>
      </c>
      <c r="K1896">
        <v>57478.991596638662</v>
      </c>
      <c r="M1896">
        <v>0</v>
      </c>
      <c r="N1896">
        <v>0</v>
      </c>
      <c r="O1896">
        <v>0</v>
      </c>
      <c r="P1896" s="117">
        <v>360000</v>
      </c>
      <c r="Q1896" s="117" t="s">
        <v>1021</v>
      </c>
      <c r="R1896" s="150">
        <v>0</v>
      </c>
      <c r="S1896" s="117" t="b">
        <f>OR(COUNTIF(Tabla2[[#This Row],[PROVEEDOR]],"*"&amp;'Palabra no opera'!$A$2&amp;"*"))</f>
        <v>0</v>
      </c>
      <c r="T1896" s="150">
        <f>+$W$5-Tabla2[[#This Row],[FECHA DE FACTURACIÓN]]</f>
        <v>633</v>
      </c>
      <c r="U1896" t="str">
        <f>+IF(Tabla2[[#This Row],[dias de credito]]&gt;=Tabla2[[#This Row],[PLAZO Días]],"venc", "No venc")</f>
        <v>venc</v>
      </c>
      <c r="V1896" t="str">
        <f>+IF(Tabla2[[#This Row],[FECHA DE PAGO]]&gt;0,"pagada","por pagar")</f>
        <v>pagada</v>
      </c>
      <c r="W1896" s="152" t="str">
        <f>+IF(AND(Tabla2[[#This Row],[venc]]="venc",Tabla2[[#This Row],[Columna1]]="por pagar"),"vencida","no")</f>
        <v>no</v>
      </c>
    </row>
    <row r="1897" spans="1:23" x14ac:dyDescent="0.3">
      <c r="A1897">
        <v>30</v>
      </c>
      <c r="B1897">
        <v>0</v>
      </c>
      <c r="D1897" t="s">
        <v>861</v>
      </c>
      <c r="E1897" s="156">
        <v>44208</v>
      </c>
      <c r="F1897" t="s">
        <v>633</v>
      </c>
      <c r="G1897" s="156">
        <v>44183</v>
      </c>
      <c r="H1897" t="s">
        <v>97</v>
      </c>
      <c r="I1897">
        <v>770400</v>
      </c>
      <c r="K1897">
        <v>0</v>
      </c>
      <c r="M1897">
        <v>0</v>
      </c>
      <c r="N1897">
        <v>0</v>
      </c>
      <c r="O1897">
        <v>0</v>
      </c>
      <c r="P1897" s="117">
        <v>770400</v>
      </c>
      <c r="Q1897" s="117" t="s">
        <v>1021</v>
      </c>
      <c r="R1897" s="150">
        <v>0</v>
      </c>
      <c r="S1897" s="117" t="b">
        <f>OR(COUNTIF(Tabla2[[#This Row],[PROVEEDOR]],"*"&amp;'Palabra no opera'!$A$2&amp;"*"))</f>
        <v>0</v>
      </c>
      <c r="T1897" s="150">
        <f>+$W$5-Tabla2[[#This Row],[FECHA DE FACTURACIÓN]]</f>
        <v>651</v>
      </c>
      <c r="U1897" t="str">
        <f>+IF(Tabla2[[#This Row],[dias de credito]]&gt;=Tabla2[[#This Row],[PLAZO Días]],"venc", "No venc")</f>
        <v>venc</v>
      </c>
      <c r="V1897" t="str">
        <f>+IF(Tabla2[[#This Row],[FECHA DE PAGO]]&gt;0,"pagada","por pagar")</f>
        <v>pagada</v>
      </c>
      <c r="W1897" s="152" t="str">
        <f>+IF(AND(Tabla2[[#This Row],[venc]]="venc",Tabla2[[#This Row],[Columna1]]="por pagar"),"vencida","no")</f>
        <v>no</v>
      </c>
    </row>
    <row r="1898" spans="1:23" x14ac:dyDescent="0.3">
      <c r="A1898">
        <v>30</v>
      </c>
      <c r="B1898">
        <v>8190204</v>
      </c>
      <c r="D1898" t="s">
        <v>263</v>
      </c>
      <c r="E1898" s="156">
        <v>44208</v>
      </c>
      <c r="F1898" t="s">
        <v>1637</v>
      </c>
      <c r="G1898" s="156">
        <v>44177</v>
      </c>
      <c r="H1898">
        <v>18964</v>
      </c>
      <c r="I1898">
        <v>539495.79831932776</v>
      </c>
      <c r="K1898">
        <v>102504.20168067228</v>
      </c>
      <c r="M1898">
        <v>0</v>
      </c>
      <c r="N1898">
        <v>0</v>
      </c>
      <c r="O1898">
        <v>0</v>
      </c>
      <c r="P1898" s="117">
        <v>642000</v>
      </c>
      <c r="Q1898" s="117" t="s">
        <v>1021</v>
      </c>
      <c r="R1898" s="150">
        <v>0</v>
      </c>
      <c r="S1898" s="117" t="b">
        <f>OR(COUNTIF(Tabla2[[#This Row],[PROVEEDOR]],"*"&amp;'Palabra no opera'!$A$2&amp;"*"))</f>
        <v>0</v>
      </c>
      <c r="T1898" s="150">
        <f>+$W$5-Tabla2[[#This Row],[FECHA DE FACTURACIÓN]]</f>
        <v>657</v>
      </c>
      <c r="U1898" t="str">
        <f>+IF(Tabla2[[#This Row],[dias de credito]]&gt;=Tabla2[[#This Row],[PLAZO Días]],"venc", "No venc")</f>
        <v>venc</v>
      </c>
      <c r="V1898" t="str">
        <f>+IF(Tabla2[[#This Row],[FECHA DE PAGO]]&gt;0,"pagada","por pagar")</f>
        <v>pagada</v>
      </c>
      <c r="W1898" s="152" t="str">
        <f>+IF(AND(Tabla2[[#This Row],[venc]]="venc",Tabla2[[#This Row],[Columna1]]="por pagar"),"vencida","no")</f>
        <v>no</v>
      </c>
    </row>
    <row r="1899" spans="1:23" x14ac:dyDescent="0.3">
      <c r="A1899">
        <v>30</v>
      </c>
      <c r="B1899">
        <v>146262.9</v>
      </c>
      <c r="D1899" t="s">
        <v>262</v>
      </c>
      <c r="E1899" s="156">
        <v>44208</v>
      </c>
      <c r="F1899" t="s">
        <v>17</v>
      </c>
      <c r="G1899" s="156">
        <v>44172</v>
      </c>
      <c r="H1899">
        <v>1700677</v>
      </c>
      <c r="I1899">
        <v>2284115.1260504201</v>
      </c>
      <c r="K1899">
        <v>433981.87394957984</v>
      </c>
      <c r="M1899">
        <v>0</v>
      </c>
      <c r="N1899">
        <v>0</v>
      </c>
      <c r="O1899">
        <v>0</v>
      </c>
      <c r="P1899" s="117">
        <v>2718097</v>
      </c>
      <c r="Q1899" s="117" t="s">
        <v>1021</v>
      </c>
      <c r="R1899" s="150">
        <v>0</v>
      </c>
      <c r="S1899" s="117" t="b">
        <f>OR(COUNTIF(Tabla2[[#This Row],[PROVEEDOR]],"*"&amp;'Palabra no opera'!$A$2&amp;"*"))</f>
        <v>0</v>
      </c>
      <c r="T1899" s="150">
        <f>+$W$5-Tabla2[[#This Row],[FECHA DE FACTURACIÓN]]</f>
        <v>662</v>
      </c>
      <c r="U1899" t="str">
        <f>+IF(Tabla2[[#This Row],[dias de credito]]&gt;=Tabla2[[#This Row],[PLAZO Días]],"venc", "No venc")</f>
        <v>venc</v>
      </c>
      <c r="V1899" t="str">
        <f>+IF(Tabla2[[#This Row],[FECHA DE PAGO]]&gt;0,"pagada","por pagar")</f>
        <v>pagada</v>
      </c>
      <c r="W1899" s="152" t="str">
        <f>+IF(AND(Tabla2[[#This Row],[venc]]="venc",Tabla2[[#This Row],[Columna1]]="por pagar"),"vencida","no")</f>
        <v>no</v>
      </c>
    </row>
    <row r="1900" spans="1:23" x14ac:dyDescent="0.3">
      <c r="A1900">
        <v>30</v>
      </c>
      <c r="B1900">
        <v>0</v>
      </c>
      <c r="D1900" t="s">
        <v>139</v>
      </c>
      <c r="E1900" s="156">
        <v>44208</v>
      </c>
      <c r="F1900" t="s">
        <v>132</v>
      </c>
      <c r="G1900" s="156">
        <v>44154</v>
      </c>
      <c r="H1900" t="s">
        <v>83</v>
      </c>
      <c r="I1900">
        <v>-352790.75630252104</v>
      </c>
      <c r="K1900">
        <v>-67030.243697479003</v>
      </c>
      <c r="M1900">
        <v>0</v>
      </c>
      <c r="N1900">
        <v>0</v>
      </c>
      <c r="O1900">
        <v>0</v>
      </c>
      <c r="P1900" s="117">
        <v>-419821.00000000006</v>
      </c>
      <c r="Q1900" s="117" t="s">
        <v>1021</v>
      </c>
      <c r="R1900" s="150">
        <v>0</v>
      </c>
      <c r="S1900" s="117" t="b">
        <f>OR(COUNTIF(Tabla2[[#This Row],[PROVEEDOR]],"*"&amp;'Palabra no opera'!$A$2&amp;"*"))</f>
        <v>0</v>
      </c>
      <c r="T1900" s="150">
        <f>+$W$5-Tabla2[[#This Row],[FECHA DE FACTURACIÓN]]</f>
        <v>680</v>
      </c>
      <c r="U1900" t="str">
        <f>+IF(Tabla2[[#This Row],[dias de credito]]&gt;=Tabla2[[#This Row],[PLAZO Días]],"venc", "No venc")</f>
        <v>venc</v>
      </c>
      <c r="V1900" t="str">
        <f>+IF(Tabla2[[#This Row],[FECHA DE PAGO]]&gt;0,"pagada","por pagar")</f>
        <v>pagada</v>
      </c>
      <c r="W1900" s="152" t="str">
        <f>+IF(AND(Tabla2[[#This Row],[venc]]="venc",Tabla2[[#This Row],[Columna1]]="por pagar"),"vencida","no")</f>
        <v>no</v>
      </c>
    </row>
    <row r="1901" spans="1:23" x14ac:dyDescent="0.3">
      <c r="A1901">
        <v>30</v>
      </c>
      <c r="B1901">
        <v>0</v>
      </c>
      <c r="D1901" t="s">
        <v>139</v>
      </c>
      <c r="E1901" s="156">
        <v>44208</v>
      </c>
      <c r="F1901" t="s">
        <v>133</v>
      </c>
      <c r="G1901" s="156">
        <v>44154</v>
      </c>
      <c r="H1901" t="s">
        <v>82</v>
      </c>
      <c r="I1901">
        <v>1930844.6445378151</v>
      </c>
      <c r="K1901">
        <v>366860.48246218485</v>
      </c>
      <c r="M1901">
        <v>0</v>
      </c>
      <c r="N1901">
        <v>3.5000000000000003E-2</v>
      </c>
      <c r="O1901">
        <v>67579.562558823542</v>
      </c>
      <c r="P1901" s="117">
        <v>2230125.5644411761</v>
      </c>
      <c r="Q1901" s="117" t="s">
        <v>1021</v>
      </c>
      <c r="R1901" s="150">
        <v>0</v>
      </c>
      <c r="S1901" s="117" t="b">
        <f>OR(COUNTIF(Tabla2[[#This Row],[PROVEEDOR]],"*"&amp;'Palabra no opera'!$A$2&amp;"*"))</f>
        <v>0</v>
      </c>
      <c r="T1901" s="150">
        <f>+$W$5-Tabla2[[#This Row],[FECHA DE FACTURACIÓN]]</f>
        <v>680</v>
      </c>
      <c r="U1901" t="str">
        <f>+IF(Tabla2[[#This Row],[dias de credito]]&gt;=Tabla2[[#This Row],[PLAZO Días]],"venc", "No venc")</f>
        <v>venc</v>
      </c>
      <c r="V1901" t="str">
        <f>+IF(Tabla2[[#This Row],[FECHA DE PAGO]]&gt;0,"pagada","por pagar")</f>
        <v>pagada</v>
      </c>
      <c r="W1901" s="152" t="str">
        <f>+IF(AND(Tabla2[[#This Row],[venc]]="venc",Tabla2[[#This Row],[Columna1]]="por pagar"),"vencida","no")</f>
        <v>no</v>
      </c>
    </row>
    <row r="1902" spans="1:23" x14ac:dyDescent="0.3">
      <c r="A1902">
        <v>45</v>
      </c>
      <c r="B1902">
        <v>7497238</v>
      </c>
      <c r="D1902" t="s">
        <v>272</v>
      </c>
      <c r="E1902" s="156">
        <v>44208</v>
      </c>
      <c r="F1902" t="s">
        <v>10</v>
      </c>
      <c r="G1902" s="156">
        <v>44147</v>
      </c>
      <c r="H1902" t="s">
        <v>78</v>
      </c>
      <c r="I1902">
        <v>732000</v>
      </c>
      <c r="K1902">
        <v>139080</v>
      </c>
      <c r="M1902">
        <v>0</v>
      </c>
      <c r="N1902">
        <v>0</v>
      </c>
      <c r="O1902">
        <v>0</v>
      </c>
      <c r="P1902" s="117">
        <v>871080</v>
      </c>
      <c r="Q1902" s="117" t="s">
        <v>1021</v>
      </c>
      <c r="R1902" s="150">
        <v>0</v>
      </c>
      <c r="S1902" s="117" t="b">
        <f>OR(COUNTIF(Tabla2[[#This Row],[PROVEEDOR]],"*"&amp;'Palabra no opera'!$A$2&amp;"*"))</f>
        <v>0</v>
      </c>
      <c r="T1902" s="150">
        <f>+$W$5-Tabla2[[#This Row],[FECHA DE FACTURACIÓN]]</f>
        <v>687</v>
      </c>
      <c r="U1902" t="str">
        <f>+IF(Tabla2[[#This Row],[dias de credito]]&gt;=Tabla2[[#This Row],[PLAZO Días]],"venc", "No venc")</f>
        <v>venc</v>
      </c>
      <c r="V1902" t="str">
        <f>+IF(Tabla2[[#This Row],[FECHA DE PAGO]]&gt;0,"pagada","por pagar")</f>
        <v>pagada</v>
      </c>
      <c r="W1902" s="152" t="str">
        <f>+IF(AND(Tabla2[[#This Row],[venc]]="venc",Tabla2[[#This Row],[Columna1]]="por pagar"),"vencida","no")</f>
        <v>no</v>
      </c>
    </row>
    <row r="1903" spans="1:23" x14ac:dyDescent="0.3">
      <c r="A1903">
        <v>30</v>
      </c>
      <c r="B1903">
        <v>8190204</v>
      </c>
      <c r="D1903" t="s">
        <v>263</v>
      </c>
      <c r="E1903" s="156">
        <v>44208</v>
      </c>
      <c r="F1903" t="s">
        <v>1637</v>
      </c>
      <c r="G1903" s="156">
        <v>44141</v>
      </c>
      <c r="H1903">
        <v>18451</v>
      </c>
      <c r="I1903">
        <v>3219863.8655462186</v>
      </c>
      <c r="K1903">
        <v>611774.13445378153</v>
      </c>
      <c r="M1903">
        <v>0</v>
      </c>
      <c r="N1903">
        <v>2.5000000000000001E-2</v>
      </c>
      <c r="O1903">
        <v>80496.596638655465</v>
      </c>
      <c r="P1903" s="117">
        <v>3751141.4033613447</v>
      </c>
      <c r="Q1903" s="117" t="s">
        <v>1021</v>
      </c>
      <c r="R1903" s="150">
        <v>0</v>
      </c>
      <c r="S1903" s="117" t="b">
        <f>OR(COUNTIF(Tabla2[[#This Row],[PROVEEDOR]],"*"&amp;'Palabra no opera'!$A$2&amp;"*"))</f>
        <v>0</v>
      </c>
      <c r="T1903" s="150">
        <f>+$W$5-Tabla2[[#This Row],[FECHA DE FACTURACIÓN]]</f>
        <v>693</v>
      </c>
      <c r="U1903" t="str">
        <f>+IF(Tabla2[[#This Row],[dias de credito]]&gt;=Tabla2[[#This Row],[PLAZO Días]],"venc", "No venc")</f>
        <v>venc</v>
      </c>
      <c r="V1903" t="str">
        <f>+IF(Tabla2[[#This Row],[FECHA DE PAGO]]&gt;0,"pagada","por pagar")</f>
        <v>pagada</v>
      </c>
      <c r="W1903" s="152" t="str">
        <f>+IF(AND(Tabla2[[#This Row],[venc]]="venc",Tabla2[[#This Row],[Columna1]]="por pagar"),"vencida","no")</f>
        <v>no</v>
      </c>
    </row>
    <row r="1904" spans="1:23" x14ac:dyDescent="0.3">
      <c r="A1904">
        <v>30</v>
      </c>
      <c r="B1904">
        <v>0</v>
      </c>
      <c r="D1904" t="s">
        <v>139</v>
      </c>
      <c r="E1904" s="156">
        <v>44204</v>
      </c>
      <c r="F1904" t="s">
        <v>37</v>
      </c>
      <c r="G1904" s="156">
        <v>44204</v>
      </c>
      <c r="H1904">
        <v>8935</v>
      </c>
      <c r="I1904">
        <v>139700</v>
      </c>
      <c r="K1904">
        <v>26543</v>
      </c>
      <c r="M1904">
        <v>0</v>
      </c>
      <c r="N1904">
        <v>0</v>
      </c>
      <c r="O1904">
        <v>0</v>
      </c>
      <c r="P1904" s="117">
        <v>166243</v>
      </c>
      <c r="Q1904" s="117" t="s">
        <v>1021</v>
      </c>
      <c r="R1904" s="150">
        <v>0</v>
      </c>
      <c r="S1904" s="117" t="b">
        <f>OR(COUNTIF(Tabla2[[#This Row],[PROVEEDOR]],"*"&amp;'Palabra no opera'!$A$2&amp;"*"))</f>
        <v>0</v>
      </c>
      <c r="T1904" s="150">
        <f>+$W$5-Tabla2[[#This Row],[FECHA DE FACTURACIÓN]]</f>
        <v>630</v>
      </c>
      <c r="U1904" t="str">
        <f>+IF(Tabla2[[#This Row],[dias de credito]]&gt;=Tabla2[[#This Row],[PLAZO Días]],"venc", "No venc")</f>
        <v>venc</v>
      </c>
      <c r="V1904" t="str">
        <f>+IF(Tabla2[[#This Row],[FECHA DE PAGO]]&gt;0,"pagada","por pagar")</f>
        <v>pagada</v>
      </c>
      <c r="W1904" s="152" t="str">
        <f>+IF(AND(Tabla2[[#This Row],[venc]]="venc",Tabla2[[#This Row],[Columna1]]="por pagar"),"vencida","no")</f>
        <v>no</v>
      </c>
    </row>
    <row r="1905" spans="1:23" x14ac:dyDescent="0.3">
      <c r="A1905">
        <v>30</v>
      </c>
      <c r="B1905">
        <v>0</v>
      </c>
      <c r="D1905" t="s">
        <v>255</v>
      </c>
      <c r="E1905" s="156">
        <v>44204</v>
      </c>
      <c r="F1905" t="s">
        <v>137</v>
      </c>
      <c r="G1905" s="156">
        <v>44200</v>
      </c>
      <c r="H1905">
        <v>9660</v>
      </c>
      <c r="I1905">
        <v>406800</v>
      </c>
      <c r="K1905">
        <v>0</v>
      </c>
      <c r="M1905">
        <v>0</v>
      </c>
      <c r="N1905">
        <v>0</v>
      </c>
      <c r="O1905">
        <v>0</v>
      </c>
      <c r="P1905" s="117">
        <v>406800</v>
      </c>
      <c r="Q1905" s="117" t="s">
        <v>1021</v>
      </c>
      <c r="R1905" s="150">
        <v>0</v>
      </c>
      <c r="S1905" s="117" t="b">
        <f>OR(COUNTIF(Tabla2[[#This Row],[PROVEEDOR]],"*"&amp;'Palabra no opera'!$A$2&amp;"*"))</f>
        <v>0</v>
      </c>
      <c r="T1905" s="150">
        <f>+$W$5-Tabla2[[#This Row],[FECHA DE FACTURACIÓN]]</f>
        <v>634</v>
      </c>
      <c r="U1905" t="str">
        <f>+IF(Tabla2[[#This Row],[dias de credito]]&gt;=Tabla2[[#This Row],[PLAZO Días]],"venc", "No venc")</f>
        <v>venc</v>
      </c>
      <c r="V1905" t="str">
        <f>+IF(Tabla2[[#This Row],[FECHA DE PAGO]]&gt;0,"pagada","por pagar")</f>
        <v>pagada</v>
      </c>
      <c r="W1905" s="152" t="str">
        <f>+IF(AND(Tabla2[[#This Row],[venc]]="venc",Tabla2[[#This Row],[Columna1]]="por pagar"),"vencida","no")</f>
        <v>no</v>
      </c>
    </row>
    <row r="1906" spans="1:23" x14ac:dyDescent="0.3">
      <c r="A1906">
        <v>30</v>
      </c>
      <c r="B1906">
        <v>0</v>
      </c>
      <c r="D1906" t="s">
        <v>139</v>
      </c>
      <c r="E1906" s="156">
        <v>44201</v>
      </c>
      <c r="F1906" t="s">
        <v>661</v>
      </c>
      <c r="G1906" s="156">
        <v>44201</v>
      </c>
      <c r="H1906" t="s">
        <v>727</v>
      </c>
      <c r="I1906">
        <v>750000</v>
      </c>
      <c r="K1906">
        <v>0</v>
      </c>
      <c r="M1906">
        <v>0</v>
      </c>
      <c r="N1906">
        <v>0</v>
      </c>
      <c r="O1906">
        <v>0</v>
      </c>
      <c r="P1906" s="117">
        <v>750000</v>
      </c>
      <c r="Q1906" s="117" t="s">
        <v>1021</v>
      </c>
      <c r="R1906" s="150">
        <v>0</v>
      </c>
      <c r="S1906" s="117" t="b">
        <f>OR(COUNTIF(Tabla2[[#This Row],[PROVEEDOR]],"*"&amp;'Palabra no opera'!$A$2&amp;"*"))</f>
        <v>0</v>
      </c>
      <c r="T1906" s="150">
        <f>+$W$5-Tabla2[[#This Row],[FECHA DE FACTURACIÓN]]</f>
        <v>633</v>
      </c>
      <c r="U1906" t="str">
        <f>+IF(Tabla2[[#This Row],[dias de credito]]&gt;=Tabla2[[#This Row],[PLAZO Días]],"venc", "No venc")</f>
        <v>venc</v>
      </c>
      <c r="V1906" t="str">
        <f>+IF(Tabla2[[#This Row],[FECHA DE PAGO]]&gt;0,"pagada","por pagar")</f>
        <v>pagada</v>
      </c>
      <c r="W1906" s="152" t="str">
        <f>+IF(AND(Tabla2[[#This Row],[venc]]="venc",Tabla2[[#This Row],[Columna1]]="por pagar"),"vencida","no")</f>
        <v>no</v>
      </c>
    </row>
    <row r="1907" spans="1:23" x14ac:dyDescent="0.3">
      <c r="A1907">
        <v>30</v>
      </c>
      <c r="B1907">
        <v>0</v>
      </c>
      <c r="D1907" t="s">
        <v>139</v>
      </c>
      <c r="E1907" s="156">
        <v>44201</v>
      </c>
      <c r="F1907" t="s">
        <v>636</v>
      </c>
      <c r="G1907" s="156">
        <v>44189</v>
      </c>
      <c r="I1907">
        <v>265000</v>
      </c>
      <c r="K1907">
        <v>0</v>
      </c>
      <c r="M1907">
        <v>0</v>
      </c>
      <c r="N1907">
        <v>0</v>
      </c>
      <c r="O1907">
        <v>0</v>
      </c>
      <c r="P1907" s="117">
        <v>265000</v>
      </c>
      <c r="Q1907" s="117" t="s">
        <v>1021</v>
      </c>
      <c r="R1907" s="150">
        <v>0</v>
      </c>
      <c r="S1907" s="117" t="b">
        <f>OR(COUNTIF(Tabla2[[#This Row],[PROVEEDOR]],"*"&amp;'Palabra no opera'!$A$2&amp;"*"))</f>
        <v>0</v>
      </c>
      <c r="T1907" s="150">
        <f>+$W$5-Tabla2[[#This Row],[FECHA DE FACTURACIÓN]]</f>
        <v>645</v>
      </c>
      <c r="U1907" t="str">
        <f>+IF(Tabla2[[#This Row],[dias de credito]]&gt;=Tabla2[[#This Row],[PLAZO Días]],"venc", "No venc")</f>
        <v>venc</v>
      </c>
      <c r="V1907" t="str">
        <f>+IF(Tabla2[[#This Row],[FECHA DE PAGO]]&gt;0,"pagada","por pagar")</f>
        <v>pagada</v>
      </c>
      <c r="W1907" s="152" t="str">
        <f>+IF(AND(Tabla2[[#This Row],[venc]]="venc",Tabla2[[#This Row],[Columna1]]="por pagar"),"vencida","no")</f>
        <v>no</v>
      </c>
    </row>
    <row r="1908" spans="1:23" x14ac:dyDescent="0.3">
      <c r="A1908">
        <v>30</v>
      </c>
      <c r="B1908">
        <v>0</v>
      </c>
      <c r="D1908" t="s">
        <v>139</v>
      </c>
      <c r="E1908" s="156">
        <v>44201</v>
      </c>
      <c r="F1908" t="s">
        <v>636</v>
      </c>
      <c r="G1908" s="156">
        <v>44187</v>
      </c>
      <c r="I1908">
        <v>90000</v>
      </c>
      <c r="K1908">
        <v>0</v>
      </c>
      <c r="M1908">
        <v>0</v>
      </c>
      <c r="N1908">
        <v>0</v>
      </c>
      <c r="O1908">
        <v>0</v>
      </c>
      <c r="P1908" s="117">
        <v>90000</v>
      </c>
      <c r="Q1908" s="117" t="s">
        <v>1021</v>
      </c>
      <c r="R1908" s="150">
        <v>0</v>
      </c>
      <c r="S1908" s="117" t="b">
        <f>OR(COUNTIF(Tabla2[[#This Row],[PROVEEDOR]],"*"&amp;'Palabra no opera'!$A$2&amp;"*"))</f>
        <v>0</v>
      </c>
      <c r="T1908" s="150">
        <f>+$W$5-Tabla2[[#This Row],[FECHA DE FACTURACIÓN]]</f>
        <v>647</v>
      </c>
      <c r="U1908" t="str">
        <f>+IF(Tabla2[[#This Row],[dias de credito]]&gt;=Tabla2[[#This Row],[PLAZO Días]],"venc", "No venc")</f>
        <v>venc</v>
      </c>
      <c r="V1908" t="str">
        <f>+IF(Tabla2[[#This Row],[FECHA DE PAGO]]&gt;0,"pagada","por pagar")</f>
        <v>pagada</v>
      </c>
      <c r="W1908" s="152" t="str">
        <f>+IF(AND(Tabla2[[#This Row],[venc]]="venc",Tabla2[[#This Row],[Columna1]]="por pagar"),"vencida","no")</f>
        <v>no</v>
      </c>
    </row>
    <row r="1909" spans="1:23" x14ac:dyDescent="0.3">
      <c r="A1909">
        <v>30</v>
      </c>
      <c r="B1909">
        <v>0</v>
      </c>
      <c r="D1909" t="s">
        <v>622</v>
      </c>
      <c r="E1909" s="156">
        <v>44201</v>
      </c>
      <c r="F1909" t="s">
        <v>623</v>
      </c>
      <c r="G1909" s="156">
        <v>44145</v>
      </c>
      <c r="H1909">
        <v>304</v>
      </c>
      <c r="I1909">
        <v>3782500</v>
      </c>
      <c r="K1909">
        <v>0</v>
      </c>
      <c r="M1909">
        <v>0</v>
      </c>
      <c r="N1909">
        <v>0</v>
      </c>
      <c r="O1909">
        <v>0</v>
      </c>
      <c r="P1909" s="117">
        <v>3782500</v>
      </c>
      <c r="Q1909" s="117" t="s">
        <v>1021</v>
      </c>
      <c r="R1909" s="150">
        <v>0</v>
      </c>
      <c r="S1909" s="117" t="b">
        <f>OR(COUNTIF(Tabla2[[#This Row],[PROVEEDOR]],"*"&amp;'Palabra no opera'!$A$2&amp;"*"))</f>
        <v>0</v>
      </c>
      <c r="T1909" s="150">
        <f>+$W$5-Tabla2[[#This Row],[FECHA DE FACTURACIÓN]]</f>
        <v>689</v>
      </c>
      <c r="U1909" t="str">
        <f>+IF(Tabla2[[#This Row],[dias de credito]]&gt;=Tabla2[[#This Row],[PLAZO Días]],"venc", "No venc")</f>
        <v>venc</v>
      </c>
      <c r="V1909" t="str">
        <f>+IF(Tabla2[[#This Row],[FECHA DE PAGO]]&gt;0,"pagada","por pagar")</f>
        <v>pagada</v>
      </c>
      <c r="W1909" s="152" t="str">
        <f>+IF(AND(Tabla2[[#This Row],[venc]]="venc",Tabla2[[#This Row],[Columna1]]="por pagar"),"vencida","no")</f>
        <v>no</v>
      </c>
    </row>
    <row r="1910" spans="1:23" x14ac:dyDescent="0.3">
      <c r="A1910">
        <v>90</v>
      </c>
      <c r="B1910">
        <v>0</v>
      </c>
      <c r="D1910" t="s">
        <v>139</v>
      </c>
      <c r="E1910" s="156">
        <v>44201</v>
      </c>
      <c r="F1910" t="s">
        <v>651</v>
      </c>
      <c r="G1910" s="156">
        <v>44136</v>
      </c>
      <c r="H1910">
        <v>1120</v>
      </c>
      <c r="I1910">
        <v>990000</v>
      </c>
      <c r="K1910">
        <v>0</v>
      </c>
      <c r="M1910">
        <v>0</v>
      </c>
      <c r="N1910">
        <v>0</v>
      </c>
      <c r="O1910">
        <v>0</v>
      </c>
      <c r="P1910" s="117">
        <v>990000</v>
      </c>
      <c r="Q1910" s="117" t="s">
        <v>1021</v>
      </c>
      <c r="R1910" s="150">
        <v>0</v>
      </c>
      <c r="S1910" s="117" t="b">
        <f>OR(COUNTIF(Tabla2[[#This Row],[PROVEEDOR]],"*"&amp;'Palabra no opera'!$A$2&amp;"*"))</f>
        <v>0</v>
      </c>
      <c r="T1910" s="150">
        <f>+$W$5-Tabla2[[#This Row],[FECHA DE FACTURACIÓN]]</f>
        <v>698</v>
      </c>
      <c r="U1910" t="str">
        <f>+IF(Tabla2[[#This Row],[dias de credito]]&gt;=Tabla2[[#This Row],[PLAZO Días]],"venc", "No venc")</f>
        <v>venc</v>
      </c>
      <c r="V1910" t="str">
        <f>+IF(Tabla2[[#This Row],[FECHA DE PAGO]]&gt;0,"pagada","por pagar")</f>
        <v>pagada</v>
      </c>
      <c r="W1910" s="152" t="str">
        <f>+IF(AND(Tabla2[[#This Row],[venc]]="venc",Tabla2[[#This Row],[Columna1]]="por pagar"),"vencida","no")</f>
        <v>no</v>
      </c>
    </row>
    <row r="1911" spans="1:23" x14ac:dyDescent="0.3">
      <c r="A1911">
        <v>30</v>
      </c>
      <c r="B1911">
        <v>5225000</v>
      </c>
      <c r="D1911" t="s">
        <v>139</v>
      </c>
      <c r="E1911" s="156">
        <v>44200</v>
      </c>
      <c r="F1911" t="s">
        <v>629</v>
      </c>
      <c r="G1911" s="156">
        <v>44550</v>
      </c>
      <c r="H1911" t="s">
        <v>1363</v>
      </c>
      <c r="I1911">
        <v>1045000</v>
      </c>
      <c r="K1911">
        <v>0</v>
      </c>
      <c r="M1911">
        <v>0</v>
      </c>
      <c r="N1911">
        <v>0</v>
      </c>
      <c r="O1911">
        <v>0</v>
      </c>
      <c r="P1911" s="117">
        <v>1045000</v>
      </c>
      <c r="Q1911" s="117" t="s">
        <v>1021</v>
      </c>
      <c r="R1911" s="150">
        <v>0</v>
      </c>
      <c r="S1911" s="117" t="b">
        <f>OR(COUNTIF(Tabla2[[#This Row],[PROVEEDOR]],"*"&amp;'Palabra no opera'!$A$2&amp;"*"))</f>
        <v>0</v>
      </c>
      <c r="T1911" s="150">
        <f>+$W$5-Tabla2[[#This Row],[FECHA DE FACTURACIÓN]]</f>
        <v>284</v>
      </c>
      <c r="U1911" t="str">
        <f>+IF(Tabla2[[#This Row],[dias de credito]]&gt;=Tabla2[[#This Row],[PLAZO Días]],"venc", "No venc")</f>
        <v>venc</v>
      </c>
      <c r="V1911" t="str">
        <f>+IF(Tabla2[[#This Row],[FECHA DE PAGO]]&gt;0,"pagada","por pagar")</f>
        <v>pagada</v>
      </c>
      <c r="W1911" s="152" t="str">
        <f>+IF(AND(Tabla2[[#This Row],[venc]]="venc",Tabla2[[#This Row],[Columna1]]="por pagar"),"vencida","no")</f>
        <v>no</v>
      </c>
    </row>
    <row r="1912" spans="1:23" x14ac:dyDescent="0.3">
      <c r="A1912">
        <v>30</v>
      </c>
      <c r="B1912">
        <v>0</v>
      </c>
      <c r="D1912" t="s">
        <v>255</v>
      </c>
      <c r="E1912" s="156">
        <v>44198</v>
      </c>
      <c r="F1912" t="s">
        <v>130</v>
      </c>
      <c r="G1912" s="156">
        <v>44219</v>
      </c>
      <c r="H1912" t="s">
        <v>169</v>
      </c>
      <c r="I1912">
        <v>1266000</v>
      </c>
      <c r="K1912">
        <v>0</v>
      </c>
      <c r="M1912">
        <v>0</v>
      </c>
      <c r="N1912">
        <v>0</v>
      </c>
      <c r="O1912">
        <v>0</v>
      </c>
      <c r="P1912" s="117">
        <v>1266000</v>
      </c>
      <c r="Q1912" s="117" t="s">
        <v>1021</v>
      </c>
      <c r="R1912" s="150">
        <v>0</v>
      </c>
      <c r="S1912" s="117" t="b">
        <f>OR(COUNTIF(Tabla2[[#This Row],[PROVEEDOR]],"*"&amp;'Palabra no opera'!$A$2&amp;"*"))</f>
        <v>0</v>
      </c>
      <c r="T1912" s="150">
        <f>+$W$5-Tabla2[[#This Row],[FECHA DE FACTURACIÓN]]</f>
        <v>615</v>
      </c>
      <c r="U1912" t="str">
        <f>+IF(Tabla2[[#This Row],[dias de credito]]&gt;=Tabla2[[#This Row],[PLAZO Días]],"venc", "No venc")</f>
        <v>venc</v>
      </c>
      <c r="V1912" t="str">
        <f>+IF(Tabla2[[#This Row],[FECHA DE PAGO]]&gt;0,"pagada","por pagar")</f>
        <v>pagada</v>
      </c>
      <c r="W1912" s="152" t="str">
        <f>+IF(AND(Tabla2[[#This Row],[venc]]="venc",Tabla2[[#This Row],[Columna1]]="por pagar"),"vencida","no")</f>
        <v>no</v>
      </c>
    </row>
    <row r="1913" spans="1:23" x14ac:dyDescent="0.3">
      <c r="A1913">
        <v>30</v>
      </c>
      <c r="B1913">
        <v>0</v>
      </c>
      <c r="D1913" t="s">
        <v>255</v>
      </c>
      <c r="E1913" s="156">
        <v>44198</v>
      </c>
      <c r="F1913" t="s">
        <v>129</v>
      </c>
      <c r="G1913" s="156">
        <v>44204</v>
      </c>
      <c r="H1913" t="s">
        <v>104</v>
      </c>
      <c r="I1913">
        <v>1732000</v>
      </c>
      <c r="K1913">
        <v>0</v>
      </c>
      <c r="M1913">
        <v>0</v>
      </c>
      <c r="N1913">
        <v>0</v>
      </c>
      <c r="O1913">
        <v>0</v>
      </c>
      <c r="P1913" s="117">
        <v>1732000</v>
      </c>
      <c r="Q1913" s="117" t="s">
        <v>1021</v>
      </c>
      <c r="R1913" s="150">
        <v>0</v>
      </c>
      <c r="S1913" s="117" t="b">
        <f>OR(COUNTIF(Tabla2[[#This Row],[PROVEEDOR]],"*"&amp;'Palabra no opera'!$A$2&amp;"*"))</f>
        <v>0</v>
      </c>
      <c r="T1913" s="150">
        <f>+$W$5-Tabla2[[#This Row],[FECHA DE FACTURACIÓN]]</f>
        <v>630</v>
      </c>
      <c r="U1913" t="str">
        <f>+IF(Tabla2[[#This Row],[dias de credito]]&gt;=Tabla2[[#This Row],[PLAZO Días]],"venc", "No venc")</f>
        <v>venc</v>
      </c>
      <c r="V1913" t="str">
        <f>+IF(Tabla2[[#This Row],[FECHA DE PAGO]]&gt;0,"pagada","por pagar")</f>
        <v>pagada</v>
      </c>
      <c r="W1913" s="152" t="str">
        <f>+IF(AND(Tabla2[[#This Row],[venc]]="venc",Tabla2[[#This Row],[Columna1]]="por pagar"),"vencida","no")</f>
        <v>no</v>
      </c>
    </row>
    <row r="1914" spans="1:23" x14ac:dyDescent="0.3">
      <c r="A1914">
        <v>30</v>
      </c>
      <c r="B1914">
        <v>0</v>
      </c>
      <c r="D1914" t="s">
        <v>268</v>
      </c>
      <c r="E1914" s="156">
        <v>44198</v>
      </c>
      <c r="F1914" t="s">
        <v>930</v>
      </c>
      <c r="G1914" s="156">
        <v>44197</v>
      </c>
      <c r="H1914">
        <v>422</v>
      </c>
      <c r="I1914">
        <v>54000</v>
      </c>
      <c r="K1914">
        <v>0</v>
      </c>
      <c r="M1914">
        <v>0</v>
      </c>
      <c r="N1914">
        <v>3.5000000000000003E-2</v>
      </c>
      <c r="O1914">
        <v>1890.0000000000002</v>
      </c>
      <c r="P1914" s="117">
        <v>52110</v>
      </c>
      <c r="Q1914" s="117" t="s">
        <v>1021</v>
      </c>
      <c r="R1914" s="150">
        <v>0</v>
      </c>
      <c r="S1914" s="117" t="b">
        <f>OR(COUNTIF(Tabla2[[#This Row],[PROVEEDOR]],"*"&amp;'Palabra no opera'!$A$2&amp;"*"))</f>
        <v>1</v>
      </c>
      <c r="T1914" s="150">
        <f>+$W$5-Tabla2[[#This Row],[FECHA DE FACTURACIÓN]]</f>
        <v>637</v>
      </c>
      <c r="U1914" t="str">
        <f>+IF(Tabla2[[#This Row],[dias de credito]]&gt;=Tabla2[[#This Row],[PLAZO Días]],"venc", "No venc")</f>
        <v>venc</v>
      </c>
      <c r="V1914" t="str">
        <f>+IF(Tabla2[[#This Row],[FECHA DE PAGO]]&gt;0,"pagada","por pagar")</f>
        <v>pagada</v>
      </c>
      <c r="W1914" s="152" t="str">
        <f>+IF(AND(Tabla2[[#This Row],[venc]]="venc",Tabla2[[#This Row],[Columna1]]="por pagar"),"vencida","no")</f>
        <v>no</v>
      </c>
    </row>
    <row r="1915" spans="1:23" x14ac:dyDescent="0.3">
      <c r="A1915">
        <v>30</v>
      </c>
      <c r="B1915">
        <v>5225000</v>
      </c>
      <c r="D1915" t="s">
        <v>139</v>
      </c>
      <c r="E1915" s="156">
        <v>44198</v>
      </c>
      <c r="F1915" t="s">
        <v>629</v>
      </c>
      <c r="G1915" s="156">
        <v>44180</v>
      </c>
      <c r="H1915" t="s">
        <v>1180</v>
      </c>
      <c r="I1915">
        <v>4071500</v>
      </c>
      <c r="K1915">
        <v>0</v>
      </c>
      <c r="M1915">
        <v>0</v>
      </c>
      <c r="N1915">
        <v>0</v>
      </c>
      <c r="O1915">
        <v>0</v>
      </c>
      <c r="P1915" s="117">
        <v>4071500</v>
      </c>
      <c r="Q1915" s="117" t="s">
        <v>1021</v>
      </c>
      <c r="R1915" s="150">
        <v>0</v>
      </c>
      <c r="S1915" s="117" t="b">
        <f>OR(COUNTIF(Tabla2[[#This Row],[PROVEEDOR]],"*"&amp;'Palabra no opera'!$A$2&amp;"*"))</f>
        <v>0</v>
      </c>
      <c r="T1915" s="150">
        <f>+$W$5-Tabla2[[#This Row],[FECHA DE FACTURACIÓN]]</f>
        <v>654</v>
      </c>
      <c r="U1915" t="str">
        <f>+IF(Tabla2[[#This Row],[dias de credito]]&gt;=Tabla2[[#This Row],[PLAZO Días]],"venc", "No venc")</f>
        <v>venc</v>
      </c>
      <c r="V1915" t="str">
        <f>+IF(Tabla2[[#This Row],[FECHA DE PAGO]]&gt;0,"pagada","por pagar")</f>
        <v>pagada</v>
      </c>
      <c r="W1915" s="152" t="str">
        <f>+IF(AND(Tabla2[[#This Row],[venc]]="venc",Tabla2[[#This Row],[Columna1]]="por pagar"),"vencida","no")</f>
        <v>no</v>
      </c>
    </row>
    <row r="1916" spans="1:23" x14ac:dyDescent="0.3">
      <c r="A1916">
        <v>60</v>
      </c>
      <c r="B1916">
        <v>8889300</v>
      </c>
      <c r="D1916">
        <v>0</v>
      </c>
      <c r="F1916" t="s">
        <v>1429</v>
      </c>
      <c r="G1916" s="156">
        <v>44834</v>
      </c>
      <c r="H1916" t="s">
        <v>1713</v>
      </c>
      <c r="I1916">
        <v>7050000</v>
      </c>
      <c r="K1916">
        <v>1339500</v>
      </c>
      <c r="M1916">
        <v>0</v>
      </c>
      <c r="N1916">
        <v>0</v>
      </c>
      <c r="O1916">
        <v>0</v>
      </c>
      <c r="P1916" s="117">
        <v>8389500</v>
      </c>
      <c r="Q1916" s="117" t="s">
        <v>1023</v>
      </c>
      <c r="R1916" s="150">
        <v>-52</v>
      </c>
      <c r="S1916" s="117" t="b">
        <f>OR(COUNTIF(Tabla2[[#This Row],[PROVEEDOR]],"*"&amp;'Palabra no opera'!$A$2&amp;"*"))</f>
        <v>1</v>
      </c>
      <c r="T1916" s="150">
        <f>+$W$5-Tabla2[[#This Row],[FECHA DE FACTURACIÓN]]</f>
        <v>0</v>
      </c>
      <c r="U1916" t="str">
        <f>+IF(Tabla2[[#This Row],[dias de credito]]&gt;=Tabla2[[#This Row],[PLAZO Días]],"venc", "No venc")</f>
        <v>No venc</v>
      </c>
      <c r="V1916" t="str">
        <f>+IF(Tabla2[[#This Row],[FECHA DE PAGO]]&gt;0,"pagada","por pagar")</f>
        <v>por pagar</v>
      </c>
      <c r="W1916" s="152" t="str">
        <f>+IF(AND(Tabla2[[#This Row],[venc]]="venc",Tabla2[[#This Row],[Columna1]]="por pagar"),"vencida","no")</f>
        <v>no</v>
      </c>
    </row>
    <row r="1917" spans="1:23" x14ac:dyDescent="0.3">
      <c r="A1917">
        <v>30</v>
      </c>
      <c r="B1917">
        <v>1957800</v>
      </c>
      <c r="D1917">
        <v>0</v>
      </c>
      <c r="F1917" t="s">
        <v>1725</v>
      </c>
      <c r="G1917" s="156">
        <v>44834</v>
      </c>
      <c r="H1917" t="s">
        <v>1726</v>
      </c>
      <c r="I1917">
        <v>1957800</v>
      </c>
      <c r="K1917">
        <v>0</v>
      </c>
      <c r="M1917">
        <v>0</v>
      </c>
      <c r="N1917">
        <v>0</v>
      </c>
      <c r="O1917">
        <v>0</v>
      </c>
      <c r="P1917" s="117">
        <v>1957800</v>
      </c>
      <c r="Q1917" s="117" t="s">
        <v>1023</v>
      </c>
      <c r="R1917" s="150">
        <v>-22</v>
      </c>
      <c r="S1917" s="117" t="b">
        <f>OR(COUNTIF(Tabla2[[#This Row],[PROVEEDOR]],"*"&amp;'Palabra no opera'!$A$2&amp;"*"))</f>
        <v>0</v>
      </c>
      <c r="T1917" s="150">
        <f>+$W$5-Tabla2[[#This Row],[FECHA DE FACTURACIÓN]]</f>
        <v>0</v>
      </c>
      <c r="U1917" t="str">
        <f>+IF(Tabla2[[#This Row],[dias de credito]]&gt;=Tabla2[[#This Row],[PLAZO Días]],"venc", "No venc")</f>
        <v>No venc</v>
      </c>
      <c r="V1917" t="str">
        <f>+IF(Tabla2[[#This Row],[FECHA DE PAGO]]&gt;0,"pagada","por pagar")</f>
        <v>por pagar</v>
      </c>
      <c r="W1917" s="152" t="str">
        <f>+IF(AND(Tabla2[[#This Row],[venc]]="venc",Tabla2[[#This Row],[Columna1]]="por pagar"),"vencida","no")</f>
        <v>no</v>
      </c>
    </row>
    <row r="1918" spans="1:23" x14ac:dyDescent="0.3">
      <c r="A1918">
        <v>30</v>
      </c>
      <c r="B1918">
        <v>2516204.2100999998</v>
      </c>
      <c r="D1918" t="s">
        <v>261</v>
      </c>
      <c r="F1918" t="s">
        <v>512</v>
      </c>
      <c r="G1918" s="156">
        <v>44834</v>
      </c>
      <c r="H1918" t="s">
        <v>1728</v>
      </c>
      <c r="I1918">
        <v>1087142.8600000001</v>
      </c>
      <c r="K1918">
        <v>206557.14340000003</v>
      </c>
      <c r="M1918">
        <v>0</v>
      </c>
      <c r="N1918">
        <v>2.5000000000000001E-2</v>
      </c>
      <c r="O1918">
        <v>27178.571500000005</v>
      </c>
      <c r="P1918" s="117">
        <v>1266521.4319</v>
      </c>
      <c r="Q1918" s="117" t="s">
        <v>1023</v>
      </c>
      <c r="R1918" s="150">
        <v>-22</v>
      </c>
      <c r="S1918" s="117" t="b">
        <f>OR(COUNTIF(Tabla2[[#This Row],[PROVEEDOR]],"*"&amp;'Palabra no opera'!$A$2&amp;"*"))</f>
        <v>0</v>
      </c>
      <c r="T1918" s="150">
        <f>+$W$5-Tabla2[[#This Row],[FECHA DE FACTURACIÓN]]</f>
        <v>0</v>
      </c>
      <c r="U1918" t="str">
        <f>+IF(Tabla2[[#This Row],[dias de credito]]&gt;=Tabla2[[#This Row],[PLAZO Días]],"venc", "No venc")</f>
        <v>No venc</v>
      </c>
      <c r="V1918" t="str">
        <f>+IF(Tabla2[[#This Row],[FECHA DE PAGO]]&gt;0,"pagada","por pagar")</f>
        <v>por pagar</v>
      </c>
      <c r="W1918" s="152" t="str">
        <f>+IF(AND(Tabla2[[#This Row],[venc]]="venc",Tabla2[[#This Row],[Columna1]]="por pagar"),"vencida","no")</f>
        <v>no</v>
      </c>
    </row>
    <row r="1919" spans="1:23" x14ac:dyDescent="0.3">
      <c r="A1919">
        <v>8</v>
      </c>
      <c r="B1919">
        <v>1814000</v>
      </c>
      <c r="D1919">
        <v>0</v>
      </c>
      <c r="F1919" t="s">
        <v>966</v>
      </c>
      <c r="G1919" s="156">
        <v>44833</v>
      </c>
      <c r="H1919" t="s">
        <v>1729</v>
      </c>
      <c r="I1919">
        <v>1814000</v>
      </c>
      <c r="K1919">
        <v>0</v>
      </c>
      <c r="M1919">
        <v>0</v>
      </c>
      <c r="N1919">
        <v>0</v>
      </c>
      <c r="O1919">
        <v>0</v>
      </c>
      <c r="P1919" s="117">
        <v>1814000</v>
      </c>
      <c r="Q1919" s="117" t="s">
        <v>1022</v>
      </c>
      <c r="R1919" s="150">
        <v>1</v>
      </c>
      <c r="S1919" s="117" t="b">
        <f>OR(COUNTIF(Tabla2[[#This Row],[PROVEEDOR]],"*"&amp;'Palabra no opera'!$A$2&amp;"*"))</f>
        <v>0</v>
      </c>
      <c r="T1919" s="150">
        <f>+$W$5-Tabla2[[#This Row],[FECHA DE FACTURACIÓN]]</f>
        <v>1</v>
      </c>
      <c r="U1919" t="str">
        <f>+IF(Tabla2[[#This Row],[dias de credito]]&gt;=Tabla2[[#This Row],[PLAZO Días]],"venc", "No venc")</f>
        <v>No venc</v>
      </c>
      <c r="V1919" t="str">
        <f>+IF(Tabla2[[#This Row],[FECHA DE PAGO]]&gt;0,"pagada","por pagar")</f>
        <v>por pagar</v>
      </c>
      <c r="W1919" s="152" t="str">
        <f>+IF(AND(Tabla2[[#This Row],[venc]]="venc",Tabla2[[#This Row],[Columna1]]="por pagar"),"vencida","no")</f>
        <v>no</v>
      </c>
    </row>
    <row r="1920" spans="1:23" x14ac:dyDescent="0.3">
      <c r="A1920">
        <v>30</v>
      </c>
      <c r="B1920">
        <v>527800</v>
      </c>
      <c r="D1920" t="s">
        <v>139</v>
      </c>
      <c r="F1920" t="s">
        <v>1732</v>
      </c>
      <c r="G1920" s="156">
        <v>44833</v>
      </c>
      <c r="H1920" t="s">
        <v>1733</v>
      </c>
      <c r="I1920">
        <v>527800</v>
      </c>
      <c r="K1920">
        <v>0</v>
      </c>
      <c r="M1920">
        <v>0</v>
      </c>
      <c r="N1920">
        <v>0</v>
      </c>
      <c r="O1920">
        <v>0</v>
      </c>
      <c r="P1920" s="117">
        <v>527800</v>
      </c>
      <c r="Q1920" s="117" t="s">
        <v>1023</v>
      </c>
      <c r="R1920" s="150">
        <v>-21</v>
      </c>
      <c r="S1920" s="117" t="b">
        <f>OR(COUNTIF(Tabla2[[#This Row],[PROVEEDOR]],"*"&amp;'Palabra no opera'!$A$2&amp;"*"))</f>
        <v>0</v>
      </c>
      <c r="T1920" s="150">
        <f>+$W$5-Tabla2[[#This Row],[FECHA DE FACTURACIÓN]]</f>
        <v>1</v>
      </c>
      <c r="U1920" t="str">
        <f>+IF(Tabla2[[#This Row],[dias de credito]]&gt;=Tabla2[[#This Row],[PLAZO Días]],"venc", "No venc")</f>
        <v>No venc</v>
      </c>
      <c r="V1920" t="str">
        <f>+IF(Tabla2[[#This Row],[FECHA DE PAGO]]&gt;0,"pagada","por pagar")</f>
        <v>por pagar</v>
      </c>
      <c r="W1920" s="152" t="str">
        <f>+IF(AND(Tabla2[[#This Row],[venc]]="venc",Tabla2[[#This Row],[Columna1]]="por pagar"),"vencida","no")</f>
        <v>no</v>
      </c>
    </row>
    <row r="1921" spans="1:23" x14ac:dyDescent="0.3">
      <c r="A1921">
        <v>30</v>
      </c>
      <c r="B1921">
        <v>146000</v>
      </c>
      <c r="D1921">
        <v>0</v>
      </c>
      <c r="F1921" t="s">
        <v>1735</v>
      </c>
      <c r="G1921" s="156">
        <v>44833</v>
      </c>
      <c r="H1921" t="s">
        <v>1736</v>
      </c>
      <c r="I1921">
        <v>146000</v>
      </c>
      <c r="K1921">
        <v>0</v>
      </c>
      <c r="M1921">
        <v>0</v>
      </c>
      <c r="N1921">
        <v>0</v>
      </c>
      <c r="O1921">
        <v>0</v>
      </c>
      <c r="P1921" s="117">
        <v>146000</v>
      </c>
      <c r="Q1921" s="117" t="s">
        <v>1023</v>
      </c>
      <c r="R1921" s="150">
        <v>-21</v>
      </c>
      <c r="S1921" s="117" t="b">
        <f>OR(COUNTIF(Tabla2[[#This Row],[PROVEEDOR]],"*"&amp;'Palabra no opera'!$A$2&amp;"*"))</f>
        <v>0</v>
      </c>
      <c r="T1921" s="150">
        <f>+$W$5-Tabla2[[#This Row],[FECHA DE FACTURACIÓN]]</f>
        <v>1</v>
      </c>
      <c r="U1921" t="str">
        <f>+IF(Tabla2[[#This Row],[dias de credito]]&gt;=Tabla2[[#This Row],[PLAZO Días]],"venc", "No venc")</f>
        <v>No venc</v>
      </c>
      <c r="V1921" t="str">
        <f>+IF(Tabla2[[#This Row],[FECHA DE PAGO]]&gt;0,"pagada","por pagar")</f>
        <v>por pagar</v>
      </c>
      <c r="W1921" s="152" t="str">
        <f>+IF(AND(Tabla2[[#This Row],[venc]]="venc",Tabla2[[#This Row],[Columna1]]="por pagar"),"vencida","no")</f>
        <v>no</v>
      </c>
    </row>
    <row r="1922" spans="1:23" x14ac:dyDescent="0.3">
      <c r="A1922">
        <v>30</v>
      </c>
      <c r="B1922">
        <v>864400</v>
      </c>
      <c r="D1922">
        <v>0</v>
      </c>
      <c r="F1922" t="s">
        <v>1738</v>
      </c>
      <c r="G1922" s="156">
        <v>44833</v>
      </c>
      <c r="H1922" t="s">
        <v>1739</v>
      </c>
      <c r="I1922">
        <v>864400</v>
      </c>
      <c r="K1922">
        <v>0</v>
      </c>
      <c r="M1922">
        <v>0</v>
      </c>
      <c r="N1922">
        <v>0</v>
      </c>
      <c r="O1922">
        <v>0</v>
      </c>
      <c r="P1922" s="117">
        <v>864400</v>
      </c>
      <c r="Q1922" s="117" t="s">
        <v>1023</v>
      </c>
      <c r="R1922" s="150">
        <v>-21</v>
      </c>
      <c r="S1922" s="117" t="b">
        <f>OR(COUNTIF(Tabla2[[#This Row],[PROVEEDOR]],"*"&amp;'Palabra no opera'!$A$2&amp;"*"))</f>
        <v>0</v>
      </c>
      <c r="T1922" s="150">
        <f>+$W$5-Tabla2[[#This Row],[FECHA DE FACTURACIÓN]]</f>
        <v>1</v>
      </c>
      <c r="U1922" t="str">
        <f>+IF(Tabla2[[#This Row],[dias de credito]]&gt;=Tabla2[[#This Row],[PLAZO Días]],"venc", "No venc")</f>
        <v>No venc</v>
      </c>
      <c r="V1922" t="str">
        <f>+IF(Tabla2[[#This Row],[FECHA DE PAGO]]&gt;0,"pagada","por pagar")</f>
        <v>por pagar</v>
      </c>
      <c r="W1922" s="152" t="str">
        <f>+IF(AND(Tabla2[[#This Row],[venc]]="venc",Tabla2[[#This Row],[Columna1]]="por pagar"),"vencida","no")</f>
        <v>no</v>
      </c>
    </row>
    <row r="1923" spans="1:23" x14ac:dyDescent="0.3">
      <c r="A1923">
        <v>30</v>
      </c>
      <c r="B1923">
        <v>450000</v>
      </c>
      <c r="D1923" t="s">
        <v>291</v>
      </c>
      <c r="F1923" t="s">
        <v>685</v>
      </c>
      <c r="G1923" s="156">
        <v>44832</v>
      </c>
      <c r="H1923" t="s">
        <v>1727</v>
      </c>
      <c r="I1923">
        <v>450000</v>
      </c>
      <c r="K1923">
        <v>0</v>
      </c>
      <c r="M1923">
        <v>0</v>
      </c>
      <c r="N1923">
        <v>0</v>
      </c>
      <c r="O1923">
        <v>0</v>
      </c>
      <c r="P1923" s="117">
        <v>450000</v>
      </c>
      <c r="Q1923" s="117" t="s">
        <v>1023</v>
      </c>
      <c r="R1923" s="150">
        <v>-20</v>
      </c>
      <c r="S1923" s="117" t="b">
        <f>OR(COUNTIF(Tabla2[[#This Row],[PROVEEDOR]],"*"&amp;'Palabra no opera'!$A$2&amp;"*"))</f>
        <v>0</v>
      </c>
      <c r="T1923" s="150">
        <f>+$W$5-Tabla2[[#This Row],[FECHA DE FACTURACIÓN]]</f>
        <v>2</v>
      </c>
      <c r="U1923" t="str">
        <f>+IF(Tabla2[[#This Row],[dias de credito]]&gt;=Tabla2[[#This Row],[PLAZO Días]],"venc", "No venc")</f>
        <v>No venc</v>
      </c>
      <c r="V1923" t="str">
        <f>+IF(Tabla2[[#This Row],[FECHA DE PAGO]]&gt;0,"pagada","por pagar")</f>
        <v>por pagar</v>
      </c>
      <c r="W1923" s="152" t="str">
        <f>+IF(AND(Tabla2[[#This Row],[venc]]="venc",Tabla2[[#This Row],[Columna1]]="por pagar"),"vencida","no")</f>
        <v>no</v>
      </c>
    </row>
    <row r="1924" spans="1:23" x14ac:dyDescent="0.3">
      <c r="A1924">
        <v>30</v>
      </c>
      <c r="B1924">
        <v>8190204</v>
      </c>
      <c r="D1924" t="s">
        <v>263</v>
      </c>
      <c r="F1924" t="s">
        <v>1637</v>
      </c>
      <c r="G1924" s="156">
        <v>44831</v>
      </c>
      <c r="H1924">
        <v>27542</v>
      </c>
      <c r="I1924">
        <v>1044000</v>
      </c>
      <c r="K1924">
        <v>198360</v>
      </c>
      <c r="M1924">
        <v>0</v>
      </c>
      <c r="N1924">
        <v>2.5000000000000001E-2</v>
      </c>
      <c r="O1924">
        <v>26100</v>
      </c>
      <c r="P1924" s="117">
        <v>1216260</v>
      </c>
      <c r="Q1924" s="117" t="s">
        <v>1023</v>
      </c>
      <c r="R1924" s="150">
        <v>-19</v>
      </c>
      <c r="S1924" s="117" t="b">
        <f>OR(COUNTIF(Tabla2[[#This Row],[PROVEEDOR]],"*"&amp;'Palabra no opera'!$A$2&amp;"*"))</f>
        <v>0</v>
      </c>
      <c r="T1924" s="150">
        <f>+$W$5-Tabla2[[#This Row],[FECHA DE FACTURACIÓN]]</f>
        <v>3</v>
      </c>
      <c r="U1924" t="str">
        <f>+IF(Tabla2[[#This Row],[dias de credito]]&gt;=Tabla2[[#This Row],[PLAZO Días]],"venc", "No venc")</f>
        <v>No venc</v>
      </c>
      <c r="V1924" t="str">
        <f>+IF(Tabla2[[#This Row],[FECHA DE PAGO]]&gt;0,"pagada","por pagar")</f>
        <v>por pagar</v>
      </c>
      <c r="W1924" s="152" t="str">
        <f>+IF(AND(Tabla2[[#This Row],[venc]]="venc",Tabla2[[#This Row],[Columna1]]="por pagar"),"vencida","no")</f>
        <v>no</v>
      </c>
    </row>
    <row r="1925" spans="1:23" x14ac:dyDescent="0.3">
      <c r="A1925">
        <v>30</v>
      </c>
      <c r="B1925">
        <v>10689112</v>
      </c>
      <c r="D1925" t="s">
        <v>976</v>
      </c>
      <c r="F1925" t="s">
        <v>79</v>
      </c>
      <c r="G1925" s="156">
        <v>44831</v>
      </c>
      <c r="H1925" t="s">
        <v>1714</v>
      </c>
      <c r="I1925">
        <v>64000</v>
      </c>
      <c r="K1925">
        <v>12160</v>
      </c>
      <c r="M1925">
        <v>0</v>
      </c>
      <c r="N1925">
        <v>0</v>
      </c>
      <c r="O1925">
        <v>0</v>
      </c>
      <c r="P1925" s="117">
        <v>76160</v>
      </c>
      <c r="Q1925" s="117" t="s">
        <v>1023</v>
      </c>
      <c r="R1925" s="150">
        <v>-19</v>
      </c>
      <c r="S1925" s="117" t="b">
        <f>OR(COUNTIF(Tabla2[[#This Row],[PROVEEDOR]],"*"&amp;'Palabra no opera'!$A$2&amp;"*"))</f>
        <v>0</v>
      </c>
      <c r="T1925" s="150">
        <f>+$W$5-Tabla2[[#This Row],[FECHA DE FACTURACIÓN]]</f>
        <v>3</v>
      </c>
      <c r="U1925" t="str">
        <f>+IF(Tabla2[[#This Row],[dias de credito]]&gt;=Tabla2[[#This Row],[PLAZO Días]],"venc", "No venc")</f>
        <v>No venc</v>
      </c>
      <c r="V1925" t="str">
        <f>+IF(Tabla2[[#This Row],[FECHA DE PAGO]]&gt;0,"pagada","por pagar")</f>
        <v>por pagar</v>
      </c>
      <c r="W1925" s="152" t="str">
        <f>+IF(AND(Tabla2[[#This Row],[venc]]="venc",Tabla2[[#This Row],[Columna1]]="por pagar"),"vencida","no")</f>
        <v>no</v>
      </c>
    </row>
    <row r="1926" spans="1:23" x14ac:dyDescent="0.3">
      <c r="A1926">
        <v>30</v>
      </c>
      <c r="B1926">
        <v>10689112</v>
      </c>
      <c r="D1926" t="s">
        <v>976</v>
      </c>
      <c r="F1926" t="s">
        <v>79</v>
      </c>
      <c r="G1926" s="156">
        <v>44831</v>
      </c>
      <c r="H1926" t="s">
        <v>1715</v>
      </c>
      <c r="I1926">
        <v>420800</v>
      </c>
      <c r="K1926">
        <v>79952</v>
      </c>
      <c r="M1926">
        <v>0</v>
      </c>
      <c r="N1926">
        <v>0</v>
      </c>
      <c r="O1926">
        <v>0</v>
      </c>
      <c r="P1926" s="117">
        <v>500752</v>
      </c>
      <c r="Q1926" s="117" t="s">
        <v>1023</v>
      </c>
      <c r="R1926" s="150">
        <v>-19</v>
      </c>
      <c r="S1926" s="117" t="b">
        <f>OR(COUNTIF(Tabla2[[#This Row],[PROVEEDOR]],"*"&amp;'Palabra no opera'!$A$2&amp;"*"))</f>
        <v>0</v>
      </c>
      <c r="T1926" s="150">
        <f>+$W$5-Tabla2[[#This Row],[FECHA DE FACTURACIÓN]]</f>
        <v>3</v>
      </c>
      <c r="U1926" t="str">
        <f>+IF(Tabla2[[#This Row],[dias de credito]]&gt;=Tabla2[[#This Row],[PLAZO Días]],"venc", "No venc")</f>
        <v>No venc</v>
      </c>
      <c r="V1926" t="str">
        <f>+IF(Tabla2[[#This Row],[FECHA DE PAGO]]&gt;0,"pagada","por pagar")</f>
        <v>por pagar</v>
      </c>
      <c r="W1926" s="152" t="str">
        <f>+IF(AND(Tabla2[[#This Row],[venc]]="venc",Tabla2[[#This Row],[Columna1]]="por pagar"),"vencida","no")</f>
        <v>no</v>
      </c>
    </row>
    <row r="1927" spans="1:23" x14ac:dyDescent="0.3">
      <c r="A1927">
        <v>30</v>
      </c>
      <c r="B1927">
        <v>1580500</v>
      </c>
      <c r="D1927" t="s">
        <v>139</v>
      </c>
      <c r="F1927" t="s">
        <v>686</v>
      </c>
      <c r="G1927" s="156">
        <v>44828</v>
      </c>
      <c r="H1927" t="s">
        <v>1699</v>
      </c>
      <c r="I1927">
        <v>1580500</v>
      </c>
      <c r="K1927">
        <v>0</v>
      </c>
      <c r="M1927">
        <v>0</v>
      </c>
      <c r="N1927">
        <v>0</v>
      </c>
      <c r="O1927">
        <v>0</v>
      </c>
      <c r="P1927" s="117">
        <v>1580500</v>
      </c>
      <c r="Q1927" s="117" t="s">
        <v>1023</v>
      </c>
      <c r="R1927" s="150">
        <v>-16</v>
      </c>
      <c r="S1927" s="117" t="b">
        <f>OR(COUNTIF(Tabla2[[#This Row],[PROVEEDOR]],"*"&amp;'Palabra no opera'!$A$2&amp;"*"))</f>
        <v>0</v>
      </c>
      <c r="T1927" s="150">
        <f>+$W$5-Tabla2[[#This Row],[FECHA DE FACTURACIÓN]]</f>
        <v>6</v>
      </c>
      <c r="U1927" t="str">
        <f>+IF(Tabla2[[#This Row],[dias de credito]]&gt;=Tabla2[[#This Row],[PLAZO Días]],"venc", "No venc")</f>
        <v>No venc</v>
      </c>
      <c r="V1927" t="str">
        <f>+IF(Tabla2[[#This Row],[FECHA DE PAGO]]&gt;0,"pagada","por pagar")</f>
        <v>por pagar</v>
      </c>
      <c r="W1927" s="152" t="str">
        <f>+IF(AND(Tabla2[[#This Row],[venc]]="venc",Tabla2[[#This Row],[Columna1]]="por pagar"),"vencida","no")</f>
        <v>no</v>
      </c>
    </row>
    <row r="1928" spans="1:23" x14ac:dyDescent="0.3">
      <c r="A1928">
        <v>30</v>
      </c>
      <c r="B1928">
        <v>5225000</v>
      </c>
      <c r="D1928" t="s">
        <v>139</v>
      </c>
      <c r="F1928" t="s">
        <v>629</v>
      </c>
      <c r="G1928" s="156">
        <v>44826</v>
      </c>
      <c r="H1928">
        <v>2209</v>
      </c>
      <c r="I1928">
        <v>45000</v>
      </c>
      <c r="K1928">
        <v>0</v>
      </c>
      <c r="M1928">
        <v>0</v>
      </c>
      <c r="N1928">
        <v>0</v>
      </c>
      <c r="O1928">
        <v>0</v>
      </c>
      <c r="P1928" s="117">
        <v>45000</v>
      </c>
      <c r="Q1928" s="117" t="s">
        <v>1023</v>
      </c>
      <c r="R1928" s="150">
        <v>-14</v>
      </c>
      <c r="S1928" s="117" t="b">
        <f>OR(COUNTIF(Tabla2[[#This Row],[PROVEEDOR]],"*"&amp;'Palabra no opera'!$A$2&amp;"*"))</f>
        <v>0</v>
      </c>
      <c r="T1928" s="150">
        <f>+$W$5-Tabla2[[#This Row],[FECHA DE FACTURACIÓN]]</f>
        <v>8</v>
      </c>
      <c r="U1928" t="str">
        <f>+IF(Tabla2[[#This Row],[dias de credito]]&gt;=Tabla2[[#This Row],[PLAZO Días]],"venc", "No venc")</f>
        <v>No venc</v>
      </c>
      <c r="V1928" t="str">
        <f>+IF(Tabla2[[#This Row],[FECHA DE PAGO]]&gt;0,"pagada","por pagar")</f>
        <v>por pagar</v>
      </c>
      <c r="W1928" s="152" t="str">
        <f>+IF(AND(Tabla2[[#This Row],[venc]]="venc",Tabla2[[#This Row],[Columna1]]="por pagar"),"vencida","no")</f>
        <v>no</v>
      </c>
    </row>
    <row r="1929" spans="1:23" x14ac:dyDescent="0.3">
      <c r="A1929">
        <v>30</v>
      </c>
      <c r="B1929">
        <v>5225000</v>
      </c>
      <c r="D1929" t="s">
        <v>139</v>
      </c>
      <c r="F1929" t="s">
        <v>629</v>
      </c>
      <c r="G1929" s="156">
        <v>44826</v>
      </c>
      <c r="H1929" t="s">
        <v>1703</v>
      </c>
      <c r="I1929">
        <v>4020000</v>
      </c>
      <c r="K1929">
        <v>0</v>
      </c>
      <c r="M1929">
        <v>0</v>
      </c>
      <c r="N1929">
        <v>0</v>
      </c>
      <c r="O1929">
        <v>0</v>
      </c>
      <c r="P1929" s="117">
        <v>4020000</v>
      </c>
      <c r="Q1929" s="117" t="s">
        <v>1023</v>
      </c>
      <c r="R1929" s="150">
        <v>-14</v>
      </c>
      <c r="S1929" s="117" t="b">
        <f>OR(COUNTIF(Tabla2[[#This Row],[PROVEEDOR]],"*"&amp;'Palabra no opera'!$A$2&amp;"*"))</f>
        <v>0</v>
      </c>
      <c r="T1929" s="150">
        <f>+$W$5-Tabla2[[#This Row],[FECHA DE FACTURACIÓN]]</f>
        <v>8</v>
      </c>
      <c r="U1929" t="str">
        <f>+IF(Tabla2[[#This Row],[dias de credito]]&gt;=Tabla2[[#This Row],[PLAZO Días]],"venc", "No venc")</f>
        <v>No venc</v>
      </c>
      <c r="V1929" t="str">
        <f>+IF(Tabla2[[#This Row],[FECHA DE PAGO]]&gt;0,"pagada","por pagar")</f>
        <v>por pagar</v>
      </c>
      <c r="W1929" s="152" t="str">
        <f>+IF(AND(Tabla2[[#This Row],[venc]]="venc",Tabla2[[#This Row],[Columna1]]="por pagar"),"vencida","no")</f>
        <v>no</v>
      </c>
    </row>
    <row r="1930" spans="1:23" x14ac:dyDescent="0.3">
      <c r="A1930">
        <v>30</v>
      </c>
      <c r="B1930">
        <v>19675613.1195</v>
      </c>
      <c r="D1930" t="s">
        <v>256</v>
      </c>
      <c r="F1930" t="s">
        <v>18</v>
      </c>
      <c r="G1930" s="156">
        <v>44826</v>
      </c>
      <c r="H1930">
        <v>1059481</v>
      </c>
      <c r="I1930">
        <v>2452479</v>
      </c>
      <c r="K1930">
        <v>465971.01</v>
      </c>
      <c r="M1930">
        <v>0</v>
      </c>
      <c r="N1930">
        <v>2.5000000000000001E-2</v>
      </c>
      <c r="O1930">
        <v>61311.975000000006</v>
      </c>
      <c r="P1930" s="117">
        <v>2857138.0349999997</v>
      </c>
      <c r="Q1930" s="117" t="s">
        <v>1023</v>
      </c>
      <c r="R1930" s="150">
        <v>-14</v>
      </c>
      <c r="S1930" s="117" t="b">
        <f>OR(COUNTIF(Tabla2[[#This Row],[PROVEEDOR]],"*"&amp;'Palabra no opera'!$A$2&amp;"*"))</f>
        <v>0</v>
      </c>
      <c r="T1930" s="150">
        <f>+$W$5-Tabla2[[#This Row],[FECHA DE FACTURACIÓN]]</f>
        <v>8</v>
      </c>
      <c r="U1930" t="str">
        <f>+IF(Tabla2[[#This Row],[dias de credito]]&gt;=Tabla2[[#This Row],[PLAZO Días]],"venc", "No venc")</f>
        <v>No venc</v>
      </c>
      <c r="V1930" t="str">
        <f>+IF(Tabla2[[#This Row],[FECHA DE PAGO]]&gt;0,"pagada","por pagar")</f>
        <v>por pagar</v>
      </c>
      <c r="W1930" s="152" t="str">
        <f>+IF(AND(Tabla2[[#This Row],[venc]]="venc",Tabla2[[#This Row],[Columna1]]="por pagar"),"vencida","no")</f>
        <v>no</v>
      </c>
    </row>
    <row r="1931" spans="1:23" x14ac:dyDescent="0.3">
      <c r="A1931">
        <v>45</v>
      </c>
      <c r="B1931">
        <v>7497238</v>
      </c>
      <c r="D1931" t="s">
        <v>272</v>
      </c>
      <c r="F1931" t="s">
        <v>10</v>
      </c>
      <c r="G1931" s="156">
        <v>44825</v>
      </c>
      <c r="H1931" t="s">
        <v>1740</v>
      </c>
      <c r="I1931">
        <v>-1485800</v>
      </c>
      <c r="K1931">
        <v>-282302</v>
      </c>
      <c r="M1931">
        <v>0</v>
      </c>
      <c r="N1931">
        <v>0</v>
      </c>
      <c r="O1931">
        <v>0</v>
      </c>
      <c r="P1931" s="117">
        <v>-1768102</v>
      </c>
      <c r="Q1931" s="117" t="s">
        <v>1023</v>
      </c>
      <c r="R1931" s="150">
        <v>-28</v>
      </c>
      <c r="S1931" s="117" t="b">
        <f>OR(COUNTIF(Tabla2[[#This Row],[PROVEEDOR]],"*"&amp;'Palabra no opera'!$A$2&amp;"*"))</f>
        <v>0</v>
      </c>
      <c r="T1931" s="150">
        <f>+$W$5-Tabla2[[#This Row],[FECHA DE FACTURACIÓN]]</f>
        <v>9</v>
      </c>
      <c r="U1931" t="str">
        <f>+IF(Tabla2[[#This Row],[dias de credito]]&gt;=Tabla2[[#This Row],[PLAZO Días]],"venc", "No venc")</f>
        <v>No venc</v>
      </c>
      <c r="V1931" t="str">
        <f>+IF(Tabla2[[#This Row],[FECHA DE PAGO]]&gt;0,"pagada","por pagar")</f>
        <v>por pagar</v>
      </c>
      <c r="W1931" s="152" t="str">
        <f>+IF(AND(Tabla2[[#This Row],[venc]]="venc",Tabla2[[#This Row],[Columna1]]="por pagar"),"vencida","no")</f>
        <v>no</v>
      </c>
    </row>
    <row r="1932" spans="1:23" x14ac:dyDescent="0.3">
      <c r="A1932">
        <v>30</v>
      </c>
      <c r="B1932">
        <v>19675613.1195</v>
      </c>
      <c r="D1932" t="s">
        <v>256</v>
      </c>
      <c r="F1932" t="s">
        <v>18</v>
      </c>
      <c r="G1932" s="156">
        <v>44825</v>
      </c>
      <c r="H1932">
        <v>1059417</v>
      </c>
      <c r="I1932">
        <v>2040253</v>
      </c>
      <c r="K1932">
        <v>387648.07</v>
      </c>
      <c r="M1932">
        <v>0</v>
      </c>
      <c r="N1932">
        <v>2.5000000000000001E-2</v>
      </c>
      <c r="O1932">
        <v>51006.325000000004</v>
      </c>
      <c r="P1932" s="117">
        <v>2376894.7449999996</v>
      </c>
      <c r="Q1932" s="117" t="s">
        <v>1023</v>
      </c>
      <c r="R1932" s="150">
        <v>-13</v>
      </c>
      <c r="S1932" s="117" t="b">
        <f>OR(COUNTIF(Tabla2[[#This Row],[PROVEEDOR]],"*"&amp;'Palabra no opera'!$A$2&amp;"*"))</f>
        <v>0</v>
      </c>
      <c r="T1932" s="150">
        <f>+$W$5-Tabla2[[#This Row],[FECHA DE FACTURACIÓN]]</f>
        <v>9</v>
      </c>
      <c r="U1932" t="str">
        <f>+IF(Tabla2[[#This Row],[dias de credito]]&gt;=Tabla2[[#This Row],[PLAZO Días]],"venc", "No venc")</f>
        <v>No venc</v>
      </c>
      <c r="V1932" t="str">
        <f>+IF(Tabla2[[#This Row],[FECHA DE PAGO]]&gt;0,"pagada","por pagar")</f>
        <v>por pagar</v>
      </c>
      <c r="W1932" s="152" t="str">
        <f>+IF(AND(Tabla2[[#This Row],[venc]]="venc",Tabla2[[#This Row],[Columna1]]="por pagar"),"vencida","no")</f>
        <v>no</v>
      </c>
    </row>
    <row r="1933" spans="1:23" x14ac:dyDescent="0.3">
      <c r="A1933">
        <v>45</v>
      </c>
      <c r="B1933">
        <v>30078253.170000002</v>
      </c>
      <c r="D1933" t="s">
        <v>884</v>
      </c>
      <c r="F1933" t="s">
        <v>19</v>
      </c>
      <c r="G1933" s="156">
        <v>44824</v>
      </c>
      <c r="H1933" t="s">
        <v>1678</v>
      </c>
      <c r="I1933">
        <v>7481600</v>
      </c>
      <c r="K1933">
        <v>1421504</v>
      </c>
      <c r="M1933">
        <v>0</v>
      </c>
      <c r="N1933">
        <v>0</v>
      </c>
      <c r="O1933">
        <v>0</v>
      </c>
      <c r="P1933" s="117">
        <v>8903104</v>
      </c>
      <c r="Q1933" s="117" t="s">
        <v>1023</v>
      </c>
      <c r="R1933" s="150">
        <v>-27</v>
      </c>
      <c r="S1933" s="117" t="b">
        <f>OR(COUNTIF(Tabla2[[#This Row],[PROVEEDOR]],"*"&amp;'Palabra no opera'!$A$2&amp;"*"))</f>
        <v>0</v>
      </c>
      <c r="T1933" s="150">
        <f>+$W$5-Tabla2[[#This Row],[FECHA DE FACTURACIÓN]]</f>
        <v>10</v>
      </c>
      <c r="U1933" t="str">
        <f>+IF(Tabla2[[#This Row],[dias de credito]]&gt;=Tabla2[[#This Row],[PLAZO Días]],"venc", "No venc")</f>
        <v>No venc</v>
      </c>
      <c r="V1933" t="str">
        <f>+IF(Tabla2[[#This Row],[FECHA DE PAGO]]&gt;0,"pagada","por pagar")</f>
        <v>por pagar</v>
      </c>
      <c r="W1933" s="152" t="str">
        <f>+IF(AND(Tabla2[[#This Row],[venc]]="venc",Tabla2[[#This Row],[Columna1]]="por pagar"),"vencida","no")</f>
        <v>no</v>
      </c>
    </row>
    <row r="1934" spans="1:23" x14ac:dyDescent="0.3">
      <c r="A1934">
        <v>30</v>
      </c>
      <c r="B1934">
        <v>1865958.0154999997</v>
      </c>
      <c r="D1934" t="s">
        <v>718</v>
      </c>
      <c r="F1934" t="s">
        <v>508</v>
      </c>
      <c r="G1934" s="156">
        <v>44824</v>
      </c>
      <c r="H1934" t="s">
        <v>1698</v>
      </c>
      <c r="I1934">
        <v>1601680.7</v>
      </c>
      <c r="K1934">
        <v>304319.33299999998</v>
      </c>
      <c r="M1934">
        <v>0</v>
      </c>
      <c r="N1934">
        <v>2.5000000000000001E-2</v>
      </c>
      <c r="O1934">
        <v>40042.017500000002</v>
      </c>
      <c r="P1934" s="117">
        <v>1865958.0154999997</v>
      </c>
      <c r="Q1934" s="117" t="s">
        <v>1023</v>
      </c>
      <c r="R1934" s="150">
        <v>-12</v>
      </c>
      <c r="S1934" s="117" t="b">
        <f>OR(COUNTIF(Tabla2[[#This Row],[PROVEEDOR]],"*"&amp;'Palabra no opera'!$A$2&amp;"*"))</f>
        <v>0</v>
      </c>
      <c r="T1934" s="150">
        <f>+$W$5-Tabla2[[#This Row],[FECHA DE FACTURACIÓN]]</f>
        <v>10</v>
      </c>
      <c r="U1934" t="str">
        <f>+IF(Tabla2[[#This Row],[dias de credito]]&gt;=Tabla2[[#This Row],[PLAZO Días]],"venc", "No venc")</f>
        <v>No venc</v>
      </c>
      <c r="V1934" t="str">
        <f>+IF(Tabla2[[#This Row],[FECHA DE PAGO]]&gt;0,"pagada","por pagar")</f>
        <v>por pagar</v>
      </c>
      <c r="W1934" s="152" t="str">
        <f>+IF(AND(Tabla2[[#This Row],[venc]]="venc",Tabla2[[#This Row],[Columna1]]="por pagar"),"vencida","no")</f>
        <v>no</v>
      </c>
    </row>
    <row r="1935" spans="1:23" x14ac:dyDescent="0.3">
      <c r="A1935">
        <v>45</v>
      </c>
      <c r="B1935">
        <v>30078253.170000002</v>
      </c>
      <c r="D1935" t="s">
        <v>884</v>
      </c>
      <c r="F1935" t="s">
        <v>19</v>
      </c>
      <c r="G1935" s="156">
        <v>44824</v>
      </c>
      <c r="H1935" t="s">
        <v>1679</v>
      </c>
      <c r="I1935">
        <v>2184384</v>
      </c>
      <c r="K1935">
        <v>415032.96</v>
      </c>
      <c r="M1935">
        <v>0</v>
      </c>
      <c r="N1935">
        <v>0</v>
      </c>
      <c r="O1935">
        <v>0</v>
      </c>
      <c r="P1935" s="117">
        <v>2599416.96</v>
      </c>
      <c r="Q1935" s="117" t="s">
        <v>1023</v>
      </c>
      <c r="R1935" s="150">
        <v>-27</v>
      </c>
      <c r="S1935" s="117" t="b">
        <f>OR(COUNTIF(Tabla2[[#This Row],[PROVEEDOR]],"*"&amp;'Palabra no opera'!$A$2&amp;"*"))</f>
        <v>0</v>
      </c>
      <c r="T1935" s="150">
        <f>+$W$5-Tabla2[[#This Row],[FECHA DE FACTURACIÓN]]</f>
        <v>10</v>
      </c>
      <c r="U1935" t="str">
        <f>+IF(Tabla2[[#This Row],[dias de credito]]&gt;=Tabla2[[#This Row],[PLAZO Días]],"venc", "No venc")</f>
        <v>No venc</v>
      </c>
      <c r="V1935" t="str">
        <f>+IF(Tabla2[[#This Row],[FECHA DE PAGO]]&gt;0,"pagada","por pagar")</f>
        <v>por pagar</v>
      </c>
      <c r="W1935" s="152" t="str">
        <f>+IF(AND(Tabla2[[#This Row],[venc]]="venc",Tabla2[[#This Row],[Columna1]]="por pagar"),"vencida","no")</f>
        <v>no</v>
      </c>
    </row>
    <row r="1936" spans="1:23" x14ac:dyDescent="0.3">
      <c r="A1936">
        <v>30</v>
      </c>
      <c r="B1936">
        <v>5225000</v>
      </c>
      <c r="D1936" t="s">
        <v>139</v>
      </c>
      <c r="F1936" t="s">
        <v>629</v>
      </c>
      <c r="G1936" s="156">
        <v>44824</v>
      </c>
      <c r="H1936" t="s">
        <v>1704</v>
      </c>
      <c r="I1936">
        <v>1160000</v>
      </c>
      <c r="K1936">
        <v>0</v>
      </c>
      <c r="M1936">
        <v>0</v>
      </c>
      <c r="N1936">
        <v>0</v>
      </c>
      <c r="O1936">
        <v>0</v>
      </c>
      <c r="P1936" s="117">
        <v>1160000</v>
      </c>
      <c r="Q1936" s="117" t="s">
        <v>1023</v>
      </c>
      <c r="R1936" s="150">
        <v>-12</v>
      </c>
      <c r="S1936" s="117" t="b">
        <f>OR(COUNTIF(Tabla2[[#This Row],[PROVEEDOR]],"*"&amp;'Palabra no opera'!$A$2&amp;"*"))</f>
        <v>0</v>
      </c>
      <c r="T1936" s="150">
        <f>+$W$5-Tabla2[[#This Row],[FECHA DE FACTURACIÓN]]</f>
        <v>10</v>
      </c>
      <c r="U1936" t="str">
        <f>+IF(Tabla2[[#This Row],[dias de credito]]&gt;=Tabla2[[#This Row],[PLAZO Días]],"venc", "No venc")</f>
        <v>No venc</v>
      </c>
      <c r="V1936" t="str">
        <f>+IF(Tabla2[[#This Row],[FECHA DE PAGO]]&gt;0,"pagada","por pagar")</f>
        <v>por pagar</v>
      </c>
      <c r="W1936" s="152" t="str">
        <f>+IF(AND(Tabla2[[#This Row],[venc]]="venc",Tabla2[[#This Row],[Columna1]]="por pagar"),"vencida","no")</f>
        <v>no</v>
      </c>
    </row>
    <row r="1937" spans="1:23" x14ac:dyDescent="0.3">
      <c r="A1937">
        <v>30</v>
      </c>
      <c r="B1937">
        <v>10689112</v>
      </c>
      <c r="D1937" t="s">
        <v>976</v>
      </c>
      <c r="F1937" t="s">
        <v>79</v>
      </c>
      <c r="G1937" s="156">
        <v>44824</v>
      </c>
      <c r="H1937" t="s">
        <v>1710</v>
      </c>
      <c r="I1937">
        <v>3943200</v>
      </c>
      <c r="K1937">
        <v>749208</v>
      </c>
      <c r="M1937">
        <v>0</v>
      </c>
      <c r="N1937">
        <v>2.5000000000000001E-2</v>
      </c>
      <c r="O1937">
        <v>98580</v>
      </c>
      <c r="P1937" s="117">
        <v>4593828</v>
      </c>
      <c r="Q1937" s="117" t="s">
        <v>1023</v>
      </c>
      <c r="R1937" s="150">
        <v>-12</v>
      </c>
      <c r="S1937" s="117" t="b">
        <f>OR(COUNTIF(Tabla2[[#This Row],[PROVEEDOR]],"*"&amp;'Palabra no opera'!$A$2&amp;"*"))</f>
        <v>0</v>
      </c>
      <c r="T1937" s="150">
        <f>+$W$5-Tabla2[[#This Row],[FECHA DE FACTURACIÓN]]</f>
        <v>10</v>
      </c>
      <c r="U1937" t="str">
        <f>+IF(Tabla2[[#This Row],[dias de credito]]&gt;=Tabla2[[#This Row],[PLAZO Días]],"venc", "No venc")</f>
        <v>No venc</v>
      </c>
      <c r="V1937" t="str">
        <f>+IF(Tabla2[[#This Row],[FECHA DE PAGO]]&gt;0,"pagada","por pagar")</f>
        <v>por pagar</v>
      </c>
      <c r="W1937" s="152" t="str">
        <f>+IF(AND(Tabla2[[#This Row],[venc]]="venc",Tabla2[[#This Row],[Columna1]]="por pagar"),"vencida","no")</f>
        <v>no</v>
      </c>
    </row>
    <row r="1938" spans="1:23" x14ac:dyDescent="0.3">
      <c r="A1938">
        <v>30</v>
      </c>
      <c r="B1938">
        <v>10689112</v>
      </c>
      <c r="D1938" t="s">
        <v>976</v>
      </c>
      <c r="F1938" t="s">
        <v>79</v>
      </c>
      <c r="G1938" s="156">
        <v>44824</v>
      </c>
      <c r="H1938" t="s">
        <v>1711</v>
      </c>
      <c r="I1938">
        <v>4736800</v>
      </c>
      <c r="K1938">
        <v>899992</v>
      </c>
      <c r="M1938">
        <v>0</v>
      </c>
      <c r="N1938">
        <v>2.5000000000000001E-2</v>
      </c>
      <c r="O1938">
        <v>118420</v>
      </c>
      <c r="P1938" s="117">
        <v>5518372</v>
      </c>
      <c r="Q1938" s="117" t="s">
        <v>1023</v>
      </c>
      <c r="R1938" s="150">
        <v>-12</v>
      </c>
      <c r="S1938" s="117" t="b">
        <f>OR(COUNTIF(Tabla2[[#This Row],[PROVEEDOR]],"*"&amp;'Palabra no opera'!$A$2&amp;"*"))</f>
        <v>0</v>
      </c>
      <c r="T1938" s="150">
        <f>+$W$5-Tabla2[[#This Row],[FECHA DE FACTURACIÓN]]</f>
        <v>10</v>
      </c>
      <c r="U1938" t="str">
        <f>+IF(Tabla2[[#This Row],[dias de credito]]&gt;=Tabla2[[#This Row],[PLAZO Días]],"venc", "No venc")</f>
        <v>No venc</v>
      </c>
      <c r="V1938" t="str">
        <f>+IF(Tabla2[[#This Row],[FECHA DE PAGO]]&gt;0,"pagada","por pagar")</f>
        <v>por pagar</v>
      </c>
      <c r="W1938" s="152" t="str">
        <f>+IF(AND(Tabla2[[#This Row],[venc]]="venc",Tabla2[[#This Row],[Columna1]]="por pagar"),"vencida","no")</f>
        <v>no</v>
      </c>
    </row>
    <row r="1939" spans="1:23" x14ac:dyDescent="0.3">
      <c r="A1939">
        <v>30</v>
      </c>
      <c r="B1939">
        <v>326474.88</v>
      </c>
      <c r="D1939" t="s">
        <v>949</v>
      </c>
      <c r="F1939" t="s">
        <v>345</v>
      </c>
      <c r="G1939" s="156">
        <v>44823</v>
      </c>
      <c r="H1939" t="s">
        <v>1669</v>
      </c>
      <c r="I1939">
        <v>1900</v>
      </c>
      <c r="K1939">
        <v>0</v>
      </c>
      <c r="M1939">
        <v>0</v>
      </c>
      <c r="N1939">
        <v>0</v>
      </c>
      <c r="O1939">
        <v>0</v>
      </c>
      <c r="P1939" s="117">
        <v>1900</v>
      </c>
      <c r="Q1939" s="117" t="s">
        <v>1023</v>
      </c>
      <c r="R1939" s="150">
        <v>-11</v>
      </c>
      <c r="S1939" s="117" t="b">
        <f>OR(COUNTIF(Tabla2[[#This Row],[PROVEEDOR]],"*"&amp;'Palabra no opera'!$A$2&amp;"*"))</f>
        <v>0</v>
      </c>
      <c r="T1939" s="150">
        <f>+$W$5-Tabla2[[#This Row],[FECHA DE FACTURACIÓN]]</f>
        <v>11</v>
      </c>
      <c r="U1939" t="str">
        <f>+IF(Tabla2[[#This Row],[dias de credito]]&gt;=Tabla2[[#This Row],[PLAZO Días]],"venc", "No venc")</f>
        <v>No venc</v>
      </c>
      <c r="V1939" t="str">
        <f>+IF(Tabla2[[#This Row],[FECHA DE PAGO]]&gt;0,"pagada","por pagar")</f>
        <v>por pagar</v>
      </c>
      <c r="W1939" s="152" t="str">
        <f>+IF(AND(Tabla2[[#This Row],[venc]]="venc",Tabla2[[#This Row],[Columna1]]="por pagar"),"vencida","no")</f>
        <v>no</v>
      </c>
    </row>
    <row r="1940" spans="1:23" x14ac:dyDescent="0.3">
      <c r="A1940">
        <v>30</v>
      </c>
      <c r="B1940">
        <v>326474.88</v>
      </c>
      <c r="D1940" t="s">
        <v>949</v>
      </c>
      <c r="F1940" t="s">
        <v>345</v>
      </c>
      <c r="G1940" s="156">
        <v>44823</v>
      </c>
      <c r="H1940" t="s">
        <v>1670</v>
      </c>
      <c r="I1940">
        <v>324574</v>
      </c>
      <c r="K1940">
        <v>0</v>
      </c>
      <c r="M1940">
        <v>0</v>
      </c>
      <c r="N1940">
        <v>0</v>
      </c>
      <c r="O1940">
        <v>0</v>
      </c>
      <c r="P1940" s="117">
        <v>324574</v>
      </c>
      <c r="Q1940" s="117" t="s">
        <v>1023</v>
      </c>
      <c r="R1940" s="150">
        <v>-11</v>
      </c>
      <c r="S1940" s="117" t="b">
        <f>OR(COUNTIF(Tabla2[[#This Row],[PROVEEDOR]],"*"&amp;'Palabra no opera'!$A$2&amp;"*"))</f>
        <v>0</v>
      </c>
      <c r="T1940" s="150">
        <f>+$W$5-Tabla2[[#This Row],[FECHA DE FACTURACIÓN]]</f>
        <v>11</v>
      </c>
      <c r="U1940" t="str">
        <f>+IF(Tabla2[[#This Row],[dias de credito]]&gt;=Tabla2[[#This Row],[PLAZO Días]],"venc", "No venc")</f>
        <v>No venc</v>
      </c>
      <c r="V1940" t="str">
        <f>+IF(Tabla2[[#This Row],[FECHA DE PAGO]]&gt;0,"pagada","por pagar")</f>
        <v>por pagar</v>
      </c>
      <c r="W1940" s="152" t="str">
        <f>+IF(AND(Tabla2[[#This Row],[venc]]="venc",Tabla2[[#This Row],[Columna1]]="por pagar"),"vencida","no")</f>
        <v>no</v>
      </c>
    </row>
    <row r="1941" spans="1:23" x14ac:dyDescent="0.3">
      <c r="A1941">
        <v>45</v>
      </c>
      <c r="B1941">
        <v>30078253.170000002</v>
      </c>
      <c r="D1941" t="s">
        <v>884</v>
      </c>
      <c r="F1941" t="s">
        <v>19</v>
      </c>
      <c r="G1941" s="156">
        <v>44823</v>
      </c>
      <c r="H1941" t="s">
        <v>1675</v>
      </c>
      <c r="I1941">
        <v>4903680</v>
      </c>
      <c r="K1941">
        <v>931699.19999999995</v>
      </c>
      <c r="M1941">
        <v>0</v>
      </c>
      <c r="N1941">
        <v>0</v>
      </c>
      <c r="O1941">
        <v>0</v>
      </c>
      <c r="P1941" s="117">
        <v>5835379.2000000002</v>
      </c>
      <c r="Q1941" s="117" t="s">
        <v>1023</v>
      </c>
      <c r="R1941" s="150">
        <v>-26</v>
      </c>
      <c r="S1941" s="117" t="b">
        <f>OR(COUNTIF(Tabla2[[#This Row],[PROVEEDOR]],"*"&amp;'Palabra no opera'!$A$2&amp;"*"))</f>
        <v>0</v>
      </c>
      <c r="T1941" s="150">
        <f>+$W$5-Tabla2[[#This Row],[FECHA DE FACTURACIÓN]]</f>
        <v>11</v>
      </c>
      <c r="U1941" t="str">
        <f>+IF(Tabla2[[#This Row],[dias de credito]]&gt;=Tabla2[[#This Row],[PLAZO Días]],"venc", "No venc")</f>
        <v>No venc</v>
      </c>
      <c r="V1941" t="str">
        <f>+IF(Tabla2[[#This Row],[FECHA DE PAGO]]&gt;0,"pagada","por pagar")</f>
        <v>por pagar</v>
      </c>
      <c r="W1941" s="152" t="str">
        <f>+IF(AND(Tabla2[[#This Row],[venc]]="venc",Tabla2[[#This Row],[Columna1]]="por pagar"),"vencida","no")</f>
        <v>no</v>
      </c>
    </row>
    <row r="1942" spans="1:23" x14ac:dyDescent="0.3">
      <c r="A1942">
        <v>30</v>
      </c>
      <c r="B1942">
        <v>1651125</v>
      </c>
      <c r="D1942" t="s">
        <v>139</v>
      </c>
      <c r="F1942" t="s">
        <v>1705</v>
      </c>
      <c r="G1942" s="156">
        <v>44820</v>
      </c>
      <c r="H1942" t="s">
        <v>1706</v>
      </c>
      <c r="I1942">
        <v>1942500</v>
      </c>
      <c r="K1942">
        <v>0</v>
      </c>
      <c r="L1942">
        <v>0.15</v>
      </c>
      <c r="M1942">
        <v>291375</v>
      </c>
      <c r="N1942">
        <v>0</v>
      </c>
      <c r="O1942">
        <v>0</v>
      </c>
      <c r="P1942" s="117">
        <v>1651125</v>
      </c>
      <c r="Q1942" s="117" t="s">
        <v>1023</v>
      </c>
      <c r="R1942" s="150">
        <v>-8</v>
      </c>
      <c r="S1942" s="117" t="b">
        <f>OR(COUNTIF(Tabla2[[#This Row],[PROVEEDOR]],"*"&amp;'Palabra no opera'!$A$2&amp;"*"))</f>
        <v>0</v>
      </c>
      <c r="T1942" s="150">
        <f>+$W$5-Tabla2[[#This Row],[FECHA DE FACTURACIÓN]]</f>
        <v>14</v>
      </c>
      <c r="U1942" t="str">
        <f>+IF(Tabla2[[#This Row],[dias de credito]]&gt;=Tabla2[[#This Row],[PLAZO Días]],"venc", "No venc")</f>
        <v>No venc</v>
      </c>
      <c r="V1942" t="str">
        <f>+IF(Tabla2[[#This Row],[FECHA DE PAGO]]&gt;0,"pagada","por pagar")</f>
        <v>por pagar</v>
      </c>
      <c r="W1942" s="152" t="str">
        <f>+IF(AND(Tabla2[[#This Row],[venc]]="venc",Tabla2[[#This Row],[Columna1]]="por pagar"),"vencida","no")</f>
        <v>no</v>
      </c>
    </row>
    <row r="1943" spans="1:23" x14ac:dyDescent="0.3">
      <c r="A1943">
        <v>30</v>
      </c>
      <c r="B1943">
        <v>2111011.8149999999</v>
      </c>
      <c r="D1943" t="s">
        <v>251</v>
      </c>
      <c r="F1943" t="s">
        <v>216</v>
      </c>
      <c r="G1943" s="156">
        <v>44819</v>
      </c>
      <c r="H1943" t="s">
        <v>1676</v>
      </c>
      <c r="I1943">
        <v>364706</v>
      </c>
      <c r="K1943">
        <v>69294.14</v>
      </c>
      <c r="M1943">
        <v>0</v>
      </c>
      <c r="N1943">
        <v>0</v>
      </c>
      <c r="O1943">
        <v>0</v>
      </c>
      <c r="P1943" s="117">
        <v>434000.14</v>
      </c>
      <c r="Q1943" s="117" t="s">
        <v>1023</v>
      </c>
      <c r="R1943" s="150">
        <v>-7</v>
      </c>
      <c r="S1943" s="117" t="b">
        <f>OR(COUNTIF(Tabla2[[#This Row],[PROVEEDOR]],"*"&amp;'Palabra no opera'!$A$2&amp;"*"))</f>
        <v>0</v>
      </c>
      <c r="T1943" s="150">
        <f>+$W$5-Tabla2[[#This Row],[FECHA DE FACTURACIÓN]]</f>
        <v>15</v>
      </c>
      <c r="U1943" t="str">
        <f>+IF(Tabla2[[#This Row],[dias de credito]]&gt;=Tabla2[[#This Row],[PLAZO Días]],"venc", "No venc")</f>
        <v>No venc</v>
      </c>
      <c r="V1943" t="str">
        <f>+IF(Tabla2[[#This Row],[FECHA DE PAGO]]&gt;0,"pagada","por pagar")</f>
        <v>por pagar</v>
      </c>
      <c r="W1943" s="152" t="str">
        <f>+IF(AND(Tabla2[[#This Row],[venc]]="venc",Tabla2[[#This Row],[Columna1]]="por pagar"),"vencida","no")</f>
        <v>no</v>
      </c>
    </row>
    <row r="1944" spans="1:23" x14ac:dyDescent="0.3">
      <c r="A1944">
        <v>30</v>
      </c>
      <c r="B1944">
        <v>749999.88</v>
      </c>
      <c r="D1944" t="s">
        <v>249</v>
      </c>
      <c r="F1944" t="s">
        <v>49</v>
      </c>
      <c r="G1944" s="156">
        <v>44819</v>
      </c>
      <c r="H1944" t="s">
        <v>1674</v>
      </c>
      <c r="I1944">
        <v>630252</v>
      </c>
      <c r="K1944">
        <v>119747.88</v>
      </c>
      <c r="M1944">
        <v>0</v>
      </c>
      <c r="N1944">
        <v>0</v>
      </c>
      <c r="O1944">
        <v>0</v>
      </c>
      <c r="P1944" s="117">
        <v>749999.88</v>
      </c>
      <c r="Q1944" s="117" t="s">
        <v>1023</v>
      </c>
      <c r="R1944" s="150">
        <v>-7</v>
      </c>
      <c r="S1944" s="117" t="b">
        <f>OR(COUNTIF(Tabla2[[#This Row],[PROVEEDOR]],"*"&amp;'Palabra no opera'!$A$2&amp;"*"))</f>
        <v>0</v>
      </c>
      <c r="T1944" s="150">
        <f>+$W$5-Tabla2[[#This Row],[FECHA DE FACTURACIÓN]]</f>
        <v>15</v>
      </c>
      <c r="U1944" t="str">
        <f>+IF(Tabla2[[#This Row],[dias de credito]]&gt;=Tabla2[[#This Row],[PLAZO Días]],"venc", "No venc")</f>
        <v>No venc</v>
      </c>
      <c r="V1944" t="str">
        <f>+IF(Tabla2[[#This Row],[FECHA DE PAGO]]&gt;0,"pagada","por pagar")</f>
        <v>por pagar</v>
      </c>
      <c r="W1944" s="152" t="str">
        <f>+IF(AND(Tabla2[[#This Row],[venc]]="venc",Tabla2[[#This Row],[Columna1]]="por pagar"),"vencida","no")</f>
        <v>no</v>
      </c>
    </row>
    <row r="1945" spans="1:23" x14ac:dyDescent="0.3">
      <c r="A1945">
        <v>30</v>
      </c>
      <c r="B1945">
        <v>2749000</v>
      </c>
      <c r="D1945">
        <v>0</v>
      </c>
      <c r="F1945" t="s">
        <v>649</v>
      </c>
      <c r="G1945" s="156">
        <v>44819</v>
      </c>
      <c r="H1945" t="s">
        <v>1696</v>
      </c>
      <c r="I1945">
        <v>2749000</v>
      </c>
      <c r="K1945">
        <v>0</v>
      </c>
      <c r="M1945">
        <v>0</v>
      </c>
      <c r="N1945">
        <v>0</v>
      </c>
      <c r="O1945">
        <v>0</v>
      </c>
      <c r="P1945" s="117">
        <v>2749000</v>
      </c>
      <c r="Q1945" s="117" t="s">
        <v>1023</v>
      </c>
      <c r="R1945" s="150">
        <v>-7</v>
      </c>
      <c r="S1945" s="117" t="b">
        <f>OR(COUNTIF(Tabla2[[#This Row],[PROVEEDOR]],"*"&amp;'Palabra no opera'!$A$2&amp;"*"))</f>
        <v>0</v>
      </c>
      <c r="T1945" s="150">
        <f>+$W$5-Tabla2[[#This Row],[FECHA DE FACTURACIÓN]]</f>
        <v>15</v>
      </c>
      <c r="U1945" t="str">
        <f>+IF(Tabla2[[#This Row],[dias de credito]]&gt;=Tabla2[[#This Row],[PLAZO Días]],"venc", "No venc")</f>
        <v>No venc</v>
      </c>
      <c r="V1945" t="str">
        <f>+IF(Tabla2[[#This Row],[FECHA DE PAGO]]&gt;0,"pagada","por pagar")</f>
        <v>por pagar</v>
      </c>
      <c r="W1945" s="152" t="str">
        <f>+IF(AND(Tabla2[[#This Row],[venc]]="venc",Tabla2[[#This Row],[Columna1]]="por pagar"),"vencida","no")</f>
        <v>no</v>
      </c>
    </row>
    <row r="1946" spans="1:23" x14ac:dyDescent="0.3">
      <c r="A1946">
        <v>30</v>
      </c>
      <c r="B1946">
        <v>2324000</v>
      </c>
      <c r="D1946" t="s">
        <v>251</v>
      </c>
      <c r="F1946" t="s">
        <v>699</v>
      </c>
      <c r="G1946" s="156">
        <v>44819</v>
      </c>
      <c r="H1946" t="s">
        <v>1701</v>
      </c>
      <c r="I1946">
        <v>1354000</v>
      </c>
      <c r="K1946">
        <v>0</v>
      </c>
      <c r="M1946">
        <v>0</v>
      </c>
      <c r="N1946">
        <v>0</v>
      </c>
      <c r="O1946">
        <v>0</v>
      </c>
      <c r="P1946" s="117">
        <v>1354000</v>
      </c>
      <c r="Q1946" s="117" t="s">
        <v>1023</v>
      </c>
      <c r="R1946" s="150">
        <v>-7</v>
      </c>
      <c r="S1946" s="117" t="b">
        <f>OR(COUNTIF(Tabla2[[#This Row],[PROVEEDOR]],"*"&amp;'Palabra no opera'!$A$2&amp;"*"))</f>
        <v>0</v>
      </c>
      <c r="T1946" s="150">
        <f>+$W$5-Tabla2[[#This Row],[FECHA DE FACTURACIÓN]]</f>
        <v>15</v>
      </c>
      <c r="U1946" t="str">
        <f>+IF(Tabla2[[#This Row],[dias de credito]]&gt;=Tabla2[[#This Row],[PLAZO Días]],"venc", "No venc")</f>
        <v>No venc</v>
      </c>
      <c r="V1946" t="str">
        <f>+IF(Tabla2[[#This Row],[FECHA DE PAGO]]&gt;0,"pagada","por pagar")</f>
        <v>por pagar</v>
      </c>
      <c r="W1946" s="152" t="str">
        <f>+IF(AND(Tabla2[[#This Row],[venc]]="venc",Tabla2[[#This Row],[Columna1]]="por pagar"),"vencida","no")</f>
        <v>no</v>
      </c>
    </row>
    <row r="1947" spans="1:23" x14ac:dyDescent="0.3">
      <c r="A1947">
        <v>30</v>
      </c>
      <c r="B1947">
        <v>146262.9</v>
      </c>
      <c r="D1947" t="s">
        <v>262</v>
      </c>
      <c r="F1947" t="s">
        <v>17</v>
      </c>
      <c r="G1947" s="156">
        <v>44812</v>
      </c>
      <c r="H1947" t="s">
        <v>1677</v>
      </c>
      <c r="I1947">
        <v>216200</v>
      </c>
      <c r="K1947">
        <v>41078</v>
      </c>
      <c r="M1947">
        <v>0</v>
      </c>
      <c r="N1947">
        <v>0</v>
      </c>
      <c r="O1947">
        <v>0</v>
      </c>
      <c r="P1947" s="117">
        <v>257278</v>
      </c>
      <c r="Q1947" s="117" t="s">
        <v>1023</v>
      </c>
      <c r="R1947" s="150">
        <v>0</v>
      </c>
      <c r="S1947" s="117" t="b">
        <f>OR(COUNTIF(Tabla2[[#This Row],[PROVEEDOR]],"*"&amp;'Palabra no opera'!$A$2&amp;"*"))</f>
        <v>0</v>
      </c>
      <c r="T1947" s="150">
        <f>+$W$5-Tabla2[[#This Row],[FECHA DE FACTURACIÓN]]</f>
        <v>22</v>
      </c>
      <c r="U1947" t="str">
        <f>+IF(Tabla2[[#This Row],[dias de credito]]&gt;=Tabla2[[#This Row],[PLAZO Días]],"venc", "No venc")</f>
        <v>No venc</v>
      </c>
      <c r="V1947" t="str">
        <f>+IF(Tabla2[[#This Row],[FECHA DE PAGO]]&gt;0,"pagada","por pagar")</f>
        <v>por pagar</v>
      </c>
      <c r="W1947" s="152" t="str">
        <f>+IF(AND(Tabla2[[#This Row],[venc]]="venc",Tabla2[[#This Row],[Columna1]]="por pagar"),"vencida","no")</f>
        <v>no</v>
      </c>
    </row>
    <row r="1948" spans="1:23" x14ac:dyDescent="0.3">
      <c r="A1948">
        <v>45</v>
      </c>
      <c r="B1948">
        <v>7497238</v>
      </c>
      <c r="D1948" t="s">
        <v>272</v>
      </c>
      <c r="F1948" t="s">
        <v>10</v>
      </c>
      <c r="G1948" s="156">
        <v>44811</v>
      </c>
      <c r="H1948" t="s">
        <v>1743</v>
      </c>
      <c r="I1948">
        <v>1185000</v>
      </c>
      <c r="K1948">
        <v>225150</v>
      </c>
      <c r="M1948">
        <v>0</v>
      </c>
      <c r="N1948">
        <v>0</v>
      </c>
      <c r="O1948">
        <v>0</v>
      </c>
      <c r="P1948" s="117">
        <v>1410150</v>
      </c>
      <c r="Q1948" s="117" t="s">
        <v>1023</v>
      </c>
      <c r="R1948" s="150">
        <v>-14</v>
      </c>
      <c r="S1948" s="117" t="b">
        <f>OR(COUNTIF(Tabla2[[#This Row],[PROVEEDOR]],"*"&amp;'Palabra no opera'!$A$2&amp;"*"))</f>
        <v>0</v>
      </c>
      <c r="T1948" s="150">
        <f>+$W$5-Tabla2[[#This Row],[FECHA DE FACTURACIÓN]]</f>
        <v>23</v>
      </c>
      <c r="U1948" t="str">
        <f>+IF(Tabla2[[#This Row],[dias de credito]]&gt;=Tabla2[[#This Row],[PLAZO Días]],"venc", "No venc")</f>
        <v>No venc</v>
      </c>
      <c r="V1948" t="str">
        <f>+IF(Tabla2[[#This Row],[FECHA DE PAGO]]&gt;0,"pagada","por pagar")</f>
        <v>por pagar</v>
      </c>
      <c r="W1948" s="152" t="str">
        <f>+IF(AND(Tabla2[[#This Row],[venc]]="venc",Tabla2[[#This Row],[Columna1]]="por pagar"),"vencida","no")</f>
        <v>no</v>
      </c>
    </row>
    <row r="1949" spans="1:23" x14ac:dyDescent="0.3">
      <c r="A1949">
        <v>30</v>
      </c>
      <c r="B1949">
        <v>-101001.25</v>
      </c>
      <c r="D1949" t="s">
        <v>274</v>
      </c>
      <c r="F1949" t="s">
        <v>14</v>
      </c>
      <c r="G1949" s="156">
        <v>44810</v>
      </c>
      <c r="H1949" t="s">
        <v>1668</v>
      </c>
      <c r="I1949">
        <v>-84875</v>
      </c>
      <c r="K1949">
        <v>-16126.25</v>
      </c>
      <c r="M1949">
        <v>0</v>
      </c>
      <c r="N1949">
        <v>0</v>
      </c>
      <c r="O1949">
        <v>0</v>
      </c>
      <c r="P1949" s="117">
        <v>-101001.25</v>
      </c>
      <c r="Q1949" s="117" t="s">
        <v>1022</v>
      </c>
      <c r="R1949" s="150">
        <v>2</v>
      </c>
      <c r="S1949" s="117" t="b">
        <f>OR(COUNTIF(Tabla2[[#This Row],[PROVEEDOR]],"*"&amp;'Palabra no opera'!$A$2&amp;"*"))</f>
        <v>0</v>
      </c>
      <c r="T1949" s="150">
        <f>+$W$5-Tabla2[[#This Row],[FECHA DE FACTURACIÓN]]</f>
        <v>24</v>
      </c>
      <c r="U1949" t="str">
        <f>+IF(Tabla2[[#This Row],[dias de credito]]&gt;=Tabla2[[#This Row],[PLAZO Días]],"venc", "No venc")</f>
        <v>No venc</v>
      </c>
      <c r="V1949" t="str">
        <f>+IF(Tabla2[[#This Row],[FECHA DE PAGO]]&gt;0,"pagada","por pagar")</f>
        <v>por pagar</v>
      </c>
      <c r="W1949" s="152" t="str">
        <f>+IF(AND(Tabla2[[#This Row],[venc]]="venc",Tabla2[[#This Row],[Columna1]]="por pagar"),"vencida","no")</f>
        <v>no</v>
      </c>
    </row>
    <row r="1950" spans="1:23" x14ac:dyDescent="0.3">
      <c r="A1950">
        <v>30</v>
      </c>
      <c r="B1950">
        <v>4656887.12</v>
      </c>
      <c r="D1950" t="s">
        <v>170</v>
      </c>
      <c r="F1950" t="s">
        <v>20</v>
      </c>
      <c r="G1950" s="156">
        <v>44802</v>
      </c>
      <c r="H1950">
        <v>7709</v>
      </c>
      <c r="I1950">
        <v>1521328</v>
      </c>
      <c r="K1950">
        <v>289052.32</v>
      </c>
      <c r="M1950">
        <v>0</v>
      </c>
      <c r="N1950">
        <v>2.5000000000000001E-2</v>
      </c>
      <c r="O1950">
        <v>38033.200000000004</v>
      </c>
      <c r="P1950" s="117">
        <v>1772347.12</v>
      </c>
      <c r="Q1950" s="117" t="s">
        <v>1022</v>
      </c>
      <c r="R1950" s="150">
        <v>10</v>
      </c>
      <c r="S1950" s="117" t="b">
        <f>OR(COUNTIF(Tabla2[[#This Row],[PROVEEDOR]],"*"&amp;'Palabra no opera'!$A$2&amp;"*"))</f>
        <v>0</v>
      </c>
      <c r="T1950" s="150">
        <f>+$W$5-Tabla2[[#This Row],[FECHA DE FACTURACIÓN]]</f>
        <v>32</v>
      </c>
      <c r="U1950" t="str">
        <f>+IF(Tabla2[[#This Row],[dias de credito]]&gt;=Tabla2[[#This Row],[PLAZO Días]],"venc", "No venc")</f>
        <v>venc</v>
      </c>
      <c r="V1950" t="str">
        <f>+IF(Tabla2[[#This Row],[FECHA DE PAGO]]&gt;0,"pagada","por pagar")</f>
        <v>por pagar</v>
      </c>
      <c r="W1950" s="152" t="str">
        <f>+IF(AND(Tabla2[[#This Row],[venc]]="venc",Tabla2[[#This Row],[Columna1]]="por pagar"),"vencida","no")</f>
        <v>vencida</v>
      </c>
    </row>
    <row r="1951" spans="1:23" x14ac:dyDescent="0.3">
      <c r="A1951">
        <v>45</v>
      </c>
      <c r="B1951">
        <v>7497238</v>
      </c>
      <c r="D1951" t="s">
        <v>272</v>
      </c>
      <c r="F1951" t="s">
        <v>10</v>
      </c>
      <c r="G1951" s="156">
        <v>44802</v>
      </c>
      <c r="H1951" t="s">
        <v>1640</v>
      </c>
      <c r="I1951">
        <v>1720000</v>
      </c>
      <c r="K1951">
        <v>326800</v>
      </c>
      <c r="M1951">
        <v>0</v>
      </c>
      <c r="N1951">
        <v>0</v>
      </c>
      <c r="O1951">
        <v>0</v>
      </c>
      <c r="P1951" s="117">
        <v>2046800</v>
      </c>
      <c r="Q1951" s="117" t="s">
        <v>1023</v>
      </c>
      <c r="R1951" s="150">
        <v>-5</v>
      </c>
      <c r="S1951" s="117" t="b">
        <f>OR(COUNTIF(Tabla2[[#This Row],[PROVEEDOR]],"*"&amp;'Palabra no opera'!$A$2&amp;"*"))</f>
        <v>0</v>
      </c>
      <c r="T1951" s="150">
        <f>+$W$5-Tabla2[[#This Row],[FECHA DE FACTURACIÓN]]</f>
        <v>32</v>
      </c>
      <c r="U1951" t="str">
        <f>+IF(Tabla2[[#This Row],[dias de credito]]&gt;=Tabla2[[#This Row],[PLAZO Días]],"venc", "No venc")</f>
        <v>No venc</v>
      </c>
      <c r="V1951" t="str">
        <f>+IF(Tabla2[[#This Row],[FECHA DE PAGO]]&gt;0,"pagada","por pagar")</f>
        <v>por pagar</v>
      </c>
      <c r="W1951" s="152" t="str">
        <f>+IF(AND(Tabla2[[#This Row],[venc]]="venc",Tabla2[[#This Row],[Columna1]]="por pagar"),"vencida","no")</f>
        <v>no</v>
      </c>
    </row>
    <row r="1952" spans="1:23" x14ac:dyDescent="0.3">
      <c r="A1952">
        <v>30</v>
      </c>
      <c r="B1952">
        <v>2192943.5750000002</v>
      </c>
      <c r="D1952" t="s">
        <v>273</v>
      </c>
      <c r="F1952" t="s">
        <v>1638</v>
      </c>
      <c r="G1952" s="156">
        <v>44802</v>
      </c>
      <c r="H1952" t="s">
        <v>1649</v>
      </c>
      <c r="I1952">
        <v>1882354.8</v>
      </c>
      <c r="K1952">
        <v>357647.41200000001</v>
      </c>
      <c r="M1952">
        <v>0</v>
      </c>
      <c r="N1952">
        <v>2.5000000000000001E-2</v>
      </c>
      <c r="O1952">
        <v>47058.87</v>
      </c>
      <c r="P1952" s="117">
        <v>0</v>
      </c>
      <c r="Q1952" s="117" t="s">
        <v>1022</v>
      </c>
      <c r="R1952" s="150">
        <v>10</v>
      </c>
      <c r="S1952" s="117" t="b">
        <f>OR(COUNTIF(Tabla2[[#This Row],[PROVEEDOR]],"*"&amp;'Palabra no opera'!$A$2&amp;"*"))</f>
        <v>0</v>
      </c>
      <c r="T1952" s="150">
        <f>+$W$5-Tabla2[[#This Row],[FECHA DE FACTURACIÓN]]</f>
        <v>32</v>
      </c>
      <c r="U1952" t="str">
        <f>+IF(Tabla2[[#This Row],[dias de credito]]&gt;=Tabla2[[#This Row],[PLAZO Días]],"venc", "No venc")</f>
        <v>venc</v>
      </c>
      <c r="V1952" t="str">
        <f>+IF(Tabla2[[#This Row],[FECHA DE PAGO]]&gt;0,"pagada","por pagar")</f>
        <v>por pagar</v>
      </c>
      <c r="W1952" s="152" t="str">
        <f>+IF(AND(Tabla2[[#This Row],[venc]]="venc",Tabla2[[#This Row],[Columna1]]="por pagar"),"vencida","no")</f>
        <v>vencida</v>
      </c>
    </row>
    <row r="1953" spans="1:23" x14ac:dyDescent="0.3">
      <c r="A1953">
        <v>30</v>
      </c>
      <c r="B1953">
        <v>2192943.5750000002</v>
      </c>
      <c r="D1953" t="s">
        <v>273</v>
      </c>
      <c r="F1953" t="s">
        <v>1638</v>
      </c>
      <c r="G1953" s="156">
        <v>44802</v>
      </c>
      <c r="H1953" t="s">
        <v>1648</v>
      </c>
      <c r="I1953">
        <v>1882355</v>
      </c>
      <c r="K1953">
        <v>357647.45</v>
      </c>
      <c r="M1953">
        <v>0</v>
      </c>
      <c r="N1953">
        <v>2.5000000000000001E-2</v>
      </c>
      <c r="O1953">
        <v>47058.875</v>
      </c>
      <c r="P1953" s="117">
        <v>2192943.5750000002</v>
      </c>
      <c r="Q1953" s="117" t="s">
        <v>1022</v>
      </c>
      <c r="R1953" s="150">
        <v>10</v>
      </c>
      <c r="S1953" s="117" t="b">
        <f>OR(COUNTIF(Tabla2[[#This Row],[PROVEEDOR]],"*"&amp;'Palabra no opera'!$A$2&amp;"*"))</f>
        <v>0</v>
      </c>
      <c r="T1953" s="150">
        <f>+$W$5-Tabla2[[#This Row],[FECHA DE FACTURACIÓN]]</f>
        <v>32</v>
      </c>
      <c r="U1953" t="str">
        <f>+IF(Tabla2[[#This Row],[dias de credito]]&gt;=Tabla2[[#This Row],[PLAZO Días]],"venc", "No venc")</f>
        <v>venc</v>
      </c>
      <c r="V1953" t="str">
        <f>+IF(Tabla2[[#This Row],[FECHA DE PAGO]]&gt;0,"pagada","por pagar")</f>
        <v>por pagar</v>
      </c>
      <c r="W1953" s="152" t="str">
        <f>+IF(AND(Tabla2[[#This Row],[venc]]="venc",Tabla2[[#This Row],[Columna1]]="por pagar"),"vencida","no")</f>
        <v>vencida</v>
      </c>
    </row>
    <row r="1954" spans="1:23" x14ac:dyDescent="0.3">
      <c r="A1954">
        <v>30</v>
      </c>
      <c r="B1954">
        <v>8190204</v>
      </c>
      <c r="D1954" t="s">
        <v>263</v>
      </c>
      <c r="F1954" t="s">
        <v>1637</v>
      </c>
      <c r="G1954" s="156">
        <v>44800</v>
      </c>
      <c r="H1954">
        <v>27150</v>
      </c>
      <c r="I1954">
        <v>414000</v>
      </c>
      <c r="K1954">
        <v>78660</v>
      </c>
      <c r="M1954">
        <v>0</v>
      </c>
      <c r="N1954">
        <v>0</v>
      </c>
      <c r="O1954">
        <v>0</v>
      </c>
      <c r="P1954" s="117">
        <v>492660</v>
      </c>
      <c r="Q1954" s="117" t="s">
        <v>1022</v>
      </c>
      <c r="R1954" s="150">
        <v>12</v>
      </c>
      <c r="S1954" s="117" t="b">
        <f>OR(COUNTIF(Tabla2[[#This Row],[PROVEEDOR]],"*"&amp;'Palabra no opera'!$A$2&amp;"*"))</f>
        <v>0</v>
      </c>
      <c r="T1954" s="150">
        <f>+$W$5-Tabla2[[#This Row],[FECHA DE FACTURACIÓN]]</f>
        <v>34</v>
      </c>
      <c r="U1954" t="str">
        <f>+IF(Tabla2[[#This Row],[dias de credito]]&gt;=Tabla2[[#This Row],[PLAZO Días]],"venc", "No venc")</f>
        <v>venc</v>
      </c>
      <c r="V1954" t="str">
        <f>+IF(Tabla2[[#This Row],[FECHA DE PAGO]]&gt;0,"pagada","por pagar")</f>
        <v>por pagar</v>
      </c>
      <c r="W1954" s="152" t="str">
        <f>+IF(AND(Tabla2[[#This Row],[venc]]="venc",Tabla2[[#This Row],[Columna1]]="por pagar"),"vencida","no")</f>
        <v>vencida</v>
      </c>
    </row>
    <row r="1955" spans="1:23" x14ac:dyDescent="0.3">
      <c r="A1955">
        <v>30</v>
      </c>
      <c r="B1955">
        <v>19675613.1195</v>
      </c>
      <c r="D1955" t="s">
        <v>256</v>
      </c>
      <c r="F1955" t="s">
        <v>18</v>
      </c>
      <c r="G1955" s="156">
        <v>44799</v>
      </c>
      <c r="H1955">
        <v>1058365</v>
      </c>
      <c r="I1955">
        <v>10446232.35</v>
      </c>
      <c r="K1955">
        <v>1984784.1465</v>
      </c>
      <c r="M1955">
        <v>0</v>
      </c>
      <c r="N1955">
        <v>2.5000000000000001E-2</v>
      </c>
      <c r="O1955">
        <v>261155.80875</v>
      </c>
      <c r="P1955" s="117">
        <v>12169860.687750001</v>
      </c>
      <c r="Q1955" s="117" t="s">
        <v>1022</v>
      </c>
      <c r="R1955" s="150">
        <v>13</v>
      </c>
      <c r="S1955" s="117" t="b">
        <f>OR(COUNTIF(Tabla2[[#This Row],[PROVEEDOR]],"*"&amp;'Palabra no opera'!$A$2&amp;"*"))</f>
        <v>0</v>
      </c>
      <c r="T1955" s="150">
        <f>+$W$5-Tabla2[[#This Row],[FECHA DE FACTURACIÓN]]</f>
        <v>35</v>
      </c>
      <c r="U1955" t="str">
        <f>+IF(Tabla2[[#This Row],[dias de credito]]&gt;=Tabla2[[#This Row],[PLAZO Días]],"venc", "No venc")</f>
        <v>venc</v>
      </c>
      <c r="V1955" t="str">
        <f>+IF(Tabla2[[#This Row],[FECHA DE PAGO]]&gt;0,"pagada","por pagar")</f>
        <v>por pagar</v>
      </c>
      <c r="W1955" s="152" t="str">
        <f>+IF(AND(Tabla2[[#This Row],[venc]]="venc",Tabla2[[#This Row],[Columna1]]="por pagar"),"vencida","no")</f>
        <v>vencida</v>
      </c>
    </row>
    <row r="1956" spans="1:23" x14ac:dyDescent="0.3">
      <c r="A1956">
        <v>30</v>
      </c>
      <c r="B1956">
        <v>4656887.12</v>
      </c>
      <c r="D1956" t="s">
        <v>170</v>
      </c>
      <c r="F1956" t="s">
        <v>20</v>
      </c>
      <c r="G1956" s="156">
        <v>44797</v>
      </c>
      <c r="H1956">
        <v>7689</v>
      </c>
      <c r="I1956">
        <v>1026000</v>
      </c>
      <c r="K1956">
        <v>194940</v>
      </c>
      <c r="M1956">
        <v>0</v>
      </c>
      <c r="N1956">
        <v>2.5000000000000001E-2</v>
      </c>
      <c r="O1956">
        <v>25650</v>
      </c>
      <c r="P1956" s="117">
        <v>1195290</v>
      </c>
      <c r="Q1956" s="117" t="s">
        <v>1022</v>
      </c>
      <c r="R1956" s="150">
        <v>15</v>
      </c>
      <c r="S1956" s="117" t="b">
        <f>OR(COUNTIF(Tabla2[[#This Row],[PROVEEDOR]],"*"&amp;'Palabra no opera'!$A$2&amp;"*"))</f>
        <v>0</v>
      </c>
      <c r="T1956" s="150">
        <f>+$W$5-Tabla2[[#This Row],[FECHA DE FACTURACIÓN]]</f>
        <v>37</v>
      </c>
      <c r="U1956" t="str">
        <f>+IF(Tabla2[[#This Row],[dias de credito]]&gt;=Tabla2[[#This Row],[PLAZO Días]],"venc", "No venc")</f>
        <v>venc</v>
      </c>
      <c r="V1956" t="str">
        <f>+IF(Tabla2[[#This Row],[FECHA DE PAGO]]&gt;0,"pagada","por pagar")</f>
        <v>por pagar</v>
      </c>
      <c r="W1956" s="152" t="str">
        <f>+IF(AND(Tabla2[[#This Row],[venc]]="venc",Tabla2[[#This Row],[Columna1]]="por pagar"),"vencida","no")</f>
        <v>vencida</v>
      </c>
    </row>
    <row r="1957" spans="1:23" x14ac:dyDescent="0.3">
      <c r="A1957">
        <v>45</v>
      </c>
      <c r="B1957">
        <v>30078253.170000002</v>
      </c>
      <c r="D1957" t="s">
        <v>884</v>
      </c>
      <c r="F1957" t="s">
        <v>19</v>
      </c>
      <c r="G1957" s="156">
        <v>44797</v>
      </c>
      <c r="H1957" t="s">
        <v>1639</v>
      </c>
      <c r="I1957">
        <v>2271411</v>
      </c>
      <c r="K1957">
        <v>431568.09</v>
      </c>
      <c r="M1957">
        <v>0</v>
      </c>
      <c r="N1957">
        <v>0</v>
      </c>
      <c r="O1957">
        <v>0</v>
      </c>
      <c r="P1957" s="117">
        <v>2702979.09</v>
      </c>
      <c r="Q1957" s="117" t="s">
        <v>1023</v>
      </c>
      <c r="R1957" s="150">
        <v>0</v>
      </c>
      <c r="S1957" s="117" t="b">
        <f>OR(COUNTIF(Tabla2[[#This Row],[PROVEEDOR]],"*"&amp;'Palabra no opera'!$A$2&amp;"*"))</f>
        <v>0</v>
      </c>
      <c r="T1957" s="150">
        <f>+$W$5-Tabla2[[#This Row],[FECHA DE FACTURACIÓN]]</f>
        <v>37</v>
      </c>
      <c r="U1957" t="str">
        <f>+IF(Tabla2[[#This Row],[dias de credito]]&gt;=Tabla2[[#This Row],[PLAZO Días]],"venc", "No venc")</f>
        <v>No venc</v>
      </c>
      <c r="V1957" t="str">
        <f>+IF(Tabla2[[#This Row],[FECHA DE PAGO]]&gt;0,"pagada","por pagar")</f>
        <v>por pagar</v>
      </c>
      <c r="W1957" s="152" t="str">
        <f>+IF(AND(Tabla2[[#This Row],[venc]]="venc",Tabla2[[#This Row],[Columna1]]="por pagar"),"vencida","no")</f>
        <v>no</v>
      </c>
    </row>
    <row r="1958" spans="1:23" x14ac:dyDescent="0.3">
      <c r="A1958">
        <v>30</v>
      </c>
      <c r="B1958">
        <v>8457900</v>
      </c>
      <c r="D1958" t="s">
        <v>1027</v>
      </c>
      <c r="F1958" t="s">
        <v>11</v>
      </c>
      <c r="G1958" s="156">
        <v>44797</v>
      </c>
      <c r="H1958" t="s">
        <v>1430</v>
      </c>
      <c r="I1958">
        <v>7260000</v>
      </c>
      <c r="K1958">
        <v>1379400</v>
      </c>
      <c r="M1958">
        <v>0</v>
      </c>
      <c r="N1958">
        <v>2.5000000000000001E-2</v>
      </c>
      <c r="O1958">
        <v>181500</v>
      </c>
      <c r="P1958" s="117">
        <v>8457900</v>
      </c>
      <c r="Q1958" s="117" t="s">
        <v>1022</v>
      </c>
      <c r="R1958" s="150">
        <v>15</v>
      </c>
      <c r="S1958" s="117" t="b">
        <f>OR(COUNTIF(Tabla2[[#This Row],[PROVEEDOR]],"*"&amp;'Palabra no opera'!$A$2&amp;"*"))</f>
        <v>0</v>
      </c>
      <c r="T1958" s="150">
        <f>+$W$5-Tabla2[[#This Row],[FECHA DE FACTURACIÓN]]</f>
        <v>37</v>
      </c>
      <c r="U1958" t="str">
        <f>+IF(Tabla2[[#This Row],[dias de credito]]&gt;=Tabla2[[#This Row],[PLAZO Días]],"venc", "No venc")</f>
        <v>venc</v>
      </c>
      <c r="V1958" t="str">
        <f>+IF(Tabla2[[#This Row],[FECHA DE PAGO]]&gt;0,"pagada","por pagar")</f>
        <v>por pagar</v>
      </c>
      <c r="W1958" s="152" t="str">
        <f>+IF(AND(Tabla2[[#This Row],[venc]]="venc",Tabla2[[#This Row],[Columna1]]="por pagar"),"vencida","no")</f>
        <v>vencida</v>
      </c>
    </row>
    <row r="1959" spans="1:23" x14ac:dyDescent="0.3">
      <c r="A1959">
        <v>30</v>
      </c>
      <c r="B1959">
        <v>6259125.5999999996</v>
      </c>
      <c r="D1959" t="s">
        <v>264</v>
      </c>
      <c r="F1959" t="s">
        <v>1448</v>
      </c>
      <c r="G1959" s="156">
        <v>44796</v>
      </c>
      <c r="H1959" t="s">
        <v>1449</v>
      </c>
      <c r="I1959">
        <v>1532640</v>
      </c>
      <c r="K1959">
        <v>291201.59999999998</v>
      </c>
      <c r="M1959">
        <v>0</v>
      </c>
      <c r="N1959">
        <v>2.5000000000000001E-2</v>
      </c>
      <c r="O1959">
        <v>38316</v>
      </c>
      <c r="P1959" s="117">
        <v>1785525.6</v>
      </c>
      <c r="Q1959" s="117" t="s">
        <v>1022</v>
      </c>
      <c r="R1959" s="150">
        <v>16</v>
      </c>
      <c r="S1959" s="117" t="b">
        <f>OR(COUNTIF(Tabla2[[#This Row],[PROVEEDOR]],"*"&amp;'Palabra no opera'!$A$2&amp;"*"))</f>
        <v>0</v>
      </c>
      <c r="T1959" s="150">
        <f>+$W$5-Tabla2[[#This Row],[FECHA DE FACTURACIÓN]]</f>
        <v>38</v>
      </c>
      <c r="U1959" t="str">
        <f>+IF(Tabla2[[#This Row],[dias de credito]]&gt;=Tabla2[[#This Row],[PLAZO Días]],"venc", "No venc")</f>
        <v>venc</v>
      </c>
      <c r="V1959" t="str">
        <f>+IF(Tabla2[[#This Row],[FECHA DE PAGO]]&gt;0,"pagada","por pagar")</f>
        <v>por pagar</v>
      </c>
      <c r="W1959" s="152" t="str">
        <f>+IF(AND(Tabla2[[#This Row],[venc]]="venc",Tabla2[[#This Row],[Columna1]]="por pagar"),"vencida","no")</f>
        <v>vencida</v>
      </c>
    </row>
    <row r="1960" spans="1:23" x14ac:dyDescent="0.3">
      <c r="A1960">
        <v>90</v>
      </c>
      <c r="B1960">
        <v>5541947.6899999995</v>
      </c>
      <c r="D1960" t="s">
        <v>253</v>
      </c>
      <c r="F1960" t="s">
        <v>12</v>
      </c>
      <c r="G1960" s="156">
        <v>44795</v>
      </c>
      <c r="H1960" t="s">
        <v>1446</v>
      </c>
      <c r="I1960">
        <v>856305</v>
      </c>
      <c r="K1960">
        <v>162697.95000000001</v>
      </c>
      <c r="M1960">
        <v>0</v>
      </c>
      <c r="N1960">
        <v>0</v>
      </c>
      <c r="O1960">
        <v>0</v>
      </c>
      <c r="P1960" s="117">
        <v>1019002.95</v>
      </c>
      <c r="Q1960" s="117" t="s">
        <v>1023</v>
      </c>
      <c r="R1960" s="150">
        <v>-43</v>
      </c>
      <c r="S1960" s="117" t="b">
        <f>OR(COUNTIF(Tabla2[[#This Row],[PROVEEDOR]],"*"&amp;'Palabra no opera'!$A$2&amp;"*"))</f>
        <v>0</v>
      </c>
      <c r="T1960" s="150">
        <f>+$W$5-Tabla2[[#This Row],[FECHA DE FACTURACIÓN]]</f>
        <v>39</v>
      </c>
      <c r="U1960" t="str">
        <f>+IF(Tabla2[[#This Row],[dias de credito]]&gt;=Tabla2[[#This Row],[PLAZO Días]],"venc", "No venc")</f>
        <v>No venc</v>
      </c>
      <c r="V1960" t="str">
        <f>+IF(Tabla2[[#This Row],[FECHA DE PAGO]]&gt;0,"pagada","por pagar")</f>
        <v>por pagar</v>
      </c>
      <c r="W1960" s="152" t="str">
        <f>+IF(AND(Tabla2[[#This Row],[venc]]="venc",Tabla2[[#This Row],[Columna1]]="por pagar"),"vencida","no")</f>
        <v>no</v>
      </c>
    </row>
    <row r="1961" spans="1:23" x14ac:dyDescent="0.3">
      <c r="A1961">
        <v>90</v>
      </c>
      <c r="B1961">
        <v>5541947.6899999995</v>
      </c>
      <c r="D1961" t="s">
        <v>253</v>
      </c>
      <c r="F1961" t="s">
        <v>12</v>
      </c>
      <c r="G1961" s="156">
        <v>44795</v>
      </c>
      <c r="H1961" t="s">
        <v>1447</v>
      </c>
      <c r="I1961">
        <v>3882356</v>
      </c>
      <c r="K1961">
        <v>737647.64</v>
      </c>
      <c r="M1961">
        <v>0</v>
      </c>
      <c r="N1961">
        <v>2.5000000000000001E-2</v>
      </c>
      <c r="O1961">
        <v>97058.900000000009</v>
      </c>
      <c r="P1961" s="117">
        <v>4522944.7399999993</v>
      </c>
      <c r="Q1961" s="117" t="s">
        <v>1023</v>
      </c>
      <c r="R1961" s="150">
        <v>-43</v>
      </c>
      <c r="S1961" s="117" t="b">
        <f>OR(COUNTIF(Tabla2[[#This Row],[PROVEEDOR]],"*"&amp;'Palabra no opera'!$A$2&amp;"*"))</f>
        <v>0</v>
      </c>
      <c r="T1961" s="150">
        <f>+$W$5-Tabla2[[#This Row],[FECHA DE FACTURACIÓN]]</f>
        <v>39</v>
      </c>
      <c r="U1961" t="str">
        <f>+IF(Tabla2[[#This Row],[dias de credito]]&gt;=Tabla2[[#This Row],[PLAZO Días]],"venc", "No venc")</f>
        <v>No venc</v>
      </c>
      <c r="V1961" t="str">
        <f>+IF(Tabla2[[#This Row],[FECHA DE PAGO]]&gt;0,"pagada","por pagar")</f>
        <v>por pagar</v>
      </c>
      <c r="W1961" s="152" t="str">
        <f>+IF(AND(Tabla2[[#This Row],[venc]]="venc",Tabla2[[#This Row],[Columna1]]="por pagar"),"vencida","no")</f>
        <v>no</v>
      </c>
    </row>
    <row r="1962" spans="1:23" x14ac:dyDescent="0.3">
      <c r="A1962">
        <v>30</v>
      </c>
      <c r="B1962">
        <v>2111011.8149999999</v>
      </c>
      <c r="D1962" t="s">
        <v>251</v>
      </c>
      <c r="F1962" t="s">
        <v>216</v>
      </c>
      <c r="G1962" s="156">
        <v>44795</v>
      </c>
      <c r="H1962" t="s">
        <v>1413</v>
      </c>
      <c r="I1962">
        <v>-218487</v>
      </c>
      <c r="K1962">
        <v>-41512.53</v>
      </c>
      <c r="M1962">
        <v>0</v>
      </c>
      <c r="N1962">
        <v>2.5000000000000001E-2</v>
      </c>
      <c r="O1962">
        <v>-5462.1750000000002</v>
      </c>
      <c r="P1962" s="117">
        <v>-254537.35500000001</v>
      </c>
      <c r="Q1962" s="117" t="s">
        <v>1022</v>
      </c>
      <c r="R1962" s="150">
        <v>17</v>
      </c>
      <c r="S1962" s="117" t="b">
        <f>OR(COUNTIF(Tabla2[[#This Row],[PROVEEDOR]],"*"&amp;'Palabra no opera'!$A$2&amp;"*"))</f>
        <v>0</v>
      </c>
      <c r="T1962" s="150">
        <f>+$W$5-Tabla2[[#This Row],[FECHA DE FACTURACIÓN]]</f>
        <v>39</v>
      </c>
      <c r="U1962" t="str">
        <f>+IF(Tabla2[[#This Row],[dias de credito]]&gt;=Tabla2[[#This Row],[PLAZO Días]],"venc", "No venc")</f>
        <v>venc</v>
      </c>
      <c r="V1962" t="str">
        <f>+IF(Tabla2[[#This Row],[FECHA DE PAGO]]&gt;0,"pagada","por pagar")</f>
        <v>por pagar</v>
      </c>
      <c r="W1962" s="152" t="str">
        <f>+IF(AND(Tabla2[[#This Row],[venc]]="venc",Tabla2[[#This Row],[Columna1]]="por pagar"),"vencida","no")</f>
        <v>vencida</v>
      </c>
    </row>
    <row r="1963" spans="1:23" x14ac:dyDescent="0.3">
      <c r="A1963">
        <v>30</v>
      </c>
      <c r="B1963">
        <v>19675613.1195</v>
      </c>
      <c r="D1963" t="s">
        <v>256</v>
      </c>
      <c r="F1963" t="s">
        <v>18</v>
      </c>
      <c r="G1963" s="156">
        <v>44795</v>
      </c>
      <c r="H1963">
        <v>1058054</v>
      </c>
      <c r="I1963">
        <v>1949973.95</v>
      </c>
      <c r="K1963">
        <v>370495.05050000001</v>
      </c>
      <c r="M1963">
        <v>0</v>
      </c>
      <c r="N1963">
        <v>2.5000000000000001E-2</v>
      </c>
      <c r="O1963">
        <v>48749.348750000005</v>
      </c>
      <c r="P1963" s="117">
        <v>2271719.6517500002</v>
      </c>
      <c r="Q1963" s="117" t="s">
        <v>1022</v>
      </c>
      <c r="R1963" s="150">
        <v>17</v>
      </c>
      <c r="S1963" s="117" t="b">
        <f>OR(COUNTIF(Tabla2[[#This Row],[PROVEEDOR]],"*"&amp;'Palabra no opera'!$A$2&amp;"*"))</f>
        <v>0</v>
      </c>
      <c r="T1963" s="150">
        <f>+$W$5-Tabla2[[#This Row],[FECHA DE FACTURACIÓN]]</f>
        <v>39</v>
      </c>
      <c r="U1963" t="str">
        <f>+IF(Tabla2[[#This Row],[dias de credito]]&gt;=Tabla2[[#This Row],[PLAZO Días]],"venc", "No venc")</f>
        <v>venc</v>
      </c>
      <c r="V1963" t="str">
        <f>+IF(Tabla2[[#This Row],[FECHA DE PAGO]]&gt;0,"pagada","por pagar")</f>
        <v>por pagar</v>
      </c>
      <c r="W1963" s="152" t="str">
        <f>+IF(AND(Tabla2[[#This Row],[venc]]="venc",Tabla2[[#This Row],[Columna1]]="por pagar"),"vencida","no")</f>
        <v>vencida</v>
      </c>
    </row>
    <row r="1964" spans="1:23" x14ac:dyDescent="0.3">
      <c r="A1964">
        <v>30</v>
      </c>
      <c r="B1964">
        <v>4656887.12</v>
      </c>
      <c r="D1964" t="s">
        <v>170</v>
      </c>
      <c r="F1964" t="s">
        <v>20</v>
      </c>
      <c r="G1964" s="156">
        <v>44792</v>
      </c>
      <c r="H1964">
        <v>7659</v>
      </c>
      <c r="I1964">
        <v>1450000</v>
      </c>
      <c r="K1964">
        <v>275500</v>
      </c>
      <c r="M1964">
        <v>0</v>
      </c>
      <c r="N1964">
        <v>2.5000000000000001E-2</v>
      </c>
      <c r="O1964">
        <v>36250</v>
      </c>
      <c r="P1964" s="117">
        <v>1689250</v>
      </c>
      <c r="Q1964" s="117" t="s">
        <v>1022</v>
      </c>
      <c r="R1964" s="150">
        <v>20</v>
      </c>
      <c r="S1964" s="117" t="b">
        <f>OR(COUNTIF(Tabla2[[#This Row],[PROVEEDOR]],"*"&amp;'Palabra no opera'!$A$2&amp;"*"))</f>
        <v>0</v>
      </c>
      <c r="T1964" s="150">
        <f>+$W$5-Tabla2[[#This Row],[FECHA DE FACTURACIÓN]]</f>
        <v>42</v>
      </c>
      <c r="U1964" t="str">
        <f>+IF(Tabla2[[#This Row],[dias de credito]]&gt;=Tabla2[[#This Row],[PLAZO Días]],"venc", "No venc")</f>
        <v>venc</v>
      </c>
      <c r="V1964" t="str">
        <f>+IF(Tabla2[[#This Row],[FECHA DE PAGO]]&gt;0,"pagada","por pagar")</f>
        <v>por pagar</v>
      </c>
      <c r="W1964" s="152" t="str">
        <f>+IF(AND(Tabla2[[#This Row],[venc]]="venc",Tabla2[[#This Row],[Columna1]]="por pagar"),"vencida","no")</f>
        <v>vencida</v>
      </c>
    </row>
    <row r="1965" spans="1:23" x14ac:dyDescent="0.3">
      <c r="A1965">
        <v>30</v>
      </c>
      <c r="B1965">
        <v>3876467.9400000004</v>
      </c>
      <c r="D1965">
        <v>0</v>
      </c>
      <c r="F1965" t="s">
        <v>542</v>
      </c>
      <c r="G1965" s="156">
        <v>44792</v>
      </c>
      <c r="H1965" t="s">
        <v>1411</v>
      </c>
      <c r="I1965">
        <v>3639876</v>
      </c>
      <c r="K1965">
        <v>691576.44000000006</v>
      </c>
      <c r="L1965">
        <v>0.1</v>
      </c>
      <c r="M1965">
        <v>363987.60000000003</v>
      </c>
      <c r="N1965">
        <v>2.5000000000000001E-2</v>
      </c>
      <c r="O1965">
        <v>90996.900000000009</v>
      </c>
      <c r="P1965" s="117">
        <v>3876467.9400000004</v>
      </c>
      <c r="Q1965" s="117" t="s">
        <v>1022</v>
      </c>
      <c r="R1965" s="150">
        <v>20</v>
      </c>
      <c r="S1965" s="117" t="b">
        <f>OR(COUNTIF(Tabla2[[#This Row],[PROVEEDOR]],"*"&amp;'Palabra no opera'!$A$2&amp;"*"))</f>
        <v>0</v>
      </c>
      <c r="T1965" s="150">
        <f>+$W$5-Tabla2[[#This Row],[FECHA DE FACTURACIÓN]]</f>
        <v>42</v>
      </c>
      <c r="U1965" t="str">
        <f>+IF(Tabla2[[#This Row],[dias de credito]]&gt;=Tabla2[[#This Row],[PLAZO Días]],"venc", "No venc")</f>
        <v>venc</v>
      </c>
      <c r="V1965" t="str">
        <f>+IF(Tabla2[[#This Row],[FECHA DE PAGO]]&gt;0,"pagada","por pagar")</f>
        <v>por pagar</v>
      </c>
      <c r="W1965" s="152" t="str">
        <f>+IF(AND(Tabla2[[#This Row],[venc]]="venc",Tabla2[[#This Row],[Columna1]]="por pagar"),"vencida","no")</f>
        <v>vencida</v>
      </c>
    </row>
    <row r="1966" spans="1:23" x14ac:dyDescent="0.3">
      <c r="A1966">
        <v>45</v>
      </c>
      <c r="B1966">
        <v>7497238</v>
      </c>
      <c r="D1966" t="s">
        <v>272</v>
      </c>
      <c r="F1966" t="s">
        <v>10</v>
      </c>
      <c r="G1966" s="156">
        <v>44792</v>
      </c>
      <c r="H1966" t="s">
        <v>1409</v>
      </c>
      <c r="I1966">
        <v>750000</v>
      </c>
      <c r="K1966">
        <v>142500</v>
      </c>
      <c r="M1966">
        <v>0</v>
      </c>
      <c r="N1966">
        <v>0</v>
      </c>
      <c r="O1966">
        <v>0</v>
      </c>
      <c r="P1966" s="117">
        <v>892500</v>
      </c>
      <c r="Q1966" s="117" t="s">
        <v>1022</v>
      </c>
      <c r="R1966" s="150">
        <v>5</v>
      </c>
      <c r="S1966" s="117" t="b">
        <f>OR(COUNTIF(Tabla2[[#This Row],[PROVEEDOR]],"*"&amp;'Palabra no opera'!$A$2&amp;"*"))</f>
        <v>0</v>
      </c>
      <c r="T1966" s="150">
        <f>+$W$5-Tabla2[[#This Row],[FECHA DE FACTURACIÓN]]</f>
        <v>42</v>
      </c>
      <c r="U1966" t="str">
        <f>+IF(Tabla2[[#This Row],[dias de credito]]&gt;=Tabla2[[#This Row],[PLAZO Días]],"venc", "No venc")</f>
        <v>No venc</v>
      </c>
      <c r="V1966" t="str">
        <f>+IF(Tabla2[[#This Row],[FECHA DE PAGO]]&gt;0,"pagada","por pagar")</f>
        <v>por pagar</v>
      </c>
      <c r="W1966" s="152" t="str">
        <f>+IF(AND(Tabla2[[#This Row],[venc]]="venc",Tabla2[[#This Row],[Columna1]]="por pagar"),"vencida","no")</f>
        <v>no</v>
      </c>
    </row>
    <row r="1967" spans="1:23" x14ac:dyDescent="0.3">
      <c r="A1967">
        <v>30</v>
      </c>
      <c r="B1967">
        <v>6259125.5999999996</v>
      </c>
      <c r="D1967" t="s">
        <v>264</v>
      </c>
      <c r="F1967" t="s">
        <v>1448</v>
      </c>
      <c r="G1967" s="156">
        <v>44791</v>
      </c>
      <c r="H1967" t="s">
        <v>1415</v>
      </c>
      <c r="I1967">
        <v>3840000</v>
      </c>
      <c r="K1967">
        <v>729600</v>
      </c>
      <c r="M1967">
        <v>0</v>
      </c>
      <c r="N1967">
        <v>2.5000000000000001E-2</v>
      </c>
      <c r="O1967">
        <v>96000</v>
      </c>
      <c r="P1967" s="117">
        <v>4473600</v>
      </c>
      <c r="Q1967" s="117" t="s">
        <v>1022</v>
      </c>
      <c r="R1967" s="150">
        <v>21</v>
      </c>
      <c r="S1967" s="117" t="b">
        <f>OR(COUNTIF(Tabla2[[#This Row],[PROVEEDOR]],"*"&amp;'Palabra no opera'!$A$2&amp;"*"))</f>
        <v>0</v>
      </c>
      <c r="T1967" s="150">
        <f>+$W$5-Tabla2[[#This Row],[FECHA DE FACTURACIÓN]]</f>
        <v>43</v>
      </c>
      <c r="U1967" t="str">
        <f>+IF(Tabla2[[#This Row],[dias de credito]]&gt;=Tabla2[[#This Row],[PLAZO Días]],"venc", "No venc")</f>
        <v>venc</v>
      </c>
      <c r="V1967" t="str">
        <f>+IF(Tabla2[[#This Row],[FECHA DE PAGO]]&gt;0,"pagada","por pagar")</f>
        <v>por pagar</v>
      </c>
      <c r="W1967" s="152" t="str">
        <f>+IF(AND(Tabla2[[#This Row],[venc]]="venc",Tabla2[[#This Row],[Columna1]]="por pagar"),"vencida","no")</f>
        <v>vencida</v>
      </c>
    </row>
    <row r="1968" spans="1:23" x14ac:dyDescent="0.3">
      <c r="A1968">
        <v>45</v>
      </c>
      <c r="B1968">
        <v>7497238</v>
      </c>
      <c r="D1968" t="s">
        <v>272</v>
      </c>
      <c r="F1968" t="s">
        <v>10</v>
      </c>
      <c r="G1968" s="156">
        <v>44791</v>
      </c>
      <c r="H1968" t="s">
        <v>1410</v>
      </c>
      <c r="I1968">
        <v>456000</v>
      </c>
      <c r="K1968">
        <v>86640</v>
      </c>
      <c r="M1968">
        <v>0</v>
      </c>
      <c r="N1968">
        <v>0</v>
      </c>
      <c r="O1968">
        <v>0</v>
      </c>
      <c r="P1968" s="117">
        <v>542640</v>
      </c>
      <c r="Q1968" s="117" t="s">
        <v>1022</v>
      </c>
      <c r="R1968" s="150">
        <v>6</v>
      </c>
      <c r="S1968" s="117" t="b">
        <f>OR(COUNTIF(Tabla2[[#This Row],[PROVEEDOR]],"*"&amp;'Palabra no opera'!$A$2&amp;"*"))</f>
        <v>0</v>
      </c>
      <c r="T1968" s="150">
        <f>+$W$5-Tabla2[[#This Row],[FECHA DE FACTURACIÓN]]</f>
        <v>43</v>
      </c>
      <c r="U1968" t="str">
        <f>+IF(Tabla2[[#This Row],[dias de credito]]&gt;=Tabla2[[#This Row],[PLAZO Días]],"venc", "No venc")</f>
        <v>No venc</v>
      </c>
      <c r="V1968" t="str">
        <f>+IF(Tabla2[[#This Row],[FECHA DE PAGO]]&gt;0,"pagada","por pagar")</f>
        <v>por pagar</v>
      </c>
      <c r="W1968" s="152" t="str">
        <f>+IF(AND(Tabla2[[#This Row],[venc]]="venc",Tabla2[[#This Row],[Columna1]]="por pagar"),"vencida","no")</f>
        <v>no</v>
      </c>
    </row>
    <row r="1969" spans="1:23" x14ac:dyDescent="0.3">
      <c r="A1969">
        <v>60</v>
      </c>
      <c r="B1969">
        <v>8889300</v>
      </c>
      <c r="D1969">
        <v>0</v>
      </c>
      <c r="F1969" t="s">
        <v>1429</v>
      </c>
      <c r="G1969" s="156">
        <v>44790</v>
      </c>
      <c r="H1969" t="s">
        <v>1419</v>
      </c>
      <c r="I1969">
        <v>420000</v>
      </c>
      <c r="K1969">
        <v>79800</v>
      </c>
      <c r="M1969">
        <v>0</v>
      </c>
      <c r="N1969">
        <v>0</v>
      </c>
      <c r="O1969">
        <v>0</v>
      </c>
      <c r="P1969" s="117">
        <v>499800</v>
      </c>
      <c r="Q1969" s="117" t="s">
        <v>1023</v>
      </c>
      <c r="R1969" s="150">
        <v>-8</v>
      </c>
      <c r="S1969" s="117" t="b">
        <f>OR(COUNTIF(Tabla2[[#This Row],[PROVEEDOR]],"*"&amp;'Palabra no opera'!$A$2&amp;"*"))</f>
        <v>1</v>
      </c>
      <c r="T1969" s="150">
        <f>+$W$5-Tabla2[[#This Row],[FECHA DE FACTURACIÓN]]</f>
        <v>44</v>
      </c>
      <c r="U1969" t="str">
        <f>+IF(Tabla2[[#This Row],[dias de credito]]&gt;=Tabla2[[#This Row],[PLAZO Días]],"venc", "No venc")</f>
        <v>No venc</v>
      </c>
      <c r="V1969" t="str">
        <f>+IF(Tabla2[[#This Row],[FECHA DE PAGO]]&gt;0,"pagada","por pagar")</f>
        <v>por pagar</v>
      </c>
      <c r="W1969" s="152" t="str">
        <f>+IF(AND(Tabla2[[#This Row],[venc]]="venc",Tabla2[[#This Row],[Columna1]]="por pagar"),"vencida","no")</f>
        <v>no</v>
      </c>
    </row>
    <row r="1970" spans="1:23" x14ac:dyDescent="0.3">
      <c r="A1970">
        <v>30</v>
      </c>
      <c r="B1970">
        <v>9032827.5</v>
      </c>
      <c r="D1970" t="s">
        <v>432</v>
      </c>
      <c r="F1970" t="s">
        <v>33</v>
      </c>
      <c r="G1970" s="156">
        <v>44785</v>
      </c>
      <c r="H1970">
        <v>3002</v>
      </c>
      <c r="I1970">
        <v>7753500</v>
      </c>
      <c r="K1970">
        <v>1473165</v>
      </c>
      <c r="M1970">
        <v>0</v>
      </c>
      <c r="N1970">
        <v>2.5000000000000001E-2</v>
      </c>
      <c r="O1970">
        <v>193837.5</v>
      </c>
      <c r="P1970" s="117">
        <v>9032827.5</v>
      </c>
      <c r="Q1970" s="117" t="s">
        <v>1022</v>
      </c>
      <c r="R1970" s="150">
        <v>27</v>
      </c>
      <c r="S1970" s="117" t="b">
        <f>OR(COUNTIF(Tabla2[[#This Row],[PROVEEDOR]],"*"&amp;'Palabra no opera'!$A$2&amp;"*"))</f>
        <v>0</v>
      </c>
      <c r="T1970" s="150">
        <f>+$W$5-Tabla2[[#This Row],[FECHA DE FACTURACIÓN]]</f>
        <v>49</v>
      </c>
      <c r="U1970" t="str">
        <f>+IF(Tabla2[[#This Row],[dias de credito]]&gt;=Tabla2[[#This Row],[PLAZO Días]],"venc", "No venc")</f>
        <v>venc</v>
      </c>
      <c r="V1970" t="str">
        <f>+IF(Tabla2[[#This Row],[FECHA DE PAGO]]&gt;0,"pagada","por pagar")</f>
        <v>por pagar</v>
      </c>
      <c r="W1970" s="152" t="str">
        <f>+IF(AND(Tabla2[[#This Row],[venc]]="venc",Tabla2[[#This Row],[Columna1]]="por pagar"),"vencida","no")</f>
        <v>vencida</v>
      </c>
    </row>
    <row r="1971" spans="1:23" x14ac:dyDescent="0.3">
      <c r="A1971">
        <v>45</v>
      </c>
      <c r="B1971">
        <v>30078253.170000002</v>
      </c>
      <c r="D1971" t="s">
        <v>884</v>
      </c>
      <c r="F1971" t="s">
        <v>19</v>
      </c>
      <c r="G1971" s="156">
        <v>44785</v>
      </c>
      <c r="H1971" t="s">
        <v>1398</v>
      </c>
      <c r="I1971">
        <v>5111248</v>
      </c>
      <c r="K1971">
        <v>971137.12</v>
      </c>
      <c r="M1971">
        <v>0</v>
      </c>
      <c r="N1971">
        <v>0</v>
      </c>
      <c r="O1971">
        <v>0</v>
      </c>
      <c r="P1971" s="117">
        <v>6082385.1200000001</v>
      </c>
      <c r="Q1971" s="117" t="s">
        <v>1022</v>
      </c>
      <c r="R1971" s="150">
        <v>12</v>
      </c>
      <c r="S1971" s="117" t="b">
        <f>OR(COUNTIF(Tabla2[[#This Row],[PROVEEDOR]],"*"&amp;'Palabra no opera'!$A$2&amp;"*"))</f>
        <v>0</v>
      </c>
      <c r="T1971" s="150">
        <f>+$W$5-Tabla2[[#This Row],[FECHA DE FACTURACIÓN]]</f>
        <v>49</v>
      </c>
      <c r="U1971" t="str">
        <f>+IF(Tabla2[[#This Row],[dias de credito]]&gt;=Tabla2[[#This Row],[PLAZO Días]],"venc", "No venc")</f>
        <v>venc</v>
      </c>
      <c r="V1971" t="str">
        <f>+IF(Tabla2[[#This Row],[FECHA DE PAGO]]&gt;0,"pagada","por pagar")</f>
        <v>por pagar</v>
      </c>
      <c r="W1971" s="152" t="str">
        <f>+IF(AND(Tabla2[[#This Row],[venc]]="venc",Tabla2[[#This Row],[Columna1]]="por pagar"),"vencida","no")</f>
        <v>vencida</v>
      </c>
    </row>
    <row r="1972" spans="1:23" x14ac:dyDescent="0.3">
      <c r="A1972">
        <v>30</v>
      </c>
      <c r="B1972">
        <v>8190204</v>
      </c>
      <c r="D1972" t="s">
        <v>263</v>
      </c>
      <c r="F1972" t="s">
        <v>1637</v>
      </c>
      <c r="G1972" s="156">
        <v>44783</v>
      </c>
      <c r="H1972">
        <v>26977</v>
      </c>
      <c r="I1972">
        <v>2580000</v>
      </c>
      <c r="K1972">
        <v>490200</v>
      </c>
      <c r="M1972">
        <v>0</v>
      </c>
      <c r="N1972">
        <v>2.5000000000000001E-2</v>
      </c>
      <c r="O1972">
        <v>64500</v>
      </c>
      <c r="P1972" s="117">
        <v>3005700</v>
      </c>
      <c r="Q1972" s="117" t="s">
        <v>1022</v>
      </c>
      <c r="R1972" s="150">
        <v>29</v>
      </c>
      <c r="S1972" s="117" t="b">
        <f>OR(COUNTIF(Tabla2[[#This Row],[PROVEEDOR]],"*"&amp;'Palabra no opera'!$A$2&amp;"*"))</f>
        <v>0</v>
      </c>
      <c r="T1972" s="150">
        <f>+$W$5-Tabla2[[#This Row],[FECHA DE FACTURACIÓN]]</f>
        <v>51</v>
      </c>
      <c r="U1972" t="str">
        <f>+IF(Tabla2[[#This Row],[dias de credito]]&gt;=Tabla2[[#This Row],[PLAZO Días]],"venc", "No venc")</f>
        <v>venc</v>
      </c>
      <c r="V1972" t="str">
        <f>+IF(Tabla2[[#This Row],[FECHA DE PAGO]]&gt;0,"pagada","por pagar")</f>
        <v>por pagar</v>
      </c>
      <c r="W1972" s="152" t="str">
        <f>+IF(AND(Tabla2[[#This Row],[venc]]="venc",Tabla2[[#This Row],[Columna1]]="por pagar"),"vencida","no")</f>
        <v>vencida</v>
      </c>
    </row>
    <row r="1973" spans="1:23" x14ac:dyDescent="0.3">
      <c r="A1973">
        <v>45</v>
      </c>
      <c r="B1973">
        <v>7497238</v>
      </c>
      <c r="D1973" t="s">
        <v>272</v>
      </c>
      <c r="F1973" t="s">
        <v>10</v>
      </c>
      <c r="G1973" s="156">
        <v>44783</v>
      </c>
      <c r="H1973" t="s">
        <v>1741</v>
      </c>
      <c r="I1973">
        <v>2490000</v>
      </c>
      <c r="K1973">
        <v>473100</v>
      </c>
      <c r="M1973">
        <v>0</v>
      </c>
      <c r="N1973">
        <v>0</v>
      </c>
      <c r="O1973">
        <v>0</v>
      </c>
      <c r="P1973" s="117">
        <v>2963100</v>
      </c>
      <c r="Q1973" s="117" t="s">
        <v>1022</v>
      </c>
      <c r="R1973" s="150">
        <v>14</v>
      </c>
      <c r="S1973" s="117" t="b">
        <f>OR(COUNTIF(Tabla2[[#This Row],[PROVEEDOR]],"*"&amp;'Palabra no opera'!$A$2&amp;"*"))</f>
        <v>0</v>
      </c>
      <c r="T1973" s="150">
        <f>+$W$5-Tabla2[[#This Row],[FECHA DE FACTURACIÓN]]</f>
        <v>51</v>
      </c>
      <c r="U1973" t="str">
        <f>+IF(Tabla2[[#This Row],[dias de credito]]&gt;=Tabla2[[#This Row],[PLAZO Días]],"venc", "No venc")</f>
        <v>venc</v>
      </c>
      <c r="V1973" t="str">
        <f>+IF(Tabla2[[#This Row],[FECHA DE PAGO]]&gt;0,"pagada","por pagar")</f>
        <v>por pagar</v>
      </c>
      <c r="W1973" s="152" t="str">
        <f>+IF(AND(Tabla2[[#This Row],[venc]]="venc",Tabla2[[#This Row],[Columna1]]="por pagar"),"vencida","no")</f>
        <v>vencida</v>
      </c>
    </row>
    <row r="1974" spans="1:23" x14ac:dyDescent="0.3">
      <c r="A1974">
        <v>30</v>
      </c>
      <c r="B1974">
        <v>1513031.5174999998</v>
      </c>
      <c r="D1974" t="s">
        <v>266</v>
      </c>
      <c r="F1974" t="s">
        <v>16</v>
      </c>
      <c r="G1974" s="156">
        <v>44782</v>
      </c>
      <c r="H1974">
        <v>5121</v>
      </c>
      <c r="I1974">
        <v>1298739.5</v>
      </c>
      <c r="K1974">
        <v>246760.505</v>
      </c>
      <c r="M1974">
        <v>0</v>
      </c>
      <c r="N1974">
        <v>2.5000000000000001E-2</v>
      </c>
      <c r="O1974">
        <v>32468.487500000003</v>
      </c>
      <c r="P1974" s="117">
        <v>1513031.5174999998</v>
      </c>
      <c r="Q1974" s="117" t="s">
        <v>1022</v>
      </c>
      <c r="R1974" s="150">
        <v>30</v>
      </c>
      <c r="S1974" s="117" t="b">
        <f>OR(COUNTIF(Tabla2[[#This Row],[PROVEEDOR]],"*"&amp;'Palabra no opera'!$A$2&amp;"*"))</f>
        <v>0</v>
      </c>
      <c r="T1974" s="150">
        <f>+$W$5-Tabla2[[#This Row],[FECHA DE FACTURACIÓN]]</f>
        <v>52</v>
      </c>
      <c r="U1974" t="str">
        <f>+IF(Tabla2[[#This Row],[dias de credito]]&gt;=Tabla2[[#This Row],[PLAZO Días]],"venc", "No venc")</f>
        <v>venc</v>
      </c>
      <c r="V1974" t="str">
        <f>+IF(Tabla2[[#This Row],[FECHA DE PAGO]]&gt;0,"pagada","por pagar")</f>
        <v>por pagar</v>
      </c>
      <c r="W1974" s="152" t="str">
        <f>+IF(AND(Tabla2[[#This Row],[venc]]="venc",Tabla2[[#This Row],[Columna1]]="por pagar"),"vencida","no")</f>
        <v>vencida</v>
      </c>
    </row>
    <row r="1975" spans="1:23" x14ac:dyDescent="0.3">
      <c r="A1975">
        <v>30</v>
      </c>
      <c r="B1975">
        <v>3450150</v>
      </c>
      <c r="D1975" t="s">
        <v>402</v>
      </c>
      <c r="F1975" t="s">
        <v>691</v>
      </c>
      <c r="G1975" s="156">
        <v>44781</v>
      </c>
      <c r="H1975" t="s">
        <v>1444</v>
      </c>
      <c r="I1975">
        <v>3047250</v>
      </c>
      <c r="K1975">
        <v>0</v>
      </c>
      <c r="M1975">
        <v>0</v>
      </c>
      <c r="N1975">
        <v>0</v>
      </c>
      <c r="O1975">
        <v>0</v>
      </c>
      <c r="P1975" s="117">
        <v>3047250</v>
      </c>
      <c r="Q1975" s="117" t="s">
        <v>1022</v>
      </c>
      <c r="R1975" s="150">
        <v>31</v>
      </c>
      <c r="S1975" s="117" t="b">
        <f>OR(COUNTIF(Tabla2[[#This Row],[PROVEEDOR]],"*"&amp;'Palabra no opera'!$A$2&amp;"*"))</f>
        <v>0</v>
      </c>
      <c r="T1975" s="150">
        <f>+$W$5-Tabla2[[#This Row],[FECHA DE FACTURACIÓN]]</f>
        <v>53</v>
      </c>
      <c r="U1975" t="str">
        <f>+IF(Tabla2[[#This Row],[dias de credito]]&gt;=Tabla2[[#This Row],[PLAZO Días]],"venc", "No venc")</f>
        <v>venc</v>
      </c>
      <c r="V1975" t="str">
        <f>+IF(Tabla2[[#This Row],[FECHA DE PAGO]]&gt;0,"pagada","por pagar")</f>
        <v>por pagar</v>
      </c>
      <c r="W1975" s="152" t="str">
        <f>+IF(AND(Tabla2[[#This Row],[venc]]="venc",Tabla2[[#This Row],[Columna1]]="por pagar"),"vencida","no")</f>
        <v>vencida</v>
      </c>
    </row>
    <row r="1976" spans="1:23" x14ac:dyDescent="0.3">
      <c r="A1976">
        <v>30</v>
      </c>
      <c r="B1976">
        <v>3450150</v>
      </c>
      <c r="D1976" t="s">
        <v>402</v>
      </c>
      <c r="F1976" t="s">
        <v>691</v>
      </c>
      <c r="G1976" s="156">
        <v>44781</v>
      </c>
      <c r="H1976" t="s">
        <v>1431</v>
      </c>
      <c r="I1976">
        <v>49400</v>
      </c>
      <c r="K1976">
        <v>0</v>
      </c>
      <c r="M1976">
        <v>0</v>
      </c>
      <c r="N1976">
        <v>0</v>
      </c>
      <c r="O1976">
        <v>0</v>
      </c>
      <c r="P1976" s="117">
        <v>49400</v>
      </c>
      <c r="Q1976" s="117" t="s">
        <v>1022</v>
      </c>
      <c r="R1976" s="150">
        <v>31</v>
      </c>
      <c r="S1976" s="117" t="b">
        <f>OR(COUNTIF(Tabla2[[#This Row],[PROVEEDOR]],"*"&amp;'Palabra no opera'!$A$2&amp;"*"))</f>
        <v>0</v>
      </c>
      <c r="T1976" s="150">
        <f>+$W$5-Tabla2[[#This Row],[FECHA DE FACTURACIÓN]]</f>
        <v>53</v>
      </c>
      <c r="U1976" t="str">
        <f>+IF(Tabla2[[#This Row],[dias de credito]]&gt;=Tabla2[[#This Row],[PLAZO Días]],"venc", "No venc")</f>
        <v>venc</v>
      </c>
      <c r="V1976" t="str">
        <f>+IF(Tabla2[[#This Row],[FECHA DE PAGO]]&gt;0,"pagada","por pagar")</f>
        <v>por pagar</v>
      </c>
      <c r="W1976" s="152" t="str">
        <f>+IF(AND(Tabla2[[#This Row],[venc]]="venc",Tabla2[[#This Row],[Columna1]]="por pagar"),"vencida","no")</f>
        <v>vencida</v>
      </c>
    </row>
    <row r="1977" spans="1:23" x14ac:dyDescent="0.3">
      <c r="A1977">
        <v>30</v>
      </c>
      <c r="B1977">
        <v>3450150</v>
      </c>
      <c r="D1977" t="s">
        <v>402</v>
      </c>
      <c r="F1977" t="s">
        <v>691</v>
      </c>
      <c r="G1977" s="156">
        <v>44781</v>
      </c>
      <c r="H1977" t="s">
        <v>1445</v>
      </c>
      <c r="I1977">
        <v>353500</v>
      </c>
      <c r="K1977">
        <v>0</v>
      </c>
      <c r="M1977">
        <v>0</v>
      </c>
      <c r="N1977">
        <v>0</v>
      </c>
      <c r="O1977">
        <v>0</v>
      </c>
      <c r="P1977" s="117">
        <v>353500</v>
      </c>
      <c r="Q1977" s="117" t="s">
        <v>1022</v>
      </c>
      <c r="R1977" s="150">
        <v>31</v>
      </c>
      <c r="S1977" s="117" t="b">
        <f>OR(COUNTIF(Tabla2[[#This Row],[PROVEEDOR]],"*"&amp;'Palabra no opera'!$A$2&amp;"*"))</f>
        <v>0</v>
      </c>
      <c r="T1977" s="150">
        <f>+$W$5-Tabla2[[#This Row],[FECHA DE FACTURACIÓN]]</f>
        <v>53</v>
      </c>
      <c r="U1977" t="str">
        <f>+IF(Tabla2[[#This Row],[dias de credito]]&gt;=Tabla2[[#This Row],[PLAZO Días]],"venc", "No venc")</f>
        <v>venc</v>
      </c>
      <c r="V1977" t="str">
        <f>+IF(Tabla2[[#This Row],[FECHA DE PAGO]]&gt;0,"pagada","por pagar")</f>
        <v>por pagar</v>
      </c>
      <c r="W1977" s="152" t="str">
        <f>+IF(AND(Tabla2[[#This Row],[venc]]="venc",Tabla2[[#This Row],[Columna1]]="por pagar"),"vencida","no")</f>
        <v>vencida</v>
      </c>
    </row>
    <row r="1978" spans="1:23" x14ac:dyDescent="0.3">
      <c r="A1978">
        <v>30</v>
      </c>
      <c r="B1978">
        <v>660000.18000000005</v>
      </c>
      <c r="D1978" t="s">
        <v>1156</v>
      </c>
      <c r="F1978" t="s">
        <v>1155</v>
      </c>
      <c r="G1978" s="156">
        <v>44781</v>
      </c>
      <c r="H1978" t="s">
        <v>1176</v>
      </c>
      <c r="I1978">
        <v>554622</v>
      </c>
      <c r="K1978">
        <v>105378.18000000001</v>
      </c>
      <c r="M1978">
        <v>0</v>
      </c>
      <c r="N1978">
        <v>0</v>
      </c>
      <c r="O1978">
        <v>0</v>
      </c>
      <c r="P1978" s="117">
        <v>660000.18000000005</v>
      </c>
      <c r="Q1978" s="117" t="s">
        <v>1022</v>
      </c>
      <c r="R1978" s="150">
        <v>31</v>
      </c>
      <c r="S1978" s="117" t="b">
        <f>OR(COUNTIF(Tabla2[[#This Row],[PROVEEDOR]],"*"&amp;'Palabra no opera'!$A$2&amp;"*"))</f>
        <v>0</v>
      </c>
      <c r="T1978" s="150">
        <f>+$W$5-Tabla2[[#This Row],[FECHA DE FACTURACIÓN]]</f>
        <v>53</v>
      </c>
      <c r="U1978" t="str">
        <f>+IF(Tabla2[[#This Row],[dias de credito]]&gt;=Tabla2[[#This Row],[PLAZO Días]],"venc", "No venc")</f>
        <v>venc</v>
      </c>
      <c r="V1978" t="str">
        <f>+IF(Tabla2[[#This Row],[FECHA DE PAGO]]&gt;0,"pagada","por pagar")</f>
        <v>por pagar</v>
      </c>
      <c r="W1978" s="152" t="str">
        <f>+IF(AND(Tabla2[[#This Row],[venc]]="venc",Tabla2[[#This Row],[Columna1]]="por pagar"),"vencida","no")</f>
        <v>vencida</v>
      </c>
    </row>
    <row r="1979" spans="1:23" x14ac:dyDescent="0.3">
      <c r="A1979">
        <v>45</v>
      </c>
      <c r="B1979">
        <v>30078253.170000002</v>
      </c>
      <c r="D1979" t="s">
        <v>884</v>
      </c>
      <c r="F1979" t="s">
        <v>19</v>
      </c>
      <c r="G1979" s="156">
        <v>44781</v>
      </c>
      <c r="H1979" t="s">
        <v>1169</v>
      </c>
      <c r="I1979">
        <v>3323520</v>
      </c>
      <c r="K1979">
        <v>631468.80000000005</v>
      </c>
      <c r="M1979">
        <v>0</v>
      </c>
      <c r="N1979">
        <v>0</v>
      </c>
      <c r="O1979">
        <v>0</v>
      </c>
      <c r="P1979" s="117">
        <v>3954988.8</v>
      </c>
      <c r="Q1979" s="117" t="s">
        <v>1022</v>
      </c>
      <c r="R1979" s="150">
        <v>16</v>
      </c>
      <c r="S1979" s="117" t="b">
        <f>OR(COUNTIF(Tabla2[[#This Row],[PROVEEDOR]],"*"&amp;'Palabra no opera'!$A$2&amp;"*"))</f>
        <v>0</v>
      </c>
      <c r="T1979" s="150">
        <f>+$W$5-Tabla2[[#This Row],[FECHA DE FACTURACIÓN]]</f>
        <v>53</v>
      </c>
      <c r="U1979" t="str">
        <f>+IF(Tabla2[[#This Row],[dias de credito]]&gt;=Tabla2[[#This Row],[PLAZO Días]],"venc", "No venc")</f>
        <v>venc</v>
      </c>
      <c r="V1979" t="str">
        <f>+IF(Tabla2[[#This Row],[FECHA DE PAGO]]&gt;0,"pagada","por pagar")</f>
        <v>por pagar</v>
      </c>
      <c r="W1979" s="152" t="str">
        <f>+IF(AND(Tabla2[[#This Row],[venc]]="venc",Tabla2[[#This Row],[Columna1]]="por pagar"),"vencida","no")</f>
        <v>vencida</v>
      </c>
    </row>
    <row r="1980" spans="1:23" x14ac:dyDescent="0.3">
      <c r="A1980">
        <v>30</v>
      </c>
      <c r="B1980">
        <v>27452.91</v>
      </c>
      <c r="D1980" t="s">
        <v>949</v>
      </c>
      <c r="F1980" t="s">
        <v>118</v>
      </c>
      <c r="G1980" s="156">
        <v>44778</v>
      </c>
      <c r="H1980" t="s">
        <v>1163</v>
      </c>
      <c r="I1980">
        <v>27452.91</v>
      </c>
      <c r="K1980">
        <v>0</v>
      </c>
      <c r="M1980">
        <v>0</v>
      </c>
      <c r="N1980">
        <v>0</v>
      </c>
      <c r="O1980">
        <v>0</v>
      </c>
      <c r="P1980" s="117">
        <v>27452.91</v>
      </c>
      <c r="Q1980" s="117" t="s">
        <v>1022</v>
      </c>
      <c r="R1980" s="150">
        <v>34</v>
      </c>
      <c r="S1980" s="117" t="b">
        <f>OR(COUNTIF(Tabla2[[#This Row],[PROVEEDOR]],"*"&amp;'Palabra no opera'!$A$2&amp;"*"))</f>
        <v>0</v>
      </c>
      <c r="T1980" s="150">
        <f>+$W$5-Tabla2[[#This Row],[FECHA DE FACTURACIÓN]]</f>
        <v>56</v>
      </c>
      <c r="U1980" t="str">
        <f>+IF(Tabla2[[#This Row],[dias de credito]]&gt;=Tabla2[[#This Row],[PLAZO Días]],"venc", "No venc")</f>
        <v>venc</v>
      </c>
      <c r="V1980" t="str">
        <f>+IF(Tabla2[[#This Row],[FECHA DE PAGO]]&gt;0,"pagada","por pagar")</f>
        <v>por pagar</v>
      </c>
      <c r="W1980" s="152" t="str">
        <f>+IF(AND(Tabla2[[#This Row],[venc]]="venc",Tabla2[[#This Row],[Columna1]]="por pagar"),"vencida","no")</f>
        <v>vencida</v>
      </c>
    </row>
    <row r="1981" spans="1:23" x14ac:dyDescent="0.3">
      <c r="A1981">
        <v>45</v>
      </c>
      <c r="B1981">
        <v>7497238</v>
      </c>
      <c r="D1981" t="s">
        <v>272</v>
      </c>
      <c r="F1981" t="s">
        <v>10</v>
      </c>
      <c r="G1981" s="156">
        <v>44774</v>
      </c>
      <c r="H1981" t="s">
        <v>1742</v>
      </c>
      <c r="I1981">
        <v>1185000</v>
      </c>
      <c r="K1981">
        <v>225150</v>
      </c>
      <c r="M1981">
        <v>0</v>
      </c>
      <c r="N1981">
        <v>0</v>
      </c>
      <c r="O1981">
        <v>0</v>
      </c>
      <c r="P1981" s="117">
        <v>1410150</v>
      </c>
      <c r="Q1981" s="117" t="s">
        <v>1022</v>
      </c>
      <c r="R1981" s="150">
        <v>23</v>
      </c>
      <c r="S1981" s="117" t="b">
        <f>OR(COUNTIF(Tabla2[[#This Row],[PROVEEDOR]],"*"&amp;'Palabra no opera'!$A$2&amp;"*"))</f>
        <v>0</v>
      </c>
      <c r="T1981" s="150">
        <f>+$W$5-Tabla2[[#This Row],[FECHA DE FACTURACIÓN]]</f>
        <v>60</v>
      </c>
      <c r="U1981" t="str">
        <f>+IF(Tabla2[[#This Row],[dias de credito]]&gt;=Tabla2[[#This Row],[PLAZO Días]],"venc", "No venc")</f>
        <v>venc</v>
      </c>
      <c r="V1981" t="str">
        <f>+IF(Tabla2[[#This Row],[FECHA DE PAGO]]&gt;0,"pagada","por pagar")</f>
        <v>por pagar</v>
      </c>
      <c r="W1981" s="152" t="str">
        <f>+IF(AND(Tabla2[[#This Row],[venc]]="venc",Tabla2[[#This Row],[Columna1]]="por pagar"),"vencida","no")</f>
        <v>vencida</v>
      </c>
    </row>
    <row r="1982" spans="1:23" x14ac:dyDescent="0.3">
      <c r="A1982">
        <v>30</v>
      </c>
      <c r="B1982">
        <v>2111011.8149999999</v>
      </c>
      <c r="D1982" t="s">
        <v>251</v>
      </c>
      <c r="F1982" t="s">
        <v>216</v>
      </c>
      <c r="G1982" s="156">
        <v>44768</v>
      </c>
      <c r="H1982">
        <v>651</v>
      </c>
      <c r="I1982">
        <v>1657982</v>
      </c>
      <c r="K1982">
        <v>315016.58</v>
      </c>
      <c r="M1982">
        <v>0</v>
      </c>
      <c r="N1982">
        <v>2.5000000000000001E-2</v>
      </c>
      <c r="O1982">
        <v>41449.550000000003</v>
      </c>
      <c r="P1982" s="117">
        <v>1931549.03</v>
      </c>
      <c r="Q1982" s="117" t="s">
        <v>1022</v>
      </c>
      <c r="R1982" s="150">
        <v>44</v>
      </c>
      <c r="S1982" s="117" t="b">
        <f>OR(COUNTIF(Tabla2[[#This Row],[PROVEEDOR]],"*"&amp;'Palabra no opera'!$A$2&amp;"*"))</f>
        <v>0</v>
      </c>
      <c r="T1982" s="150">
        <f>+$W$5-Tabla2[[#This Row],[FECHA DE FACTURACIÓN]]</f>
        <v>66</v>
      </c>
      <c r="U1982" t="str">
        <f>+IF(Tabla2[[#This Row],[dias de credito]]&gt;=Tabla2[[#This Row],[PLAZO Días]],"venc", "No venc")</f>
        <v>venc</v>
      </c>
      <c r="V1982" t="str">
        <f>+IF(Tabla2[[#This Row],[FECHA DE PAGO]]&gt;0,"pagada","por pagar")</f>
        <v>por pagar</v>
      </c>
      <c r="W1982" s="152" t="str">
        <f>+IF(AND(Tabla2[[#This Row],[venc]]="venc",Tabla2[[#This Row],[Columna1]]="por pagar"),"vencida","no")</f>
        <v>vencida</v>
      </c>
    </row>
    <row r="1983" spans="1:23" x14ac:dyDescent="0.3">
      <c r="A1983">
        <v>30</v>
      </c>
      <c r="B1983">
        <v>9283483.0749999993</v>
      </c>
      <c r="D1983" t="s">
        <v>476</v>
      </c>
      <c r="F1983" t="s">
        <v>218</v>
      </c>
      <c r="G1983" s="156">
        <v>44767</v>
      </c>
      <c r="H1983">
        <v>73</v>
      </c>
      <c r="I1983">
        <v>4178265</v>
      </c>
      <c r="K1983">
        <v>793870.35</v>
      </c>
      <c r="M1983">
        <v>0</v>
      </c>
      <c r="N1983">
        <v>2.5000000000000001E-2</v>
      </c>
      <c r="O1983">
        <v>104456.625</v>
      </c>
      <c r="P1983" s="117">
        <v>4867678.7249999996</v>
      </c>
      <c r="Q1983" s="117" t="s">
        <v>1022</v>
      </c>
      <c r="R1983" s="150">
        <v>45</v>
      </c>
      <c r="S1983" s="117" t="b">
        <f>OR(COUNTIF(Tabla2[[#This Row],[PROVEEDOR]],"*"&amp;'Palabra no opera'!$A$2&amp;"*"))</f>
        <v>0</v>
      </c>
      <c r="T1983" s="150">
        <f>+$W$5-Tabla2[[#This Row],[FECHA DE FACTURACIÓN]]</f>
        <v>67</v>
      </c>
      <c r="U1983" t="str">
        <f>+IF(Tabla2[[#This Row],[dias de credito]]&gt;=Tabla2[[#This Row],[PLAZO Días]],"venc", "No venc")</f>
        <v>venc</v>
      </c>
      <c r="V1983" t="str">
        <f>+IF(Tabla2[[#This Row],[FECHA DE PAGO]]&gt;0,"pagada","por pagar")</f>
        <v>por pagar</v>
      </c>
      <c r="W1983" s="152" t="str">
        <f>+IF(AND(Tabla2[[#This Row],[venc]]="venc",Tabla2[[#This Row],[Columna1]]="por pagar"),"vencida","no")</f>
        <v>vencida</v>
      </c>
    </row>
    <row r="1984" spans="1:23" x14ac:dyDescent="0.3">
      <c r="A1984">
        <v>30</v>
      </c>
      <c r="B1984">
        <v>9283483.0749999993</v>
      </c>
      <c r="D1984" t="s">
        <v>476</v>
      </c>
      <c r="F1984" t="s">
        <v>218</v>
      </c>
      <c r="G1984" s="156">
        <v>44767</v>
      </c>
      <c r="H1984">
        <v>74</v>
      </c>
      <c r="I1984">
        <v>3790390</v>
      </c>
      <c r="K1984">
        <v>720174.1</v>
      </c>
      <c r="M1984">
        <v>0</v>
      </c>
      <c r="N1984">
        <v>2.5000000000000001E-2</v>
      </c>
      <c r="O1984">
        <v>94759.75</v>
      </c>
      <c r="P1984" s="117">
        <v>4415804.3499999996</v>
      </c>
      <c r="Q1984" s="117" t="s">
        <v>1022</v>
      </c>
      <c r="R1984" s="150">
        <v>45</v>
      </c>
      <c r="S1984" s="117" t="b">
        <f>OR(COUNTIF(Tabla2[[#This Row],[PROVEEDOR]],"*"&amp;'Palabra no opera'!$A$2&amp;"*"))</f>
        <v>0</v>
      </c>
      <c r="T1984" s="150">
        <f>+$W$5-Tabla2[[#This Row],[FECHA DE FACTURACIÓN]]</f>
        <v>67</v>
      </c>
      <c r="U1984" t="str">
        <f>+IF(Tabla2[[#This Row],[dias de credito]]&gt;=Tabla2[[#This Row],[PLAZO Días]],"venc", "No venc")</f>
        <v>venc</v>
      </c>
      <c r="V1984" t="str">
        <f>+IF(Tabla2[[#This Row],[FECHA DE PAGO]]&gt;0,"pagada","por pagar")</f>
        <v>por pagar</v>
      </c>
      <c r="W1984" s="152" t="str">
        <f>+IF(AND(Tabla2[[#This Row],[venc]]="venc",Tabla2[[#This Row],[Columna1]]="por pagar"),"vencida","no")</f>
        <v>vencida</v>
      </c>
    </row>
    <row r="1985" spans="1:23" x14ac:dyDescent="0.3">
      <c r="A1985">
        <v>30</v>
      </c>
      <c r="B1985">
        <v>9201606.4000000004</v>
      </c>
      <c r="D1985" t="s">
        <v>476</v>
      </c>
      <c r="F1985" t="s">
        <v>407</v>
      </c>
      <c r="G1985" s="156">
        <v>44767</v>
      </c>
      <c r="H1985">
        <v>157</v>
      </c>
      <c r="I1985">
        <v>4849845</v>
      </c>
      <c r="K1985">
        <v>921470.55</v>
      </c>
      <c r="M1985">
        <v>0</v>
      </c>
      <c r="N1985">
        <v>2.5000000000000001E-2</v>
      </c>
      <c r="O1985">
        <v>121246.125</v>
      </c>
      <c r="P1985" s="117">
        <v>5650069.4249999998</v>
      </c>
      <c r="Q1985" s="117" t="s">
        <v>1022</v>
      </c>
      <c r="R1985" s="150">
        <v>45</v>
      </c>
      <c r="S1985" s="117" t="b">
        <f>OR(COUNTIF(Tabla2[[#This Row],[PROVEEDOR]],"*"&amp;'Palabra no opera'!$A$2&amp;"*"))</f>
        <v>0</v>
      </c>
      <c r="T1985" s="150">
        <f>+$W$5-Tabla2[[#This Row],[FECHA DE FACTURACIÓN]]</f>
        <v>67</v>
      </c>
      <c r="U1985" t="str">
        <f>+IF(Tabla2[[#This Row],[dias de credito]]&gt;=Tabla2[[#This Row],[PLAZO Días]],"venc", "No venc")</f>
        <v>venc</v>
      </c>
      <c r="V1985" t="str">
        <f>+IF(Tabla2[[#This Row],[FECHA DE PAGO]]&gt;0,"pagada","por pagar")</f>
        <v>por pagar</v>
      </c>
      <c r="W1985" s="152" t="str">
        <f>+IF(AND(Tabla2[[#This Row],[venc]]="venc",Tabla2[[#This Row],[Columna1]]="por pagar"),"vencida","no")</f>
        <v>vencida</v>
      </c>
    </row>
    <row r="1986" spans="1:23" x14ac:dyDescent="0.3">
      <c r="A1986">
        <v>30</v>
      </c>
      <c r="B1986">
        <v>9201606.4000000004</v>
      </c>
      <c r="D1986" t="s">
        <v>476</v>
      </c>
      <c r="F1986" t="s">
        <v>407</v>
      </c>
      <c r="G1986" s="156">
        <v>44767</v>
      </c>
      <c r="H1986">
        <v>158</v>
      </c>
      <c r="I1986">
        <v>2062515</v>
      </c>
      <c r="K1986">
        <v>391877.85</v>
      </c>
      <c r="M1986">
        <v>0</v>
      </c>
      <c r="N1986">
        <v>2.5000000000000001E-2</v>
      </c>
      <c r="O1986">
        <v>51562.875</v>
      </c>
      <c r="P1986" s="117">
        <v>2402829.9750000001</v>
      </c>
      <c r="Q1986" s="117" t="s">
        <v>1022</v>
      </c>
      <c r="R1986" s="150">
        <v>45</v>
      </c>
      <c r="S1986" s="117" t="b">
        <f>OR(COUNTIF(Tabla2[[#This Row],[PROVEEDOR]],"*"&amp;'Palabra no opera'!$A$2&amp;"*"))</f>
        <v>0</v>
      </c>
      <c r="T1986" s="150">
        <f>+$W$5-Tabla2[[#This Row],[FECHA DE FACTURACIÓN]]</f>
        <v>67</v>
      </c>
      <c r="U1986" t="str">
        <f>+IF(Tabla2[[#This Row],[dias de credito]]&gt;=Tabla2[[#This Row],[PLAZO Días]],"venc", "No venc")</f>
        <v>venc</v>
      </c>
      <c r="V1986" t="str">
        <f>+IF(Tabla2[[#This Row],[FECHA DE PAGO]]&gt;0,"pagada","por pagar")</f>
        <v>por pagar</v>
      </c>
      <c r="W1986" s="152" t="str">
        <f>+IF(AND(Tabla2[[#This Row],[venc]]="venc",Tabla2[[#This Row],[Columna1]]="por pagar"),"vencida","no")</f>
        <v>vencida</v>
      </c>
    </row>
    <row r="1987" spans="1:23" x14ac:dyDescent="0.3">
      <c r="A1987">
        <v>30</v>
      </c>
      <c r="B1987">
        <v>2324000</v>
      </c>
      <c r="D1987" t="s">
        <v>251</v>
      </c>
      <c r="F1987" t="s">
        <v>699</v>
      </c>
      <c r="G1987" s="156">
        <v>44765</v>
      </c>
      <c r="H1987" t="s">
        <v>1622</v>
      </c>
      <c r="I1987">
        <v>780000</v>
      </c>
      <c r="K1987">
        <v>0</v>
      </c>
      <c r="M1987">
        <v>0</v>
      </c>
      <c r="N1987">
        <v>0</v>
      </c>
      <c r="O1987">
        <v>0</v>
      </c>
      <c r="P1987" s="117">
        <v>780000</v>
      </c>
      <c r="Q1987" s="117" t="s">
        <v>1022</v>
      </c>
      <c r="R1987" s="150">
        <v>47</v>
      </c>
      <c r="S1987" s="117" t="b">
        <f>OR(COUNTIF(Tabla2[[#This Row],[PROVEEDOR]],"*"&amp;'Palabra no opera'!$A$2&amp;"*"))</f>
        <v>0</v>
      </c>
      <c r="T1987" s="150">
        <f>+$W$5-Tabla2[[#This Row],[FECHA DE FACTURACIÓN]]</f>
        <v>69</v>
      </c>
      <c r="U1987" t="str">
        <f>+IF(Tabla2[[#This Row],[dias de credito]]&gt;=Tabla2[[#This Row],[PLAZO Días]],"venc", "No venc")</f>
        <v>venc</v>
      </c>
      <c r="V1987" t="str">
        <f>+IF(Tabla2[[#This Row],[FECHA DE PAGO]]&gt;0,"pagada","por pagar")</f>
        <v>por pagar</v>
      </c>
      <c r="W1987" s="152" t="str">
        <f>+IF(AND(Tabla2[[#This Row],[venc]]="venc",Tabla2[[#This Row],[Columna1]]="por pagar"),"vencida","no")</f>
        <v>vencida</v>
      </c>
    </row>
    <row r="1988" spans="1:23" x14ac:dyDescent="0.3">
      <c r="A1988">
        <v>30</v>
      </c>
      <c r="B1988">
        <v>2324000</v>
      </c>
      <c r="D1988" t="s">
        <v>251</v>
      </c>
      <c r="F1988" t="s">
        <v>699</v>
      </c>
      <c r="G1988" s="156">
        <v>44765</v>
      </c>
      <c r="H1988" t="s">
        <v>1623</v>
      </c>
      <c r="I1988">
        <v>190000</v>
      </c>
      <c r="K1988">
        <v>0</v>
      </c>
      <c r="M1988">
        <v>0</v>
      </c>
      <c r="N1988">
        <v>0</v>
      </c>
      <c r="O1988">
        <v>0</v>
      </c>
      <c r="P1988" s="117">
        <v>190000</v>
      </c>
      <c r="Q1988" s="117" t="s">
        <v>1022</v>
      </c>
      <c r="R1988" s="150">
        <v>47</v>
      </c>
      <c r="S1988" s="117" t="b">
        <f>OR(COUNTIF(Tabla2[[#This Row],[PROVEEDOR]],"*"&amp;'Palabra no opera'!$A$2&amp;"*"))</f>
        <v>0</v>
      </c>
      <c r="T1988" s="150">
        <f>+$W$5-Tabla2[[#This Row],[FECHA DE FACTURACIÓN]]</f>
        <v>69</v>
      </c>
      <c r="U1988" t="str">
        <f>+IF(Tabla2[[#This Row],[dias de credito]]&gt;=Tabla2[[#This Row],[PLAZO Días]],"venc", "No venc")</f>
        <v>venc</v>
      </c>
      <c r="V1988" t="str">
        <f>+IF(Tabla2[[#This Row],[FECHA DE PAGO]]&gt;0,"pagada","por pagar")</f>
        <v>por pagar</v>
      </c>
      <c r="W1988" s="152" t="str">
        <f>+IF(AND(Tabla2[[#This Row],[venc]]="venc",Tabla2[[#This Row],[Columna1]]="por pagar"),"vencida","no")</f>
        <v>vencida</v>
      </c>
    </row>
    <row r="1989" spans="1:23" x14ac:dyDescent="0.3">
      <c r="A1989">
        <v>30</v>
      </c>
      <c r="B1989">
        <v>2516204.2100999998</v>
      </c>
      <c r="D1989" t="s">
        <v>261</v>
      </c>
      <c r="F1989" t="s">
        <v>512</v>
      </c>
      <c r="G1989" s="156">
        <v>44765</v>
      </c>
      <c r="H1989">
        <v>1082</v>
      </c>
      <c r="I1989">
        <v>1072689.08</v>
      </c>
      <c r="K1989">
        <v>203810.92520000003</v>
      </c>
      <c r="M1989">
        <v>0</v>
      </c>
      <c r="N1989">
        <v>2.5000000000000001E-2</v>
      </c>
      <c r="O1989">
        <v>26817.227000000003</v>
      </c>
      <c r="P1989" s="117">
        <v>1249682.7782000001</v>
      </c>
      <c r="Q1989" s="117" t="s">
        <v>1022</v>
      </c>
      <c r="R1989" s="150">
        <v>47</v>
      </c>
      <c r="S1989" s="117" t="b">
        <f>OR(COUNTIF(Tabla2[[#This Row],[PROVEEDOR]],"*"&amp;'Palabra no opera'!$A$2&amp;"*"))</f>
        <v>0</v>
      </c>
      <c r="T1989" s="150">
        <f>+$W$5-Tabla2[[#This Row],[FECHA DE FACTURACIÓN]]</f>
        <v>69</v>
      </c>
      <c r="U1989" t="str">
        <f>+IF(Tabla2[[#This Row],[dias de credito]]&gt;=Tabla2[[#This Row],[PLAZO Días]],"venc", "No venc")</f>
        <v>venc</v>
      </c>
      <c r="V1989" t="str">
        <f>+IF(Tabla2[[#This Row],[FECHA DE PAGO]]&gt;0,"pagada","por pagar")</f>
        <v>por pagar</v>
      </c>
      <c r="W1989" s="152" t="str">
        <f>+IF(AND(Tabla2[[#This Row],[venc]]="venc",Tabla2[[#This Row],[Columna1]]="por pagar"),"vencida","no")</f>
        <v>vencida</v>
      </c>
    </row>
    <row r="1990" spans="1:23" x14ac:dyDescent="0.3">
      <c r="A1990">
        <v>30</v>
      </c>
      <c r="B1990">
        <v>8190204</v>
      </c>
      <c r="D1990" t="s">
        <v>263</v>
      </c>
      <c r="F1990" t="s">
        <v>1637</v>
      </c>
      <c r="G1990" s="156">
        <v>44763</v>
      </c>
      <c r="H1990">
        <v>26711</v>
      </c>
      <c r="I1990">
        <v>453600</v>
      </c>
      <c r="K1990">
        <v>86184</v>
      </c>
      <c r="M1990">
        <v>0</v>
      </c>
      <c r="N1990">
        <v>0</v>
      </c>
      <c r="O1990">
        <v>0</v>
      </c>
      <c r="P1990" s="117">
        <v>539784</v>
      </c>
      <c r="Q1990" s="117" t="s">
        <v>1022</v>
      </c>
      <c r="R1990" s="150">
        <v>49</v>
      </c>
      <c r="S1990" s="117" t="b">
        <f>OR(COUNTIF(Tabla2[[#This Row],[PROVEEDOR]],"*"&amp;'Palabra no opera'!$A$2&amp;"*"))</f>
        <v>0</v>
      </c>
      <c r="T1990" s="150">
        <f>+$W$5-Tabla2[[#This Row],[FECHA DE FACTURACIÓN]]</f>
        <v>71</v>
      </c>
      <c r="U1990" t="str">
        <f>+IF(Tabla2[[#This Row],[dias de credito]]&gt;=Tabla2[[#This Row],[PLAZO Días]],"venc", "No venc")</f>
        <v>venc</v>
      </c>
      <c r="V1990" t="str">
        <f>+IF(Tabla2[[#This Row],[FECHA DE PAGO]]&gt;0,"pagada","por pagar")</f>
        <v>por pagar</v>
      </c>
      <c r="W1990" s="152" t="str">
        <f>+IF(AND(Tabla2[[#This Row],[venc]]="venc",Tabla2[[#This Row],[Columna1]]="por pagar"),"vencida","no")</f>
        <v>vencida</v>
      </c>
    </row>
    <row r="1991" spans="1:23" x14ac:dyDescent="0.3">
      <c r="A1991">
        <v>30</v>
      </c>
      <c r="B1991">
        <v>3921000</v>
      </c>
      <c r="D1991" t="s">
        <v>139</v>
      </c>
      <c r="F1991" t="s">
        <v>671</v>
      </c>
      <c r="G1991" s="156">
        <v>44761</v>
      </c>
      <c r="H1991" t="s">
        <v>1392</v>
      </c>
      <c r="I1991">
        <v>3921000</v>
      </c>
      <c r="K1991">
        <v>0</v>
      </c>
      <c r="M1991">
        <v>0</v>
      </c>
      <c r="N1991">
        <v>0</v>
      </c>
      <c r="O1991">
        <v>0</v>
      </c>
      <c r="P1991" s="117">
        <v>3921000</v>
      </c>
      <c r="Q1991" s="117" t="s">
        <v>1022</v>
      </c>
      <c r="R1991" s="150">
        <v>51</v>
      </c>
      <c r="S1991" s="117" t="b">
        <f>OR(COUNTIF(Tabla2[[#This Row],[PROVEEDOR]],"*"&amp;'Palabra no opera'!$A$2&amp;"*"))</f>
        <v>0</v>
      </c>
      <c r="T1991" s="150">
        <f>+$W$5-Tabla2[[#This Row],[FECHA DE FACTURACIÓN]]</f>
        <v>73</v>
      </c>
      <c r="U1991" t="str">
        <f>+IF(Tabla2[[#This Row],[dias de credito]]&gt;=Tabla2[[#This Row],[PLAZO Días]],"venc", "No venc")</f>
        <v>venc</v>
      </c>
      <c r="V1991" t="str">
        <f>+IF(Tabla2[[#This Row],[FECHA DE PAGO]]&gt;0,"pagada","por pagar")</f>
        <v>por pagar</v>
      </c>
      <c r="W1991" s="152" t="str">
        <f>+IF(AND(Tabla2[[#This Row],[venc]]="venc",Tabla2[[#This Row],[Columna1]]="por pagar"),"vencida","no")</f>
        <v>vencida</v>
      </c>
    </row>
    <row r="1992" spans="1:23" x14ac:dyDescent="0.3">
      <c r="A1992">
        <v>90</v>
      </c>
      <c r="B1992">
        <v>64586412</v>
      </c>
      <c r="D1992" t="s">
        <v>368</v>
      </c>
      <c r="F1992" t="s">
        <v>31</v>
      </c>
      <c r="G1992" s="156">
        <v>44761</v>
      </c>
      <c r="H1992">
        <v>57126</v>
      </c>
      <c r="I1992">
        <v>64586412</v>
      </c>
      <c r="K1992">
        <v>0</v>
      </c>
      <c r="M1992">
        <v>0</v>
      </c>
      <c r="N1992">
        <v>0</v>
      </c>
      <c r="O1992">
        <v>0</v>
      </c>
      <c r="P1992" s="117">
        <v>64586412</v>
      </c>
      <c r="Q1992" s="117" t="s">
        <v>1023</v>
      </c>
      <c r="R1992" s="150">
        <v>-9</v>
      </c>
      <c r="S1992" s="117" t="b">
        <f>OR(COUNTIF(Tabla2[[#This Row],[PROVEEDOR]],"*"&amp;'Palabra no opera'!$A$2&amp;"*"))</f>
        <v>0</v>
      </c>
      <c r="T1992" s="150">
        <f>+$W$5-Tabla2[[#This Row],[FECHA DE FACTURACIÓN]]</f>
        <v>73</v>
      </c>
      <c r="U1992" t="str">
        <f>+IF(Tabla2[[#This Row],[dias de credito]]&gt;=Tabla2[[#This Row],[PLAZO Días]],"venc", "No venc")</f>
        <v>No venc</v>
      </c>
      <c r="V1992" t="str">
        <f>+IF(Tabla2[[#This Row],[FECHA DE PAGO]]&gt;0,"pagada","por pagar")</f>
        <v>por pagar</v>
      </c>
      <c r="W1992" s="152" t="str">
        <f>+IF(AND(Tabla2[[#This Row],[venc]]="venc",Tabla2[[#This Row],[Columna1]]="por pagar"),"vencida","no")</f>
        <v>no</v>
      </c>
    </row>
    <row r="1993" spans="1:23" x14ac:dyDescent="0.3">
      <c r="A1993">
        <v>30</v>
      </c>
      <c r="B1993">
        <v>8190204</v>
      </c>
      <c r="D1993" t="s">
        <v>263</v>
      </c>
      <c r="F1993" t="s">
        <v>1637</v>
      </c>
      <c r="G1993" s="156">
        <v>44760</v>
      </c>
      <c r="H1993">
        <v>26699</v>
      </c>
      <c r="I1993">
        <v>2520000</v>
      </c>
      <c r="K1993">
        <v>478800</v>
      </c>
      <c r="M1993">
        <v>0</v>
      </c>
      <c r="N1993">
        <v>2.5000000000000001E-2</v>
      </c>
      <c r="O1993">
        <v>63000</v>
      </c>
      <c r="P1993" s="117">
        <v>2935800</v>
      </c>
      <c r="Q1993" s="117" t="s">
        <v>1022</v>
      </c>
      <c r="R1993" s="150">
        <v>52</v>
      </c>
      <c r="S1993" s="117" t="b">
        <f>OR(COUNTIF(Tabla2[[#This Row],[PROVEEDOR]],"*"&amp;'Palabra no opera'!$A$2&amp;"*"))</f>
        <v>0</v>
      </c>
      <c r="T1993" s="150">
        <f>+$W$5-Tabla2[[#This Row],[FECHA DE FACTURACIÓN]]</f>
        <v>74</v>
      </c>
      <c r="U1993" t="str">
        <f>+IF(Tabla2[[#This Row],[dias de credito]]&gt;=Tabla2[[#This Row],[PLAZO Días]],"venc", "No venc")</f>
        <v>venc</v>
      </c>
      <c r="V1993" t="str">
        <f>+IF(Tabla2[[#This Row],[FECHA DE PAGO]]&gt;0,"pagada","por pagar")</f>
        <v>por pagar</v>
      </c>
      <c r="W1993" s="152" t="str">
        <f>+IF(AND(Tabla2[[#This Row],[venc]]="venc",Tabla2[[#This Row],[Columna1]]="por pagar"),"vencida","no")</f>
        <v>vencida</v>
      </c>
    </row>
    <row r="1994" spans="1:23" x14ac:dyDescent="0.3">
      <c r="A1994">
        <v>30</v>
      </c>
      <c r="B1994">
        <v>146262.9</v>
      </c>
      <c r="C1994" t="s">
        <v>1140</v>
      </c>
      <c r="D1994" t="s">
        <v>262</v>
      </c>
      <c r="F1994" t="s">
        <v>17</v>
      </c>
      <c r="G1994" s="156">
        <v>44754</v>
      </c>
      <c r="H1994" t="s">
        <v>144</v>
      </c>
      <c r="I1994">
        <v>-93290</v>
      </c>
      <c r="K1994">
        <v>-17725.099999999999</v>
      </c>
      <c r="M1994">
        <v>0</v>
      </c>
      <c r="N1994">
        <v>0</v>
      </c>
      <c r="O1994">
        <v>0</v>
      </c>
      <c r="P1994" s="117">
        <v>-111015.1</v>
      </c>
      <c r="Q1994" s="117" t="s">
        <v>1022</v>
      </c>
      <c r="R1994" s="150">
        <v>58</v>
      </c>
      <c r="S1994" s="117" t="b">
        <f>OR(COUNTIF(Tabla2[[#This Row],[PROVEEDOR]],"*"&amp;'Palabra no opera'!$A$2&amp;"*"))</f>
        <v>0</v>
      </c>
      <c r="T1994" s="150">
        <f>+$W$5-Tabla2[[#This Row],[FECHA DE FACTURACIÓN]]</f>
        <v>80</v>
      </c>
      <c r="U1994" t="str">
        <f>+IF(Tabla2[[#This Row],[dias de credito]]&gt;=Tabla2[[#This Row],[PLAZO Días]],"venc", "No venc")</f>
        <v>venc</v>
      </c>
      <c r="V1994" t="str">
        <f>+IF(Tabla2[[#This Row],[FECHA DE PAGO]]&gt;0,"pagada","por pagar")</f>
        <v>por pagar</v>
      </c>
      <c r="W1994" s="152" t="str">
        <f>+IF(AND(Tabla2[[#This Row],[venc]]="venc",Tabla2[[#This Row],[Columna1]]="por pagar"),"vencida","no")</f>
        <v>vencida</v>
      </c>
    </row>
    <row r="1995" spans="1:23" x14ac:dyDescent="0.3">
      <c r="A1995">
        <v>90</v>
      </c>
      <c r="B1995">
        <v>18086014.540000003</v>
      </c>
      <c r="D1995" t="s">
        <v>271</v>
      </c>
      <c r="F1995" t="s">
        <v>9</v>
      </c>
      <c r="G1995" s="156">
        <v>44754</v>
      </c>
      <c r="H1995">
        <v>77683</v>
      </c>
      <c r="I1995">
        <v>15524476</v>
      </c>
      <c r="K1995">
        <v>2949650.44</v>
      </c>
      <c r="M1995">
        <v>0</v>
      </c>
      <c r="N1995">
        <v>2.5000000000000001E-2</v>
      </c>
      <c r="O1995">
        <v>388111.9</v>
      </c>
      <c r="P1995" s="117">
        <v>18086014.540000003</v>
      </c>
      <c r="Q1995" s="117" t="s">
        <v>1023</v>
      </c>
      <c r="R1995" s="150">
        <v>-2</v>
      </c>
      <c r="S1995" s="117" t="b">
        <f>OR(COUNTIF(Tabla2[[#This Row],[PROVEEDOR]],"*"&amp;'Palabra no opera'!$A$2&amp;"*"))</f>
        <v>0</v>
      </c>
      <c r="T1995" s="150">
        <f>+$W$5-Tabla2[[#This Row],[FECHA DE FACTURACIÓN]]</f>
        <v>80</v>
      </c>
      <c r="U1995" t="str">
        <f>+IF(Tabla2[[#This Row],[dias de credito]]&gt;=Tabla2[[#This Row],[PLAZO Días]],"venc", "No venc")</f>
        <v>No venc</v>
      </c>
      <c r="V1995" t="str">
        <f>+IF(Tabla2[[#This Row],[FECHA DE PAGO]]&gt;0,"pagada","por pagar")</f>
        <v>por pagar</v>
      </c>
      <c r="W1995" s="152" t="str">
        <f>+IF(AND(Tabla2[[#This Row],[venc]]="venc",Tabla2[[#This Row],[Columna1]]="por pagar"),"vencida","no")</f>
        <v>no</v>
      </c>
    </row>
    <row r="1996" spans="1:23" x14ac:dyDescent="0.3">
      <c r="A1996">
        <v>30</v>
      </c>
      <c r="B1996">
        <v>9756105</v>
      </c>
      <c r="D1996" t="s">
        <v>476</v>
      </c>
      <c r="F1996" t="s">
        <v>670</v>
      </c>
      <c r="G1996" s="156">
        <v>44751</v>
      </c>
      <c r="H1996" t="s">
        <v>1616</v>
      </c>
      <c r="I1996">
        <v>9756105</v>
      </c>
      <c r="K1996">
        <v>0</v>
      </c>
      <c r="M1996">
        <v>0</v>
      </c>
      <c r="N1996">
        <v>0</v>
      </c>
      <c r="O1996">
        <v>0</v>
      </c>
      <c r="P1996" s="117">
        <v>9756105</v>
      </c>
      <c r="Q1996" s="117" t="s">
        <v>1022</v>
      </c>
      <c r="R1996" s="150">
        <v>61</v>
      </c>
      <c r="S1996" s="117" t="b">
        <f>OR(COUNTIF(Tabla2[[#This Row],[PROVEEDOR]],"*"&amp;'Palabra no opera'!$A$2&amp;"*"))</f>
        <v>0</v>
      </c>
      <c r="T1996" s="150">
        <f>+$W$5-Tabla2[[#This Row],[FECHA DE FACTURACIÓN]]</f>
        <v>83</v>
      </c>
      <c r="U1996" t="str">
        <f>+IF(Tabla2[[#This Row],[dias de credito]]&gt;=Tabla2[[#This Row],[PLAZO Días]],"venc", "No venc")</f>
        <v>venc</v>
      </c>
      <c r="V1996" t="str">
        <f>+IF(Tabla2[[#This Row],[FECHA DE PAGO]]&gt;0,"pagada","por pagar")</f>
        <v>por pagar</v>
      </c>
      <c r="W1996" s="152" t="str">
        <f>+IF(AND(Tabla2[[#This Row],[venc]]="venc",Tabla2[[#This Row],[Columna1]]="por pagar"),"vencida","no")</f>
        <v>vencida</v>
      </c>
    </row>
    <row r="1997" spans="1:23" x14ac:dyDescent="0.3">
      <c r="A1997">
        <v>30</v>
      </c>
      <c r="B1997">
        <v>326474.88</v>
      </c>
      <c r="D1997" t="s">
        <v>949</v>
      </c>
      <c r="F1997" t="s">
        <v>345</v>
      </c>
      <c r="G1997" s="156">
        <v>44749</v>
      </c>
      <c r="H1997" t="s">
        <v>1102</v>
      </c>
      <c r="I1997">
        <v>0.88</v>
      </c>
      <c r="K1997">
        <v>0</v>
      </c>
      <c r="M1997">
        <v>0</v>
      </c>
      <c r="N1997">
        <v>0</v>
      </c>
      <c r="O1997">
        <v>0</v>
      </c>
      <c r="P1997" s="117">
        <v>0.88</v>
      </c>
      <c r="Q1997" s="117" t="s">
        <v>1022</v>
      </c>
      <c r="R1997" s="150">
        <v>63</v>
      </c>
      <c r="S1997" s="117" t="b">
        <f>OR(COUNTIF(Tabla2[[#This Row],[PROVEEDOR]],"*"&amp;'Palabra no opera'!$A$2&amp;"*"))</f>
        <v>0</v>
      </c>
      <c r="T1997" s="150">
        <f>+$W$5-Tabla2[[#This Row],[FECHA DE FACTURACIÓN]]</f>
        <v>85</v>
      </c>
      <c r="U1997" t="str">
        <f>+IF(Tabla2[[#This Row],[dias de credito]]&gt;=Tabla2[[#This Row],[PLAZO Días]],"venc", "No venc")</f>
        <v>venc</v>
      </c>
      <c r="V1997" t="str">
        <f>+IF(Tabla2[[#This Row],[FECHA DE PAGO]]&gt;0,"pagada","por pagar")</f>
        <v>por pagar</v>
      </c>
      <c r="W1997" s="152" t="str">
        <f>+IF(AND(Tabla2[[#This Row],[venc]]="venc",Tabla2[[#This Row],[Columna1]]="por pagar"),"vencida","no")</f>
        <v>vencida</v>
      </c>
    </row>
    <row r="1998" spans="1:23" x14ac:dyDescent="0.3">
      <c r="A1998">
        <v>90</v>
      </c>
      <c r="B1998">
        <v>124999.98</v>
      </c>
      <c r="D1998" t="s">
        <v>260</v>
      </c>
      <c r="F1998" t="s">
        <v>77</v>
      </c>
      <c r="G1998" s="156">
        <v>44729</v>
      </c>
      <c r="H1998" t="s">
        <v>1062</v>
      </c>
      <c r="I1998">
        <v>105042</v>
      </c>
      <c r="K1998">
        <v>19957.98</v>
      </c>
      <c r="M1998">
        <v>0</v>
      </c>
      <c r="N1998">
        <v>0</v>
      </c>
      <c r="O1998">
        <v>0</v>
      </c>
      <c r="P1998" s="117">
        <v>124999.98</v>
      </c>
      <c r="Q1998" s="117" t="s">
        <v>1022</v>
      </c>
      <c r="R1998" s="150">
        <v>23</v>
      </c>
      <c r="S1998" s="117" t="b">
        <f>OR(COUNTIF(Tabla2[[#This Row],[PROVEEDOR]],"*"&amp;'Palabra no opera'!$A$2&amp;"*"))</f>
        <v>0</v>
      </c>
      <c r="T1998" s="150">
        <f>+$W$5-Tabla2[[#This Row],[FECHA DE FACTURACIÓN]]</f>
        <v>105</v>
      </c>
      <c r="U1998" t="str">
        <f>+IF(Tabla2[[#This Row],[dias de credito]]&gt;=Tabla2[[#This Row],[PLAZO Días]],"venc", "No venc")</f>
        <v>venc</v>
      </c>
      <c r="V1998" t="str">
        <f>+IF(Tabla2[[#This Row],[FECHA DE PAGO]]&gt;0,"pagada","por pagar")</f>
        <v>por pagar</v>
      </c>
      <c r="W1998" s="152" t="str">
        <f>+IF(AND(Tabla2[[#This Row],[venc]]="venc",Tabla2[[#This Row],[Columna1]]="por pagar"),"vencida","no")</f>
        <v>vencida</v>
      </c>
    </row>
    <row r="1999" spans="1:23" x14ac:dyDescent="0.3">
      <c r="A1999">
        <v>30</v>
      </c>
      <c r="B1999">
        <v>9201606.4000000004</v>
      </c>
      <c r="D1999" t="s">
        <v>476</v>
      </c>
      <c r="F1999" t="s">
        <v>407</v>
      </c>
      <c r="G1999" s="156">
        <v>44720</v>
      </c>
      <c r="H1999">
        <v>150</v>
      </c>
      <c r="I1999">
        <v>965300</v>
      </c>
      <c r="K1999">
        <v>183407</v>
      </c>
      <c r="M1999">
        <v>0</v>
      </c>
      <c r="N1999">
        <v>0</v>
      </c>
      <c r="O1999">
        <v>0</v>
      </c>
      <c r="P1999" s="117">
        <v>1148707</v>
      </c>
      <c r="Q1999" s="117" t="s">
        <v>1022</v>
      </c>
      <c r="R1999" s="150">
        <v>92</v>
      </c>
      <c r="S1999" s="117" t="b">
        <f>OR(COUNTIF(Tabla2[[#This Row],[PROVEEDOR]],"*"&amp;'Palabra no opera'!$A$2&amp;"*"))</f>
        <v>0</v>
      </c>
      <c r="T1999" s="150">
        <f>+$W$5-Tabla2[[#This Row],[FECHA DE FACTURACIÓN]]</f>
        <v>114</v>
      </c>
      <c r="U1999" t="str">
        <f>+IF(Tabla2[[#This Row],[dias de credito]]&gt;=Tabla2[[#This Row],[PLAZO Días]],"venc", "No venc")</f>
        <v>venc</v>
      </c>
      <c r="V1999" t="str">
        <f>+IF(Tabla2[[#This Row],[FECHA DE PAGO]]&gt;0,"pagada","por pagar")</f>
        <v>por pagar</v>
      </c>
      <c r="W1999" s="152" t="str">
        <f>+IF(AND(Tabla2[[#This Row],[venc]]="venc",Tabla2[[#This Row],[Columna1]]="por pagar"),"vencida","no")</f>
        <v>vencida</v>
      </c>
    </row>
  </sheetData>
  <mergeCells count="1">
    <mergeCell ref="W1:W2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1358-EE24-413F-8F86-32ADF309E9EE}">
  <sheetPr codeName="Hoja1"/>
  <dimension ref="B1:J30"/>
  <sheetViews>
    <sheetView topLeftCell="C4" workbookViewId="0">
      <selection activeCell="F18" sqref="F18"/>
    </sheetView>
  </sheetViews>
  <sheetFormatPr defaultColWidth="11.5546875" defaultRowHeight="14.4" x14ac:dyDescent="0.3"/>
  <cols>
    <col min="2" max="2" width="33.44140625" customWidth="1"/>
    <col min="3" max="3" width="16.5546875" style="117" bestFit="1" customWidth="1"/>
    <col min="4" max="4" width="29.44140625" customWidth="1"/>
    <col min="5" max="5" width="28.6640625" bestFit="1" customWidth="1"/>
    <col min="6" max="6" width="25.109375" customWidth="1"/>
    <col min="7" max="7" width="14.6640625" customWidth="1"/>
    <col min="8" max="8" width="14.6640625" style="203" customWidth="1"/>
    <col min="9" max="9" width="18.6640625" style="203" customWidth="1"/>
    <col min="10" max="10" width="14.6640625" style="203" customWidth="1"/>
  </cols>
  <sheetData>
    <row r="1" spans="3:10" x14ac:dyDescent="0.3">
      <c r="C1"/>
    </row>
    <row r="2" spans="3:10" x14ac:dyDescent="0.3">
      <c r="C2"/>
    </row>
    <row r="3" spans="3:10" x14ac:dyDescent="0.3">
      <c r="C3"/>
    </row>
    <row r="4" spans="3:10" x14ac:dyDescent="0.3">
      <c r="C4"/>
      <c r="F4" s="180" t="s">
        <v>1662</v>
      </c>
      <c r="G4" s="180"/>
      <c r="H4" s="220" t="s">
        <v>1406</v>
      </c>
      <c r="I4" s="220" t="s">
        <v>101</v>
      </c>
      <c r="J4" s="220" t="s">
        <v>1660</v>
      </c>
    </row>
    <row r="5" spans="3:10" x14ac:dyDescent="0.3">
      <c r="C5"/>
      <c r="F5">
        <v>2555212532</v>
      </c>
      <c r="G5" s="117" t="s">
        <v>1659</v>
      </c>
      <c r="H5" s="203">
        <v>3687.69</v>
      </c>
      <c r="I5" s="203">
        <f>-H5</f>
        <v>-3687.69</v>
      </c>
      <c r="J5" s="203">
        <f>+H5+I5</f>
        <v>0</v>
      </c>
    </row>
    <row r="6" spans="3:10" x14ac:dyDescent="0.3">
      <c r="C6"/>
      <c r="F6">
        <v>2555235952</v>
      </c>
      <c r="G6" s="203" t="s">
        <v>1659</v>
      </c>
      <c r="H6" s="203">
        <v>14434.36</v>
      </c>
      <c r="I6" s="203">
        <f>+I7-I5</f>
        <v>-10312.31</v>
      </c>
      <c r="J6" s="203">
        <f>+H6+I6</f>
        <v>4122.0500000000011</v>
      </c>
    </row>
    <row r="7" spans="3:10" x14ac:dyDescent="0.3">
      <c r="F7" t="s">
        <v>1661</v>
      </c>
      <c r="I7" s="219">
        <v>-14000</v>
      </c>
    </row>
    <row r="8" spans="3:10" x14ac:dyDescent="0.3">
      <c r="C8"/>
      <c r="F8" s="117"/>
      <c r="G8" s="117"/>
    </row>
    <row r="9" spans="3:10" x14ac:dyDescent="0.3">
      <c r="C9"/>
      <c r="F9" s="117"/>
      <c r="G9" s="117"/>
    </row>
    <row r="10" spans="3:10" x14ac:dyDescent="0.3">
      <c r="C10"/>
      <c r="F10" s="117"/>
      <c r="G10" s="117"/>
    </row>
    <row r="11" spans="3:10" x14ac:dyDescent="0.3">
      <c r="C11"/>
    </row>
    <row r="12" spans="3:10" x14ac:dyDescent="0.3">
      <c r="C12"/>
    </row>
    <row r="13" spans="3:10" x14ac:dyDescent="0.3">
      <c r="C13" s="261" t="s">
        <v>1773</v>
      </c>
      <c r="D13" s="261" t="s">
        <v>209</v>
      </c>
      <c r="E13" s="261" t="s">
        <v>1406</v>
      </c>
      <c r="F13" s="261" t="s">
        <v>1774</v>
      </c>
      <c r="G13" s="261" t="s">
        <v>1775</v>
      </c>
      <c r="H13" s="262" t="s">
        <v>99</v>
      </c>
      <c r="J13"/>
    </row>
    <row r="14" spans="3:10" ht="30.75" customHeight="1" x14ac:dyDescent="0.3">
      <c r="C14" s="263">
        <v>44846</v>
      </c>
      <c r="D14" s="180" t="s">
        <v>823</v>
      </c>
      <c r="E14" s="264">
        <v>836346</v>
      </c>
      <c r="F14" s="264">
        <v>463654</v>
      </c>
      <c r="G14" s="264">
        <v>1300000</v>
      </c>
      <c r="H14" s="220">
        <v>-45529022.199762128</v>
      </c>
      <c r="J14"/>
    </row>
    <row r="15" spans="3:10" x14ac:dyDescent="0.3">
      <c r="C15"/>
      <c r="J15"/>
    </row>
    <row r="16" spans="3:10" x14ac:dyDescent="0.3">
      <c r="C16"/>
      <c r="J16"/>
    </row>
    <row r="17" spans="2:10" x14ac:dyDescent="0.3">
      <c r="C17"/>
      <c r="J17"/>
    </row>
    <row r="18" spans="2:10" x14ac:dyDescent="0.3">
      <c r="C18"/>
      <c r="J18"/>
    </row>
    <row r="19" spans="2:10" x14ac:dyDescent="0.3">
      <c r="C19"/>
    </row>
    <row r="20" spans="2:10" x14ac:dyDescent="0.3">
      <c r="B20" t="s">
        <v>1114</v>
      </c>
    </row>
    <row r="21" spans="2:10" x14ac:dyDescent="0.3">
      <c r="B21" t="s">
        <v>1115</v>
      </c>
    </row>
    <row r="22" spans="2:10" x14ac:dyDescent="0.3">
      <c r="B22" t="s">
        <v>1116</v>
      </c>
    </row>
    <row r="23" spans="2:10" x14ac:dyDescent="0.3">
      <c r="B23" t="s">
        <v>1117</v>
      </c>
      <c r="J23"/>
    </row>
    <row r="24" spans="2:10" x14ac:dyDescent="0.3">
      <c r="B24" t="s">
        <v>1118</v>
      </c>
      <c r="J24"/>
    </row>
    <row r="25" spans="2:10" x14ac:dyDescent="0.3">
      <c r="J25"/>
    </row>
    <row r="26" spans="2:10" x14ac:dyDescent="0.3">
      <c r="B26" t="s">
        <v>1119</v>
      </c>
      <c r="J26"/>
    </row>
    <row r="27" spans="2:10" x14ac:dyDescent="0.3">
      <c r="J27"/>
    </row>
    <row r="28" spans="2:10" x14ac:dyDescent="0.3">
      <c r="J28"/>
    </row>
    <row r="29" spans="2:10" x14ac:dyDescent="0.3">
      <c r="J29"/>
    </row>
    <row r="30" spans="2:10" x14ac:dyDescent="0.3">
      <c r="J3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inicio</vt:lpstr>
      <vt:lpstr>pagos</vt:lpstr>
      <vt:lpstr>Fecha de hoy</vt:lpstr>
      <vt:lpstr>Retenciones</vt:lpstr>
      <vt:lpstr>Terceros</vt:lpstr>
      <vt:lpstr>Palabra no opera</vt:lpstr>
      <vt:lpstr>F.Proveedores</vt:lpstr>
      <vt:lpstr>USD</vt:lpstr>
      <vt:lpstr>Reporte</vt:lpstr>
      <vt:lpstr>Financiación</vt:lpstr>
      <vt:lpstr>Financiadores</vt:lpstr>
      <vt:lpstr>facturas vencidas</vt:lpstr>
      <vt:lpstr>Hoja1</vt:lpstr>
      <vt:lpstr>pagos!Extract</vt:lpstr>
      <vt:lpstr>info</vt:lpstr>
      <vt:lpstr>pagos!Print_Area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2022-11-07T23:20:02Z</cp:lastPrinted>
  <dcterms:created xsi:type="dcterms:W3CDTF">2019-09-20T14:37:58Z</dcterms:created>
  <dcterms:modified xsi:type="dcterms:W3CDTF">2022-11-10T19:29:26Z</dcterms:modified>
</cp:coreProperties>
</file>